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6.15to7.19.25" sheetId="1" r:id="rId4"/>
    <sheet state="visible" name="5.4to6.14.25" sheetId="2" r:id="rId5"/>
    <sheet state="visible" name="3.30to5.3.25" sheetId="3" r:id="rId6"/>
    <sheet state="hidden" name="2.23to3.29.25" sheetId="4" r:id="rId7"/>
    <sheet state="hidden" name="1.19-2.22.25" sheetId="5" r:id="rId8"/>
    <sheet state="hidden" name="trainingto1.18.25" sheetId="6" r:id="rId9"/>
    <sheet state="visible" name="block recap" sheetId="7" r:id="rId10"/>
    <sheet state="visible" name="warmup" sheetId="8" r:id="rId11"/>
    <sheet state="visible" name="rpe" sheetId="9" r:id="rId12"/>
    <sheet state="visible" name="kilo chart" sheetId="10" r:id="rId13"/>
    <sheet state="visible" name="attempt plan" sheetId="11" r:id="rId14"/>
    <sheet state="visible" name="weight cut" sheetId="12" r:id="rId15"/>
    <sheet state="hidden" name="training - v1" sheetId="13" r:id="rId16"/>
    <sheet state="hidden" name="Sheet1" sheetId="14" r:id="rId17"/>
    <sheet state="hidden" name="Sheet2" sheetId="15" r:id="rId18"/>
  </sheets>
  <definedNames>
    <definedName name="core">Sheet2!$O$6:$O$40</definedName>
    <definedName name="arms">Sheet2!$M$6:$M$40</definedName>
    <definedName name="bench">Sheet2!$H$6:$H$40</definedName>
    <definedName name="back">Sheet2!$K$6:$K$40</definedName>
    <definedName name="squat">Sheet2!$G$6:$G$40</definedName>
    <definedName name="chest">Sheet2!$N$6:$N$40</definedName>
    <definedName name="deadlift">Sheet2!$I$6:$I$40</definedName>
    <definedName name="shoulders">Sheet2!$L$6:$L$40</definedName>
    <definedName name="legs">Sheet2!$J$6:$J$40</definedName>
    <definedName hidden="1" name="Google_Sheet_Link_1005878460">shoulders</definedName>
    <definedName hidden="1" name="Google_Sheet_Link_1181211612">back</definedName>
    <definedName hidden="1" name="Google_Sheet_Link_1217658618">core</definedName>
    <definedName hidden="1" name="Google_Sheet_Link_1322409099">deadlift</definedName>
    <definedName hidden="1" name="Google_Sheet_Link_1506366414">squat</definedName>
    <definedName hidden="1" name="Google_Sheet_Link_1886310841">arms</definedName>
    <definedName hidden="1" name="Google_Sheet_Link_228149329">legs</definedName>
    <definedName hidden="1" name="Google_Sheet_Link_276535349">chest</definedName>
    <definedName hidden="1" name="Google_Sheet_Link_759829114">bench</definedName>
  </definedNames>
  <calcPr/>
  <extLst>
    <ext uri="GoogleSheetsCustomDataVersion2">
      <go:sheetsCustomData xmlns:go="http://customooxmlschemas.google.com/" r:id="rId19" roundtripDataChecksum="q0wdMMiReQyjEjw4Fy/7910ULcL8AN+k8oGSkeo68c0="/>
    </ext>
  </extLst>
</workbook>
</file>

<file path=xl/sharedStrings.xml><?xml version="1.0" encoding="utf-8"?>
<sst xmlns="http://schemas.openxmlformats.org/spreadsheetml/2006/main" count="6549" uniqueCount="436">
  <si>
    <t>Arismendy Larancuent</t>
  </si>
  <si>
    <t>maxes</t>
  </si>
  <si>
    <t>target meet/test</t>
  </si>
  <si>
    <t>meet bests</t>
  </si>
  <si>
    <t>note</t>
  </si>
  <si>
    <t>29, male</t>
  </si>
  <si>
    <t>squat</t>
  </si>
  <si>
    <t>example: "away 1/1-1/14"</t>
  </si>
  <si>
    <t>90 kg</t>
  </si>
  <si>
    <t xml:space="preserve">bench </t>
  </si>
  <si>
    <t>deadlift</t>
  </si>
  <si>
    <t>total</t>
  </si>
  <si>
    <t>week</t>
  </si>
  <si>
    <t>weeks out</t>
  </si>
  <si>
    <t>day 1</t>
  </si>
  <si>
    <t>day</t>
  </si>
  <si>
    <t>sets</t>
  </si>
  <si>
    <t>reps</t>
  </si>
  <si>
    <t>load</t>
  </si>
  <si>
    <t>target RPE / %</t>
  </si>
  <si>
    <t>last set RPE</t>
  </si>
  <si>
    <t>last week</t>
  </si>
  <si>
    <t>range</t>
  </si>
  <si>
    <t>lw chnge</t>
  </si>
  <si>
    <t>squat 2, bench 2</t>
  </si>
  <si>
    <t>motivation</t>
  </si>
  <si>
    <t>fatigue</t>
  </si>
  <si>
    <t>low</t>
  </si>
  <si>
    <t>high</t>
  </si>
  <si>
    <t>E1RM</t>
  </si>
  <si>
    <t>notes</t>
  </si>
  <si>
    <t>belt squat</t>
  </si>
  <si>
    <t>db romanian deadlift</t>
  </si>
  <si>
    <t>comp bench press</t>
  </si>
  <si>
    <t>2 count</t>
  </si>
  <si>
    <t>close grip bench press</t>
  </si>
  <si>
    <t>feet up</t>
  </si>
  <si>
    <t>leg press</t>
  </si>
  <si>
    <t>single leg</t>
  </si>
  <si>
    <t>side and front planks</t>
  </si>
  <si>
    <t>leg raises</t>
  </si>
  <si>
    <t>amrap</t>
  </si>
  <si>
    <t>day 2</t>
  </si>
  <si>
    <t>dl 2, bench 3</t>
  </si>
  <si>
    <t>db chest press</t>
  </si>
  <si>
    <t>chin ups</t>
  </si>
  <si>
    <t>ab wheel</t>
  </si>
  <si>
    <t>tricep pushdowns</t>
  </si>
  <si>
    <t>bicep curls</t>
  </si>
  <si>
    <t>day 3</t>
  </si>
  <si>
    <t>squat 1, bench 4</t>
  </si>
  <si>
    <t>paused bench press</t>
  </si>
  <si>
    <t>3 count</t>
  </si>
  <si>
    <t>reverse hyper/back extensions</t>
  </si>
  <si>
    <t>chest assisted row</t>
  </si>
  <si>
    <t>day 4</t>
  </si>
  <si>
    <t>dl 1, bench 1</t>
  </si>
  <si>
    <t>day 5</t>
  </si>
  <si>
    <t>arm day</t>
  </si>
  <si>
    <t>WEEKLY</t>
  </si>
  <si>
    <t>vol</t>
  </si>
  <si>
    <t>avg int</t>
  </si>
  <si>
    <t>avg e1rm</t>
  </si>
  <si>
    <t>dist</t>
  </si>
  <si>
    <t>chest</t>
  </si>
  <si>
    <t>tri</t>
  </si>
  <si>
    <t>bench press</t>
  </si>
  <si>
    <t>back</t>
  </si>
  <si>
    <t>bi</t>
  </si>
  <si>
    <t>lower</t>
  </si>
  <si>
    <t>should</t>
  </si>
  <si>
    <t>core</t>
  </si>
  <si>
    <t xml:space="preserve">week </t>
  </si>
  <si>
    <t xml:space="preserve">day 1 </t>
  </si>
  <si>
    <t>deload</t>
  </si>
  <si>
    <t>Mon</t>
  </si>
  <si>
    <t>1 (low)</t>
  </si>
  <si>
    <t>comp squat</t>
  </si>
  <si>
    <t>same</t>
  </si>
  <si>
    <t>closer grip</t>
  </si>
  <si>
    <t>maintain load</t>
  </si>
  <si>
    <t>feet wide</t>
  </si>
  <si>
    <t>Tues</t>
  </si>
  <si>
    <t>paused deadlift</t>
  </si>
  <si>
    <t>short rests</t>
  </si>
  <si>
    <t>maintain rpe</t>
  </si>
  <si>
    <t>lat pulldowns</t>
  </si>
  <si>
    <t>close grip</t>
  </si>
  <si>
    <t>side lateral raises</t>
  </si>
  <si>
    <t>Thurs</t>
  </si>
  <si>
    <t>paused squat</t>
  </si>
  <si>
    <t>same load all</t>
  </si>
  <si>
    <t>BW</t>
  </si>
  <si>
    <t>9,9,9</t>
  </si>
  <si>
    <t>db curls</t>
  </si>
  <si>
    <t>13,</t>
  </si>
  <si>
    <t>Sat</t>
  </si>
  <si>
    <t>comp deadlift</t>
  </si>
  <si>
    <t>same load</t>
  </si>
  <si>
    <t>overhead tricep extension</t>
  </si>
  <si>
    <t>cable</t>
  </si>
  <si>
    <t>week  (adjusted)</t>
  </si>
  <si>
    <t>5 (high)</t>
  </si>
  <si>
    <t xml:space="preserve">First day back. Went really light and easy. I really didn't like the feel of single leg leg press so I did regular but just not going as deep to save the back. For the planks I started off 45 seconds each plank </t>
  </si>
  <si>
    <t>Bw</t>
  </si>
  <si>
    <t>Wed</t>
  </si>
  <si>
    <t>Fri</t>
  </si>
  <si>
    <t>8,8,8</t>
  </si>
  <si>
    <t>185. Then 205 last set</t>
  </si>
  <si>
    <t xml:space="preserve">Pauses need to be better, right knee started to act up a little bit on the back downs. </t>
  </si>
  <si>
    <t xml:space="preserve">Had to sub to cable wide grip rows due to the gym </t>
  </si>
  <si>
    <t>day 3 - adjusted</t>
  </si>
  <si>
    <t>day 4 - adjusted</t>
  </si>
  <si>
    <t>FILL OUT BLOCK RECAP</t>
  </si>
  <si>
    <t>%</t>
  </si>
  <si>
    <t>Couldn't finish back downs. Still extremely sore. Just not recovered</t>
  </si>
  <si>
    <t>add to last week</t>
  </si>
  <si>
    <t>Sun</t>
  </si>
  <si>
    <t xml:space="preserve">Squats felt really good </t>
  </si>
  <si>
    <t>incline db press</t>
  </si>
  <si>
    <t>Paused deadlifts felt pretty heavy but moved fast. May need to take a smaller jump as I'm not used to this variation</t>
  </si>
  <si>
    <t>db romanian dl</t>
  </si>
  <si>
    <t xml:space="preserve">Was feeling a bit sore today so squats felt okay. Day 1 of this week definitely felt alot better. Chinups did BW 8,8,9. Curls did 12,12,11. Do same weight and try to do more reps </t>
  </si>
  <si>
    <t>I ate like an absolute toddler today. Given I wasn't really prepared for today's session it wasn't to bad</t>
  </si>
  <si>
    <t>9,9,8 on chin ups</t>
  </si>
  <si>
    <t>10,10,9.5 on chinups</t>
  </si>
  <si>
    <t>training block recap - complete after every block</t>
  </si>
  <si>
    <r>
      <rPr>
        <rFont val="Teko"/>
        <color theme="1"/>
        <sz val="14.0"/>
      </rPr>
      <t xml:space="preserve">Please file your block recap </t>
    </r>
    <r>
      <rPr>
        <rFont val="Teko"/>
        <b/>
        <color theme="1"/>
        <sz val="14.0"/>
      </rPr>
      <t>as you are finishing the final week of a block</t>
    </r>
    <r>
      <rPr>
        <rFont val="Teko"/>
        <color theme="1"/>
        <sz val="14.0"/>
      </rPr>
      <t xml:space="preserve">, as it will be used in writing ongoing training. </t>
    </r>
  </si>
  <si>
    <t>submit recap</t>
  </si>
  <si>
    <t>schedule a call</t>
  </si>
  <si>
    <t>Select a time to book a call to review your block, or go over a plan or changes in training. This is best to be done during a deload week. You are not required to book a call after every training block, but please ensure I am in the loop on anything I need to know.</t>
  </si>
  <si>
    <t>schedule a call with Eric</t>
  </si>
  <si>
    <t>Adjust Any</t>
  </si>
  <si>
    <t>Load</t>
  </si>
  <si>
    <t xml:space="preserve">Reps </t>
  </si>
  <si>
    <t>RPE</t>
  </si>
  <si>
    <t>e1RM result</t>
  </si>
  <si>
    <t>KG</t>
  </si>
  <si>
    <t>PLATES (non-weighted collars)</t>
  </si>
  <si>
    <t>PLATES + 2.5kg Collars</t>
  </si>
  <si>
    <t>LB</t>
  </si>
  <si>
    <t>25 (3)</t>
  </si>
  <si>
    <t>25 (5)</t>
  </si>
  <si>
    <t>25 (7)</t>
  </si>
  <si>
    <t>25 (2)</t>
  </si>
  <si>
    <t>25 (4)</t>
  </si>
  <si>
    <t>25 (6)</t>
  </si>
  <si>
    <t>25 (8)</t>
  </si>
  <si>
    <t>25 (9)</t>
  </si>
  <si>
    <t>Membership number</t>
  </si>
  <si>
    <t>Day</t>
  </si>
  <si>
    <t>Session</t>
  </si>
  <si>
    <t>Flight</t>
  </si>
  <si>
    <t>OPENERS</t>
  </si>
  <si>
    <t>Squat</t>
  </si>
  <si>
    <t>Bench</t>
  </si>
  <si>
    <t>FORECASTED</t>
  </si>
  <si>
    <t>Deadlift</t>
  </si>
  <si>
    <t xml:space="preserve">KG </t>
  </si>
  <si>
    <t>Bodyweight</t>
  </si>
  <si>
    <t>SQUAT</t>
  </si>
  <si>
    <t>Meet Best (kg)</t>
  </si>
  <si>
    <t>Current e1rm</t>
  </si>
  <si>
    <t>Best in training</t>
  </si>
  <si>
    <t>Warmups</t>
  </si>
  <si>
    <t>LOADING</t>
  </si>
  <si>
    <t>REPS</t>
  </si>
  <si>
    <t>NOTES</t>
  </si>
  <si>
    <t>5-10</t>
  </si>
  <si>
    <t>tempo reps</t>
  </si>
  <si>
    <t>commands</t>
  </si>
  <si>
    <t>Opener</t>
  </si>
  <si>
    <t>Squat Attempts</t>
  </si>
  <si>
    <t>from best</t>
  </si>
  <si>
    <t>planned</t>
  </si>
  <si>
    <t>moved okay</t>
  </si>
  <si>
    <t>moved good</t>
  </si>
  <si>
    <t>moved great</t>
  </si>
  <si>
    <t>Highest successful attempt</t>
  </si>
  <si>
    <t>FORECASTED TOTAL</t>
  </si>
  <si>
    <t>BENCH PRESS</t>
  </si>
  <si>
    <t>Bench Press Attempts</t>
  </si>
  <si>
    <t>SUBTOTAL:</t>
  </si>
  <si>
    <t>FORECASTED TOTAL:</t>
  </si>
  <si>
    <t>DEADLIFT</t>
  </si>
  <si>
    <t>Deadlift Attempts</t>
  </si>
  <si>
    <t>Best prev. total</t>
  </si>
  <si>
    <t>from best total</t>
  </si>
  <si>
    <t>PRE DL SUBTOTAL:</t>
  </si>
  <si>
    <t>TOTAL CALULATOR</t>
  </si>
  <si>
    <t>2ND ATTEMPT</t>
  </si>
  <si>
    <t>TOTAL</t>
  </si>
  <si>
    <t>TOTAL CALCULATOR</t>
  </si>
  <si>
    <t>TOTAL TO BEAT</t>
  </si>
  <si>
    <t>R U LIGHTER?</t>
  </si>
  <si>
    <t>3rd ATTEMPT NEEDED</t>
  </si>
  <si>
    <t>yes</t>
  </si>
  <si>
    <t>Subtotal</t>
  </si>
  <si>
    <t>Possible Deadlift Range</t>
  </si>
  <si>
    <t>Total if successful</t>
  </si>
  <si>
    <t>DOTS if successful</t>
  </si>
  <si>
    <t>Gender</t>
  </si>
  <si>
    <t>male</t>
  </si>
  <si>
    <t>Date</t>
  </si>
  <si>
    <t>name</t>
  </si>
  <si>
    <t>current</t>
  </si>
  <si>
    <t>fluid intake</t>
  </si>
  <si>
    <t>liters</t>
  </si>
  <si>
    <t>calories</t>
  </si>
  <si>
    <t>cals</t>
  </si>
  <si>
    <t>6 days out</t>
  </si>
  <si>
    <t xml:space="preserve">fluid </t>
  </si>
  <si>
    <t>am bw</t>
  </si>
  <si>
    <t>normal</t>
  </si>
  <si>
    <t>fiber</t>
  </si>
  <si>
    <t>pm bw</t>
  </si>
  <si>
    <t>sodium</t>
  </si>
  <si>
    <t>5 days out</t>
  </si>
  <si>
    <t>overnight change</t>
  </si>
  <si>
    <t>4 days out</t>
  </si>
  <si>
    <t>3 days out</t>
  </si>
  <si>
    <t>via salted almonds or cashews</t>
  </si>
  <si>
    <t>via FIBER FREE carbs (like sugary cereal)</t>
  </si>
  <si>
    <t>via protein shake</t>
  </si>
  <si>
    <t xml:space="preserve">as low as possible </t>
  </si>
  <si>
    <t>maintain normal intake</t>
  </si>
  <si>
    <t>2 days out</t>
  </si>
  <si>
    <t>1 DAY OUT</t>
  </si>
  <si>
    <t>AM bw</t>
  </si>
  <si>
    <t>PM bw</t>
  </si>
  <si>
    <t>day of</t>
  </si>
  <si>
    <t>post weigh- ins</t>
  </si>
  <si>
    <t>avg change</t>
  </si>
  <si>
    <t>MAXES</t>
  </si>
  <si>
    <t>Current</t>
  </si>
  <si>
    <t>Meet</t>
  </si>
  <si>
    <t>S</t>
  </si>
  <si>
    <t>B</t>
  </si>
  <si>
    <t>D</t>
  </si>
  <si>
    <t>T</t>
  </si>
  <si>
    <t xml:space="preserve">Week  </t>
  </si>
  <si>
    <t>rpe/</t>
  </si>
  <si>
    <t>e1rm</t>
  </si>
  <si>
    <t>lw change</t>
  </si>
  <si>
    <t>adjustment</t>
  </si>
  <si>
    <t>lbs</t>
  </si>
  <si>
    <t>tues</t>
  </si>
  <si>
    <t>5,6</t>
  </si>
  <si>
    <t>conventional deadlift</t>
  </si>
  <si>
    <t>tng bench press</t>
  </si>
  <si>
    <t>split sq</t>
  </si>
  <si>
    <t>12-15</t>
  </si>
  <si>
    <t>dips</t>
  </si>
  <si>
    <t>one arm db shoulder press</t>
  </si>
  <si>
    <t>barbell curl/overhead tricep</t>
  </si>
  <si>
    <t>cable curl/ tricep rope pushdown</t>
  </si>
  <si>
    <t>core work of choice</t>
  </si>
  <si>
    <t>wed</t>
  </si>
  <si>
    <t xml:space="preserve">Thurs </t>
  </si>
  <si>
    <t>belt sq</t>
  </si>
  <si>
    <t>10-12</t>
  </si>
  <si>
    <t>leg extensions</t>
  </si>
  <si>
    <t>leg curls</t>
  </si>
  <si>
    <t>db rdl</t>
  </si>
  <si>
    <t xml:space="preserve">Fri </t>
  </si>
  <si>
    <t>closer grip bench press</t>
  </si>
  <si>
    <t>arnold press</t>
  </si>
  <si>
    <t>side lateral raise</t>
  </si>
  <si>
    <t>rear delt db fly</t>
  </si>
  <si>
    <t>hammer curl/overhead tricep</t>
  </si>
  <si>
    <t>bicep machine/tricep machine</t>
  </si>
  <si>
    <t>mon</t>
  </si>
  <si>
    <t>30s</t>
  </si>
  <si>
    <t>hack sq</t>
  </si>
  <si>
    <t>back extensions</t>
  </si>
  <si>
    <t>cable flys</t>
  </si>
  <si>
    <t>decline fly</t>
  </si>
  <si>
    <t>lat pulldown</t>
  </si>
  <si>
    <t>cable pullovers</t>
  </si>
  <si>
    <t>fri</t>
  </si>
  <si>
    <t>sat</t>
  </si>
  <si>
    <t>thurs</t>
  </si>
  <si>
    <t>SSB squat</t>
  </si>
  <si>
    <t>7-8</t>
  </si>
  <si>
    <t>3+2</t>
  </si>
  <si>
    <t>high bar squat</t>
  </si>
  <si>
    <t>bulgarians</t>
  </si>
  <si>
    <t xml:space="preserve">squat </t>
  </si>
  <si>
    <t>target rpe/</t>
  </si>
  <si>
    <t>150-160</t>
  </si>
  <si>
    <t>press arounds</t>
  </si>
  <si>
    <t>paused sumo deadlift</t>
  </si>
  <si>
    <t>2 count paused bench press</t>
  </si>
  <si>
    <t>side lateral raises/rear</t>
  </si>
  <si>
    <t>ssb good mornings</t>
  </si>
  <si>
    <t>seated cable row</t>
  </si>
  <si>
    <t>wide</t>
  </si>
  <si>
    <t>pulldowns</t>
  </si>
  <si>
    <t>sternal press arounds</t>
  </si>
  <si>
    <t>Week 2</t>
  </si>
  <si>
    <t xml:space="preserve"> </t>
  </si>
  <si>
    <t>P</t>
  </si>
  <si>
    <t>Q</t>
  </si>
  <si>
    <t>2 count pause</t>
  </si>
  <si>
    <t>Week 3</t>
  </si>
  <si>
    <t>Week 4</t>
  </si>
  <si>
    <t>Week 5 (deload)</t>
  </si>
  <si>
    <t>select</t>
  </si>
  <si>
    <t>inactive (&lt;5k steps per day)</t>
  </si>
  <si>
    <t>average (5k-10k steps per day)</t>
  </si>
  <si>
    <t>active (&gt;10k steps per day)</t>
  </si>
  <si>
    <t>bench</t>
  </si>
  <si>
    <t>legs</t>
  </si>
  <si>
    <t>shoulders</t>
  </si>
  <si>
    <t>arms</t>
  </si>
  <si>
    <t>sub 6</t>
  </si>
  <si>
    <t>db press</t>
  </si>
  <si>
    <t>bicep curl</t>
  </si>
  <si>
    <t>flat db press</t>
  </si>
  <si>
    <t>close grip lat pulldown</t>
  </si>
  <si>
    <t>one arm db press</t>
  </si>
  <si>
    <t>barbell curl</t>
  </si>
  <si>
    <t>cable crunches</t>
  </si>
  <si>
    <t>low bar squat</t>
  </si>
  <si>
    <t>2 sec paused bench press</t>
  </si>
  <si>
    <t>sumo deadlift</t>
  </si>
  <si>
    <t>leg extension</t>
  </si>
  <si>
    <t>neutral grip lat pulldown</t>
  </si>
  <si>
    <t>db curl</t>
  </si>
  <si>
    <t>db flys</t>
  </si>
  <si>
    <t>ssb squat</t>
  </si>
  <si>
    <t>sumo deadlift from blocks</t>
  </si>
  <si>
    <t>glute ham raise</t>
  </si>
  <si>
    <t>seated row</t>
  </si>
  <si>
    <t>band pull aparts</t>
  </si>
  <si>
    <t>hammer curl</t>
  </si>
  <si>
    <t>machine flys</t>
  </si>
  <si>
    <t>pallof press</t>
  </si>
  <si>
    <t>front squat</t>
  </si>
  <si>
    <t>spoto bench press</t>
  </si>
  <si>
    <t>conventional deadlift from blocks</t>
  </si>
  <si>
    <t>sissy sq</t>
  </si>
  <si>
    <t>wide grip seated row</t>
  </si>
  <si>
    <t>facepulls</t>
  </si>
  <si>
    <t>spider curl</t>
  </si>
  <si>
    <t>cable crossovers</t>
  </si>
  <si>
    <t>plank</t>
  </si>
  <si>
    <t>larsen bench press</t>
  </si>
  <si>
    <t>bulgarian split sq</t>
  </si>
  <si>
    <t>one arm seated row</t>
  </si>
  <si>
    <t>landmine press</t>
  </si>
  <si>
    <t>concentration curl</t>
  </si>
  <si>
    <t>pushups</t>
  </si>
  <si>
    <t>weighted plank</t>
  </si>
  <si>
    <t>2 cnt paused squat</t>
  </si>
  <si>
    <t>feet up bench press</t>
  </si>
  <si>
    <t>paused conventional deadlift</t>
  </si>
  <si>
    <t>barbell split sq</t>
  </si>
  <si>
    <t>row machine</t>
  </si>
  <si>
    <t>front raises</t>
  </si>
  <si>
    <t>preacher curl</t>
  </si>
  <si>
    <t>wide grip pushups</t>
  </si>
  <si>
    <t>russian twists</t>
  </si>
  <si>
    <t>paused squat on the halfway down</t>
  </si>
  <si>
    <t>pin bench press</t>
  </si>
  <si>
    <t>1.5 sumo deadlift</t>
  </si>
  <si>
    <t>front rack db split sq</t>
  </si>
  <si>
    <t>upright rows</t>
  </si>
  <si>
    <t>tricep pushdown</t>
  </si>
  <si>
    <t>db pullovers</t>
  </si>
  <si>
    <t>rolling planks</t>
  </si>
  <si>
    <t>paused squat on the halfway up</t>
  </si>
  <si>
    <t>wide grip bench press</t>
  </si>
  <si>
    <t>1.5 conventional deadlift</t>
  </si>
  <si>
    <t>walking lunges</t>
  </si>
  <si>
    <t>db bent over row</t>
  </si>
  <si>
    <t>machine press</t>
  </si>
  <si>
    <t>rope extensions</t>
  </si>
  <si>
    <t>side plank</t>
  </si>
  <si>
    <t>pin squat</t>
  </si>
  <si>
    <t>slingshot bench press</t>
  </si>
  <si>
    <t>slow eccentric deadlift</t>
  </si>
  <si>
    <t>stationary lunge</t>
  </si>
  <si>
    <t>bent over row</t>
  </si>
  <si>
    <t>overhead db extension</t>
  </si>
  <si>
    <t>failed rep</t>
  </si>
  <si>
    <t>constant tension squat</t>
  </si>
  <si>
    <t>1 board bench press</t>
  </si>
  <si>
    <t>trap bar deadlift</t>
  </si>
  <si>
    <t>lying ham curl</t>
  </si>
  <si>
    <t>tbar row</t>
  </si>
  <si>
    <t>lying db skullcrushers</t>
  </si>
  <si>
    <t>tempo squat (3:0:0)</t>
  </si>
  <si>
    <t>2 board bench press</t>
  </si>
  <si>
    <t>stiff legged deadlift</t>
  </si>
  <si>
    <t>one arm db row</t>
  </si>
  <si>
    <t>close grip pushups</t>
  </si>
  <si>
    <t>tempo squat (3:0:1)</t>
  </si>
  <si>
    <t>floor bench press</t>
  </si>
  <si>
    <t>deadlift with bands</t>
  </si>
  <si>
    <t>good mornings</t>
  </si>
  <si>
    <t>tempo squat (3:1:3)</t>
  </si>
  <si>
    <t>buffalo bar bench press</t>
  </si>
  <si>
    <t>deadlift with chains</t>
  </si>
  <si>
    <t>db step ups</t>
  </si>
  <si>
    <t>inverted row</t>
  </si>
  <si>
    <t>tempo squat (2:0:0)</t>
  </si>
  <si>
    <t>soft touch bench press</t>
  </si>
  <si>
    <t>romanian deadlift</t>
  </si>
  <si>
    <t>hip thrust</t>
  </si>
  <si>
    <t xml:space="preserve">pullups </t>
  </si>
  <si>
    <t>tempo squat (2:0:1)</t>
  </si>
  <si>
    <t>reverse grip bench press</t>
  </si>
  <si>
    <t>deadlift to knees</t>
  </si>
  <si>
    <t>reverse hypers</t>
  </si>
  <si>
    <t>tempo squat (2:1:2)</t>
  </si>
  <si>
    <t>incline bench press</t>
  </si>
  <si>
    <t>kettlebell swings</t>
  </si>
  <si>
    <t>neutral grip pullups</t>
  </si>
  <si>
    <t>box squat</t>
  </si>
  <si>
    <t>cable pullthroughs</t>
  </si>
  <si>
    <t>pendlay row</t>
  </si>
  <si>
    <t>double paused squat</t>
  </si>
  <si>
    <t>buffalo bar squat</t>
  </si>
  <si>
    <t>high bar paused squat</t>
  </si>
  <si>
    <t>high bar tempo squat (3:0:0)</t>
  </si>
  <si>
    <t>high bar tempo squat (3:0:1)</t>
  </si>
  <si>
    <t>high bar tempo squat (3:1:3)</t>
  </si>
  <si>
    <t>high bar tempo squat (2:0:0)</t>
  </si>
  <si>
    <t>high bar tempo squat (2:0:1)</t>
  </si>
  <si>
    <t>high bar tempo squat (2:1:2)</t>
  </si>
  <si>
    <t>paused ssb squat</t>
  </si>
  <si>
    <t>squat with chains</t>
  </si>
  <si>
    <t>squat with bands</t>
  </si>
  <si>
    <t>zercher squat</t>
  </si>
  <si>
    <t>goblet squat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</si>
</sst>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yy"/>
    <numFmt numFmtId="165" formatCode="0.0"/>
    <numFmt numFmtId="166" formatCode="m-d"/>
    <numFmt numFmtId="167" formatCode="mmmm d, yyyy"/>
  </numFmts>
  <fonts count="67">
    <font>
      <sz val="11.0"/>
      <color rgb="FF000000"/>
      <name val="Corbel"/>
      <scheme val="minor"/>
    </font>
    <font>
      <b/>
      <sz val="20.0"/>
      <color rgb="FF000000"/>
      <name val="Teko"/>
    </font>
    <font>
      <sz val="10.0"/>
      <color rgb="FF000000"/>
      <name val="Teko"/>
    </font>
    <font>
      <sz val="11.0"/>
      <color rgb="FF000000"/>
      <name val="Teko"/>
    </font>
    <font>
      <i/>
      <sz val="11.0"/>
      <color rgb="FF000000"/>
      <name val="Teko"/>
    </font>
    <font>
      <color theme="1"/>
      <name val="Corbel"/>
    </font>
    <font>
      <i/>
      <sz val="14.0"/>
      <color rgb="FF000000"/>
      <name val="Teko"/>
    </font>
    <font>
      <i/>
      <sz val="10.0"/>
      <color rgb="FF000000"/>
      <name val="Teko"/>
    </font>
    <font>
      <i/>
      <sz val="12.0"/>
      <color rgb="FF000000"/>
      <name val="Teko"/>
    </font>
    <font>
      <sz val="12.0"/>
      <color rgb="FF000000"/>
      <name val="Teko"/>
    </font>
    <font>
      <b/>
      <sz val="12.0"/>
      <color rgb="FF000000"/>
      <name val="Teko"/>
    </font>
    <font/>
    <font>
      <b/>
      <sz val="12.0"/>
      <color theme="1"/>
      <name val="Teko"/>
    </font>
    <font>
      <sz val="10.0"/>
      <color theme="1"/>
      <name val="Teko"/>
    </font>
    <font>
      <b/>
      <color theme="1"/>
      <name val="Teko"/>
    </font>
    <font>
      <b/>
      <sz val="11.0"/>
      <color rgb="FF000000"/>
      <name val="Teko"/>
    </font>
    <font>
      <i/>
      <color theme="1"/>
      <name val="Teko"/>
    </font>
    <font>
      <sz val="11.0"/>
      <color theme="1"/>
      <name val="Corbel"/>
    </font>
    <font>
      <b/>
      <sz val="11.0"/>
      <color theme="1"/>
      <name val="Teko"/>
    </font>
    <font>
      <i/>
      <sz val="11.0"/>
      <color theme="1"/>
      <name val="Teko"/>
    </font>
    <font>
      <sz val="11.0"/>
      <color theme="1"/>
      <name val="Teko"/>
    </font>
    <font>
      <b/>
      <i/>
      <sz val="11.0"/>
      <color rgb="FF000000"/>
      <name val="Teko"/>
    </font>
    <font>
      <b/>
      <sz val="12.0"/>
      <color rgb="FFFF0000"/>
      <name val="Teko"/>
    </font>
    <font>
      <sz val="10.0"/>
      <color rgb="FFFF0000"/>
      <name val="Teko"/>
    </font>
    <font>
      <sz val="11.0"/>
      <color rgb="FFFF0000"/>
      <name val="Teko"/>
    </font>
    <font>
      <b/>
      <sz val="11.0"/>
      <color rgb="FFFF0000"/>
      <name val="Teko"/>
    </font>
    <font>
      <b/>
      <sz val="14.0"/>
      <color rgb="FF000000"/>
      <name val="Teko"/>
    </font>
    <font>
      <b/>
      <sz val="13.0"/>
      <color rgb="FF000000"/>
      <name val="Teko"/>
    </font>
    <font>
      <i/>
      <sz val="11.0"/>
      <color rgb="FF666666"/>
      <name val="Teko"/>
    </font>
    <font>
      <sz val="12.0"/>
      <color rgb="FF666666"/>
      <name val="Teko"/>
    </font>
    <font>
      <i/>
      <sz val="12.0"/>
      <color rgb="FF666666"/>
      <name val="Teko"/>
    </font>
    <font>
      <sz val="12.0"/>
      <color theme="1"/>
      <name val="Teko"/>
    </font>
    <font>
      <color theme="1"/>
      <name val="Teko"/>
    </font>
    <font>
      <sz val="12.0"/>
      <color rgb="FFFF0000"/>
      <name val="Teko"/>
    </font>
    <font>
      <sz val="9.0"/>
      <color rgb="FF000000"/>
      <name val="Teko"/>
    </font>
    <font>
      <sz val="9.0"/>
      <color rgb="FFFF0000"/>
      <name val="Teko"/>
    </font>
    <font>
      <i/>
      <sz val="11.0"/>
      <color rgb="FF666666"/>
      <name val="Corbel"/>
    </font>
    <font>
      <sz val="10.0"/>
      <color rgb="FF666666"/>
      <name val="Teko"/>
    </font>
    <font>
      <b/>
      <sz val="14.0"/>
      <color rgb="FFFF00FF"/>
      <name val="Teko"/>
    </font>
    <font>
      <b/>
      <sz val="12.0"/>
      <color rgb="FFFF00FF"/>
      <name val="Teko"/>
    </font>
    <font>
      <sz val="14.0"/>
      <color rgb="FF000000"/>
      <name val="Teko"/>
    </font>
    <font>
      <sz val="14.0"/>
      <color theme="1"/>
      <name val="Corbel"/>
    </font>
    <font>
      <b/>
      <i/>
      <sz val="14.0"/>
      <color rgb="FF000000"/>
      <name val="Teko"/>
    </font>
    <font>
      <b/>
      <sz val="14.0"/>
      <color theme="1"/>
      <name val="Teko"/>
    </font>
    <font>
      <sz val="14.0"/>
      <color theme="1"/>
      <name val="Teko"/>
    </font>
    <font>
      <b/>
      <u/>
      <sz val="14.0"/>
      <color rgb="FF073763"/>
      <name val="Teko"/>
    </font>
    <font>
      <b/>
      <u/>
      <sz val="14.0"/>
      <color rgb="FF073763"/>
      <name val="Teko"/>
    </font>
    <font>
      <b/>
      <u/>
      <sz val="14.0"/>
      <color rgb="FF073763"/>
      <name val="Teko"/>
    </font>
    <font>
      <b/>
      <sz val="14.0"/>
      <color rgb="FF073763"/>
      <name val="Teko"/>
    </font>
    <font>
      <sz val="13.0"/>
      <color rgb="FF000000"/>
      <name val="Teko"/>
    </font>
    <font>
      <b/>
      <i/>
      <sz val="12.0"/>
      <color rgb="FF000000"/>
      <name val="Teko"/>
    </font>
    <font>
      <sz val="12.0"/>
      <color rgb="FFFFFFFF"/>
      <name val="Teko"/>
    </font>
    <font>
      <b/>
      <sz val="18.0"/>
      <color theme="1"/>
      <name val="Teko"/>
    </font>
    <font>
      <i/>
      <sz val="9.0"/>
      <color theme="1"/>
      <name val="Teko"/>
    </font>
    <font>
      <b/>
      <sz val="16.0"/>
      <color theme="1"/>
      <name val="Teko"/>
    </font>
    <font>
      <b/>
      <sz val="9.0"/>
      <color theme="1"/>
      <name val="Teko"/>
    </font>
    <font>
      <b/>
      <i/>
      <sz val="11.0"/>
      <color theme="1"/>
      <name val="Teko"/>
    </font>
    <font>
      <sz val="11.0"/>
      <color rgb="FF1D2228"/>
      <name val="Teko"/>
    </font>
    <font>
      <b/>
      <sz val="13.0"/>
      <color theme="1"/>
      <name val="Teko"/>
    </font>
    <font>
      <sz val="13.0"/>
      <color theme="1"/>
      <name val="Teko"/>
    </font>
    <font>
      <b/>
      <sz val="10.0"/>
      <color theme="1"/>
      <name val="Teko"/>
    </font>
    <font>
      <sz val="9.0"/>
      <color rgb="FF000000"/>
      <name val="Arial"/>
    </font>
    <font>
      <i/>
      <color theme="1"/>
      <name val="Corbel"/>
    </font>
    <font>
      <i/>
      <sz val="12.0"/>
      <color rgb="FFB7B7B7"/>
      <name val="Teko"/>
    </font>
    <font>
      <i/>
      <sz val="12.0"/>
      <color rgb="FF434343"/>
      <name val="Teko"/>
    </font>
    <font>
      <sz val="11.0"/>
      <color rgb="FF666666"/>
      <name val="Corbel"/>
    </font>
    <font>
      <sz val="11.0"/>
      <color rgb="FF000000"/>
      <name val="Corbel"/>
    </font>
  </fonts>
  <fills count="35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B4C6E7"/>
        <bgColor rgb="FFB4C6E7"/>
      </patternFill>
    </fill>
    <fill>
      <patternFill patternType="solid">
        <fgColor rgb="FF073763"/>
        <bgColor rgb="FF073763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7997C1"/>
        <bgColor rgb="FF7997C1"/>
      </patternFill>
    </fill>
    <fill>
      <patternFill patternType="solid">
        <fgColor rgb="FFA3C1EB"/>
        <bgColor rgb="FFA3C1EB"/>
      </patternFill>
    </fill>
    <fill>
      <patternFill patternType="solid">
        <fgColor rgb="FFFF9900"/>
        <bgColor rgb="FFFF9900"/>
      </patternFill>
    </fill>
    <fill>
      <patternFill patternType="solid">
        <fgColor rgb="FFF2F2F2"/>
        <bgColor rgb="FFF2F2F2"/>
      </patternFill>
    </fill>
    <fill>
      <patternFill patternType="solid">
        <fgColor rgb="FFF1C232"/>
        <bgColor rgb="FFF1C232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DD7E6B"/>
        <bgColor rgb="FFDD7E6B"/>
      </patternFill>
    </fill>
    <fill>
      <patternFill patternType="solid">
        <fgColor rgb="FFEA9999"/>
        <bgColor rgb="FFEA9999"/>
      </patternFill>
    </fill>
    <fill>
      <patternFill patternType="solid">
        <fgColor rgb="FFF9CB9C"/>
        <bgColor rgb="FFF9CB9C"/>
      </patternFill>
    </fill>
    <fill>
      <patternFill patternType="solid">
        <fgColor rgb="FFFFE599"/>
        <bgColor rgb="FFFFE599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E6B8AF"/>
        <bgColor rgb="FFE6B8AF"/>
      </patternFill>
    </fill>
    <fill>
      <patternFill patternType="solid">
        <fgColor rgb="FFE06666"/>
        <bgColor rgb="FFE06666"/>
      </patternFill>
    </fill>
    <fill>
      <patternFill patternType="solid">
        <fgColor rgb="FFFFD966"/>
        <bgColor rgb="FFFFD966"/>
      </patternFill>
    </fill>
    <fill>
      <patternFill patternType="solid">
        <fgColor rgb="FF93C47D"/>
        <bgColor rgb="FF93C47D"/>
      </patternFill>
    </fill>
    <fill>
      <patternFill patternType="solid">
        <fgColor rgb="FF000000"/>
        <bgColor rgb="FF000000"/>
      </patternFill>
    </fill>
    <fill>
      <patternFill patternType="solid">
        <fgColor rgb="FF6D9EEB"/>
        <bgColor rgb="FF6D9EEB"/>
      </patternFill>
    </fill>
    <fill>
      <patternFill patternType="solid">
        <fgColor rgb="FFD8D8D8"/>
        <bgColor rgb="FFD8D8D8"/>
      </patternFill>
    </fill>
    <fill>
      <patternFill patternType="solid">
        <fgColor rgb="FF8EAADB"/>
        <bgColor rgb="FF8EAADB"/>
      </patternFill>
    </fill>
    <fill>
      <patternFill patternType="solid">
        <fgColor rgb="FFD9E2F3"/>
        <bgColor rgb="FFD9E2F3"/>
      </patternFill>
    </fill>
    <fill>
      <patternFill patternType="solid">
        <fgColor rgb="FFFEF2CB"/>
        <bgColor rgb="FFFEF2CB"/>
      </patternFill>
    </fill>
    <fill>
      <patternFill patternType="solid">
        <fgColor rgb="FFFFF2CC"/>
        <bgColor rgb="FFFFF2CC"/>
      </patternFill>
    </fill>
    <fill>
      <patternFill patternType="solid">
        <fgColor rgb="FFFFE598"/>
        <bgColor rgb="FFFFE598"/>
      </patternFill>
    </fill>
    <fill>
      <patternFill patternType="solid">
        <fgColor rgb="FFFFD965"/>
        <bgColor rgb="FFFFD965"/>
      </patternFill>
    </fill>
    <fill>
      <patternFill patternType="solid">
        <fgColor rgb="FFCFE2F3"/>
        <bgColor rgb="FFCFE2F3"/>
      </patternFill>
    </fill>
    <fill>
      <patternFill patternType="solid">
        <fgColor rgb="FFA5A5A5"/>
        <bgColor rgb="FFA5A5A5"/>
      </patternFill>
    </fill>
  </fills>
  <borders count="57">
    <border/>
    <border>
      <left/>
      <right/>
      <bottom/>
    </border>
    <border>
      <bottom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top/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/>
      <top/>
    </border>
    <border>
      <left/>
      <right/>
      <top/>
      <bottom/>
    </border>
    <border>
      <right/>
      <top/>
      <bottom/>
    </border>
    <border>
      <left/>
      <top/>
      <bottom/>
    </border>
    <border>
      <left/>
      <bottom/>
    </border>
    <border>
      <left/>
    </border>
    <border>
      <left/>
      <right/>
      <top/>
    </border>
    <border>
      <left/>
      <right/>
    </border>
    <border>
      <top/>
      <bottom/>
    </border>
    <border>
      <right/>
      <top/>
    </border>
    <border>
      <right/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 style="medium">
        <color rgb="FF000000"/>
      </left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right style="dotted">
        <color rgb="FF000000"/>
      </right>
      <top style="dotted">
        <color rgb="FF000000"/>
      </top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/>
    </border>
    <border>
      <left style="thin">
        <color rgb="FF000000"/>
      </left>
      <right/>
      <top/>
    </border>
    <border>
      <left style="thin">
        <color rgb="FF000000"/>
      </left>
      <right style="thin">
        <color rgb="FF000000"/>
      </right>
      <top/>
      <bottom/>
    </border>
    <border>
      <left/>
      <right style="thin">
        <color rgb="FF000000"/>
      </right>
    </border>
    <border>
      <left style="thin">
        <color rgb="FF000000"/>
      </left>
      <right/>
    </border>
    <border>
      <left/>
      <right/>
      <top style="hair">
        <color rgb="FF000000"/>
      </top>
      <bottom/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</border>
    <border>
      <left style="hair">
        <color rgb="FF000000"/>
      </left>
      <top/>
      <bottom/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</border>
    <border>
      <right style="hair">
        <color rgb="FF000000"/>
      </right>
    </border>
    <border>
      <right style="hair">
        <color rgb="FF000000"/>
      </right>
      <bottom style="hair">
        <color rgb="FF000000"/>
      </bottom>
    </border>
    <border>
      <bottom style="hair">
        <color rgb="FF000000"/>
      </bottom>
    </border>
    <border>
      <right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9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2" numFmtId="0" xfId="0" applyAlignment="1" applyFont="1">
      <alignment horizontal="center" vertical="center"/>
    </xf>
    <xf borderId="0" fillId="0" fontId="3" numFmtId="0" xfId="0" applyAlignment="1" applyFont="1">
      <alignment horizontal="center"/>
    </xf>
    <xf borderId="0" fillId="0" fontId="4" numFmtId="0" xfId="0" applyAlignment="1" applyFont="1">
      <alignment horizontal="center"/>
    </xf>
    <xf borderId="0" fillId="0" fontId="3" numFmtId="0" xfId="0" applyFont="1"/>
    <xf borderId="0" fillId="2" fontId="2" numFmtId="0" xfId="0" applyAlignment="1" applyFill="1" applyFont="1">
      <alignment horizontal="center" vertical="center"/>
    </xf>
    <xf borderId="0" fillId="2" fontId="1" numFmtId="0" xfId="0" applyAlignment="1" applyFont="1">
      <alignment horizontal="left"/>
    </xf>
    <xf borderId="0" fillId="2" fontId="3" numFmtId="0" xfId="0" applyAlignment="1" applyFont="1">
      <alignment horizontal="center"/>
    </xf>
    <xf borderId="0" fillId="2" fontId="4" numFmtId="0" xfId="0" applyAlignment="1" applyFont="1">
      <alignment horizontal="center"/>
    </xf>
    <xf borderId="0" fillId="2" fontId="3" numFmtId="0" xfId="0" applyFont="1"/>
    <xf borderId="0" fillId="2" fontId="5" numFmtId="0" xfId="0" applyFont="1"/>
    <xf borderId="0" fillId="0" fontId="6" numFmtId="0" xfId="0" applyAlignment="1" applyFont="1">
      <alignment horizontal="left"/>
    </xf>
    <xf borderId="0" fillId="2" fontId="7" numFmtId="0" xfId="0" applyAlignment="1" applyFont="1">
      <alignment horizontal="center" vertical="center"/>
    </xf>
    <xf borderId="0" fillId="3" fontId="6" numFmtId="0" xfId="0" applyAlignment="1" applyFill="1" applyFont="1">
      <alignment horizontal="left"/>
    </xf>
    <xf borderId="0" fillId="3" fontId="3" numFmtId="0" xfId="0" applyAlignment="1" applyFont="1">
      <alignment horizontal="center"/>
    </xf>
    <xf borderId="0" fillId="3" fontId="4" numFmtId="0" xfId="0" applyAlignment="1" applyFont="1">
      <alignment horizontal="center"/>
    </xf>
    <xf borderId="0" fillId="3" fontId="3" numFmtId="0" xfId="0" applyFont="1"/>
    <xf borderId="0" fillId="3" fontId="5" numFmtId="0" xfId="0" applyFont="1"/>
    <xf borderId="0" fillId="0" fontId="6" numFmtId="0" xfId="0" applyAlignment="1" applyFont="1">
      <alignment horizontal="center"/>
    </xf>
    <xf borderId="0" fillId="4" fontId="6" numFmtId="0" xfId="0" applyAlignment="1" applyFill="1" applyFont="1">
      <alignment horizontal="left"/>
    </xf>
    <xf borderId="0" fillId="4" fontId="6" numFmtId="0" xfId="0" applyAlignment="1" applyFont="1">
      <alignment horizontal="center"/>
    </xf>
    <xf borderId="0" fillId="4" fontId="3" numFmtId="0" xfId="0" applyAlignment="1" applyFont="1">
      <alignment horizontal="center"/>
    </xf>
    <xf borderId="0" fillId="4" fontId="4" numFmtId="0" xfId="0" applyAlignment="1" applyFont="1">
      <alignment horizontal="center"/>
    </xf>
    <xf borderId="0" fillId="4" fontId="3" numFmtId="0" xfId="0" applyFont="1"/>
    <xf borderId="0" fillId="4" fontId="5" numFmtId="0" xfId="0" applyFont="1"/>
    <xf borderId="0" fillId="5" fontId="6" numFmtId="0" xfId="0" applyAlignment="1" applyFill="1" applyFont="1">
      <alignment horizontal="left"/>
    </xf>
    <xf borderId="0" fillId="5" fontId="7" numFmtId="0" xfId="0" applyAlignment="1" applyFont="1">
      <alignment horizontal="center" vertical="center"/>
    </xf>
    <xf borderId="1" fillId="5" fontId="6" numFmtId="0" xfId="0" applyAlignment="1" applyBorder="1" applyFont="1">
      <alignment horizontal="left"/>
    </xf>
    <xf borderId="1" fillId="5" fontId="8" numFmtId="0" xfId="0" applyAlignment="1" applyBorder="1" applyFont="1">
      <alignment horizontal="left"/>
    </xf>
    <xf borderId="1" fillId="5" fontId="8" numFmtId="0" xfId="0" applyAlignment="1" applyBorder="1" applyFont="1">
      <alignment horizontal="center"/>
    </xf>
    <xf borderId="1" fillId="5" fontId="9" numFmtId="0" xfId="0" applyAlignment="1" applyBorder="1" applyFont="1">
      <alignment horizontal="center"/>
    </xf>
    <xf borderId="1" fillId="5" fontId="9" numFmtId="0" xfId="0" applyBorder="1" applyFont="1"/>
    <xf borderId="1" fillId="5" fontId="3" numFmtId="0" xfId="0" applyBorder="1" applyFont="1"/>
    <xf borderId="0" fillId="2" fontId="10" numFmtId="0" xfId="0" applyAlignment="1" applyFont="1">
      <alignment horizontal="left" readingOrder="0" vertical="center"/>
    </xf>
    <xf borderId="0" fillId="2" fontId="10" numFmtId="0" xfId="0" applyAlignment="1" applyFont="1">
      <alignment horizontal="center"/>
    </xf>
    <xf borderId="2" fillId="2" fontId="10" numFmtId="0" xfId="0" applyAlignment="1" applyBorder="1" applyFont="1">
      <alignment horizontal="left" vertical="center"/>
    </xf>
    <xf borderId="2" fillId="0" fontId="11" numFmtId="0" xfId="0" applyBorder="1" applyFont="1"/>
    <xf borderId="0" fillId="2" fontId="9" numFmtId="0" xfId="0" applyAlignment="1" applyFont="1">
      <alignment horizontal="center"/>
    </xf>
    <xf borderId="0" fillId="2" fontId="8" numFmtId="0" xfId="0" applyAlignment="1" applyFont="1">
      <alignment horizontal="center"/>
    </xf>
    <xf borderId="0" fillId="2" fontId="12" numFmtId="0" xfId="0" applyAlignment="1" applyFont="1">
      <alignment vertical="bottom"/>
    </xf>
    <xf borderId="0" fillId="0" fontId="12" numFmtId="0" xfId="0" applyAlignment="1" applyFont="1">
      <alignment horizontal="right"/>
    </xf>
    <xf borderId="0" fillId="2" fontId="13" numFmtId="0" xfId="0" applyAlignment="1" applyFont="1">
      <alignment horizontal="center" vertical="center"/>
    </xf>
    <xf borderId="0" fillId="0" fontId="13" numFmtId="0" xfId="0" applyAlignment="1" applyFont="1">
      <alignment horizontal="center" vertical="center"/>
    </xf>
    <xf borderId="0" fillId="0" fontId="12" numFmtId="0" xfId="0" applyAlignment="1" applyFont="1">
      <alignment horizontal="center"/>
    </xf>
    <xf borderId="0" fillId="0" fontId="14" numFmtId="0" xfId="0" applyAlignment="1" applyFont="1">
      <alignment horizontal="left"/>
    </xf>
    <xf borderId="0" fillId="0" fontId="15" numFmtId="0" xfId="0" applyAlignment="1" applyFont="1">
      <alignment horizontal="left" shrinkToFit="0" vertical="bottom" wrapText="1"/>
    </xf>
    <xf borderId="0" fillId="0" fontId="5" numFmtId="0" xfId="0" applyAlignment="1" applyFont="1">
      <alignment horizontal="center"/>
    </xf>
    <xf borderId="0" fillId="0" fontId="16" numFmtId="0" xfId="0" applyAlignment="1" applyFont="1">
      <alignment horizontal="center"/>
    </xf>
    <xf borderId="0" fillId="0" fontId="17" numFmtId="0" xfId="0" applyAlignment="1" applyFont="1">
      <alignment vertical="bottom"/>
    </xf>
    <xf borderId="0" fillId="6" fontId="18" numFmtId="0" xfId="0" applyAlignment="1" applyFill="1" applyFont="1">
      <alignment horizontal="left" readingOrder="0" vertical="center"/>
    </xf>
    <xf borderId="0" fillId="7" fontId="18" numFmtId="0" xfId="0" applyAlignment="1" applyFill="1" applyFont="1">
      <alignment horizontal="center"/>
    </xf>
    <xf borderId="3" fillId="6" fontId="18" numFmtId="0" xfId="0" applyAlignment="1" applyBorder="1" applyFont="1">
      <alignment horizontal="left" readingOrder="0"/>
    </xf>
    <xf borderId="4" fillId="6" fontId="15" numFmtId="0" xfId="0" applyAlignment="1" applyBorder="1" applyFont="1">
      <alignment horizontal="left" shrinkToFit="0" vertical="bottom" wrapText="1"/>
    </xf>
    <xf borderId="5" fillId="6" fontId="15" numFmtId="164" xfId="0" applyAlignment="1" applyBorder="1" applyFont="1" applyNumberFormat="1">
      <alignment horizontal="left" readingOrder="0" shrinkToFit="0" vertical="top" wrapText="1"/>
    </xf>
    <xf borderId="6" fillId="0" fontId="11" numFmtId="0" xfId="0" applyBorder="1" applyFont="1"/>
    <xf borderId="0" fillId="6" fontId="15" numFmtId="0" xfId="0" applyAlignment="1" applyFont="1">
      <alignment horizontal="center"/>
    </xf>
    <xf borderId="0" fillId="6" fontId="17" numFmtId="0" xfId="0" applyAlignment="1" applyFont="1">
      <alignment horizontal="center"/>
    </xf>
    <xf borderId="0" fillId="6" fontId="19" numFmtId="0" xfId="0" applyAlignment="1" applyFont="1">
      <alignment horizontal="center"/>
    </xf>
    <xf borderId="0" fillId="6" fontId="18" numFmtId="0" xfId="0" applyAlignment="1" applyFont="1">
      <alignment shrinkToFit="0" vertical="top" wrapText="1"/>
    </xf>
    <xf borderId="0" fillId="6" fontId="5" numFmtId="0" xfId="0" applyFont="1"/>
    <xf borderId="0" fillId="8" fontId="18" numFmtId="0" xfId="0" applyAlignment="1" applyFill="1" applyFont="1">
      <alignment horizontal="center"/>
    </xf>
    <xf borderId="5" fillId="6" fontId="15" numFmtId="0" xfId="0" applyAlignment="1" applyBorder="1" applyFont="1">
      <alignment horizontal="left" shrinkToFit="0" vertical="top" wrapText="1"/>
    </xf>
    <xf borderId="7" fillId="0" fontId="11" numFmtId="0" xfId="0" applyBorder="1" applyFont="1"/>
    <xf borderId="0" fillId="6" fontId="20" numFmtId="0" xfId="0" applyAlignment="1" applyFont="1">
      <alignment horizontal="center" vertical="center"/>
    </xf>
    <xf borderId="0" fillId="2" fontId="18" numFmtId="0" xfId="0" applyAlignment="1" applyFont="1">
      <alignment horizontal="center"/>
    </xf>
    <xf borderId="0" fillId="0" fontId="18" numFmtId="0" xfId="0" applyFont="1"/>
    <xf borderId="0" fillId="6" fontId="21" numFmtId="0" xfId="0" applyFont="1"/>
    <xf borderId="0" fillId="6" fontId="17" numFmtId="0" xfId="0" applyFont="1"/>
    <xf borderId="0" fillId="0" fontId="22" numFmtId="0" xfId="0" applyAlignment="1" applyFont="1">
      <alignment horizontal="right"/>
    </xf>
    <xf borderId="0" fillId="2" fontId="23" numFmtId="0" xfId="0" applyAlignment="1" applyFont="1">
      <alignment horizontal="center" vertical="center"/>
    </xf>
    <xf borderId="0" fillId="6" fontId="24" numFmtId="0" xfId="0" applyAlignment="1" applyFont="1">
      <alignment horizontal="center" vertical="center"/>
    </xf>
    <xf borderId="0" fillId="9" fontId="15" numFmtId="0" xfId="0" applyAlignment="1" applyFill="1" applyFont="1">
      <alignment horizontal="center"/>
    </xf>
    <xf borderId="0" fillId="6" fontId="25" numFmtId="0" xfId="0" applyAlignment="1" applyFont="1">
      <alignment horizontal="left"/>
    </xf>
    <xf borderId="0" fillId="6" fontId="17" numFmtId="0" xfId="0" applyAlignment="1" applyFont="1">
      <alignment horizontal="left"/>
    </xf>
    <xf borderId="0" fillId="0" fontId="3" numFmtId="0" xfId="0" applyAlignment="1" applyFont="1">
      <alignment horizontal="left"/>
    </xf>
    <xf borderId="0" fillId="0" fontId="9" numFmtId="0" xfId="0" applyAlignment="1" applyFont="1">
      <alignment vertical="bottom"/>
    </xf>
    <xf borderId="0" fillId="2" fontId="2" numFmtId="0" xfId="0" applyAlignment="1" applyFont="1">
      <alignment horizontal="center" vertical="bottom"/>
    </xf>
    <xf borderId="0" fillId="2" fontId="9" numFmtId="0" xfId="0" applyAlignment="1" applyFont="1">
      <alignment vertical="bottom"/>
    </xf>
    <xf borderId="8" fillId="2" fontId="26" numFmtId="0" xfId="0" applyAlignment="1" applyBorder="1" applyFont="1">
      <alignment horizontal="left" vertical="bottom"/>
    </xf>
    <xf borderId="0" fillId="2" fontId="26" numFmtId="0" xfId="0" applyAlignment="1" applyFont="1">
      <alignment horizontal="left" shrinkToFit="0" vertical="bottom" wrapText="1"/>
    </xf>
    <xf borderId="4" fillId="2" fontId="15" numFmtId="0" xfId="0" applyAlignment="1" applyBorder="1" applyFont="1">
      <alignment horizontal="left" shrinkToFit="0" vertical="bottom" wrapText="1"/>
    </xf>
    <xf borderId="4" fillId="2" fontId="26" numFmtId="0" xfId="0" applyAlignment="1" applyBorder="1" applyFont="1">
      <alignment horizontal="left" shrinkToFit="0" vertical="bottom" wrapText="1"/>
    </xf>
    <xf borderId="4" fillId="0" fontId="11" numFmtId="0" xfId="0" applyBorder="1" applyFont="1"/>
    <xf borderId="0" fillId="2" fontId="9" numFmtId="0" xfId="0" applyAlignment="1" applyFont="1">
      <alignment horizontal="center" shrinkToFit="0" vertical="bottom" wrapText="1"/>
    </xf>
    <xf borderId="0" fillId="2" fontId="15" numFmtId="0" xfId="0" applyAlignment="1" applyFont="1">
      <alignment horizontal="center" vertical="bottom"/>
    </xf>
    <xf borderId="0" fillId="2" fontId="21" numFmtId="0" xfId="0" applyAlignment="1" applyFont="1">
      <alignment horizontal="center" vertical="bottom"/>
    </xf>
    <xf borderId="9" fillId="2" fontId="9" numFmtId="0" xfId="0" applyAlignment="1" applyBorder="1" applyFont="1">
      <alignment vertical="bottom"/>
    </xf>
    <xf borderId="0" fillId="2" fontId="3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9" numFmtId="0" xfId="0" applyFont="1"/>
    <xf borderId="0" fillId="2" fontId="9" numFmtId="0" xfId="0" applyFont="1"/>
    <xf borderId="4" fillId="2" fontId="10" numFmtId="0" xfId="0" applyAlignment="1" applyBorder="1" applyFont="1">
      <alignment horizontal="left" shrinkToFit="0" vertical="center" wrapText="1"/>
    </xf>
    <xf borderId="0" fillId="2" fontId="9" numFmtId="0" xfId="0" applyAlignment="1" applyFont="1">
      <alignment horizontal="center" shrinkToFit="0" wrapText="1"/>
    </xf>
    <xf borderId="10" fillId="2" fontId="3" numFmtId="0" xfId="0" applyAlignment="1" applyBorder="1" applyFont="1">
      <alignment horizontal="center"/>
    </xf>
    <xf borderId="9" fillId="2" fontId="4" numFmtId="0" xfId="0" applyAlignment="1" applyBorder="1" applyFont="1">
      <alignment horizontal="center"/>
    </xf>
    <xf borderId="11" fillId="2" fontId="10" numFmtId="0" xfId="0" applyAlignment="1" applyBorder="1" applyFont="1">
      <alignment horizontal="center"/>
    </xf>
    <xf borderId="0" fillId="0" fontId="10" numFmtId="0" xfId="0" applyAlignment="1" applyFont="1">
      <alignment horizontal="center" shrinkToFit="0" vertical="top" wrapText="1"/>
    </xf>
    <xf borderId="0" fillId="0" fontId="10" numFmtId="0" xfId="0" applyAlignment="1" applyFont="1">
      <alignment horizontal="left" shrinkToFit="0" vertical="top" wrapText="1"/>
    </xf>
    <xf borderId="0" fillId="0" fontId="26" numFmtId="0" xfId="0" applyAlignment="1" applyFont="1">
      <alignment horizontal="center" textRotation="180"/>
    </xf>
    <xf borderId="0" fillId="0" fontId="26" numFmtId="0" xfId="0" applyAlignment="1" applyFont="1">
      <alignment horizontal="center"/>
    </xf>
    <xf borderId="0" fillId="0" fontId="26" numFmtId="0" xfId="0" applyAlignment="1" applyFont="1">
      <alignment horizontal="left"/>
    </xf>
    <xf borderId="0" fillId="0" fontId="9" numFmtId="0" xfId="0" applyAlignment="1" applyFont="1">
      <alignment horizontal="center"/>
    </xf>
    <xf borderId="0" fillId="0" fontId="3" numFmtId="165" xfId="0" applyAlignment="1" applyFont="1" applyNumberFormat="1">
      <alignment horizontal="center"/>
    </xf>
    <xf borderId="0" fillId="10" fontId="27" numFmtId="0" xfId="0" applyAlignment="1" applyFill="1" applyFont="1">
      <alignment horizontal="left" readingOrder="0" shrinkToFit="0" vertical="top" wrapText="1"/>
    </xf>
    <xf borderId="12" fillId="10" fontId="8" numFmtId="0" xfId="0" applyAlignment="1" applyBorder="1" applyFont="1">
      <alignment horizontal="left" readingOrder="0" shrinkToFit="0" vertical="top" wrapText="1"/>
    </xf>
    <xf borderId="0" fillId="10" fontId="10" numFmtId="0" xfId="0" applyAlignment="1" applyFont="1">
      <alignment horizontal="center"/>
    </xf>
    <xf borderId="0" fillId="10" fontId="10" numFmtId="0" xfId="0" applyAlignment="1" applyFont="1">
      <alignment horizontal="center" textRotation="180"/>
    </xf>
    <xf borderId="0" fillId="10" fontId="15" numFmtId="0" xfId="0" applyAlignment="1" applyFont="1">
      <alignment horizontal="left" shrinkToFit="0" vertical="bottom" wrapText="1"/>
    </xf>
    <xf borderId="0" fillId="10" fontId="15" numFmtId="0" xfId="0" applyAlignment="1" applyFont="1">
      <alignment horizontal="center" shrinkToFit="0" wrapText="1"/>
    </xf>
    <xf borderId="0" fillId="6" fontId="28" numFmtId="0" xfId="0" applyAlignment="1" applyFont="1">
      <alignment horizontal="center" shrinkToFit="0" wrapText="1"/>
    </xf>
    <xf borderId="0" fillId="6" fontId="15" numFmtId="0" xfId="0" applyAlignment="1" applyFont="1">
      <alignment horizontal="center" shrinkToFit="0" wrapText="1"/>
    </xf>
    <xf borderId="10" fillId="6" fontId="15" numFmtId="0" xfId="0" applyAlignment="1" applyBorder="1" applyFont="1">
      <alignment horizontal="center"/>
    </xf>
    <xf borderId="0" fillId="6" fontId="4" numFmtId="0" xfId="0" applyAlignment="1" applyFont="1">
      <alignment horizontal="center" shrinkToFit="0" wrapText="1"/>
    </xf>
    <xf borderId="0" fillId="10" fontId="3" numFmtId="0" xfId="0" applyAlignment="1" applyFont="1">
      <alignment horizontal="right" readingOrder="0" shrinkToFit="0" vertical="top" wrapText="1"/>
    </xf>
    <xf borderId="0" fillId="6" fontId="3" numFmtId="0" xfId="0" applyFont="1"/>
    <xf borderId="9" fillId="10" fontId="8" numFmtId="0" xfId="0" applyAlignment="1" applyBorder="1" applyFont="1">
      <alignment horizontal="left" readingOrder="0" shrinkToFit="0" vertical="top" wrapText="1"/>
    </xf>
    <xf borderId="11" fillId="10" fontId="8" numFmtId="0" xfId="0" applyAlignment="1" applyBorder="1" applyFont="1">
      <alignment horizontal="left" readingOrder="0" shrinkToFit="0" vertical="top" wrapText="1"/>
    </xf>
    <xf borderId="0" fillId="10" fontId="10" numFmtId="0" xfId="0" applyAlignment="1" applyFont="1">
      <alignment horizontal="left"/>
    </xf>
    <xf borderId="0" fillId="0" fontId="21" numFmtId="0" xfId="0" applyAlignment="1" applyFont="1">
      <alignment horizontal="left" shrinkToFit="0" vertical="center" wrapText="1"/>
    </xf>
    <xf borderId="0" fillId="0" fontId="8" numFmtId="0" xfId="0" applyAlignment="1" applyFont="1">
      <alignment horizontal="left"/>
    </xf>
    <xf borderId="0" fillId="0" fontId="29" numFmtId="0" xfId="0" applyAlignment="1" applyFont="1">
      <alignment horizontal="center"/>
    </xf>
    <xf borderId="0" fillId="0" fontId="15" numFmtId="0" xfId="0" applyAlignment="1" applyFont="1">
      <alignment horizontal="center"/>
    </xf>
    <xf borderId="0" fillId="0" fontId="9" numFmtId="0" xfId="0" applyAlignment="1" applyFont="1">
      <alignment readingOrder="0" shrinkToFit="0" vertical="top" wrapText="1"/>
    </xf>
    <xf borderId="0" fillId="0" fontId="10" numFmtId="0" xfId="0" applyFont="1"/>
    <xf borderId="9" fillId="6" fontId="9" numFmtId="0" xfId="0" applyAlignment="1" applyBorder="1" applyFont="1">
      <alignment readingOrder="0" vertical="top"/>
    </xf>
    <xf borderId="9" fillId="10" fontId="28" numFmtId="0" xfId="0" applyAlignment="1" applyBorder="1" applyFont="1">
      <alignment horizontal="left" vertical="center"/>
    </xf>
    <xf borderId="9" fillId="10" fontId="9" numFmtId="0" xfId="0" applyAlignment="1" applyBorder="1" applyFont="1">
      <alignment horizontal="center" readingOrder="0"/>
    </xf>
    <xf borderId="8" fillId="10" fontId="9" numFmtId="166" xfId="0" applyAlignment="1" applyBorder="1" applyFont="1" applyNumberFormat="1">
      <alignment horizontal="center" readingOrder="0"/>
    </xf>
    <xf borderId="0" fillId="10" fontId="9" numFmtId="0" xfId="0" applyAlignment="1" applyFont="1">
      <alignment horizontal="center"/>
    </xf>
    <xf borderId="3" fillId="5" fontId="9" numFmtId="0" xfId="0" applyAlignment="1" applyBorder="1" applyFont="1">
      <alignment horizontal="center" readingOrder="0"/>
    </xf>
    <xf borderId="0" fillId="10" fontId="9" numFmtId="166" xfId="0" applyAlignment="1" applyFont="1" applyNumberFormat="1">
      <alignment horizontal="left" readingOrder="0"/>
    </xf>
    <xf borderId="0" fillId="10" fontId="4" numFmtId="0" xfId="0" applyAlignment="1" applyFont="1">
      <alignment horizontal="left" vertical="center"/>
    </xf>
    <xf borderId="3" fillId="5" fontId="9" numFmtId="165" xfId="0" applyAlignment="1" applyBorder="1" applyFont="1" applyNumberFormat="1">
      <alignment horizontal="center" readingOrder="0"/>
    </xf>
    <xf borderId="0" fillId="6" fontId="30" numFmtId="0" xfId="0" applyAlignment="1" applyFont="1">
      <alignment horizontal="center"/>
    </xf>
    <xf borderId="0" fillId="6" fontId="31" numFmtId="0" xfId="0" applyAlignment="1" applyFont="1">
      <alignment horizontal="center"/>
    </xf>
    <xf borderId="0" fillId="6" fontId="32" numFmtId="0" xfId="0" applyAlignment="1" applyFont="1">
      <alignment horizontal="center"/>
    </xf>
    <xf borderId="0" fillId="0" fontId="22" numFmtId="0" xfId="0" applyFont="1"/>
    <xf borderId="9" fillId="5" fontId="9" numFmtId="0" xfId="0" applyAlignment="1" applyBorder="1" applyFont="1">
      <alignment vertical="top"/>
    </xf>
    <xf borderId="0" fillId="0" fontId="28" numFmtId="0" xfId="0" applyAlignment="1" applyFont="1">
      <alignment horizontal="left" vertical="center"/>
    </xf>
    <xf borderId="0" fillId="0" fontId="33" numFmtId="0" xfId="0" applyAlignment="1" applyFont="1">
      <alignment horizontal="center"/>
    </xf>
    <xf borderId="0" fillId="0" fontId="33" numFmtId="0" xfId="0" applyAlignment="1" applyFont="1">
      <alignment horizontal="left"/>
    </xf>
    <xf borderId="0" fillId="0" fontId="4" numFmtId="165" xfId="0" applyAlignment="1" applyFont="1" applyNumberFormat="1">
      <alignment horizontal="left" vertical="center"/>
    </xf>
    <xf borderId="0" fillId="0" fontId="9" numFmtId="165" xfId="0" applyAlignment="1" applyFont="1" applyNumberFormat="1">
      <alignment horizontal="center"/>
    </xf>
    <xf borderId="0" fillId="0" fontId="30" numFmtId="0" xfId="0" applyAlignment="1" applyFont="1">
      <alignment horizontal="center"/>
    </xf>
    <xf borderId="0" fillId="0" fontId="31" numFmtId="0" xfId="0" applyAlignment="1" applyFont="1">
      <alignment horizontal="center"/>
    </xf>
    <xf borderId="0" fillId="0" fontId="32" numFmtId="0" xfId="0" applyAlignment="1" applyFont="1">
      <alignment horizontal="center"/>
    </xf>
    <xf borderId="0" fillId="6" fontId="24" numFmtId="0" xfId="0" applyFont="1"/>
    <xf borderId="0" fillId="0" fontId="24" numFmtId="0" xfId="0" applyFont="1"/>
    <xf borderId="0" fillId="0" fontId="34" numFmtId="0" xfId="0" applyAlignment="1" applyFont="1">
      <alignment horizontal="center" shrinkToFit="0" wrapText="1"/>
    </xf>
    <xf borderId="0" fillId="2" fontId="2" numFmtId="0" xfId="0" applyAlignment="1" applyFont="1">
      <alignment horizontal="center" shrinkToFit="0" vertical="center" wrapText="1"/>
    </xf>
    <xf borderId="0" fillId="10" fontId="9" numFmtId="0" xfId="0" applyAlignment="1" applyFont="1">
      <alignment horizontal="left" readingOrder="0"/>
    </xf>
    <xf borderId="0" fillId="5" fontId="34" numFmtId="0" xfId="0" applyAlignment="1" applyFont="1">
      <alignment horizontal="center" shrinkToFit="0" wrapText="1"/>
    </xf>
    <xf borderId="9" fillId="5" fontId="34" numFmtId="0" xfId="0" applyAlignment="1" applyBorder="1" applyFont="1">
      <alignment horizontal="center" shrinkToFit="0" wrapText="1"/>
    </xf>
    <xf borderId="9" fillId="5" fontId="28" numFmtId="0" xfId="0" applyAlignment="1" applyBorder="1" applyFont="1">
      <alignment horizontal="left" vertical="center"/>
    </xf>
    <xf borderId="11" fillId="5" fontId="9" numFmtId="0" xfId="0" applyAlignment="1" applyBorder="1" applyFont="1">
      <alignment horizontal="center"/>
    </xf>
    <xf borderId="0" fillId="0" fontId="9" numFmtId="0" xfId="0" applyAlignment="1" applyFont="1">
      <alignment horizontal="left"/>
    </xf>
    <xf borderId="9" fillId="6" fontId="3" numFmtId="0" xfId="0" applyBorder="1" applyFont="1"/>
    <xf borderId="9" fillId="5" fontId="3" numFmtId="0" xfId="0" applyBorder="1" applyFont="1"/>
    <xf borderId="9" fillId="10" fontId="9" numFmtId="0" xfId="0" applyAlignment="1" applyBorder="1" applyFont="1">
      <alignment readingOrder="0" vertical="top"/>
    </xf>
    <xf borderId="9" fillId="10" fontId="28" numFmtId="0" xfId="0" applyAlignment="1" applyBorder="1" applyFont="1">
      <alignment horizontal="left" readingOrder="0" vertical="center"/>
    </xf>
    <xf borderId="13" fillId="10" fontId="9" numFmtId="0" xfId="0" applyAlignment="1" applyBorder="1" applyFont="1">
      <alignment horizontal="center" readingOrder="0"/>
    </xf>
    <xf borderId="0" fillId="0" fontId="35" numFmtId="0" xfId="0" applyAlignment="1" applyFont="1">
      <alignment horizontal="center" shrinkToFit="0" wrapText="1"/>
    </xf>
    <xf borderId="0" fillId="2" fontId="23" numFmtId="0" xfId="0" applyAlignment="1" applyFont="1">
      <alignment horizontal="center" shrinkToFit="0" vertical="center" wrapText="1"/>
    </xf>
    <xf borderId="3" fillId="5" fontId="9" numFmtId="0" xfId="0" applyAlignment="1" applyBorder="1" applyFont="1">
      <alignment horizontal="center"/>
    </xf>
    <xf borderId="0" fillId="10" fontId="9" numFmtId="9" xfId="0" applyAlignment="1" applyFont="1" applyNumberFormat="1">
      <alignment horizontal="left" readingOrder="0"/>
    </xf>
    <xf borderId="9" fillId="10" fontId="9" numFmtId="0" xfId="0" applyAlignment="1" applyBorder="1" applyFont="1">
      <alignment horizontal="left" readingOrder="0" vertical="top"/>
    </xf>
    <xf borderId="9" fillId="10" fontId="28" numFmtId="0" xfId="0" applyAlignment="1" applyBorder="1" applyFont="1">
      <alignment horizontal="left" readingOrder="0" vertical="top"/>
    </xf>
    <xf borderId="0" fillId="0" fontId="33" numFmtId="0" xfId="0" applyFont="1"/>
    <xf borderId="13" fillId="10" fontId="9" numFmtId="166" xfId="0" applyAlignment="1" applyBorder="1" applyFont="1" applyNumberFormat="1">
      <alignment horizontal="center" readingOrder="0"/>
    </xf>
    <xf borderId="0" fillId="10" fontId="4" numFmtId="0" xfId="0" applyAlignment="1" applyFont="1">
      <alignment horizontal="left" readingOrder="0" vertical="center"/>
    </xf>
    <xf borderId="0" fillId="5" fontId="17" numFmtId="0" xfId="0" applyAlignment="1" applyFont="1">
      <alignment vertical="top"/>
    </xf>
    <xf borderId="0" fillId="0" fontId="36" numFmtId="0" xfId="0" applyAlignment="1" applyFont="1">
      <alignment horizontal="left" vertical="center"/>
    </xf>
    <xf borderId="0" fillId="0" fontId="17" numFmtId="0" xfId="0" applyAlignment="1" applyFont="1">
      <alignment horizontal="center" vertical="bottom"/>
    </xf>
    <xf borderId="0" fillId="0" fontId="17" numFmtId="0" xfId="0" applyAlignment="1" applyFont="1">
      <alignment horizontal="left" vertical="bottom"/>
    </xf>
    <xf borderId="0" fillId="10" fontId="31" numFmtId="0" xfId="0" applyAlignment="1" applyFont="1">
      <alignment readingOrder="0" vertical="top"/>
    </xf>
    <xf borderId="0" fillId="10" fontId="36" numFmtId="0" xfId="0" applyAlignment="1" applyFont="1">
      <alignment horizontal="left" vertical="center"/>
    </xf>
    <xf borderId="0" fillId="10" fontId="31" numFmtId="0" xfId="0" applyAlignment="1" applyFont="1">
      <alignment horizontal="center" readingOrder="0" vertical="bottom"/>
    </xf>
    <xf borderId="12" fillId="10" fontId="9" numFmtId="0" xfId="0" applyAlignment="1" applyBorder="1" applyFont="1">
      <alignment horizontal="center" readingOrder="0"/>
    </xf>
    <xf borderId="0" fillId="10" fontId="17" numFmtId="0" xfId="0" applyAlignment="1" applyFont="1">
      <alignment horizontal="center" vertical="bottom"/>
    </xf>
    <xf borderId="3" fillId="5" fontId="31" numFmtId="0" xfId="0" applyAlignment="1" applyBorder="1" applyFont="1">
      <alignment horizontal="center" vertical="bottom"/>
    </xf>
    <xf borderId="0" fillId="10" fontId="31" numFmtId="0" xfId="0" applyAlignment="1" applyFont="1">
      <alignment horizontal="left" readingOrder="0" vertical="bottom"/>
    </xf>
    <xf borderId="0" fillId="10" fontId="3" numFmtId="0" xfId="0" applyAlignment="1" applyFont="1">
      <alignment horizontal="left" vertical="center"/>
    </xf>
    <xf borderId="3" fillId="5" fontId="9" numFmtId="165" xfId="0" applyAlignment="1" applyBorder="1" applyFont="1" applyNumberFormat="1">
      <alignment horizontal="center"/>
    </xf>
    <xf borderId="0" fillId="0" fontId="29" numFmtId="0" xfId="0" applyAlignment="1" applyFont="1">
      <alignment horizontal="left" vertical="top"/>
    </xf>
    <xf borderId="9" fillId="10" fontId="9" numFmtId="0" xfId="0" applyAlignment="1" applyBorder="1" applyFont="1">
      <alignment vertical="top"/>
    </xf>
    <xf borderId="9" fillId="10" fontId="29" numFmtId="0" xfId="0" applyAlignment="1" applyBorder="1" applyFont="1">
      <alignment horizontal="left"/>
    </xf>
    <xf borderId="9" fillId="10" fontId="9" numFmtId="0" xfId="0" applyAlignment="1" applyBorder="1" applyFont="1">
      <alignment horizontal="center"/>
    </xf>
    <xf borderId="11" fillId="10" fontId="9" numFmtId="16" xfId="0" applyAlignment="1" applyBorder="1" applyFont="1" applyNumberFormat="1">
      <alignment horizontal="center"/>
    </xf>
    <xf borderId="0" fillId="10" fontId="9" numFmtId="0" xfId="0" applyAlignment="1" applyFont="1">
      <alignment horizontal="left"/>
    </xf>
    <xf borderId="0" fillId="6" fontId="3" numFmtId="165" xfId="0" applyAlignment="1" applyFont="1" applyNumberFormat="1">
      <alignment horizontal="center"/>
    </xf>
    <xf borderId="0" fillId="5" fontId="9" numFmtId="0" xfId="0" applyFont="1"/>
    <xf borderId="9" fillId="5" fontId="9" numFmtId="0" xfId="0" applyBorder="1" applyFont="1"/>
    <xf borderId="9" fillId="5" fontId="29" numFmtId="0" xfId="0" applyAlignment="1" applyBorder="1" applyFont="1">
      <alignment horizontal="left"/>
    </xf>
    <xf borderId="9" fillId="5" fontId="9" numFmtId="0" xfId="0" applyAlignment="1" applyBorder="1" applyFont="1">
      <alignment horizontal="center"/>
    </xf>
    <xf borderId="11" fillId="10" fontId="9" numFmtId="0" xfId="0" applyAlignment="1" applyBorder="1" applyFont="1">
      <alignment horizontal="center"/>
    </xf>
    <xf borderId="14" fillId="5" fontId="9" numFmtId="0" xfId="0" applyAlignment="1" applyBorder="1" applyFont="1">
      <alignment vertical="top"/>
    </xf>
    <xf borderId="0" fillId="10" fontId="9" numFmtId="0" xfId="0" applyAlignment="1" applyFont="1">
      <alignment vertical="top"/>
    </xf>
    <xf borderId="0" fillId="10" fontId="29" numFmtId="0" xfId="0" applyAlignment="1" applyFont="1">
      <alignment horizontal="left"/>
    </xf>
    <xf borderId="10" fillId="10" fontId="9" numFmtId="0" xfId="0" applyAlignment="1" applyBorder="1" applyFont="1">
      <alignment horizontal="center"/>
    </xf>
    <xf borderId="0" fillId="0" fontId="3" numFmtId="0" xfId="0" applyAlignment="1" applyFont="1">
      <alignment horizontal="left" shrinkToFit="0" vertical="top" wrapText="1"/>
    </xf>
    <xf borderId="0" fillId="0" fontId="2" numFmtId="0" xfId="0" applyAlignment="1" applyFont="1">
      <alignment horizontal="center" shrinkToFit="0" vertical="top" wrapText="1"/>
    </xf>
    <xf borderId="0" fillId="10" fontId="10" numFmtId="0" xfId="0" applyAlignment="1" applyFont="1">
      <alignment horizontal="left" shrinkToFit="0" vertical="top" wrapText="1"/>
    </xf>
    <xf borderId="9" fillId="5" fontId="8" numFmtId="0" xfId="0" applyAlignment="1" applyBorder="1" applyFont="1">
      <alignment horizontal="left" shrinkToFit="0" vertical="top" wrapText="1"/>
    </xf>
    <xf borderId="1" fillId="5" fontId="8" numFmtId="0" xfId="0" applyAlignment="1" applyBorder="1" applyFont="1">
      <alignment horizontal="left" shrinkToFit="0" vertical="top" wrapText="1"/>
    </xf>
    <xf borderId="1" fillId="5" fontId="26" numFmtId="0" xfId="0" applyAlignment="1" applyBorder="1" applyFont="1">
      <alignment horizontal="center" textRotation="180"/>
    </xf>
    <xf borderId="12" fillId="5" fontId="26" numFmtId="0" xfId="0" applyAlignment="1" applyBorder="1" applyFont="1">
      <alignment horizontal="center" textRotation="180"/>
    </xf>
    <xf borderId="0" fillId="5" fontId="26" numFmtId="0" xfId="0" applyAlignment="1" applyFont="1">
      <alignment horizontal="center"/>
    </xf>
    <xf borderId="0" fillId="5" fontId="26" numFmtId="0" xfId="0" applyAlignment="1" applyFont="1">
      <alignment horizontal="left"/>
    </xf>
    <xf borderId="0" fillId="5" fontId="3" numFmtId="0" xfId="0" applyFont="1"/>
    <xf borderId="0" fillId="5" fontId="9" numFmtId="0" xfId="0" applyAlignment="1" applyFont="1">
      <alignment horizontal="center"/>
    </xf>
    <xf borderId="0" fillId="5" fontId="30" numFmtId="0" xfId="0" applyAlignment="1" applyFont="1">
      <alignment horizontal="center"/>
    </xf>
    <xf borderId="14" fillId="5" fontId="9" numFmtId="0" xfId="0" applyAlignment="1" applyBorder="1" applyFont="1">
      <alignment readingOrder="0" shrinkToFit="0" vertical="top" wrapText="1"/>
    </xf>
    <xf borderId="0" fillId="6" fontId="4" numFmtId="165" xfId="0" applyAlignment="1" applyFont="1" applyNumberFormat="1">
      <alignment horizontal="left"/>
    </xf>
    <xf borderId="15" fillId="0" fontId="11" numFmtId="0" xfId="0" applyBorder="1" applyFont="1"/>
    <xf borderId="0" fillId="0" fontId="28" numFmtId="0" xfId="0" applyAlignment="1" applyFont="1">
      <alignment horizontal="left" vertical="top"/>
    </xf>
    <xf borderId="0" fillId="5" fontId="9" numFmtId="0" xfId="0" applyAlignment="1" applyFont="1">
      <alignment horizontal="left"/>
    </xf>
    <xf borderId="0" fillId="5" fontId="4" numFmtId="165" xfId="0" applyAlignment="1" applyFont="1" applyNumberFormat="1">
      <alignment horizontal="left"/>
    </xf>
    <xf borderId="0" fillId="5" fontId="9" numFmtId="165" xfId="0" applyAlignment="1" applyFont="1" applyNumberFormat="1">
      <alignment horizontal="center"/>
    </xf>
    <xf borderId="0" fillId="6" fontId="4" numFmtId="165" xfId="0" applyAlignment="1" applyFont="1" applyNumberFormat="1">
      <alignment horizontal="left" readingOrder="0"/>
    </xf>
    <xf borderId="9" fillId="10" fontId="28" numFmtId="0" xfId="0" applyAlignment="1" applyBorder="1" applyFont="1">
      <alignment horizontal="left" vertical="top"/>
    </xf>
    <xf borderId="9" fillId="10" fontId="9" numFmtId="166" xfId="0" applyAlignment="1" applyBorder="1" applyFont="1" applyNumberFormat="1">
      <alignment horizontal="center" readingOrder="0"/>
    </xf>
    <xf borderId="0" fillId="5" fontId="3" numFmtId="165" xfId="0" applyAlignment="1" applyFont="1" applyNumberFormat="1">
      <alignment horizontal="center"/>
    </xf>
    <xf borderId="9" fillId="5" fontId="29" numFmtId="0" xfId="0" applyAlignment="1" applyBorder="1" applyFont="1">
      <alignment horizontal="left" vertical="top"/>
    </xf>
    <xf borderId="9" fillId="10" fontId="29" numFmtId="0" xfId="0" applyAlignment="1" applyBorder="1" applyFont="1">
      <alignment horizontal="left" vertical="top"/>
    </xf>
    <xf borderId="15" fillId="5" fontId="26" numFmtId="0" xfId="0" applyAlignment="1" applyBorder="1" applyFont="1">
      <alignment horizontal="center"/>
    </xf>
    <xf borderId="13" fillId="5" fontId="26" numFmtId="0" xfId="0" applyAlignment="1" applyBorder="1" applyFont="1">
      <alignment horizontal="left"/>
    </xf>
    <xf borderId="9" fillId="10" fontId="4" numFmtId="0" xfId="0" applyAlignment="1" applyBorder="1" applyFont="1">
      <alignment horizontal="left" vertical="top"/>
    </xf>
    <xf borderId="16" fillId="10" fontId="9" numFmtId="0" xfId="0" applyAlignment="1" applyBorder="1" applyFont="1">
      <alignment horizontal="left" readingOrder="0"/>
    </xf>
    <xf borderId="9" fillId="10" fontId="9" numFmtId="166" xfId="0" applyAlignment="1" applyBorder="1" applyFont="1" applyNumberFormat="1">
      <alignment horizontal="center"/>
    </xf>
    <xf borderId="0" fillId="10" fontId="9" numFmtId="9" xfId="0" applyAlignment="1" applyFont="1" applyNumberFormat="1">
      <alignment horizontal="left"/>
    </xf>
    <xf borderId="14" fillId="10" fontId="9" numFmtId="0" xfId="0" applyAlignment="1" applyBorder="1" applyFont="1">
      <alignment vertical="top"/>
    </xf>
    <xf borderId="14" fillId="10" fontId="29" numFmtId="0" xfId="0" applyAlignment="1" applyBorder="1" applyFont="1">
      <alignment horizontal="left"/>
    </xf>
    <xf borderId="11" fillId="5" fontId="9" numFmtId="0" xfId="0" applyBorder="1" applyFont="1"/>
    <xf borderId="0" fillId="5" fontId="9" numFmtId="0" xfId="0" applyAlignment="1" applyFont="1">
      <alignment vertical="top"/>
    </xf>
    <xf borderId="0" fillId="5" fontId="29" numFmtId="0" xfId="0" applyAlignment="1" applyFont="1">
      <alignment horizontal="left"/>
    </xf>
    <xf borderId="10" fillId="5" fontId="9" numFmtId="0" xfId="0" applyAlignment="1" applyBorder="1" applyFont="1">
      <alignment horizontal="center"/>
    </xf>
    <xf borderId="1" fillId="5" fontId="26" numFmtId="0" xfId="0" applyAlignment="1" applyBorder="1" applyFont="1">
      <alignment horizontal="left"/>
    </xf>
    <xf borderId="13" fillId="5" fontId="9" numFmtId="0" xfId="0" applyAlignment="1" applyBorder="1" applyFont="1">
      <alignment horizontal="center"/>
    </xf>
    <xf borderId="17" fillId="5" fontId="9" numFmtId="0" xfId="0" applyAlignment="1" applyBorder="1" applyFont="1">
      <alignment horizontal="left" readingOrder="0" shrinkToFit="0" vertical="top" wrapText="1"/>
    </xf>
    <xf borderId="8" fillId="10" fontId="9" numFmtId="0" xfId="0" applyAlignment="1" applyBorder="1" applyFont="1">
      <alignment horizontal="center" readingOrder="0"/>
    </xf>
    <xf borderId="0" fillId="6" fontId="4" numFmtId="0" xfId="0" applyAlignment="1" applyFont="1">
      <alignment horizontal="left"/>
    </xf>
    <xf borderId="18" fillId="0" fontId="11" numFmtId="0" xfId="0" applyBorder="1" applyFont="1"/>
    <xf borderId="0" fillId="5" fontId="4" numFmtId="0" xfId="0" applyAlignment="1" applyFont="1">
      <alignment horizontal="left"/>
    </xf>
    <xf borderId="0" fillId="6" fontId="4" numFmtId="0" xfId="0" applyAlignment="1" applyFont="1">
      <alignment horizontal="left" readingOrder="0"/>
    </xf>
    <xf borderId="0" fillId="0" fontId="4" numFmtId="0" xfId="0" applyAlignment="1" applyFont="1">
      <alignment horizontal="left" vertical="top"/>
    </xf>
    <xf borderId="9" fillId="10" fontId="4" numFmtId="0" xfId="0" applyAlignment="1" applyBorder="1" applyFont="1">
      <alignment horizontal="left" readingOrder="0" vertical="top"/>
    </xf>
    <xf borderId="3" fillId="0" fontId="9" numFmtId="0" xfId="0" applyAlignment="1" applyBorder="1" applyFont="1">
      <alignment horizontal="center"/>
    </xf>
    <xf borderId="16" fillId="10" fontId="9" numFmtId="0" xfId="0" applyAlignment="1" applyBorder="1" applyFont="1">
      <alignment horizontal="left"/>
    </xf>
    <xf borderId="0" fillId="5" fontId="3" numFmtId="0" xfId="0" applyAlignment="1" applyFont="1">
      <alignment horizontal="center"/>
    </xf>
    <xf borderId="0" fillId="10" fontId="29" numFmtId="0" xfId="0" applyAlignment="1" applyFont="1">
      <alignment horizontal="left" vertical="top"/>
    </xf>
    <xf borderId="0" fillId="6" fontId="3" numFmtId="0" xfId="0" applyAlignment="1" applyFont="1">
      <alignment horizontal="center"/>
    </xf>
    <xf borderId="0" fillId="0" fontId="9" numFmtId="0" xfId="0" applyAlignment="1" applyFont="1">
      <alignment horizontal="left" vertical="top"/>
    </xf>
    <xf borderId="0" fillId="0" fontId="3" numFmtId="0" xfId="0" applyAlignment="1" applyFont="1">
      <alignment shrinkToFit="0" vertical="top" wrapText="1"/>
    </xf>
    <xf borderId="1" fillId="10" fontId="10" numFmtId="0" xfId="0" applyAlignment="1" applyBorder="1" applyFont="1">
      <alignment horizontal="left" shrinkToFit="0" vertical="top" wrapText="1"/>
    </xf>
    <xf borderId="12" fillId="10" fontId="8" numFmtId="0" xfId="0" applyAlignment="1" applyBorder="1" applyFont="1">
      <alignment horizontal="left" shrinkToFit="0" vertical="top" wrapText="1"/>
    </xf>
    <xf borderId="0" fillId="10" fontId="3" numFmtId="0" xfId="0" applyAlignment="1" applyFont="1">
      <alignment horizontal="right" shrinkToFit="0" vertical="top" wrapText="1"/>
    </xf>
    <xf borderId="9" fillId="10" fontId="8" numFmtId="0" xfId="0" applyAlignment="1" applyBorder="1" applyFont="1">
      <alignment horizontal="left" shrinkToFit="0" vertical="top" wrapText="1"/>
    </xf>
    <xf borderId="11" fillId="10" fontId="8" numFmtId="0" xfId="0" applyAlignment="1" applyBorder="1" applyFont="1">
      <alignment horizontal="left" shrinkToFit="0" vertical="top" wrapText="1"/>
    </xf>
    <xf borderId="0" fillId="0" fontId="2" numFmtId="0" xfId="0" applyAlignment="1" applyFont="1">
      <alignment shrinkToFit="0" vertical="top" wrapText="1"/>
    </xf>
    <xf borderId="9" fillId="10" fontId="9" numFmtId="0" xfId="0" applyAlignment="1" applyBorder="1" applyFont="1">
      <alignment horizontal="left" vertical="top"/>
    </xf>
    <xf borderId="0" fillId="5" fontId="10" numFmtId="0" xfId="0" applyFont="1"/>
    <xf borderId="9" fillId="5" fontId="10" numFmtId="0" xfId="0" applyBorder="1" applyFont="1"/>
    <xf borderId="9" fillId="5" fontId="9" numFmtId="0" xfId="0" applyAlignment="1" applyBorder="1" applyFont="1">
      <alignment horizontal="left" vertical="top"/>
    </xf>
    <xf borderId="9" fillId="10" fontId="8" numFmtId="0" xfId="0" applyAlignment="1" applyBorder="1" applyFont="1">
      <alignment horizontal="left" vertical="top"/>
    </xf>
    <xf borderId="16" fillId="5" fontId="9" numFmtId="0" xfId="0" applyAlignment="1" applyBorder="1" applyFont="1">
      <alignment horizontal="left"/>
    </xf>
    <xf borderId="9" fillId="10" fontId="9" numFmtId="0" xfId="0" applyAlignment="1" applyBorder="1" applyFont="1">
      <alignment horizontal="left"/>
    </xf>
    <xf borderId="9" fillId="5" fontId="9" numFmtId="0" xfId="0" applyAlignment="1" applyBorder="1" applyFont="1">
      <alignment horizontal="left"/>
    </xf>
    <xf borderId="10" fillId="5" fontId="9" numFmtId="0" xfId="0" applyAlignment="1" applyBorder="1" applyFont="1">
      <alignment horizontal="left"/>
    </xf>
    <xf borderId="1" fillId="5" fontId="2" numFmtId="0" xfId="0" applyAlignment="1" applyBorder="1" applyFont="1">
      <alignment horizontal="center" shrinkToFit="0" vertical="top" wrapText="1"/>
    </xf>
    <xf borderId="1" fillId="5" fontId="37" numFmtId="0" xfId="0" applyAlignment="1" applyBorder="1" applyFont="1">
      <alignment horizontal="center" shrinkToFit="0" vertical="top" wrapText="1"/>
    </xf>
    <xf borderId="9" fillId="5" fontId="15" numFmtId="0" xfId="0" applyAlignment="1" applyBorder="1" applyFont="1">
      <alignment horizontal="center"/>
    </xf>
    <xf borderId="9" fillId="5" fontId="4" numFmtId="0" xfId="0" applyAlignment="1" applyBorder="1" applyFont="1">
      <alignment horizontal="center"/>
    </xf>
    <xf borderId="9" fillId="5" fontId="2" numFmtId="0" xfId="0" applyAlignment="1" applyBorder="1" applyFont="1">
      <alignment horizontal="left" shrinkToFit="0" vertical="top" wrapText="1"/>
    </xf>
    <xf borderId="9" fillId="10" fontId="9" numFmtId="0" xfId="0" applyBorder="1" applyFont="1"/>
    <xf borderId="10" fillId="10" fontId="9" numFmtId="0" xfId="0" applyAlignment="1" applyBorder="1" applyFont="1">
      <alignment horizontal="left"/>
    </xf>
    <xf borderId="10" fillId="10" fontId="9" numFmtId="0" xfId="0" applyBorder="1" applyFont="1"/>
    <xf borderId="9" fillId="6" fontId="3" numFmtId="165" xfId="0" applyAlignment="1" applyBorder="1" applyFont="1" applyNumberFormat="1">
      <alignment horizontal="center"/>
    </xf>
    <xf borderId="0" fillId="6" fontId="4" numFmtId="0" xfId="0" applyAlignment="1" applyFont="1">
      <alignment horizontal="center"/>
    </xf>
    <xf borderId="9" fillId="6" fontId="9" numFmtId="0" xfId="0" applyBorder="1" applyFont="1"/>
    <xf borderId="1" fillId="10" fontId="9" numFmtId="0" xfId="0" applyAlignment="1" applyBorder="1" applyFont="1">
      <alignment horizontal="center"/>
    </xf>
    <xf borderId="9" fillId="6" fontId="15" numFmtId="0" xfId="0" applyAlignment="1" applyBorder="1" applyFont="1">
      <alignment horizontal="center"/>
    </xf>
    <xf borderId="9" fillId="6" fontId="3" numFmtId="0" xfId="0" applyAlignment="1" applyBorder="1" applyFont="1">
      <alignment horizontal="center"/>
    </xf>
    <xf borderId="0" fillId="6" fontId="31" numFmtId="0" xfId="0" applyAlignment="1" applyFont="1">
      <alignment horizontal="left"/>
    </xf>
    <xf borderId="0" fillId="6" fontId="9" numFmtId="0" xfId="0" applyAlignment="1" applyFont="1">
      <alignment horizontal="center"/>
    </xf>
    <xf borderId="9" fillId="6" fontId="9" numFmtId="0" xfId="0" applyAlignment="1" applyBorder="1" applyFont="1">
      <alignment horizontal="center"/>
    </xf>
    <xf borderId="0" fillId="10" fontId="9" numFmtId="0" xfId="0" applyFont="1"/>
    <xf borderId="0" fillId="6" fontId="32" numFmtId="2" xfId="0" applyAlignment="1" applyFont="1" applyNumberFormat="1">
      <alignment horizontal="center"/>
    </xf>
    <xf borderId="0" fillId="6" fontId="20" numFmtId="0" xfId="0" applyAlignment="1" applyFont="1">
      <alignment horizontal="center" readingOrder="0"/>
    </xf>
    <xf borderId="0" fillId="6" fontId="20" numFmtId="0" xfId="0" applyAlignment="1" applyFont="1">
      <alignment horizontal="center"/>
    </xf>
    <xf borderId="9" fillId="6" fontId="3" numFmtId="0" xfId="0" applyAlignment="1" applyBorder="1" applyFont="1">
      <alignment horizontal="center" readingOrder="0"/>
    </xf>
    <xf borderId="0" fillId="6" fontId="20" numFmtId="0" xfId="0" applyFont="1"/>
    <xf borderId="9" fillId="10" fontId="20" numFmtId="0" xfId="0" applyAlignment="1" applyBorder="1" applyFont="1">
      <alignment horizontal="center" vertical="bottom"/>
    </xf>
    <xf borderId="0" fillId="6" fontId="9" numFmtId="0" xfId="0" applyAlignment="1" applyFont="1">
      <alignment horizontal="left"/>
    </xf>
    <xf borderId="9" fillId="10" fontId="31" numFmtId="0" xfId="0" applyAlignment="1" applyBorder="1" applyFont="1">
      <alignment horizontal="center" vertical="bottom"/>
    </xf>
    <xf borderId="9" fillId="6" fontId="9" numFmtId="0" xfId="0" applyAlignment="1" applyBorder="1" applyFont="1">
      <alignment horizontal="left"/>
    </xf>
    <xf borderId="0" fillId="2" fontId="15" numFmtId="0" xfId="0" applyAlignment="1" applyFont="1">
      <alignment horizontal="center"/>
    </xf>
    <xf borderId="0" fillId="2" fontId="21" numFmtId="0" xfId="0" applyAlignment="1" applyFont="1">
      <alignment horizontal="center"/>
    </xf>
    <xf borderId="9" fillId="2" fontId="9" numFmtId="0" xfId="0" applyBorder="1" applyFont="1"/>
    <xf borderId="2" fillId="2" fontId="10" numFmtId="0" xfId="0" applyAlignment="1" applyBorder="1" applyFont="1">
      <alignment horizontal="left" vertical="top"/>
    </xf>
    <xf borderId="0" fillId="2" fontId="12" numFmtId="0" xfId="0" applyAlignment="1" applyFont="1">
      <alignment horizontal="left" vertical="center"/>
    </xf>
    <xf borderId="4" fillId="2" fontId="15" numFmtId="0" xfId="0" applyAlignment="1" applyBorder="1" applyFont="1">
      <alignment horizontal="left" shrinkToFit="0" vertical="top" wrapText="1"/>
    </xf>
    <xf borderId="0" fillId="0" fontId="10" numFmtId="0" xfId="0" applyAlignment="1" applyFont="1">
      <alignment horizontal="left"/>
    </xf>
    <xf borderId="0" fillId="6" fontId="32" numFmtId="0" xfId="0" applyFont="1"/>
    <xf borderId="0" fillId="0" fontId="32" numFmtId="0" xfId="0" applyFont="1"/>
    <xf borderId="0" fillId="6" fontId="5" numFmtId="0" xfId="0" applyAlignment="1" applyFont="1">
      <alignment horizontal="center"/>
    </xf>
    <xf borderId="2" fillId="2" fontId="10" numFmtId="0" xfId="0" applyAlignment="1" applyBorder="1" applyFont="1">
      <alignment horizontal="left" readingOrder="0" vertical="top"/>
    </xf>
    <xf borderId="0" fillId="0" fontId="3" numFmtId="165" xfId="0" applyAlignment="1" applyFont="1" applyNumberFormat="1">
      <alignment horizontal="left" vertical="center"/>
    </xf>
    <xf borderId="0" fillId="10" fontId="28" numFmtId="0" xfId="0" applyAlignment="1" applyFont="1">
      <alignment horizontal="left" vertical="center"/>
    </xf>
    <xf borderId="0" fillId="0" fontId="4" numFmtId="0" xfId="0" applyAlignment="1" applyFont="1">
      <alignment horizontal="left"/>
    </xf>
    <xf borderId="9" fillId="5" fontId="9" numFmtId="0" xfId="0" applyAlignment="1" applyBorder="1" applyFont="1">
      <alignment horizontal="left" shrinkToFit="0" vertical="top" wrapText="1"/>
    </xf>
    <xf borderId="9" fillId="5" fontId="28" numFmtId="0" xfId="0" applyAlignment="1" applyBorder="1" applyFont="1">
      <alignment horizontal="left" vertical="top"/>
    </xf>
    <xf borderId="9" fillId="10" fontId="28" numFmtId="0" xfId="0" applyAlignment="1" applyBorder="1" applyFont="1">
      <alignment horizontal="left"/>
    </xf>
    <xf borderId="9" fillId="5" fontId="28" numFmtId="0" xfId="0" applyAlignment="1" applyBorder="1" applyFont="1">
      <alignment horizontal="left"/>
    </xf>
    <xf borderId="0" fillId="10" fontId="28" numFmtId="0" xfId="0" applyAlignment="1" applyFont="1">
      <alignment horizontal="left"/>
    </xf>
    <xf borderId="0" fillId="5" fontId="3" numFmtId="165" xfId="0" applyAlignment="1" applyFont="1" applyNumberFormat="1">
      <alignment horizontal="left"/>
    </xf>
    <xf borderId="0" fillId="5" fontId="3" numFmtId="0" xfId="0" applyAlignment="1" applyFont="1">
      <alignment horizontal="left"/>
    </xf>
    <xf borderId="14" fillId="10" fontId="28" numFmtId="0" xfId="0" applyAlignment="1" applyBorder="1" applyFont="1">
      <alignment horizontal="left"/>
    </xf>
    <xf borderId="0" fillId="5" fontId="28" numFmtId="0" xfId="0" applyAlignment="1" applyFont="1">
      <alignment horizontal="left"/>
    </xf>
    <xf borderId="0" fillId="0" fontId="10" numFmtId="0" xfId="0" applyAlignment="1" applyFont="1">
      <alignment horizontal="left" shrinkToFit="0" wrapText="1"/>
    </xf>
    <xf borderId="0" fillId="10" fontId="28" numFmtId="0" xfId="0" applyAlignment="1" applyFont="1">
      <alignment horizontal="left" vertical="top"/>
    </xf>
    <xf borderId="0" fillId="0" fontId="8" numFmtId="0" xfId="0" applyAlignment="1" applyFont="1">
      <alignment horizontal="left" vertical="top"/>
    </xf>
    <xf borderId="1" fillId="10" fontId="27" numFmtId="0" xfId="0" applyAlignment="1" applyBorder="1" applyFont="1">
      <alignment horizontal="left" readingOrder="0" shrinkToFit="0" vertical="top" wrapText="1"/>
    </xf>
    <xf borderId="9" fillId="5" fontId="4" numFmtId="0" xfId="0" applyAlignment="1" applyBorder="1" applyFont="1">
      <alignment horizontal="left" vertical="top"/>
    </xf>
    <xf borderId="9" fillId="10" fontId="4" numFmtId="0" xfId="0" applyAlignment="1" applyBorder="1" applyFont="1">
      <alignment horizontal="left"/>
    </xf>
    <xf borderId="9" fillId="5" fontId="8" numFmtId="0" xfId="0" applyAlignment="1" applyBorder="1" applyFont="1">
      <alignment horizontal="left"/>
    </xf>
    <xf borderId="0" fillId="0" fontId="30" numFmtId="0" xfId="0" applyAlignment="1" applyFont="1">
      <alignment horizontal="left" vertical="top"/>
    </xf>
    <xf borderId="9" fillId="10" fontId="30" numFmtId="0" xfId="0" applyAlignment="1" applyBorder="1" applyFont="1">
      <alignment horizontal="left" vertical="top"/>
    </xf>
    <xf borderId="8" fillId="2" fontId="38" numFmtId="0" xfId="0" applyAlignment="1" applyBorder="1" applyFont="1">
      <alignment horizontal="left" readingOrder="0" vertical="bottom"/>
    </xf>
    <xf borderId="8" fillId="11" fontId="9" numFmtId="0" xfId="0" applyAlignment="1" applyBorder="1" applyFill="1" applyFont="1">
      <alignment horizontal="center" readingOrder="0"/>
    </xf>
    <xf borderId="0" fillId="0" fontId="33" numFmtId="0" xfId="0" applyAlignment="1" applyFont="1">
      <alignment horizontal="center" readingOrder="0"/>
    </xf>
    <xf borderId="0" fillId="10" fontId="39" numFmtId="0" xfId="0" applyAlignment="1" applyFont="1">
      <alignment horizontal="left" readingOrder="0" shrinkToFit="0" vertical="top" wrapText="1"/>
    </xf>
    <xf borderId="8" fillId="6" fontId="9" numFmtId="0" xfId="0" applyAlignment="1" applyBorder="1" applyFont="1">
      <alignment horizontal="center" readingOrder="0"/>
    </xf>
    <xf borderId="9" fillId="10" fontId="22" numFmtId="0" xfId="0" applyAlignment="1" applyBorder="1" applyFont="1">
      <alignment readingOrder="0" vertical="center"/>
    </xf>
    <xf borderId="0" fillId="6" fontId="20" numFmtId="0" xfId="0" applyAlignment="1" applyFont="1">
      <alignment horizontal="right" vertical="bottom"/>
    </xf>
    <xf borderId="0" fillId="6" fontId="20" numFmtId="0" xfId="0" applyAlignment="1" applyFont="1">
      <alignment vertical="bottom"/>
    </xf>
    <xf borderId="0" fillId="6" fontId="17" numFmtId="0" xfId="0" applyAlignment="1" applyFont="1">
      <alignment vertical="bottom"/>
    </xf>
    <xf borderId="9" fillId="6" fontId="31" numFmtId="0" xfId="0" applyAlignment="1" applyBorder="1" applyFont="1">
      <alignment horizontal="right" vertical="bottom"/>
    </xf>
    <xf borderId="9" fillId="6" fontId="17" numFmtId="0" xfId="0" applyAlignment="1" applyBorder="1" applyFont="1">
      <alignment vertical="bottom"/>
    </xf>
    <xf borderId="9" fillId="6" fontId="31" numFmtId="0" xfId="0" applyAlignment="1" applyBorder="1" applyFont="1">
      <alignment vertical="bottom"/>
    </xf>
    <xf borderId="0" fillId="0" fontId="9" numFmtId="0" xfId="0" applyAlignment="1" applyFont="1">
      <alignment horizontal="center" readingOrder="0"/>
    </xf>
    <xf borderId="0" fillId="0" fontId="40" numFmtId="0" xfId="0" applyAlignment="1" applyFont="1">
      <alignment horizontal="center" vertical="center"/>
    </xf>
    <xf borderId="0" fillId="0" fontId="40" numFmtId="0" xfId="0" applyAlignment="1" applyFont="1">
      <alignment horizontal="center"/>
    </xf>
    <xf borderId="0" fillId="0" fontId="40" numFmtId="0" xfId="0" applyFont="1"/>
    <xf borderId="0" fillId="0" fontId="41" numFmtId="0" xfId="0" applyFont="1"/>
    <xf borderId="0" fillId="2" fontId="40" numFmtId="0" xfId="0" applyAlignment="1" applyFont="1">
      <alignment horizontal="center" vertical="center"/>
    </xf>
    <xf borderId="0" fillId="2" fontId="26" numFmtId="0" xfId="0" applyAlignment="1" applyFont="1">
      <alignment horizontal="left"/>
    </xf>
    <xf borderId="0" fillId="2" fontId="40" numFmtId="0" xfId="0" applyAlignment="1" applyFont="1">
      <alignment horizontal="center"/>
    </xf>
    <xf borderId="0" fillId="2" fontId="6" numFmtId="0" xfId="0" applyAlignment="1" applyFont="1">
      <alignment horizontal="center"/>
    </xf>
    <xf borderId="0" fillId="2" fontId="40" numFmtId="0" xfId="0" applyFont="1"/>
    <xf borderId="0" fillId="2" fontId="41" numFmtId="0" xfId="0" applyFont="1"/>
    <xf borderId="0" fillId="2" fontId="6" numFmtId="0" xfId="0" applyAlignment="1" applyFont="1">
      <alignment horizontal="center" vertical="center"/>
    </xf>
    <xf borderId="0" fillId="3" fontId="40" numFmtId="0" xfId="0" applyAlignment="1" applyFont="1">
      <alignment horizontal="center"/>
    </xf>
    <xf borderId="0" fillId="3" fontId="6" numFmtId="0" xfId="0" applyAlignment="1" applyFont="1">
      <alignment horizontal="center"/>
    </xf>
    <xf borderId="0" fillId="3" fontId="40" numFmtId="0" xfId="0" applyFont="1"/>
    <xf borderId="0" fillId="3" fontId="41" numFmtId="0" xfId="0" applyFont="1"/>
    <xf borderId="0" fillId="4" fontId="40" numFmtId="0" xfId="0" applyAlignment="1" applyFont="1">
      <alignment horizontal="center"/>
    </xf>
    <xf borderId="0" fillId="4" fontId="40" numFmtId="0" xfId="0" applyFont="1"/>
    <xf borderId="0" fillId="4" fontId="41" numFmtId="0" xfId="0" applyFont="1"/>
    <xf borderId="0" fillId="5" fontId="40" numFmtId="0" xfId="0" applyAlignment="1" applyFont="1">
      <alignment horizontal="left"/>
    </xf>
    <xf borderId="0" fillId="2" fontId="40" numFmtId="0" xfId="0" applyAlignment="1" applyFont="1">
      <alignment horizontal="left"/>
    </xf>
    <xf borderId="0" fillId="0" fontId="40" numFmtId="0" xfId="0" applyAlignment="1" applyFont="1">
      <alignment horizontal="left"/>
    </xf>
    <xf borderId="0" fillId="0" fontId="42" numFmtId="0" xfId="0" applyAlignment="1" applyFont="1">
      <alignment horizontal="left"/>
    </xf>
    <xf borderId="0" fillId="5" fontId="42" numFmtId="0" xfId="0" applyAlignment="1" applyFont="1">
      <alignment horizontal="left"/>
    </xf>
    <xf borderId="0" fillId="2" fontId="43" numFmtId="0" xfId="0" applyAlignment="1" applyFont="1">
      <alignment vertical="center"/>
    </xf>
    <xf borderId="0" fillId="6" fontId="44" numFmtId="0" xfId="0" applyAlignment="1" applyFont="1">
      <alignment shrinkToFit="0" vertical="top" wrapText="1"/>
    </xf>
    <xf borderId="0" fillId="0" fontId="40" numFmtId="9" xfId="0" applyAlignment="1" applyFont="1" applyNumberFormat="1">
      <alignment horizontal="left"/>
    </xf>
    <xf borderId="0" fillId="0" fontId="44" numFmtId="0" xfId="0" applyAlignment="1" applyFont="1">
      <alignment horizontal="left"/>
    </xf>
    <xf borderId="0" fillId="6" fontId="45" numFmtId="0" xfId="0" applyFont="1"/>
    <xf borderId="0" fillId="5" fontId="44" numFmtId="0" xfId="0" applyFont="1"/>
    <xf borderId="0" fillId="0" fontId="44" numFmtId="0" xfId="0" applyFont="1"/>
    <xf borderId="0" fillId="12" fontId="43" numFmtId="0" xfId="0" applyAlignment="1" applyFill="1" applyFont="1">
      <alignment vertical="center"/>
    </xf>
    <xf borderId="0" fillId="13" fontId="44" numFmtId="0" xfId="0" applyAlignment="1" applyFill="1" applyFont="1">
      <alignment shrinkToFit="0" vertical="top" wrapText="1"/>
    </xf>
    <xf borderId="0" fillId="13" fontId="46" numFmtId="0" xfId="0" applyFont="1"/>
    <xf borderId="9" fillId="5" fontId="40" numFmtId="0" xfId="0" applyAlignment="1" applyBorder="1" applyFont="1">
      <alignment horizontal="left"/>
    </xf>
    <xf borderId="0" fillId="0" fontId="43" numFmtId="0" xfId="0" applyAlignment="1" applyFont="1">
      <alignment vertical="center"/>
    </xf>
    <xf borderId="0" fillId="0" fontId="44" numFmtId="0" xfId="0" applyAlignment="1" applyFont="1">
      <alignment shrinkToFit="0" vertical="top" wrapText="1"/>
    </xf>
    <xf borderId="0" fillId="0" fontId="47" numFmtId="0" xfId="0" applyFont="1"/>
    <xf borderId="0" fillId="0" fontId="48" numFmtId="0" xfId="0" applyFont="1"/>
    <xf borderId="10" fillId="5" fontId="40" numFmtId="0" xfId="0" applyAlignment="1" applyBorder="1" applyFont="1">
      <alignment horizontal="left"/>
    </xf>
    <xf borderId="1" fillId="5" fontId="40" numFmtId="0" xfId="0" applyAlignment="1" applyBorder="1" applyFont="1">
      <alignment horizontal="left"/>
    </xf>
    <xf borderId="0" fillId="5" fontId="1" numFmtId="0" xfId="0" applyAlignment="1" applyFont="1">
      <alignment horizontal="left"/>
    </xf>
    <xf borderId="0" fillId="5" fontId="49" numFmtId="0" xfId="0" applyAlignment="1" applyFont="1">
      <alignment horizontal="left"/>
    </xf>
    <xf borderId="0" fillId="2" fontId="49" numFmtId="0" xfId="0" applyAlignment="1" applyFont="1">
      <alignment horizontal="left"/>
    </xf>
    <xf borderId="0" fillId="5" fontId="27" numFmtId="0" xfId="0" applyAlignment="1" applyFont="1">
      <alignment horizontal="left"/>
    </xf>
    <xf borderId="0" fillId="5" fontId="50" numFmtId="0" xfId="0" applyAlignment="1" applyFont="1">
      <alignment horizontal="left"/>
    </xf>
    <xf borderId="9" fillId="5" fontId="49" numFmtId="0" xfId="0" applyAlignment="1" applyBorder="1" applyFont="1">
      <alignment horizontal="left"/>
    </xf>
    <xf borderId="9" fillId="5" fontId="27" numFmtId="0" xfId="0" applyAlignment="1" applyBorder="1" applyFont="1">
      <alignment horizontal="left"/>
    </xf>
    <xf borderId="0" fillId="0" fontId="50" numFmtId="0" xfId="0" applyAlignment="1" applyFont="1">
      <alignment horizontal="left"/>
    </xf>
    <xf borderId="0" fillId="2" fontId="27" numFmtId="0" xfId="0" applyAlignment="1" applyFont="1">
      <alignment horizontal="left"/>
    </xf>
    <xf borderId="19" fillId="14" fontId="49" numFmtId="9" xfId="0" applyAlignment="1" applyBorder="1" applyFill="1" applyFont="1" applyNumberFormat="1">
      <alignment horizontal="left"/>
    </xf>
    <xf borderId="20" fillId="14" fontId="49" numFmtId="9" xfId="0" applyAlignment="1" applyBorder="1" applyFont="1" applyNumberFormat="1">
      <alignment horizontal="left"/>
    </xf>
    <xf borderId="0" fillId="0" fontId="31" numFmtId="0" xfId="0" applyAlignment="1" applyFont="1">
      <alignment horizontal="left"/>
    </xf>
    <xf borderId="14" fillId="2" fontId="10" numFmtId="0" xfId="0" applyAlignment="1" applyBorder="1" applyFont="1">
      <alignment horizontal="left"/>
    </xf>
    <xf borderId="21" fillId="14" fontId="49" numFmtId="9" xfId="0" applyAlignment="1" applyBorder="1" applyFont="1" applyNumberFormat="1">
      <alignment horizontal="left"/>
    </xf>
    <xf borderId="9" fillId="14" fontId="49" numFmtId="9" xfId="0" applyAlignment="1" applyBorder="1" applyFont="1" applyNumberFormat="1">
      <alignment horizontal="left"/>
    </xf>
    <xf borderId="11" fillId="5" fontId="9" numFmtId="0" xfId="0" applyAlignment="1" applyBorder="1" applyFont="1">
      <alignment horizontal="left"/>
    </xf>
    <xf borderId="3" fillId="6" fontId="9" numFmtId="0" xfId="0" applyAlignment="1" applyBorder="1" applyFont="1">
      <alignment horizontal="left" readingOrder="0"/>
    </xf>
    <xf borderId="1" fillId="5" fontId="9" numFmtId="0" xfId="0" applyAlignment="1" applyBorder="1" applyFont="1">
      <alignment horizontal="left"/>
    </xf>
    <xf borderId="21" fillId="15" fontId="49" numFmtId="9" xfId="0" applyAlignment="1" applyBorder="1" applyFill="1" applyFont="1" applyNumberFormat="1">
      <alignment horizontal="left"/>
    </xf>
    <xf borderId="9" fillId="15" fontId="49" numFmtId="9" xfId="0" applyAlignment="1" applyBorder="1" applyFont="1" applyNumberFormat="1">
      <alignment horizontal="left"/>
    </xf>
    <xf borderId="9" fillId="2" fontId="10" numFmtId="0" xfId="0" applyAlignment="1" applyBorder="1" applyFont="1">
      <alignment horizontal="left"/>
    </xf>
    <xf borderId="22" fillId="6" fontId="9" numFmtId="0" xfId="0" applyAlignment="1" applyBorder="1" applyFont="1">
      <alignment horizontal="left"/>
    </xf>
    <xf borderId="21" fillId="16" fontId="49" numFmtId="9" xfId="0" applyAlignment="1" applyBorder="1" applyFill="1" applyFont="1" applyNumberFormat="1">
      <alignment horizontal="left"/>
    </xf>
    <xf borderId="9" fillId="16" fontId="49" numFmtId="9" xfId="0" applyAlignment="1" applyBorder="1" applyFont="1" applyNumberFormat="1">
      <alignment horizontal="left"/>
    </xf>
    <xf borderId="21" fillId="17" fontId="49" numFmtId="9" xfId="0" applyAlignment="1" applyBorder="1" applyFill="1" applyFont="1" applyNumberFormat="1">
      <alignment horizontal="left"/>
    </xf>
    <xf borderId="9" fillId="17" fontId="49" numFmtId="9" xfId="0" applyAlignment="1" applyBorder="1" applyFont="1" applyNumberFormat="1">
      <alignment horizontal="left"/>
    </xf>
    <xf borderId="23" fillId="5" fontId="27" numFmtId="0" xfId="0" applyAlignment="1" applyBorder="1" applyFont="1">
      <alignment horizontal="left"/>
    </xf>
    <xf borderId="10" fillId="17" fontId="49" numFmtId="9" xfId="0" applyAlignment="1" applyBorder="1" applyFont="1" applyNumberFormat="1">
      <alignment horizontal="left"/>
    </xf>
    <xf borderId="10" fillId="18" fontId="49" numFmtId="9" xfId="0" applyAlignment="1" applyBorder="1" applyFill="1" applyFont="1" applyNumberFormat="1">
      <alignment horizontal="left"/>
    </xf>
    <xf borderId="9" fillId="18" fontId="49" numFmtId="9" xfId="0" applyAlignment="1" applyBorder="1" applyFont="1" applyNumberFormat="1">
      <alignment horizontal="left"/>
    </xf>
    <xf borderId="9" fillId="5" fontId="9" numFmtId="9" xfId="0" applyAlignment="1" applyBorder="1" applyFont="1" applyNumberFormat="1">
      <alignment horizontal="left"/>
    </xf>
    <xf borderId="0" fillId="0" fontId="49" numFmtId="0" xfId="0" applyAlignment="1" applyFont="1">
      <alignment horizontal="left"/>
    </xf>
    <xf borderId="0" fillId="0" fontId="27" numFmtId="0" xfId="0" applyAlignment="1" applyFont="1">
      <alignment horizontal="left"/>
    </xf>
    <xf borderId="24" fillId="19" fontId="12" numFmtId="0" xfId="0" applyAlignment="1" applyBorder="1" applyFill="1" applyFont="1">
      <alignment vertical="bottom"/>
    </xf>
    <xf borderId="25" fillId="19" fontId="12" numFmtId="0" xfId="0" applyAlignment="1" applyBorder="1" applyFont="1">
      <alignment horizontal="center" shrinkToFit="0" vertical="bottom" wrapText="1"/>
    </xf>
    <xf borderId="26" fillId="0" fontId="11" numFmtId="0" xfId="0" applyBorder="1" applyFont="1"/>
    <xf borderId="27" fillId="0" fontId="11" numFmtId="0" xfId="0" applyBorder="1" applyFont="1"/>
    <xf borderId="22" fillId="19" fontId="12" numFmtId="0" xfId="0" applyAlignment="1" applyBorder="1" applyFont="1">
      <alignment vertical="bottom"/>
    </xf>
    <xf borderId="0" fillId="0" fontId="31" numFmtId="0" xfId="0" applyAlignment="1" applyFont="1">
      <alignment vertical="bottom"/>
    </xf>
    <xf borderId="24" fillId="20" fontId="12" numFmtId="0" xfId="0" applyAlignment="1" applyBorder="1" applyFill="1" applyFont="1">
      <alignment vertical="bottom"/>
    </xf>
    <xf borderId="25" fillId="20" fontId="12" numFmtId="0" xfId="0" applyAlignment="1" applyBorder="1" applyFont="1">
      <alignment horizontal="center" shrinkToFit="0" vertical="bottom" wrapText="1"/>
    </xf>
    <xf borderId="22" fillId="20" fontId="12" numFmtId="0" xfId="0" applyAlignment="1" applyBorder="1" applyFont="1">
      <alignment vertical="bottom"/>
    </xf>
    <xf borderId="28" fillId="0" fontId="11" numFmtId="0" xfId="0" applyBorder="1" applyFont="1"/>
    <xf borderId="29" fillId="0" fontId="11" numFmtId="0" xfId="0" applyBorder="1" applyFont="1"/>
    <xf borderId="30" fillId="0" fontId="11" numFmtId="0" xfId="0" applyBorder="1" applyFont="1"/>
    <xf borderId="31" fillId="0" fontId="11" numFmtId="0" xfId="0" applyBorder="1" applyFont="1"/>
    <xf borderId="22" fillId="0" fontId="31" numFmtId="0" xfId="0" applyAlignment="1" applyBorder="1" applyFont="1">
      <alignment vertical="bottom"/>
    </xf>
    <xf borderId="22" fillId="21" fontId="31" numFmtId="0" xfId="0" applyAlignment="1" applyBorder="1" applyFill="1" applyFont="1">
      <alignment horizontal="center" vertical="bottom"/>
    </xf>
    <xf borderId="22" fillId="22" fontId="31" numFmtId="0" xfId="0" applyAlignment="1" applyBorder="1" applyFill="1" applyFont="1">
      <alignment horizontal="center" vertical="bottom"/>
    </xf>
    <xf borderId="22" fillId="23" fontId="31" numFmtId="0" xfId="0" applyAlignment="1" applyBorder="1" applyFill="1" applyFont="1">
      <alignment horizontal="center" vertical="bottom"/>
    </xf>
    <xf borderId="22" fillId="24" fontId="51" numFmtId="0" xfId="0" applyAlignment="1" applyBorder="1" applyFill="1" applyFont="1">
      <alignment horizontal="center" vertical="bottom"/>
    </xf>
    <xf borderId="22" fillId="2" fontId="31" numFmtId="0" xfId="0" applyAlignment="1" applyBorder="1" applyFont="1">
      <alignment horizontal="center" vertical="bottom"/>
    </xf>
    <xf borderId="22" fillId="5" fontId="31" numFmtId="0" xfId="0" applyAlignment="1" applyBorder="1" applyFont="1">
      <alignment horizontal="center" vertical="bottom"/>
    </xf>
    <xf borderId="22" fillId="25" fontId="31" numFmtId="0" xfId="0" applyAlignment="1" applyBorder="1" applyFill="1" applyFont="1">
      <alignment horizontal="center" vertical="bottom"/>
    </xf>
    <xf borderId="0" fillId="2" fontId="9" numFmtId="0" xfId="0" applyAlignment="1" applyFont="1">
      <alignment horizontal="left"/>
    </xf>
    <xf borderId="0" fillId="0" fontId="1" numFmtId="0" xfId="0" applyAlignment="1" applyFont="1">
      <alignment horizontal="center"/>
    </xf>
    <xf borderId="0" fillId="2" fontId="1" numFmtId="0" xfId="0" applyAlignment="1" applyFont="1">
      <alignment horizontal="center"/>
    </xf>
    <xf borderId="0" fillId="2" fontId="32" numFmtId="0" xfId="0" applyFont="1"/>
    <xf borderId="0" fillId="3" fontId="32" numFmtId="0" xfId="0" applyFont="1"/>
    <xf borderId="0" fillId="4" fontId="32" numFmtId="0" xfId="0" applyFont="1"/>
    <xf borderId="0" fillId="0" fontId="27" numFmtId="0" xfId="0" applyAlignment="1" applyFont="1">
      <alignment horizontal="center"/>
    </xf>
    <xf borderId="0" fillId="2" fontId="1" numFmtId="0" xfId="0" applyAlignment="1" applyFont="1">
      <alignment horizontal="center" readingOrder="0" vertical="center"/>
    </xf>
    <xf borderId="10" fillId="5" fontId="20" numFmtId="0" xfId="0" applyAlignment="1" applyBorder="1" applyFont="1">
      <alignment vertical="bottom"/>
    </xf>
    <xf borderId="9" fillId="5" fontId="20" numFmtId="0" xfId="0" applyAlignment="1" applyBorder="1" applyFont="1">
      <alignment vertical="bottom"/>
    </xf>
    <xf borderId="1" fillId="5" fontId="20" numFmtId="0" xfId="0" applyAlignment="1" applyBorder="1" applyFont="1">
      <alignment vertical="bottom"/>
    </xf>
    <xf borderId="1" fillId="5" fontId="20" numFmtId="0" xfId="0" applyAlignment="1" applyBorder="1" applyFont="1">
      <alignment horizontal="center" vertical="bottom"/>
    </xf>
    <xf borderId="8" fillId="26" fontId="18" numFmtId="0" xfId="0" applyAlignment="1" applyBorder="1" applyFill="1" applyFont="1">
      <alignment horizontal="center" vertical="bottom"/>
    </xf>
    <xf borderId="5" fillId="5" fontId="20" numFmtId="0" xfId="0" applyAlignment="1" applyBorder="1" applyFont="1">
      <alignment vertical="bottom"/>
    </xf>
    <xf borderId="13" fillId="26" fontId="18" numFmtId="0" xfId="0" applyAlignment="1" applyBorder="1" applyFont="1">
      <alignment horizontal="center" vertical="bottom"/>
    </xf>
    <xf borderId="5" fillId="5" fontId="20" numFmtId="0" xfId="0" applyAlignment="1" applyBorder="1" applyFont="1">
      <alignment horizontal="center" vertical="bottom"/>
    </xf>
    <xf borderId="12" fillId="26" fontId="18" numFmtId="0" xfId="0" applyAlignment="1" applyBorder="1" applyFont="1">
      <alignment horizontal="center" vertical="bottom"/>
    </xf>
    <xf borderId="11" fillId="5" fontId="20" numFmtId="0" xfId="0" applyAlignment="1" applyBorder="1" applyFont="1">
      <alignment horizontal="center" vertical="bottom"/>
    </xf>
    <xf borderId="16" fillId="0" fontId="11" numFmtId="0" xfId="0" applyBorder="1" applyFont="1"/>
    <xf borderId="9" fillId="5" fontId="20" numFmtId="0" xfId="0" applyAlignment="1" applyBorder="1" applyFont="1">
      <alignment horizontal="left" vertical="bottom"/>
    </xf>
    <xf borderId="9" fillId="5" fontId="20" numFmtId="0" xfId="0" applyAlignment="1" applyBorder="1" applyFont="1">
      <alignment horizontal="center" vertical="bottom"/>
    </xf>
    <xf borderId="9" fillId="5" fontId="18" numFmtId="0" xfId="0" applyAlignment="1" applyBorder="1" applyFont="1">
      <alignment horizontal="center" vertical="bottom"/>
    </xf>
    <xf borderId="11" fillId="26" fontId="18" numFmtId="0" xfId="0" applyAlignment="1" applyBorder="1" applyFont="1">
      <alignment horizontal="center" vertical="bottom"/>
    </xf>
    <xf borderId="32" fillId="11" fontId="20" numFmtId="0" xfId="0" applyAlignment="1" applyBorder="1" applyFont="1">
      <alignment horizontal="center" readingOrder="0" vertical="bottom"/>
    </xf>
    <xf borderId="11" fillId="27" fontId="52" numFmtId="0" xfId="0" applyAlignment="1" applyBorder="1" applyFill="1" applyFont="1">
      <alignment horizontal="center" vertical="center"/>
    </xf>
    <xf borderId="9" fillId="27" fontId="20" numFmtId="0" xfId="0" applyAlignment="1" applyBorder="1" applyFont="1">
      <alignment vertical="bottom"/>
    </xf>
    <xf borderId="14" fillId="27" fontId="20" numFmtId="0" xfId="0" applyAlignment="1" applyBorder="1" applyFont="1">
      <alignment vertical="bottom"/>
    </xf>
    <xf borderId="14" fillId="27" fontId="20" numFmtId="0" xfId="0" applyAlignment="1" applyBorder="1" applyFont="1">
      <alignment horizontal="center" vertical="bottom"/>
    </xf>
    <xf borderId="9" fillId="27" fontId="20" numFmtId="0" xfId="0" applyAlignment="1" applyBorder="1" applyFont="1">
      <alignment horizontal="center" vertical="bottom"/>
    </xf>
    <xf borderId="11" fillId="3" fontId="20" numFmtId="0" xfId="0" applyAlignment="1" applyBorder="1" applyFont="1">
      <alignment vertical="bottom"/>
    </xf>
    <xf borderId="0" fillId="3" fontId="20" numFmtId="0" xfId="0" applyAlignment="1" applyFont="1">
      <alignment horizontal="right" vertical="bottom"/>
    </xf>
    <xf borderId="3" fillId="3" fontId="20" numFmtId="0" xfId="0" applyAlignment="1" applyBorder="1" applyFont="1">
      <alignment horizontal="center" vertical="bottom"/>
    </xf>
    <xf borderId="0" fillId="3" fontId="20" numFmtId="0" xfId="0" applyAlignment="1" applyFont="1">
      <alignment horizontal="center" vertical="bottom"/>
    </xf>
    <xf borderId="0" fillId="3" fontId="20" numFmtId="0" xfId="0" applyAlignment="1" applyFont="1">
      <alignment vertical="bottom"/>
    </xf>
    <xf borderId="10" fillId="3" fontId="20" numFmtId="0" xfId="0" applyAlignment="1" applyBorder="1" applyFont="1">
      <alignment horizontal="center" vertical="bottom"/>
    </xf>
    <xf borderId="11" fillId="28" fontId="20" numFmtId="0" xfId="0" applyAlignment="1" applyBorder="1" applyFill="1" applyFont="1">
      <alignment vertical="bottom"/>
    </xf>
    <xf borderId="0" fillId="28" fontId="20" numFmtId="0" xfId="0" applyAlignment="1" applyFont="1">
      <alignment horizontal="right" vertical="bottom"/>
    </xf>
    <xf borderId="3" fillId="28" fontId="20" numFmtId="0" xfId="0" applyAlignment="1" applyBorder="1" applyFont="1">
      <alignment horizontal="center" vertical="bottom"/>
    </xf>
    <xf borderId="0" fillId="28" fontId="20" numFmtId="0" xfId="0" applyAlignment="1" applyFont="1">
      <alignment horizontal="center" vertical="bottom"/>
    </xf>
    <xf borderId="0" fillId="28" fontId="20" numFmtId="0" xfId="0" applyAlignment="1" applyFont="1">
      <alignment vertical="bottom"/>
    </xf>
    <xf borderId="10" fillId="28" fontId="20" numFmtId="0" xfId="0" applyAlignment="1" applyBorder="1" applyFont="1">
      <alignment horizontal="center" vertical="bottom"/>
    </xf>
    <xf borderId="11" fillId="27" fontId="43" numFmtId="0" xfId="0" applyAlignment="1" applyBorder="1" applyFont="1">
      <alignment horizontal="center" vertical="center"/>
    </xf>
    <xf borderId="9" fillId="3" fontId="20" numFmtId="0" xfId="0" applyAlignment="1" applyBorder="1" applyFont="1">
      <alignment vertical="bottom"/>
    </xf>
    <xf borderId="8" fillId="3" fontId="20" numFmtId="0" xfId="0" applyAlignment="1" applyBorder="1" applyFont="1">
      <alignment horizontal="center" vertical="bottom"/>
    </xf>
    <xf borderId="4" fillId="3" fontId="20" numFmtId="0" xfId="0" applyAlignment="1" applyBorder="1" applyFont="1">
      <alignment horizontal="center" vertical="bottom"/>
    </xf>
    <xf borderId="17" fillId="3" fontId="20" numFmtId="0" xfId="0" applyAlignment="1" applyBorder="1" applyFont="1">
      <alignment horizontal="left" vertical="bottom"/>
    </xf>
    <xf borderId="14" fillId="3" fontId="20" numFmtId="0" xfId="0" applyAlignment="1" applyBorder="1" applyFont="1">
      <alignment horizontal="center" vertical="bottom"/>
    </xf>
    <xf borderId="11" fillId="28" fontId="20" numFmtId="0" xfId="0" applyAlignment="1" applyBorder="1" applyFont="1">
      <alignment horizontal="right" vertical="bottom"/>
    </xf>
    <xf quotePrefix="1" borderId="3" fillId="28" fontId="20" numFmtId="0" xfId="0" applyAlignment="1" applyBorder="1" applyFont="1">
      <alignment horizontal="center" vertical="bottom"/>
    </xf>
    <xf borderId="0" fillId="28" fontId="53" numFmtId="0" xfId="0" applyAlignment="1" applyFont="1">
      <alignment horizontal="left" vertical="bottom"/>
    </xf>
    <xf borderId="11" fillId="3" fontId="20" numFmtId="0" xfId="0" applyAlignment="1" applyBorder="1" applyFont="1">
      <alignment horizontal="right" vertical="bottom"/>
    </xf>
    <xf borderId="0" fillId="3" fontId="20" numFmtId="0" xfId="0" applyAlignment="1" applyFont="1">
      <alignment horizontal="left" vertical="bottom"/>
    </xf>
    <xf borderId="0" fillId="28" fontId="20" numFmtId="0" xfId="0" applyAlignment="1" applyFont="1">
      <alignment horizontal="left" vertical="bottom"/>
    </xf>
    <xf borderId="9" fillId="28" fontId="20" numFmtId="0" xfId="0" applyAlignment="1" applyBorder="1" applyFont="1">
      <alignment vertical="bottom"/>
    </xf>
    <xf borderId="1" fillId="28" fontId="20" numFmtId="0" xfId="0" applyAlignment="1" applyBorder="1" applyFont="1">
      <alignment vertical="bottom"/>
    </xf>
    <xf borderId="1" fillId="28" fontId="20" numFmtId="0" xfId="0" applyAlignment="1" applyBorder="1" applyFont="1">
      <alignment horizontal="center" vertical="bottom"/>
    </xf>
    <xf borderId="9" fillId="3" fontId="20" numFmtId="0" xfId="0" applyAlignment="1" applyBorder="1" applyFont="1">
      <alignment horizontal="right" vertical="bottom"/>
    </xf>
    <xf borderId="9" fillId="3" fontId="20" numFmtId="0" xfId="0" applyAlignment="1" applyBorder="1" applyFont="1">
      <alignment horizontal="center" vertical="bottom"/>
    </xf>
    <xf borderId="11" fillId="27" fontId="54" numFmtId="0" xfId="0" applyAlignment="1" applyBorder="1" applyFont="1">
      <alignment horizontal="center" vertical="center"/>
    </xf>
    <xf borderId="9" fillId="3" fontId="32" numFmtId="0" xfId="0" applyAlignment="1" applyBorder="1" applyFont="1">
      <alignment horizontal="center" vertical="bottom"/>
    </xf>
    <xf borderId="11" fillId="28" fontId="32" numFmtId="0" xfId="0" applyAlignment="1" applyBorder="1" applyFont="1">
      <alignment horizontal="right" vertical="bottom"/>
    </xf>
    <xf borderId="33" fillId="28" fontId="32" numFmtId="0" xfId="0" applyAlignment="1" applyBorder="1" applyFont="1">
      <alignment horizontal="center" vertical="bottom"/>
    </xf>
    <xf borderId="9" fillId="28" fontId="32" numFmtId="0" xfId="0" applyAlignment="1" applyBorder="1" applyFont="1">
      <alignment horizontal="center" vertical="bottom"/>
    </xf>
    <xf borderId="9" fillId="28" fontId="20" numFmtId="0" xfId="0" applyAlignment="1" applyBorder="1" applyFont="1">
      <alignment horizontal="center" vertical="bottom"/>
    </xf>
    <xf borderId="11" fillId="26" fontId="52" numFmtId="0" xfId="0" applyAlignment="1" applyBorder="1" applyFont="1">
      <alignment horizontal="center" vertical="center"/>
    </xf>
    <xf borderId="9" fillId="26" fontId="20" numFmtId="0" xfId="0" applyAlignment="1" applyBorder="1" applyFont="1">
      <alignment vertical="bottom"/>
    </xf>
    <xf borderId="9" fillId="26" fontId="20" numFmtId="0" xfId="0" applyAlignment="1" applyBorder="1" applyFont="1">
      <alignment horizontal="center" vertical="bottom"/>
    </xf>
    <xf borderId="9" fillId="26" fontId="55" numFmtId="0" xfId="0" applyAlignment="1" applyBorder="1" applyFont="1">
      <alignment horizontal="center" vertical="bottom"/>
    </xf>
    <xf borderId="9" fillId="29" fontId="20" numFmtId="0" xfId="0" applyAlignment="1" applyBorder="1" applyFill="1" applyFont="1">
      <alignment vertical="bottom"/>
    </xf>
    <xf borderId="9" fillId="29" fontId="19" numFmtId="0" xfId="0" applyAlignment="1" applyBorder="1" applyFont="1">
      <alignment horizontal="right" vertical="bottom"/>
    </xf>
    <xf borderId="9" fillId="29" fontId="20" numFmtId="0" xfId="0" applyAlignment="1" applyBorder="1" applyFont="1">
      <alignment horizontal="center" vertical="bottom"/>
    </xf>
    <xf borderId="9" fillId="30" fontId="20" numFmtId="0" xfId="0" applyAlignment="1" applyBorder="1" applyFill="1" applyFont="1">
      <alignment horizontal="center" vertical="bottom"/>
    </xf>
    <xf borderId="9" fillId="31" fontId="20" numFmtId="0" xfId="0" applyAlignment="1" applyBorder="1" applyFill="1" applyFont="1">
      <alignment vertical="bottom"/>
    </xf>
    <xf borderId="9" fillId="31" fontId="19" numFmtId="0" xfId="0" applyAlignment="1" applyBorder="1" applyFont="1">
      <alignment horizontal="right" vertical="bottom"/>
    </xf>
    <xf borderId="9" fillId="31" fontId="12" numFmtId="0" xfId="0" applyAlignment="1" applyBorder="1" applyFont="1">
      <alignment horizontal="center" vertical="bottom"/>
    </xf>
    <xf borderId="9" fillId="32" fontId="20" numFmtId="0" xfId="0" applyAlignment="1" applyBorder="1" applyFill="1" applyFont="1">
      <alignment vertical="bottom"/>
    </xf>
    <xf borderId="9" fillId="32" fontId="19" numFmtId="0" xfId="0" applyAlignment="1" applyBorder="1" applyFont="1">
      <alignment horizontal="right" vertical="bottom"/>
    </xf>
    <xf borderId="9" fillId="32" fontId="20" numFmtId="0" xfId="0" applyAlignment="1" applyBorder="1" applyFont="1">
      <alignment horizontal="center" vertical="bottom"/>
    </xf>
    <xf borderId="11" fillId="26" fontId="52" numFmtId="0" xfId="0" applyAlignment="1" applyBorder="1" applyFont="1">
      <alignment horizontal="center" vertical="bottom"/>
    </xf>
    <xf borderId="9" fillId="31" fontId="31" numFmtId="0" xfId="0" applyAlignment="1" applyBorder="1" applyFont="1">
      <alignment horizontal="center" vertical="bottom"/>
    </xf>
    <xf borderId="14" fillId="26" fontId="20" numFmtId="0" xfId="0" applyAlignment="1" applyBorder="1" applyFont="1">
      <alignment vertical="bottom"/>
    </xf>
    <xf borderId="14" fillId="26" fontId="20" numFmtId="0" xfId="0" applyAlignment="1" applyBorder="1" applyFont="1">
      <alignment horizontal="center" vertical="bottom"/>
    </xf>
    <xf borderId="11" fillId="26" fontId="20" numFmtId="0" xfId="0" applyAlignment="1" applyBorder="1" applyFont="1">
      <alignment vertical="bottom"/>
    </xf>
    <xf borderId="0" fillId="26" fontId="20" numFmtId="0" xfId="0" applyAlignment="1" applyFont="1">
      <alignment horizontal="right" vertical="bottom"/>
    </xf>
    <xf borderId="0" fillId="11" fontId="20" numFmtId="0" xfId="0" applyAlignment="1" applyFont="1">
      <alignment horizontal="center" vertical="bottom"/>
    </xf>
    <xf borderId="10" fillId="26" fontId="20" numFmtId="0" xfId="0" applyAlignment="1" applyBorder="1" applyFont="1">
      <alignment horizontal="center" vertical="bottom"/>
    </xf>
    <xf borderId="1" fillId="27" fontId="20" numFmtId="0" xfId="0" applyAlignment="1" applyBorder="1" applyFont="1">
      <alignment vertical="bottom"/>
    </xf>
    <xf borderId="9" fillId="27" fontId="20" numFmtId="0" xfId="0" applyAlignment="1" applyBorder="1" applyFont="1">
      <alignment horizontal="right" vertical="bottom"/>
    </xf>
    <xf borderId="9" fillId="27" fontId="18" numFmtId="0" xfId="0" applyAlignment="1" applyBorder="1" applyFont="1">
      <alignment horizontal="center" vertical="bottom"/>
    </xf>
    <xf borderId="14" fillId="3" fontId="20" numFmtId="0" xfId="0" applyAlignment="1" applyBorder="1" applyFont="1">
      <alignment vertical="bottom"/>
    </xf>
    <xf borderId="0" fillId="28" fontId="53" numFmtId="0" xfId="0" applyAlignment="1" applyFont="1">
      <alignment vertical="bottom"/>
    </xf>
    <xf borderId="0" fillId="3" fontId="53" numFmtId="0" xfId="0" applyAlignment="1" applyFont="1">
      <alignment vertical="bottom"/>
    </xf>
    <xf borderId="9" fillId="27" fontId="32" numFmtId="0" xfId="0" applyAlignment="1" applyBorder="1" applyFont="1">
      <alignment horizontal="center" vertical="bottom"/>
    </xf>
    <xf borderId="9" fillId="31" fontId="56" numFmtId="0" xfId="0" applyAlignment="1" applyBorder="1" applyFont="1">
      <alignment horizontal="right" vertical="bottom"/>
    </xf>
    <xf borderId="9" fillId="31" fontId="18" numFmtId="0" xfId="0" applyAlignment="1" applyBorder="1" applyFont="1">
      <alignment vertical="bottom"/>
    </xf>
    <xf borderId="9" fillId="31" fontId="18" numFmtId="0" xfId="0" applyAlignment="1" applyBorder="1" applyFont="1">
      <alignment horizontal="center" vertical="bottom"/>
    </xf>
    <xf borderId="9" fillId="31" fontId="20" numFmtId="0" xfId="0" applyAlignment="1" applyBorder="1" applyFont="1">
      <alignment horizontal="center" vertical="bottom"/>
    </xf>
    <xf borderId="11" fillId="26" fontId="20" numFmtId="0" xfId="0" applyAlignment="1" applyBorder="1" applyFont="1">
      <alignment horizontal="right" vertical="bottom"/>
    </xf>
    <xf borderId="9" fillId="26" fontId="20" numFmtId="0" xfId="0" applyAlignment="1" applyBorder="1" applyFont="1">
      <alignment horizontal="right" vertical="bottom"/>
    </xf>
    <xf borderId="9" fillId="26" fontId="18" numFmtId="0" xfId="0" applyAlignment="1" applyBorder="1" applyFont="1">
      <alignment horizontal="center" vertical="bottom"/>
    </xf>
    <xf borderId="11" fillId="27" fontId="20" numFmtId="0" xfId="0" applyAlignment="1" applyBorder="1" applyFont="1">
      <alignment vertical="bottom"/>
    </xf>
    <xf borderId="0" fillId="27" fontId="20" numFmtId="0" xfId="0" applyAlignment="1" applyFont="1">
      <alignment vertical="bottom"/>
    </xf>
    <xf borderId="0" fillId="27" fontId="20" numFmtId="0" xfId="0" applyAlignment="1" applyFont="1">
      <alignment horizontal="center" vertical="bottom"/>
    </xf>
    <xf borderId="10" fillId="27" fontId="20" numFmtId="0" xfId="0" applyAlignment="1" applyBorder="1" applyFont="1">
      <alignment horizontal="center" vertical="bottom"/>
    </xf>
    <xf borderId="11" fillId="3" fontId="43" numFmtId="0" xfId="0" applyAlignment="1" applyBorder="1" applyFont="1">
      <alignment horizontal="center" vertical="center"/>
    </xf>
    <xf borderId="3" fillId="3" fontId="20" numFmtId="0" xfId="0" applyAlignment="1" applyBorder="1" applyFont="1">
      <alignment horizontal="center" vertical="center"/>
    </xf>
    <xf borderId="0" fillId="3" fontId="43" numFmtId="0" xfId="0" applyAlignment="1" applyFont="1">
      <alignment horizontal="center" vertical="center"/>
    </xf>
    <xf borderId="16" fillId="3" fontId="43" numFmtId="0" xfId="0" applyAlignment="1" applyBorder="1" applyFont="1">
      <alignment horizontal="center" vertical="center"/>
    </xf>
    <xf borderId="14" fillId="3" fontId="32" numFmtId="0" xfId="0" applyAlignment="1" applyBorder="1" applyFont="1">
      <alignment horizontal="center" vertical="bottom"/>
    </xf>
    <xf borderId="0" fillId="28" fontId="32" numFmtId="0" xfId="0" applyAlignment="1" applyFont="1">
      <alignment horizontal="right" vertical="bottom"/>
    </xf>
    <xf borderId="0" fillId="28" fontId="32" numFmtId="0" xfId="0" applyAlignment="1" applyFont="1">
      <alignment horizontal="center" vertical="bottom"/>
    </xf>
    <xf borderId="10" fillId="28" fontId="20" numFmtId="0" xfId="0" applyAlignment="1" applyBorder="1" applyFont="1">
      <alignment vertical="bottom"/>
    </xf>
    <xf borderId="0" fillId="3" fontId="32" numFmtId="0" xfId="0" applyAlignment="1" applyFont="1">
      <alignment horizontal="right" vertical="bottom"/>
    </xf>
    <xf borderId="3" fillId="3" fontId="32" numFmtId="0" xfId="0" applyAlignment="1" applyBorder="1" applyFont="1">
      <alignment horizontal="center" vertical="bottom"/>
    </xf>
    <xf borderId="0" fillId="3" fontId="32" numFmtId="0" xfId="0" applyAlignment="1" applyFont="1">
      <alignment horizontal="center" vertical="bottom"/>
    </xf>
    <xf borderId="10" fillId="3" fontId="20" numFmtId="0" xfId="0" applyAlignment="1" applyBorder="1" applyFont="1">
      <alignment vertical="bottom"/>
    </xf>
    <xf borderId="0" fillId="0" fontId="20" numFmtId="0" xfId="0" applyAlignment="1" applyFont="1">
      <alignment vertical="bottom"/>
    </xf>
    <xf borderId="9" fillId="2" fontId="20" numFmtId="0" xfId="0" applyAlignment="1" applyBorder="1" applyFont="1">
      <alignment horizontal="right" vertical="bottom"/>
    </xf>
    <xf borderId="9" fillId="2" fontId="18" numFmtId="0" xfId="0" applyAlignment="1" applyBorder="1" applyFont="1">
      <alignment horizontal="left" vertical="bottom"/>
    </xf>
    <xf borderId="9" fillId="2" fontId="20" numFmtId="0" xfId="0" applyAlignment="1" applyBorder="1" applyFont="1">
      <alignment vertical="bottom"/>
    </xf>
    <xf borderId="0" fillId="2" fontId="31" numFmtId="0" xfId="0" applyAlignment="1" applyFont="1">
      <alignment horizontal="left"/>
    </xf>
    <xf borderId="8" fillId="2" fontId="18" numFmtId="0" xfId="0" applyAlignment="1" applyBorder="1" applyFont="1">
      <alignment vertical="bottom"/>
    </xf>
    <xf borderId="11" fillId="29" fontId="20" numFmtId="0" xfId="0" applyAlignment="1" applyBorder="1" applyFont="1">
      <alignment horizontal="center" vertical="bottom"/>
    </xf>
    <xf borderId="0" fillId="6" fontId="32" numFmtId="0" xfId="0" applyAlignment="1" applyFont="1">
      <alignment vertical="bottom"/>
    </xf>
    <xf borderId="11" fillId="31" fontId="20" numFmtId="0" xfId="0" applyAlignment="1" applyBorder="1" applyFont="1">
      <alignment horizontal="center" vertical="bottom"/>
    </xf>
    <xf borderId="3" fillId="6" fontId="20" numFmtId="0" xfId="0" applyAlignment="1" applyBorder="1" applyFont="1">
      <alignment horizontal="center" vertical="bottom"/>
    </xf>
    <xf borderId="0" fillId="6" fontId="56" numFmtId="0" xfId="0" applyAlignment="1" applyFont="1">
      <alignment horizontal="center" vertical="bottom"/>
    </xf>
    <xf borderId="15" fillId="5" fontId="20" numFmtId="0" xfId="0" applyAlignment="1" applyBorder="1" applyFont="1">
      <alignment vertical="bottom"/>
    </xf>
    <xf borderId="0" fillId="2" fontId="20" numFmtId="0" xfId="0" applyAlignment="1" applyFont="1">
      <alignment vertical="bottom"/>
    </xf>
    <xf borderId="0" fillId="2" fontId="18" numFmtId="0" xfId="0" applyAlignment="1" applyFont="1">
      <alignment vertical="bottom"/>
    </xf>
    <xf borderId="0" fillId="6" fontId="20" numFmtId="0" xfId="0" applyAlignment="1" applyFont="1">
      <alignment shrinkToFit="0" vertical="bottom" wrapText="1"/>
    </xf>
    <xf borderId="0" fillId="6" fontId="16" numFmtId="0" xfId="0" applyAlignment="1" applyFont="1">
      <alignment vertical="bottom"/>
    </xf>
    <xf borderId="0" fillId="6" fontId="19" numFmtId="0" xfId="0" applyAlignment="1" applyFont="1">
      <alignment horizontal="center" vertical="bottom"/>
    </xf>
    <xf borderId="9" fillId="3" fontId="18" numFmtId="0" xfId="0" applyAlignment="1" applyBorder="1" applyFont="1">
      <alignment horizontal="center" vertical="center"/>
    </xf>
    <xf borderId="11" fillId="3" fontId="18" numFmtId="0" xfId="0" applyAlignment="1" applyBorder="1" applyFont="1">
      <alignment horizontal="center" vertical="center"/>
    </xf>
    <xf borderId="9" fillId="28" fontId="20" numFmtId="0" xfId="0" applyAlignment="1" applyBorder="1" applyFont="1">
      <alignment horizontal="center" vertical="center"/>
    </xf>
    <xf borderId="9" fillId="28" fontId="20" numFmtId="0" xfId="0" applyAlignment="1" applyBorder="1" applyFont="1">
      <alignment vertical="center"/>
    </xf>
    <xf borderId="9" fillId="28" fontId="18" numFmtId="0" xfId="0" applyAlignment="1" applyBorder="1" applyFont="1">
      <alignment horizontal="right" vertical="center"/>
    </xf>
    <xf borderId="9" fillId="28" fontId="18" numFmtId="0" xfId="0" applyAlignment="1" applyBorder="1" applyFont="1">
      <alignment vertical="center"/>
    </xf>
    <xf borderId="11" fillId="28" fontId="18" numFmtId="0" xfId="0" applyAlignment="1" applyBorder="1" applyFont="1">
      <alignment horizontal="center" vertical="center"/>
    </xf>
    <xf borderId="11" fillId="26" fontId="57" numFmtId="2" xfId="0" applyAlignment="1" applyBorder="1" applyFont="1" applyNumberFormat="1">
      <alignment horizontal="center" vertical="bottom"/>
    </xf>
    <xf borderId="9" fillId="5" fontId="20" numFmtId="0" xfId="0" applyAlignment="1" applyBorder="1" applyFont="1">
      <alignment horizontal="right" vertical="bottom"/>
    </xf>
    <xf borderId="11" fillId="5" fontId="20" numFmtId="2" xfId="0" applyAlignment="1" applyBorder="1" applyFont="1" applyNumberFormat="1">
      <alignment horizontal="center" vertical="bottom"/>
    </xf>
    <xf borderId="11" fillId="26" fontId="20" numFmtId="2" xfId="0" applyAlignment="1" applyBorder="1" applyFont="1" applyNumberFormat="1">
      <alignment horizontal="center" vertical="bottom"/>
    </xf>
    <xf borderId="32" fillId="28" fontId="20" numFmtId="0" xfId="0" applyAlignment="1" applyBorder="1" applyFont="1">
      <alignment horizontal="center" vertical="center"/>
    </xf>
    <xf borderId="0" fillId="0" fontId="58" numFmtId="0" xfId="0" applyAlignment="1" applyFont="1">
      <alignment horizontal="left"/>
    </xf>
    <xf borderId="0" fillId="2" fontId="58" numFmtId="0" xfId="0" applyAlignment="1" applyFont="1">
      <alignment horizontal="left"/>
    </xf>
    <xf borderId="0" fillId="0" fontId="58" numFmtId="0" xfId="0" applyAlignment="1" applyFont="1">
      <alignment horizontal="center"/>
    </xf>
    <xf borderId="0" fillId="0" fontId="59" numFmtId="0" xfId="0" applyFont="1"/>
    <xf borderId="0" fillId="0" fontId="12" numFmtId="0" xfId="0" applyAlignment="1" applyFont="1">
      <alignment horizontal="left"/>
    </xf>
    <xf borderId="0" fillId="2" fontId="59" numFmtId="0" xfId="0" applyFont="1"/>
    <xf borderId="0" fillId="0" fontId="58" numFmtId="0" xfId="0" applyAlignment="1" applyFont="1">
      <alignment horizontal="left" shrinkToFit="0" vertical="top" wrapText="1"/>
    </xf>
    <xf borderId="0" fillId="2" fontId="58" numFmtId="0" xfId="0" applyAlignment="1" applyFont="1">
      <alignment horizontal="left" shrinkToFit="0" vertical="top" wrapText="1"/>
    </xf>
    <xf borderId="0" fillId="0" fontId="12" numFmtId="0" xfId="0" applyAlignment="1" applyFont="1">
      <alignment horizontal="left" shrinkToFit="0" vertical="top" wrapText="1"/>
    </xf>
    <xf borderId="0" fillId="0" fontId="12" numFmtId="0" xfId="0" applyAlignment="1" applyFont="1">
      <alignment horizontal="center" shrinkToFit="0" vertical="top" wrapText="1"/>
    </xf>
    <xf borderId="0" fillId="6" fontId="12" numFmtId="0" xfId="0" applyAlignment="1" applyFont="1">
      <alignment horizontal="left" shrinkToFit="0" vertical="top" wrapText="1"/>
    </xf>
    <xf borderId="0" fillId="6" fontId="59" numFmtId="0" xfId="0" applyFont="1"/>
    <xf borderId="0" fillId="0" fontId="59" numFmtId="164" xfId="0" applyAlignment="1" applyFont="1" applyNumberFormat="1">
      <alignment horizontal="left" shrinkToFit="0" vertical="top" wrapText="1"/>
    </xf>
    <xf borderId="0" fillId="2" fontId="59" numFmtId="164" xfId="0" applyAlignment="1" applyFont="1" applyNumberFormat="1">
      <alignment horizontal="left" shrinkToFit="0" vertical="top" wrapText="1"/>
    </xf>
    <xf borderId="5" fillId="6" fontId="31" numFmtId="164" xfId="0" applyAlignment="1" applyBorder="1" applyFont="1" applyNumberFormat="1">
      <alignment horizontal="left" shrinkToFit="0" vertical="top" wrapText="1"/>
    </xf>
    <xf borderId="0" fillId="6" fontId="31" numFmtId="164" xfId="0" applyAlignment="1" applyFont="1" applyNumberFormat="1">
      <alignment horizontal="left" shrinkToFit="0" vertical="top" wrapText="1"/>
    </xf>
    <xf borderId="0" fillId="0" fontId="59" numFmtId="0" xfId="0" applyAlignment="1" applyFont="1">
      <alignment horizontal="left" shrinkToFit="0" vertical="top" wrapText="1"/>
    </xf>
    <xf borderId="0" fillId="2" fontId="59" numFmtId="0" xfId="0" applyAlignment="1" applyFont="1">
      <alignment horizontal="left" shrinkToFit="0" vertical="top" wrapText="1"/>
    </xf>
    <xf borderId="5" fillId="6" fontId="31" numFmtId="0" xfId="0" applyAlignment="1" applyBorder="1" applyFont="1">
      <alignment horizontal="left" shrinkToFit="0" vertical="top" wrapText="1"/>
    </xf>
    <xf borderId="0" fillId="6" fontId="31" numFmtId="0" xfId="0" applyAlignment="1" applyFont="1">
      <alignment horizontal="left" shrinkToFit="0" vertical="top" wrapText="1"/>
    </xf>
    <xf borderId="0" fillId="0" fontId="59" numFmtId="0" xfId="0" applyAlignment="1" applyFont="1">
      <alignment horizontal="center" vertical="bottom"/>
    </xf>
    <xf borderId="0" fillId="0" fontId="31" numFmtId="0" xfId="0" applyAlignment="1" applyFont="1">
      <alignment horizontal="left" vertical="bottom"/>
    </xf>
    <xf borderId="0" fillId="0" fontId="31" numFmtId="0" xfId="0" applyAlignment="1" applyFont="1">
      <alignment horizontal="center" vertical="bottom"/>
    </xf>
    <xf borderId="0" fillId="2" fontId="59" numFmtId="0" xfId="0" applyAlignment="1" applyFont="1">
      <alignment horizontal="center" vertical="bottom"/>
    </xf>
    <xf borderId="0" fillId="2" fontId="12" numFmtId="0" xfId="0" applyAlignment="1" applyFont="1">
      <alignment horizontal="left" vertical="bottom"/>
    </xf>
    <xf borderId="0" fillId="2" fontId="31" numFmtId="0" xfId="0" applyAlignment="1" applyFont="1">
      <alignment horizontal="center" vertical="bottom"/>
    </xf>
    <xf borderId="0" fillId="2" fontId="31" numFmtId="0" xfId="0" applyAlignment="1" applyFont="1">
      <alignment horizontal="left" vertical="bottom"/>
    </xf>
    <xf borderId="0" fillId="6" fontId="12" numFmtId="0" xfId="0" applyAlignment="1" applyFont="1">
      <alignment horizontal="left" vertical="bottom"/>
    </xf>
    <xf borderId="0" fillId="6" fontId="31" numFmtId="0" xfId="0" applyAlignment="1" applyFont="1">
      <alignment horizontal="center" vertical="bottom"/>
    </xf>
    <xf borderId="0" fillId="6" fontId="31" numFmtId="0" xfId="0" applyAlignment="1" applyFont="1">
      <alignment horizontal="left" vertical="bottom"/>
    </xf>
    <xf borderId="3" fillId="6" fontId="31" numFmtId="0" xfId="0" applyAlignment="1" applyBorder="1" applyFont="1">
      <alignment horizontal="left" vertical="bottom"/>
    </xf>
    <xf borderId="0" fillId="0" fontId="59" numFmtId="0" xfId="0" applyAlignment="1" applyFont="1">
      <alignment horizontal="left" vertical="bottom"/>
    </xf>
    <xf borderId="0" fillId="2" fontId="59" numFmtId="0" xfId="0" applyAlignment="1" applyFont="1">
      <alignment horizontal="left" vertical="bottom"/>
    </xf>
    <xf borderId="0" fillId="0" fontId="58" numFmtId="0" xfId="0" applyAlignment="1" applyFont="1">
      <alignment horizontal="center" vertical="bottom"/>
    </xf>
    <xf borderId="0" fillId="2" fontId="58" numFmtId="0" xfId="0" applyAlignment="1" applyFont="1">
      <alignment horizontal="center" vertical="bottom"/>
    </xf>
    <xf borderId="0" fillId="8" fontId="58" numFmtId="0" xfId="0" applyAlignment="1" applyFont="1">
      <alignment horizontal="left" vertical="bottom"/>
    </xf>
    <xf borderId="0" fillId="8" fontId="59" numFmtId="0" xfId="0" applyAlignment="1" applyFont="1">
      <alignment horizontal="center" vertical="bottom"/>
    </xf>
    <xf borderId="0" fillId="8" fontId="59" numFmtId="0" xfId="0" applyAlignment="1" applyFont="1">
      <alignment horizontal="left" vertical="bottom"/>
    </xf>
    <xf borderId="0" fillId="33" fontId="58" numFmtId="0" xfId="0" applyAlignment="1" applyFill="1" applyFont="1">
      <alignment horizontal="left" vertical="bottom"/>
    </xf>
    <xf borderId="0" fillId="33" fontId="59" numFmtId="0" xfId="0" applyAlignment="1" applyFont="1">
      <alignment horizontal="left" vertical="bottom"/>
    </xf>
    <xf borderId="0" fillId="2" fontId="58" numFmtId="0" xfId="0" applyAlignment="1" applyFont="1">
      <alignment horizontal="left" vertical="bottom"/>
    </xf>
    <xf borderId="0" fillId="13" fontId="58" numFmtId="0" xfId="0" applyAlignment="1" applyFont="1">
      <alignment horizontal="left" vertical="bottom"/>
    </xf>
    <xf borderId="0" fillId="13" fontId="59" numFmtId="0" xfId="0" applyAlignment="1" applyFont="1">
      <alignment horizontal="left" vertical="bottom"/>
    </xf>
    <xf borderId="0" fillId="6" fontId="59" numFmtId="0" xfId="0" applyAlignment="1" applyFont="1">
      <alignment horizontal="left" vertical="bottom"/>
    </xf>
    <xf borderId="3" fillId="0" fontId="59" numFmtId="0" xfId="0" applyAlignment="1" applyBorder="1" applyFont="1">
      <alignment horizontal="left" vertical="bottom"/>
    </xf>
    <xf borderId="0" fillId="18" fontId="58" numFmtId="0" xfId="0" applyAlignment="1" applyFont="1">
      <alignment horizontal="left" vertical="bottom"/>
    </xf>
    <xf borderId="0" fillId="18" fontId="59" numFmtId="0" xfId="0" applyAlignment="1" applyFont="1">
      <alignment horizontal="left" vertical="bottom"/>
    </xf>
    <xf borderId="0" fillId="30" fontId="58" numFmtId="0" xfId="0" applyAlignment="1" applyFont="1">
      <alignment horizontal="left" vertical="bottom"/>
    </xf>
    <xf borderId="0" fillId="30" fontId="59" numFmtId="0" xfId="0" applyAlignment="1" applyFont="1">
      <alignment horizontal="left" vertical="bottom"/>
    </xf>
    <xf borderId="0" fillId="0" fontId="58" numFmtId="0" xfId="0" applyAlignment="1" applyFont="1">
      <alignment horizontal="left" vertical="bottom"/>
    </xf>
    <xf borderId="0" fillId="2" fontId="60" numFmtId="0" xfId="0" applyAlignment="1" applyFont="1">
      <alignment horizontal="center" vertical="bottom"/>
    </xf>
    <xf borderId="5" fillId="0" fontId="59" numFmtId="0" xfId="0" applyAlignment="1" applyBorder="1" applyFont="1">
      <alignment horizontal="left" vertical="bottom"/>
    </xf>
    <xf borderId="34" fillId="0" fontId="59" numFmtId="0" xfId="0" applyAlignment="1" applyBorder="1" applyFont="1">
      <alignment horizontal="center" vertical="bottom"/>
    </xf>
    <xf borderId="35" fillId="0" fontId="59" numFmtId="0" xfId="0" applyAlignment="1" applyBorder="1" applyFont="1">
      <alignment horizontal="left" vertical="bottom"/>
    </xf>
    <xf borderId="0" fillId="14" fontId="58" numFmtId="0" xfId="0" applyAlignment="1" applyFont="1">
      <alignment horizontal="left" vertical="bottom"/>
    </xf>
    <xf borderId="0" fillId="14" fontId="59" numFmtId="0" xfId="0" applyAlignment="1" applyFont="1">
      <alignment horizontal="center" vertical="bottom"/>
    </xf>
    <xf borderId="0" fillId="14" fontId="59" numFmtId="0" xfId="0" applyAlignment="1" applyFont="1">
      <alignment horizontal="left" vertical="bottom"/>
    </xf>
    <xf borderId="0" fillId="14" fontId="59" numFmtId="0" xfId="0" applyFont="1"/>
    <xf borderId="0" fillId="33" fontId="59" numFmtId="0" xfId="0" applyFont="1"/>
    <xf borderId="0" fillId="18" fontId="59" numFmtId="0" xfId="0" applyFont="1"/>
    <xf borderId="0" fillId="30" fontId="59" numFmtId="0" xfId="0" applyFont="1"/>
    <xf borderId="0" fillId="23" fontId="58" numFmtId="0" xfId="0" applyAlignment="1" applyFont="1">
      <alignment horizontal="left" vertical="bottom"/>
    </xf>
    <xf borderId="0" fillId="23" fontId="59" numFmtId="0" xfId="0" applyAlignment="1" applyFont="1">
      <alignment horizontal="center" vertical="bottom"/>
    </xf>
    <xf borderId="0" fillId="23" fontId="59" numFmtId="0" xfId="0" applyAlignment="1" applyFont="1">
      <alignment horizontal="left" vertical="bottom"/>
    </xf>
    <xf borderId="0" fillId="23" fontId="59" numFmtId="0" xfId="0" applyFont="1"/>
    <xf borderId="6" fillId="0" fontId="59" numFmtId="0" xfId="0" applyAlignment="1" applyBorder="1" applyFont="1">
      <alignment horizontal="center" vertical="bottom"/>
    </xf>
    <xf borderId="0" fillId="2" fontId="12" numFmtId="0" xfId="0" applyAlignment="1" applyFont="1">
      <alignment horizontal="center" vertical="bottom"/>
    </xf>
    <xf borderId="0" fillId="0" fontId="59" numFmtId="0" xfId="0" applyAlignment="1" applyFont="1">
      <alignment horizontal="center"/>
    </xf>
    <xf borderId="0" fillId="2" fontId="59" numFmtId="0" xfId="0" applyAlignment="1" applyFont="1">
      <alignment horizontal="center"/>
    </xf>
    <xf borderId="0" fillId="0" fontId="59" numFmtId="0" xfId="0" applyAlignment="1" applyFont="1">
      <alignment horizontal="left"/>
    </xf>
    <xf borderId="0" fillId="0" fontId="59" numFmtId="2" xfId="0" applyAlignment="1" applyFont="1" applyNumberFormat="1">
      <alignment horizontal="center"/>
    </xf>
    <xf borderId="0" fillId="3" fontId="7" numFmtId="0" xfId="0" applyAlignment="1" applyFont="1">
      <alignment horizontal="center" vertical="center"/>
    </xf>
    <xf borderId="0" fillId="4" fontId="7" numFmtId="0" xfId="0" applyAlignment="1" applyFont="1">
      <alignment horizontal="center" vertical="center"/>
    </xf>
    <xf borderId="1" fillId="5" fontId="6" numFmtId="0" xfId="0" applyAlignment="1" applyBorder="1" applyFont="1">
      <alignment horizontal="center"/>
    </xf>
    <xf borderId="1" fillId="5" fontId="3" numFmtId="0" xfId="0" applyAlignment="1" applyBorder="1" applyFont="1">
      <alignment horizontal="center"/>
    </xf>
    <xf borderId="1" fillId="5" fontId="4" numFmtId="0" xfId="0" applyAlignment="1" applyBorder="1" applyFont="1">
      <alignment horizontal="center"/>
    </xf>
    <xf borderId="0" fillId="0" fontId="15" numFmtId="0" xfId="0" applyAlignment="1" applyFont="1">
      <alignment horizontal="left"/>
    </xf>
    <xf borderId="0" fillId="0" fontId="5" numFmtId="0" xfId="0" applyAlignment="1" applyFont="1">
      <alignment horizontal="left"/>
    </xf>
    <xf borderId="0" fillId="0" fontId="5" numFmtId="167" xfId="0" applyAlignment="1" applyFont="1" applyNumberFormat="1">
      <alignment horizontal="center"/>
    </xf>
    <xf borderId="0" fillId="5" fontId="61" numFmtId="0" xfId="0" applyFont="1"/>
    <xf borderId="0" fillId="0" fontId="62" numFmtId="0" xfId="0" applyAlignment="1" applyFont="1">
      <alignment horizontal="center"/>
    </xf>
    <xf borderId="0" fillId="0" fontId="23" numFmtId="0" xfId="0" applyAlignment="1" applyFont="1">
      <alignment horizontal="center" vertical="center"/>
    </xf>
    <xf borderId="0" fillId="0" fontId="22" numFmtId="0" xfId="0" applyAlignment="1" applyFont="1">
      <alignment horizontal="left"/>
    </xf>
    <xf borderId="9" fillId="26" fontId="10" numFmtId="0" xfId="0" applyAlignment="1" applyBorder="1" applyFont="1">
      <alignment horizontal="right" vertical="center"/>
    </xf>
    <xf borderId="9" fillId="26" fontId="10" numFmtId="0" xfId="0" applyAlignment="1" applyBorder="1" applyFont="1">
      <alignment horizontal="left" vertical="center"/>
    </xf>
    <xf borderId="36" fillId="26" fontId="26" numFmtId="0" xfId="0" applyAlignment="1" applyBorder="1" applyFont="1">
      <alignment horizontal="center" textRotation="180"/>
    </xf>
    <xf borderId="37" fillId="26" fontId="26" numFmtId="0" xfId="0" applyAlignment="1" applyBorder="1" applyFont="1">
      <alignment horizontal="center" textRotation="180"/>
    </xf>
    <xf borderId="37" fillId="26" fontId="3" numFmtId="0" xfId="0" applyAlignment="1" applyBorder="1" applyFont="1">
      <alignment horizontal="center"/>
    </xf>
    <xf borderId="38" fillId="26" fontId="3" numFmtId="0" xfId="0" applyAlignment="1" applyBorder="1" applyFont="1">
      <alignment horizontal="left"/>
    </xf>
    <xf borderId="11" fillId="26" fontId="26" numFmtId="0" xfId="0" applyAlignment="1" applyBorder="1" applyFont="1">
      <alignment horizontal="center"/>
    </xf>
    <xf borderId="9" fillId="26" fontId="10" numFmtId="0" xfId="0" applyAlignment="1" applyBorder="1" applyFont="1">
      <alignment vertical="top"/>
    </xf>
    <xf borderId="9" fillId="26" fontId="10" numFmtId="0" xfId="0" applyAlignment="1" applyBorder="1" applyFont="1">
      <alignment horizontal="left" shrinkToFit="0" vertical="top" wrapText="1"/>
    </xf>
    <xf borderId="39" fillId="26" fontId="26" numFmtId="0" xfId="0" applyAlignment="1" applyBorder="1" applyFont="1">
      <alignment horizontal="center" textRotation="180"/>
    </xf>
    <xf borderId="40" fillId="26" fontId="26" numFmtId="0" xfId="0" applyAlignment="1" applyBorder="1" applyFont="1">
      <alignment horizontal="center" textRotation="180"/>
    </xf>
    <xf borderId="40" fillId="26" fontId="26" numFmtId="0" xfId="0" applyAlignment="1" applyBorder="1" applyFont="1">
      <alignment horizontal="center"/>
    </xf>
    <xf borderId="41" fillId="26" fontId="26" numFmtId="0" xfId="0" applyAlignment="1" applyBorder="1" applyFont="1">
      <alignment horizontal="left"/>
    </xf>
    <xf borderId="14" fillId="26" fontId="9" numFmtId="0" xfId="0" applyAlignment="1" applyBorder="1" applyFont="1">
      <alignment horizontal="center" shrinkToFit="0" wrapText="1"/>
    </xf>
    <xf borderId="0" fillId="0" fontId="21" numFmtId="0" xfId="0" applyAlignment="1" applyFont="1">
      <alignment horizontal="center"/>
    </xf>
    <xf borderId="9" fillId="26" fontId="9" numFmtId="0" xfId="0" applyBorder="1" applyFont="1"/>
    <xf borderId="9" fillId="26" fontId="10" numFmtId="0" xfId="0" applyAlignment="1" applyBorder="1" applyFont="1">
      <alignment horizontal="right" shrinkToFit="0" vertical="top" wrapText="1"/>
    </xf>
    <xf borderId="42" fillId="0" fontId="11" numFmtId="0" xfId="0" applyBorder="1" applyFont="1"/>
    <xf borderId="43" fillId="0" fontId="11" numFmtId="0" xfId="0" applyBorder="1" applyFont="1"/>
    <xf borderId="8" fillId="26" fontId="9" numFmtId="0" xfId="0" applyAlignment="1" applyBorder="1" applyFont="1">
      <alignment horizontal="center" shrinkToFit="0" wrapText="1"/>
    </xf>
    <xf borderId="9" fillId="10" fontId="3" numFmtId="0" xfId="0" applyAlignment="1" applyBorder="1" applyFont="1">
      <alignment horizontal="center"/>
    </xf>
    <xf borderId="9" fillId="10" fontId="4" numFmtId="0" xfId="0" applyAlignment="1" applyBorder="1" applyFont="1">
      <alignment horizontal="center"/>
    </xf>
    <xf borderId="11" fillId="26" fontId="10" numFmtId="0" xfId="0" applyAlignment="1" applyBorder="1" applyFont="1">
      <alignment horizontal="center"/>
    </xf>
    <xf borderId="44" fillId="10" fontId="10" numFmtId="0" xfId="0" applyAlignment="1" applyBorder="1" applyFont="1">
      <alignment horizontal="left" shrinkToFit="0" vertical="top" wrapText="1"/>
    </xf>
    <xf borderId="44" fillId="10" fontId="8" numFmtId="0" xfId="0" applyAlignment="1" applyBorder="1" applyFont="1">
      <alignment horizontal="left" shrinkToFit="0" vertical="top" wrapText="1"/>
    </xf>
    <xf borderId="44" fillId="10" fontId="26" numFmtId="0" xfId="0" applyAlignment="1" applyBorder="1" applyFont="1">
      <alignment horizontal="center" textRotation="180"/>
    </xf>
    <xf borderId="44" fillId="10" fontId="26" numFmtId="0" xfId="0" applyAlignment="1" applyBorder="1" applyFont="1">
      <alignment horizontal="center"/>
    </xf>
    <xf borderId="44" fillId="10" fontId="26" numFmtId="0" xfId="0" applyAlignment="1" applyBorder="1" applyFont="1">
      <alignment horizontal="left"/>
    </xf>
    <xf borderId="45" fillId="10" fontId="9" numFmtId="0" xfId="0" applyAlignment="1" applyBorder="1" applyFont="1">
      <alignment horizontal="center" shrinkToFit="0" wrapText="1"/>
    </xf>
    <xf borderId="46" fillId="10" fontId="9" numFmtId="0" xfId="0" applyAlignment="1" applyBorder="1" applyFont="1">
      <alignment horizontal="center" shrinkToFit="0" wrapText="1"/>
    </xf>
    <xf borderId="47" fillId="10" fontId="8" numFmtId="0" xfId="0" applyAlignment="1" applyBorder="1" applyFont="1">
      <alignment horizontal="left" shrinkToFit="0" vertical="top" wrapText="1"/>
    </xf>
    <xf borderId="9" fillId="10" fontId="26" numFmtId="0" xfId="0" applyAlignment="1" applyBorder="1" applyFont="1">
      <alignment horizontal="center" textRotation="180"/>
    </xf>
    <xf borderId="9" fillId="10" fontId="26" numFmtId="0" xfId="0" applyAlignment="1" applyBorder="1" applyFont="1">
      <alignment horizontal="center"/>
    </xf>
    <xf borderId="9" fillId="10" fontId="26" numFmtId="0" xfId="0" applyAlignment="1" applyBorder="1" applyFont="1">
      <alignment horizontal="left"/>
    </xf>
    <xf borderId="48" fillId="0" fontId="11" numFmtId="0" xfId="0" applyBorder="1" applyFont="1"/>
    <xf borderId="47" fillId="10" fontId="10" numFmtId="0" xfId="0" applyAlignment="1" applyBorder="1" applyFont="1">
      <alignment horizontal="center"/>
    </xf>
    <xf borderId="9" fillId="10" fontId="15" numFmtId="0" xfId="0" applyAlignment="1" applyBorder="1" applyFont="1">
      <alignment horizontal="center"/>
    </xf>
    <xf borderId="45" fillId="0" fontId="40" numFmtId="0" xfId="0" applyAlignment="1" applyBorder="1" applyFont="1">
      <alignment horizontal="center" shrinkToFit="0" vertical="top" wrapText="1"/>
    </xf>
    <xf borderId="3" fillId="0" fontId="33" numFmtId="0" xfId="0" applyAlignment="1" applyBorder="1" applyFont="1">
      <alignment horizontal="center"/>
    </xf>
    <xf borderId="49" fillId="0" fontId="11" numFmtId="0" xfId="0" applyBorder="1" applyFont="1"/>
    <xf borderId="0" fillId="0" fontId="2" numFmtId="0" xfId="0" applyAlignment="1" applyFont="1">
      <alignment horizontal="center" shrinkToFit="0" vertical="center" wrapText="1"/>
    </xf>
    <xf borderId="9" fillId="10" fontId="9" numFmtId="0" xfId="0" applyAlignment="1" applyBorder="1" applyFont="1">
      <alignment shrinkToFit="0" vertical="top" wrapText="1"/>
    </xf>
    <xf borderId="0" fillId="5" fontId="2" numFmtId="0" xfId="0" applyAlignment="1" applyFont="1">
      <alignment horizontal="center" shrinkToFit="0" vertical="center" wrapText="1"/>
    </xf>
    <xf borderId="9" fillId="10" fontId="9" numFmtId="9" xfId="0" applyAlignment="1" applyBorder="1" applyFont="1" applyNumberFormat="1">
      <alignment horizontal="left"/>
    </xf>
    <xf borderId="0" fillId="0" fontId="23" numFmtId="0" xfId="0" applyAlignment="1" applyFont="1">
      <alignment horizontal="center" shrinkToFit="0" vertical="center" wrapText="1"/>
    </xf>
    <xf borderId="0" fillId="0" fontId="33" numFmtId="0" xfId="0" applyAlignment="1" applyFont="1">
      <alignment horizontal="left" vertical="top"/>
    </xf>
    <xf borderId="0" fillId="10" fontId="31" numFmtId="0" xfId="0" applyAlignment="1" applyFont="1">
      <alignment vertical="top"/>
    </xf>
    <xf borderId="0" fillId="10" fontId="17" numFmtId="0" xfId="0" applyAlignment="1" applyFont="1">
      <alignment horizontal="left" vertical="top"/>
    </xf>
    <xf borderId="0" fillId="10" fontId="31" numFmtId="0" xfId="0" applyAlignment="1" applyFont="1">
      <alignment horizontal="center" vertical="bottom"/>
    </xf>
    <xf borderId="7" fillId="5" fontId="17" numFmtId="0" xfId="0" applyAlignment="1" applyBorder="1" applyFont="1">
      <alignment horizontal="center" vertical="bottom"/>
    </xf>
    <xf borderId="0" fillId="10" fontId="31" numFmtId="0" xfId="0" applyAlignment="1" applyFont="1">
      <alignment horizontal="left" vertical="bottom"/>
    </xf>
    <xf borderId="0" fillId="0" fontId="17" numFmtId="0" xfId="0" applyAlignment="1" applyFont="1">
      <alignment horizontal="left" vertical="top"/>
    </xf>
    <xf borderId="50" fillId="0" fontId="17" numFmtId="0" xfId="0" applyAlignment="1" applyBorder="1" applyFont="1">
      <alignment horizontal="center" vertical="bottom"/>
    </xf>
    <xf borderId="51" fillId="0" fontId="17" numFmtId="0" xfId="0" applyAlignment="1" applyBorder="1" applyFont="1">
      <alignment horizontal="center" vertical="bottom"/>
    </xf>
    <xf borderId="52" fillId="5" fontId="17" numFmtId="0" xfId="0" applyAlignment="1" applyBorder="1" applyFont="1">
      <alignment horizontal="center" vertical="bottom"/>
    </xf>
    <xf borderId="9" fillId="10" fontId="9" numFmtId="16" xfId="0" applyAlignment="1" applyBorder="1" applyFont="1" applyNumberFormat="1">
      <alignment horizontal="center"/>
    </xf>
    <xf borderId="0" fillId="5" fontId="2" numFmtId="0" xfId="0" applyAlignment="1" applyFont="1">
      <alignment horizontal="center" vertical="center"/>
    </xf>
    <xf borderId="0" fillId="0" fontId="2" numFmtId="0" xfId="0" applyAlignment="1" applyFont="1">
      <alignment horizontal="left" shrinkToFit="0" vertical="top" wrapText="1"/>
    </xf>
    <xf borderId="39" fillId="10" fontId="26" numFmtId="0" xfId="0" applyAlignment="1" applyBorder="1" applyFont="1">
      <alignment horizontal="center" textRotation="180"/>
    </xf>
    <xf borderId="40" fillId="10" fontId="26" numFmtId="0" xfId="0" applyAlignment="1" applyBorder="1" applyFont="1">
      <alignment horizontal="center" textRotation="180"/>
    </xf>
    <xf borderId="36" fillId="10" fontId="26" numFmtId="0" xfId="0" applyAlignment="1" applyBorder="1" applyFont="1">
      <alignment horizontal="center" textRotation="180"/>
    </xf>
    <xf borderId="40" fillId="10" fontId="26" numFmtId="0" xfId="0" applyAlignment="1" applyBorder="1" applyFont="1">
      <alignment horizontal="center"/>
    </xf>
    <xf borderId="41" fillId="10" fontId="26" numFmtId="0" xfId="0" applyAlignment="1" applyBorder="1" applyFont="1">
      <alignment horizontal="left"/>
    </xf>
    <xf borderId="9" fillId="5" fontId="26" numFmtId="0" xfId="0" applyAlignment="1" applyBorder="1" applyFont="1">
      <alignment horizontal="center" textRotation="180"/>
    </xf>
    <xf borderId="9" fillId="5" fontId="26" numFmtId="0" xfId="0" applyAlignment="1" applyBorder="1" applyFont="1">
      <alignment horizontal="center"/>
    </xf>
    <xf borderId="9" fillId="5" fontId="26" numFmtId="0" xfId="0" applyAlignment="1" applyBorder="1" applyFont="1">
      <alignment horizontal="left"/>
    </xf>
    <xf borderId="3" fillId="5" fontId="9" numFmtId="3" xfId="0" applyAlignment="1" applyBorder="1" applyFont="1" applyNumberFormat="1">
      <alignment horizontal="center"/>
    </xf>
    <xf borderId="45" fillId="5" fontId="40" numFmtId="0" xfId="0" applyAlignment="1" applyBorder="1" applyFont="1">
      <alignment horizontal="center" shrinkToFit="0" vertical="top" wrapText="1"/>
    </xf>
    <xf quotePrefix="1" borderId="9" fillId="10" fontId="9" numFmtId="0" xfId="0" applyAlignment="1" applyBorder="1" applyFont="1">
      <alignment horizontal="center"/>
    </xf>
    <xf borderId="9" fillId="10" fontId="63" numFmtId="0" xfId="0" applyAlignment="1" applyBorder="1" applyFont="1">
      <alignment horizontal="left" vertical="top"/>
    </xf>
    <xf borderId="3" fillId="5" fontId="40" numFmtId="0" xfId="0" applyAlignment="1" applyBorder="1" applyFont="1">
      <alignment shrinkToFit="0" vertical="top" wrapText="1"/>
    </xf>
    <xf borderId="3" fillId="5" fontId="40" numFmtId="0" xfId="0" applyAlignment="1" applyBorder="1" applyFont="1">
      <alignment horizontal="center" shrinkToFit="0" vertical="top" wrapText="1"/>
    </xf>
    <xf borderId="9" fillId="10" fontId="2" numFmtId="0" xfId="0" applyAlignment="1" applyBorder="1" applyFont="1">
      <alignment horizontal="left"/>
    </xf>
    <xf borderId="45" fillId="5" fontId="2" numFmtId="0" xfId="0" applyAlignment="1" applyBorder="1" applyFont="1">
      <alignment horizontal="center" shrinkToFit="0" vertical="top" wrapText="1"/>
    </xf>
    <xf borderId="9" fillId="5" fontId="2" numFmtId="0" xfId="0" applyAlignment="1" applyBorder="1" applyFont="1">
      <alignment horizontal="center" shrinkToFit="0" vertical="top" wrapText="1"/>
    </xf>
    <xf borderId="9" fillId="10" fontId="3" numFmtId="0" xfId="0" applyBorder="1" applyFont="1"/>
    <xf borderId="9" fillId="10" fontId="3" numFmtId="0" xfId="0" applyAlignment="1" applyBorder="1" applyFont="1">
      <alignment horizontal="left"/>
    </xf>
    <xf borderId="9" fillId="10" fontId="3" numFmtId="165" xfId="0" applyAlignment="1" applyBorder="1" applyFont="1" applyNumberFormat="1">
      <alignment horizontal="center"/>
    </xf>
    <xf borderId="9" fillId="34" fontId="3" numFmtId="0" xfId="0" applyAlignment="1" applyBorder="1" applyFill="1" applyFont="1">
      <alignment horizontal="center"/>
    </xf>
    <xf borderId="7" fillId="5" fontId="31" numFmtId="0" xfId="0" applyAlignment="1" applyBorder="1" applyFont="1">
      <alignment horizontal="center" vertical="bottom"/>
    </xf>
    <xf borderId="9" fillId="10" fontId="64" numFmtId="0" xfId="0" applyAlignment="1" applyBorder="1" applyFont="1">
      <alignment horizontal="left" vertical="top"/>
    </xf>
    <xf quotePrefix="1" borderId="9" fillId="10" fontId="9" numFmtId="0" xfId="0" applyAlignment="1" applyBorder="1" applyFont="1">
      <alignment horizontal="left"/>
    </xf>
    <xf borderId="0" fillId="2" fontId="10" numFmtId="0" xfId="0" applyAlignment="1" applyFont="1">
      <alignment vertical="top"/>
    </xf>
    <xf borderId="0" fillId="2" fontId="10" numFmtId="0" xfId="0" applyAlignment="1" applyFont="1">
      <alignment horizontal="left" shrinkToFit="0" vertical="top" wrapText="1"/>
    </xf>
    <xf borderId="4" fillId="26" fontId="15" numFmtId="0" xfId="0" applyAlignment="1" applyBorder="1" applyFont="1">
      <alignment horizontal="left" shrinkToFit="0" vertical="bottom" wrapText="1"/>
    </xf>
    <xf borderId="17" fillId="26" fontId="15" numFmtId="0" xfId="0" applyAlignment="1" applyBorder="1" applyFont="1">
      <alignment horizontal="left" shrinkToFit="0" vertical="bottom" wrapText="1"/>
    </xf>
    <xf borderId="2" fillId="2" fontId="15" numFmtId="0" xfId="0" applyAlignment="1" applyBorder="1" applyFont="1">
      <alignment horizontal="left" vertical="center"/>
    </xf>
    <xf borderId="53" fillId="2" fontId="15" numFmtId="0" xfId="0" applyAlignment="1" applyBorder="1" applyFont="1">
      <alignment horizontal="left" vertical="center"/>
    </xf>
    <xf borderId="45" fillId="10" fontId="10" numFmtId="0" xfId="0" applyAlignment="1" applyBorder="1" applyFont="1">
      <alignment horizontal="center" shrinkToFit="0" wrapText="1"/>
    </xf>
    <xf borderId="46" fillId="10" fontId="10" numFmtId="0" xfId="0" applyAlignment="1" applyBorder="1" applyFont="1">
      <alignment horizontal="center" shrinkToFit="0" wrapText="1"/>
    </xf>
    <xf borderId="3" fillId="5" fontId="8" numFmtId="165" xfId="0" applyAlignment="1" applyBorder="1" applyFont="1" applyNumberFormat="1">
      <alignment horizontal="center"/>
    </xf>
    <xf borderId="0" fillId="0" fontId="7" numFmtId="0" xfId="0" applyAlignment="1" applyFont="1">
      <alignment horizontal="center" shrinkToFit="0" vertical="top" wrapText="1"/>
    </xf>
    <xf borderId="46" fillId="10" fontId="8" numFmtId="0" xfId="0" applyAlignment="1" applyBorder="1" applyFont="1">
      <alignment horizontal="center" shrinkToFit="0" wrapText="1"/>
    </xf>
    <xf borderId="9" fillId="5" fontId="8" numFmtId="0" xfId="0" applyAlignment="1" applyBorder="1" applyFont="1">
      <alignment horizontal="center"/>
    </xf>
    <xf borderId="3" fillId="5" fontId="8" numFmtId="4" xfId="0" applyAlignment="1" applyBorder="1" applyFont="1" applyNumberFormat="1">
      <alignment horizontal="center"/>
    </xf>
    <xf borderId="3" fillId="5" fontId="6" numFmtId="0" xfId="0" applyAlignment="1" applyBorder="1" applyFont="1">
      <alignment horizontal="center" shrinkToFit="0" vertical="top" wrapText="1"/>
    </xf>
    <xf borderId="3" fillId="5" fontId="8" numFmtId="0" xfId="0" applyAlignment="1" applyBorder="1" applyFont="1">
      <alignment horizontal="center"/>
    </xf>
    <xf borderId="0" fillId="2" fontId="10" numFmtId="0" xfId="0" applyAlignment="1" applyFont="1">
      <alignment horizontal="left" vertical="center"/>
    </xf>
    <xf borderId="0" fillId="2" fontId="26" numFmtId="0" xfId="0" applyAlignment="1" applyFont="1">
      <alignment horizontal="center" textRotation="180"/>
    </xf>
    <xf borderId="0" fillId="2" fontId="3" numFmtId="0" xfId="0" applyAlignment="1" applyFont="1">
      <alignment horizontal="left"/>
    </xf>
    <xf borderId="0" fillId="2" fontId="26" numFmtId="0" xfId="0" applyAlignment="1" applyFont="1">
      <alignment horizontal="center"/>
    </xf>
    <xf borderId="17" fillId="2" fontId="15" numFmtId="0" xfId="0" applyAlignment="1" applyBorder="1" applyFont="1">
      <alignment horizontal="left" shrinkToFit="0" vertical="bottom" wrapText="1"/>
    </xf>
    <xf borderId="0" fillId="10" fontId="27" numFmtId="0" xfId="0" applyAlignment="1" applyFont="1">
      <alignment horizontal="left" shrinkToFit="0" vertical="top" wrapText="1"/>
    </xf>
    <xf borderId="0" fillId="10" fontId="15" numFmtId="0" xfId="0" applyAlignment="1" applyFont="1">
      <alignment horizontal="left"/>
    </xf>
    <xf borderId="0" fillId="10" fontId="15" numFmtId="0" xfId="0" applyAlignment="1" applyFont="1">
      <alignment horizontal="left" shrinkToFit="0" wrapText="1"/>
    </xf>
    <xf borderId="0" fillId="10" fontId="8" numFmtId="0" xfId="0" applyAlignment="1" applyFont="1">
      <alignment horizontal="left" shrinkToFit="0" vertical="top" wrapText="1"/>
    </xf>
    <xf borderId="0" fillId="0" fontId="9" numFmtId="0" xfId="0" applyAlignment="1" applyFont="1">
      <alignment vertical="top"/>
    </xf>
    <xf borderId="8" fillId="10" fontId="9" numFmtId="0" xfId="0" applyAlignment="1" applyBorder="1" applyFont="1">
      <alignment horizontal="center"/>
    </xf>
    <xf borderId="13" fillId="10" fontId="9" numFmtId="0" xfId="0" applyAlignment="1" applyBorder="1" applyFont="1">
      <alignment horizontal="center"/>
    </xf>
    <xf quotePrefix="1" borderId="13" fillId="10" fontId="9" numFmtId="0" xfId="0" applyAlignment="1" applyBorder="1" applyFont="1">
      <alignment horizontal="center"/>
    </xf>
    <xf borderId="0" fillId="0" fontId="65" numFmtId="0" xfId="0" applyAlignment="1" applyFont="1">
      <alignment horizontal="left" vertical="top"/>
    </xf>
    <xf borderId="0" fillId="10" fontId="65" numFmtId="0" xfId="0" applyAlignment="1" applyFont="1">
      <alignment horizontal="left" vertical="top"/>
    </xf>
    <xf quotePrefix="1" borderId="12" fillId="10" fontId="9" numFmtId="0" xfId="0" applyAlignment="1" applyBorder="1" applyFont="1">
      <alignment horizontal="center"/>
    </xf>
    <xf borderId="3" fillId="5" fontId="17" numFmtId="0" xfId="0" applyAlignment="1" applyBorder="1" applyFont="1">
      <alignment horizontal="center" vertical="bottom"/>
    </xf>
    <xf borderId="13" fillId="5" fontId="9" numFmtId="0" xfId="0" applyBorder="1" applyFont="1"/>
    <xf borderId="17" fillId="5" fontId="9" numFmtId="0" xfId="0" applyAlignment="1" applyBorder="1" applyFont="1">
      <alignment horizontal="left" vertical="top"/>
    </xf>
    <xf borderId="16" fillId="10" fontId="9" numFmtId="9" xfId="0" applyAlignment="1" applyBorder="1" applyFont="1" applyNumberFormat="1">
      <alignment horizontal="left"/>
    </xf>
    <xf borderId="1" fillId="10" fontId="27" numFmtId="0" xfId="0" applyAlignment="1" applyBorder="1" applyFont="1">
      <alignment horizontal="left" shrinkToFit="0" vertical="top" wrapText="1"/>
    </xf>
    <xf borderId="17" fillId="6" fontId="15" numFmtId="0" xfId="0" applyAlignment="1" applyBorder="1" applyFont="1">
      <alignment horizontal="center"/>
    </xf>
    <xf borderId="1" fillId="5" fontId="2" numFmtId="0" xfId="0" applyAlignment="1" applyBorder="1" applyFont="1">
      <alignment horizontal="left" shrinkToFit="0" vertical="top" wrapText="1"/>
    </xf>
    <xf borderId="0" fillId="6" fontId="9" numFmtId="0" xfId="0" applyFont="1"/>
    <xf borderId="4" fillId="2" fontId="10" numFmtId="0" xfId="0" applyAlignment="1" applyBorder="1" applyFont="1">
      <alignment horizontal="left" shrinkToFit="0" vertical="bottom" wrapText="1"/>
    </xf>
    <xf borderId="0" fillId="2" fontId="10" numFmtId="0" xfId="0" applyAlignment="1" applyFont="1">
      <alignment horizontal="left"/>
    </xf>
    <xf borderId="54" fillId="6" fontId="9" numFmtId="0" xfId="0" applyAlignment="1" applyBorder="1" applyFont="1">
      <alignment horizontal="left"/>
    </xf>
    <xf borderId="55" fillId="6" fontId="9" numFmtId="0" xfId="0" applyAlignment="1" applyBorder="1" applyFont="1">
      <alignment horizontal="left"/>
    </xf>
    <xf borderId="56" fillId="6" fontId="9" numFmtId="0" xfId="0" applyAlignment="1" applyBorder="1" applyFont="1">
      <alignment horizontal="left"/>
    </xf>
    <xf borderId="0" fillId="0" fontId="66" numFmtId="0" xfId="0" applyFont="1"/>
  </cellXfs>
  <cellStyles count="1">
    <cellStyle xfId="0" name="Normal" builtinId="0"/>
  </cellStyles>
  <dxfs count="8">
    <dxf>
      <font/>
      <fill>
        <patternFill patternType="solid">
          <fgColor rgb="FFB6D7A8"/>
          <bgColor rgb="FFB6D7A8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7997C1"/>
          <bgColor rgb="FF7997C1"/>
        </patternFill>
      </fill>
      <border/>
    </dxf>
    <dxf>
      <font/>
      <fill>
        <patternFill patternType="solid">
          <fgColor rgb="FFA3C1EB"/>
          <bgColor rgb="FFA3C1EB"/>
        </patternFill>
      </fill>
      <border/>
    </dxf>
    <dxf>
      <font/>
      <fill>
        <patternFill patternType="solid">
          <fgColor rgb="FFD9D9D9"/>
          <bgColor rgb="FFD9D9D9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DD7E6B"/>
          <bgColor rgb="FFDD7E6B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0BAD2"/>
      </a:accent1>
      <a:accent2>
        <a:srgbClr val="FAB900"/>
      </a:accent2>
      <a:accent3>
        <a:srgbClr val="90BB23"/>
      </a:accent3>
      <a:accent4>
        <a:srgbClr val="EE7008"/>
      </a:accent4>
      <a:accent5>
        <a:srgbClr val="1AB39F"/>
      </a:accent5>
      <a:accent6>
        <a:srgbClr val="D5393D"/>
      </a:accent6>
      <a:hlink>
        <a:srgbClr val="90BB23"/>
      </a:hlink>
      <a:folHlink>
        <a:srgbClr val="90BB23"/>
      </a:folHlink>
    </a:clrScheme>
    <a:fontScheme name="Sheets">
      <a:majorFont>
        <a:latin typeface="Corbel"/>
        <a:ea typeface="Corbel"/>
        <a:cs typeface="Corbel"/>
      </a:majorFont>
      <a:minorFont>
        <a:latin typeface="Corbel"/>
        <a:ea typeface="Corbel"/>
        <a:cs typeface="Corbe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form.jotform.com/243466702482055" TargetMode="External"/><Relationship Id="rId2" Type="http://schemas.openxmlformats.org/officeDocument/2006/relationships/hyperlink" Target="https://calendar.app.google/34PW6P5gdwvH2BgX6" TargetMode="External"/><Relationship Id="rId3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.0"/>
    <col customWidth="1" min="2" max="2" width="2.38"/>
    <col customWidth="1" min="3" max="3" width="1.0"/>
    <col customWidth="1" min="4" max="4" width="20.88"/>
    <col customWidth="1" min="5" max="5" width="8.25"/>
    <col customWidth="1" min="6" max="6" width="4.38"/>
    <col customWidth="1" min="7" max="7" width="4.88"/>
    <col customWidth="1" min="8" max="8" width="0.38"/>
    <col customWidth="1" min="9" max="9" width="5.38"/>
    <col customWidth="1" min="10" max="10" width="4.25"/>
    <col customWidth="1" min="11" max="11" width="8.13"/>
    <col customWidth="1" min="12" max="12" width="5.88"/>
    <col customWidth="1" min="13" max="13" width="5.13"/>
    <col customWidth="1" min="14" max="14" width="5.5"/>
    <col customWidth="1" min="15" max="15" width="4.63"/>
    <col customWidth="1" min="16" max="16" width="5.13"/>
    <col customWidth="1" min="17" max="17" width="4.75"/>
    <col customWidth="1" min="18" max="18" width="31.5"/>
    <col customWidth="1" min="19" max="33" width="9.0"/>
  </cols>
  <sheetData>
    <row r="1" ht="5.2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3"/>
      <c r="L1" s="3"/>
      <c r="M1" s="3"/>
      <c r="N1" s="3"/>
      <c r="O1" s="3"/>
      <c r="P1" s="3"/>
      <c r="Q1" s="4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ht="13.5" customHeight="1">
      <c r="A2" s="1"/>
      <c r="B2" s="6"/>
      <c r="C2" s="7"/>
      <c r="D2" s="7"/>
      <c r="E2" s="7"/>
      <c r="F2" s="7"/>
      <c r="G2" s="7"/>
      <c r="H2" s="7"/>
      <c r="I2" s="7"/>
      <c r="J2" s="7"/>
      <c r="K2" s="8"/>
      <c r="L2" s="8"/>
      <c r="M2" s="8"/>
      <c r="N2" s="8"/>
      <c r="O2" s="8"/>
      <c r="P2" s="8"/>
      <c r="Q2" s="9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1"/>
      <c r="AF2" s="11"/>
      <c r="AG2" s="11"/>
    </row>
    <row r="3" ht="5.25" customHeight="1">
      <c r="A3" s="12"/>
      <c r="B3" s="13"/>
      <c r="C3" s="12"/>
      <c r="D3" s="12"/>
      <c r="E3" s="12"/>
      <c r="F3" s="12"/>
      <c r="G3" s="12"/>
      <c r="H3" s="12"/>
      <c r="I3" s="12"/>
      <c r="J3" s="12"/>
      <c r="K3" s="3"/>
      <c r="L3" s="3"/>
      <c r="M3" s="3"/>
      <c r="N3" s="3"/>
      <c r="O3" s="3"/>
      <c r="P3" s="3"/>
      <c r="Q3" s="4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</row>
    <row r="4" ht="18.75" customHeight="1">
      <c r="A4" s="12"/>
      <c r="B4" s="13"/>
      <c r="C4" s="12"/>
      <c r="D4" s="14"/>
      <c r="E4" s="14"/>
      <c r="F4" s="14"/>
      <c r="G4" s="14"/>
      <c r="H4" s="14"/>
      <c r="I4" s="14"/>
      <c r="J4" s="14"/>
      <c r="K4" s="15"/>
      <c r="L4" s="15"/>
      <c r="M4" s="15"/>
      <c r="N4" s="15"/>
      <c r="O4" s="15"/>
      <c r="P4" s="15"/>
      <c r="Q4" s="16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8"/>
      <c r="AF4" s="18"/>
      <c r="AG4" s="18"/>
    </row>
    <row r="5" ht="3.75" customHeight="1">
      <c r="A5" s="12"/>
      <c r="B5" s="13"/>
      <c r="C5" s="12"/>
      <c r="D5" s="12"/>
      <c r="E5" s="12"/>
      <c r="F5" s="19"/>
      <c r="G5" s="19"/>
      <c r="H5" s="19"/>
      <c r="I5" s="19"/>
      <c r="J5" s="12"/>
      <c r="K5" s="3"/>
      <c r="L5" s="3"/>
      <c r="M5" s="3"/>
      <c r="N5" s="3"/>
      <c r="O5" s="3"/>
      <c r="P5" s="3"/>
      <c r="Q5" s="4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</row>
    <row r="6" ht="22.5" customHeight="1">
      <c r="A6" s="12"/>
      <c r="B6" s="13"/>
      <c r="C6" s="12"/>
      <c r="D6" s="20"/>
      <c r="E6" s="20"/>
      <c r="F6" s="21"/>
      <c r="G6" s="21"/>
      <c r="H6" s="21"/>
      <c r="I6" s="21"/>
      <c r="J6" s="20"/>
      <c r="K6" s="22"/>
      <c r="L6" s="22"/>
      <c r="M6" s="22"/>
      <c r="N6" s="22"/>
      <c r="O6" s="22"/>
      <c r="P6" s="22"/>
      <c r="Q6" s="23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5"/>
      <c r="AF6" s="25"/>
      <c r="AG6" s="25"/>
    </row>
    <row r="7" ht="5.25" customHeight="1">
      <c r="A7" s="26"/>
      <c r="B7" s="27"/>
      <c r="C7" s="28"/>
      <c r="D7" s="29"/>
      <c r="E7" s="29"/>
      <c r="F7" s="30"/>
      <c r="G7" s="30"/>
      <c r="H7" s="30"/>
      <c r="I7" s="30"/>
      <c r="J7" s="29"/>
      <c r="K7" s="31"/>
      <c r="L7" s="31"/>
      <c r="M7" s="31"/>
      <c r="N7" s="31"/>
      <c r="O7" s="31"/>
      <c r="P7" s="31"/>
      <c r="Q7" s="30"/>
      <c r="R7" s="32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ht="13.5" customHeight="1">
      <c r="A8" s="5"/>
      <c r="B8" s="6"/>
      <c r="C8" s="10"/>
      <c r="D8" s="34" t="s">
        <v>0</v>
      </c>
      <c r="E8" s="35" t="s">
        <v>1</v>
      </c>
      <c r="G8" s="36"/>
      <c r="H8" s="36"/>
      <c r="I8" s="36" t="s">
        <v>2</v>
      </c>
      <c r="J8" s="37"/>
      <c r="K8" s="37"/>
      <c r="L8" s="38"/>
      <c r="M8" s="38"/>
      <c r="N8" s="35" t="s">
        <v>3</v>
      </c>
      <c r="P8" s="38"/>
      <c r="Q8" s="39"/>
      <c r="R8" s="40" t="s">
        <v>4</v>
      </c>
      <c r="S8" s="10"/>
      <c r="T8" s="5"/>
      <c r="U8" s="5"/>
      <c r="V8" s="5"/>
      <c r="W8" s="5"/>
      <c r="X8" s="5"/>
      <c r="Y8" s="5"/>
      <c r="Z8" s="5"/>
      <c r="AA8" s="5"/>
      <c r="AB8" s="5"/>
      <c r="AC8" s="5"/>
      <c r="AD8" s="5"/>
    </row>
    <row r="9" ht="5.25" customHeight="1">
      <c r="A9" s="41"/>
      <c r="B9" s="42"/>
      <c r="C9" s="41"/>
      <c r="D9" s="43"/>
      <c r="E9" s="44"/>
      <c r="F9" s="45"/>
      <c r="G9" s="46"/>
      <c r="H9" s="46"/>
      <c r="I9" s="46"/>
      <c r="J9" s="46"/>
      <c r="K9" s="47"/>
      <c r="L9" s="47"/>
      <c r="M9" s="47"/>
      <c r="N9" s="47"/>
      <c r="O9" s="47"/>
      <c r="P9" s="47"/>
      <c r="Q9" s="48"/>
      <c r="R9" s="49"/>
    </row>
    <row r="10" ht="12.75" customHeight="1">
      <c r="A10" s="41"/>
      <c r="B10" s="42"/>
      <c r="C10" s="41"/>
      <c r="D10" s="50" t="s">
        <v>5</v>
      </c>
      <c r="E10" s="51" t="s">
        <v>6</v>
      </c>
      <c r="F10" s="52">
        <v>245.0</v>
      </c>
      <c r="G10" s="53"/>
      <c r="H10" s="53"/>
      <c r="I10" s="54"/>
      <c r="J10" s="55"/>
      <c r="K10" s="56"/>
      <c r="L10" s="56"/>
      <c r="M10" s="57"/>
      <c r="N10" s="51" t="s">
        <v>6</v>
      </c>
      <c r="O10" s="52">
        <v>242.5</v>
      </c>
      <c r="P10" s="57"/>
      <c r="Q10" s="58"/>
      <c r="R10" s="59" t="s">
        <v>7</v>
      </c>
      <c r="S10" s="60"/>
    </row>
    <row r="11" ht="12.75" customHeight="1">
      <c r="A11" s="41"/>
      <c r="B11" s="42"/>
      <c r="C11" s="41"/>
      <c r="D11" s="50" t="s">
        <v>8</v>
      </c>
      <c r="E11" s="61" t="s">
        <v>9</v>
      </c>
      <c r="F11" s="52">
        <v>160.0</v>
      </c>
      <c r="G11" s="57"/>
      <c r="H11" s="57"/>
      <c r="I11" s="62"/>
      <c r="J11" s="63"/>
      <c r="K11" s="63"/>
      <c r="L11" s="55"/>
      <c r="M11" s="57"/>
      <c r="N11" s="61" t="s">
        <v>9</v>
      </c>
      <c r="O11" s="52">
        <v>152.5</v>
      </c>
      <c r="P11" s="57"/>
      <c r="Q11" s="58"/>
      <c r="S11" s="60"/>
    </row>
    <row r="12" ht="12.75" customHeight="1">
      <c r="A12" s="41"/>
      <c r="B12" s="42"/>
      <c r="C12" s="41"/>
      <c r="D12" s="64"/>
      <c r="E12" s="65" t="s">
        <v>10</v>
      </c>
      <c r="F12" s="52">
        <v>270.0</v>
      </c>
      <c r="G12" s="57"/>
      <c r="H12" s="57"/>
      <c r="I12" s="66" t="str">
        <f>IF(I10 = "", "", INT((I10 - TODAY()) / 7) &amp; " weeks, " &amp; MOD(I10 - TODAY(), 7) &amp; " day(s) out")</f>
        <v/>
      </c>
      <c r="J12" s="67"/>
      <c r="K12" s="67"/>
      <c r="L12" s="67"/>
      <c r="M12" s="57"/>
      <c r="N12" s="65" t="s">
        <v>10</v>
      </c>
      <c r="O12" s="52">
        <v>265.0</v>
      </c>
      <c r="P12" s="57"/>
      <c r="Q12" s="58"/>
      <c r="R12" s="68"/>
      <c r="S12" s="60"/>
    </row>
    <row r="13" ht="12.75" customHeight="1">
      <c r="A13" s="69"/>
      <c r="B13" s="70"/>
      <c r="C13" s="69"/>
      <c r="D13" s="71"/>
      <c r="E13" s="72" t="s">
        <v>11</v>
      </c>
      <c r="F13" s="73">
        <f>SUM(F10:F12)</f>
        <v>675</v>
      </c>
      <c r="G13" s="57"/>
      <c r="H13" s="57"/>
      <c r="I13" s="57"/>
      <c r="J13" s="74"/>
      <c r="K13" s="57"/>
      <c r="L13" s="57"/>
      <c r="M13" s="57"/>
      <c r="N13" s="72" t="s">
        <v>11</v>
      </c>
      <c r="O13" s="73">
        <f>SUM(O10:O12)</f>
        <v>660</v>
      </c>
      <c r="P13" s="57"/>
      <c r="Q13" s="58"/>
      <c r="R13" s="68"/>
      <c r="S13" s="60"/>
    </row>
    <row r="14" ht="5.25" customHeight="1">
      <c r="A14" s="5"/>
      <c r="B14" s="2"/>
      <c r="C14" s="5"/>
      <c r="D14" s="5"/>
      <c r="E14" s="75"/>
      <c r="F14" s="3"/>
      <c r="G14" s="3"/>
      <c r="H14" s="3"/>
      <c r="I14" s="3"/>
      <c r="J14" s="75"/>
      <c r="K14" s="3"/>
      <c r="L14" s="3"/>
      <c r="M14" s="3"/>
      <c r="N14" s="3"/>
      <c r="O14" s="3"/>
      <c r="P14" s="3"/>
      <c r="Q14" s="4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</row>
    <row r="15" ht="18.75" customHeight="1">
      <c r="A15" s="76"/>
      <c r="B15" s="77"/>
      <c r="C15" s="78"/>
      <c r="D15" s="79" t="s">
        <v>12</v>
      </c>
      <c r="E15" s="80" t="s">
        <v>13</v>
      </c>
      <c r="G15" s="81"/>
      <c r="H15" s="81"/>
      <c r="I15" s="81"/>
      <c r="J15" s="82"/>
      <c r="K15" s="83"/>
      <c r="L15" s="83"/>
      <c r="M15" s="84"/>
      <c r="N15" s="84"/>
      <c r="O15" s="84"/>
      <c r="P15" s="85"/>
      <c r="Q15" s="86"/>
      <c r="R15" s="87"/>
      <c r="S15" s="88"/>
      <c r="T15" s="89"/>
      <c r="U15" s="89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</row>
    <row r="16" ht="18.75" customHeight="1">
      <c r="A16" s="90"/>
      <c r="B16" s="6"/>
      <c r="C16" s="91"/>
      <c r="D16" s="36">
        <v>1.0</v>
      </c>
      <c r="E16" s="36"/>
      <c r="F16" s="37"/>
      <c r="G16" s="81"/>
      <c r="H16" s="81"/>
      <c r="I16" s="81"/>
      <c r="J16" s="92"/>
      <c r="K16" s="93"/>
      <c r="L16" s="93"/>
      <c r="M16" s="93"/>
      <c r="N16" s="93"/>
      <c r="O16" s="93"/>
      <c r="P16" s="94"/>
      <c r="Q16" s="95"/>
      <c r="R16" s="96"/>
      <c r="S16" s="10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</row>
    <row r="17" ht="5.25" customHeight="1">
      <c r="A17" s="90"/>
      <c r="B17" s="6"/>
      <c r="C17" s="90"/>
      <c r="D17" s="97"/>
      <c r="E17" s="98"/>
      <c r="F17" s="99"/>
      <c r="G17" s="99"/>
      <c r="H17" s="99"/>
      <c r="I17" s="100"/>
      <c r="J17" s="101"/>
      <c r="K17" s="90"/>
      <c r="L17" s="102"/>
      <c r="M17" s="102"/>
      <c r="N17" s="102"/>
      <c r="O17" s="102"/>
      <c r="P17" s="103"/>
      <c r="Q17" s="4"/>
      <c r="R17" s="90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</row>
    <row r="18" ht="32.25" customHeight="1">
      <c r="A18" s="90"/>
      <c r="B18" s="6"/>
      <c r="C18" s="90"/>
      <c r="D18" s="104" t="s">
        <v>14</v>
      </c>
      <c r="E18" s="105" t="s">
        <v>15</v>
      </c>
      <c r="F18" s="106" t="s">
        <v>16</v>
      </c>
      <c r="G18" s="106" t="s">
        <v>17</v>
      </c>
      <c r="H18" s="107"/>
      <c r="I18" s="106" t="s">
        <v>18</v>
      </c>
      <c r="J18" s="108" t="s">
        <v>19</v>
      </c>
      <c r="L18" s="109" t="s">
        <v>20</v>
      </c>
      <c r="M18" s="110" t="s">
        <v>21</v>
      </c>
      <c r="N18" s="111" t="s">
        <v>22</v>
      </c>
      <c r="P18" s="112"/>
      <c r="Q18" s="113" t="s">
        <v>23</v>
      </c>
      <c r="R18" s="114" t="s">
        <v>24</v>
      </c>
      <c r="S18" s="11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</row>
    <row r="19" ht="14.25" customHeight="1">
      <c r="A19" s="90"/>
      <c r="B19" s="6"/>
      <c r="C19" s="90"/>
      <c r="D19" s="116" t="s">
        <v>25</v>
      </c>
      <c r="E19" s="117" t="s">
        <v>26</v>
      </c>
      <c r="H19" s="107"/>
      <c r="N19" s="111" t="s">
        <v>27</v>
      </c>
      <c r="O19" s="111" t="s">
        <v>28</v>
      </c>
      <c r="P19" s="112" t="s">
        <v>29</v>
      </c>
      <c r="R19" s="118" t="s">
        <v>30</v>
      </c>
      <c r="S19" s="11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</row>
    <row r="20" ht="3.75" customHeight="1">
      <c r="A20" s="90"/>
      <c r="B20" s="6"/>
      <c r="C20" s="90"/>
      <c r="D20" s="97"/>
      <c r="E20" s="119"/>
      <c r="F20" s="99"/>
      <c r="G20" s="99"/>
      <c r="H20" s="99"/>
      <c r="I20" s="100"/>
      <c r="J20" s="101"/>
      <c r="K20" s="120"/>
      <c r="L20" s="102"/>
      <c r="M20" s="121"/>
      <c r="N20" s="102"/>
      <c r="O20" s="102"/>
      <c r="P20" s="122"/>
      <c r="Q20" s="4"/>
      <c r="R20" s="123"/>
      <c r="S20" s="11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</row>
    <row r="21" ht="15.75" customHeight="1">
      <c r="A21" s="124"/>
      <c r="B21" s="6"/>
      <c r="C21" s="124"/>
      <c r="D21" s="125" t="s">
        <v>31</v>
      </c>
      <c r="E21" s="126"/>
      <c r="F21" s="127">
        <v>3.0</v>
      </c>
      <c r="G21" s="128">
        <v>45942.0</v>
      </c>
      <c r="H21" s="129"/>
      <c r="I21" s="130"/>
      <c r="J21" s="131">
        <v>45815.0</v>
      </c>
      <c r="K21" s="132"/>
      <c r="L21" s="133"/>
      <c r="M21" s="134"/>
      <c r="N21" s="135" t="str">
        <f>iferror(mround(#REF!*((VLOOKUP($J21,Sheet1!$D:$N,$G21+1,FALSE)-0.03)),2.5)," ")</f>
        <v> </v>
      </c>
      <c r="O21" s="135" t="str">
        <f>iferror(mround(#REF!*((VLOOKUP($J21,Sheet1!$D:$N,$G21+1,FALSE)+0.02)),2.5)," ")</f>
        <v> </v>
      </c>
      <c r="P21" s="56" t="str">
        <f>iferror(mround(I21/VLOOKUP(L21,Sheet1!$D$7:$N$16,G21+1,FALSE),2.5),"")</f>
        <v/>
      </c>
      <c r="Q21" s="136"/>
      <c r="S21" s="11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</row>
    <row r="22" ht="3.75" customHeight="1">
      <c r="A22" s="137"/>
      <c r="B22" s="70"/>
      <c r="C22" s="137"/>
      <c r="D22" s="138"/>
      <c r="E22" s="139"/>
      <c r="F22" s="140"/>
      <c r="G22" s="140"/>
      <c r="H22" s="140"/>
      <c r="I22" s="140"/>
      <c r="J22" s="141"/>
      <c r="K22" s="142"/>
      <c r="L22" s="143"/>
      <c r="M22" s="144"/>
      <c r="N22" s="145"/>
      <c r="O22" s="145"/>
      <c r="P22" s="122"/>
      <c r="Q22" s="146"/>
      <c r="S22" s="147"/>
      <c r="T22" s="148"/>
      <c r="U22" s="148"/>
      <c r="V22" s="148"/>
      <c r="W22" s="148"/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</row>
    <row r="23" ht="15.75" customHeight="1">
      <c r="A23" s="149"/>
      <c r="B23" s="150"/>
      <c r="C23" s="149"/>
      <c r="D23" s="125" t="s">
        <v>32</v>
      </c>
      <c r="E23" s="126"/>
      <c r="F23" s="127">
        <v>3.0</v>
      </c>
      <c r="G23" s="128">
        <v>45942.0</v>
      </c>
      <c r="H23" s="129"/>
      <c r="I23" s="130"/>
      <c r="J23" s="151">
        <v>6.0</v>
      </c>
      <c r="K23" s="132"/>
      <c r="L23" s="133"/>
      <c r="M23" s="134"/>
      <c r="N23" s="135" t="str">
        <f>iferror(mround(#REF!*((VLOOKUP($J23,Sheet1!$D:$N,$G23+1,FALSE)-0.03)),2.5)," ")</f>
        <v> </v>
      </c>
      <c r="O23" s="135" t="str">
        <f>iferror(mround(#REF!*((VLOOKUP($J23,Sheet1!$D:$N,$G23+1,FALSE)+0.02)),2.5)," ")</f>
        <v> </v>
      </c>
      <c r="P23" s="56" t="str">
        <f>iferror(mround(I23/VLOOKUP(L23,Sheet1!$D$7:$N$16,G23+1,FALSE),2.5),"")</f>
        <v/>
      </c>
      <c r="Q23" s="136"/>
      <c r="S23" s="11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</row>
    <row r="24" ht="3.75" customHeight="1">
      <c r="A24" s="152"/>
      <c r="B24" s="150"/>
      <c r="C24" s="153"/>
      <c r="D24" s="138"/>
      <c r="E24" s="154"/>
      <c r="F24" s="155"/>
      <c r="G24" s="102"/>
      <c r="H24" s="102"/>
      <c r="I24" s="102"/>
      <c r="J24" s="156"/>
      <c r="K24" s="142"/>
      <c r="L24" s="143"/>
      <c r="M24" s="144"/>
      <c r="N24" s="145"/>
      <c r="O24" s="145"/>
      <c r="P24" s="122"/>
      <c r="Q24" s="146"/>
      <c r="S24" s="157"/>
      <c r="T24" s="5"/>
      <c r="U24" s="5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</row>
    <row r="25" ht="15.75" customHeight="1">
      <c r="A25" s="149"/>
      <c r="B25" s="150"/>
      <c r="C25" s="149"/>
      <c r="D25" s="159" t="s">
        <v>33</v>
      </c>
      <c r="E25" s="160" t="s">
        <v>34</v>
      </c>
      <c r="F25" s="127">
        <v>1.0</v>
      </c>
      <c r="G25" s="161">
        <v>5.0</v>
      </c>
      <c r="H25" s="129"/>
      <c r="I25" s="130">
        <v>260.0</v>
      </c>
      <c r="J25" s="151">
        <v>7.0</v>
      </c>
      <c r="K25" s="132"/>
      <c r="L25" s="133"/>
      <c r="M25" s="134"/>
      <c r="N25" s="135" t="str">
        <f>iferror(mround(#REF!*((VLOOKUP($J25,Sheet1!$D:$N,$G25+1,FALSE)-0.03)),2.5)," ")</f>
        <v> </v>
      </c>
      <c r="O25" s="135" t="str">
        <f>iferror(mround(#REF!*((VLOOKUP($J25,Sheet1!$D:$N,$G25+1,FALSE)+0.02)),2.5)," ")</f>
        <v> </v>
      </c>
      <c r="P25" s="56" t="str">
        <f>iferror(mround(I25/VLOOKUP(L25,Sheet1!$D$7:$N$16,G25+1,FALSE),2.5),"")</f>
        <v/>
      </c>
      <c r="Q25" s="136"/>
      <c r="S25" s="11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</row>
    <row r="26" ht="3.75" customHeight="1">
      <c r="A26" s="162"/>
      <c r="B26" s="163"/>
      <c r="C26" s="162"/>
      <c r="D26" s="138"/>
      <c r="E26" s="139"/>
      <c r="F26" s="140"/>
      <c r="G26" s="140"/>
      <c r="H26" s="140"/>
      <c r="I26" s="140"/>
      <c r="J26" s="141"/>
      <c r="K26" s="142"/>
      <c r="L26" s="143"/>
      <c r="M26" s="144"/>
      <c r="N26" s="145"/>
      <c r="O26" s="145"/>
      <c r="P26" s="122"/>
      <c r="Q26" s="146"/>
      <c r="S26" s="147"/>
      <c r="T26" s="148"/>
      <c r="U26" s="148"/>
      <c r="V26" s="148"/>
      <c r="W26" s="148"/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</row>
    <row r="27" ht="15.75" customHeight="1">
      <c r="A27" s="149"/>
      <c r="B27" s="150"/>
      <c r="C27" s="149"/>
      <c r="D27" s="159" t="s">
        <v>33</v>
      </c>
      <c r="E27" s="160" t="s">
        <v>34</v>
      </c>
      <c r="F27" s="127">
        <v>2.0</v>
      </c>
      <c r="G27" s="161">
        <v>5.0</v>
      </c>
      <c r="H27" s="129"/>
      <c r="I27" s="164">
        <f>MROUND(I25*(1+J27),5)</f>
        <v>235</v>
      </c>
      <c r="J27" s="165">
        <v>-0.1</v>
      </c>
      <c r="K27" s="132"/>
      <c r="L27" s="133"/>
      <c r="M27" s="134"/>
      <c r="N27" s="135" t="str">
        <f>iferror(mround(#REF!*((VLOOKUP($J27,Sheet1!$D:$N,$G27+1,FALSE)-0.03)),2.5)," ")</f>
        <v> </v>
      </c>
      <c r="O27" s="135" t="str">
        <f>iferror(mround(#REF!*((VLOOKUP($J27,Sheet1!$D:$N,$G27+1,FALSE)+0.02)),2.5)," ")</f>
        <v> </v>
      </c>
      <c r="P27" s="56" t="str">
        <f>iferror(mround(I27/VLOOKUP(L27,Sheet1!$D$7:$N$16,G27+1,FALSE),2.5),"")</f>
        <v/>
      </c>
      <c r="Q27" s="136"/>
      <c r="S27" s="11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</row>
    <row r="28" ht="3.75" customHeight="1">
      <c r="A28" s="162"/>
      <c r="B28" s="163"/>
      <c r="C28" s="162"/>
      <c r="D28" s="138"/>
      <c r="E28" s="139"/>
      <c r="F28" s="102"/>
      <c r="G28" s="102"/>
      <c r="H28" s="102"/>
      <c r="I28" s="102"/>
      <c r="J28" s="156"/>
      <c r="K28" s="142"/>
      <c r="L28" s="143"/>
      <c r="M28" s="144"/>
      <c r="N28" s="145"/>
      <c r="O28" s="145"/>
      <c r="P28" s="122"/>
      <c r="Q28" s="146"/>
      <c r="S28" s="147"/>
      <c r="T28" s="148"/>
      <c r="U28" s="148"/>
      <c r="V28" s="148"/>
      <c r="W28" s="148"/>
      <c r="X28" s="148"/>
      <c r="Y28" s="148"/>
      <c r="Z28" s="148"/>
      <c r="AA28" s="148"/>
      <c r="AB28" s="148"/>
      <c r="AC28" s="148"/>
      <c r="AD28" s="148"/>
      <c r="AE28" s="148"/>
      <c r="AF28" s="148"/>
      <c r="AG28" s="148"/>
    </row>
    <row r="29" ht="15.75" customHeight="1">
      <c r="A29" s="90"/>
      <c r="B29" s="6"/>
      <c r="C29" s="90"/>
      <c r="D29" s="166" t="s">
        <v>35</v>
      </c>
      <c r="E29" s="167" t="s">
        <v>36</v>
      </c>
      <c r="F29" s="127">
        <v>2.0</v>
      </c>
      <c r="G29" s="161">
        <v>6.0</v>
      </c>
      <c r="H29" s="129"/>
      <c r="I29" s="130"/>
      <c r="J29" s="151">
        <v>7.0</v>
      </c>
      <c r="K29" s="132"/>
      <c r="L29" s="133"/>
      <c r="M29" s="134"/>
      <c r="N29" s="135" t="str">
        <f>iferror(mround(#REF!*((VLOOKUP($J29,Sheet1!$D:$N,$G29+1,FALSE)-0.03)),2.5)," ")</f>
        <v> </v>
      </c>
      <c r="O29" s="135" t="str">
        <f>iferror(mround(#REF!*((VLOOKUP($J29,Sheet1!$D:$N,$G29+1,FALSE)+0.02)),2.5)," ")</f>
        <v> </v>
      </c>
      <c r="P29" s="56" t="str">
        <f>iferror(mround(I29/VLOOKUP(L29,Sheet1!$D$7:$N$16,G29+1,FALSE),2.5),"")</f>
        <v/>
      </c>
      <c r="Q29" s="136"/>
      <c r="S29" s="11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</row>
    <row r="30" ht="3.75" customHeight="1">
      <c r="A30" s="168"/>
      <c r="B30" s="70"/>
      <c r="C30" s="168"/>
      <c r="D30" s="138"/>
      <c r="E30" s="139"/>
      <c r="F30" s="102"/>
      <c r="G30" s="102"/>
      <c r="H30" s="102"/>
      <c r="I30" s="102"/>
      <c r="J30" s="156"/>
      <c r="K30" s="142"/>
      <c r="L30" s="143"/>
      <c r="M30" s="144"/>
      <c r="N30" s="145"/>
      <c r="O30" s="145"/>
      <c r="P30" s="122"/>
      <c r="Q30" s="146"/>
      <c r="S30" s="147"/>
      <c r="T30" s="148"/>
      <c r="U30" s="148"/>
      <c r="V30" s="148"/>
      <c r="W30" s="148"/>
      <c r="X30" s="148"/>
      <c r="Y30" s="148"/>
      <c r="Z30" s="148"/>
      <c r="AA30" s="148"/>
      <c r="AB30" s="148"/>
      <c r="AC30" s="148"/>
      <c r="AD30" s="148"/>
      <c r="AE30" s="148"/>
      <c r="AF30" s="148"/>
      <c r="AG30" s="148"/>
    </row>
    <row r="31" ht="15.75" customHeight="1">
      <c r="A31" s="90"/>
      <c r="B31" s="6"/>
      <c r="C31" s="90"/>
      <c r="D31" s="166" t="s">
        <v>37</v>
      </c>
      <c r="E31" s="167" t="s">
        <v>38</v>
      </c>
      <c r="F31" s="127">
        <v>3.0</v>
      </c>
      <c r="G31" s="169">
        <v>45942.0</v>
      </c>
      <c r="H31" s="129"/>
      <c r="I31" s="130"/>
      <c r="J31" s="151">
        <v>8.0</v>
      </c>
      <c r="K31" s="170"/>
      <c r="L31" s="133"/>
      <c r="M31" s="134"/>
      <c r="N31" s="135" t="str">
        <f>iferror(mround(#REF!*((VLOOKUP($J31,Sheet1!$D:$N,$G31+1,FALSE)-0.03)),2.5)," ")</f>
        <v> </v>
      </c>
      <c r="O31" s="135" t="str">
        <f>iferror(mround(#REF!*((VLOOKUP($J31,Sheet1!$D:$N,$G31+1,FALSE)+0.02)),2.5)," ")</f>
        <v> </v>
      </c>
      <c r="P31" s="56" t="str">
        <f>iferror(mround(I31/VLOOKUP(L31,Sheet1!$D$7:$N$16,G31+1,FALSE),2.5),"")</f>
        <v/>
      </c>
      <c r="Q31" s="136"/>
      <c r="S31" s="11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</row>
    <row r="32" ht="3.75" customHeight="1">
      <c r="A32" s="90"/>
      <c r="B32" s="6"/>
      <c r="C32" s="90"/>
      <c r="D32" s="171"/>
      <c r="E32" s="172"/>
      <c r="F32" s="173"/>
      <c r="G32" s="173"/>
      <c r="H32" s="173"/>
      <c r="I32" s="173"/>
      <c r="J32" s="174"/>
      <c r="K32" s="142"/>
      <c r="L32" s="143"/>
      <c r="M32" s="144"/>
      <c r="N32" s="145"/>
      <c r="O32" s="145"/>
      <c r="P32" s="122"/>
      <c r="Q32" s="146"/>
      <c r="S32" s="11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</row>
    <row r="33" ht="15.75" customHeight="1">
      <c r="A33" s="90"/>
      <c r="B33" s="6"/>
      <c r="C33" s="90"/>
      <c r="D33" s="166" t="s">
        <v>39</v>
      </c>
      <c r="E33" s="160"/>
      <c r="F33" s="127">
        <v>2.0</v>
      </c>
      <c r="G33" s="161" t="s">
        <v>16</v>
      </c>
      <c r="H33" s="129"/>
      <c r="I33" s="130"/>
      <c r="J33" s="151">
        <v>8.0</v>
      </c>
      <c r="K33" s="132"/>
      <c r="L33" s="133"/>
      <c r="M33" s="134"/>
      <c r="N33" s="135" t="str">
        <f>iferror(mround(#REF!*((VLOOKUP($J33,Sheet1!$D:$N,$G33+1,FALSE)-0.03)),2.5)," ")</f>
        <v> </v>
      </c>
      <c r="O33" s="135" t="str">
        <f>iferror(mround(#REF!*((VLOOKUP($J33,Sheet1!$D:$N,$G33+1,FALSE)+0.02)),2.5)," ")</f>
        <v> </v>
      </c>
      <c r="P33" s="56" t="str">
        <f>iferror(mround(I33/VLOOKUP(L33,Sheet1!$D$7:$N$16,G33+1,FALSE),2.5),"")</f>
        <v/>
      </c>
      <c r="Q33" s="136"/>
      <c r="S33" s="11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</row>
    <row r="34" ht="3.75" customHeight="1">
      <c r="A34" s="90"/>
      <c r="B34" s="6"/>
      <c r="C34" s="90"/>
      <c r="D34" s="171"/>
      <c r="E34" s="172"/>
      <c r="F34" s="173"/>
      <c r="G34" s="173"/>
      <c r="H34" s="173"/>
      <c r="I34" s="173"/>
      <c r="J34" s="174"/>
      <c r="K34" s="142"/>
      <c r="L34" s="143"/>
      <c r="M34" s="144"/>
      <c r="N34" s="145"/>
      <c r="O34" s="145"/>
      <c r="P34" s="122"/>
      <c r="Q34" s="146"/>
      <c r="S34" s="11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</row>
    <row r="35" ht="15.75" customHeight="1">
      <c r="A35" s="90"/>
      <c r="B35" s="6"/>
      <c r="C35" s="90"/>
      <c r="D35" s="175" t="s">
        <v>40</v>
      </c>
      <c r="E35" s="176"/>
      <c r="F35" s="177">
        <v>3.0</v>
      </c>
      <c r="G35" s="178" t="s">
        <v>41</v>
      </c>
      <c r="H35" s="179"/>
      <c r="I35" s="180"/>
      <c r="J35" s="181">
        <v>8.0</v>
      </c>
      <c r="K35" s="182"/>
      <c r="L35" s="183"/>
      <c r="M35" s="134"/>
      <c r="N35" s="135" t="str">
        <f>iferror(mround(#REF!*((VLOOKUP($J35,Sheet1!$D:$N,$G35+1,FALSE)-0.03)),2.5)," ")</f>
        <v> </v>
      </c>
      <c r="O35" s="135" t="str">
        <f>iferror(mround(#REF!*((VLOOKUP($J35,Sheet1!$D:$N,$G35+1,FALSE)+0.02)),2.5)," ")</f>
        <v> </v>
      </c>
      <c r="P35" s="56" t="str">
        <f>iferror(mround(I35/VLOOKUP(L35,Sheet1!$D$7:$N$16,G35+1,FALSE),2.5),"")</f>
        <v/>
      </c>
      <c r="Q35" s="136"/>
      <c r="S35" s="11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</row>
    <row r="36" ht="3.75" customHeight="1">
      <c r="A36" s="90"/>
      <c r="B36" s="6"/>
      <c r="C36" s="90"/>
      <c r="D36" s="138"/>
      <c r="E36" s="184"/>
      <c r="F36" s="102"/>
      <c r="G36" s="102"/>
      <c r="H36" s="102"/>
      <c r="I36" s="102"/>
      <c r="J36" s="156"/>
      <c r="K36" s="103"/>
      <c r="L36" s="143"/>
      <c r="M36" s="144"/>
      <c r="N36" s="145"/>
      <c r="O36" s="145"/>
      <c r="P36" s="122"/>
      <c r="Q36" s="146"/>
      <c r="S36" s="11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</row>
    <row r="37" ht="15.75" hidden="1" customHeight="1">
      <c r="A37" s="90"/>
      <c r="B37" s="6"/>
      <c r="C37" s="90"/>
      <c r="D37" s="185"/>
      <c r="E37" s="186"/>
      <c r="F37" s="187"/>
      <c r="G37" s="188"/>
      <c r="H37" s="129"/>
      <c r="I37" s="164"/>
      <c r="J37" s="189"/>
      <c r="K37" s="190"/>
      <c r="L37" s="183"/>
      <c r="M37" s="134"/>
      <c r="N37" s="135" t="str">
        <f>iferror(mround(#REF!*((VLOOKUP($J37,Sheet1!$D:$N,$G37+1,FALSE)-0.03)),2.5)," ")</f>
        <v> </v>
      </c>
      <c r="O37" s="135" t="str">
        <f>iferror(mround(#REF!*((VLOOKUP($J37,Sheet1!$D:$N,$G37+1,FALSE)+0.02)),2.5)," ")</f>
        <v> </v>
      </c>
      <c r="P37" s="56" t="str">
        <f>iferror(mround(I37/VLOOKUP(L37,Sheet1!$D$7:$N$16,G37+1,FALSE),2.5),"")</f>
        <v/>
      </c>
      <c r="Q37" s="136"/>
      <c r="S37" s="11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</row>
    <row r="38" ht="3.75" hidden="1" customHeight="1">
      <c r="A38" s="191"/>
      <c r="B38" s="6"/>
      <c r="C38" s="192"/>
      <c r="D38" s="138"/>
      <c r="E38" s="193"/>
      <c r="F38" s="194"/>
      <c r="G38" s="155"/>
      <c r="H38" s="102"/>
      <c r="I38" s="102"/>
      <c r="J38" s="156"/>
      <c r="K38" s="103"/>
      <c r="L38" s="143"/>
      <c r="M38" s="144"/>
      <c r="N38" s="145"/>
      <c r="O38" s="145"/>
      <c r="P38" s="122"/>
      <c r="Q38" s="146"/>
      <c r="S38" s="157"/>
      <c r="T38" s="5"/>
      <c r="U38" s="5"/>
      <c r="V38" s="158"/>
      <c r="W38" s="158"/>
      <c r="X38" s="158"/>
      <c r="Y38" s="158"/>
      <c r="Z38" s="158"/>
      <c r="AA38" s="158"/>
      <c r="AB38" s="158"/>
      <c r="AC38" s="158"/>
      <c r="AD38" s="158"/>
      <c r="AE38" s="158"/>
      <c r="AF38" s="158"/>
      <c r="AG38" s="158"/>
    </row>
    <row r="39" ht="15.75" hidden="1" customHeight="1">
      <c r="A39" s="90"/>
      <c r="B39" s="6"/>
      <c r="C39" s="90"/>
      <c r="D39" s="185"/>
      <c r="E39" s="186"/>
      <c r="F39" s="187"/>
      <c r="G39" s="195"/>
      <c r="H39" s="129"/>
      <c r="I39" s="164"/>
      <c r="J39" s="189"/>
      <c r="K39" s="190"/>
      <c r="L39" s="183"/>
      <c r="M39" s="134"/>
      <c r="N39" s="135" t="str">
        <f>iferror(mround(#REF!*((VLOOKUP($J39,Sheet1!$D:$N,$G39+1,FALSE)-0.03)),2.5)," ")</f>
        <v> </v>
      </c>
      <c r="O39" s="135" t="str">
        <f>iferror(mround(#REF!*((VLOOKUP($J39,Sheet1!$D:$N,$G39+1,FALSE)+0.02)),2.5)," ")</f>
        <v> </v>
      </c>
      <c r="P39" s="56" t="str">
        <f>iferror(mround(I39/VLOOKUP(L39,Sheet1!$D$7:$N$16,G39+1,FALSE),2.5),"")</f>
        <v/>
      </c>
      <c r="Q39" s="136"/>
      <c r="S39" s="11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</row>
    <row r="40" ht="3.75" hidden="1" customHeight="1">
      <c r="A40" s="90"/>
      <c r="B40" s="6"/>
      <c r="C40" s="90"/>
      <c r="D40" s="196"/>
      <c r="E40" s="184"/>
      <c r="F40" s="102"/>
      <c r="G40" s="102"/>
      <c r="H40" s="102"/>
      <c r="I40" s="102"/>
      <c r="J40" s="156"/>
      <c r="K40" s="103"/>
      <c r="L40" s="143"/>
      <c r="M40" s="144"/>
      <c r="N40" s="145"/>
      <c r="O40" s="145"/>
      <c r="P40" s="122"/>
      <c r="Q40" s="146"/>
      <c r="S40" s="11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</row>
    <row r="41" ht="15.75" hidden="1" customHeight="1">
      <c r="A41" s="90"/>
      <c r="B41" s="6"/>
      <c r="C41" s="90"/>
      <c r="D41" s="197"/>
      <c r="E41" s="198"/>
      <c r="F41" s="199"/>
      <c r="G41" s="195"/>
      <c r="H41" s="129"/>
      <c r="I41" s="164"/>
      <c r="J41" s="189"/>
      <c r="K41" s="190"/>
      <c r="L41" s="183"/>
      <c r="M41" s="134"/>
      <c r="N41" s="135" t="str">
        <f>iferror(mround(#REF!*((VLOOKUP($J41,Sheet1!$D:$N,$G41+1,FALSE)-0.03)),2.5)," ")</f>
        <v> </v>
      </c>
      <c r="O41" s="135" t="str">
        <f>iferror(mround(#REF!*((VLOOKUP($J41,Sheet1!$D:$N,$G41+1,FALSE)+0.02)),2.5)," ")</f>
        <v> </v>
      </c>
      <c r="P41" s="56" t="str">
        <f>iferror(mround(I41/VLOOKUP(L41,Sheet1!$D$7:$N$16,G41+1,FALSE),2.5),"")</f>
        <v/>
      </c>
      <c r="Q41" s="136"/>
      <c r="S41" s="11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</row>
    <row r="42" ht="3.75" customHeight="1">
      <c r="A42" s="90"/>
      <c r="B42" s="6"/>
      <c r="C42" s="90"/>
      <c r="D42" s="90"/>
      <c r="E42" s="156"/>
      <c r="F42" s="102"/>
      <c r="G42" s="102"/>
      <c r="H42" s="102"/>
      <c r="I42" s="102"/>
      <c r="J42" s="156"/>
      <c r="K42" s="200"/>
      <c r="L42" s="201"/>
      <c r="M42" s="144"/>
      <c r="N42" s="47"/>
      <c r="O42" s="47"/>
      <c r="P42" s="122"/>
      <c r="Q42" s="146"/>
      <c r="S42" s="11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</row>
    <row r="43" ht="30.0" customHeight="1">
      <c r="A43" s="90"/>
      <c r="B43" s="6"/>
      <c r="C43" s="90"/>
      <c r="D43" s="202" t="s">
        <v>42</v>
      </c>
      <c r="E43" s="105" t="s">
        <v>15</v>
      </c>
      <c r="F43" s="106" t="s">
        <v>16</v>
      </c>
      <c r="G43" s="106" t="s">
        <v>17</v>
      </c>
      <c r="H43" s="107"/>
      <c r="I43" s="106" t="s">
        <v>18</v>
      </c>
      <c r="J43" s="108" t="s">
        <v>19</v>
      </c>
      <c r="L43" s="109" t="s">
        <v>20</v>
      </c>
      <c r="M43" s="110" t="s">
        <v>21</v>
      </c>
      <c r="N43" s="111" t="s">
        <v>22</v>
      </c>
      <c r="P43" s="112"/>
      <c r="Q43" s="113" t="s">
        <v>23</v>
      </c>
      <c r="R43" s="114" t="s">
        <v>43</v>
      </c>
      <c r="S43" s="11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</row>
    <row r="44" ht="14.25" customHeight="1">
      <c r="A44" s="90"/>
      <c r="B44" s="6"/>
      <c r="C44" s="90"/>
      <c r="D44" s="116" t="s">
        <v>25</v>
      </c>
      <c r="E44" s="117" t="s">
        <v>26</v>
      </c>
      <c r="H44" s="107"/>
      <c r="N44" s="111" t="s">
        <v>27</v>
      </c>
      <c r="O44" s="111" t="s">
        <v>28</v>
      </c>
      <c r="P44" s="112" t="s">
        <v>29</v>
      </c>
      <c r="R44" s="118" t="s">
        <v>30</v>
      </c>
      <c r="S44" s="11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</row>
    <row r="45" ht="3.75" customHeight="1">
      <c r="A45" s="191"/>
      <c r="B45" s="6"/>
      <c r="C45" s="192"/>
      <c r="D45" s="203"/>
      <c r="E45" s="204"/>
      <c r="F45" s="205"/>
      <c r="G45" s="205"/>
      <c r="H45" s="206"/>
      <c r="I45" s="207"/>
      <c r="J45" s="208"/>
      <c r="K45" s="209"/>
      <c r="L45" s="210"/>
      <c r="M45" s="211"/>
      <c r="N45" s="47"/>
      <c r="O45" s="47"/>
      <c r="P45" s="122"/>
      <c r="Q45" s="146"/>
      <c r="R45" s="212"/>
      <c r="S45" s="157"/>
      <c r="T45" s="5"/>
      <c r="U45" s="5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</row>
    <row r="46" ht="15.75" customHeight="1">
      <c r="A46" s="124"/>
      <c r="B46" s="6"/>
      <c r="C46" s="124"/>
      <c r="D46" s="159" t="s">
        <v>33</v>
      </c>
      <c r="E46" s="167"/>
      <c r="F46" s="127">
        <v>1.0</v>
      </c>
      <c r="G46" s="127">
        <v>2.0</v>
      </c>
      <c r="H46" s="195"/>
      <c r="I46" s="130">
        <v>295.0</v>
      </c>
      <c r="J46" s="151">
        <v>7.5</v>
      </c>
      <c r="K46" s="213"/>
      <c r="L46" s="133">
        <v>7.0</v>
      </c>
      <c r="M46" s="134"/>
      <c r="N46" s="135"/>
      <c r="O46" s="135"/>
      <c r="P46" s="112">
        <f>iferror(mround(I46/VLOOKUP(L46,Sheet1!$D$7:$N$16,G46+1,FALSE),2.5),"")</f>
        <v>340</v>
      </c>
      <c r="Q46" s="136"/>
      <c r="R46" s="214"/>
      <c r="S46" s="11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</row>
    <row r="47" ht="3.75" customHeight="1">
      <c r="A47" s="124"/>
      <c r="B47" s="6"/>
      <c r="C47" s="124"/>
      <c r="D47" s="138"/>
      <c r="E47" s="215"/>
      <c r="F47" s="102"/>
      <c r="G47" s="102"/>
      <c r="H47" s="102"/>
      <c r="I47" s="102"/>
      <c r="J47" s="216"/>
      <c r="K47" s="217"/>
      <c r="L47" s="218"/>
      <c r="M47" s="144"/>
      <c r="N47" s="145"/>
      <c r="O47" s="145"/>
      <c r="P47" s="122"/>
      <c r="Q47" s="146"/>
      <c r="R47" s="214"/>
      <c r="S47" s="11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</row>
    <row r="48" ht="15.75" customHeight="1">
      <c r="A48" s="90"/>
      <c r="B48" s="6"/>
      <c r="C48" s="90"/>
      <c r="D48" s="159" t="s">
        <v>33</v>
      </c>
      <c r="E48" s="167"/>
      <c r="F48" s="127">
        <v>2.0</v>
      </c>
      <c r="G48" s="161">
        <v>5.0</v>
      </c>
      <c r="H48" s="195"/>
      <c r="I48" s="130">
        <v>265.0</v>
      </c>
      <c r="J48" s="151">
        <v>7.0</v>
      </c>
      <c r="K48" s="219"/>
      <c r="L48" s="133">
        <v>8.0</v>
      </c>
      <c r="M48" s="134"/>
      <c r="N48" s="135"/>
      <c r="O48" s="135"/>
      <c r="P48" s="112">
        <f>iferror(mround(I48/VLOOKUP(L48,Sheet1!$D$7:$N$16,G48+1,FALSE),2.5),"")</f>
        <v>325</v>
      </c>
      <c r="Q48" s="136"/>
      <c r="R48" s="214"/>
      <c r="S48" s="11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</row>
    <row r="49" ht="3.75" customHeight="1">
      <c r="A49" s="90"/>
      <c r="B49" s="6"/>
      <c r="C49" s="90"/>
      <c r="D49" s="138"/>
      <c r="E49" s="215"/>
      <c r="F49" s="102"/>
      <c r="G49" s="102"/>
      <c r="H49" s="102"/>
      <c r="I49" s="102"/>
      <c r="J49" s="156"/>
      <c r="K49" s="217"/>
      <c r="L49" s="218"/>
      <c r="M49" s="144"/>
      <c r="N49" s="145"/>
      <c r="O49" s="145"/>
      <c r="P49" s="122"/>
      <c r="Q49" s="146"/>
      <c r="R49" s="214"/>
      <c r="S49" s="11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</row>
    <row r="50" ht="15.75" customHeight="1">
      <c r="A50" s="90"/>
      <c r="B50" s="6"/>
      <c r="C50" s="90"/>
      <c r="D50" s="159" t="s">
        <v>44</v>
      </c>
      <c r="E50" s="167"/>
      <c r="F50" s="127">
        <v>3.0</v>
      </c>
      <c r="G50" s="169">
        <v>45577.0</v>
      </c>
      <c r="H50" s="195"/>
      <c r="I50" s="130">
        <v>70.0</v>
      </c>
      <c r="J50" s="151">
        <v>8.0</v>
      </c>
      <c r="K50" s="219"/>
      <c r="L50" s="133"/>
      <c r="M50" s="134"/>
      <c r="N50" s="135"/>
      <c r="O50" s="135"/>
      <c r="P50" s="112" t="str">
        <f>iferror(mround(I50/VLOOKUP(L50,Sheet1!$D$7:$N$16,G50+1,FALSE),2.5),"")</f>
        <v/>
      </c>
      <c r="Q50" s="136"/>
      <c r="R50" s="214"/>
      <c r="S50" s="11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</row>
    <row r="51" ht="3.75" customHeight="1">
      <c r="A51" s="90"/>
      <c r="B51" s="6"/>
      <c r="C51" s="90"/>
      <c r="D51" s="138"/>
      <c r="E51" s="215"/>
      <c r="F51" s="102"/>
      <c r="G51" s="102"/>
      <c r="H51" s="102"/>
      <c r="I51" s="102"/>
      <c r="J51" s="156"/>
      <c r="K51" s="217"/>
      <c r="L51" s="143"/>
      <c r="M51" s="144"/>
      <c r="N51" s="145"/>
      <c r="O51" s="145"/>
      <c r="P51" s="122"/>
      <c r="Q51" s="146"/>
      <c r="R51" s="214"/>
      <c r="S51" s="11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</row>
    <row r="52" ht="15.75" customHeight="1">
      <c r="A52" s="90"/>
      <c r="B52" s="6"/>
      <c r="C52" s="90"/>
      <c r="D52" s="159" t="s">
        <v>45</v>
      </c>
      <c r="E52" s="220"/>
      <c r="F52" s="127">
        <v>3.0</v>
      </c>
      <c r="G52" s="127" t="s">
        <v>41</v>
      </c>
      <c r="H52" s="195"/>
      <c r="I52" s="164"/>
      <c r="J52" s="151">
        <v>8.0</v>
      </c>
      <c r="K52" s="213"/>
      <c r="L52" s="133"/>
      <c r="M52" s="134"/>
      <c r="N52" s="135"/>
      <c r="O52" s="135"/>
      <c r="P52" s="112" t="str">
        <f>iferror(mround(I52/VLOOKUP(L52,Sheet1!$D$7:$N$16,G52+1,FALSE),2.5),"")</f>
        <v/>
      </c>
      <c r="Q52" s="136"/>
      <c r="R52" s="214"/>
      <c r="S52" s="11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</row>
    <row r="53" ht="3.75" customHeight="1">
      <c r="A53" s="90"/>
      <c r="B53" s="6"/>
      <c r="C53" s="90"/>
      <c r="D53" s="138"/>
      <c r="E53" s="215"/>
      <c r="F53" s="102"/>
      <c r="G53" s="102"/>
      <c r="H53" s="102"/>
      <c r="I53" s="102"/>
      <c r="J53" s="156"/>
      <c r="K53" s="217"/>
      <c r="L53" s="143"/>
      <c r="M53" s="144"/>
      <c r="N53" s="145"/>
      <c r="O53" s="145"/>
      <c r="P53" s="122"/>
      <c r="Q53" s="146"/>
      <c r="R53" s="214"/>
      <c r="S53" s="11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</row>
    <row r="54" ht="15.75" customHeight="1">
      <c r="A54" s="90"/>
      <c r="B54" s="6"/>
      <c r="C54" s="90"/>
      <c r="D54" s="159" t="s">
        <v>46</v>
      </c>
      <c r="E54" s="220"/>
      <c r="F54" s="127">
        <v>3.0</v>
      </c>
      <c r="G54" s="127" t="s">
        <v>16</v>
      </c>
      <c r="H54" s="195"/>
      <c r="I54" s="130"/>
      <c r="J54" s="151">
        <v>9.0</v>
      </c>
      <c r="K54" s="213"/>
      <c r="L54" s="133"/>
      <c r="M54" s="134"/>
      <c r="N54" s="135"/>
      <c r="O54" s="135"/>
      <c r="P54" s="112" t="str">
        <f>iferror(mround(I54/VLOOKUP(L54,Sheet1!$D$7:$N$16,G54+1,FALSE),2.5),"")</f>
        <v/>
      </c>
      <c r="Q54" s="136"/>
      <c r="R54" s="214"/>
      <c r="S54" s="11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</row>
    <row r="55" ht="3.75" customHeight="1">
      <c r="A55" s="90"/>
      <c r="B55" s="6"/>
      <c r="C55" s="90"/>
      <c r="D55" s="138"/>
      <c r="E55" s="215"/>
      <c r="F55" s="102"/>
      <c r="G55" s="102"/>
      <c r="H55" s="102"/>
      <c r="I55" s="102"/>
      <c r="J55" s="156"/>
      <c r="K55" s="217"/>
      <c r="L55" s="143"/>
      <c r="M55" s="144"/>
      <c r="N55" s="145"/>
      <c r="O55" s="145"/>
      <c r="P55" s="122"/>
      <c r="Q55" s="146"/>
      <c r="R55" s="214"/>
      <c r="S55" s="11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</row>
    <row r="56" ht="15.75" customHeight="1">
      <c r="A56" s="90"/>
      <c r="B56" s="6"/>
      <c r="C56" s="90"/>
      <c r="D56" s="159" t="s">
        <v>47</v>
      </c>
      <c r="E56" s="220"/>
      <c r="F56" s="127">
        <v>3.0</v>
      </c>
      <c r="G56" s="221">
        <v>45641.0</v>
      </c>
      <c r="H56" s="195"/>
      <c r="I56" s="130">
        <v>60.0</v>
      </c>
      <c r="J56" s="151">
        <v>9.0</v>
      </c>
      <c r="K56" s="213"/>
      <c r="L56" s="133"/>
      <c r="M56" s="134"/>
      <c r="N56" s="135"/>
      <c r="O56" s="135"/>
      <c r="P56" s="112" t="str">
        <f>iferror(mround(I56/VLOOKUP(L56,Sheet1!$D$7:$N$16,G56+1,FALSE),2.5),"")</f>
        <v/>
      </c>
      <c r="Q56" s="136"/>
      <c r="R56" s="214"/>
      <c r="S56" s="11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</row>
    <row r="57" ht="3.75" customHeight="1">
      <c r="A57" s="90"/>
      <c r="B57" s="6"/>
      <c r="C57" s="90"/>
      <c r="D57" s="138"/>
      <c r="E57" s="215"/>
      <c r="F57" s="102"/>
      <c r="G57" s="102"/>
      <c r="H57" s="102"/>
      <c r="I57" s="102"/>
      <c r="J57" s="156"/>
      <c r="K57" s="222"/>
      <c r="L57" s="143"/>
      <c r="M57" s="144"/>
      <c r="N57" s="145"/>
      <c r="O57" s="145"/>
      <c r="P57" s="122"/>
      <c r="Q57" s="146"/>
      <c r="R57" s="214"/>
      <c r="S57" s="11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</row>
    <row r="58" ht="18.0" customHeight="1">
      <c r="A58" s="90"/>
      <c r="B58" s="6"/>
      <c r="C58" s="90"/>
      <c r="D58" s="159" t="s">
        <v>48</v>
      </c>
      <c r="E58" s="220"/>
      <c r="F58" s="127">
        <v>3.0</v>
      </c>
      <c r="G58" s="221">
        <v>45942.0</v>
      </c>
      <c r="H58" s="195"/>
      <c r="I58" s="130">
        <v>40.0</v>
      </c>
      <c r="J58" s="151">
        <v>9.0</v>
      </c>
      <c r="K58" s="190"/>
      <c r="L58" s="183"/>
      <c r="M58" s="134"/>
      <c r="N58" s="135"/>
      <c r="O58" s="135"/>
      <c r="P58" s="112" t="str">
        <f>iferror(mround(I58/VLOOKUP(L58,Sheet1!$D$7:$N$16,G58+1,FALSE),2.5),"")</f>
        <v/>
      </c>
      <c r="Q58" s="136"/>
      <c r="R58" s="214"/>
      <c r="S58" s="11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</row>
    <row r="59" ht="3.75" customHeight="1">
      <c r="A59" s="191"/>
      <c r="B59" s="6"/>
      <c r="C59" s="192"/>
      <c r="D59" s="138"/>
      <c r="E59" s="223"/>
      <c r="F59" s="194"/>
      <c r="G59" s="194"/>
      <c r="H59" s="155"/>
      <c r="I59" s="210"/>
      <c r="J59" s="216"/>
      <c r="K59" s="222"/>
      <c r="L59" s="143"/>
      <c r="M59" s="144"/>
      <c r="N59" s="145"/>
      <c r="O59" s="145"/>
      <c r="P59" s="122"/>
      <c r="Q59" s="146"/>
      <c r="R59" s="214"/>
      <c r="S59" s="157"/>
      <c r="T59" s="5"/>
      <c r="U59" s="5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</row>
    <row r="60" ht="15.75" hidden="1" customHeight="1">
      <c r="A60" s="90"/>
      <c r="B60" s="6"/>
      <c r="C60" s="90"/>
      <c r="D60" s="185"/>
      <c r="E60" s="186"/>
      <c r="F60" s="187"/>
      <c r="G60" s="187"/>
      <c r="H60" s="195"/>
      <c r="I60" s="164"/>
      <c r="J60" s="189"/>
      <c r="K60" s="190"/>
      <c r="L60" s="183"/>
      <c r="M60" s="134"/>
      <c r="N60" s="135"/>
      <c r="O60" s="135"/>
      <c r="P60" s="112" t="str">
        <f>iferror(mround(I60/VLOOKUP(L60,Sheet1!$D$7:$N$16,G60+1,FALSE),2.5),"")</f>
        <v/>
      </c>
      <c r="Q60" s="136"/>
      <c r="R60" s="214"/>
      <c r="S60" s="11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</row>
    <row r="61" ht="3.75" hidden="1" customHeight="1">
      <c r="A61" s="90"/>
      <c r="B61" s="6"/>
      <c r="C61" s="90"/>
      <c r="D61" s="138"/>
      <c r="E61" s="184"/>
      <c r="F61" s="102"/>
      <c r="G61" s="102"/>
      <c r="H61" s="102"/>
      <c r="I61" s="102"/>
      <c r="J61" s="156"/>
      <c r="K61" s="222"/>
      <c r="L61" s="143"/>
      <c r="M61" s="144"/>
      <c r="N61" s="145"/>
      <c r="O61" s="145"/>
      <c r="P61" s="122"/>
      <c r="Q61" s="146"/>
      <c r="R61" s="214"/>
      <c r="S61" s="11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</row>
    <row r="62" ht="15.75" hidden="1" customHeight="1">
      <c r="A62" s="90"/>
      <c r="B62" s="6"/>
      <c r="C62" s="90"/>
      <c r="D62" s="185"/>
      <c r="E62" s="224"/>
      <c r="F62" s="187"/>
      <c r="G62" s="187"/>
      <c r="H62" s="195"/>
      <c r="I62" s="164"/>
      <c r="J62" s="189"/>
      <c r="K62" s="190"/>
      <c r="L62" s="183"/>
      <c r="M62" s="134"/>
      <c r="N62" s="135"/>
      <c r="O62" s="135"/>
      <c r="P62" s="112" t="str">
        <f>iferror(mround(I62/VLOOKUP(L62,Sheet1!$D$7:$N$16,G62+1,FALSE),2.5),"")</f>
        <v/>
      </c>
      <c r="Q62" s="136"/>
      <c r="R62" s="214"/>
      <c r="S62" s="11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</row>
    <row r="63" ht="3.75" hidden="1" customHeight="1">
      <c r="A63" s="191"/>
      <c r="B63" s="6"/>
      <c r="C63" s="192"/>
      <c r="D63" s="138"/>
      <c r="E63" s="193"/>
      <c r="F63" s="194"/>
      <c r="G63" s="194"/>
      <c r="H63" s="155"/>
      <c r="I63" s="210"/>
      <c r="J63" s="216"/>
      <c r="K63" s="222"/>
      <c r="L63" s="143"/>
      <c r="M63" s="144"/>
      <c r="N63" s="145"/>
      <c r="O63" s="145"/>
      <c r="P63" s="122"/>
      <c r="Q63" s="146"/>
      <c r="R63" s="214"/>
      <c r="S63" s="157"/>
      <c r="T63" s="5"/>
      <c r="U63" s="5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</row>
    <row r="64" ht="15.75" hidden="1" customHeight="1">
      <c r="A64" s="90"/>
      <c r="B64" s="6"/>
      <c r="C64" s="90"/>
      <c r="D64" s="185"/>
      <c r="E64" s="186"/>
      <c r="F64" s="187"/>
      <c r="G64" s="187"/>
      <c r="H64" s="195"/>
      <c r="I64" s="164"/>
      <c r="J64" s="189"/>
      <c r="K64" s="190"/>
      <c r="L64" s="183"/>
      <c r="M64" s="134"/>
      <c r="N64" s="135"/>
      <c r="O64" s="135"/>
      <c r="P64" s="112" t="str">
        <f>iferror(mround(I64/VLOOKUP(L64,Sheet1!$D$7:$N$16,G64+1,FALSE),2.5),"")</f>
        <v/>
      </c>
      <c r="Q64" s="136"/>
      <c r="R64" s="214"/>
      <c r="S64" s="11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</row>
    <row r="65" ht="3.75" hidden="1" customHeight="1">
      <c r="A65" s="90"/>
      <c r="B65" s="6"/>
      <c r="C65" s="90"/>
      <c r="D65" s="196"/>
      <c r="E65" s="184"/>
      <c r="F65" s="102"/>
      <c r="G65" s="102"/>
      <c r="H65" s="102"/>
      <c r="I65" s="102"/>
      <c r="J65" s="156"/>
      <c r="K65" s="222"/>
      <c r="L65" s="143"/>
      <c r="M65" s="144"/>
      <c r="N65" s="145"/>
      <c r="O65" s="145"/>
      <c r="P65" s="122"/>
      <c r="Q65" s="146"/>
      <c r="R65" s="214"/>
      <c r="S65" s="11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</row>
    <row r="66" ht="15.75" hidden="1" customHeight="1">
      <c r="A66" s="90"/>
      <c r="B66" s="6"/>
      <c r="C66" s="90"/>
      <c r="D66" s="197"/>
      <c r="E66" s="198"/>
      <c r="F66" s="199"/>
      <c r="G66" s="187"/>
      <c r="H66" s="195"/>
      <c r="I66" s="164"/>
      <c r="J66" s="189"/>
      <c r="K66" s="190"/>
      <c r="L66" s="183"/>
      <c r="M66" s="134"/>
      <c r="N66" s="135"/>
      <c r="O66" s="135"/>
      <c r="P66" s="112" t="str">
        <f>iferror(mround(I66/VLOOKUP(L66,Sheet1!$D$7:$N$16,G66+1,FALSE),2.5),"")</f>
        <v/>
      </c>
      <c r="Q66" s="136"/>
      <c r="R66" s="214"/>
      <c r="S66" s="11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</row>
    <row r="67" ht="3.75" customHeight="1">
      <c r="A67" s="90"/>
      <c r="B67" s="6"/>
      <c r="C67" s="90"/>
      <c r="D67" s="90"/>
      <c r="E67" s="156"/>
      <c r="F67" s="102"/>
      <c r="G67" s="102"/>
      <c r="H67" s="102"/>
      <c r="I67" s="102"/>
      <c r="J67" s="156"/>
      <c r="K67" s="222"/>
      <c r="L67" s="201"/>
      <c r="M67" s="211"/>
      <c r="N67" s="47"/>
      <c r="O67" s="47"/>
      <c r="P67" s="122"/>
      <c r="Q67" s="146"/>
      <c r="R67" s="214"/>
      <c r="S67" s="11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</row>
    <row r="68" ht="30.75" customHeight="1">
      <c r="A68" s="90"/>
      <c r="B68" s="6"/>
      <c r="C68" s="90"/>
      <c r="D68" s="202" t="s">
        <v>49</v>
      </c>
      <c r="E68" s="105" t="s">
        <v>15</v>
      </c>
      <c r="F68" s="106" t="s">
        <v>16</v>
      </c>
      <c r="G68" s="106" t="s">
        <v>17</v>
      </c>
      <c r="H68" s="107"/>
      <c r="I68" s="106" t="s">
        <v>18</v>
      </c>
      <c r="J68" s="108" t="s">
        <v>19</v>
      </c>
      <c r="L68" s="109" t="s">
        <v>20</v>
      </c>
      <c r="M68" s="110" t="s">
        <v>21</v>
      </c>
      <c r="N68" s="111" t="s">
        <v>22</v>
      </c>
      <c r="P68" s="112"/>
      <c r="Q68" s="113" t="s">
        <v>23</v>
      </c>
      <c r="R68" s="114" t="s">
        <v>50</v>
      </c>
      <c r="S68" s="11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</row>
    <row r="69" ht="14.25" customHeight="1">
      <c r="A69" s="90"/>
      <c r="B69" s="6"/>
      <c r="C69" s="90"/>
      <c r="D69" s="116" t="s">
        <v>25</v>
      </c>
      <c r="E69" s="117" t="s">
        <v>26</v>
      </c>
      <c r="H69" s="107"/>
      <c r="N69" s="111" t="s">
        <v>27</v>
      </c>
      <c r="O69" s="111" t="s">
        <v>28</v>
      </c>
      <c r="P69" s="112" t="s">
        <v>29</v>
      </c>
      <c r="R69" s="118" t="s">
        <v>30</v>
      </c>
      <c r="S69" s="11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</row>
    <row r="70" ht="3.75" customHeight="1">
      <c r="A70" s="191"/>
      <c r="B70" s="6"/>
      <c r="C70" s="192"/>
      <c r="D70" s="203"/>
      <c r="E70" s="203"/>
      <c r="F70" s="205"/>
      <c r="G70" s="205"/>
      <c r="H70" s="205"/>
      <c r="I70" s="225"/>
      <c r="J70" s="226"/>
      <c r="K70" s="209"/>
      <c r="L70" s="210"/>
      <c r="M70" s="211"/>
      <c r="N70" s="47"/>
      <c r="O70" s="47"/>
      <c r="P70" s="122"/>
      <c r="Q70" s="146"/>
      <c r="R70" s="212"/>
      <c r="S70" s="157"/>
      <c r="T70" s="5"/>
      <c r="U70" s="5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</row>
    <row r="71" ht="15.75" customHeight="1">
      <c r="A71" s="124"/>
      <c r="B71" s="6"/>
      <c r="C71" s="124"/>
      <c r="D71" s="125" t="s">
        <v>6</v>
      </c>
      <c r="E71" s="126"/>
      <c r="F71" s="127">
        <v>3.0</v>
      </c>
      <c r="G71" s="128">
        <v>45816.0</v>
      </c>
      <c r="H71" s="129"/>
      <c r="I71" s="130"/>
      <c r="J71" s="151">
        <v>5.0</v>
      </c>
      <c r="K71" s="219"/>
      <c r="L71" s="133"/>
      <c r="M71" s="134"/>
      <c r="N71" s="135" t="str">
        <f>iferror(mround(#REF!*((VLOOKUP($J71,Sheet1!$D:$N,$G71+1,FALSE)-0.03)),2.5)," ")</f>
        <v> </v>
      </c>
      <c r="O71" s="135" t="str">
        <f>iferror(mround(#REF!*((VLOOKUP($J71,Sheet1!$D:$N,$G71+1,FALSE)+0.02)),2.5)," ")</f>
        <v> </v>
      </c>
      <c r="P71" s="112" t="str">
        <f>iferror(mround(I71/VLOOKUP(L71,Sheet1!$D$7:$N$16,G71+1,FALSE),2.5),"")</f>
        <v/>
      </c>
      <c r="Q71" s="136"/>
      <c r="R71" s="214"/>
      <c r="S71" s="11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</row>
    <row r="72" ht="3.75" customHeight="1">
      <c r="A72" s="124"/>
      <c r="B72" s="6"/>
      <c r="C72" s="124"/>
      <c r="D72" s="138"/>
      <c r="E72" s="139"/>
      <c r="F72" s="140"/>
      <c r="G72" s="140"/>
      <c r="H72" s="140"/>
      <c r="I72" s="140"/>
      <c r="J72" s="141"/>
      <c r="K72" s="217"/>
      <c r="L72" s="218"/>
      <c r="M72" s="144"/>
      <c r="N72" s="145"/>
      <c r="O72" s="145"/>
      <c r="P72" s="122"/>
      <c r="Q72" s="146"/>
      <c r="R72" s="214"/>
      <c r="S72" s="11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</row>
    <row r="73" ht="15.75" customHeight="1">
      <c r="A73" s="90"/>
      <c r="B73" s="6"/>
      <c r="C73" s="90"/>
      <c r="D73" s="125" t="s">
        <v>10</v>
      </c>
      <c r="E73" s="126"/>
      <c r="F73" s="127">
        <v>3.0</v>
      </c>
      <c r="G73" s="128">
        <v>45879.0</v>
      </c>
      <c r="H73" s="129"/>
      <c r="I73" s="130"/>
      <c r="J73" s="151">
        <v>5.0</v>
      </c>
      <c r="K73" s="213"/>
      <c r="L73" s="133"/>
      <c r="M73" s="134"/>
      <c r="N73" s="135" t="str">
        <f>iferror(mround(#REF!*((VLOOKUP($J73,Sheet1!$D:$N,$G73+1,FALSE)-0.03)),2.5)," ")</f>
        <v> </v>
      </c>
      <c r="O73" s="135" t="str">
        <f>iferror(mround(#REF!*((VLOOKUP($J73,Sheet1!$D:$N,$G73+1,FALSE)+0.02)),2.5)," ")</f>
        <v> </v>
      </c>
      <c r="P73" s="112" t="str">
        <f>iferror(mround(I73/VLOOKUP(L73,Sheet1!$D$7:$N$16,G73+1,FALSE),2.5),"")</f>
        <v/>
      </c>
      <c r="Q73" s="136"/>
      <c r="R73" s="214"/>
      <c r="S73" s="11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</row>
    <row r="74" ht="3.75" customHeight="1">
      <c r="A74" s="90"/>
      <c r="B74" s="6"/>
      <c r="C74" s="90"/>
      <c r="D74" s="138"/>
      <c r="E74" s="215"/>
      <c r="F74" s="102"/>
      <c r="G74" s="102"/>
      <c r="H74" s="102"/>
      <c r="I74" s="102"/>
      <c r="J74" s="156"/>
      <c r="K74" s="217"/>
      <c r="L74" s="218"/>
      <c r="M74" s="144"/>
      <c r="N74" s="145"/>
      <c r="O74" s="145"/>
      <c r="P74" s="122"/>
      <c r="Q74" s="146"/>
      <c r="R74" s="214"/>
      <c r="S74" s="11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</row>
    <row r="75" ht="15.75" hidden="1" customHeight="1">
      <c r="A75" s="90"/>
      <c r="B75" s="6"/>
      <c r="C75" s="90"/>
      <c r="D75" s="159"/>
      <c r="E75" s="160"/>
      <c r="F75" s="127"/>
      <c r="G75" s="161"/>
      <c r="H75" s="129"/>
      <c r="I75" s="130"/>
      <c r="J75" s="151"/>
      <c r="K75" s="219"/>
      <c r="L75" s="133"/>
      <c r="M75" s="134"/>
      <c r="N75" s="135" t="str">
        <f>iferror(mround(#REF!*((VLOOKUP($J75,Sheet1!$D:$N,$G75+1,FALSE)-0.03)),2.5)," ")</f>
        <v> </v>
      </c>
      <c r="O75" s="135" t="str">
        <f>iferror(mround(#REF!*((VLOOKUP($J75,Sheet1!$D:$N,$G75+1,FALSE)+0.02)),2.5)," ")</f>
        <v> </v>
      </c>
      <c r="P75" s="112" t="str">
        <f>iferror(mround(I75/VLOOKUP(L75,Sheet1!$D$7:$N$16,G75+1,FALSE),2.5),"")</f>
        <v/>
      </c>
      <c r="Q75" s="136"/>
      <c r="R75" s="214"/>
      <c r="S75" s="11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</row>
    <row r="76" ht="3.75" hidden="1" customHeight="1">
      <c r="A76" s="90"/>
      <c r="B76" s="6"/>
      <c r="C76" s="90"/>
      <c r="D76" s="138"/>
      <c r="E76" s="154"/>
      <c r="F76" s="155"/>
      <c r="G76" s="102"/>
      <c r="H76" s="102"/>
      <c r="I76" s="102"/>
      <c r="J76" s="156"/>
      <c r="K76" s="217"/>
      <c r="L76" s="218"/>
      <c r="M76" s="144"/>
      <c r="N76" s="145"/>
      <c r="O76" s="145"/>
      <c r="P76" s="122"/>
      <c r="Q76" s="146"/>
      <c r="R76" s="214"/>
      <c r="S76" s="11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</row>
    <row r="77" ht="15.75" customHeight="1">
      <c r="A77" s="90"/>
      <c r="B77" s="6"/>
      <c r="C77" s="90"/>
      <c r="D77" s="159" t="s">
        <v>51</v>
      </c>
      <c r="E77" s="167" t="s">
        <v>52</v>
      </c>
      <c r="F77" s="127">
        <v>4.0</v>
      </c>
      <c r="G77" s="127">
        <v>3.0</v>
      </c>
      <c r="H77" s="195"/>
      <c r="I77" s="130"/>
      <c r="J77" s="151">
        <v>7.0</v>
      </c>
      <c r="K77" s="213"/>
      <c r="L77" s="133"/>
      <c r="M77" s="134"/>
      <c r="N77" s="135" t="str">
        <f>iferror(mround(#REF!*((VLOOKUP($J77,Sheet1!$D:$N,$G77+1,FALSE)-0.03)),2.5)," ")</f>
        <v> </v>
      </c>
      <c r="O77" s="135" t="str">
        <f>iferror(mround(#REF!*((VLOOKUP($J77,Sheet1!$D:$N,$G77+1,FALSE)+0.02)),2.5)," ")</f>
        <v> </v>
      </c>
      <c r="P77" s="112" t="str">
        <f>iferror(mround(I77/VLOOKUP(L77,Sheet1!$D$7:$N$16,G77+1,FALSE),2.5),"")</f>
        <v/>
      </c>
      <c r="Q77" s="136"/>
      <c r="R77" s="214"/>
      <c r="S77" s="11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</row>
    <row r="78" ht="3.75" customHeight="1">
      <c r="A78" s="90"/>
      <c r="B78" s="6"/>
      <c r="C78" s="90"/>
      <c r="D78" s="138"/>
      <c r="E78" s="215"/>
      <c r="F78" s="102"/>
      <c r="G78" s="102"/>
      <c r="H78" s="102"/>
      <c r="I78" s="102"/>
      <c r="J78" s="156"/>
      <c r="K78" s="217"/>
      <c r="L78" s="218"/>
      <c r="M78" s="144"/>
      <c r="N78" s="145"/>
      <c r="O78" s="145"/>
      <c r="P78" s="122"/>
      <c r="Q78" s="146"/>
      <c r="R78" s="214"/>
      <c r="S78" s="11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</row>
    <row r="79" ht="15.75" customHeight="1">
      <c r="A79" s="90"/>
      <c r="B79" s="6"/>
      <c r="C79" s="90"/>
      <c r="D79" s="159" t="s">
        <v>53</v>
      </c>
      <c r="E79" s="220"/>
      <c r="F79" s="127">
        <v>3.0</v>
      </c>
      <c r="G79" s="127" t="s">
        <v>16</v>
      </c>
      <c r="H79" s="195"/>
      <c r="I79" s="130"/>
      <c r="J79" s="151">
        <v>7.0</v>
      </c>
      <c r="K79" s="213"/>
      <c r="L79" s="133"/>
      <c r="M79" s="134"/>
      <c r="N79" s="135" t="str">
        <f>iferror(mround(#REF!*((VLOOKUP($J79,Sheet1!$D:$N,$G79+1,FALSE)-0.03)),2.5)," ")</f>
        <v> </v>
      </c>
      <c r="O79" s="135" t="str">
        <f>iferror(mround(#REF!*((VLOOKUP($J79,Sheet1!$D:$N,$G79+1,FALSE)+0.02)),2.5)," ")</f>
        <v> </v>
      </c>
      <c r="P79" s="112" t="str">
        <f>iferror(mround(I79/VLOOKUP(L79,Sheet1!$D$7:$N$16,G79+1,FALSE),2.5),"")</f>
        <v/>
      </c>
      <c r="Q79" s="136"/>
      <c r="R79" s="214"/>
      <c r="S79" s="11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</row>
    <row r="80" ht="3.75" customHeight="1">
      <c r="A80" s="90"/>
      <c r="B80" s="6"/>
      <c r="C80" s="90"/>
      <c r="D80" s="138"/>
      <c r="E80" s="215"/>
      <c r="F80" s="102"/>
      <c r="G80" s="102"/>
      <c r="H80" s="102"/>
      <c r="I80" s="102"/>
      <c r="J80" s="156"/>
      <c r="K80" s="222"/>
      <c r="L80" s="218"/>
      <c r="M80" s="144"/>
      <c r="N80" s="145"/>
      <c r="O80" s="145"/>
      <c r="P80" s="122"/>
      <c r="Q80" s="146"/>
      <c r="R80" s="214"/>
      <c r="S80" s="11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</row>
    <row r="81" ht="15.75" customHeight="1">
      <c r="A81" s="90"/>
      <c r="B81" s="6"/>
      <c r="C81" s="90"/>
      <c r="D81" s="159" t="s">
        <v>54</v>
      </c>
      <c r="E81" s="227"/>
      <c r="F81" s="127">
        <v>3.0</v>
      </c>
      <c r="G81" s="221">
        <v>45577.0</v>
      </c>
      <c r="H81" s="195"/>
      <c r="I81" s="130"/>
      <c r="J81" s="228">
        <v>8.0</v>
      </c>
      <c r="K81" s="190"/>
      <c r="L81" s="183"/>
      <c r="M81" s="134"/>
      <c r="N81" s="135" t="str">
        <f>iferror(mround(#REF!*((VLOOKUP($J81,Sheet1!$D:$N,$G81+1,FALSE)-0.03)),2.5)," ")</f>
        <v> </v>
      </c>
      <c r="O81" s="135" t="str">
        <f>iferror(mround(#REF!*((VLOOKUP($J81,Sheet1!$D:$N,$G81+1,FALSE)+0.02)),2.5)," ")</f>
        <v> </v>
      </c>
      <c r="P81" s="112" t="str">
        <f>iferror(mround(I81/VLOOKUP(L81,Sheet1!$D$7:$N$16,G81+1,FALSE),2.5),"")</f>
        <v/>
      </c>
      <c r="Q81" s="136"/>
      <c r="R81" s="214"/>
      <c r="S81" s="11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</row>
    <row r="82" ht="3.75" customHeight="1">
      <c r="A82" s="90"/>
      <c r="B82" s="6"/>
      <c r="C82" s="90"/>
      <c r="D82" s="138"/>
      <c r="E82" s="215"/>
      <c r="F82" s="102"/>
      <c r="G82" s="102"/>
      <c r="H82" s="102"/>
      <c r="I82" s="102"/>
      <c r="J82" s="216"/>
      <c r="K82" s="222"/>
      <c r="L82" s="218"/>
      <c r="M82" s="144"/>
      <c r="N82" s="145"/>
      <c r="O82" s="145"/>
      <c r="P82" s="122"/>
      <c r="Q82" s="146"/>
      <c r="R82" s="214"/>
      <c r="S82" s="11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</row>
    <row r="83" ht="15.75" hidden="1" customHeight="1">
      <c r="A83" s="90"/>
      <c r="B83" s="6"/>
      <c r="C83" s="90"/>
      <c r="D83" s="185"/>
      <c r="E83" s="220"/>
      <c r="F83" s="187"/>
      <c r="G83" s="229"/>
      <c r="H83" s="195"/>
      <c r="I83" s="164"/>
      <c r="J83" s="189"/>
      <c r="K83" s="190"/>
      <c r="L83" s="183"/>
      <c r="M83" s="134"/>
      <c r="N83" s="135" t="str">
        <f>iferror(mround(#REF!*((VLOOKUP($J83,Sheet1!$D:$N,$G83+1,FALSE)-0.03)),2.5)," ")</f>
        <v> </v>
      </c>
      <c r="O83" s="135" t="str">
        <f>iferror(mround(#REF!*((VLOOKUP($J83,Sheet1!$D:$N,$G83+1,FALSE)+0.02)),2.5)," ")</f>
        <v> </v>
      </c>
      <c r="P83" s="112" t="str">
        <f>iferror(mround(I83/VLOOKUP(L83,Sheet1!$D$7:$N$16,G83+1,FALSE),2.5),"")</f>
        <v/>
      </c>
      <c r="Q83" s="136"/>
      <c r="R83" s="214"/>
      <c r="S83" s="11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</row>
    <row r="84" ht="3.75" hidden="1" customHeight="1">
      <c r="A84" s="191"/>
      <c r="B84" s="6"/>
      <c r="C84" s="192"/>
      <c r="D84" s="138"/>
      <c r="E84" s="184"/>
      <c r="F84" s="102"/>
      <c r="G84" s="102"/>
      <c r="H84" s="102"/>
      <c r="I84" s="102"/>
      <c r="J84" s="156"/>
      <c r="K84" s="222"/>
      <c r="L84" s="218"/>
      <c r="M84" s="144"/>
      <c r="N84" s="145"/>
      <c r="O84" s="145"/>
      <c r="P84" s="122"/>
      <c r="Q84" s="146"/>
      <c r="R84" s="214"/>
      <c r="S84" s="157"/>
      <c r="T84" s="5"/>
      <c r="U84" s="5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</row>
    <row r="85" ht="15.75" hidden="1" customHeight="1">
      <c r="A85" s="90"/>
      <c r="B85" s="6"/>
      <c r="C85" s="90"/>
      <c r="D85" s="185"/>
      <c r="E85" s="224"/>
      <c r="F85" s="187"/>
      <c r="G85" s="187"/>
      <c r="H85" s="195"/>
      <c r="I85" s="164"/>
      <c r="J85" s="230"/>
      <c r="K85" s="190"/>
      <c r="L85" s="183"/>
      <c r="M85" s="134"/>
      <c r="N85" s="135" t="str">
        <f>iferror(mround(#REF!*((VLOOKUP($J85,Sheet1!$D:$N,$G85+1,FALSE)-0.03)),2.5)," ")</f>
        <v> </v>
      </c>
      <c r="O85" s="135" t="str">
        <f>iferror(mround(#REF!*((VLOOKUP($J85,Sheet1!$D:$N,$G85+1,FALSE)+0.02)),2.5)," ")</f>
        <v> </v>
      </c>
      <c r="P85" s="112" t="str">
        <f>iferror(mround(I85/VLOOKUP(L85,Sheet1!$D$7:$N$16,G85+1,FALSE),2.5),"")</f>
        <v/>
      </c>
      <c r="Q85" s="136"/>
      <c r="R85" s="214"/>
      <c r="S85" s="11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</row>
    <row r="86" ht="3.75" hidden="1" customHeight="1">
      <c r="A86" s="90"/>
      <c r="B86" s="6"/>
      <c r="C86" s="90"/>
      <c r="D86" s="138"/>
      <c r="E86" s="184"/>
      <c r="F86" s="102"/>
      <c r="G86" s="102"/>
      <c r="H86" s="102"/>
      <c r="I86" s="102"/>
      <c r="J86" s="156"/>
      <c r="K86" s="222"/>
      <c r="L86" s="218"/>
      <c r="M86" s="144"/>
      <c r="N86" s="145"/>
      <c r="O86" s="145"/>
      <c r="P86" s="122"/>
      <c r="Q86" s="146"/>
      <c r="R86" s="214"/>
      <c r="S86" s="11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</row>
    <row r="87" ht="15.75" hidden="1" customHeight="1">
      <c r="A87" s="90"/>
      <c r="B87" s="6"/>
      <c r="C87" s="90"/>
      <c r="D87" s="231"/>
      <c r="E87" s="232"/>
      <c r="F87" s="187"/>
      <c r="G87" s="187"/>
      <c r="H87" s="195"/>
      <c r="I87" s="164"/>
      <c r="J87" s="230"/>
      <c r="K87" s="190"/>
      <c r="L87" s="183"/>
      <c r="M87" s="134"/>
      <c r="N87" s="135" t="str">
        <f>iferror(mround(#REF!*((VLOOKUP($J87,Sheet1!$D:$N,$G87+1,FALSE)-0.03)),2.5)," ")</f>
        <v> </v>
      </c>
      <c r="O87" s="135" t="str">
        <f>iferror(mround(#REF!*((VLOOKUP($J87,Sheet1!$D:$N,$G87+1,FALSE)+0.02)),2.5)," ")</f>
        <v> </v>
      </c>
      <c r="P87" s="112" t="str">
        <f>iferror(mround(I87/VLOOKUP(L87,Sheet1!$D$7:$N$16,G87+1,FALSE),2.5),"")</f>
        <v/>
      </c>
      <c r="Q87" s="136"/>
      <c r="R87" s="214"/>
      <c r="S87" s="11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</row>
    <row r="88" ht="3.75" hidden="1" customHeight="1">
      <c r="A88" s="191"/>
      <c r="B88" s="6"/>
      <c r="C88" s="233"/>
      <c r="D88" s="234"/>
      <c r="E88" s="235"/>
      <c r="F88" s="236"/>
      <c r="G88" s="194"/>
      <c r="H88" s="155"/>
      <c r="I88" s="210"/>
      <c r="J88" s="216"/>
      <c r="K88" s="222"/>
      <c r="L88" s="218"/>
      <c r="M88" s="144"/>
      <c r="N88" s="145"/>
      <c r="O88" s="145"/>
      <c r="P88" s="122"/>
      <c r="Q88" s="146"/>
      <c r="R88" s="214"/>
      <c r="S88" s="157"/>
      <c r="T88" s="5"/>
      <c r="U88" s="5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</row>
    <row r="89" ht="15.75" hidden="1" customHeight="1">
      <c r="A89" s="90"/>
      <c r="B89" s="6"/>
      <c r="C89" s="90"/>
      <c r="D89" s="197"/>
      <c r="E89" s="198"/>
      <c r="F89" s="199"/>
      <c r="G89" s="187"/>
      <c r="H89" s="195"/>
      <c r="I89" s="164"/>
      <c r="J89" s="189"/>
      <c r="K89" s="190"/>
      <c r="L89" s="183"/>
      <c r="M89" s="134"/>
      <c r="N89" s="135" t="str">
        <f>iferror(mround(#REF!*((VLOOKUP($J89,Sheet1!$D:$N,$G89+1,FALSE)-0.03)),2.5)," ")</f>
        <v> </v>
      </c>
      <c r="O89" s="135" t="str">
        <f>iferror(mround(#REF!*((VLOOKUP($J89,Sheet1!$D:$N,$G89+1,FALSE)+0.02)),2.5)," ")</f>
        <v> </v>
      </c>
      <c r="P89" s="112" t="str">
        <f>iferror(mround(I89/VLOOKUP(L89,Sheet1!$D$7:$N$16,G89+1,FALSE),2.5),"")</f>
        <v/>
      </c>
      <c r="Q89" s="136"/>
      <c r="R89" s="214"/>
      <c r="S89" s="11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</row>
    <row r="90" ht="3.75" hidden="1" customHeight="1">
      <c r="A90" s="90"/>
      <c r="B90" s="6"/>
      <c r="C90" s="90"/>
      <c r="D90" s="90"/>
      <c r="E90" s="156"/>
      <c r="F90" s="102"/>
      <c r="G90" s="102"/>
      <c r="H90" s="102"/>
      <c r="I90" s="102"/>
      <c r="J90" s="156"/>
      <c r="K90" s="200"/>
      <c r="L90" s="201"/>
      <c r="M90" s="211"/>
      <c r="N90" s="47"/>
      <c r="O90" s="47"/>
      <c r="P90" s="122"/>
      <c r="Q90" s="146"/>
      <c r="R90" s="214"/>
      <c r="S90" s="11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</row>
    <row r="91" ht="30.0" hidden="1" customHeight="1">
      <c r="A91" s="90"/>
      <c r="B91" s="6"/>
      <c r="C91" s="90"/>
      <c r="D91" s="202" t="s">
        <v>55</v>
      </c>
      <c r="E91" s="105" t="s">
        <v>15</v>
      </c>
      <c r="F91" s="106" t="s">
        <v>16</v>
      </c>
      <c r="G91" s="106" t="s">
        <v>17</v>
      </c>
      <c r="H91" s="107"/>
      <c r="I91" s="106" t="s">
        <v>18</v>
      </c>
      <c r="J91" s="108" t="s">
        <v>19</v>
      </c>
      <c r="L91" s="109" t="s">
        <v>20</v>
      </c>
      <c r="M91" s="110" t="s">
        <v>21</v>
      </c>
      <c r="N91" s="111" t="s">
        <v>22</v>
      </c>
      <c r="P91" s="112"/>
      <c r="Q91" s="113" t="s">
        <v>23</v>
      </c>
      <c r="R91" s="114" t="s">
        <v>56</v>
      </c>
      <c r="S91" s="11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</row>
    <row r="92" ht="14.25" hidden="1" customHeight="1">
      <c r="A92" s="90"/>
      <c r="B92" s="6"/>
      <c r="C92" s="90"/>
      <c r="D92" s="116" t="s">
        <v>25</v>
      </c>
      <c r="E92" s="117" t="s">
        <v>26</v>
      </c>
      <c r="H92" s="107"/>
      <c r="N92" s="111" t="s">
        <v>27</v>
      </c>
      <c r="O92" s="111" t="s">
        <v>28</v>
      </c>
      <c r="P92" s="112" t="s">
        <v>29</v>
      </c>
      <c r="R92" s="118" t="s">
        <v>30</v>
      </c>
      <c r="S92" s="11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</row>
    <row r="93" ht="3.75" hidden="1" customHeight="1">
      <c r="A93" s="191"/>
      <c r="B93" s="6"/>
      <c r="C93" s="192"/>
      <c r="D93" s="203"/>
      <c r="E93" s="204"/>
      <c r="F93" s="205"/>
      <c r="G93" s="205"/>
      <c r="H93" s="205"/>
      <c r="I93" s="225"/>
      <c r="J93" s="237"/>
      <c r="K93" s="209"/>
      <c r="L93" s="238"/>
      <c r="M93" s="211"/>
      <c r="N93" s="47" t="str">
        <f>iferror(mround(#REF!*((VLOOKUP($J93,Sheet1!$D:$N,$G93+1,FALSE)-0.03)),2.5)," ")</f>
        <v> </v>
      </c>
      <c r="O93" s="47" t="str">
        <f>iferror(mround(#REF!*((VLOOKUP($J93,Sheet1!$D:$N,$G93+1,FALSE)+0.02)),2.5)," ")</f>
        <v> </v>
      </c>
      <c r="P93" s="122"/>
      <c r="Q93" s="146"/>
      <c r="R93" s="239"/>
      <c r="S93" s="157"/>
      <c r="T93" s="5"/>
      <c r="U93" s="5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</row>
    <row r="94" ht="15.75" hidden="1" customHeight="1">
      <c r="A94" s="124"/>
      <c r="B94" s="6"/>
      <c r="C94" s="124"/>
      <c r="D94" s="125"/>
      <c r="E94" s="126"/>
      <c r="F94" s="127"/>
      <c r="G94" s="240"/>
      <c r="H94" s="129"/>
      <c r="I94" s="130"/>
      <c r="J94" s="151"/>
      <c r="K94" s="241"/>
      <c r="L94" s="130"/>
      <c r="M94" s="134"/>
      <c r="N94" s="135" t="str">
        <f>iferror(mround(#REF!*((VLOOKUP($J94,Sheet1!$D:$N,$G94+1,FALSE)-0.03)),2.5)," ")</f>
        <v> </v>
      </c>
      <c r="O94" s="135" t="str">
        <f>iferror(mround(#REF!*((VLOOKUP($J94,Sheet1!$D:$N,$G94+1,FALSE)+0.02)),2.5)," ")</f>
        <v> </v>
      </c>
      <c r="P94" s="112" t="str">
        <f>iferror(mround(I94/VLOOKUP(L94,Sheet1!$D$7:$N$16,G94+1,FALSE),2.5),"")</f>
        <v/>
      </c>
      <c r="Q94" s="136"/>
      <c r="R94" s="242"/>
      <c r="S94" s="11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</row>
    <row r="95" ht="3.75" hidden="1" customHeight="1">
      <c r="A95" s="124"/>
      <c r="B95" s="6"/>
      <c r="C95" s="124"/>
      <c r="D95" s="138"/>
      <c r="E95" s="139"/>
      <c r="F95" s="140"/>
      <c r="G95" s="140"/>
      <c r="H95" s="140"/>
      <c r="I95" s="140"/>
      <c r="J95" s="141"/>
      <c r="K95" s="243"/>
      <c r="L95" s="210"/>
      <c r="M95" s="144"/>
      <c r="N95" s="145" t="str">
        <f>iferror(mround(#REF!*((VLOOKUP($J95,Sheet1!$D:$N,$G95+1,FALSE)-0.03)),2.5)," ")</f>
        <v> </v>
      </c>
      <c r="O95" s="145" t="str">
        <f>iferror(mround(#REF!*((VLOOKUP($J95,Sheet1!$D:$N,$G95+1,FALSE)+0.02)),2.5)," ")</f>
        <v> </v>
      </c>
      <c r="P95" s="122"/>
      <c r="Q95" s="146"/>
      <c r="R95" s="242"/>
      <c r="S95" s="11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</row>
    <row r="96" ht="15.0" hidden="1" customHeight="1">
      <c r="A96" s="124"/>
      <c r="B96" s="6"/>
      <c r="C96" s="124"/>
      <c r="D96" s="125"/>
      <c r="E96" s="126"/>
      <c r="F96" s="127"/>
      <c r="G96" s="240"/>
      <c r="H96" s="129"/>
      <c r="I96" s="164"/>
      <c r="J96" s="165"/>
      <c r="K96" s="241"/>
      <c r="L96" s="130"/>
      <c r="M96" s="134"/>
      <c r="N96" s="135" t="str">
        <f>iferror(mround(#REF!*((VLOOKUP($J96,Sheet1!$D:$N,$G96+1,FALSE)-0.03)),2.5)," ")</f>
        <v> </v>
      </c>
      <c r="O96" s="135" t="str">
        <f>iferror(mround(#REF!*((VLOOKUP($J96,Sheet1!$D:$N,$G96+1,FALSE)+0.02)),2.5)," ")</f>
        <v> </v>
      </c>
      <c r="P96" s="112" t="str">
        <f>iferror(mround(I96/VLOOKUP(L96,Sheet1!$D$7:$N$16,G96+1,FALSE),2.5),"")</f>
        <v/>
      </c>
      <c r="Q96" s="136"/>
      <c r="R96" s="242"/>
      <c r="S96" s="11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</row>
    <row r="97" ht="3.75" hidden="1" customHeight="1">
      <c r="A97" s="124"/>
      <c r="B97" s="6"/>
      <c r="C97" s="124"/>
      <c r="D97" s="138"/>
      <c r="E97" s="215"/>
      <c r="F97" s="102"/>
      <c r="G97" s="102"/>
      <c r="H97" s="102"/>
      <c r="I97" s="102"/>
      <c r="J97" s="156"/>
      <c r="K97" s="243"/>
      <c r="L97" s="210"/>
      <c r="M97" s="144"/>
      <c r="N97" s="145" t="str">
        <f>iferror(mround(#REF!*((VLOOKUP($J97,Sheet1!$D:$N,$G97+1,FALSE)-0.03)),2.5)," ")</f>
        <v> </v>
      </c>
      <c r="O97" s="145" t="str">
        <f>iferror(mround(#REF!*((VLOOKUP($J97,Sheet1!$D:$N,$G97+1,FALSE)+0.02)),2.5)," ")</f>
        <v> </v>
      </c>
      <c r="P97" s="122"/>
      <c r="Q97" s="146"/>
      <c r="R97" s="242"/>
      <c r="S97" s="11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</row>
    <row r="98" ht="15.75" hidden="1" customHeight="1">
      <c r="A98" s="124"/>
      <c r="B98" s="6"/>
      <c r="C98" s="124"/>
      <c r="D98" s="159"/>
      <c r="E98" s="126"/>
      <c r="F98" s="127"/>
      <c r="G98" s="161"/>
      <c r="H98" s="129"/>
      <c r="I98" s="130"/>
      <c r="J98" s="151"/>
      <c r="K98" s="244"/>
      <c r="L98" s="130"/>
      <c r="M98" s="134"/>
      <c r="N98" s="135" t="str">
        <f>iferror(mround(#REF!*((VLOOKUP($J98,Sheet1!$D:$N,$G98+1,FALSE)-0.03)),2.5)," ")</f>
        <v> </v>
      </c>
      <c r="O98" s="135" t="str">
        <f>iferror(mround(#REF!*((VLOOKUP($J98,Sheet1!$D:$N,$G98+1,FALSE)+0.02)),2.5)," ")</f>
        <v> </v>
      </c>
      <c r="P98" s="112" t="str">
        <f>iferror(mround(I98/VLOOKUP(L98,Sheet1!$D$7:$N$16,G98+1,FALSE),2.5),"")</f>
        <v/>
      </c>
      <c r="Q98" s="136"/>
      <c r="R98" s="242"/>
      <c r="S98" s="11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</row>
    <row r="99" ht="3.75" hidden="1" customHeight="1">
      <c r="A99" s="124"/>
      <c r="B99" s="6"/>
      <c r="C99" s="124"/>
      <c r="D99" s="138"/>
      <c r="E99" s="154"/>
      <c r="F99" s="155"/>
      <c r="G99" s="102"/>
      <c r="H99" s="102"/>
      <c r="I99" s="102"/>
      <c r="J99" s="156"/>
      <c r="K99" s="243"/>
      <c r="L99" s="210"/>
      <c r="M99" s="144"/>
      <c r="N99" s="145" t="str">
        <f>iferror(mround(#REF!*((VLOOKUP($J99,Sheet1!$D:$N,$G99+1,FALSE)-0.03)),2.5)," ")</f>
        <v> </v>
      </c>
      <c r="O99" s="145" t="str">
        <f>iferror(mround(#REF!*((VLOOKUP($J99,Sheet1!$D:$N,$G99+1,FALSE)+0.02)),2.5)," ")</f>
        <v> </v>
      </c>
      <c r="P99" s="122"/>
      <c r="Q99" s="146"/>
      <c r="R99" s="242"/>
      <c r="S99" s="11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</row>
    <row r="100" ht="15.75" hidden="1" customHeight="1">
      <c r="A100" s="124"/>
      <c r="B100" s="6"/>
      <c r="C100" s="124"/>
      <c r="D100" s="159"/>
      <c r="E100" s="126"/>
      <c r="F100" s="127"/>
      <c r="G100" s="161"/>
      <c r="H100" s="129"/>
      <c r="I100" s="130"/>
      <c r="J100" s="151"/>
      <c r="K100" s="241"/>
      <c r="L100" s="130"/>
      <c r="M100" s="134"/>
      <c r="N100" s="135" t="str">
        <f>iferror(mround(#REF!*((VLOOKUP($J100,Sheet1!$D:$N,$G100+1,FALSE)-0.03)),2.5)," ")</f>
        <v> </v>
      </c>
      <c r="O100" s="135" t="str">
        <f>iferror(mround(#REF!*((VLOOKUP($J100,Sheet1!$D:$N,$G100+1,FALSE)+0.02)),2.5)," ")</f>
        <v> </v>
      </c>
      <c r="P100" s="112" t="str">
        <f>iferror(mround(I100/VLOOKUP(L100,Sheet1!$D$7:$N$16,G100+1,FALSE),2.5),"")</f>
        <v/>
      </c>
      <c r="Q100" s="136"/>
      <c r="R100" s="242"/>
      <c r="S100" s="11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</row>
    <row r="101" ht="3.75" hidden="1" customHeight="1">
      <c r="A101" s="90"/>
      <c r="B101" s="6"/>
      <c r="C101" s="90"/>
      <c r="D101" s="138"/>
      <c r="E101" s="245"/>
      <c r="F101" s="102"/>
      <c r="G101" s="102"/>
      <c r="H101" s="102"/>
      <c r="I101" s="102"/>
      <c r="J101" s="156"/>
      <c r="K101" s="243"/>
      <c r="L101" s="210"/>
      <c r="M101" s="144"/>
      <c r="N101" s="145" t="str">
        <f>iferror(mround(#REF!*((VLOOKUP($J101,Sheet1!$D:$N,$G101+1,FALSE)-0.03)),2.5)," ")</f>
        <v> </v>
      </c>
      <c r="O101" s="145" t="str">
        <f>iferror(mround(#REF!*((VLOOKUP($J101,Sheet1!$D:$N,$G101+1,FALSE)+0.02)),2.5)," ")</f>
        <v> </v>
      </c>
      <c r="P101" s="122"/>
      <c r="Q101" s="146"/>
      <c r="R101" s="242"/>
      <c r="S101" s="11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</row>
    <row r="102" ht="15.75" hidden="1" customHeight="1">
      <c r="A102" s="90"/>
      <c r="B102" s="6"/>
      <c r="C102" s="90"/>
      <c r="D102" s="159"/>
      <c r="E102" s="227"/>
      <c r="F102" s="127"/>
      <c r="G102" s="221"/>
      <c r="H102" s="195"/>
      <c r="I102" s="130"/>
      <c r="J102" s="228"/>
      <c r="K102" s="241"/>
      <c r="L102" s="130"/>
      <c r="M102" s="134"/>
      <c r="N102" s="135" t="str">
        <f>iferror(mround(#REF!*((VLOOKUP($J102,Sheet1!$D:$N,$G102+1,FALSE)-0.03)),2.5)," ")</f>
        <v> </v>
      </c>
      <c r="O102" s="135" t="str">
        <f>iferror(mround(#REF!*((VLOOKUP($J102,Sheet1!$D:$N,$G102+1,FALSE)+0.02)),2.5)," ")</f>
        <v> </v>
      </c>
      <c r="P102" s="112" t="str">
        <f>iferror(mround(I102/VLOOKUP(L102,Sheet1!$D$7:$N$16,G102+1,FALSE),2.5),"")</f>
        <v/>
      </c>
      <c r="Q102" s="136"/>
      <c r="R102" s="242"/>
      <c r="S102" s="11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</row>
    <row r="103" ht="3.75" hidden="1" customHeight="1">
      <c r="A103" s="191"/>
      <c r="B103" s="6"/>
      <c r="C103" s="192"/>
      <c r="D103" s="138"/>
      <c r="E103" s="245"/>
      <c r="F103" s="102"/>
      <c r="G103" s="102"/>
      <c r="H103" s="102"/>
      <c r="I103" s="102"/>
      <c r="J103" s="156"/>
      <c r="K103" s="243"/>
      <c r="L103" s="210"/>
      <c r="M103" s="144"/>
      <c r="N103" s="145" t="str">
        <f>iferror(mround(#REF!*((VLOOKUP($J103,Sheet1!$D:$N,$G103+1,FALSE)-0.03)),2.5)," ")</f>
        <v> </v>
      </c>
      <c r="O103" s="145" t="str">
        <f>iferror(mround(#REF!*((VLOOKUP($J103,Sheet1!$D:$N,$G103+1,FALSE)+0.02)),2.5)," ")</f>
        <v> </v>
      </c>
      <c r="P103" s="122"/>
      <c r="Q103" s="146"/>
      <c r="R103" s="242"/>
      <c r="S103" s="157"/>
      <c r="T103" s="5"/>
      <c r="U103" s="5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</row>
    <row r="104" ht="15.75" hidden="1" customHeight="1">
      <c r="A104" s="90"/>
      <c r="B104" s="6"/>
      <c r="C104" s="90"/>
      <c r="D104" s="159"/>
      <c r="E104" s="246"/>
      <c r="F104" s="127"/>
      <c r="G104" s="221"/>
      <c r="H104" s="195"/>
      <c r="I104" s="130"/>
      <c r="J104" s="228"/>
      <c r="K104" s="241"/>
      <c r="L104" s="130"/>
      <c r="M104" s="134"/>
      <c r="N104" s="135" t="str">
        <f>iferror(mround(#REF!*((VLOOKUP($J104,Sheet1!$D:$N,$G104+1,FALSE)-0.03)),2.5)," ")</f>
        <v> </v>
      </c>
      <c r="O104" s="135" t="str">
        <f>iferror(mround(#REF!*((VLOOKUP($J104,Sheet1!$D:$N,$G104+1,FALSE)+0.02)),2.5)," ")</f>
        <v> </v>
      </c>
      <c r="P104" s="112" t="str">
        <f>iferror(mround(I104/VLOOKUP(L104,Sheet1!$D$7:$N$16,G104+1,FALSE),2.5),"")</f>
        <v/>
      </c>
      <c r="Q104" s="136"/>
      <c r="R104" s="242"/>
      <c r="S104" s="11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</row>
    <row r="105" ht="3.75" hidden="1" customHeight="1">
      <c r="A105" s="90"/>
      <c r="B105" s="6"/>
      <c r="C105" s="90"/>
      <c r="D105" s="138"/>
      <c r="E105" s="245"/>
      <c r="F105" s="102"/>
      <c r="G105" s="102"/>
      <c r="H105" s="102"/>
      <c r="I105" s="102"/>
      <c r="J105" s="156"/>
      <c r="K105" s="243"/>
      <c r="L105" s="210"/>
      <c r="M105" s="144"/>
      <c r="N105" s="145" t="str">
        <f>iferror(mround(#REF!*((VLOOKUP($J105,Sheet1!$D:$N,$G105+1,FALSE)-0.03)),2.5)," ")</f>
        <v> </v>
      </c>
      <c r="O105" s="145" t="str">
        <f>iferror(mround(#REF!*((VLOOKUP($J105,Sheet1!$D:$N,$G105+1,FALSE)+0.02)),2.5)," ")</f>
        <v> </v>
      </c>
      <c r="P105" s="122"/>
      <c r="Q105" s="146"/>
      <c r="R105" s="242"/>
      <c r="S105" s="11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</row>
    <row r="106" ht="15.75" hidden="1" customHeight="1">
      <c r="A106" s="90"/>
      <c r="B106" s="6"/>
      <c r="C106" s="90"/>
      <c r="D106" s="185"/>
      <c r="E106" s="227"/>
      <c r="F106" s="187"/>
      <c r="G106" s="229"/>
      <c r="H106" s="195"/>
      <c r="I106" s="247"/>
      <c r="J106" s="248"/>
      <c r="K106" s="241"/>
      <c r="L106" s="164"/>
      <c r="M106" s="134"/>
      <c r="N106" s="135" t="str">
        <f>iferror(mround(#REF!*((VLOOKUP($J106,Sheet1!$D:$N,$G106+1,FALSE)-0.03)),2.5)," ")</f>
        <v> </v>
      </c>
      <c r="O106" s="135" t="str">
        <f>iferror(mround(#REF!*((VLOOKUP($J106,Sheet1!$D:$N,$G106+1,FALSE)+0.02)),2.5)," ")</f>
        <v> </v>
      </c>
      <c r="P106" s="112" t="str">
        <f>iferror(mround(I106/VLOOKUP(L106,Sheet1!$D$7:$N$16,G106+1,FALSE),2.5),"")</f>
        <v/>
      </c>
      <c r="Q106" s="136"/>
      <c r="R106" s="242"/>
      <c r="S106" s="11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</row>
    <row r="107" ht="3.75" hidden="1" customHeight="1">
      <c r="A107" s="90"/>
      <c r="B107" s="6"/>
      <c r="C107" s="90"/>
      <c r="D107" s="138"/>
      <c r="E107" s="215"/>
      <c r="F107" s="102"/>
      <c r="G107" s="102"/>
      <c r="H107" s="102"/>
      <c r="I107" s="102"/>
      <c r="J107" s="156"/>
      <c r="K107" s="243"/>
      <c r="L107" s="210"/>
      <c r="M107" s="144"/>
      <c r="N107" s="145" t="str">
        <f>iferror(mround(#REF!*((VLOOKUP($J107,Sheet1!$D:$N,$G107+1,FALSE)-0.03)),2.5)," ")</f>
        <v> </v>
      </c>
      <c r="O107" s="145" t="str">
        <f>iferror(mround(#REF!*((VLOOKUP($J107,Sheet1!$D:$N,$G107+1,FALSE)+0.02)),2.5)," ")</f>
        <v> </v>
      </c>
      <c r="P107" s="122"/>
      <c r="Q107" s="146"/>
      <c r="R107" s="242"/>
      <c r="S107" s="11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</row>
    <row r="108" ht="15.75" hidden="1" customHeight="1">
      <c r="A108" s="90"/>
      <c r="B108" s="6"/>
      <c r="C108" s="90"/>
      <c r="D108" s="185"/>
      <c r="E108" s="220"/>
      <c r="F108" s="187"/>
      <c r="G108" s="229"/>
      <c r="H108" s="195"/>
      <c r="I108" s="247"/>
      <c r="J108" s="248"/>
      <c r="K108" s="241"/>
      <c r="L108" s="164"/>
      <c r="M108" s="134"/>
      <c r="N108" s="135" t="str">
        <f>iferror(mround(#REF!*((VLOOKUP($J108,Sheet1!$D:$N,$G108+1,FALSE)-0.03)),2.5)," ")</f>
        <v> </v>
      </c>
      <c r="O108" s="135" t="str">
        <f>iferror(mround(#REF!*((VLOOKUP($J108,Sheet1!$D:$N,$G108+1,FALSE)+0.02)),2.5)," ")</f>
        <v> </v>
      </c>
      <c r="P108" s="112" t="str">
        <f>iferror(mround(I108/VLOOKUP(L108,Sheet1!$D$7:$N$16,G108+1,FALSE),2.5),"")</f>
        <v/>
      </c>
      <c r="Q108" s="136"/>
      <c r="R108" s="242"/>
      <c r="S108" s="11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</row>
    <row r="109" ht="3.75" hidden="1" customHeight="1">
      <c r="A109" s="90"/>
      <c r="B109" s="6"/>
      <c r="C109" s="90"/>
      <c r="D109" s="196"/>
      <c r="E109" s="184"/>
      <c r="F109" s="102"/>
      <c r="G109" s="102"/>
      <c r="H109" s="102"/>
      <c r="I109" s="102"/>
      <c r="J109" s="156"/>
      <c r="K109" s="249"/>
      <c r="L109" s="210"/>
      <c r="M109" s="144"/>
      <c r="N109" s="145" t="str">
        <f>iferror(mround(#REF!*((VLOOKUP($J109,Sheet1!$D:$N,$G109+1,FALSE)-0.03)),2.5)," ")</f>
        <v> </v>
      </c>
      <c r="O109" s="145" t="str">
        <f>iferror(mround(#REF!*((VLOOKUP($J109,Sheet1!$D:$N,$G109+1,FALSE)+0.02)),2.5)," ")</f>
        <v> </v>
      </c>
      <c r="P109" s="122"/>
      <c r="Q109" s="146"/>
      <c r="R109" s="242"/>
      <c r="S109" s="11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</row>
    <row r="110" ht="15.75" hidden="1" customHeight="1">
      <c r="A110" s="90"/>
      <c r="B110" s="6"/>
      <c r="C110" s="90"/>
      <c r="D110" s="197"/>
      <c r="E110" s="250"/>
      <c r="F110" s="129"/>
      <c r="G110" s="199"/>
      <c r="H110" s="195"/>
      <c r="I110" s="247"/>
      <c r="J110" s="248"/>
      <c r="K110" s="251"/>
      <c r="L110" s="164"/>
      <c r="M110" s="134"/>
      <c r="N110" s="135" t="str">
        <f>iferror(mround(#REF!*((VLOOKUP($J110,Sheet1!$D:$N,$G110+1,FALSE)-0.03)),2.5)," ")</f>
        <v> </v>
      </c>
      <c r="O110" s="135" t="str">
        <f>iferror(mround(#REF!*((VLOOKUP($J110,Sheet1!$D:$N,$G110+1,FALSE)+0.02)),2.5)," ")</f>
        <v> </v>
      </c>
      <c r="P110" s="112" t="str">
        <f>iferror(mround(I110/VLOOKUP(L110,Sheet1!$D$7:$N$16,G110+1,FALSE),2.5),"")</f>
        <v/>
      </c>
      <c r="Q110" s="136"/>
      <c r="R110" s="242"/>
      <c r="S110" s="11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</row>
    <row r="111" ht="3.75" hidden="1" customHeight="1">
      <c r="A111" s="90"/>
      <c r="B111" s="6"/>
      <c r="C111" s="90"/>
      <c r="D111" s="234"/>
      <c r="E111" s="184"/>
      <c r="F111" s="102"/>
      <c r="G111" s="102"/>
      <c r="H111" s="102"/>
      <c r="I111" s="102"/>
      <c r="J111" s="156"/>
      <c r="K111" s="249"/>
      <c r="L111" s="210"/>
      <c r="M111" s="144"/>
      <c r="N111" s="145" t="str">
        <f>iferror(mround(#REF!*((VLOOKUP($J111,Sheet1!$D:$N,$G111+1,FALSE)-0.03)),2.5)," ")</f>
        <v> </v>
      </c>
      <c r="O111" s="145" t="str">
        <f>iferror(mround(#REF!*((VLOOKUP($J111,Sheet1!$D:$N,$G111+1,FALSE)+0.02)),2.5)," ")</f>
        <v> </v>
      </c>
      <c r="P111" s="122"/>
      <c r="Q111" s="146"/>
      <c r="R111" s="242"/>
      <c r="S111" s="11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</row>
    <row r="112" ht="15.75" hidden="1" customHeight="1">
      <c r="A112" s="90"/>
      <c r="B112" s="6"/>
      <c r="C112" s="90"/>
      <c r="D112" s="197"/>
      <c r="E112" s="198"/>
      <c r="F112" s="129"/>
      <c r="G112" s="199"/>
      <c r="H112" s="195"/>
      <c r="I112" s="164"/>
      <c r="J112" s="248"/>
      <c r="K112" s="251"/>
      <c r="L112" s="164"/>
      <c r="M112" s="134"/>
      <c r="N112" s="135" t="str">
        <f>iferror(mround(#REF!*((VLOOKUP($J112,Sheet1!$D:$N,$G112+1,FALSE)-0.03)),2.5)," ")</f>
        <v> </v>
      </c>
      <c r="O112" s="135" t="str">
        <f>iferror(mround(#REF!*((VLOOKUP($J112,Sheet1!$D:$N,$G112+1,FALSE)+0.02)),2.5)," ")</f>
        <v> </v>
      </c>
      <c r="P112" s="112" t="str">
        <f>iferror(mround(I112/VLOOKUP(L112,Sheet1!$D$7:$N$16,G112+1,FALSE),2.5),"")</f>
        <v/>
      </c>
      <c r="Q112" s="136"/>
      <c r="R112" s="242"/>
      <c r="S112" s="11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</row>
    <row r="113" ht="3.75" hidden="1" customHeight="1">
      <c r="A113" s="124"/>
      <c r="B113" s="6"/>
      <c r="C113" s="124"/>
      <c r="D113" s="252"/>
      <c r="E113" s="252"/>
      <c r="F113" s="102"/>
      <c r="G113" s="102"/>
      <c r="H113" s="102"/>
      <c r="I113" s="102"/>
      <c r="J113" s="156"/>
      <c r="K113" s="253"/>
      <c r="L113" s="201"/>
      <c r="M113" s="211" t="str">
        <f>#REF!</f>
        <v>#REF!</v>
      </c>
      <c r="N113" s="47" t="str">
        <f>iferror(mround(#REF!*((VLOOKUP($J113,Sheet1!$D:$N,$G113+1,FALSE)-0.03)),2.5)," ")</f>
        <v> </v>
      </c>
      <c r="O113" s="47" t="str">
        <f>iferror(mround(#REF!*((VLOOKUP($J113,Sheet1!$D:$N,$G113+1,FALSE)+0.02)),2.5)," ")</f>
        <v> </v>
      </c>
      <c r="P113" s="122"/>
      <c r="Q113" s="146"/>
      <c r="R113" s="242"/>
      <c r="S113" s="11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</row>
    <row r="114" ht="30.75" hidden="1" customHeight="1">
      <c r="A114" s="90"/>
      <c r="B114" s="6"/>
      <c r="C114" s="90"/>
      <c r="D114" s="254" t="s">
        <v>57</v>
      </c>
      <c r="E114" s="255" t="s">
        <v>15</v>
      </c>
      <c r="F114" s="106" t="s">
        <v>16</v>
      </c>
      <c r="G114" s="106" t="s">
        <v>17</v>
      </c>
      <c r="H114" s="107"/>
      <c r="I114" s="106" t="s">
        <v>18</v>
      </c>
      <c r="J114" s="108" t="s">
        <v>19</v>
      </c>
      <c r="L114" s="109" t="s">
        <v>20</v>
      </c>
      <c r="M114" s="110" t="s">
        <v>21</v>
      </c>
      <c r="N114" s="111" t="s">
        <v>22</v>
      </c>
      <c r="P114" s="112"/>
      <c r="Q114" s="113" t="s">
        <v>23</v>
      </c>
      <c r="R114" s="256" t="s">
        <v>58</v>
      </c>
      <c r="S114" s="11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</row>
    <row r="115" ht="14.25" hidden="1" customHeight="1">
      <c r="A115" s="90"/>
      <c r="B115" s="6"/>
      <c r="C115" s="90"/>
      <c r="D115" s="257" t="s">
        <v>25</v>
      </c>
      <c r="E115" s="258" t="s">
        <v>26</v>
      </c>
      <c r="H115" s="107"/>
      <c r="N115" s="111" t="s">
        <v>27</v>
      </c>
      <c r="O115" s="111" t="s">
        <v>28</v>
      </c>
      <c r="P115" s="112" t="s">
        <v>29</v>
      </c>
      <c r="R115" s="118" t="s">
        <v>30</v>
      </c>
      <c r="S115" s="11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</row>
    <row r="116" ht="3.75" hidden="1" customHeight="1">
      <c r="A116" s="124"/>
      <c r="B116" s="6"/>
      <c r="C116" s="124"/>
      <c r="D116" s="252"/>
      <c r="E116" s="252"/>
      <c r="F116" s="102"/>
      <c r="G116" s="102"/>
      <c r="H116" s="102"/>
      <c r="I116" s="102"/>
      <c r="J116" s="156"/>
      <c r="K116" s="253"/>
      <c r="L116" s="201"/>
      <c r="M116" s="211"/>
      <c r="N116" s="47"/>
      <c r="O116" s="47"/>
      <c r="P116" s="122"/>
      <c r="Q116" s="146"/>
      <c r="R116" s="259"/>
      <c r="S116" s="11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</row>
    <row r="117" ht="14.25" hidden="1" customHeight="1">
      <c r="A117" s="124"/>
      <c r="B117" s="6"/>
      <c r="C117" s="124"/>
      <c r="D117" s="260"/>
      <c r="E117" s="126"/>
      <c r="F117" s="187"/>
      <c r="G117" s="229"/>
      <c r="H117" s="129"/>
      <c r="I117" s="164"/>
      <c r="J117" s="189"/>
      <c r="K117" s="251"/>
      <c r="L117" s="164"/>
      <c r="M117" s="134"/>
      <c r="N117" s="135" t="str">
        <f>iferror(mround(#REF!*((VLOOKUP($J117,Sheet1!$D:$N,$G117+1,FALSE)-0.03)),2.5)," ")</f>
        <v> </v>
      </c>
      <c r="O117" s="135" t="str">
        <f>iferror(mround(#REF!*((VLOOKUP($J117,Sheet1!$D:$N,$G117+1,FALSE)+0.02)),2.5)," ")</f>
        <v> </v>
      </c>
      <c r="P117" s="56" t="str">
        <f>iferror(mround(I117/VLOOKUP(L117,Sheet1!$D$7:$N$16,G117+1,FALSE),2.5),"")</f>
        <v/>
      </c>
      <c r="Q117" s="136"/>
      <c r="S117" s="11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</row>
    <row r="118" ht="3.75" hidden="1" customHeight="1">
      <c r="A118" s="124"/>
      <c r="B118" s="6"/>
      <c r="C118" s="124"/>
      <c r="D118" s="138"/>
      <c r="E118" s="215"/>
      <c r="F118" s="102"/>
      <c r="G118" s="102"/>
      <c r="H118" s="102"/>
      <c r="I118" s="102"/>
      <c r="J118" s="156"/>
      <c r="K118" s="249"/>
      <c r="L118" s="210"/>
      <c r="M118" s="144"/>
      <c r="N118" s="145"/>
      <c r="O118" s="145"/>
      <c r="P118" s="122"/>
      <c r="Q118" s="146"/>
      <c r="S118" s="11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</row>
    <row r="119" ht="14.25" hidden="1" customHeight="1">
      <c r="A119" s="124"/>
      <c r="B119" s="6"/>
      <c r="C119" s="124"/>
      <c r="D119" s="185"/>
      <c r="E119" s="227"/>
      <c r="F119" s="187"/>
      <c r="G119" s="229"/>
      <c r="H119" s="195"/>
      <c r="I119" s="164"/>
      <c r="J119" s="248"/>
      <c r="K119" s="251"/>
      <c r="L119" s="164"/>
      <c r="M119" s="134"/>
      <c r="N119" s="135" t="str">
        <f>iferror(mround(#REF!*((VLOOKUP($J119,Sheet1!$D:$N,$G119+1,FALSE)-0.03)),2.5)," ")</f>
        <v> </v>
      </c>
      <c r="O119" s="135" t="str">
        <f>iferror(mround(#REF!*((VLOOKUP($J119,Sheet1!$D:$N,$G119+1,FALSE)+0.02)),2.5)," ")</f>
        <v> </v>
      </c>
      <c r="P119" s="112" t="str">
        <f>iferror(mround(I119/VLOOKUP(L119,Sheet1!$D$7:$N$16,G119+1,FALSE),2.5),"")</f>
        <v/>
      </c>
      <c r="Q119" s="136"/>
      <c r="S119" s="11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</row>
    <row r="120" ht="3.75" hidden="1" customHeight="1">
      <c r="A120" s="124"/>
      <c r="B120" s="6"/>
      <c r="C120" s="124"/>
      <c r="D120" s="138"/>
      <c r="E120" s="245"/>
      <c r="F120" s="102"/>
      <c r="G120" s="102"/>
      <c r="H120" s="102"/>
      <c r="I120" s="102"/>
      <c r="J120" s="156"/>
      <c r="K120" s="249"/>
      <c r="L120" s="210"/>
      <c r="M120" s="144"/>
      <c r="N120" s="145"/>
      <c r="O120" s="145"/>
      <c r="P120" s="122"/>
      <c r="Q120" s="146"/>
      <c r="S120" s="11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</row>
    <row r="121" ht="14.25" hidden="1" customHeight="1">
      <c r="A121" s="124"/>
      <c r="B121" s="6"/>
      <c r="C121" s="124"/>
      <c r="D121" s="185"/>
      <c r="E121" s="227"/>
      <c r="F121" s="187"/>
      <c r="G121" s="229"/>
      <c r="H121" s="195"/>
      <c r="I121" s="164"/>
      <c r="J121" s="248"/>
      <c r="K121" s="251"/>
      <c r="L121" s="164"/>
      <c r="M121" s="134"/>
      <c r="N121" s="135" t="str">
        <f>iferror(mround(#REF!*((VLOOKUP($J121,Sheet1!$D:$N,$G121+1,FALSE)-0.03)),2.5)," ")</f>
        <v> </v>
      </c>
      <c r="O121" s="135" t="str">
        <f>iferror(mround(#REF!*((VLOOKUP($J121,Sheet1!$D:$N,$G121+1,FALSE)+0.02)),2.5)," ")</f>
        <v> </v>
      </c>
      <c r="P121" s="112" t="str">
        <f>iferror(mround(I121/VLOOKUP(L121,Sheet1!$D$7:$N$16,G121+1,FALSE),2.5),"")</f>
        <v/>
      </c>
      <c r="Q121" s="136"/>
      <c r="S121" s="11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</row>
    <row r="122" ht="3.75" hidden="1" customHeight="1">
      <c r="A122" s="124"/>
      <c r="B122" s="6"/>
      <c r="C122" s="124"/>
      <c r="D122" s="138"/>
      <c r="E122" s="245"/>
      <c r="F122" s="102"/>
      <c r="G122" s="102"/>
      <c r="H122" s="102"/>
      <c r="I122" s="102"/>
      <c r="J122" s="156"/>
      <c r="K122" s="249"/>
      <c r="L122" s="210"/>
      <c r="M122" s="144"/>
      <c r="N122" s="145"/>
      <c r="O122" s="145"/>
      <c r="P122" s="122"/>
      <c r="Q122" s="146"/>
      <c r="S122" s="11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</row>
    <row r="123" ht="14.25" hidden="1" customHeight="1">
      <c r="A123" s="124"/>
      <c r="B123" s="6"/>
      <c r="C123" s="124"/>
      <c r="D123" s="185"/>
      <c r="E123" s="227"/>
      <c r="F123" s="187"/>
      <c r="G123" s="229"/>
      <c r="H123" s="195"/>
      <c r="I123" s="164"/>
      <c r="J123" s="248"/>
      <c r="K123" s="251"/>
      <c r="L123" s="164"/>
      <c r="M123" s="134"/>
      <c r="N123" s="135" t="str">
        <f>iferror(mround(#REF!*((VLOOKUP($J123,Sheet1!$D:$N,$G123+1,FALSE)-0.03)),2.5)," ")</f>
        <v> </v>
      </c>
      <c r="O123" s="135" t="str">
        <f>iferror(mround(#REF!*((VLOOKUP($J123,Sheet1!$D:$N,$G123+1,FALSE)+0.02)),2.5)," ")</f>
        <v> </v>
      </c>
      <c r="P123" s="112" t="str">
        <f>iferror(mround(I123/VLOOKUP(L123,Sheet1!$D$7:$N$16,G123+1,FALSE),2.5),"")</f>
        <v/>
      </c>
      <c r="Q123" s="136"/>
      <c r="S123" s="11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</row>
    <row r="124" ht="3.75" hidden="1" customHeight="1">
      <c r="A124" s="124"/>
      <c r="B124" s="6"/>
      <c r="C124" s="124"/>
      <c r="D124" s="138"/>
      <c r="E124" s="245"/>
      <c r="F124" s="102"/>
      <c r="G124" s="102"/>
      <c r="H124" s="102"/>
      <c r="I124" s="102"/>
      <c r="J124" s="156"/>
      <c r="K124" s="249"/>
      <c r="L124" s="210"/>
      <c r="M124" s="144"/>
      <c r="N124" s="145"/>
      <c r="O124" s="145"/>
      <c r="P124" s="122"/>
      <c r="Q124" s="146"/>
      <c r="S124" s="11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</row>
    <row r="125" ht="14.25" hidden="1" customHeight="1">
      <c r="A125" s="124"/>
      <c r="B125" s="6"/>
      <c r="C125" s="124"/>
      <c r="D125" s="185"/>
      <c r="E125" s="227"/>
      <c r="F125" s="187"/>
      <c r="G125" s="187"/>
      <c r="H125" s="195"/>
      <c r="I125" s="164"/>
      <c r="J125" s="248"/>
      <c r="K125" s="251"/>
      <c r="L125" s="164"/>
      <c r="M125" s="134"/>
      <c r="N125" s="135" t="str">
        <f>iferror(mround(#REF!*((VLOOKUP($J125,Sheet1!$D:$N,$G125+1,FALSE)-0.03)),2.5)," ")</f>
        <v> </v>
      </c>
      <c r="O125" s="135" t="str">
        <f>iferror(mround(#REF!*((VLOOKUP($J125,Sheet1!$D:$N,$G125+1,FALSE)+0.02)),2.5)," ")</f>
        <v> </v>
      </c>
      <c r="P125" s="112" t="str">
        <f>iferror(mround(I125/VLOOKUP(L125,Sheet1!$D$7:$N$16,G125+1,FALSE),2.5),"")</f>
        <v/>
      </c>
      <c r="Q125" s="136"/>
      <c r="S125" s="11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</row>
    <row r="126" ht="3.75" hidden="1" customHeight="1">
      <c r="A126" s="261"/>
      <c r="B126" s="6"/>
      <c r="C126" s="262"/>
      <c r="D126" s="138"/>
      <c r="E126" s="245"/>
      <c r="F126" s="102"/>
      <c r="G126" s="102"/>
      <c r="H126" s="102"/>
      <c r="I126" s="102"/>
      <c r="J126" s="156"/>
      <c r="K126" s="249"/>
      <c r="L126" s="210"/>
      <c r="M126" s="144"/>
      <c r="N126" s="145"/>
      <c r="O126" s="145"/>
      <c r="P126" s="122"/>
      <c r="Q126" s="146"/>
      <c r="S126" s="157"/>
      <c r="T126" s="5"/>
      <c r="U126" s="5"/>
      <c r="V126" s="158"/>
      <c r="W126" s="158"/>
      <c r="X126" s="158"/>
      <c r="Y126" s="158"/>
      <c r="Z126" s="158"/>
      <c r="AA126" s="158"/>
      <c r="AB126" s="158"/>
      <c r="AC126" s="158"/>
      <c r="AD126" s="158"/>
      <c r="AE126" s="158"/>
      <c r="AF126" s="158"/>
      <c r="AG126" s="158"/>
    </row>
    <row r="127" ht="14.25" hidden="1" customHeight="1">
      <c r="A127" s="124"/>
      <c r="B127" s="6"/>
      <c r="C127" s="124"/>
      <c r="D127" s="185"/>
      <c r="E127" s="227"/>
      <c r="F127" s="187"/>
      <c r="G127" s="187"/>
      <c r="H127" s="195"/>
      <c r="I127" s="164"/>
      <c r="J127" s="248"/>
      <c r="K127" s="251"/>
      <c r="L127" s="164"/>
      <c r="M127" s="134"/>
      <c r="N127" s="135" t="str">
        <f>iferror(mround(#REF!*((VLOOKUP($J127,Sheet1!$D:$N,$G127+1,FALSE)-0.03)),2.5)," ")</f>
        <v> </v>
      </c>
      <c r="O127" s="135" t="str">
        <f>iferror(mround(#REF!*((VLOOKUP($J127,Sheet1!$D:$N,$G127+1,FALSE)+0.02)),2.5)," ")</f>
        <v> </v>
      </c>
      <c r="P127" s="112" t="str">
        <f>iferror(mround(I127/VLOOKUP(L127,Sheet1!$D$7:$N$16,G127+1,FALSE),2.5),"")</f>
        <v/>
      </c>
      <c r="Q127" s="136"/>
      <c r="S127" s="11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</row>
    <row r="128" ht="3.75" hidden="1" customHeight="1">
      <c r="A128" s="261"/>
      <c r="B128" s="6"/>
      <c r="C128" s="262"/>
      <c r="D128" s="138"/>
      <c r="E128" s="252"/>
      <c r="F128" s="102"/>
      <c r="G128" s="102"/>
      <c r="H128" s="102"/>
      <c r="I128" s="102"/>
      <c r="J128" s="156"/>
      <c r="K128" s="249"/>
      <c r="L128" s="210"/>
      <c r="M128" s="144"/>
      <c r="N128" s="145"/>
      <c r="O128" s="145"/>
      <c r="P128" s="122"/>
      <c r="Q128" s="146"/>
      <c r="S128" s="157"/>
      <c r="T128" s="5"/>
      <c r="U128" s="5"/>
      <c r="V128" s="158"/>
      <c r="W128" s="158"/>
      <c r="X128" s="158"/>
      <c r="Y128" s="158"/>
      <c r="Z128" s="158"/>
      <c r="AA128" s="158"/>
      <c r="AB128" s="158"/>
      <c r="AC128" s="158"/>
      <c r="AD128" s="158"/>
      <c r="AE128" s="158"/>
      <c r="AF128" s="158"/>
      <c r="AG128" s="158"/>
    </row>
    <row r="129" ht="15.75" hidden="1" customHeight="1">
      <c r="A129" s="124"/>
      <c r="B129" s="6"/>
      <c r="C129" s="124"/>
      <c r="D129" s="185"/>
      <c r="E129" s="260"/>
      <c r="F129" s="187"/>
      <c r="G129" s="187"/>
      <c r="H129" s="195"/>
      <c r="I129" s="247"/>
      <c r="J129" s="248"/>
      <c r="K129" s="251"/>
      <c r="L129" s="164"/>
      <c r="M129" s="134"/>
      <c r="N129" s="135" t="str">
        <f>iferror(mround(#REF!*((VLOOKUP($J129,Sheet1!$D:$N,$G129+1,FALSE)-0.03)),2.5)," ")</f>
        <v> </v>
      </c>
      <c r="O129" s="135" t="str">
        <f>iferror(mround(#REF!*((VLOOKUP($J129,Sheet1!$D:$N,$G129+1,FALSE)+0.02)),2.5)," ")</f>
        <v> </v>
      </c>
      <c r="P129" s="112" t="str">
        <f>iferror(mround(I129/VLOOKUP(L129,Sheet1!$D$7:$N$16,G129+1,FALSE),2.5),"")</f>
        <v/>
      </c>
      <c r="Q129" s="136"/>
      <c r="S129" s="11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</row>
    <row r="130" ht="3.75" hidden="1" customHeight="1">
      <c r="A130" s="124"/>
      <c r="B130" s="6"/>
      <c r="C130" s="124"/>
      <c r="D130" s="263"/>
      <c r="E130" s="252"/>
      <c r="F130" s="102"/>
      <c r="G130" s="102"/>
      <c r="H130" s="102"/>
      <c r="I130" s="102"/>
      <c r="J130" s="156"/>
      <c r="K130" s="249"/>
      <c r="L130" s="210"/>
      <c r="M130" s="144"/>
      <c r="N130" s="145"/>
      <c r="O130" s="145"/>
      <c r="P130" s="122"/>
      <c r="Q130" s="146"/>
      <c r="S130" s="11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</row>
    <row r="131" ht="14.25" hidden="1" customHeight="1">
      <c r="A131" s="90"/>
      <c r="B131" s="6"/>
      <c r="C131" s="90"/>
      <c r="D131" s="185"/>
      <c r="E131" s="264"/>
      <c r="F131" s="187"/>
      <c r="G131" s="187"/>
      <c r="H131" s="195"/>
      <c r="I131" s="164"/>
      <c r="J131" s="248"/>
      <c r="K131" s="251"/>
      <c r="L131" s="164"/>
      <c r="M131" s="134"/>
      <c r="N131" s="135" t="str">
        <f>iferror(mround(#REF!*((VLOOKUP($J131,Sheet1!$D:$N,$G131+1,FALSE)-0.03)),2.5)," ")</f>
        <v> </v>
      </c>
      <c r="O131" s="135" t="str">
        <f>iferror(mround(#REF!*((VLOOKUP($J131,Sheet1!$D:$N,$G131+1,FALSE)+0.02)),2.5)," ")</f>
        <v> </v>
      </c>
      <c r="P131" s="112" t="str">
        <f>iferror(mround(I131/VLOOKUP(L131,Sheet1!$D$7:$N$16,G131+1,FALSE),2.5),"")</f>
        <v/>
      </c>
      <c r="Q131" s="136"/>
      <c r="S131" s="11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</row>
    <row r="132" ht="3.75" hidden="1" customHeight="1">
      <c r="A132" s="261"/>
      <c r="B132" s="6"/>
      <c r="C132" s="262"/>
      <c r="D132" s="263"/>
      <c r="E132" s="263"/>
      <c r="F132" s="194"/>
      <c r="G132" s="194"/>
      <c r="H132" s="155"/>
      <c r="I132" s="210"/>
      <c r="J132" s="265"/>
      <c r="K132" s="249"/>
      <c r="L132" s="210"/>
      <c r="M132" s="144"/>
      <c r="N132" s="145"/>
      <c r="O132" s="145"/>
      <c r="P132" s="122"/>
      <c r="Q132" s="146"/>
      <c r="S132" s="157"/>
      <c r="T132" s="5"/>
      <c r="U132" s="5"/>
      <c r="V132" s="158"/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</row>
    <row r="133" ht="15.75" hidden="1" customHeight="1">
      <c r="A133" s="90"/>
      <c r="B133" s="6"/>
      <c r="C133" s="90"/>
      <c r="D133" s="185"/>
      <c r="E133" s="266"/>
      <c r="F133" s="187"/>
      <c r="G133" s="187"/>
      <c r="H133" s="195"/>
      <c r="I133" s="164"/>
      <c r="J133" s="248"/>
      <c r="K133" s="251"/>
      <c r="L133" s="164"/>
      <c r="M133" s="134"/>
      <c r="N133" s="135" t="str">
        <f>iferror(mround(#REF!*((VLOOKUP($J133,Sheet1!$D:$N,$G133+1,FALSE)-0.03)),2.5)," ")</f>
        <v> </v>
      </c>
      <c r="O133" s="135" t="str">
        <f>iferror(mround(#REF!*((VLOOKUP($J133,Sheet1!$D:$N,$G133+1,FALSE)+0.02)),2.5)," ")</f>
        <v> </v>
      </c>
      <c r="P133" s="112" t="str">
        <f>iferror(mround(I133/VLOOKUP(L133,Sheet1!$D$7:$N$16,G133+1,FALSE),2.5),"")</f>
        <v/>
      </c>
      <c r="Q133" s="136"/>
      <c r="S133" s="11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</row>
    <row r="134" ht="3.75" hidden="1" customHeight="1">
      <c r="A134" s="90"/>
      <c r="B134" s="6"/>
      <c r="C134" s="90"/>
      <c r="D134" s="138"/>
      <c r="E134" s="252"/>
      <c r="F134" s="102"/>
      <c r="G134" s="102"/>
      <c r="H134" s="102"/>
      <c r="I134" s="102"/>
      <c r="J134" s="156"/>
      <c r="K134" s="249"/>
      <c r="L134" s="210"/>
      <c r="M134" s="144"/>
      <c r="N134" s="145"/>
      <c r="O134" s="145"/>
      <c r="P134" s="122"/>
      <c r="Q134" s="146"/>
      <c r="S134" s="11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</row>
    <row r="135" ht="15.75" hidden="1" customHeight="1">
      <c r="A135" s="90"/>
      <c r="B135" s="6"/>
      <c r="C135" s="90"/>
      <c r="D135" s="185"/>
      <c r="E135" s="264"/>
      <c r="F135" s="187"/>
      <c r="G135" s="187"/>
      <c r="H135" s="195"/>
      <c r="I135" s="164"/>
      <c r="J135" s="248"/>
      <c r="K135" s="251"/>
      <c r="L135" s="164"/>
      <c r="M135" s="134"/>
      <c r="N135" s="135" t="str">
        <f>iferror(mround(#REF!*((VLOOKUP($J135,Sheet1!$D:$N,$G135+1,FALSE)-0.03)),2.5)," ")</f>
        <v> </v>
      </c>
      <c r="O135" s="135" t="str">
        <f>iferror(mround(#REF!*((VLOOKUP($J135,Sheet1!$D:$N,$G135+1,FALSE)+0.02)),2.5)," ")</f>
        <v> </v>
      </c>
      <c r="P135" s="112" t="str">
        <f>iferror(mround(I135/VLOOKUP(L135,Sheet1!$D$7:$N$16,G135+1,FALSE),2.5),"")</f>
        <v/>
      </c>
      <c r="Q135" s="136"/>
      <c r="S135" s="11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</row>
    <row r="136" ht="3.75" hidden="1" customHeight="1">
      <c r="A136" s="191"/>
      <c r="B136" s="6"/>
      <c r="C136" s="192"/>
      <c r="D136" s="138"/>
      <c r="E136" s="252"/>
      <c r="F136" s="102"/>
      <c r="G136" s="102"/>
      <c r="H136" s="102"/>
      <c r="I136" s="102"/>
      <c r="J136" s="156"/>
      <c r="K136" s="249"/>
      <c r="L136" s="210"/>
      <c r="M136" s="144"/>
      <c r="N136" s="145"/>
      <c r="O136" s="145"/>
      <c r="P136" s="122"/>
      <c r="Q136" s="146"/>
      <c r="S136" s="157"/>
      <c r="T136" s="5"/>
      <c r="U136" s="5"/>
      <c r="V136" s="158"/>
      <c r="W136" s="158"/>
      <c r="X136" s="158"/>
      <c r="Y136" s="158"/>
      <c r="Z136" s="158"/>
      <c r="AA136" s="158"/>
      <c r="AB136" s="158"/>
      <c r="AC136" s="158"/>
      <c r="AD136" s="158"/>
      <c r="AE136" s="158"/>
      <c r="AF136" s="158"/>
      <c r="AG136" s="158"/>
    </row>
    <row r="137" ht="15.75" hidden="1" customHeight="1">
      <c r="A137" s="90"/>
      <c r="B137" s="6"/>
      <c r="C137" s="90"/>
      <c r="D137" s="185"/>
      <c r="E137" s="260"/>
      <c r="F137" s="187"/>
      <c r="G137" s="187"/>
      <c r="H137" s="195"/>
      <c r="I137" s="164"/>
      <c r="J137" s="248"/>
      <c r="K137" s="251"/>
      <c r="L137" s="164"/>
      <c r="M137" s="134"/>
      <c r="N137" s="135" t="str">
        <f>iferror(mround(#REF!*((VLOOKUP($J137,Sheet1!$D:$N,$G137+1,FALSE)-0.03)),2.5)," ")</f>
        <v> </v>
      </c>
      <c r="O137" s="135" t="str">
        <f>iferror(mround(#REF!*((VLOOKUP($J137,Sheet1!$D:$N,$G137+1,FALSE)+0.02)),2.5)," ")</f>
        <v> </v>
      </c>
      <c r="P137" s="112" t="str">
        <f>iferror(mround(I137/VLOOKUP(L137,Sheet1!$D$7:$N$16,G137+1,FALSE),2.5),"")</f>
        <v/>
      </c>
      <c r="Q137" s="136"/>
      <c r="S137" s="11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</row>
    <row r="138" ht="3.75" hidden="1" customHeight="1">
      <c r="A138" s="90"/>
      <c r="B138" s="6"/>
      <c r="C138" s="90"/>
      <c r="D138" s="263"/>
      <c r="E138" s="252"/>
      <c r="F138" s="102"/>
      <c r="G138" s="102"/>
      <c r="H138" s="102"/>
      <c r="I138" s="102"/>
      <c r="J138" s="156"/>
      <c r="K138" s="249"/>
      <c r="L138" s="210"/>
      <c r="M138" s="144"/>
      <c r="N138" s="145"/>
      <c r="O138" s="145"/>
      <c r="P138" s="122"/>
      <c r="Q138" s="146"/>
      <c r="S138" s="11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</row>
    <row r="139" ht="15.75" hidden="1" customHeight="1">
      <c r="A139" s="90"/>
      <c r="B139" s="6"/>
      <c r="C139" s="90"/>
      <c r="D139" s="185"/>
      <c r="E139" s="266"/>
      <c r="F139" s="187"/>
      <c r="G139" s="187"/>
      <c r="H139" s="195"/>
      <c r="I139" s="164"/>
      <c r="J139" s="248"/>
      <c r="K139" s="251"/>
      <c r="L139" s="164"/>
      <c r="M139" s="134"/>
      <c r="N139" s="135" t="str">
        <f>iferror(mround(#REF!*((VLOOKUP($J139,Sheet1!$D:$N,$G139+1,FALSE)-0.03)),2.5)," ")</f>
        <v> </v>
      </c>
      <c r="O139" s="135" t="str">
        <f>iferror(mround(#REF!*((VLOOKUP($J139,Sheet1!$D:$N,$G139+1,FALSE)+0.02)),2.5)," ")</f>
        <v> </v>
      </c>
      <c r="P139" s="112" t="str">
        <f>iferror(mround(I139/VLOOKUP(L139,Sheet1!$D$7:$N$16,G139+1,FALSE),2.5),"")</f>
        <v/>
      </c>
      <c r="Q139" s="136"/>
      <c r="S139" s="11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</row>
    <row r="140" ht="3.75" customHeight="1">
      <c r="A140" s="191"/>
      <c r="B140" s="6"/>
      <c r="C140" s="192"/>
      <c r="D140" s="192"/>
      <c r="E140" s="267"/>
      <c r="F140" s="194"/>
      <c r="G140" s="194"/>
      <c r="H140" s="155"/>
      <c r="I140" s="210"/>
      <c r="J140" s="268"/>
      <c r="K140" s="249"/>
      <c r="L140" s="269"/>
      <c r="M140" s="270"/>
      <c r="N140" s="269"/>
      <c r="O140" s="269"/>
      <c r="P140" s="271"/>
      <c r="Q140" s="272"/>
      <c r="R140" s="273"/>
      <c r="S140" s="157"/>
      <c r="T140" s="5"/>
      <c r="U140" s="5"/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</row>
    <row r="141" ht="14.25" customHeight="1">
      <c r="A141" s="5"/>
      <c r="B141" s="6"/>
      <c r="C141" s="5"/>
      <c r="D141" s="274"/>
      <c r="E141" s="266"/>
      <c r="F141" s="187"/>
      <c r="G141" s="187"/>
      <c r="H141" s="195"/>
      <c r="I141" s="129"/>
      <c r="J141" s="275"/>
      <c r="K141" s="276"/>
      <c r="L141" s="187"/>
      <c r="M141" s="187"/>
      <c r="N141" s="187"/>
      <c r="O141" s="187"/>
      <c r="P141" s="277"/>
      <c r="Q141" s="278"/>
      <c r="R141" s="279"/>
      <c r="S141" s="11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</row>
    <row r="142" ht="14.25" customHeight="1">
      <c r="A142" s="5"/>
      <c r="B142" s="6"/>
      <c r="C142" s="5"/>
      <c r="D142" s="274" t="s">
        <v>59</v>
      </c>
      <c r="E142" s="266" t="s">
        <v>16</v>
      </c>
      <c r="F142" s="187" t="s">
        <v>17</v>
      </c>
      <c r="G142" s="187" t="s">
        <v>60</v>
      </c>
      <c r="H142" s="187"/>
      <c r="I142" s="280" t="s">
        <v>61</v>
      </c>
      <c r="J142" s="266" t="s">
        <v>62</v>
      </c>
      <c r="K142" s="274"/>
      <c r="L142" s="187"/>
      <c r="M142" s="281" t="s">
        <v>63</v>
      </c>
      <c r="N142" s="281"/>
      <c r="O142" s="282"/>
      <c r="P142" s="282"/>
      <c r="Q142" s="278"/>
      <c r="R142" s="157"/>
      <c r="S142" s="11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</row>
    <row r="143" ht="14.25" customHeight="1">
      <c r="A143" s="5"/>
      <c r="B143" s="6"/>
      <c r="C143" s="5"/>
      <c r="D143" s="274" t="s">
        <v>6</v>
      </c>
      <c r="E143" s="283">
        <f>IFERROR(__xludf.DUMMYFUNCTION("SUM(FILTER(F18:F142, ISNUMBER(SEARCH(""squat"", D18:D142))))"),6.0)</f>
        <v>6</v>
      </c>
      <c r="F143" s="284">
        <f>IFERROR(__xludf.DUMMYFUNCTION("SUMPRODUCT(FILTER(F18:F142 * G18:G142, ISNUMBER(SEARCH(""squat"", D18:D142))))"),275274.0)</f>
        <v>275274</v>
      </c>
      <c r="G143" s="135">
        <f>IFERROR(__xludf.DUMMYFUNCTION("ROUND(SUMPRODUCT(FILTER(F18:F142 * G18:G142 * I18:I142, ISNUMBER(SEARCH(""squat"", D18:D142)))), 0)"),0.0)</f>
        <v>0</v>
      </c>
      <c r="H143" s="285"/>
      <c r="I143" s="135" t="str">
        <f>IFERROR(__xludf.DUMMYFUNCTION("ROUND(AVERAGE(FILTER(I18:I142, ISNUMBER(SEARCH(""squat"", D18:D142)), I18:I142 &lt;&gt; """")) / J143 * 100, 0)"),"#N/A")</f>
        <v>#N/A</v>
      </c>
      <c r="J143" s="283" t="str">
        <f>IFERROR(__xludf.DUMMYFUNCTION("IFERROR(MROUND(AVERAGE(FILTER(P18:P142, D18:D142 = ""comp squat"", P18:P142 &lt;&gt; """", P18:P142 &gt;= 0.9 * MAX(FILTER(P18:P142, D18:D142 = ""comp squat"", P18:P142 &lt;&gt; """")), P18:P142 &lt;= 1.1 * MAX(FILTER(P18:P142, D18:D142 = ""comp squat"", P18:P142 &lt;&gt; """"))"&amp;")), 2.5), ""No valid data"")"),"No valid data")</f>
        <v>No valid data</v>
      </c>
      <c r="K143" s="286"/>
      <c r="L143" s="287" t="str">
        <f>MROUND(J143/2.2046,2.5)-$O$10</f>
        <v>#VALUE!</v>
      </c>
      <c r="M143" s="288" t="s">
        <v>64</v>
      </c>
      <c r="N143" s="288">
        <v>1.0</v>
      </c>
      <c r="O143" s="289" t="s">
        <v>65</v>
      </c>
      <c r="P143" s="290">
        <v>1.0</v>
      </c>
      <c r="Q143" s="278"/>
      <c r="R143" s="291"/>
      <c r="S143" s="11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</row>
    <row r="144" ht="3.0" customHeight="1">
      <c r="A144" s="5"/>
      <c r="B144" s="6"/>
      <c r="C144" s="5"/>
      <c r="D144" s="90"/>
      <c r="E144" s="156"/>
      <c r="F144" s="102"/>
      <c r="G144" s="145"/>
      <c r="H144" s="102"/>
      <c r="I144" s="145"/>
      <c r="J144" s="156"/>
      <c r="K144" s="286"/>
      <c r="L144" s="292"/>
      <c r="M144" s="251"/>
      <c r="N144" s="251"/>
      <c r="O144" s="289"/>
      <c r="P144" s="282"/>
      <c r="Q144" s="278"/>
      <c r="R144" s="115"/>
      <c r="S144" s="11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</row>
    <row r="145" ht="15.75" customHeight="1">
      <c r="A145" s="5"/>
      <c r="B145" s="6"/>
      <c r="C145" s="5"/>
      <c r="D145" s="274" t="s">
        <v>66</v>
      </c>
      <c r="E145" s="293">
        <f>IFERROR(__xludf.DUMMYFUNCTION("SUM(FILTER(F18:F142, ISNUMBER(SEARCH(""bench press"", D18:D142))))"),12.0)</f>
        <v>12</v>
      </c>
      <c r="F145" s="284">
        <f>IFERROR(__xludf.DUMMYFUNCTION("SUMPRODUCT(FILTER(F19:F143 * G19:G143, ISNUMBER(SEARCH(""bench press"", D19:D143))))"),51.0)</f>
        <v>51</v>
      </c>
      <c r="G145" s="135">
        <f>IFERROR(__xludf.DUMMYFUNCTION("ROUND(SUMPRODUCT(FILTER(F18:F142 * G18:G142 * I18:I142, ISNUMBER(SEARCH(""bench press"", D18:D142)))), 0)"),6890.0)</f>
        <v>6890</v>
      </c>
      <c r="H145" s="285"/>
      <c r="I145" s="135">
        <f>IFERROR(__xludf.DUMMYFUNCTION("ROUND(AVERAGE(FILTER(I18:I142, ISNUMBER(SEARCH(""bench press"", D18:D142)), I18:I142 &lt;&gt; """")) / J145 * 100, 0)"),79.0)</f>
        <v>79</v>
      </c>
      <c r="J145" s="293">
        <f>IFERROR(__xludf.DUMMYFUNCTION("IFERROR(MROUND(AVERAGE(FILTER(P18:P142, D18:D142 = ""comp bench press"", P18:P142 &lt;&gt; """", P18:P142 &gt;= 0.9 * MAX(FILTER(P18:P142, D18:D142 = ""comp bench press"", P18:P142 &lt;&gt; """")), P18:P142 &lt;= 1.1 * MAX(FILTER(P18:P142, D18:D142 = ""comp bench press"", "&amp;"P18:P142 &lt;&gt; """")))), 2.5), ""No valid data"")"),332.5)</f>
        <v>332.5</v>
      </c>
      <c r="K145" s="286"/>
      <c r="L145" s="294">
        <f>MROUND(J145/2.2046,2.5)-$O$11</f>
        <v>-2.5</v>
      </c>
      <c r="M145" s="282" t="s">
        <v>67</v>
      </c>
      <c r="N145" s="290">
        <v>3.0</v>
      </c>
      <c r="O145" s="288" t="s">
        <v>68</v>
      </c>
      <c r="P145" s="290">
        <v>1.0</v>
      </c>
      <c r="Q145" s="278"/>
      <c r="R145" s="157"/>
      <c r="S145" s="11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</row>
    <row r="146" ht="3.0" customHeight="1">
      <c r="A146" s="5"/>
      <c r="B146" s="6"/>
      <c r="C146" s="5"/>
      <c r="D146" s="90"/>
      <c r="E146" s="156"/>
      <c r="F146" s="102"/>
      <c r="G146" s="145"/>
      <c r="H146" s="102"/>
      <c r="I146" s="145"/>
      <c r="J146" s="156"/>
      <c r="K146" s="286"/>
      <c r="L146" s="292"/>
      <c r="M146" s="282"/>
      <c r="N146" s="282"/>
      <c r="O146" s="251"/>
      <c r="P146" s="282"/>
      <c r="Q146" s="278"/>
      <c r="R146" s="157"/>
      <c r="S146" s="11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</row>
    <row r="147" ht="14.25" customHeight="1">
      <c r="A147" s="5"/>
      <c r="B147" s="6"/>
      <c r="C147" s="5"/>
      <c r="D147" s="274" t="s">
        <v>10</v>
      </c>
      <c r="E147" s="293">
        <f>IFERROR(__xludf.DUMMYFUNCTION("SUM(FILTER(F18:F142, ISNUMBER(SEARCH(""deadlift"", D18:D142))))"),6.0)</f>
        <v>6</v>
      </c>
      <c r="F147" s="284">
        <f>IFERROR(__xludf.DUMMYFUNCTION("SUMPRODUCT(FILTER(F18:F142 * G18:G142, ISNUMBER(SEARCH(""deadlift"", D18:D142))))"),275463.0)</f>
        <v>275463</v>
      </c>
      <c r="G147" s="135">
        <f>IFERROR(__xludf.DUMMYFUNCTION("ROUND(SUMPRODUCT(FILTER(F18:F142 * G18:G142 * I18:I142, ISNUMBER(SEARCH(""deadlift"", D18:D142)))), 0)"),0.0)</f>
        <v>0</v>
      </c>
      <c r="H147" s="285"/>
      <c r="I147" s="135" t="str">
        <f>IFERROR(__xludf.DUMMYFUNCTION("ROUND(AVERAGE(FILTER(I18:I142, ISNUMBER(SEARCH(""deadlift"", D18:D142)), I18:I142 &lt;&gt; """")) / J147 * 100, 0)"),"#N/A")</f>
        <v>#N/A</v>
      </c>
      <c r="J147" s="293" t="str">
        <f>IFERROR(__xludf.DUMMYFUNCTION("IFERROR(MROUND(AVERAGE(FILTER(P18:P142, D18:D142 = ""comp deadlift"", P18:P142 &lt;&gt; """", P18:P142 &gt;= 0.9 * MAX(FILTER(P18:P142, D18:D142 = ""comp deadlift"", P18:P142 &lt;&gt; """")), P18:P142 &lt;= 1.1 * MAX(FILTER(P18:P142, D18:D142 = ""comp deadlift"", P18:P142 "&amp;"&lt;&gt; """")))), 2.5), ""No valid data"")"),"No valid data")</f>
        <v>No valid data</v>
      </c>
      <c r="K147" s="286"/>
      <c r="L147" s="294" t="str">
        <f>MROUND(J147/2.2046,2.5)-$O$12</f>
        <v>#VALUE!</v>
      </c>
      <c r="M147" s="282" t="s">
        <v>69</v>
      </c>
      <c r="N147" s="290">
        <v>2.0</v>
      </c>
      <c r="O147" s="290" t="s">
        <v>70</v>
      </c>
      <c r="P147" s="290">
        <v>1.0</v>
      </c>
      <c r="Q147" s="278"/>
      <c r="R147" s="157"/>
      <c r="S147" s="11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</row>
    <row r="148" ht="14.25" customHeight="1">
      <c r="A148" s="5"/>
      <c r="B148" s="6"/>
      <c r="C148" s="5"/>
      <c r="D148" s="274"/>
      <c r="E148" s="266"/>
      <c r="F148" s="187"/>
      <c r="G148" s="187"/>
      <c r="H148" s="187"/>
      <c r="I148" s="187"/>
      <c r="J148" s="295"/>
      <c r="K148" s="274"/>
      <c r="L148" s="187"/>
      <c r="M148" s="282" t="s">
        <v>71</v>
      </c>
      <c r="N148" s="290">
        <v>1.0</v>
      </c>
      <c r="O148" s="282"/>
      <c r="P148" s="282"/>
      <c r="Q148" s="278"/>
      <c r="R148" s="157"/>
      <c r="S148" s="11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</row>
    <row r="149" ht="14.25" customHeight="1">
      <c r="A149" s="5"/>
      <c r="B149" s="2"/>
      <c r="C149" s="5"/>
      <c r="D149" s="5"/>
      <c r="E149" s="75"/>
      <c r="F149" s="3"/>
      <c r="G149" s="3"/>
      <c r="H149" s="3"/>
      <c r="I149" s="3"/>
      <c r="J149" s="75"/>
      <c r="K149" s="5"/>
      <c r="L149" s="3"/>
      <c r="M149" s="47"/>
      <c r="N149" s="3"/>
      <c r="O149" s="3"/>
      <c r="P149" s="3"/>
      <c r="Q149" s="4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</row>
    <row r="150" ht="18.75" customHeight="1">
      <c r="A150" s="90"/>
      <c r="B150" s="6"/>
      <c r="C150" s="91"/>
      <c r="D150" s="79" t="s">
        <v>72</v>
      </c>
      <c r="E150" s="80" t="s">
        <v>13</v>
      </c>
      <c r="G150" s="81"/>
      <c r="H150" s="81"/>
      <c r="I150" s="81"/>
      <c r="J150" s="82"/>
      <c r="K150" s="83"/>
      <c r="L150" s="83"/>
      <c r="M150" s="93"/>
      <c r="N150" s="93"/>
      <c r="O150" s="93"/>
      <c r="P150" s="296"/>
      <c r="Q150" s="297"/>
      <c r="R150" s="298"/>
      <c r="S150" s="10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</row>
    <row r="151" ht="18.75" customHeight="1">
      <c r="A151" s="90"/>
      <c r="B151" s="6"/>
      <c r="C151" s="91"/>
      <c r="D151" s="299">
        <f>D16+1</f>
        <v>2</v>
      </c>
      <c r="E151" s="300" t="str">
        <f>IF(E16 = "", "", E16 - 1)</f>
        <v/>
      </c>
      <c r="F151" s="36"/>
      <c r="G151" s="301"/>
      <c r="H151" s="301"/>
      <c r="I151" s="301"/>
      <c r="J151" s="92"/>
      <c r="K151" s="93"/>
      <c r="L151" s="93"/>
      <c r="M151" s="93"/>
      <c r="N151" s="93"/>
      <c r="O151" s="93"/>
      <c r="P151" s="94"/>
      <c r="Q151" s="95"/>
      <c r="R151" s="96"/>
      <c r="S151" s="10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</row>
    <row r="152" ht="5.25" customHeight="1">
      <c r="A152" s="90"/>
      <c r="B152" s="6"/>
      <c r="C152" s="90"/>
      <c r="D152" s="97"/>
      <c r="E152" s="98"/>
      <c r="F152" s="99"/>
      <c r="G152" s="99"/>
      <c r="H152" s="99"/>
      <c r="I152" s="100"/>
      <c r="J152" s="101"/>
      <c r="K152" s="90"/>
      <c r="L152" s="102"/>
      <c r="M152" s="102"/>
      <c r="N152" s="102"/>
      <c r="O152" s="102"/>
      <c r="P152" s="103"/>
      <c r="Q152" s="4"/>
      <c r="R152" s="90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</row>
    <row r="153" ht="30.75" customHeight="1">
      <c r="A153" s="90"/>
      <c r="B153" s="6"/>
      <c r="C153" s="90"/>
      <c r="D153" s="202" t="s">
        <v>73</v>
      </c>
      <c r="E153" s="105" t="s">
        <v>15</v>
      </c>
      <c r="F153" s="106" t="s">
        <v>16</v>
      </c>
      <c r="G153" s="106" t="s">
        <v>17</v>
      </c>
      <c r="H153" s="107"/>
      <c r="I153" s="106" t="s">
        <v>18</v>
      </c>
      <c r="J153" s="108" t="s">
        <v>19</v>
      </c>
      <c r="L153" s="109" t="s">
        <v>20</v>
      </c>
      <c r="M153" s="110" t="s">
        <v>21</v>
      </c>
      <c r="N153" s="111" t="s">
        <v>22</v>
      </c>
      <c r="P153" s="112"/>
      <c r="Q153" s="113" t="s">
        <v>23</v>
      </c>
      <c r="R153" s="114" t="s">
        <v>24</v>
      </c>
      <c r="S153" s="11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</row>
    <row r="154" ht="14.25" customHeight="1">
      <c r="A154" s="90"/>
      <c r="B154" s="6"/>
      <c r="C154" s="90"/>
      <c r="D154" s="116" t="s">
        <v>25</v>
      </c>
      <c r="E154" s="117" t="s">
        <v>26</v>
      </c>
      <c r="H154" s="107"/>
      <c r="N154" s="111" t="s">
        <v>27</v>
      </c>
      <c r="O154" s="111" t="s">
        <v>28</v>
      </c>
      <c r="P154" s="112" t="s">
        <v>29</v>
      </c>
      <c r="R154" s="118" t="s">
        <v>30</v>
      </c>
      <c r="S154" s="11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</row>
    <row r="155" ht="3.75" customHeight="1">
      <c r="A155" s="90"/>
      <c r="B155" s="6"/>
      <c r="C155" s="90"/>
      <c r="D155" s="97"/>
      <c r="E155" s="98"/>
      <c r="F155" s="99"/>
      <c r="G155" s="99"/>
      <c r="H155" s="99"/>
      <c r="I155" s="100"/>
      <c r="J155" s="302"/>
      <c r="K155" s="90"/>
      <c r="L155" s="102"/>
      <c r="M155" s="121"/>
      <c r="N155" s="102"/>
      <c r="O155" s="102"/>
      <c r="P155" s="122"/>
      <c r="Q155" s="4"/>
      <c r="R155" s="123"/>
      <c r="S155" s="11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</row>
    <row r="156" ht="15.75" customHeight="1">
      <c r="A156" s="124"/>
      <c r="B156" s="6"/>
      <c r="C156" s="124"/>
      <c r="D156" s="125" t="s">
        <v>31</v>
      </c>
      <c r="E156" s="126"/>
      <c r="F156" s="127">
        <v>3.0</v>
      </c>
      <c r="G156" s="128">
        <v>45942.0</v>
      </c>
      <c r="H156" s="129"/>
      <c r="I156" s="130"/>
      <c r="J156" s="131">
        <v>45815.0</v>
      </c>
      <c r="K156" s="132"/>
      <c r="L156" s="133"/>
      <c r="M156" s="134" t="str">
        <f>I21</f>
        <v/>
      </c>
      <c r="N156" s="135" t="str">
        <f>iferror(mround($P21*((VLOOKUP($J156,Sheet1!$D:$N,$G156+1,FALSE)-0.03)),2.5)," ")</f>
        <v> </v>
      </c>
      <c r="O156" s="135" t="str">
        <f>iferror(mround($P21*((VLOOKUP($J156,Sheet1!$D:$N,$G156+1,FALSE)+0.02)),2.5)," ")</f>
        <v> </v>
      </c>
      <c r="P156" s="56" t="str">
        <f>iferror(mround(I156/VLOOKUP(L156,Sheet1!$D$7:$N$16,G156+1,FALSE),2.5),"")</f>
        <v/>
      </c>
      <c r="Q156" s="303" t="str">
        <f t="shared" ref="Q156:Q177" si="1">IF(OR(ISBLANK(I156), ISBLANK(I21)), "", IF(I156 - I21 = 0, "", I156 - I21))</f>
        <v/>
      </c>
      <c r="S156" s="11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</row>
    <row r="157" ht="3.75" customHeight="1">
      <c r="A157" s="137"/>
      <c r="B157" s="70"/>
      <c r="C157" s="137"/>
      <c r="D157" s="138"/>
      <c r="E157" s="139"/>
      <c r="F157" s="140"/>
      <c r="G157" s="140"/>
      <c r="H157" s="140"/>
      <c r="I157" s="140"/>
      <c r="J157" s="141"/>
      <c r="K157" s="142"/>
      <c r="L157" s="143"/>
      <c r="M157" s="144"/>
      <c r="N157" s="145"/>
      <c r="O157" s="145"/>
      <c r="P157" s="122"/>
      <c r="Q157" s="304" t="str">
        <f t="shared" si="1"/>
        <v/>
      </c>
      <c r="S157" s="147"/>
      <c r="T157" s="148"/>
      <c r="U157" s="148"/>
      <c r="V157" s="148"/>
      <c r="W157" s="148"/>
      <c r="X157" s="148"/>
      <c r="Y157" s="148"/>
      <c r="Z157" s="148"/>
      <c r="AA157" s="148"/>
      <c r="AB157" s="148"/>
      <c r="AC157" s="148"/>
      <c r="AD157" s="148"/>
      <c r="AE157" s="148"/>
      <c r="AF157" s="148"/>
      <c r="AG157" s="148"/>
    </row>
    <row r="158" ht="15.75" customHeight="1">
      <c r="A158" s="149"/>
      <c r="B158" s="150"/>
      <c r="C158" s="149"/>
      <c r="D158" s="125" t="s">
        <v>32</v>
      </c>
      <c r="E158" s="126"/>
      <c r="F158" s="127">
        <v>3.0</v>
      </c>
      <c r="G158" s="128">
        <v>45942.0</v>
      </c>
      <c r="H158" s="129"/>
      <c r="I158" s="130"/>
      <c r="J158" s="151">
        <v>6.0</v>
      </c>
      <c r="K158" s="132"/>
      <c r="L158" s="133"/>
      <c r="M158" s="134" t="str">
        <f>I23</f>
        <v/>
      </c>
      <c r="N158" s="135" t="str">
        <f>iferror(mround($P23*((VLOOKUP($J158,Sheet1!$D:$N,$G158+1,FALSE)-0.03)),2.5)," ")</f>
        <v> </v>
      </c>
      <c r="O158" s="135" t="str">
        <f>iferror(mround($P23*((VLOOKUP($J158,Sheet1!$D:$N,$G158+1,FALSE)+0.02)),2.5)," ")</f>
        <v> </v>
      </c>
      <c r="P158" s="56" t="str">
        <f>iferror(mround(I158/VLOOKUP(L158,Sheet1!$D$7:$N$16,G158+1,FALSE),2.5),"")</f>
        <v/>
      </c>
      <c r="Q158" s="303" t="str">
        <f t="shared" si="1"/>
        <v/>
      </c>
      <c r="S158" s="11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</row>
    <row r="159" ht="3.75" customHeight="1">
      <c r="A159" s="152"/>
      <c r="B159" s="150"/>
      <c r="C159" s="153"/>
      <c r="D159" s="138"/>
      <c r="E159" s="154"/>
      <c r="F159" s="155"/>
      <c r="G159" s="102"/>
      <c r="H159" s="102"/>
      <c r="I159" s="102"/>
      <c r="J159" s="156"/>
      <c r="K159" s="142"/>
      <c r="L159" s="143"/>
      <c r="M159" s="144"/>
      <c r="N159" s="145"/>
      <c r="O159" s="145"/>
      <c r="P159" s="122"/>
      <c r="Q159" s="304" t="str">
        <f t="shared" si="1"/>
        <v/>
      </c>
      <c r="S159" s="157"/>
      <c r="T159" s="5"/>
      <c r="U159" s="5"/>
      <c r="V159" s="158"/>
      <c r="W159" s="158"/>
      <c r="X159" s="158"/>
      <c r="Y159" s="158"/>
      <c r="Z159" s="158"/>
      <c r="AA159" s="158"/>
      <c r="AB159" s="158"/>
      <c r="AC159" s="158"/>
      <c r="AD159" s="158"/>
      <c r="AE159" s="158"/>
      <c r="AF159" s="158"/>
      <c r="AG159" s="158"/>
    </row>
    <row r="160" ht="15.75" customHeight="1">
      <c r="A160" s="149"/>
      <c r="B160" s="150"/>
      <c r="C160" s="149"/>
      <c r="D160" s="159" t="s">
        <v>33</v>
      </c>
      <c r="E160" s="160" t="s">
        <v>34</v>
      </c>
      <c r="F160" s="127">
        <v>1.0</v>
      </c>
      <c r="G160" s="161">
        <v>5.0</v>
      </c>
      <c r="H160" s="129"/>
      <c r="I160" s="130"/>
      <c r="J160" s="151">
        <v>7.0</v>
      </c>
      <c r="K160" s="132"/>
      <c r="L160" s="133"/>
      <c r="M160" s="134">
        <f>I25</f>
        <v>260</v>
      </c>
      <c r="N160" s="135">
        <f>iferror(mround($P25*((VLOOKUP($J160,Sheet1!$D:$N,$G160+1,FALSE)-0.03)),2.5)," ")</f>
        <v>0</v>
      </c>
      <c r="O160" s="135">
        <f>iferror(mround($P25*((VLOOKUP($J160,Sheet1!$D:$N,$G160+1,FALSE)+0.02)),2.5)," ")</f>
        <v>0</v>
      </c>
      <c r="P160" s="56" t="str">
        <f>iferror(mround(I160/VLOOKUP(L160,Sheet1!$D$7:$N$16,G160+1,FALSE),2.5),"")</f>
        <v/>
      </c>
      <c r="Q160" s="303" t="str">
        <f t="shared" si="1"/>
        <v/>
      </c>
      <c r="S160" s="11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</row>
    <row r="161" ht="3.75" customHeight="1">
      <c r="A161" s="162"/>
      <c r="B161" s="163"/>
      <c r="C161" s="162"/>
      <c r="D161" s="138"/>
      <c r="E161" s="139"/>
      <c r="F161" s="140"/>
      <c r="G161" s="140"/>
      <c r="H161" s="140"/>
      <c r="I161" s="140"/>
      <c r="J161" s="141"/>
      <c r="K161" s="142"/>
      <c r="L161" s="143"/>
      <c r="M161" s="144"/>
      <c r="N161" s="145"/>
      <c r="O161" s="145"/>
      <c r="P161" s="122"/>
      <c r="Q161" s="304" t="str">
        <f t="shared" si="1"/>
        <v/>
      </c>
      <c r="S161" s="147"/>
      <c r="T161" s="148"/>
      <c r="U161" s="148"/>
      <c r="V161" s="148"/>
      <c r="W161" s="148"/>
      <c r="X161" s="148"/>
      <c r="Y161" s="148"/>
      <c r="Z161" s="148"/>
      <c r="AA161" s="148"/>
      <c r="AB161" s="148"/>
      <c r="AC161" s="148"/>
      <c r="AD161" s="148"/>
      <c r="AE161" s="148"/>
      <c r="AF161" s="148"/>
      <c r="AG161" s="148"/>
    </row>
    <row r="162" ht="15.75" customHeight="1">
      <c r="A162" s="149"/>
      <c r="B162" s="150"/>
      <c r="C162" s="149"/>
      <c r="D162" s="159" t="s">
        <v>33</v>
      </c>
      <c r="E162" s="160" t="s">
        <v>34</v>
      </c>
      <c r="F162" s="127">
        <v>2.0</v>
      </c>
      <c r="G162" s="161">
        <v>5.0</v>
      </c>
      <c r="H162" s="129"/>
      <c r="I162" s="164">
        <f>MROUND(I160*(1+J162),5)</f>
        <v>0</v>
      </c>
      <c r="J162" s="165">
        <v>-0.1</v>
      </c>
      <c r="K162" s="132"/>
      <c r="L162" s="133"/>
      <c r="M162" s="134">
        <f>I27</f>
        <v>235</v>
      </c>
      <c r="N162" s="135" t="str">
        <f>iferror(mround($P27*((VLOOKUP($J162,Sheet1!$D:$N,$G162+1,FALSE)-0.03)),2.5)," ")</f>
        <v> </v>
      </c>
      <c r="O162" s="135" t="str">
        <f>iferror(mround($P27*((VLOOKUP($J162,Sheet1!$D:$N,$G162+1,FALSE)+0.02)),2.5)," ")</f>
        <v> </v>
      </c>
      <c r="P162" s="56" t="str">
        <f>iferror(mround(I162/VLOOKUP(L162,Sheet1!$D$7:$N$16,G162+1,FALSE),2.5),"")</f>
        <v/>
      </c>
      <c r="Q162" s="303">
        <f t="shared" si="1"/>
        <v>-235</v>
      </c>
      <c r="S162" s="11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</row>
    <row r="163" ht="3.75" customHeight="1">
      <c r="A163" s="162"/>
      <c r="B163" s="163"/>
      <c r="C163" s="162"/>
      <c r="D163" s="138"/>
      <c r="E163" s="139"/>
      <c r="F163" s="102"/>
      <c r="G163" s="102"/>
      <c r="H163" s="102"/>
      <c r="I163" s="102"/>
      <c r="J163" s="156"/>
      <c r="K163" s="142"/>
      <c r="L163" s="143"/>
      <c r="M163" s="144"/>
      <c r="N163" s="145"/>
      <c r="O163" s="145"/>
      <c r="P163" s="122"/>
      <c r="Q163" s="304" t="str">
        <f t="shared" si="1"/>
        <v/>
      </c>
      <c r="S163" s="147"/>
      <c r="T163" s="148"/>
      <c r="U163" s="148"/>
      <c r="V163" s="148"/>
      <c r="W163" s="148"/>
      <c r="X163" s="148"/>
      <c r="Y163" s="148"/>
      <c r="Z163" s="148"/>
      <c r="AA163" s="148"/>
      <c r="AB163" s="148"/>
      <c r="AC163" s="148"/>
      <c r="AD163" s="148"/>
      <c r="AE163" s="148"/>
      <c r="AF163" s="148"/>
      <c r="AG163" s="148"/>
    </row>
    <row r="164" ht="15.75" customHeight="1">
      <c r="A164" s="90"/>
      <c r="B164" s="6"/>
      <c r="C164" s="90"/>
      <c r="D164" s="166" t="s">
        <v>35</v>
      </c>
      <c r="E164" s="167" t="s">
        <v>36</v>
      </c>
      <c r="F164" s="127">
        <v>2.0</v>
      </c>
      <c r="G164" s="161">
        <v>6.0</v>
      </c>
      <c r="H164" s="129"/>
      <c r="I164" s="130"/>
      <c r="J164" s="151">
        <v>7.0</v>
      </c>
      <c r="K164" s="132"/>
      <c r="L164" s="133"/>
      <c r="M164" s="134" t="str">
        <f>I29</f>
        <v/>
      </c>
      <c r="N164" s="135">
        <f>iferror(mround($P29*((VLOOKUP($J164,Sheet1!$D:$N,$G164+1,FALSE)-0.03)),2.5)," ")</f>
        <v>0</v>
      </c>
      <c r="O164" s="135">
        <f>iferror(mround($P29*((VLOOKUP($J164,Sheet1!$D:$N,$G164+1,FALSE)+0.02)),2.5)," ")</f>
        <v>0</v>
      </c>
      <c r="P164" s="56" t="str">
        <f>iferror(mround(I164/VLOOKUP(L164,Sheet1!$D$7:$N$16,G164+1,FALSE),2.5),"")</f>
        <v/>
      </c>
      <c r="Q164" s="303" t="str">
        <f t="shared" si="1"/>
        <v/>
      </c>
      <c r="S164" s="11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</row>
    <row r="165" ht="3.75" customHeight="1">
      <c r="A165" s="168"/>
      <c r="B165" s="70"/>
      <c r="C165" s="168"/>
      <c r="D165" s="138"/>
      <c r="E165" s="139"/>
      <c r="F165" s="102"/>
      <c r="G165" s="102"/>
      <c r="H165" s="102"/>
      <c r="I165" s="102"/>
      <c r="J165" s="156"/>
      <c r="K165" s="142"/>
      <c r="L165" s="143"/>
      <c r="M165" s="144"/>
      <c r="N165" s="145"/>
      <c r="O165" s="145"/>
      <c r="P165" s="122"/>
      <c r="Q165" s="304" t="str">
        <f t="shared" si="1"/>
        <v/>
      </c>
      <c r="S165" s="147"/>
      <c r="T165" s="148"/>
      <c r="U165" s="148"/>
      <c r="V165" s="148"/>
      <c r="W165" s="148"/>
      <c r="X165" s="148"/>
      <c r="Y165" s="148"/>
      <c r="Z165" s="148"/>
      <c r="AA165" s="148"/>
      <c r="AB165" s="148"/>
      <c r="AC165" s="148"/>
      <c r="AD165" s="148"/>
      <c r="AE165" s="148"/>
      <c r="AF165" s="148"/>
      <c r="AG165" s="148"/>
    </row>
    <row r="166" ht="15.75" customHeight="1">
      <c r="A166" s="90"/>
      <c r="B166" s="6"/>
      <c r="C166" s="90"/>
      <c r="D166" s="166" t="s">
        <v>37</v>
      </c>
      <c r="E166" s="167" t="s">
        <v>38</v>
      </c>
      <c r="F166" s="127">
        <v>3.0</v>
      </c>
      <c r="G166" s="169">
        <v>45942.0</v>
      </c>
      <c r="H166" s="129"/>
      <c r="I166" s="130"/>
      <c r="J166" s="151">
        <v>8.0</v>
      </c>
      <c r="K166" s="170"/>
      <c r="L166" s="133"/>
      <c r="M166" s="134" t="str">
        <f>I31</f>
        <v/>
      </c>
      <c r="N166" s="135" t="str">
        <f>iferror(mround($P31*((VLOOKUP($J166,Sheet1!$D:$N,$G166+1,FALSE)-0.03)),2.5)," ")</f>
        <v> </v>
      </c>
      <c r="O166" s="135" t="str">
        <f>iferror(mround($P31*((VLOOKUP($J166,Sheet1!$D:$N,$G166+1,FALSE)+0.02)),2.5)," ")</f>
        <v> </v>
      </c>
      <c r="P166" s="56" t="str">
        <f>iferror(mround(I166/VLOOKUP(L166,Sheet1!$D$7:$N$16,G166+1,FALSE),2.5),"")</f>
        <v/>
      </c>
      <c r="Q166" s="303" t="str">
        <f t="shared" si="1"/>
        <v/>
      </c>
      <c r="S166" s="11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</row>
    <row r="167" ht="3.75" customHeight="1">
      <c r="A167" s="90"/>
      <c r="B167" s="6"/>
      <c r="C167" s="90"/>
      <c r="D167" s="171"/>
      <c r="E167" s="172"/>
      <c r="F167" s="173"/>
      <c r="G167" s="173"/>
      <c r="H167" s="173"/>
      <c r="I167" s="173"/>
      <c r="J167" s="174"/>
      <c r="K167" s="142"/>
      <c r="L167" s="143"/>
      <c r="M167" s="144"/>
      <c r="N167" s="145"/>
      <c r="O167" s="145"/>
      <c r="P167" s="122"/>
      <c r="Q167" s="304" t="str">
        <f t="shared" si="1"/>
        <v/>
      </c>
      <c r="S167" s="11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</row>
    <row r="168" ht="15.75" customHeight="1">
      <c r="A168" s="90"/>
      <c r="B168" s="6"/>
      <c r="C168" s="90"/>
      <c r="D168" s="166" t="s">
        <v>39</v>
      </c>
      <c r="E168" s="160"/>
      <c r="F168" s="127">
        <v>2.0</v>
      </c>
      <c r="G168" s="161" t="s">
        <v>16</v>
      </c>
      <c r="H168" s="129"/>
      <c r="I168" s="130"/>
      <c r="J168" s="151">
        <v>8.0</v>
      </c>
      <c r="K168" s="132"/>
      <c r="L168" s="133"/>
      <c r="M168" s="134" t="str">
        <f>I33</f>
        <v/>
      </c>
      <c r="N168" s="135" t="str">
        <f>iferror(mround($P33*((VLOOKUP($J168,Sheet1!$D:$N,$G168+1,FALSE)-0.03)),2.5)," ")</f>
        <v> </v>
      </c>
      <c r="O168" s="135" t="str">
        <f>iferror(mround($P33*((VLOOKUP($J168,Sheet1!$D:$N,$G168+1,FALSE)+0.02)),2.5)," ")</f>
        <v> </v>
      </c>
      <c r="P168" s="56" t="str">
        <f>iferror(mround(I168/VLOOKUP(L168,Sheet1!$D$7:$N$16,G168+1,FALSE),2.5),"")</f>
        <v/>
      </c>
      <c r="Q168" s="303" t="str">
        <f t="shared" si="1"/>
        <v/>
      </c>
      <c r="S168" s="11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</row>
    <row r="169" ht="3.75" customHeight="1">
      <c r="A169" s="90"/>
      <c r="B169" s="6"/>
      <c r="C169" s="90"/>
      <c r="D169" s="171"/>
      <c r="E169" s="172"/>
      <c r="F169" s="173"/>
      <c r="G169" s="173"/>
      <c r="H169" s="173"/>
      <c r="I169" s="173"/>
      <c r="J169" s="174"/>
      <c r="K169" s="142"/>
      <c r="L169" s="143"/>
      <c r="M169" s="144"/>
      <c r="N169" s="145"/>
      <c r="O169" s="145"/>
      <c r="P169" s="122"/>
      <c r="Q169" s="304" t="str">
        <f t="shared" si="1"/>
        <v/>
      </c>
      <c r="S169" s="11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</row>
    <row r="170" ht="15.75" customHeight="1">
      <c r="A170" s="90"/>
      <c r="B170" s="6"/>
      <c r="C170" s="90"/>
      <c r="D170" s="175" t="s">
        <v>40</v>
      </c>
      <c r="E170" s="176"/>
      <c r="F170" s="177">
        <v>3.0</v>
      </c>
      <c r="G170" s="178" t="s">
        <v>41</v>
      </c>
      <c r="H170" s="179"/>
      <c r="I170" s="180"/>
      <c r="J170" s="181">
        <v>8.0</v>
      </c>
      <c r="K170" s="182"/>
      <c r="L170" s="183"/>
      <c r="M170" s="134" t="str">
        <f>I35</f>
        <v/>
      </c>
      <c r="N170" s="135" t="str">
        <f>iferror(mround($P35*((VLOOKUP($J170,Sheet1!$D:$N,$G170+1,FALSE)-0.03)),2.5)," ")</f>
        <v> </v>
      </c>
      <c r="O170" s="135" t="str">
        <f>iferror(mround($P35*((VLOOKUP($J170,Sheet1!$D:$N,$G170+1,FALSE)+0.02)),2.5)," ")</f>
        <v> </v>
      </c>
      <c r="P170" s="56" t="str">
        <f>iferror(mround(I170/VLOOKUP(L170,Sheet1!$D$7:$N$16,G170+1,FALSE),2.5),"")</f>
        <v/>
      </c>
      <c r="Q170" s="303" t="str">
        <f t="shared" si="1"/>
        <v/>
      </c>
      <c r="S170" s="11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</row>
    <row r="171" ht="3.75" customHeight="1">
      <c r="A171" s="90"/>
      <c r="B171" s="6"/>
      <c r="C171" s="90"/>
      <c r="D171" s="138"/>
      <c r="E171" s="184"/>
      <c r="F171" s="102"/>
      <c r="G171" s="102"/>
      <c r="H171" s="102"/>
      <c r="I171" s="102"/>
      <c r="J171" s="156"/>
      <c r="K171" s="103"/>
      <c r="L171" s="143"/>
      <c r="M171" s="144"/>
      <c r="N171" s="145"/>
      <c r="O171" s="145"/>
      <c r="P171" s="122"/>
      <c r="Q171" s="304" t="str">
        <f t="shared" si="1"/>
        <v/>
      </c>
      <c r="S171" s="11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</row>
    <row r="172" ht="15.75" hidden="1" customHeight="1">
      <c r="A172" s="90"/>
      <c r="B172" s="6"/>
      <c r="C172" s="90"/>
      <c r="D172" s="185"/>
      <c r="E172" s="186"/>
      <c r="F172" s="187"/>
      <c r="G172" s="188"/>
      <c r="H172" s="129"/>
      <c r="I172" s="164"/>
      <c r="J172" s="189"/>
      <c r="K172" s="190"/>
      <c r="L172" s="183"/>
      <c r="M172" s="134" t="str">
        <f>I37</f>
        <v/>
      </c>
      <c r="N172" s="135" t="str">
        <f>iferror(mround($P37*((VLOOKUP($J172,Sheet1!$D:$N,$G172+1,FALSE)-0.03)),2.5)," ")</f>
        <v> </v>
      </c>
      <c r="O172" s="135" t="str">
        <f>iferror(mround($P37*((VLOOKUP($J172,Sheet1!$D:$N,$G172+1,FALSE)+0.02)),2.5)," ")</f>
        <v> </v>
      </c>
      <c r="P172" s="56" t="str">
        <f>iferror(mround(I172/VLOOKUP(L172,Sheet1!$D$7:$N$16,G172+1,FALSE),2.5),"")</f>
        <v/>
      </c>
      <c r="Q172" s="303" t="str">
        <f t="shared" si="1"/>
        <v/>
      </c>
      <c r="S172" s="11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</row>
    <row r="173" ht="3.75" hidden="1" customHeight="1">
      <c r="A173" s="191"/>
      <c r="B173" s="6"/>
      <c r="C173" s="192"/>
      <c r="D173" s="138"/>
      <c r="E173" s="193"/>
      <c r="F173" s="194"/>
      <c r="G173" s="155"/>
      <c r="H173" s="102"/>
      <c r="I173" s="102"/>
      <c r="J173" s="156"/>
      <c r="K173" s="103"/>
      <c r="L173" s="143"/>
      <c r="M173" s="144"/>
      <c r="N173" s="145"/>
      <c r="O173" s="145"/>
      <c r="P173" s="122"/>
      <c r="Q173" s="304" t="str">
        <f t="shared" si="1"/>
        <v/>
      </c>
      <c r="S173" s="157"/>
      <c r="T173" s="5"/>
      <c r="U173" s="5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</row>
    <row r="174" ht="15.75" hidden="1" customHeight="1">
      <c r="A174" s="90"/>
      <c r="B174" s="6"/>
      <c r="C174" s="90"/>
      <c r="D174" s="185"/>
      <c r="E174" s="186"/>
      <c r="F174" s="187"/>
      <c r="G174" s="195"/>
      <c r="H174" s="129"/>
      <c r="I174" s="164"/>
      <c r="J174" s="189"/>
      <c r="K174" s="190"/>
      <c r="L174" s="183"/>
      <c r="M174" s="134" t="str">
        <f>I39</f>
        <v/>
      </c>
      <c r="N174" s="135" t="str">
        <f>iferror(mround($P39*((VLOOKUP($J174,Sheet1!$D:$N,$G174+1,FALSE)-0.03)),2.5)," ")</f>
        <v> </v>
      </c>
      <c r="O174" s="135" t="str">
        <f>iferror(mround($P39*((VLOOKUP($J174,Sheet1!$D:$N,$G174+1,FALSE)+0.02)),2.5)," ")</f>
        <v> </v>
      </c>
      <c r="P174" s="56" t="str">
        <f>iferror(mround(I174/VLOOKUP(L174,Sheet1!$D$7:$N$16,G174+1,FALSE),2.5),"")</f>
        <v/>
      </c>
      <c r="Q174" s="303" t="str">
        <f t="shared" si="1"/>
        <v/>
      </c>
      <c r="S174" s="11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</row>
    <row r="175" ht="3.75" hidden="1" customHeight="1">
      <c r="A175" s="90"/>
      <c r="B175" s="6"/>
      <c r="C175" s="90"/>
      <c r="D175" s="196"/>
      <c r="E175" s="184"/>
      <c r="F175" s="102"/>
      <c r="G175" s="102"/>
      <c r="H175" s="102"/>
      <c r="I175" s="102"/>
      <c r="J175" s="156"/>
      <c r="K175" s="103"/>
      <c r="L175" s="143"/>
      <c r="M175" s="144"/>
      <c r="N175" s="145"/>
      <c r="O175" s="145"/>
      <c r="P175" s="122"/>
      <c r="Q175" s="304" t="str">
        <f t="shared" si="1"/>
        <v/>
      </c>
      <c r="S175" s="11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</row>
    <row r="176" ht="15.75" hidden="1" customHeight="1">
      <c r="A176" s="90"/>
      <c r="B176" s="6"/>
      <c r="C176" s="90"/>
      <c r="D176" s="197"/>
      <c r="E176" s="198"/>
      <c r="F176" s="199"/>
      <c r="G176" s="195"/>
      <c r="H176" s="129"/>
      <c r="I176" s="164"/>
      <c r="J176" s="189"/>
      <c r="K176" s="190"/>
      <c r="L176" s="183"/>
      <c r="M176" s="134" t="str">
        <f>I41</f>
        <v/>
      </c>
      <c r="N176" s="135" t="str">
        <f>iferror(mround($P41*((VLOOKUP($J176,Sheet1!$D:$N,$G176+1,FALSE)-0.03)),2.5)," ")</f>
        <v> </v>
      </c>
      <c r="O176" s="135" t="str">
        <f>iferror(mround($P41*((VLOOKUP($J176,Sheet1!$D:$N,$G176+1,FALSE)+0.02)),2.5)," ")</f>
        <v> </v>
      </c>
      <c r="P176" s="56" t="str">
        <f>iferror(mround(I176/VLOOKUP(L176,Sheet1!$D$7:$N$16,G176+1,FALSE),2.5),"")</f>
        <v/>
      </c>
      <c r="Q176" s="303" t="str">
        <f t="shared" si="1"/>
        <v/>
      </c>
      <c r="S176" s="11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</row>
    <row r="177" ht="3.75" hidden="1" customHeight="1">
      <c r="A177" s="90"/>
      <c r="B177" s="6"/>
      <c r="C177" s="90"/>
      <c r="D177" s="90"/>
      <c r="E177" s="156"/>
      <c r="F177" s="102"/>
      <c r="G177" s="102"/>
      <c r="H177" s="102"/>
      <c r="I177" s="102"/>
      <c r="J177" s="156"/>
      <c r="K177" s="200"/>
      <c r="L177" s="201"/>
      <c r="M177" s="144"/>
      <c r="N177" s="47"/>
      <c r="O177" s="47"/>
      <c r="P177" s="122"/>
      <c r="Q177" s="304" t="str">
        <f t="shared" si="1"/>
        <v/>
      </c>
      <c r="S177" s="11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</row>
    <row r="178" ht="30.0" customHeight="1">
      <c r="A178" s="90"/>
      <c r="B178" s="6"/>
      <c r="C178" s="90"/>
      <c r="D178" s="202" t="s">
        <v>42</v>
      </c>
      <c r="E178" s="105" t="s">
        <v>15</v>
      </c>
      <c r="F178" s="106" t="s">
        <v>16</v>
      </c>
      <c r="G178" s="106" t="s">
        <v>17</v>
      </c>
      <c r="H178" s="107"/>
      <c r="I178" s="106" t="s">
        <v>18</v>
      </c>
      <c r="J178" s="108" t="s">
        <v>19</v>
      </c>
      <c r="L178" s="109" t="s">
        <v>20</v>
      </c>
      <c r="M178" s="110" t="s">
        <v>21</v>
      </c>
      <c r="N178" s="111" t="s">
        <v>22</v>
      </c>
      <c r="P178" s="112"/>
      <c r="Q178" s="113" t="s">
        <v>23</v>
      </c>
      <c r="R178" s="114" t="s">
        <v>43</v>
      </c>
      <c r="S178" s="11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</row>
    <row r="179" ht="14.25" customHeight="1">
      <c r="A179" s="90"/>
      <c r="B179" s="6"/>
      <c r="C179" s="90"/>
      <c r="D179" s="116" t="s">
        <v>25</v>
      </c>
      <c r="E179" s="117" t="s">
        <v>26</v>
      </c>
      <c r="H179" s="107"/>
      <c r="N179" s="111" t="s">
        <v>27</v>
      </c>
      <c r="O179" s="111" t="s">
        <v>28</v>
      </c>
      <c r="P179" s="112" t="s">
        <v>29</v>
      </c>
      <c r="R179" s="118" t="s">
        <v>30</v>
      </c>
      <c r="S179" s="11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</row>
    <row r="180" ht="3.75" customHeight="1">
      <c r="A180" s="191"/>
      <c r="B180" s="6"/>
      <c r="C180" s="192"/>
      <c r="D180" s="203"/>
      <c r="E180" s="204"/>
      <c r="F180" s="205"/>
      <c r="G180" s="205"/>
      <c r="H180" s="206"/>
      <c r="I180" s="207"/>
      <c r="J180" s="208"/>
      <c r="K180" s="209"/>
      <c r="L180" s="210"/>
      <c r="M180" s="211"/>
      <c r="N180" s="47"/>
      <c r="O180" s="47"/>
      <c r="P180" s="122"/>
      <c r="Q180" s="304" t="str">
        <f t="shared" ref="Q180:Q202" si="2">IF(OR(ISBLANK(I180), ISBLANK(I45)), "", IF(I180 - I45 = 0, "", I180 - I45))</f>
        <v/>
      </c>
      <c r="R180" s="212"/>
      <c r="S180" s="157"/>
      <c r="T180" s="5"/>
      <c r="U180" s="5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</row>
    <row r="181" ht="15.75" customHeight="1">
      <c r="A181" s="124"/>
      <c r="B181" s="6"/>
      <c r="C181" s="124"/>
      <c r="D181" s="159" t="s">
        <v>33</v>
      </c>
      <c r="E181" s="167"/>
      <c r="F181" s="127">
        <v>1.0</v>
      </c>
      <c r="G181" s="127">
        <v>2.0</v>
      </c>
      <c r="H181" s="195"/>
      <c r="I181" s="130"/>
      <c r="J181" s="151">
        <v>7.5</v>
      </c>
      <c r="K181" s="213"/>
      <c r="L181" s="133"/>
      <c r="M181" s="134">
        <f>I46</f>
        <v>295</v>
      </c>
      <c r="N181" s="135">
        <f>iferror(mround($P46*((VLOOKUP($J181,Sheet1!$D:$N,$G181+1,FALSE)-0.03)),2.5)," ")</f>
        <v>287.5</v>
      </c>
      <c r="O181" s="135">
        <f>iferror(mround($P46*((VLOOKUP($J181,Sheet1!$D:$N,$G181+1,FALSE)+0.02)),2.5)," ")</f>
        <v>305</v>
      </c>
      <c r="P181" s="112" t="str">
        <f>iferror(mround(I181/VLOOKUP(L181,Sheet1!$D$7:$N$16,G181+1,FALSE),2.5),"")</f>
        <v/>
      </c>
      <c r="Q181" s="303" t="str">
        <f t="shared" si="2"/>
        <v/>
      </c>
      <c r="R181" s="214"/>
      <c r="S181" s="11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</row>
    <row r="182" ht="3.75" customHeight="1">
      <c r="A182" s="124"/>
      <c r="B182" s="6"/>
      <c r="C182" s="124"/>
      <c r="D182" s="138"/>
      <c r="E182" s="215"/>
      <c r="F182" s="102"/>
      <c r="G182" s="102"/>
      <c r="H182" s="102"/>
      <c r="I182" s="102"/>
      <c r="J182" s="216"/>
      <c r="K182" s="217"/>
      <c r="L182" s="218"/>
      <c r="M182" s="144"/>
      <c r="N182" s="145"/>
      <c r="O182" s="145"/>
      <c r="P182" s="122"/>
      <c r="Q182" s="304" t="str">
        <f t="shared" si="2"/>
        <v/>
      </c>
      <c r="R182" s="214"/>
      <c r="S182" s="11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</row>
    <row r="183" ht="15.75" customHeight="1">
      <c r="A183" s="90"/>
      <c r="B183" s="6"/>
      <c r="C183" s="90"/>
      <c r="D183" s="159" t="s">
        <v>33</v>
      </c>
      <c r="E183" s="167"/>
      <c r="F183" s="127">
        <v>2.0</v>
      </c>
      <c r="G183" s="161">
        <v>5.0</v>
      </c>
      <c r="H183" s="195"/>
      <c r="I183" s="130"/>
      <c r="J183" s="151">
        <v>7.0</v>
      </c>
      <c r="K183" s="219"/>
      <c r="L183" s="133"/>
      <c r="M183" s="134">
        <f>I48</f>
        <v>265</v>
      </c>
      <c r="N183" s="135">
        <f>iferror(mround($P48*((VLOOKUP($J183,Sheet1!$D:$N,$G183+1,FALSE)-0.03)),2.5)," ")</f>
        <v>247.5</v>
      </c>
      <c r="O183" s="135">
        <f>iferror(mround($P48*((VLOOKUP($J183,Sheet1!$D:$N,$G183+1,FALSE)+0.02)),2.5)," ")</f>
        <v>262.5</v>
      </c>
      <c r="P183" s="112" t="str">
        <f>iferror(mround(I183/VLOOKUP(L183,Sheet1!$D$7:$N$16,G183+1,FALSE),2.5),"")</f>
        <v/>
      </c>
      <c r="Q183" s="303" t="str">
        <f t="shared" si="2"/>
        <v/>
      </c>
      <c r="R183" s="214"/>
      <c r="S183" s="11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</row>
    <row r="184" ht="3.75" customHeight="1">
      <c r="A184" s="90"/>
      <c r="B184" s="6"/>
      <c r="C184" s="90"/>
      <c r="D184" s="138"/>
      <c r="E184" s="215"/>
      <c r="F184" s="102"/>
      <c r="G184" s="102"/>
      <c r="H184" s="102"/>
      <c r="I184" s="102"/>
      <c r="J184" s="156"/>
      <c r="K184" s="217"/>
      <c r="L184" s="218"/>
      <c r="M184" s="144"/>
      <c r="N184" s="145"/>
      <c r="O184" s="145"/>
      <c r="P184" s="122"/>
      <c r="Q184" s="304" t="str">
        <f t="shared" si="2"/>
        <v/>
      </c>
      <c r="R184" s="214"/>
      <c r="S184" s="11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</row>
    <row r="185" ht="15.75" customHeight="1">
      <c r="A185" s="90"/>
      <c r="B185" s="6"/>
      <c r="C185" s="90"/>
      <c r="D185" s="159" t="s">
        <v>44</v>
      </c>
      <c r="E185" s="167"/>
      <c r="F185" s="127">
        <v>3.0</v>
      </c>
      <c r="G185" s="169">
        <v>45577.0</v>
      </c>
      <c r="H185" s="195"/>
      <c r="I185" s="130"/>
      <c r="J185" s="151">
        <v>8.0</v>
      </c>
      <c r="K185" s="219"/>
      <c r="L185" s="133"/>
      <c r="M185" s="134">
        <f>I50</f>
        <v>70</v>
      </c>
      <c r="N185" s="135" t="str">
        <f>iferror(mround($P50*((VLOOKUP($J185,Sheet1!$D:$N,$G185+1,FALSE)-0.03)),2.5)," ")</f>
        <v> </v>
      </c>
      <c r="O185" s="135" t="str">
        <f>iferror(mround($P50*((VLOOKUP($J185,Sheet1!$D:$N,$G185+1,FALSE)+0.02)),2.5)," ")</f>
        <v> </v>
      </c>
      <c r="P185" s="112" t="str">
        <f>iferror(mround(I185/VLOOKUP(L185,Sheet1!$D$7:$N$16,G185+1,FALSE),2.5),"")</f>
        <v/>
      </c>
      <c r="Q185" s="303" t="str">
        <f t="shared" si="2"/>
        <v/>
      </c>
      <c r="R185" s="214"/>
      <c r="S185" s="11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</row>
    <row r="186" ht="3.75" customHeight="1">
      <c r="A186" s="90"/>
      <c r="B186" s="6"/>
      <c r="C186" s="90"/>
      <c r="D186" s="138"/>
      <c r="E186" s="215"/>
      <c r="F186" s="102"/>
      <c r="G186" s="102"/>
      <c r="H186" s="102"/>
      <c r="I186" s="102"/>
      <c r="J186" s="156"/>
      <c r="K186" s="217"/>
      <c r="L186" s="143"/>
      <c r="M186" s="144"/>
      <c r="N186" s="145"/>
      <c r="O186" s="145"/>
      <c r="P186" s="122"/>
      <c r="Q186" s="304" t="str">
        <f t="shared" si="2"/>
        <v/>
      </c>
      <c r="R186" s="214"/>
      <c r="S186" s="11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</row>
    <row r="187" ht="15.75" customHeight="1">
      <c r="A187" s="90"/>
      <c r="B187" s="6"/>
      <c r="C187" s="90"/>
      <c r="D187" s="159" t="s">
        <v>45</v>
      </c>
      <c r="E187" s="220"/>
      <c r="F187" s="127">
        <v>3.0</v>
      </c>
      <c r="G187" s="127" t="s">
        <v>41</v>
      </c>
      <c r="H187" s="195"/>
      <c r="I187" s="164"/>
      <c r="J187" s="151">
        <v>8.0</v>
      </c>
      <c r="K187" s="213"/>
      <c r="L187" s="133"/>
      <c r="M187" s="134" t="str">
        <f>I52</f>
        <v/>
      </c>
      <c r="N187" s="135" t="str">
        <f>iferror(mround($P52*((VLOOKUP($J187,Sheet1!$D:$N,$G187+1,FALSE)-0.03)),2.5)," ")</f>
        <v> </v>
      </c>
      <c r="O187" s="135" t="str">
        <f>iferror(mround($P52*((VLOOKUP($J187,Sheet1!$D:$N,$G187+1,FALSE)+0.02)),2.5)," ")</f>
        <v> </v>
      </c>
      <c r="P187" s="112" t="str">
        <f>iferror(mround(I187/VLOOKUP(L187,Sheet1!$D$7:$N$16,G187+1,FALSE),2.5),"")</f>
        <v/>
      </c>
      <c r="Q187" s="303" t="str">
        <f t="shared" si="2"/>
        <v/>
      </c>
      <c r="R187" s="214"/>
      <c r="S187" s="11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</row>
    <row r="188" ht="3.75" customHeight="1">
      <c r="A188" s="90"/>
      <c r="B188" s="6"/>
      <c r="C188" s="90"/>
      <c r="D188" s="138"/>
      <c r="E188" s="215"/>
      <c r="F188" s="102"/>
      <c r="G188" s="102"/>
      <c r="H188" s="102"/>
      <c r="I188" s="102"/>
      <c r="J188" s="156"/>
      <c r="K188" s="217"/>
      <c r="L188" s="143"/>
      <c r="M188" s="144"/>
      <c r="N188" s="145"/>
      <c r="O188" s="145"/>
      <c r="P188" s="122"/>
      <c r="Q188" s="304" t="str">
        <f t="shared" si="2"/>
        <v/>
      </c>
      <c r="R188" s="214"/>
      <c r="S188" s="11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</row>
    <row r="189" ht="15.75" customHeight="1">
      <c r="A189" s="90"/>
      <c r="B189" s="6"/>
      <c r="C189" s="90"/>
      <c r="D189" s="159" t="s">
        <v>46</v>
      </c>
      <c r="E189" s="220"/>
      <c r="F189" s="127">
        <v>3.0</v>
      </c>
      <c r="G189" s="127" t="s">
        <v>16</v>
      </c>
      <c r="H189" s="195"/>
      <c r="I189" s="130"/>
      <c r="J189" s="151">
        <v>9.0</v>
      </c>
      <c r="K189" s="213"/>
      <c r="L189" s="133"/>
      <c r="M189" s="134" t="str">
        <f>I54</f>
        <v/>
      </c>
      <c r="N189" s="135" t="str">
        <f>iferror(mround($P54*((VLOOKUP($J189,Sheet1!$D:$N,$G189+1,FALSE)-0.03)),2.5)," ")</f>
        <v> </v>
      </c>
      <c r="O189" s="135" t="str">
        <f>iferror(mround($P54*((VLOOKUP($J189,Sheet1!$D:$N,$G189+1,FALSE)+0.02)),2.5)," ")</f>
        <v> </v>
      </c>
      <c r="P189" s="112" t="str">
        <f>iferror(mround(I189/VLOOKUP(L189,Sheet1!$D$7:$N$16,G189+1,FALSE),2.5),"")</f>
        <v/>
      </c>
      <c r="Q189" s="303" t="str">
        <f t="shared" si="2"/>
        <v/>
      </c>
      <c r="R189" s="214"/>
      <c r="S189" s="11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</row>
    <row r="190" ht="3.75" customHeight="1">
      <c r="A190" s="90"/>
      <c r="B190" s="6"/>
      <c r="C190" s="90"/>
      <c r="D190" s="138"/>
      <c r="E190" s="215"/>
      <c r="F190" s="102"/>
      <c r="G190" s="102"/>
      <c r="H190" s="102"/>
      <c r="I190" s="102"/>
      <c r="J190" s="156"/>
      <c r="K190" s="217"/>
      <c r="L190" s="143"/>
      <c r="M190" s="144"/>
      <c r="N190" s="145"/>
      <c r="O190" s="145"/>
      <c r="P190" s="122"/>
      <c r="Q190" s="304" t="str">
        <f t="shared" si="2"/>
        <v/>
      </c>
      <c r="R190" s="214"/>
      <c r="S190" s="11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</row>
    <row r="191" ht="15.75" customHeight="1">
      <c r="A191" s="90"/>
      <c r="B191" s="6"/>
      <c r="C191" s="90"/>
      <c r="D191" s="159" t="s">
        <v>47</v>
      </c>
      <c r="E191" s="220"/>
      <c r="F191" s="127">
        <v>3.0</v>
      </c>
      <c r="G191" s="221">
        <v>45641.0</v>
      </c>
      <c r="H191" s="195"/>
      <c r="I191" s="130"/>
      <c r="J191" s="151">
        <v>9.0</v>
      </c>
      <c r="K191" s="213"/>
      <c r="L191" s="183"/>
      <c r="M191" s="134">
        <f>I56</f>
        <v>60</v>
      </c>
      <c r="N191" s="135" t="str">
        <f>iferror(mround($P56*((VLOOKUP($J191,Sheet1!$D:$N,$G191+1,FALSE)-0.03)),2.5)," ")</f>
        <v> </v>
      </c>
      <c r="O191" s="135" t="str">
        <f>iferror(mround($P56*((VLOOKUP($J191,Sheet1!$D:$N,$G191+1,FALSE)+0.02)),2.5)," ")</f>
        <v> </v>
      </c>
      <c r="P191" s="112" t="str">
        <f>iferror(mround(I191/VLOOKUP(L191,Sheet1!$D$7:$N$16,G191+1,FALSE),2.5),"")</f>
        <v/>
      </c>
      <c r="Q191" s="303" t="str">
        <f t="shared" si="2"/>
        <v/>
      </c>
      <c r="R191" s="214"/>
      <c r="S191" s="11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</row>
    <row r="192" ht="3.75" customHeight="1">
      <c r="A192" s="90"/>
      <c r="B192" s="6"/>
      <c r="C192" s="90"/>
      <c r="D192" s="138"/>
      <c r="E192" s="215"/>
      <c r="F192" s="102"/>
      <c r="G192" s="102"/>
      <c r="H192" s="102"/>
      <c r="I192" s="102"/>
      <c r="J192" s="156"/>
      <c r="K192" s="222"/>
      <c r="L192" s="143"/>
      <c r="M192" s="144"/>
      <c r="N192" s="145"/>
      <c r="O192" s="145"/>
      <c r="P192" s="122"/>
      <c r="Q192" s="304" t="str">
        <f t="shared" si="2"/>
        <v/>
      </c>
      <c r="R192" s="214"/>
      <c r="S192" s="11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</row>
    <row r="193" ht="18.0" customHeight="1">
      <c r="A193" s="90"/>
      <c r="B193" s="6"/>
      <c r="C193" s="90"/>
      <c r="D193" s="159" t="s">
        <v>48</v>
      </c>
      <c r="E193" s="220"/>
      <c r="F193" s="127">
        <v>3.0</v>
      </c>
      <c r="G193" s="221">
        <v>45942.0</v>
      </c>
      <c r="H193" s="195"/>
      <c r="I193" s="130"/>
      <c r="J193" s="151">
        <v>9.0</v>
      </c>
      <c r="K193" s="190"/>
      <c r="L193" s="183"/>
      <c r="M193" s="134">
        <f>I58</f>
        <v>40</v>
      </c>
      <c r="N193" s="135" t="str">
        <f>iferror(mround($P58*((VLOOKUP($J193,Sheet1!$D:$N,$G193+1,FALSE)-0.03)),2.5)," ")</f>
        <v> </v>
      </c>
      <c r="O193" s="135" t="str">
        <f>iferror(mround($P58*((VLOOKUP($J193,Sheet1!$D:$N,$G193+1,FALSE)+0.02)),2.5)," ")</f>
        <v> </v>
      </c>
      <c r="P193" s="112" t="str">
        <f>iferror(mround(I193/VLOOKUP(L193,Sheet1!$D$7:$N$16,G193+1,FALSE),2.5),"")</f>
        <v/>
      </c>
      <c r="Q193" s="303" t="str">
        <f t="shared" si="2"/>
        <v/>
      </c>
      <c r="R193" s="214"/>
      <c r="S193" s="11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</row>
    <row r="194" ht="3.75" customHeight="1">
      <c r="A194" s="191"/>
      <c r="B194" s="6"/>
      <c r="C194" s="192"/>
      <c r="D194" s="138"/>
      <c r="E194" s="223"/>
      <c r="F194" s="194"/>
      <c r="G194" s="194"/>
      <c r="H194" s="155"/>
      <c r="I194" s="210"/>
      <c r="J194" s="216"/>
      <c r="K194" s="222"/>
      <c r="L194" s="143"/>
      <c r="M194" s="144"/>
      <c r="N194" s="145"/>
      <c r="O194" s="145"/>
      <c r="P194" s="122"/>
      <c r="Q194" s="304" t="str">
        <f t="shared" si="2"/>
        <v/>
      </c>
      <c r="R194" s="214"/>
      <c r="S194" s="157"/>
      <c r="T194" s="5"/>
      <c r="U194" s="5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</row>
    <row r="195" ht="15.75" hidden="1" customHeight="1">
      <c r="A195" s="90"/>
      <c r="B195" s="6"/>
      <c r="C195" s="90"/>
      <c r="D195" s="185"/>
      <c r="E195" s="186"/>
      <c r="F195" s="187"/>
      <c r="G195" s="187"/>
      <c r="H195" s="195"/>
      <c r="I195" s="164"/>
      <c r="J195" s="189"/>
      <c r="K195" s="190"/>
      <c r="L195" s="183"/>
      <c r="M195" s="134" t="str">
        <f>I60</f>
        <v/>
      </c>
      <c r="N195" s="135" t="str">
        <f>iferror(mround($P60*((VLOOKUP($J195,Sheet1!$D:$N,$G195+1,FALSE)-0.03)),2.5)," ")</f>
        <v> </v>
      </c>
      <c r="O195" s="135" t="str">
        <f>iferror(mround($P60*((VLOOKUP($J195,Sheet1!$D:$N,$G195+1,FALSE)+0.02)),2.5)," ")</f>
        <v> </v>
      </c>
      <c r="P195" s="112" t="str">
        <f>iferror(mround(I195/VLOOKUP(L195,Sheet1!$D$7:$N$16,G195+1,FALSE),2.5),"")</f>
        <v/>
      </c>
      <c r="Q195" s="303" t="str">
        <f t="shared" si="2"/>
        <v/>
      </c>
      <c r="R195" s="214"/>
      <c r="S195" s="11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</row>
    <row r="196" ht="3.75" hidden="1" customHeight="1">
      <c r="A196" s="90"/>
      <c r="B196" s="6"/>
      <c r="C196" s="90"/>
      <c r="D196" s="138"/>
      <c r="E196" s="184"/>
      <c r="F196" s="102"/>
      <c r="G196" s="102"/>
      <c r="H196" s="102"/>
      <c r="I196" s="102"/>
      <c r="J196" s="156"/>
      <c r="K196" s="222"/>
      <c r="L196" s="143"/>
      <c r="M196" s="144"/>
      <c r="N196" s="145"/>
      <c r="O196" s="145"/>
      <c r="P196" s="122"/>
      <c r="Q196" s="304" t="str">
        <f t="shared" si="2"/>
        <v/>
      </c>
      <c r="R196" s="214"/>
      <c r="S196" s="11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</row>
    <row r="197" ht="15.75" hidden="1" customHeight="1">
      <c r="A197" s="90"/>
      <c r="B197" s="6"/>
      <c r="C197" s="90"/>
      <c r="D197" s="185"/>
      <c r="E197" s="224"/>
      <c r="F197" s="187"/>
      <c r="G197" s="187"/>
      <c r="H197" s="195"/>
      <c r="I197" s="164"/>
      <c r="J197" s="189"/>
      <c r="K197" s="190"/>
      <c r="L197" s="183"/>
      <c r="M197" s="134" t="str">
        <f>I62</f>
        <v/>
      </c>
      <c r="N197" s="135" t="str">
        <f>iferror(mround($P62*((VLOOKUP($J197,Sheet1!$D:$N,$G197+1,FALSE)-0.03)),2.5)," ")</f>
        <v> </v>
      </c>
      <c r="O197" s="135" t="str">
        <f>iferror(mround($P62*((VLOOKUP($J197,Sheet1!$D:$N,$G197+1,FALSE)+0.02)),2.5)," ")</f>
        <v> </v>
      </c>
      <c r="P197" s="112" t="str">
        <f>iferror(mround(I197/VLOOKUP(L197,Sheet1!$D$7:$N$16,G197+1,FALSE),2.5),"")</f>
        <v/>
      </c>
      <c r="Q197" s="303" t="str">
        <f t="shared" si="2"/>
        <v/>
      </c>
      <c r="R197" s="214"/>
      <c r="S197" s="11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</row>
    <row r="198" ht="3.75" hidden="1" customHeight="1">
      <c r="A198" s="191"/>
      <c r="B198" s="6"/>
      <c r="C198" s="192"/>
      <c r="D198" s="138"/>
      <c r="E198" s="193"/>
      <c r="F198" s="194"/>
      <c r="G198" s="194"/>
      <c r="H198" s="155"/>
      <c r="I198" s="210"/>
      <c r="J198" s="216"/>
      <c r="K198" s="222"/>
      <c r="L198" s="143"/>
      <c r="M198" s="144"/>
      <c r="N198" s="145"/>
      <c r="O198" s="145"/>
      <c r="P198" s="122"/>
      <c r="Q198" s="304" t="str">
        <f t="shared" si="2"/>
        <v/>
      </c>
      <c r="R198" s="214"/>
      <c r="S198" s="157"/>
      <c r="T198" s="5"/>
      <c r="U198" s="5"/>
      <c r="V198" s="158"/>
      <c r="W198" s="158"/>
      <c r="X198" s="158"/>
      <c r="Y198" s="158"/>
      <c r="Z198" s="158"/>
      <c r="AA198" s="158"/>
      <c r="AB198" s="158"/>
      <c r="AC198" s="158"/>
      <c r="AD198" s="158"/>
      <c r="AE198" s="158"/>
      <c r="AF198" s="158"/>
      <c r="AG198" s="158"/>
    </row>
    <row r="199" ht="15.75" hidden="1" customHeight="1">
      <c r="A199" s="90"/>
      <c r="B199" s="6"/>
      <c r="C199" s="90"/>
      <c r="D199" s="185"/>
      <c r="E199" s="186"/>
      <c r="F199" s="187"/>
      <c r="G199" s="187"/>
      <c r="H199" s="195"/>
      <c r="I199" s="164"/>
      <c r="J199" s="189"/>
      <c r="K199" s="190"/>
      <c r="L199" s="183"/>
      <c r="M199" s="134" t="str">
        <f>I64</f>
        <v/>
      </c>
      <c r="N199" s="135" t="str">
        <f>iferror(mround($P64*((VLOOKUP($J199,Sheet1!$D:$N,$G199+1,FALSE)-0.03)),2.5)," ")</f>
        <v> </v>
      </c>
      <c r="O199" s="135" t="str">
        <f>iferror(mround($P64*((VLOOKUP($J199,Sheet1!$D:$N,$G199+1,FALSE)+0.02)),2.5)," ")</f>
        <v> </v>
      </c>
      <c r="P199" s="112" t="str">
        <f>iferror(mround(I199/VLOOKUP(L199,Sheet1!$D$7:$N$16,G199+1,FALSE),2.5),"")</f>
        <v/>
      </c>
      <c r="Q199" s="303" t="str">
        <f t="shared" si="2"/>
        <v/>
      </c>
      <c r="R199" s="214"/>
      <c r="S199" s="11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</row>
    <row r="200" ht="3.75" hidden="1" customHeight="1">
      <c r="A200" s="90"/>
      <c r="B200" s="6"/>
      <c r="C200" s="90"/>
      <c r="D200" s="196"/>
      <c r="E200" s="184"/>
      <c r="F200" s="102"/>
      <c r="G200" s="102"/>
      <c r="H200" s="102"/>
      <c r="I200" s="102"/>
      <c r="J200" s="156"/>
      <c r="K200" s="222"/>
      <c r="L200" s="143"/>
      <c r="M200" s="144"/>
      <c r="N200" s="145"/>
      <c r="O200" s="145"/>
      <c r="P200" s="122"/>
      <c r="Q200" s="304" t="str">
        <f t="shared" si="2"/>
        <v/>
      </c>
      <c r="R200" s="214"/>
      <c r="S200" s="11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</row>
    <row r="201" ht="15.75" hidden="1" customHeight="1">
      <c r="A201" s="90"/>
      <c r="B201" s="6"/>
      <c r="C201" s="90"/>
      <c r="D201" s="197"/>
      <c r="E201" s="198"/>
      <c r="F201" s="199"/>
      <c r="G201" s="187"/>
      <c r="H201" s="195"/>
      <c r="I201" s="164"/>
      <c r="J201" s="189"/>
      <c r="K201" s="190"/>
      <c r="L201" s="183"/>
      <c r="M201" s="134" t="str">
        <f>I66</f>
        <v/>
      </c>
      <c r="N201" s="135" t="str">
        <f>iferror(mround($P66*((VLOOKUP($J201,Sheet1!$D:$N,$G201+1,FALSE)-0.03)),2.5)," ")</f>
        <v> </v>
      </c>
      <c r="O201" s="135" t="str">
        <f>iferror(mround($P66*((VLOOKUP($J201,Sheet1!$D:$N,$G201+1,FALSE)+0.02)),2.5)," ")</f>
        <v> </v>
      </c>
      <c r="P201" s="112" t="str">
        <f>iferror(mround(I201/VLOOKUP(L201,Sheet1!$D$7:$N$16,G201+1,FALSE),2.5),"")</f>
        <v/>
      </c>
      <c r="Q201" s="303" t="str">
        <f t="shared" si="2"/>
        <v/>
      </c>
      <c r="R201" s="214"/>
      <c r="S201" s="11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</row>
    <row r="202" ht="3.75" hidden="1" customHeight="1">
      <c r="A202" s="90"/>
      <c r="B202" s="6"/>
      <c r="C202" s="90"/>
      <c r="D202" s="90"/>
      <c r="E202" s="156"/>
      <c r="F202" s="102"/>
      <c r="G202" s="102"/>
      <c r="H202" s="102"/>
      <c r="I202" s="102"/>
      <c r="J202" s="156"/>
      <c r="K202" s="222"/>
      <c r="L202" s="201"/>
      <c r="M202" s="211"/>
      <c r="N202" s="47"/>
      <c r="O202" s="47"/>
      <c r="P202" s="122"/>
      <c r="Q202" s="304" t="str">
        <f t="shared" si="2"/>
        <v/>
      </c>
      <c r="R202" s="214"/>
      <c r="S202" s="11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</row>
    <row r="203" ht="30.75" customHeight="1">
      <c r="A203" s="90"/>
      <c r="B203" s="6"/>
      <c r="C203" s="90"/>
      <c r="D203" s="202" t="s">
        <v>49</v>
      </c>
      <c r="E203" s="105" t="s">
        <v>15</v>
      </c>
      <c r="F203" s="106" t="s">
        <v>16</v>
      </c>
      <c r="G203" s="106" t="s">
        <v>17</v>
      </c>
      <c r="H203" s="107"/>
      <c r="I203" s="106" t="s">
        <v>18</v>
      </c>
      <c r="J203" s="108" t="s">
        <v>19</v>
      </c>
      <c r="L203" s="109" t="s">
        <v>20</v>
      </c>
      <c r="M203" s="110" t="s">
        <v>21</v>
      </c>
      <c r="N203" s="111" t="s">
        <v>22</v>
      </c>
      <c r="P203" s="112"/>
      <c r="Q203" s="113" t="s">
        <v>23</v>
      </c>
      <c r="R203" s="114" t="s">
        <v>50</v>
      </c>
      <c r="S203" s="11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</row>
    <row r="204" ht="14.25" customHeight="1">
      <c r="A204" s="90"/>
      <c r="B204" s="6"/>
      <c r="C204" s="90"/>
      <c r="D204" s="116" t="s">
        <v>25</v>
      </c>
      <c r="E204" s="117" t="s">
        <v>26</v>
      </c>
      <c r="H204" s="107"/>
      <c r="N204" s="111" t="s">
        <v>27</v>
      </c>
      <c r="O204" s="111" t="s">
        <v>28</v>
      </c>
      <c r="P204" s="112" t="s">
        <v>29</v>
      </c>
      <c r="R204" s="118" t="s">
        <v>30</v>
      </c>
      <c r="S204" s="11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</row>
    <row r="205" ht="3.75" customHeight="1">
      <c r="A205" s="191"/>
      <c r="B205" s="6"/>
      <c r="C205" s="192"/>
      <c r="D205" s="203"/>
      <c r="E205" s="203"/>
      <c r="F205" s="205"/>
      <c r="G205" s="205"/>
      <c r="H205" s="205"/>
      <c r="I205" s="225"/>
      <c r="J205" s="226"/>
      <c r="K205" s="209"/>
      <c r="L205" s="210"/>
      <c r="M205" s="211"/>
      <c r="N205" s="47"/>
      <c r="O205" s="47"/>
      <c r="P205" s="122"/>
      <c r="Q205" s="304" t="str">
        <f t="shared" ref="Q205:Q225" si="3">IF(OR(ISBLANK(I205), ISBLANK(I70)), "", IF(I205 - I70 = 0, "", I205 - I70))</f>
        <v/>
      </c>
      <c r="R205" s="212"/>
      <c r="S205" s="157"/>
      <c r="T205" s="5"/>
      <c r="U205" s="5"/>
      <c r="V205" s="158"/>
      <c r="W205" s="158"/>
      <c r="X205" s="158"/>
      <c r="Y205" s="158"/>
      <c r="Z205" s="158"/>
      <c r="AA205" s="158"/>
      <c r="AB205" s="158"/>
      <c r="AC205" s="158"/>
      <c r="AD205" s="158"/>
      <c r="AE205" s="158"/>
      <c r="AF205" s="158"/>
      <c r="AG205" s="158"/>
    </row>
    <row r="206" ht="15.75" customHeight="1">
      <c r="A206" s="124"/>
      <c r="B206" s="6"/>
      <c r="C206" s="124"/>
      <c r="D206" s="125" t="s">
        <v>6</v>
      </c>
      <c r="E206" s="126"/>
      <c r="F206" s="127">
        <v>3.0</v>
      </c>
      <c r="G206" s="128">
        <v>45816.0</v>
      </c>
      <c r="H206" s="129"/>
      <c r="I206" s="130"/>
      <c r="J206" s="151">
        <v>5.0</v>
      </c>
      <c r="K206" s="219"/>
      <c r="L206" s="133"/>
      <c r="M206" s="134" t="str">
        <f>I71</f>
        <v/>
      </c>
      <c r="N206" s="135" t="str">
        <f>iferror(mround($P71*((VLOOKUP($J206,Sheet1!$D:$N,$G206+1,FALSE)-0.03)),2.5)," ")</f>
        <v> </v>
      </c>
      <c r="O206" s="135" t="str">
        <f>iferror(mround($P71*((VLOOKUP($J206,Sheet1!$D:$N,$G206+1,FALSE)+0.02)),2.5)," ")</f>
        <v> </v>
      </c>
      <c r="P206" s="112" t="str">
        <f>iferror(mround(I206/VLOOKUP(L206,Sheet1!$D$7:$N$16,G206+1,FALSE),2.5),"")</f>
        <v/>
      </c>
      <c r="Q206" s="303" t="str">
        <f t="shared" si="3"/>
        <v/>
      </c>
      <c r="R206" s="214"/>
      <c r="S206" s="11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</row>
    <row r="207" ht="3.75" customHeight="1">
      <c r="A207" s="124"/>
      <c r="B207" s="6"/>
      <c r="C207" s="124"/>
      <c r="D207" s="138"/>
      <c r="E207" s="139"/>
      <c r="F207" s="140"/>
      <c r="G207" s="140"/>
      <c r="H207" s="140"/>
      <c r="I207" s="140"/>
      <c r="J207" s="141"/>
      <c r="K207" s="217"/>
      <c r="L207" s="218"/>
      <c r="M207" s="144"/>
      <c r="N207" s="145"/>
      <c r="O207" s="145"/>
      <c r="P207" s="122"/>
      <c r="Q207" s="304" t="str">
        <f t="shared" si="3"/>
        <v/>
      </c>
      <c r="R207" s="214"/>
      <c r="S207" s="11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</row>
    <row r="208" ht="15.75" customHeight="1">
      <c r="A208" s="90"/>
      <c r="B208" s="6"/>
      <c r="C208" s="90"/>
      <c r="D208" s="125" t="s">
        <v>10</v>
      </c>
      <c r="E208" s="126"/>
      <c r="F208" s="127">
        <v>3.0</v>
      </c>
      <c r="G208" s="128">
        <v>45879.0</v>
      </c>
      <c r="H208" s="129"/>
      <c r="I208" s="130"/>
      <c r="J208" s="151">
        <v>5.0</v>
      </c>
      <c r="K208" s="213"/>
      <c r="L208" s="133"/>
      <c r="M208" s="134" t="str">
        <f>I73</f>
        <v/>
      </c>
      <c r="N208" s="135" t="str">
        <f>iferror(mround($P73*((VLOOKUP($J208,Sheet1!$D:$N,$G208+1,FALSE)-0.03)),2.5)," ")</f>
        <v> </v>
      </c>
      <c r="O208" s="135" t="str">
        <f>iferror(mround($P73*((VLOOKUP($J208,Sheet1!$D:$N,$G208+1,FALSE)+0.02)),2.5)," ")</f>
        <v> </v>
      </c>
      <c r="P208" s="112" t="str">
        <f>iferror(mround(I208/VLOOKUP(L208,Sheet1!$D$7:$N$16,G208+1,FALSE),2.5),"")</f>
        <v/>
      </c>
      <c r="Q208" s="303" t="str">
        <f t="shared" si="3"/>
        <v/>
      </c>
      <c r="R208" s="214"/>
      <c r="S208" s="11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</row>
    <row r="209" ht="3.75" customHeight="1">
      <c r="A209" s="90"/>
      <c r="B209" s="6"/>
      <c r="C209" s="90"/>
      <c r="D209" s="138"/>
      <c r="E209" s="215"/>
      <c r="F209" s="102"/>
      <c r="G209" s="102"/>
      <c r="H209" s="102"/>
      <c r="I209" s="102"/>
      <c r="J209" s="156"/>
      <c r="K209" s="217"/>
      <c r="L209" s="218"/>
      <c r="M209" s="144"/>
      <c r="N209" s="145"/>
      <c r="O209" s="145"/>
      <c r="P209" s="122"/>
      <c r="Q209" s="304" t="str">
        <f t="shared" si="3"/>
        <v/>
      </c>
      <c r="R209" s="214"/>
      <c r="S209" s="11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</row>
    <row r="210" ht="15.75" hidden="1" customHeight="1">
      <c r="A210" s="90"/>
      <c r="B210" s="6"/>
      <c r="C210" s="90"/>
      <c r="D210" s="159"/>
      <c r="E210" s="160"/>
      <c r="F210" s="127"/>
      <c r="G210" s="161"/>
      <c r="H210" s="129"/>
      <c r="I210" s="130"/>
      <c r="J210" s="151"/>
      <c r="K210" s="219"/>
      <c r="L210" s="133"/>
      <c r="M210" s="134" t="str">
        <f>I75</f>
        <v/>
      </c>
      <c r="N210" s="135" t="str">
        <f>iferror(mround($P75*((VLOOKUP($J210,Sheet1!$D:$N,$G210+1,FALSE)-0.03)),2.5)," ")</f>
        <v> </v>
      </c>
      <c r="O210" s="135" t="str">
        <f>iferror(mround($P75*((VLOOKUP($J210,Sheet1!$D:$N,$G210+1,FALSE)+0.02)),2.5)," ")</f>
        <v> </v>
      </c>
      <c r="P210" s="112" t="str">
        <f>iferror(mround(I210/VLOOKUP(L210,Sheet1!$D$7:$N$16,G210+1,FALSE),2.5),"")</f>
        <v/>
      </c>
      <c r="Q210" s="303" t="str">
        <f t="shared" si="3"/>
        <v/>
      </c>
      <c r="R210" s="214"/>
      <c r="S210" s="11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</row>
    <row r="211" ht="3.75" hidden="1" customHeight="1">
      <c r="A211" s="90"/>
      <c r="B211" s="6"/>
      <c r="C211" s="90"/>
      <c r="D211" s="138"/>
      <c r="E211" s="154"/>
      <c r="F211" s="155"/>
      <c r="G211" s="102"/>
      <c r="H211" s="102"/>
      <c r="I211" s="102"/>
      <c r="J211" s="156"/>
      <c r="K211" s="217"/>
      <c r="L211" s="218"/>
      <c r="M211" s="144"/>
      <c r="N211" s="145"/>
      <c r="O211" s="145"/>
      <c r="P211" s="122"/>
      <c r="Q211" s="304" t="str">
        <f t="shared" si="3"/>
        <v/>
      </c>
      <c r="R211" s="214"/>
      <c r="S211" s="11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</row>
    <row r="212" ht="15.75" customHeight="1">
      <c r="A212" s="90"/>
      <c r="B212" s="6"/>
      <c r="C212" s="90"/>
      <c r="D212" s="159" t="s">
        <v>51</v>
      </c>
      <c r="E212" s="167" t="s">
        <v>52</v>
      </c>
      <c r="F212" s="127">
        <v>4.0</v>
      </c>
      <c r="G212" s="127">
        <v>3.0</v>
      </c>
      <c r="H212" s="195"/>
      <c r="I212" s="130"/>
      <c r="J212" s="151">
        <v>7.0</v>
      </c>
      <c r="K212" s="213"/>
      <c r="L212" s="183"/>
      <c r="M212" s="134" t="str">
        <f>I77</f>
        <v/>
      </c>
      <c r="N212" s="135">
        <f>iferror(mround($P77*((VLOOKUP($J212,Sheet1!$D:$N,$G212+1,FALSE)-0.03)),2.5)," ")</f>
        <v>0</v>
      </c>
      <c r="O212" s="135">
        <f>iferror(mround($P77*((VLOOKUP($J212,Sheet1!$D:$N,$G212+1,FALSE)+0.02)),2.5)," ")</f>
        <v>0</v>
      </c>
      <c r="P212" s="112" t="str">
        <f>iferror(mround(I212/VLOOKUP(L212,Sheet1!$D$7:$N$16,G212+1,FALSE),2.5),"")</f>
        <v/>
      </c>
      <c r="Q212" s="303" t="str">
        <f t="shared" si="3"/>
        <v/>
      </c>
      <c r="R212" s="214"/>
      <c r="S212" s="11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</row>
    <row r="213" ht="3.75" customHeight="1">
      <c r="A213" s="90"/>
      <c r="B213" s="6"/>
      <c r="C213" s="90"/>
      <c r="D213" s="138"/>
      <c r="E213" s="215"/>
      <c r="F213" s="102"/>
      <c r="G213" s="102"/>
      <c r="H213" s="102"/>
      <c r="I213" s="102"/>
      <c r="J213" s="156"/>
      <c r="K213" s="217"/>
      <c r="L213" s="218"/>
      <c r="M213" s="144"/>
      <c r="N213" s="145"/>
      <c r="O213" s="145"/>
      <c r="P213" s="122"/>
      <c r="Q213" s="304" t="str">
        <f t="shared" si="3"/>
        <v/>
      </c>
      <c r="R213" s="214"/>
      <c r="S213" s="11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</row>
    <row r="214" ht="15.75" customHeight="1">
      <c r="A214" s="90"/>
      <c r="B214" s="6"/>
      <c r="C214" s="90"/>
      <c r="D214" s="159" t="s">
        <v>53</v>
      </c>
      <c r="E214" s="220"/>
      <c r="F214" s="127">
        <v>3.0</v>
      </c>
      <c r="G214" s="127" t="s">
        <v>16</v>
      </c>
      <c r="H214" s="195"/>
      <c r="I214" s="130"/>
      <c r="J214" s="151">
        <v>7.0</v>
      </c>
      <c r="K214" s="213"/>
      <c r="L214" s="133"/>
      <c r="M214" s="134" t="str">
        <f>I79</f>
        <v/>
      </c>
      <c r="N214" s="135" t="str">
        <f>iferror(mround($P79*((VLOOKUP($J214,Sheet1!$D:$N,$G214+1,FALSE)-0.03)),2.5)," ")</f>
        <v> </v>
      </c>
      <c r="O214" s="135" t="str">
        <f>iferror(mround($P79*((VLOOKUP($J214,Sheet1!$D:$N,$G214+1,FALSE)+0.02)),2.5)," ")</f>
        <v> </v>
      </c>
      <c r="P214" s="112" t="str">
        <f>iferror(mround(I214/VLOOKUP(L214,Sheet1!$D$7:$N$16,G214+1,FALSE),2.5),"")</f>
        <v/>
      </c>
      <c r="Q214" s="303" t="str">
        <f t="shared" si="3"/>
        <v/>
      </c>
      <c r="R214" s="214"/>
      <c r="S214" s="11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</row>
    <row r="215" ht="3.75" customHeight="1">
      <c r="A215" s="90"/>
      <c r="B215" s="6"/>
      <c r="C215" s="90"/>
      <c r="D215" s="138"/>
      <c r="E215" s="215"/>
      <c r="F215" s="102"/>
      <c r="G215" s="102"/>
      <c r="H215" s="102"/>
      <c r="I215" s="102"/>
      <c r="J215" s="156"/>
      <c r="K215" s="222"/>
      <c r="L215" s="218"/>
      <c r="M215" s="144"/>
      <c r="N215" s="145"/>
      <c r="O215" s="145"/>
      <c r="P215" s="122"/>
      <c r="Q215" s="304" t="str">
        <f t="shared" si="3"/>
        <v/>
      </c>
      <c r="R215" s="214"/>
      <c r="S215" s="11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</row>
    <row r="216" ht="15.75" customHeight="1">
      <c r="A216" s="90"/>
      <c r="B216" s="6"/>
      <c r="C216" s="90"/>
      <c r="D216" s="159" t="s">
        <v>54</v>
      </c>
      <c r="E216" s="227"/>
      <c r="F216" s="127">
        <v>3.0</v>
      </c>
      <c r="G216" s="221">
        <v>45577.0</v>
      </c>
      <c r="H216" s="195"/>
      <c r="I216" s="130"/>
      <c r="J216" s="228">
        <v>8.0</v>
      </c>
      <c r="K216" s="190"/>
      <c r="L216" s="183"/>
      <c r="M216" s="134" t="str">
        <f>I81</f>
        <v/>
      </c>
      <c r="N216" s="135" t="str">
        <f>iferror(mround($P81*((VLOOKUP($J216,Sheet1!$D:$N,$G216+1,FALSE)-0.03)),2.5)," ")</f>
        <v> </v>
      </c>
      <c r="O216" s="135" t="str">
        <f>iferror(mround($P81*((VLOOKUP($J216,Sheet1!$D:$N,$G216+1,FALSE)+0.02)),2.5)," ")</f>
        <v> </v>
      </c>
      <c r="P216" s="112" t="str">
        <f>iferror(mround(I216/VLOOKUP(L216,Sheet1!$D$7:$N$16,G216+1,FALSE),2.5),"")</f>
        <v/>
      </c>
      <c r="Q216" s="303" t="str">
        <f t="shared" si="3"/>
        <v/>
      </c>
      <c r="R216" s="214"/>
      <c r="S216" s="11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</row>
    <row r="217" ht="3.75" customHeight="1">
      <c r="A217" s="90"/>
      <c r="B217" s="6"/>
      <c r="C217" s="90"/>
      <c r="D217" s="138"/>
      <c r="E217" s="215"/>
      <c r="F217" s="102"/>
      <c r="G217" s="102"/>
      <c r="H217" s="102"/>
      <c r="I217" s="102"/>
      <c r="J217" s="216"/>
      <c r="K217" s="222"/>
      <c r="L217" s="218"/>
      <c r="M217" s="144"/>
      <c r="N217" s="145"/>
      <c r="O217" s="145"/>
      <c r="P217" s="122"/>
      <c r="Q217" s="304" t="str">
        <f t="shared" si="3"/>
        <v/>
      </c>
      <c r="R217" s="214"/>
      <c r="S217" s="11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</row>
    <row r="218" ht="15.75" hidden="1" customHeight="1">
      <c r="A218" s="90"/>
      <c r="B218" s="6"/>
      <c r="C218" s="90"/>
      <c r="D218" s="185"/>
      <c r="E218" s="220"/>
      <c r="F218" s="187"/>
      <c r="G218" s="229"/>
      <c r="H218" s="195"/>
      <c r="I218" s="164"/>
      <c r="J218" s="189"/>
      <c r="K218" s="190"/>
      <c r="L218" s="183"/>
      <c r="M218" s="134" t="str">
        <f>I83</f>
        <v/>
      </c>
      <c r="N218" s="135" t="str">
        <f>iferror(mround($P83*((VLOOKUP($J218,Sheet1!$D:$N,$G218+1,FALSE)-0.03)),2.5)," ")</f>
        <v> </v>
      </c>
      <c r="O218" s="135" t="str">
        <f>iferror(mround($P83*((VLOOKUP($J218,Sheet1!$D:$N,$G218+1,FALSE)+0.02)),2.5)," ")</f>
        <v> </v>
      </c>
      <c r="P218" s="112" t="str">
        <f>iferror(mround(I218/VLOOKUP(L218,Sheet1!$D$7:$N$16,G218+1,FALSE),2.5),"")</f>
        <v/>
      </c>
      <c r="Q218" s="303" t="str">
        <f t="shared" si="3"/>
        <v/>
      </c>
      <c r="R218" s="214"/>
      <c r="S218" s="11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</row>
    <row r="219" ht="3.75" hidden="1" customHeight="1">
      <c r="A219" s="191"/>
      <c r="B219" s="6"/>
      <c r="C219" s="192"/>
      <c r="D219" s="138"/>
      <c r="E219" s="184"/>
      <c r="F219" s="102"/>
      <c r="G219" s="102"/>
      <c r="H219" s="102"/>
      <c r="I219" s="102"/>
      <c r="J219" s="156"/>
      <c r="K219" s="222"/>
      <c r="L219" s="218"/>
      <c r="M219" s="144"/>
      <c r="N219" s="145"/>
      <c r="O219" s="145"/>
      <c r="P219" s="122"/>
      <c r="Q219" s="304" t="str">
        <f t="shared" si="3"/>
        <v/>
      </c>
      <c r="R219" s="214"/>
      <c r="S219" s="157"/>
      <c r="T219" s="5"/>
      <c r="U219" s="5"/>
      <c r="V219" s="158"/>
      <c r="W219" s="158"/>
      <c r="X219" s="158"/>
      <c r="Y219" s="158"/>
      <c r="Z219" s="158"/>
      <c r="AA219" s="158"/>
      <c r="AB219" s="158"/>
      <c r="AC219" s="158"/>
      <c r="AD219" s="158"/>
      <c r="AE219" s="158"/>
      <c r="AF219" s="158"/>
      <c r="AG219" s="158"/>
    </row>
    <row r="220" ht="15.75" hidden="1" customHeight="1">
      <c r="A220" s="90"/>
      <c r="B220" s="6"/>
      <c r="C220" s="90"/>
      <c r="D220" s="185"/>
      <c r="E220" s="224"/>
      <c r="F220" s="187"/>
      <c r="G220" s="187"/>
      <c r="H220" s="195"/>
      <c r="I220" s="164"/>
      <c r="J220" s="230"/>
      <c r="K220" s="190"/>
      <c r="L220" s="183"/>
      <c r="M220" s="134" t="str">
        <f>I85</f>
        <v/>
      </c>
      <c r="N220" s="135" t="str">
        <f>iferror(mround($P85*((VLOOKUP($J220,Sheet1!$D:$N,$G220+1,FALSE)-0.03)),2.5)," ")</f>
        <v> </v>
      </c>
      <c r="O220" s="135" t="str">
        <f>iferror(mround($P85*((VLOOKUP($J220,Sheet1!$D:$N,$G220+1,FALSE)+0.02)),2.5)," ")</f>
        <v> </v>
      </c>
      <c r="P220" s="112" t="str">
        <f>iferror(mround(I220/VLOOKUP(L220,Sheet1!$D$7:$N$16,G220+1,FALSE),2.5),"")</f>
        <v/>
      </c>
      <c r="Q220" s="303" t="str">
        <f t="shared" si="3"/>
        <v/>
      </c>
      <c r="R220" s="214"/>
      <c r="S220" s="11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</row>
    <row r="221" ht="3.75" hidden="1" customHeight="1">
      <c r="A221" s="90"/>
      <c r="B221" s="6"/>
      <c r="C221" s="90"/>
      <c r="D221" s="138"/>
      <c r="E221" s="184"/>
      <c r="F221" s="102"/>
      <c r="G221" s="102"/>
      <c r="H221" s="102"/>
      <c r="I221" s="102"/>
      <c r="J221" s="156"/>
      <c r="K221" s="222"/>
      <c r="L221" s="218"/>
      <c r="M221" s="144"/>
      <c r="N221" s="145"/>
      <c r="O221" s="145"/>
      <c r="P221" s="122"/>
      <c r="Q221" s="304" t="str">
        <f t="shared" si="3"/>
        <v/>
      </c>
      <c r="R221" s="214"/>
      <c r="S221" s="11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</row>
    <row r="222" ht="15.75" hidden="1" customHeight="1">
      <c r="A222" s="90"/>
      <c r="B222" s="6"/>
      <c r="C222" s="90"/>
      <c r="D222" s="231"/>
      <c r="E222" s="232"/>
      <c r="F222" s="187"/>
      <c r="G222" s="187"/>
      <c r="H222" s="195"/>
      <c r="I222" s="164"/>
      <c r="J222" s="230"/>
      <c r="K222" s="190"/>
      <c r="L222" s="183"/>
      <c r="M222" s="134" t="str">
        <f>I87</f>
        <v/>
      </c>
      <c r="N222" s="135" t="str">
        <f>iferror(mround($P87*((VLOOKUP($J222,Sheet1!$D:$N,$G222+1,FALSE)-0.03)),2.5)," ")</f>
        <v> </v>
      </c>
      <c r="O222" s="135" t="str">
        <f>iferror(mround($P87*((VLOOKUP($J222,Sheet1!$D:$N,$G222+1,FALSE)+0.02)),2.5)," ")</f>
        <v> </v>
      </c>
      <c r="P222" s="112" t="str">
        <f>iferror(mround(I222/VLOOKUP(L222,Sheet1!$D$7:$N$16,G222+1,FALSE),2.5),"")</f>
        <v/>
      </c>
      <c r="Q222" s="303" t="str">
        <f t="shared" si="3"/>
        <v/>
      </c>
      <c r="R222" s="214"/>
      <c r="S222" s="11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</row>
    <row r="223" ht="3.75" hidden="1" customHeight="1">
      <c r="A223" s="191"/>
      <c r="B223" s="6"/>
      <c r="C223" s="233"/>
      <c r="D223" s="234"/>
      <c r="E223" s="235"/>
      <c r="F223" s="236"/>
      <c r="G223" s="194"/>
      <c r="H223" s="155"/>
      <c r="I223" s="210"/>
      <c r="J223" s="216"/>
      <c r="K223" s="222"/>
      <c r="L223" s="218"/>
      <c r="M223" s="144"/>
      <c r="N223" s="145"/>
      <c r="O223" s="145"/>
      <c r="P223" s="122"/>
      <c r="Q223" s="304" t="str">
        <f t="shared" si="3"/>
        <v/>
      </c>
      <c r="R223" s="214"/>
      <c r="S223" s="157"/>
      <c r="T223" s="5"/>
      <c r="U223" s="5"/>
      <c r="V223" s="158"/>
      <c r="W223" s="158"/>
      <c r="X223" s="158"/>
      <c r="Y223" s="158"/>
      <c r="Z223" s="158"/>
      <c r="AA223" s="158"/>
      <c r="AB223" s="158"/>
      <c r="AC223" s="158"/>
      <c r="AD223" s="158"/>
      <c r="AE223" s="158"/>
      <c r="AF223" s="158"/>
      <c r="AG223" s="158"/>
    </row>
    <row r="224" ht="15.75" hidden="1" customHeight="1">
      <c r="A224" s="90"/>
      <c r="B224" s="6"/>
      <c r="C224" s="90"/>
      <c r="D224" s="197"/>
      <c r="E224" s="198"/>
      <c r="F224" s="199"/>
      <c r="G224" s="187"/>
      <c r="H224" s="195"/>
      <c r="I224" s="164"/>
      <c r="J224" s="189"/>
      <c r="K224" s="190"/>
      <c r="L224" s="183"/>
      <c r="M224" s="134" t="str">
        <f>I89</f>
        <v/>
      </c>
      <c r="N224" s="135" t="str">
        <f>iferror(mround($P89*((VLOOKUP($J224,Sheet1!$D:$N,$G224+1,FALSE)-0.03)),2.5)," ")</f>
        <v> </v>
      </c>
      <c r="O224" s="135" t="str">
        <f>iferror(mround($P89*((VLOOKUP($J224,Sheet1!$D:$N,$G224+1,FALSE)+0.02)),2.5)," ")</f>
        <v> </v>
      </c>
      <c r="P224" s="112" t="str">
        <f>iferror(mround(I224/VLOOKUP(L224,Sheet1!$D$7:$N$16,G224+1,FALSE),2.5),"")</f>
        <v/>
      </c>
      <c r="Q224" s="303" t="str">
        <f t="shared" si="3"/>
        <v/>
      </c>
      <c r="R224" s="214"/>
      <c r="S224" s="11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</row>
    <row r="225" ht="3.75" hidden="1" customHeight="1">
      <c r="A225" s="90"/>
      <c r="B225" s="6"/>
      <c r="C225" s="90"/>
      <c r="D225" s="90"/>
      <c r="E225" s="156"/>
      <c r="F225" s="102"/>
      <c r="G225" s="102"/>
      <c r="H225" s="102"/>
      <c r="I225" s="102"/>
      <c r="J225" s="156"/>
      <c r="K225" s="200"/>
      <c r="L225" s="201"/>
      <c r="M225" s="211"/>
      <c r="N225" s="47"/>
      <c r="O225" s="47"/>
      <c r="P225" s="122"/>
      <c r="Q225" s="304" t="str">
        <f t="shared" si="3"/>
        <v/>
      </c>
      <c r="R225" s="214"/>
      <c r="S225" s="11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</row>
    <row r="226" ht="30.0" hidden="1" customHeight="1">
      <c r="A226" s="90"/>
      <c r="B226" s="6"/>
      <c r="C226" s="90"/>
      <c r="D226" s="202" t="s">
        <v>55</v>
      </c>
      <c r="E226" s="105" t="s">
        <v>15</v>
      </c>
      <c r="F226" s="106" t="s">
        <v>16</v>
      </c>
      <c r="G226" s="106" t="s">
        <v>17</v>
      </c>
      <c r="H226" s="107"/>
      <c r="I226" s="106" t="s">
        <v>18</v>
      </c>
      <c r="J226" s="108" t="s">
        <v>19</v>
      </c>
      <c r="L226" s="109" t="s">
        <v>20</v>
      </c>
      <c r="M226" s="110" t="s">
        <v>21</v>
      </c>
      <c r="N226" s="111" t="s">
        <v>22</v>
      </c>
      <c r="P226" s="112"/>
      <c r="Q226" s="113" t="s">
        <v>23</v>
      </c>
      <c r="R226" s="114" t="s">
        <v>56</v>
      </c>
      <c r="S226" s="11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</row>
    <row r="227" ht="14.25" hidden="1" customHeight="1">
      <c r="A227" s="90"/>
      <c r="B227" s="6"/>
      <c r="C227" s="90"/>
      <c r="D227" s="116" t="s">
        <v>25</v>
      </c>
      <c r="E227" s="117" t="s">
        <v>26</v>
      </c>
      <c r="H227" s="107"/>
      <c r="N227" s="111" t="s">
        <v>27</v>
      </c>
      <c r="O227" s="111" t="s">
        <v>28</v>
      </c>
      <c r="P227" s="112" t="s">
        <v>29</v>
      </c>
      <c r="R227" s="118" t="s">
        <v>30</v>
      </c>
      <c r="S227" s="11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</row>
    <row r="228" ht="3.75" hidden="1" customHeight="1">
      <c r="A228" s="191"/>
      <c r="B228" s="6"/>
      <c r="C228" s="192"/>
      <c r="D228" s="203"/>
      <c r="E228" s="204"/>
      <c r="F228" s="205"/>
      <c r="G228" s="205"/>
      <c r="H228" s="205"/>
      <c r="I228" s="225"/>
      <c r="J228" s="237"/>
      <c r="K228" s="209"/>
      <c r="L228" s="238"/>
      <c r="M228" s="211"/>
      <c r="N228" s="47"/>
      <c r="O228" s="47"/>
      <c r="P228" s="122"/>
      <c r="Q228" s="304" t="str">
        <f t="shared" ref="Q228:Q248" si="4">IF(OR(ISBLANK(I228), ISBLANK(I93)), "", IF(I228 - I93 = 0, "", I228 - I93))</f>
        <v/>
      </c>
      <c r="R228" s="239"/>
      <c r="S228" s="157"/>
      <c r="T228" s="5"/>
      <c r="U228" s="5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</row>
    <row r="229" ht="15.75" hidden="1" customHeight="1">
      <c r="A229" s="124"/>
      <c r="B229" s="6"/>
      <c r="C229" s="124"/>
      <c r="D229" s="125"/>
      <c r="E229" s="126"/>
      <c r="F229" s="127"/>
      <c r="G229" s="240"/>
      <c r="H229" s="129"/>
      <c r="I229" s="130"/>
      <c r="J229" s="151"/>
      <c r="K229" s="241"/>
      <c r="L229" s="130"/>
      <c r="M229" s="134" t="str">
        <f>I94</f>
        <v/>
      </c>
      <c r="N229" s="135" t="str">
        <f>iferror(mround($P94*((VLOOKUP($J229,Sheet1!$D:$N,$G229+1,FALSE)-0.03)),2.5)," ")</f>
        <v> </v>
      </c>
      <c r="O229" s="135" t="str">
        <f>iferror(mround($P94*((VLOOKUP($J229,Sheet1!$D:$N,$G229+1,FALSE)+0.02)),2.5)," ")</f>
        <v> </v>
      </c>
      <c r="P229" s="112" t="str">
        <f>iferror(mround(I229/VLOOKUP(L229,Sheet1!$D$7:$N$16,G229+1,FALSE),2.5),"")</f>
        <v/>
      </c>
      <c r="Q229" s="303" t="str">
        <f t="shared" si="4"/>
        <v/>
      </c>
      <c r="R229" s="242"/>
      <c r="S229" s="11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</row>
    <row r="230" ht="3.75" hidden="1" customHeight="1">
      <c r="A230" s="124"/>
      <c r="B230" s="6"/>
      <c r="C230" s="124"/>
      <c r="D230" s="138"/>
      <c r="E230" s="139"/>
      <c r="F230" s="140"/>
      <c r="G230" s="140"/>
      <c r="H230" s="140"/>
      <c r="I230" s="140"/>
      <c r="J230" s="141"/>
      <c r="K230" s="243"/>
      <c r="L230" s="210"/>
      <c r="M230" s="144"/>
      <c r="N230" s="145"/>
      <c r="O230" s="145"/>
      <c r="P230" s="122"/>
      <c r="Q230" s="304" t="str">
        <f t="shared" si="4"/>
        <v/>
      </c>
      <c r="R230" s="242"/>
      <c r="S230" s="11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</row>
    <row r="231" ht="15.0" hidden="1" customHeight="1">
      <c r="A231" s="124"/>
      <c r="B231" s="6"/>
      <c r="C231" s="124"/>
      <c r="D231" s="125"/>
      <c r="E231" s="126"/>
      <c r="F231" s="127"/>
      <c r="G231" s="240"/>
      <c r="H231" s="129"/>
      <c r="I231" s="164"/>
      <c r="J231" s="165"/>
      <c r="K231" s="241"/>
      <c r="L231" s="130"/>
      <c r="M231" s="134" t="str">
        <f>I96</f>
        <v/>
      </c>
      <c r="N231" s="135" t="str">
        <f>iferror(mround($P96*((VLOOKUP($J231,Sheet1!$D:$N,$G231+1,FALSE)-0.03)),2.5)," ")</f>
        <v> </v>
      </c>
      <c r="O231" s="135" t="str">
        <f>iferror(mround($P96*((VLOOKUP($J231,Sheet1!$D:$N,$G231+1,FALSE)+0.02)),2.5)," ")</f>
        <v> </v>
      </c>
      <c r="P231" s="112" t="str">
        <f>iferror(mround(I231/VLOOKUP(L231,Sheet1!$D$7:$N$16,G231+1,FALSE),2.5),"")</f>
        <v/>
      </c>
      <c r="Q231" s="303" t="str">
        <f t="shared" si="4"/>
        <v/>
      </c>
      <c r="R231" s="242"/>
      <c r="S231" s="11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</row>
    <row r="232" ht="3.75" hidden="1" customHeight="1">
      <c r="A232" s="124"/>
      <c r="B232" s="6"/>
      <c r="C232" s="124"/>
      <c r="D232" s="138"/>
      <c r="E232" s="215"/>
      <c r="F232" s="102"/>
      <c r="G232" s="102"/>
      <c r="H232" s="102"/>
      <c r="I232" s="102"/>
      <c r="J232" s="156"/>
      <c r="K232" s="243"/>
      <c r="L232" s="210"/>
      <c r="M232" s="144"/>
      <c r="N232" s="145"/>
      <c r="O232" s="145"/>
      <c r="P232" s="122"/>
      <c r="Q232" s="304" t="str">
        <f t="shared" si="4"/>
        <v/>
      </c>
      <c r="R232" s="242"/>
      <c r="S232" s="11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</row>
    <row r="233" ht="15.75" hidden="1" customHeight="1">
      <c r="A233" s="124"/>
      <c r="B233" s="6"/>
      <c r="C233" s="124"/>
      <c r="D233" s="159"/>
      <c r="E233" s="126"/>
      <c r="F233" s="127"/>
      <c r="G233" s="161"/>
      <c r="H233" s="129"/>
      <c r="I233" s="130"/>
      <c r="J233" s="151"/>
      <c r="K233" s="244"/>
      <c r="L233" s="130"/>
      <c r="M233" s="134" t="str">
        <f>I98</f>
        <v/>
      </c>
      <c r="N233" s="135" t="str">
        <f>iferror(mround($P98*((VLOOKUP($J233,Sheet1!$D:$N,$G233+1,FALSE)-0.03)),2.5)," ")</f>
        <v> </v>
      </c>
      <c r="O233" s="135" t="str">
        <f>iferror(mround($P98*((VLOOKUP($J233,Sheet1!$D:$N,$G233+1,FALSE)+0.02)),2.5)," ")</f>
        <v> </v>
      </c>
      <c r="P233" s="112" t="str">
        <f>iferror(mround(I233/VLOOKUP(L233,Sheet1!$D$7:$N$16,G233+1,FALSE),2.5),"")</f>
        <v/>
      </c>
      <c r="Q233" s="303" t="str">
        <f t="shared" si="4"/>
        <v/>
      </c>
      <c r="R233" s="242"/>
      <c r="S233" s="11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</row>
    <row r="234" ht="3.75" hidden="1" customHeight="1">
      <c r="A234" s="124"/>
      <c r="B234" s="6"/>
      <c r="C234" s="124"/>
      <c r="D234" s="138"/>
      <c r="E234" s="154"/>
      <c r="F234" s="155"/>
      <c r="G234" s="102"/>
      <c r="H234" s="102"/>
      <c r="I234" s="102"/>
      <c r="J234" s="156"/>
      <c r="K234" s="243"/>
      <c r="L234" s="210"/>
      <c r="M234" s="144"/>
      <c r="N234" s="145"/>
      <c r="O234" s="145"/>
      <c r="P234" s="122"/>
      <c r="Q234" s="304" t="str">
        <f t="shared" si="4"/>
        <v/>
      </c>
      <c r="R234" s="242"/>
      <c r="S234" s="11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</row>
    <row r="235" ht="15.75" hidden="1" customHeight="1">
      <c r="A235" s="124"/>
      <c r="B235" s="6"/>
      <c r="C235" s="124"/>
      <c r="D235" s="159"/>
      <c r="E235" s="126"/>
      <c r="F235" s="127"/>
      <c r="G235" s="161"/>
      <c r="H235" s="129"/>
      <c r="I235" s="130"/>
      <c r="J235" s="151"/>
      <c r="K235" s="241"/>
      <c r="L235" s="130"/>
      <c r="M235" s="134" t="str">
        <f>I100</f>
        <v/>
      </c>
      <c r="N235" s="135" t="str">
        <f>iferror(mround($P100*((VLOOKUP($J235,Sheet1!$D:$N,$G235+1,FALSE)-0.03)),2.5)," ")</f>
        <v> </v>
      </c>
      <c r="O235" s="135" t="str">
        <f>iferror(mround($P100*((VLOOKUP($J235,Sheet1!$D:$N,$G235+1,FALSE)+0.02)),2.5)," ")</f>
        <v> </v>
      </c>
      <c r="P235" s="112" t="str">
        <f>iferror(mround(I235/VLOOKUP(L235,Sheet1!$D$7:$N$16,G235+1,FALSE),2.5),"")</f>
        <v/>
      </c>
      <c r="Q235" s="303" t="str">
        <f t="shared" si="4"/>
        <v/>
      </c>
      <c r="R235" s="242"/>
      <c r="S235" s="11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</row>
    <row r="236" ht="3.75" hidden="1" customHeight="1">
      <c r="A236" s="90"/>
      <c r="B236" s="6"/>
      <c r="C236" s="90"/>
      <c r="D236" s="138"/>
      <c r="E236" s="245"/>
      <c r="F236" s="102"/>
      <c r="G236" s="102"/>
      <c r="H236" s="102"/>
      <c r="I236" s="102"/>
      <c r="J236" s="156"/>
      <c r="K236" s="243"/>
      <c r="L236" s="210"/>
      <c r="M236" s="144"/>
      <c r="N236" s="145"/>
      <c r="O236" s="145"/>
      <c r="P236" s="122"/>
      <c r="Q236" s="304" t="str">
        <f t="shared" si="4"/>
        <v/>
      </c>
      <c r="R236" s="242"/>
      <c r="S236" s="11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</row>
    <row r="237" ht="15.75" hidden="1" customHeight="1">
      <c r="A237" s="90"/>
      <c r="B237" s="6"/>
      <c r="C237" s="90"/>
      <c r="D237" s="159"/>
      <c r="E237" s="227"/>
      <c r="F237" s="127"/>
      <c r="G237" s="221"/>
      <c r="H237" s="195"/>
      <c r="I237" s="130"/>
      <c r="J237" s="228"/>
      <c r="K237" s="241"/>
      <c r="L237" s="130"/>
      <c r="M237" s="134" t="str">
        <f>I102</f>
        <v/>
      </c>
      <c r="N237" s="135" t="str">
        <f>iferror(mround($P102*((VLOOKUP($J237,Sheet1!$D:$N,$G237+1,FALSE)-0.03)),2.5)," ")</f>
        <v> </v>
      </c>
      <c r="O237" s="135" t="str">
        <f>iferror(mround($P102*((VLOOKUP($J237,Sheet1!$D:$N,$G237+1,FALSE)+0.02)),2.5)," ")</f>
        <v> </v>
      </c>
      <c r="P237" s="112" t="str">
        <f>iferror(mround(I237/VLOOKUP(L237,Sheet1!$D$7:$N$16,G237+1,FALSE),2.5),"")</f>
        <v/>
      </c>
      <c r="Q237" s="303" t="str">
        <f t="shared" si="4"/>
        <v/>
      </c>
      <c r="R237" s="242"/>
      <c r="S237" s="11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</row>
    <row r="238" ht="3.75" hidden="1" customHeight="1">
      <c r="A238" s="191"/>
      <c r="B238" s="6"/>
      <c r="C238" s="192"/>
      <c r="D238" s="138"/>
      <c r="E238" s="245"/>
      <c r="F238" s="102"/>
      <c r="G238" s="102"/>
      <c r="H238" s="102"/>
      <c r="I238" s="102"/>
      <c r="J238" s="156"/>
      <c r="K238" s="243"/>
      <c r="L238" s="210"/>
      <c r="M238" s="144"/>
      <c r="N238" s="145"/>
      <c r="O238" s="145"/>
      <c r="P238" s="122"/>
      <c r="Q238" s="304" t="str">
        <f t="shared" si="4"/>
        <v/>
      </c>
      <c r="R238" s="242"/>
      <c r="S238" s="157"/>
      <c r="T238" s="5"/>
      <c r="U238" s="5"/>
      <c r="V238" s="158"/>
      <c r="W238" s="158"/>
      <c r="X238" s="158"/>
      <c r="Y238" s="158"/>
      <c r="Z238" s="158"/>
      <c r="AA238" s="158"/>
      <c r="AB238" s="158"/>
      <c r="AC238" s="158"/>
      <c r="AD238" s="158"/>
      <c r="AE238" s="158"/>
      <c r="AF238" s="158"/>
      <c r="AG238" s="158"/>
    </row>
    <row r="239" ht="15.75" hidden="1" customHeight="1">
      <c r="A239" s="90"/>
      <c r="B239" s="6"/>
      <c r="C239" s="90"/>
      <c r="D239" s="159"/>
      <c r="E239" s="246"/>
      <c r="F239" s="127"/>
      <c r="G239" s="221"/>
      <c r="H239" s="195"/>
      <c r="I239" s="130"/>
      <c r="J239" s="228"/>
      <c r="K239" s="241"/>
      <c r="L239" s="130"/>
      <c r="M239" s="134" t="str">
        <f>I104</f>
        <v/>
      </c>
      <c r="N239" s="135" t="str">
        <f>iferror(mround($P104*((VLOOKUP($J239,Sheet1!$D:$N,$G239+1,FALSE)-0.03)),2.5)," ")</f>
        <v> </v>
      </c>
      <c r="O239" s="135" t="str">
        <f>iferror(mround($P104*((VLOOKUP($J239,Sheet1!$D:$N,$G239+1,FALSE)+0.02)),2.5)," ")</f>
        <v> </v>
      </c>
      <c r="P239" s="112" t="str">
        <f>iferror(mround(I239/VLOOKUP(L239,Sheet1!$D$7:$N$16,G239+1,FALSE),2.5),"")</f>
        <v/>
      </c>
      <c r="Q239" s="303" t="str">
        <f t="shared" si="4"/>
        <v/>
      </c>
      <c r="R239" s="242"/>
      <c r="S239" s="11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</row>
    <row r="240" ht="3.75" hidden="1" customHeight="1">
      <c r="A240" s="90"/>
      <c r="B240" s="6"/>
      <c r="C240" s="90"/>
      <c r="D240" s="138"/>
      <c r="E240" s="245"/>
      <c r="F240" s="102"/>
      <c r="G240" s="102"/>
      <c r="H240" s="102"/>
      <c r="I240" s="102"/>
      <c r="J240" s="156"/>
      <c r="K240" s="243"/>
      <c r="L240" s="210"/>
      <c r="M240" s="144"/>
      <c r="N240" s="145"/>
      <c r="O240" s="145"/>
      <c r="P240" s="122"/>
      <c r="Q240" s="304" t="str">
        <f t="shared" si="4"/>
        <v/>
      </c>
      <c r="R240" s="242"/>
      <c r="S240" s="11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</row>
    <row r="241" ht="15.75" hidden="1" customHeight="1">
      <c r="A241" s="90"/>
      <c r="B241" s="6"/>
      <c r="C241" s="90"/>
      <c r="D241" s="185"/>
      <c r="E241" s="227"/>
      <c r="F241" s="187"/>
      <c r="G241" s="229"/>
      <c r="H241" s="195"/>
      <c r="I241" s="247"/>
      <c r="J241" s="248"/>
      <c r="K241" s="241"/>
      <c r="L241" s="164"/>
      <c r="M241" s="134" t="str">
        <f>I106</f>
        <v/>
      </c>
      <c r="N241" s="135" t="str">
        <f>iferror(mround($P106*((VLOOKUP($J241,Sheet1!$D:$N,$G241+1,FALSE)-0.03)),2.5)," ")</f>
        <v> </v>
      </c>
      <c r="O241" s="135" t="str">
        <f>iferror(mround($P106*((VLOOKUP($J241,Sheet1!$D:$N,$G241+1,FALSE)+0.02)),2.5)," ")</f>
        <v> </v>
      </c>
      <c r="P241" s="112" t="str">
        <f>iferror(mround(I241/VLOOKUP(L241,Sheet1!$D$7:$N$16,G241+1,FALSE),2.5),"")</f>
        <v/>
      </c>
      <c r="Q241" s="303" t="str">
        <f t="shared" si="4"/>
        <v/>
      </c>
      <c r="R241" s="242"/>
      <c r="S241" s="11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</row>
    <row r="242" ht="3.75" hidden="1" customHeight="1">
      <c r="A242" s="90"/>
      <c r="B242" s="6"/>
      <c r="C242" s="90"/>
      <c r="D242" s="138"/>
      <c r="E242" s="215"/>
      <c r="F242" s="102"/>
      <c r="G242" s="102"/>
      <c r="H242" s="102"/>
      <c r="I242" s="102"/>
      <c r="J242" s="156"/>
      <c r="K242" s="243"/>
      <c r="L242" s="210"/>
      <c r="M242" s="144"/>
      <c r="N242" s="145"/>
      <c r="O242" s="145"/>
      <c r="P242" s="122"/>
      <c r="Q242" s="304" t="str">
        <f t="shared" si="4"/>
        <v/>
      </c>
      <c r="R242" s="242"/>
      <c r="S242" s="11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</row>
    <row r="243" ht="15.75" hidden="1" customHeight="1">
      <c r="A243" s="90"/>
      <c r="B243" s="6"/>
      <c r="C243" s="90"/>
      <c r="D243" s="185"/>
      <c r="E243" s="220"/>
      <c r="F243" s="187"/>
      <c r="G243" s="229"/>
      <c r="H243" s="195"/>
      <c r="I243" s="247"/>
      <c r="J243" s="248"/>
      <c r="K243" s="241"/>
      <c r="L243" s="164"/>
      <c r="M243" s="134" t="str">
        <f>I108</f>
        <v/>
      </c>
      <c r="N243" s="135" t="str">
        <f>iferror(mround($P108*((VLOOKUP($J243,Sheet1!$D:$N,$G243+1,FALSE)-0.03)),2.5)," ")</f>
        <v> </v>
      </c>
      <c r="O243" s="135" t="str">
        <f>iferror(mround($P108*((VLOOKUP($J243,Sheet1!$D:$N,$G243+1,FALSE)+0.02)),2.5)," ")</f>
        <v> </v>
      </c>
      <c r="P243" s="112" t="str">
        <f>iferror(mround(I243/VLOOKUP(L243,Sheet1!$D$7:$N$16,G243+1,FALSE),2.5),"")</f>
        <v/>
      </c>
      <c r="Q243" s="303" t="str">
        <f t="shared" si="4"/>
        <v/>
      </c>
      <c r="R243" s="242"/>
      <c r="S243" s="11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</row>
    <row r="244" ht="3.75" hidden="1" customHeight="1">
      <c r="A244" s="90"/>
      <c r="B244" s="6"/>
      <c r="C244" s="90"/>
      <c r="D244" s="196"/>
      <c r="E244" s="184"/>
      <c r="F244" s="102"/>
      <c r="G244" s="102"/>
      <c r="H244" s="102"/>
      <c r="I244" s="102"/>
      <c r="J244" s="156"/>
      <c r="K244" s="249"/>
      <c r="L244" s="210"/>
      <c r="M244" s="144"/>
      <c r="N244" s="145"/>
      <c r="O244" s="145"/>
      <c r="P244" s="122"/>
      <c r="Q244" s="304" t="str">
        <f t="shared" si="4"/>
        <v/>
      </c>
      <c r="R244" s="242"/>
      <c r="S244" s="11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</row>
    <row r="245" ht="15.75" hidden="1" customHeight="1">
      <c r="A245" s="90"/>
      <c r="B245" s="6"/>
      <c r="C245" s="90"/>
      <c r="D245" s="197"/>
      <c r="E245" s="250"/>
      <c r="F245" s="129"/>
      <c r="G245" s="199"/>
      <c r="H245" s="195"/>
      <c r="I245" s="247"/>
      <c r="J245" s="248"/>
      <c r="K245" s="251"/>
      <c r="L245" s="164"/>
      <c r="M245" s="134" t="str">
        <f>I110</f>
        <v/>
      </c>
      <c r="N245" s="135" t="str">
        <f>iferror(mround($P110*((VLOOKUP($J245,Sheet1!$D:$N,$G245+1,FALSE)-0.03)),2.5)," ")</f>
        <v> </v>
      </c>
      <c r="O245" s="135" t="str">
        <f>iferror(mround($P110*((VLOOKUP($J245,Sheet1!$D:$N,$G245+1,FALSE)+0.02)),2.5)," ")</f>
        <v> </v>
      </c>
      <c r="P245" s="112" t="str">
        <f>iferror(mround(I245/VLOOKUP(L245,Sheet1!$D$7:$N$16,G245+1,FALSE),2.5),"")</f>
        <v/>
      </c>
      <c r="Q245" s="303" t="str">
        <f t="shared" si="4"/>
        <v/>
      </c>
      <c r="R245" s="242"/>
      <c r="S245" s="11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</row>
    <row r="246" ht="3.75" hidden="1" customHeight="1">
      <c r="A246" s="90"/>
      <c r="B246" s="6"/>
      <c r="C246" s="90"/>
      <c r="D246" s="234"/>
      <c r="E246" s="184"/>
      <c r="F246" s="102"/>
      <c r="G246" s="102"/>
      <c r="H246" s="102"/>
      <c r="I246" s="102"/>
      <c r="J246" s="156"/>
      <c r="K246" s="249"/>
      <c r="L246" s="210"/>
      <c r="M246" s="144"/>
      <c r="N246" s="145"/>
      <c r="O246" s="145"/>
      <c r="P246" s="122"/>
      <c r="Q246" s="304" t="str">
        <f t="shared" si="4"/>
        <v/>
      </c>
      <c r="R246" s="242"/>
      <c r="S246" s="11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</row>
    <row r="247" ht="15.75" hidden="1" customHeight="1">
      <c r="A247" s="90"/>
      <c r="B247" s="6"/>
      <c r="C247" s="90"/>
      <c r="D247" s="197"/>
      <c r="E247" s="198"/>
      <c r="F247" s="129"/>
      <c r="G247" s="199"/>
      <c r="H247" s="195"/>
      <c r="I247" s="164"/>
      <c r="J247" s="248"/>
      <c r="K247" s="251"/>
      <c r="L247" s="164"/>
      <c r="M247" s="134" t="str">
        <f>I112</f>
        <v/>
      </c>
      <c r="N247" s="135" t="str">
        <f>iferror(mround($P112*((VLOOKUP($J247,Sheet1!$D:$N,$G247+1,FALSE)-0.03)),2.5)," ")</f>
        <v> </v>
      </c>
      <c r="O247" s="135" t="str">
        <f>iferror(mround($P112*((VLOOKUP($J247,Sheet1!$D:$N,$G247+1,FALSE)+0.02)),2.5)," ")</f>
        <v> </v>
      </c>
      <c r="P247" s="112" t="str">
        <f>iferror(mround(I247/VLOOKUP(L247,Sheet1!$D$7:$N$16,G247+1,FALSE),2.5),"")</f>
        <v/>
      </c>
      <c r="Q247" s="303" t="str">
        <f t="shared" si="4"/>
        <v/>
      </c>
      <c r="R247" s="242"/>
      <c r="S247" s="11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</row>
    <row r="248" ht="3.75" hidden="1" customHeight="1">
      <c r="A248" s="124"/>
      <c r="B248" s="6"/>
      <c r="C248" s="124"/>
      <c r="D248" s="252"/>
      <c r="E248" s="252"/>
      <c r="F248" s="102"/>
      <c r="G248" s="102"/>
      <c r="H248" s="102"/>
      <c r="I248" s="102"/>
      <c r="J248" s="156"/>
      <c r="K248" s="253"/>
      <c r="L248" s="201"/>
      <c r="M248" s="211"/>
      <c r="N248" s="47"/>
      <c r="O248" s="47"/>
      <c r="P248" s="122"/>
      <c r="Q248" s="304" t="str">
        <f t="shared" si="4"/>
        <v/>
      </c>
      <c r="R248" s="242"/>
      <c r="S248" s="11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</row>
    <row r="249" ht="30.75" hidden="1" customHeight="1">
      <c r="A249" s="90"/>
      <c r="B249" s="6"/>
      <c r="C249" s="90"/>
      <c r="D249" s="254" t="s">
        <v>57</v>
      </c>
      <c r="E249" s="255" t="s">
        <v>15</v>
      </c>
      <c r="F249" s="106" t="s">
        <v>16</v>
      </c>
      <c r="G249" s="106" t="s">
        <v>17</v>
      </c>
      <c r="H249" s="107"/>
      <c r="I249" s="106" t="s">
        <v>18</v>
      </c>
      <c r="J249" s="108" t="s">
        <v>19</v>
      </c>
      <c r="L249" s="109" t="s">
        <v>20</v>
      </c>
      <c r="M249" s="110" t="s">
        <v>21</v>
      </c>
      <c r="N249" s="111" t="s">
        <v>22</v>
      </c>
      <c r="P249" s="112"/>
      <c r="Q249" s="113" t="s">
        <v>23</v>
      </c>
      <c r="R249" s="256" t="s">
        <v>58</v>
      </c>
      <c r="S249" s="11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</row>
    <row r="250" ht="14.25" hidden="1" customHeight="1">
      <c r="A250" s="90"/>
      <c r="B250" s="6"/>
      <c r="C250" s="90"/>
      <c r="D250" s="257" t="s">
        <v>25</v>
      </c>
      <c r="E250" s="258" t="s">
        <v>26</v>
      </c>
      <c r="H250" s="107"/>
      <c r="N250" s="111" t="s">
        <v>27</v>
      </c>
      <c r="O250" s="111" t="s">
        <v>28</v>
      </c>
      <c r="P250" s="112" t="s">
        <v>29</v>
      </c>
      <c r="R250" s="118" t="s">
        <v>30</v>
      </c>
      <c r="S250" s="11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</row>
    <row r="251" ht="3.75" hidden="1" customHeight="1">
      <c r="A251" s="124"/>
      <c r="B251" s="6"/>
      <c r="C251" s="124"/>
      <c r="D251" s="252"/>
      <c r="E251" s="252"/>
      <c r="F251" s="102"/>
      <c r="G251" s="102"/>
      <c r="H251" s="102"/>
      <c r="I251" s="102"/>
      <c r="J251" s="156"/>
      <c r="K251" s="253"/>
      <c r="L251" s="201"/>
      <c r="M251" s="211"/>
      <c r="N251" s="47"/>
      <c r="O251" s="47"/>
      <c r="P251" s="122"/>
      <c r="Q251" s="304" t="str">
        <f t="shared" ref="Q251:Q274" si="5">IF(OR(ISBLANK(I251), ISBLANK(I116)), "", IF(I251 - I116 = 0, "", I251 - I116))</f>
        <v/>
      </c>
      <c r="R251" s="259"/>
      <c r="S251" s="11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</row>
    <row r="252" ht="14.25" hidden="1" customHeight="1">
      <c r="A252" s="124"/>
      <c r="B252" s="6"/>
      <c r="C252" s="124"/>
      <c r="D252" s="260"/>
      <c r="E252" s="126"/>
      <c r="F252" s="187"/>
      <c r="G252" s="229"/>
      <c r="H252" s="129"/>
      <c r="I252" s="164"/>
      <c r="J252" s="189"/>
      <c r="K252" s="251"/>
      <c r="L252" s="164"/>
      <c r="M252" s="134" t="str">
        <f>I119</f>
        <v/>
      </c>
      <c r="N252" s="135" t="str">
        <f>iferror(mround($P119*((VLOOKUP($J252,Sheet1!$D:$N,$G252+1,FALSE)-0.03)),2.5)," ")</f>
        <v> </v>
      </c>
      <c r="O252" s="135" t="str">
        <f>iferror(mround($P119*((VLOOKUP($J252,Sheet1!$D:$N,$G252+1,FALSE)+0.02)),2.5)," ")</f>
        <v> </v>
      </c>
      <c r="P252" s="56" t="str">
        <f>iferror(mround(I252/VLOOKUP(L252,Sheet1!$D$7:$N$16,G252+1,FALSE),2.5),"")</f>
        <v/>
      </c>
      <c r="Q252" s="303" t="str">
        <f t="shared" si="5"/>
        <v/>
      </c>
      <c r="S252" s="11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</row>
    <row r="253" ht="3.75" hidden="1" customHeight="1">
      <c r="A253" s="124"/>
      <c r="B253" s="6"/>
      <c r="C253" s="124"/>
      <c r="D253" s="138"/>
      <c r="E253" s="215"/>
      <c r="F253" s="102"/>
      <c r="G253" s="102"/>
      <c r="H253" s="102"/>
      <c r="I253" s="102"/>
      <c r="J253" s="156"/>
      <c r="K253" s="249"/>
      <c r="L253" s="210"/>
      <c r="M253" s="144"/>
      <c r="N253" s="145"/>
      <c r="O253" s="145"/>
      <c r="P253" s="122"/>
      <c r="Q253" s="304" t="str">
        <f t="shared" si="5"/>
        <v/>
      </c>
      <c r="S253" s="11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</row>
    <row r="254" ht="14.25" hidden="1" customHeight="1">
      <c r="A254" s="124"/>
      <c r="B254" s="6"/>
      <c r="C254" s="124"/>
      <c r="D254" s="185"/>
      <c r="E254" s="227"/>
      <c r="F254" s="187"/>
      <c r="G254" s="229"/>
      <c r="H254" s="195"/>
      <c r="I254" s="164"/>
      <c r="J254" s="248"/>
      <c r="K254" s="251"/>
      <c r="L254" s="164"/>
      <c r="M254" s="134" t="str">
        <f>I119</f>
        <v/>
      </c>
      <c r="N254" s="135" t="str">
        <f>iferror(mround($P119*((VLOOKUP($J254,Sheet1!$D:$N,$G254+1,FALSE)-0.03)),2.5)," ")</f>
        <v> </v>
      </c>
      <c r="O254" s="135" t="str">
        <f>iferror(mround($P119*((VLOOKUP($J254,Sheet1!$D:$N,$G254+1,FALSE)+0.02)),2.5)," ")</f>
        <v> </v>
      </c>
      <c r="P254" s="112" t="str">
        <f>iferror(mround(I254/VLOOKUP(L254,Sheet1!$D$7:$N$16,G254+1,FALSE),2.5),"")</f>
        <v/>
      </c>
      <c r="Q254" s="303" t="str">
        <f t="shared" si="5"/>
        <v/>
      </c>
      <c r="S254" s="11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</row>
    <row r="255" ht="3.75" hidden="1" customHeight="1">
      <c r="A255" s="124"/>
      <c r="B255" s="6"/>
      <c r="C255" s="124"/>
      <c r="D255" s="138"/>
      <c r="E255" s="245"/>
      <c r="F255" s="102"/>
      <c r="G255" s="102"/>
      <c r="H255" s="102"/>
      <c r="I255" s="102"/>
      <c r="J255" s="156"/>
      <c r="K255" s="249"/>
      <c r="L255" s="210"/>
      <c r="M255" s="144"/>
      <c r="N255" s="145"/>
      <c r="O255" s="145"/>
      <c r="P255" s="122"/>
      <c r="Q255" s="304" t="str">
        <f t="shared" si="5"/>
        <v/>
      </c>
      <c r="S255" s="11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</row>
    <row r="256" ht="14.25" hidden="1" customHeight="1">
      <c r="A256" s="124"/>
      <c r="B256" s="6"/>
      <c r="C256" s="124"/>
      <c r="D256" s="185"/>
      <c r="E256" s="227"/>
      <c r="F256" s="187"/>
      <c r="G256" s="229"/>
      <c r="H256" s="195"/>
      <c r="I256" s="164"/>
      <c r="J256" s="248"/>
      <c r="K256" s="251"/>
      <c r="L256" s="164"/>
      <c r="M256" s="134" t="str">
        <f>I121</f>
        <v/>
      </c>
      <c r="N256" s="135" t="str">
        <f>iferror(mround($P121*((VLOOKUP($J256,Sheet1!$D:$N,$G256+1,FALSE)-0.03)),2.5)," ")</f>
        <v> </v>
      </c>
      <c r="O256" s="135" t="str">
        <f>iferror(mround($P121*((VLOOKUP($J256,Sheet1!$D:$N,$G256+1,FALSE)+0.02)),2.5)," ")</f>
        <v> </v>
      </c>
      <c r="P256" s="112" t="str">
        <f>iferror(mround(I256/VLOOKUP(L256,Sheet1!$D$7:$N$16,G256+1,FALSE),2.5),"")</f>
        <v/>
      </c>
      <c r="Q256" s="303" t="str">
        <f t="shared" si="5"/>
        <v/>
      </c>
      <c r="S256" s="11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</row>
    <row r="257" ht="3.75" hidden="1" customHeight="1">
      <c r="A257" s="124"/>
      <c r="B257" s="6"/>
      <c r="C257" s="124"/>
      <c r="D257" s="138"/>
      <c r="E257" s="245"/>
      <c r="F257" s="102"/>
      <c r="G257" s="102"/>
      <c r="H257" s="102"/>
      <c r="I257" s="102"/>
      <c r="J257" s="156"/>
      <c r="K257" s="249"/>
      <c r="L257" s="210"/>
      <c r="M257" s="144"/>
      <c r="N257" s="145"/>
      <c r="O257" s="145"/>
      <c r="P257" s="122"/>
      <c r="Q257" s="304" t="str">
        <f t="shared" si="5"/>
        <v/>
      </c>
      <c r="S257" s="11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</row>
    <row r="258" ht="14.25" hidden="1" customHeight="1">
      <c r="A258" s="124"/>
      <c r="B258" s="6"/>
      <c r="C258" s="124"/>
      <c r="D258" s="185"/>
      <c r="E258" s="227"/>
      <c r="F258" s="187"/>
      <c r="G258" s="229"/>
      <c r="H258" s="195"/>
      <c r="I258" s="164"/>
      <c r="J258" s="248"/>
      <c r="K258" s="251"/>
      <c r="L258" s="164"/>
      <c r="M258" s="134"/>
      <c r="N258" s="135" t="str">
        <f>iferror(mround($P123*((VLOOKUP($J258,Sheet1!$D:$N,$G258+1,FALSE)-0.03)),2.5)," ")</f>
        <v> </v>
      </c>
      <c r="O258" s="135" t="str">
        <f>iferror(mround($P123*((VLOOKUP($J258,Sheet1!$D:$N,$G258+1,FALSE)+0.02)),2.5)," ")</f>
        <v> </v>
      </c>
      <c r="P258" s="112" t="str">
        <f>iferror(mround(I258/VLOOKUP(L258,Sheet1!$D$7:$N$16,G258+1,FALSE),2.5),"")</f>
        <v/>
      </c>
      <c r="Q258" s="303" t="str">
        <f t="shared" si="5"/>
        <v/>
      </c>
      <c r="S258" s="11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</row>
    <row r="259" ht="3.75" hidden="1" customHeight="1">
      <c r="A259" s="124"/>
      <c r="B259" s="6"/>
      <c r="C259" s="124"/>
      <c r="D259" s="138"/>
      <c r="E259" s="245"/>
      <c r="F259" s="102"/>
      <c r="G259" s="102"/>
      <c r="H259" s="102"/>
      <c r="I259" s="102"/>
      <c r="J259" s="156"/>
      <c r="K259" s="249"/>
      <c r="L259" s="210"/>
      <c r="M259" s="144"/>
      <c r="N259" s="145" t="str">
        <f>iferror(mround($P124*((VLOOKUP($J259,Sheet1!$D:$N,$G259+1,FALSE)-0.03)),2.5)," ")</f>
        <v> </v>
      </c>
      <c r="O259" s="145" t="str">
        <f>iferror(mround($P124*((VLOOKUP($J259,Sheet1!$D:$N,$G259+1,FALSE)+0.02)),2.5)," ")</f>
        <v> </v>
      </c>
      <c r="P259" s="122"/>
      <c r="Q259" s="304" t="str">
        <f t="shared" si="5"/>
        <v/>
      </c>
      <c r="S259" s="11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</row>
    <row r="260" ht="14.25" hidden="1" customHeight="1">
      <c r="A260" s="124"/>
      <c r="B260" s="6"/>
      <c r="C260" s="124"/>
      <c r="D260" s="185"/>
      <c r="E260" s="227"/>
      <c r="F260" s="187"/>
      <c r="G260" s="187"/>
      <c r="H260" s="195"/>
      <c r="I260" s="164"/>
      <c r="J260" s="248"/>
      <c r="K260" s="251"/>
      <c r="L260" s="164"/>
      <c r="M260" s="134" t="str">
        <f>I125</f>
        <v/>
      </c>
      <c r="N260" s="135" t="str">
        <f>iferror(mround($P125*((VLOOKUP($J260,Sheet1!$D:$N,$G260+1,FALSE)-0.03)),2.5)," ")</f>
        <v> </v>
      </c>
      <c r="O260" s="135" t="str">
        <f>iferror(mround($P125*((VLOOKUP($J260,Sheet1!$D:$N,$G260+1,FALSE)+0.02)),2.5)," ")</f>
        <v> </v>
      </c>
      <c r="P260" s="112" t="str">
        <f>iferror(mround(I260/VLOOKUP(L260,Sheet1!$D$7:$N$16,G260+1,FALSE),2.5),"")</f>
        <v/>
      </c>
      <c r="Q260" s="303" t="str">
        <f t="shared" si="5"/>
        <v/>
      </c>
      <c r="S260" s="11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</row>
    <row r="261" ht="3.75" hidden="1" customHeight="1">
      <c r="A261" s="261"/>
      <c r="B261" s="6"/>
      <c r="C261" s="262"/>
      <c r="D261" s="138"/>
      <c r="E261" s="245"/>
      <c r="F261" s="102"/>
      <c r="G261" s="102"/>
      <c r="H261" s="102"/>
      <c r="I261" s="102"/>
      <c r="J261" s="156"/>
      <c r="K261" s="249"/>
      <c r="L261" s="210"/>
      <c r="M261" s="144"/>
      <c r="N261" s="145"/>
      <c r="O261" s="145"/>
      <c r="P261" s="122"/>
      <c r="Q261" s="304" t="str">
        <f t="shared" si="5"/>
        <v/>
      </c>
      <c r="S261" s="157"/>
      <c r="T261" s="5"/>
      <c r="U261" s="5"/>
      <c r="V261" s="158"/>
      <c r="W261" s="158"/>
      <c r="X261" s="158"/>
      <c r="Y261" s="158"/>
      <c r="Z261" s="158"/>
      <c r="AA261" s="158"/>
      <c r="AB261" s="158"/>
      <c r="AC261" s="158"/>
      <c r="AD261" s="158"/>
      <c r="AE261" s="158"/>
      <c r="AF261" s="158"/>
      <c r="AG261" s="158"/>
    </row>
    <row r="262" ht="14.25" hidden="1" customHeight="1">
      <c r="A262" s="124"/>
      <c r="B262" s="6"/>
      <c r="C262" s="124"/>
      <c r="D262" s="185"/>
      <c r="E262" s="227"/>
      <c r="F262" s="187"/>
      <c r="G262" s="187"/>
      <c r="H262" s="195"/>
      <c r="I262" s="164"/>
      <c r="J262" s="248"/>
      <c r="K262" s="251"/>
      <c r="L262" s="164"/>
      <c r="M262" s="134" t="str">
        <f>I127</f>
        <v/>
      </c>
      <c r="N262" s="135" t="str">
        <f>iferror(mround($P127*((VLOOKUP($J262,Sheet1!$D:$N,$G262+1,FALSE)-0.03)),2.5)," ")</f>
        <v> </v>
      </c>
      <c r="O262" s="135" t="str">
        <f>iferror(mround($P127*((VLOOKUP($J262,Sheet1!$D:$N,$G262+1,FALSE)+0.02)),2.5)," ")</f>
        <v> </v>
      </c>
      <c r="P262" s="112" t="str">
        <f>iferror(mround(I262/VLOOKUP(L262,Sheet1!$D$7:$N$16,G262+1,FALSE),2.5),"")</f>
        <v/>
      </c>
      <c r="Q262" s="303" t="str">
        <f t="shared" si="5"/>
        <v/>
      </c>
      <c r="S262" s="11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</row>
    <row r="263" ht="3.75" hidden="1" customHeight="1">
      <c r="A263" s="261"/>
      <c r="B263" s="6"/>
      <c r="C263" s="262"/>
      <c r="D263" s="138"/>
      <c r="E263" s="252"/>
      <c r="F263" s="102"/>
      <c r="G263" s="102"/>
      <c r="H263" s="102"/>
      <c r="I263" s="102"/>
      <c r="J263" s="156"/>
      <c r="K263" s="249"/>
      <c r="L263" s="210"/>
      <c r="M263" s="144"/>
      <c r="N263" s="145"/>
      <c r="O263" s="145"/>
      <c r="P263" s="122"/>
      <c r="Q263" s="304" t="str">
        <f t="shared" si="5"/>
        <v/>
      </c>
      <c r="S263" s="157"/>
      <c r="T263" s="5"/>
      <c r="U263" s="5"/>
      <c r="V263" s="158"/>
      <c r="W263" s="158"/>
      <c r="X263" s="158"/>
      <c r="Y263" s="158"/>
      <c r="Z263" s="158"/>
      <c r="AA263" s="158"/>
      <c r="AB263" s="158"/>
      <c r="AC263" s="158"/>
      <c r="AD263" s="158"/>
      <c r="AE263" s="158"/>
      <c r="AF263" s="158"/>
      <c r="AG263" s="158"/>
    </row>
    <row r="264" ht="15.75" hidden="1" customHeight="1">
      <c r="A264" s="124"/>
      <c r="B264" s="6"/>
      <c r="C264" s="124"/>
      <c r="D264" s="185"/>
      <c r="E264" s="260"/>
      <c r="F264" s="187"/>
      <c r="G264" s="187"/>
      <c r="H264" s="195"/>
      <c r="I264" s="247"/>
      <c r="J264" s="248"/>
      <c r="K264" s="251"/>
      <c r="L264" s="164"/>
      <c r="M264" s="134"/>
      <c r="N264" s="135" t="str">
        <f>iferror(mround($P129*((VLOOKUP($J264,Sheet1!$D:$N,$G264+1,FALSE)-0.03)),2.5)," ")</f>
        <v> </v>
      </c>
      <c r="O264" s="135" t="str">
        <f>iferror(mround($P129*((VLOOKUP($J264,Sheet1!$D:$N,$G264+1,FALSE)+0.02)),2.5)," ")</f>
        <v> </v>
      </c>
      <c r="P264" s="112" t="str">
        <f>iferror(mround(I264/VLOOKUP(L264,Sheet1!$D$7:$N$16,G264+1,FALSE),2.5),"")</f>
        <v/>
      </c>
      <c r="Q264" s="303" t="str">
        <f t="shared" si="5"/>
        <v/>
      </c>
      <c r="S264" s="11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</row>
    <row r="265" ht="3.75" hidden="1" customHeight="1">
      <c r="A265" s="124"/>
      <c r="B265" s="6"/>
      <c r="C265" s="124"/>
      <c r="D265" s="263"/>
      <c r="E265" s="252"/>
      <c r="F265" s="102"/>
      <c r="G265" s="102"/>
      <c r="H265" s="102"/>
      <c r="I265" s="102"/>
      <c r="J265" s="156"/>
      <c r="K265" s="249"/>
      <c r="L265" s="210"/>
      <c r="M265" s="144"/>
      <c r="N265" s="145" t="str">
        <f>iferror(mround($P130*((VLOOKUP($J265,Sheet1!$D:$N,$G265+1,FALSE)-0.03)),2.5)," ")</f>
        <v> </v>
      </c>
      <c r="O265" s="145" t="str">
        <f>iferror(mround($P130*((VLOOKUP($J265,Sheet1!$D:$N,$G265+1,FALSE)+0.02)),2.5)," ")</f>
        <v> </v>
      </c>
      <c r="P265" s="122"/>
      <c r="Q265" s="304" t="str">
        <f t="shared" si="5"/>
        <v/>
      </c>
      <c r="S265" s="11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</row>
    <row r="266" ht="14.25" hidden="1" customHeight="1">
      <c r="A266" s="90"/>
      <c r="B266" s="6"/>
      <c r="C266" s="90"/>
      <c r="D266" s="185"/>
      <c r="E266" s="264"/>
      <c r="F266" s="187"/>
      <c r="G266" s="187"/>
      <c r="H266" s="195"/>
      <c r="I266" s="164"/>
      <c r="J266" s="248"/>
      <c r="K266" s="251"/>
      <c r="L266" s="164"/>
      <c r="M266" s="134" t="str">
        <f>I131</f>
        <v/>
      </c>
      <c r="N266" s="135" t="str">
        <f>iferror(mround($P131*((VLOOKUP($J266,Sheet1!$D:$N,$G266+1,FALSE)-0.03)),2.5)," ")</f>
        <v> </v>
      </c>
      <c r="O266" s="135" t="str">
        <f>iferror(mround($P131*((VLOOKUP($J266,Sheet1!$D:$N,$G266+1,FALSE)+0.02)),2.5)," ")</f>
        <v> </v>
      </c>
      <c r="P266" s="112" t="str">
        <f>iferror(mround(I266/VLOOKUP(L266,Sheet1!$D$7:$N$16,G266+1,FALSE),2.5),"")</f>
        <v/>
      </c>
      <c r="Q266" s="303" t="str">
        <f t="shared" si="5"/>
        <v/>
      </c>
      <c r="S266" s="11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</row>
    <row r="267" ht="3.75" hidden="1" customHeight="1">
      <c r="A267" s="261"/>
      <c r="B267" s="6"/>
      <c r="C267" s="262"/>
      <c r="D267" s="263"/>
      <c r="E267" s="263"/>
      <c r="F267" s="194"/>
      <c r="G267" s="194"/>
      <c r="H267" s="155"/>
      <c r="I267" s="210"/>
      <c r="J267" s="265"/>
      <c r="K267" s="249"/>
      <c r="L267" s="210"/>
      <c r="M267" s="144"/>
      <c r="N267" s="145"/>
      <c r="O267" s="145"/>
      <c r="P267" s="122"/>
      <c r="Q267" s="304" t="str">
        <f t="shared" si="5"/>
        <v/>
      </c>
      <c r="S267" s="157"/>
      <c r="T267" s="5"/>
      <c r="U267" s="5"/>
      <c r="V267" s="158"/>
      <c r="W267" s="158"/>
      <c r="X267" s="158"/>
      <c r="Y267" s="158"/>
      <c r="Z267" s="158"/>
      <c r="AA267" s="158"/>
      <c r="AB267" s="158"/>
      <c r="AC267" s="158"/>
      <c r="AD267" s="158"/>
      <c r="AE267" s="158"/>
      <c r="AF267" s="158"/>
      <c r="AG267" s="158"/>
    </row>
    <row r="268" ht="15.75" hidden="1" customHeight="1">
      <c r="A268" s="90"/>
      <c r="B268" s="6"/>
      <c r="C268" s="90"/>
      <c r="D268" s="185"/>
      <c r="E268" s="266"/>
      <c r="F268" s="187"/>
      <c r="G268" s="187"/>
      <c r="H268" s="195"/>
      <c r="I268" s="164"/>
      <c r="J268" s="248"/>
      <c r="K268" s="251"/>
      <c r="L268" s="164"/>
      <c r="M268" s="134"/>
      <c r="N268" s="135" t="str">
        <f>iferror(mround($P133*((VLOOKUP($J268,Sheet1!$D:$N,$G268+1,FALSE)-0.03)),2.5)," ")</f>
        <v> </v>
      </c>
      <c r="O268" s="135" t="str">
        <f>iferror(mround($P133*((VLOOKUP($J268,Sheet1!$D:$N,$G268+1,FALSE)+0.02)),2.5)," ")</f>
        <v> </v>
      </c>
      <c r="P268" s="112" t="str">
        <f>iferror(mround(I268/VLOOKUP(L268,Sheet1!$D$7:$N$16,G268+1,FALSE),2.5),"")</f>
        <v/>
      </c>
      <c r="Q268" s="303" t="str">
        <f t="shared" si="5"/>
        <v/>
      </c>
      <c r="S268" s="11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</row>
    <row r="269" ht="3.75" hidden="1" customHeight="1">
      <c r="A269" s="90"/>
      <c r="B269" s="6"/>
      <c r="C269" s="90"/>
      <c r="D269" s="138"/>
      <c r="E269" s="252"/>
      <c r="F269" s="102"/>
      <c r="G269" s="102"/>
      <c r="H269" s="102"/>
      <c r="I269" s="102"/>
      <c r="J269" s="156"/>
      <c r="K269" s="249"/>
      <c r="L269" s="210"/>
      <c r="M269" s="144"/>
      <c r="N269" s="145" t="str">
        <f>iferror(mround($P134*((VLOOKUP($J269,Sheet1!$D:$N,$G269+1,FALSE)-0.03)),2.5)," ")</f>
        <v> </v>
      </c>
      <c r="O269" s="145" t="str">
        <f>iferror(mround($P134*((VLOOKUP($J269,Sheet1!$D:$N,$G269+1,FALSE)+0.02)),2.5)," ")</f>
        <v> </v>
      </c>
      <c r="P269" s="122"/>
      <c r="Q269" s="304" t="str">
        <f t="shared" si="5"/>
        <v/>
      </c>
      <c r="S269" s="11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</row>
    <row r="270" ht="15.75" hidden="1" customHeight="1">
      <c r="A270" s="90"/>
      <c r="B270" s="6"/>
      <c r="C270" s="90"/>
      <c r="D270" s="185"/>
      <c r="E270" s="264"/>
      <c r="F270" s="187"/>
      <c r="G270" s="187"/>
      <c r="H270" s="195"/>
      <c r="I270" s="164"/>
      <c r="J270" s="248"/>
      <c r="K270" s="251"/>
      <c r="L270" s="164"/>
      <c r="M270" s="134" t="str">
        <f>I135</f>
        <v/>
      </c>
      <c r="N270" s="135" t="str">
        <f>iferror(mround($P135*((VLOOKUP($J270,Sheet1!$D:$N,$G270+1,FALSE)-0.03)),2.5)," ")</f>
        <v> </v>
      </c>
      <c r="O270" s="135" t="str">
        <f>iferror(mround($P135*((VLOOKUP($J270,Sheet1!$D:$N,$G270+1,FALSE)+0.02)),2.5)," ")</f>
        <v> </v>
      </c>
      <c r="P270" s="112" t="str">
        <f>iferror(mround(I270/VLOOKUP(L270,Sheet1!$D$7:$N$16,G270+1,FALSE),2.5),"")</f>
        <v/>
      </c>
      <c r="Q270" s="303" t="str">
        <f t="shared" si="5"/>
        <v/>
      </c>
      <c r="S270" s="11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</row>
    <row r="271" ht="3.75" hidden="1" customHeight="1">
      <c r="A271" s="191"/>
      <c r="B271" s="6"/>
      <c r="C271" s="192"/>
      <c r="D271" s="138"/>
      <c r="E271" s="252"/>
      <c r="F271" s="102"/>
      <c r="G271" s="102"/>
      <c r="H271" s="102"/>
      <c r="I271" s="102"/>
      <c r="J271" s="156"/>
      <c r="K271" s="249"/>
      <c r="L271" s="210"/>
      <c r="M271" s="144"/>
      <c r="N271" s="145"/>
      <c r="O271" s="145"/>
      <c r="P271" s="122"/>
      <c r="Q271" s="304" t="str">
        <f t="shared" si="5"/>
        <v/>
      </c>
      <c r="S271" s="157"/>
      <c r="T271" s="5"/>
      <c r="U271" s="5"/>
      <c r="V271" s="158"/>
      <c r="W271" s="158"/>
      <c r="X271" s="158"/>
      <c r="Y271" s="158"/>
      <c r="Z271" s="158"/>
      <c r="AA271" s="158"/>
      <c r="AB271" s="158"/>
      <c r="AC271" s="158"/>
      <c r="AD271" s="158"/>
      <c r="AE271" s="158"/>
      <c r="AF271" s="158"/>
      <c r="AG271" s="158"/>
    </row>
    <row r="272" ht="15.75" hidden="1" customHeight="1">
      <c r="A272" s="90"/>
      <c r="B272" s="6"/>
      <c r="C272" s="90"/>
      <c r="D272" s="185"/>
      <c r="E272" s="260"/>
      <c r="F272" s="187"/>
      <c r="G272" s="187"/>
      <c r="H272" s="195"/>
      <c r="I272" s="164"/>
      <c r="J272" s="248"/>
      <c r="K272" s="251"/>
      <c r="L272" s="164"/>
      <c r="M272" s="134" t="str">
        <f>I137</f>
        <v/>
      </c>
      <c r="N272" s="135" t="str">
        <f>iferror(mround($P137*((VLOOKUP($J272,Sheet1!$D:$N,$G272+1,FALSE)-0.03)),2.5)," ")</f>
        <v> </v>
      </c>
      <c r="O272" s="135" t="str">
        <f>iferror(mround($P137*((VLOOKUP($J272,Sheet1!$D:$N,$G272+1,FALSE)+0.02)),2.5)," ")</f>
        <v> </v>
      </c>
      <c r="P272" s="112" t="str">
        <f>iferror(mround(I272/VLOOKUP(L272,Sheet1!$D$7:$N$16,G272+1,FALSE),2.5),"")</f>
        <v/>
      </c>
      <c r="Q272" s="303" t="str">
        <f t="shared" si="5"/>
        <v/>
      </c>
      <c r="S272" s="11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</row>
    <row r="273" ht="3.75" hidden="1" customHeight="1">
      <c r="A273" s="90"/>
      <c r="B273" s="6"/>
      <c r="C273" s="90"/>
      <c r="D273" s="263"/>
      <c r="E273" s="252"/>
      <c r="F273" s="102"/>
      <c r="G273" s="102"/>
      <c r="H273" s="102"/>
      <c r="I273" s="102"/>
      <c r="J273" s="156"/>
      <c r="K273" s="249"/>
      <c r="L273" s="210"/>
      <c r="M273" s="144"/>
      <c r="N273" s="145"/>
      <c r="O273" s="145"/>
      <c r="P273" s="122"/>
      <c r="Q273" s="304" t="str">
        <f t="shared" si="5"/>
        <v/>
      </c>
      <c r="S273" s="11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</row>
    <row r="274" ht="15.75" hidden="1" customHeight="1">
      <c r="A274" s="90"/>
      <c r="B274" s="6"/>
      <c r="C274" s="90"/>
      <c r="D274" s="185"/>
      <c r="E274" s="266"/>
      <c r="F274" s="187"/>
      <c r="G274" s="187"/>
      <c r="H274" s="195"/>
      <c r="I274" s="164"/>
      <c r="J274" s="248"/>
      <c r="K274" s="251"/>
      <c r="L274" s="164"/>
      <c r="M274" s="134" t="str">
        <f>I139</f>
        <v/>
      </c>
      <c r="N274" s="135" t="str">
        <f>iferror(mround($P139*((VLOOKUP($J274,Sheet1!$D:$N,$G274+1,FALSE)-0.03)),2.5)," ")</f>
        <v> </v>
      </c>
      <c r="O274" s="135" t="str">
        <f>iferror(mround($P139*((VLOOKUP($J274,Sheet1!$D:$N,$G274+1,FALSE)+0.02)),2.5)," ")</f>
        <v> </v>
      </c>
      <c r="P274" s="112" t="str">
        <f>iferror(mround(I274/VLOOKUP(L274,Sheet1!$D$7:$N$16,G274+1,FALSE),2.5),"")</f>
        <v/>
      </c>
      <c r="Q274" s="303" t="str">
        <f t="shared" si="5"/>
        <v/>
      </c>
      <c r="S274" s="11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</row>
    <row r="275" ht="3.75" hidden="1" customHeight="1">
      <c r="A275" s="191"/>
      <c r="B275" s="6"/>
      <c r="C275" s="192"/>
      <c r="D275" s="192"/>
      <c r="E275" s="267"/>
      <c r="F275" s="194"/>
      <c r="G275" s="194"/>
      <c r="H275" s="155"/>
      <c r="I275" s="210"/>
      <c r="J275" s="268"/>
      <c r="K275" s="249"/>
      <c r="L275" s="269"/>
      <c r="M275" s="270"/>
      <c r="N275" s="269"/>
      <c r="O275" s="269"/>
      <c r="P275" s="271"/>
      <c r="Q275" s="272"/>
      <c r="R275" s="273"/>
      <c r="S275" s="157"/>
      <c r="T275" s="5"/>
      <c r="U275" s="5"/>
      <c r="V275" s="158"/>
      <c r="W275" s="158"/>
      <c r="X275" s="158"/>
      <c r="Y275" s="158"/>
      <c r="Z275" s="158"/>
      <c r="AA275" s="158"/>
      <c r="AB275" s="158"/>
      <c r="AC275" s="158"/>
      <c r="AD275" s="158"/>
      <c r="AE275" s="158"/>
      <c r="AF275" s="158"/>
      <c r="AG275" s="158"/>
    </row>
    <row r="276" ht="14.25" customHeight="1">
      <c r="A276" s="5"/>
      <c r="B276" s="6"/>
      <c r="C276" s="5"/>
      <c r="D276" s="274"/>
      <c r="E276" s="266"/>
      <c r="F276" s="187"/>
      <c r="G276" s="187"/>
      <c r="H276" s="195"/>
      <c r="I276" s="129"/>
      <c r="J276" s="275"/>
      <c r="K276" s="276"/>
      <c r="L276" s="187"/>
      <c r="M276" s="187"/>
      <c r="N276" s="187"/>
      <c r="O276" s="187"/>
      <c r="P276" s="277"/>
      <c r="Q276" s="278"/>
      <c r="R276" s="279"/>
      <c r="S276" s="11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</row>
    <row r="277" ht="14.25" customHeight="1">
      <c r="A277" s="5"/>
      <c r="B277" s="6"/>
      <c r="C277" s="5"/>
      <c r="D277" s="274" t="s">
        <v>59</v>
      </c>
      <c r="E277" s="266" t="s">
        <v>16</v>
      </c>
      <c r="F277" s="187" t="s">
        <v>17</v>
      </c>
      <c r="G277" s="187" t="s">
        <v>60</v>
      </c>
      <c r="H277" s="187"/>
      <c r="I277" s="280" t="s">
        <v>61</v>
      </c>
      <c r="J277" s="266" t="s">
        <v>62</v>
      </c>
      <c r="K277" s="274"/>
      <c r="L277" s="187"/>
      <c r="M277" s="285"/>
      <c r="N277" s="285"/>
      <c r="O277" s="285"/>
      <c r="P277" s="282"/>
      <c r="Q277" s="278"/>
      <c r="R277" s="157"/>
      <c r="S277" s="11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</row>
    <row r="278" ht="14.25" customHeight="1">
      <c r="A278" s="5"/>
      <c r="B278" s="6"/>
      <c r="C278" s="5"/>
      <c r="D278" s="274" t="s">
        <v>6</v>
      </c>
      <c r="E278" s="283">
        <f>IFERROR(__xludf.DUMMYFUNCTION("SUM(FILTER(F153:F277, ISNUMBER(SEARCH(""squat"", D153:D277))))"),6.0)</f>
        <v>6</v>
      </c>
      <c r="F278" s="284">
        <f>IFERROR(__xludf.DUMMYFUNCTION("SUMPRODUCT(FILTER(F153:F277 * G153:G277, ISNUMBER(SEARCH(""squat"", D153:D277))))"),275274.0)</f>
        <v>275274</v>
      </c>
      <c r="G278" s="135">
        <f>IFERROR(__xludf.DUMMYFUNCTION("ROUND(SUMPRODUCT(FILTER(F153:F277 * G153:G277 * I153:I277, ISNUMBER(SEARCH(""squat"", D153:D277)))), 0)"),0.0)</f>
        <v>0</v>
      </c>
      <c r="H278" s="285"/>
      <c r="I278" s="135" t="str">
        <f>IFERROR(__xludf.DUMMYFUNCTION("ROUND(AVERAGE(FILTER(I153:I277, ISNUMBER(SEARCH(""squat"", D153:D277)), I153:I277 &lt;&gt; """")) / J278 * 100, 0)"),"#N/A")</f>
        <v>#N/A</v>
      </c>
      <c r="J278" s="283" t="str">
        <f>IFERROR(__xludf.DUMMYFUNCTION("IFERROR(MROUND(AVERAGE(FILTER(P153:P277, D153:D277 = ""comp squat"", P153:P277 &lt;&gt; """", P153:P277 &gt;= 0.9 * MAX(FILTER(P153:P277, D153:D277 = ""comp squat"", P153:P277 &lt;&gt; """")), P153:P277 &lt;= 1.1 * MAX(FILTER(P153:P277, D153:D277 = ""comp squat"", P153:P27"&amp;"7 &lt;&gt; """")))), 2.5), ""No valid data"")"),"No valid data")</f>
        <v>No valid data</v>
      </c>
      <c r="K278" s="286"/>
      <c r="L278" s="287" t="str">
        <f>MROUND(J278/2.2046,2.5)-$O$10</f>
        <v>#VALUE!</v>
      </c>
      <c r="M278" s="305"/>
      <c r="N278" s="305"/>
      <c r="O278" s="305"/>
      <c r="P278" s="282"/>
      <c r="Q278" s="278"/>
      <c r="R278" s="291"/>
      <c r="S278" s="11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</row>
    <row r="279" ht="3.0" customHeight="1">
      <c r="A279" s="5"/>
      <c r="B279" s="6"/>
      <c r="C279" s="5"/>
      <c r="D279" s="90"/>
      <c r="E279" s="156"/>
      <c r="F279" s="102"/>
      <c r="G279" s="145"/>
      <c r="H279" s="102"/>
      <c r="I279" s="145"/>
      <c r="J279" s="156"/>
      <c r="K279" s="286"/>
      <c r="L279" s="292"/>
      <c r="M279" s="284"/>
      <c r="N279" s="284"/>
      <c r="O279" s="305"/>
      <c r="P279" s="282"/>
      <c r="Q279" s="278"/>
      <c r="R279" s="115"/>
      <c r="S279" s="11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</row>
    <row r="280" ht="15.75" customHeight="1">
      <c r="A280" s="5"/>
      <c r="B280" s="6"/>
      <c r="C280" s="5"/>
      <c r="D280" s="274" t="s">
        <v>66</v>
      </c>
      <c r="E280" s="293">
        <f>IFERROR(__xludf.DUMMYFUNCTION("SUM(FILTER(F153:F277, ISNUMBER(SEARCH(""bench press"", D153:D277))))"),12.0)</f>
        <v>12</v>
      </c>
      <c r="F280" s="284">
        <f>IFERROR(__xludf.DUMMYFUNCTION("SUMPRODUCT(FILTER(F154:F278 * G154:G278, ISNUMBER(SEARCH(""bench press"", D154:D278))))"),51.0)</f>
        <v>51</v>
      </c>
      <c r="G280" s="135">
        <f>IFERROR(__xludf.DUMMYFUNCTION("ROUND(SUMPRODUCT(FILTER(F153:F277 * G153:G277 * I153:I277, ISNUMBER(SEARCH(""bench press"", D153:D277)))), 0)"),0.0)</f>
        <v>0</v>
      </c>
      <c r="H280" s="285"/>
      <c r="I280" s="135" t="str">
        <f>IFERROR(__xludf.DUMMYFUNCTION("ROUND(AVERAGE(FILTER(I153:I277, ISNUMBER(SEARCH(""bench press"", D153:D277)), I153:I277 &lt;&gt; """")) / J280 * 100, 0)"),"#VALUE!")</f>
        <v>#VALUE!</v>
      </c>
      <c r="J280" s="293" t="str">
        <f>IFERROR(__xludf.DUMMYFUNCTION("IFERROR(MROUND(AVERAGE(FILTER(P153:P277, D153:D277 = ""comp bench press"", P153:P277 &lt;&gt; """", P153:P277 &gt;= 0.9 * MAX(FILTER(P153:P277, D153:D277 = ""comp bench press"", P153:P277 &lt;&gt; """")), P153:P277 &lt;= 1.1 * MAX(FILTER(P153:P277, D153:D277 = ""comp bench"&amp;" press"", P153:P277 &lt;&gt; """")))), 2.5), ""No valid data"")"),"No valid data")</f>
        <v>No valid data</v>
      </c>
      <c r="K280" s="286"/>
      <c r="L280" s="294" t="str">
        <f>MROUND(J280/2.2046,2.5)-$O$11</f>
        <v>#VALUE!</v>
      </c>
      <c r="M280" s="285"/>
      <c r="N280" s="285"/>
      <c r="O280" s="305"/>
      <c r="P280" s="282"/>
      <c r="Q280" s="278"/>
      <c r="R280" s="157"/>
      <c r="S280" s="11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</row>
    <row r="281" ht="3.0" customHeight="1">
      <c r="A281" s="5"/>
      <c r="B281" s="6"/>
      <c r="C281" s="5"/>
      <c r="D281" s="90"/>
      <c r="E281" s="156"/>
      <c r="F281" s="102"/>
      <c r="G281" s="145"/>
      <c r="H281" s="102"/>
      <c r="I281" s="145"/>
      <c r="J281" s="156"/>
      <c r="K281" s="286"/>
      <c r="L281" s="292"/>
      <c r="M281" s="285"/>
      <c r="N281" s="285"/>
      <c r="O281" s="284"/>
      <c r="P281" s="282"/>
      <c r="Q281" s="278"/>
      <c r="R281" s="157"/>
      <c r="S281" s="11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</row>
    <row r="282" ht="14.25" customHeight="1">
      <c r="A282" s="5"/>
      <c r="B282" s="6"/>
      <c r="C282" s="5"/>
      <c r="D282" s="274" t="s">
        <v>10</v>
      </c>
      <c r="E282" s="293">
        <f>IFERROR(__xludf.DUMMYFUNCTION("SUM(FILTER(F153:F277, ISNUMBER(SEARCH(""deadlift"", D153:D277))))"),6.0)</f>
        <v>6</v>
      </c>
      <c r="F282" s="284">
        <f>IFERROR(__xludf.DUMMYFUNCTION("SUMPRODUCT(FILTER(F153:F277 * G153:G277, ISNUMBER(SEARCH(""deadlift"", D153:D277))))"),275463.0)</f>
        <v>275463</v>
      </c>
      <c r="G282" s="135">
        <f>IFERROR(__xludf.DUMMYFUNCTION("ROUND(SUMPRODUCT(FILTER(F153:F277 * G153:G277 * I153:I277, ISNUMBER(SEARCH(""deadlift"", D153:D277)))), 0)"),0.0)</f>
        <v>0</v>
      </c>
      <c r="H282" s="285"/>
      <c r="I282" s="135" t="str">
        <f>IFERROR(__xludf.DUMMYFUNCTION("ROUND(AVERAGE(FILTER(I153:I277, ISNUMBER(SEARCH(""deadlift"", D153:D277)), I153:I277 &lt;&gt; """")) / J282 * 100, 0)"),"#N/A")</f>
        <v>#N/A</v>
      </c>
      <c r="J282" s="293" t="str">
        <f>IFERROR(__xludf.DUMMYFUNCTION("IFERROR(MROUND(AVERAGE(FILTER(P153:P277, D153:D277 = ""comp deadlift"", P153:P277 &lt;&gt; """", P153:P277 &gt;= 0.9 * MAX(FILTER(P153:P277, D153:D277 = ""comp deadlift"", P153:P277 &lt;&gt; """")), P153:P277 &lt;= 1.1 * MAX(FILTER(P153:P277, D153:D277 = ""comp deadlift"","&amp;" P153:P277 &lt;&gt; """")))), 2.5), ""No valid data"")"),"No valid data")</f>
        <v>No valid data</v>
      </c>
      <c r="K282" s="286"/>
      <c r="L282" s="294" t="str">
        <f>MROUND(J282/2.2046,2.5)-$O$12</f>
        <v>#VALUE!</v>
      </c>
      <c r="M282" s="285"/>
      <c r="N282" s="285"/>
      <c r="O282" s="285"/>
      <c r="P282" s="282"/>
      <c r="Q282" s="278"/>
      <c r="R282" s="157"/>
      <c r="S282" s="11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</row>
    <row r="283" ht="14.25" customHeight="1">
      <c r="A283" s="5"/>
      <c r="B283" s="6"/>
      <c r="C283" s="5"/>
      <c r="D283" s="274"/>
      <c r="E283" s="266"/>
      <c r="F283" s="187"/>
      <c r="G283" s="187"/>
      <c r="H283" s="187"/>
      <c r="I283" s="187"/>
      <c r="J283" s="295"/>
      <c r="K283" s="274"/>
      <c r="L283" s="187"/>
      <c r="M283" s="285"/>
      <c r="N283" s="285"/>
      <c r="O283" s="285"/>
      <c r="P283" s="282"/>
      <c r="Q283" s="278"/>
      <c r="R283" s="157"/>
      <c r="S283" s="11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</row>
    <row r="284" ht="14.25" customHeight="1">
      <c r="A284" s="5"/>
      <c r="B284" s="2"/>
      <c r="C284" s="5"/>
      <c r="D284" s="5"/>
      <c r="E284" s="75"/>
      <c r="F284" s="3"/>
      <c r="G284" s="3"/>
      <c r="H284" s="3"/>
      <c r="I284" s="3"/>
      <c r="J284" s="75"/>
      <c r="K284" s="5"/>
      <c r="L284" s="3"/>
      <c r="M284" s="47"/>
      <c r="N284" s="3"/>
      <c r="O284" s="3"/>
      <c r="P284" s="3"/>
      <c r="Q284" s="4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</row>
    <row r="285" ht="18.75" customHeight="1">
      <c r="A285" s="90"/>
      <c r="B285" s="6"/>
      <c r="C285" s="91"/>
      <c r="D285" s="79" t="s">
        <v>72</v>
      </c>
      <c r="E285" s="80" t="s">
        <v>13</v>
      </c>
      <c r="G285" s="81"/>
      <c r="H285" s="81"/>
      <c r="I285" s="81"/>
      <c r="J285" s="82"/>
      <c r="K285" s="83"/>
      <c r="L285" s="83"/>
      <c r="M285" s="93"/>
      <c r="N285" s="93"/>
      <c r="O285" s="93"/>
      <c r="P285" s="296"/>
      <c r="Q285" s="297"/>
      <c r="R285" s="298"/>
      <c r="S285" s="10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</row>
    <row r="286" ht="18.75" customHeight="1">
      <c r="A286" s="90"/>
      <c r="B286" s="6"/>
      <c r="C286" s="91"/>
      <c r="D286" s="299">
        <f>D151+1</f>
        <v>3</v>
      </c>
      <c r="E286" s="300" t="str">
        <f>IF(E151 = "", "", E151 - 1)</f>
        <v/>
      </c>
      <c r="F286" s="36"/>
      <c r="G286" s="301"/>
      <c r="H286" s="301"/>
      <c r="I286" s="301"/>
      <c r="J286" s="92"/>
      <c r="K286" s="93"/>
      <c r="L286" s="93"/>
      <c r="M286" s="93"/>
      <c r="N286" s="93"/>
      <c r="O286" s="93"/>
      <c r="P286" s="94"/>
      <c r="Q286" s="95"/>
      <c r="R286" s="96"/>
      <c r="S286" s="10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</row>
    <row r="287" ht="5.25" customHeight="1">
      <c r="A287" s="90"/>
      <c r="B287" s="6"/>
      <c r="C287" s="90"/>
      <c r="D287" s="97"/>
      <c r="E287" s="98"/>
      <c r="F287" s="99"/>
      <c r="G287" s="99"/>
      <c r="H287" s="99"/>
      <c r="I287" s="100"/>
      <c r="J287" s="101"/>
      <c r="K287" s="90"/>
      <c r="L287" s="102"/>
      <c r="M287" s="102"/>
      <c r="N287" s="102"/>
      <c r="O287" s="102"/>
      <c r="P287" s="103"/>
      <c r="Q287" s="4"/>
      <c r="R287" s="90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</row>
    <row r="288" ht="30.75" customHeight="1">
      <c r="A288" s="90"/>
      <c r="B288" s="6"/>
      <c r="C288" s="90"/>
      <c r="D288" s="202" t="s">
        <v>73</v>
      </c>
      <c r="E288" s="105" t="s">
        <v>15</v>
      </c>
      <c r="F288" s="106" t="s">
        <v>16</v>
      </c>
      <c r="G288" s="106" t="s">
        <v>17</v>
      </c>
      <c r="H288" s="107"/>
      <c r="I288" s="106" t="s">
        <v>18</v>
      </c>
      <c r="J288" s="108" t="s">
        <v>19</v>
      </c>
      <c r="L288" s="109" t="s">
        <v>20</v>
      </c>
      <c r="M288" s="110" t="s">
        <v>21</v>
      </c>
      <c r="N288" s="111" t="s">
        <v>22</v>
      </c>
      <c r="P288" s="112"/>
      <c r="Q288" s="113" t="s">
        <v>23</v>
      </c>
      <c r="R288" s="114" t="s">
        <v>24</v>
      </c>
      <c r="S288" s="11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</row>
    <row r="289" ht="14.25" customHeight="1">
      <c r="A289" s="90"/>
      <c r="B289" s="6"/>
      <c r="C289" s="90"/>
      <c r="D289" s="116" t="s">
        <v>25</v>
      </c>
      <c r="E289" s="117" t="s">
        <v>26</v>
      </c>
      <c r="H289" s="107"/>
      <c r="N289" s="111" t="s">
        <v>27</v>
      </c>
      <c r="O289" s="111" t="s">
        <v>28</v>
      </c>
      <c r="P289" s="112" t="s">
        <v>29</v>
      </c>
      <c r="R289" s="118" t="s">
        <v>30</v>
      </c>
      <c r="S289" s="11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</row>
    <row r="290" ht="3.75" customHeight="1">
      <c r="A290" s="90"/>
      <c r="B290" s="6"/>
      <c r="C290" s="90"/>
      <c r="D290" s="97"/>
      <c r="E290" s="98"/>
      <c r="F290" s="99"/>
      <c r="G290" s="99"/>
      <c r="H290" s="99"/>
      <c r="I290" s="100"/>
      <c r="J290" s="302"/>
      <c r="K290" s="90"/>
      <c r="L290" s="102"/>
      <c r="M290" s="121"/>
      <c r="N290" s="102"/>
      <c r="O290" s="102"/>
      <c r="P290" s="122"/>
      <c r="Q290" s="4"/>
      <c r="R290" s="123"/>
      <c r="S290" s="11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</row>
    <row r="291" ht="15.75" customHeight="1">
      <c r="A291" s="124"/>
      <c r="B291" s="6"/>
      <c r="C291" s="124"/>
      <c r="D291" s="125" t="s">
        <v>31</v>
      </c>
      <c r="E291" s="126"/>
      <c r="F291" s="127">
        <v>3.0</v>
      </c>
      <c r="G291" s="128">
        <v>45942.0</v>
      </c>
      <c r="H291" s="129"/>
      <c r="I291" s="130"/>
      <c r="J291" s="131">
        <v>45815.0</v>
      </c>
      <c r="K291" s="132"/>
      <c r="L291" s="133"/>
      <c r="M291" s="134" t="str">
        <f>I156</f>
        <v/>
      </c>
      <c r="N291" s="135" t="str">
        <f>iferror(mround($P156*((VLOOKUP($J291,Sheet1!$D:$N,$G291+1,FALSE)-0.03)),2.5)," ")</f>
        <v> </v>
      </c>
      <c r="O291" s="135" t="str">
        <f>iferror(mround($P156*((VLOOKUP($J291,Sheet1!$D:$N,$G291+1,FALSE)+0.02)),2.5)," ")</f>
        <v> </v>
      </c>
      <c r="P291" s="56" t="str">
        <f>iferror(mround(I291/VLOOKUP(L291,Sheet1!$D$7:$N$16,G291+1,FALSE),2.5),"")</f>
        <v/>
      </c>
      <c r="Q291" s="303" t="str">
        <f t="shared" ref="Q291:Q312" si="6">IF(OR(ISBLANK(I291), ISBLANK(I156)), "", IF(I291 - I156 = 0, "", I291 - I156))</f>
        <v/>
      </c>
      <c r="S291" s="11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</row>
    <row r="292" ht="3.75" customHeight="1">
      <c r="A292" s="137"/>
      <c r="B292" s="70"/>
      <c r="C292" s="137"/>
      <c r="D292" s="138"/>
      <c r="E292" s="139"/>
      <c r="F292" s="140"/>
      <c r="G292" s="140"/>
      <c r="H292" s="140"/>
      <c r="I292" s="140"/>
      <c r="J292" s="141"/>
      <c r="K292" s="142"/>
      <c r="L292" s="143"/>
      <c r="M292" s="144"/>
      <c r="N292" s="145"/>
      <c r="O292" s="145"/>
      <c r="P292" s="122"/>
      <c r="Q292" s="304" t="str">
        <f t="shared" si="6"/>
        <v/>
      </c>
      <c r="S292" s="147"/>
      <c r="T292" s="148"/>
      <c r="U292" s="148"/>
      <c r="V292" s="148"/>
      <c r="W292" s="148"/>
      <c r="X292" s="148"/>
      <c r="Y292" s="148"/>
      <c r="Z292" s="148"/>
      <c r="AA292" s="148"/>
      <c r="AB292" s="148"/>
      <c r="AC292" s="148"/>
      <c r="AD292" s="148"/>
      <c r="AE292" s="148"/>
      <c r="AF292" s="148"/>
      <c r="AG292" s="148"/>
    </row>
    <row r="293" ht="15.75" customHeight="1">
      <c r="A293" s="149"/>
      <c r="B293" s="150"/>
      <c r="C293" s="149"/>
      <c r="D293" s="125" t="s">
        <v>32</v>
      </c>
      <c r="E293" s="126"/>
      <c r="F293" s="127">
        <v>3.0</v>
      </c>
      <c r="G293" s="128">
        <v>45942.0</v>
      </c>
      <c r="H293" s="129"/>
      <c r="I293" s="130"/>
      <c r="J293" s="151">
        <v>6.0</v>
      </c>
      <c r="K293" s="132"/>
      <c r="L293" s="133"/>
      <c r="M293" s="134" t="str">
        <f>I158</f>
        <v/>
      </c>
      <c r="N293" s="135" t="str">
        <f>iferror(mround($P158*((VLOOKUP($J293,Sheet1!$D:$N,$G293+1,FALSE)-0.03)),2.5)," ")</f>
        <v> </v>
      </c>
      <c r="O293" s="135" t="str">
        <f>iferror(mround($P158*((VLOOKUP($J293,Sheet1!$D:$N,$G293+1,FALSE)+0.02)),2.5)," ")</f>
        <v> </v>
      </c>
      <c r="P293" s="56" t="str">
        <f>iferror(mround(I293/VLOOKUP(L293,Sheet1!$D$7:$N$16,G293+1,FALSE),2.5),"")</f>
        <v/>
      </c>
      <c r="Q293" s="303" t="str">
        <f t="shared" si="6"/>
        <v/>
      </c>
      <c r="S293" s="11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</row>
    <row r="294" ht="3.75" customHeight="1">
      <c r="A294" s="152"/>
      <c r="B294" s="150"/>
      <c r="C294" s="153"/>
      <c r="D294" s="138"/>
      <c r="E294" s="154"/>
      <c r="F294" s="155"/>
      <c r="G294" s="102"/>
      <c r="H294" s="102"/>
      <c r="I294" s="102"/>
      <c r="J294" s="156"/>
      <c r="K294" s="142"/>
      <c r="L294" s="143"/>
      <c r="M294" s="144"/>
      <c r="N294" s="145"/>
      <c r="O294" s="145"/>
      <c r="P294" s="122"/>
      <c r="Q294" s="304" t="str">
        <f t="shared" si="6"/>
        <v/>
      </c>
      <c r="S294" s="157"/>
      <c r="T294" s="5"/>
      <c r="U294" s="5"/>
      <c r="V294" s="158"/>
      <c r="W294" s="158"/>
      <c r="X294" s="158"/>
      <c r="Y294" s="158"/>
      <c r="Z294" s="158"/>
      <c r="AA294" s="158"/>
      <c r="AB294" s="158"/>
      <c r="AC294" s="158"/>
      <c r="AD294" s="158"/>
      <c r="AE294" s="158"/>
      <c r="AF294" s="158"/>
      <c r="AG294" s="158"/>
    </row>
    <row r="295" ht="15.75" customHeight="1">
      <c r="A295" s="149"/>
      <c r="B295" s="150"/>
      <c r="C295" s="149"/>
      <c r="D295" s="159" t="s">
        <v>33</v>
      </c>
      <c r="E295" s="160" t="s">
        <v>34</v>
      </c>
      <c r="F295" s="127">
        <v>1.0</v>
      </c>
      <c r="G295" s="161">
        <v>5.0</v>
      </c>
      <c r="H295" s="129"/>
      <c r="I295" s="130"/>
      <c r="J295" s="151">
        <v>7.0</v>
      </c>
      <c r="K295" s="132"/>
      <c r="L295" s="133"/>
      <c r="M295" s="134" t="str">
        <f>I160</f>
        <v/>
      </c>
      <c r="N295" s="135">
        <f>iferror(mround($P160*((VLOOKUP($J295,Sheet1!$D:$N,$G295+1,FALSE)-0.03)),2.5)," ")</f>
        <v>0</v>
      </c>
      <c r="O295" s="135">
        <f>iferror(mround($P160*((VLOOKUP($J295,Sheet1!$D:$N,$G295+1,FALSE)+0.02)),2.5)," ")</f>
        <v>0</v>
      </c>
      <c r="P295" s="56" t="str">
        <f>iferror(mround(I295/VLOOKUP(L295,Sheet1!$D$7:$N$16,G295+1,FALSE),2.5),"")</f>
        <v/>
      </c>
      <c r="Q295" s="303" t="str">
        <f t="shared" si="6"/>
        <v/>
      </c>
      <c r="S295" s="11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</row>
    <row r="296" ht="3.75" customHeight="1">
      <c r="A296" s="162"/>
      <c r="B296" s="163"/>
      <c r="C296" s="162"/>
      <c r="D296" s="138"/>
      <c r="E296" s="139"/>
      <c r="F296" s="140"/>
      <c r="G296" s="140"/>
      <c r="H296" s="140"/>
      <c r="I296" s="140"/>
      <c r="J296" s="141"/>
      <c r="K296" s="142"/>
      <c r="L296" s="143"/>
      <c r="M296" s="144"/>
      <c r="N296" s="145"/>
      <c r="O296" s="145"/>
      <c r="P296" s="122"/>
      <c r="Q296" s="304" t="str">
        <f t="shared" si="6"/>
        <v/>
      </c>
      <c r="S296" s="147"/>
      <c r="T296" s="148"/>
      <c r="U296" s="148"/>
      <c r="V296" s="148"/>
      <c r="W296" s="148"/>
      <c r="X296" s="148"/>
      <c r="Y296" s="148"/>
      <c r="Z296" s="148"/>
      <c r="AA296" s="148"/>
      <c r="AB296" s="148"/>
      <c r="AC296" s="148"/>
      <c r="AD296" s="148"/>
      <c r="AE296" s="148"/>
      <c r="AF296" s="148"/>
      <c r="AG296" s="148"/>
    </row>
    <row r="297" ht="15.75" customHeight="1">
      <c r="A297" s="149"/>
      <c r="B297" s="150"/>
      <c r="C297" s="149"/>
      <c r="D297" s="159" t="s">
        <v>33</v>
      </c>
      <c r="E297" s="160" t="s">
        <v>34</v>
      </c>
      <c r="F297" s="127">
        <v>2.0</v>
      </c>
      <c r="G297" s="161">
        <v>5.0</v>
      </c>
      <c r="H297" s="129"/>
      <c r="I297" s="164">
        <f>MROUND(I295*(1+J297),5)</f>
        <v>0</v>
      </c>
      <c r="J297" s="165">
        <v>-0.1</v>
      </c>
      <c r="K297" s="132"/>
      <c r="L297" s="133"/>
      <c r="M297" s="134">
        <f>I162</f>
        <v>0</v>
      </c>
      <c r="N297" s="135" t="str">
        <f>iferror(mround($P162*((VLOOKUP($J297,Sheet1!$D:$N,$G297+1,FALSE)-0.03)),2.5)," ")</f>
        <v> </v>
      </c>
      <c r="O297" s="135" t="str">
        <f>iferror(mround($P162*((VLOOKUP($J297,Sheet1!$D:$N,$G297+1,FALSE)+0.02)),2.5)," ")</f>
        <v> </v>
      </c>
      <c r="P297" s="56" t="str">
        <f>iferror(mround(I297/VLOOKUP(L297,Sheet1!$D$7:$N$16,G297+1,FALSE),2.5),"")</f>
        <v/>
      </c>
      <c r="Q297" s="303" t="str">
        <f t="shared" si="6"/>
        <v/>
      </c>
      <c r="S297" s="11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</row>
    <row r="298" ht="3.75" customHeight="1">
      <c r="A298" s="162"/>
      <c r="B298" s="163"/>
      <c r="C298" s="162"/>
      <c r="D298" s="138"/>
      <c r="E298" s="139"/>
      <c r="F298" s="102"/>
      <c r="G298" s="102"/>
      <c r="H298" s="102"/>
      <c r="I298" s="102"/>
      <c r="J298" s="156"/>
      <c r="K298" s="142"/>
      <c r="L298" s="143"/>
      <c r="M298" s="144"/>
      <c r="N298" s="145"/>
      <c r="O298" s="145"/>
      <c r="P298" s="122"/>
      <c r="Q298" s="304" t="str">
        <f t="shared" si="6"/>
        <v/>
      </c>
      <c r="S298" s="147"/>
      <c r="T298" s="148"/>
      <c r="U298" s="148"/>
      <c r="V298" s="148"/>
      <c r="W298" s="148"/>
      <c r="X298" s="148"/>
      <c r="Y298" s="148"/>
      <c r="Z298" s="148"/>
      <c r="AA298" s="148"/>
      <c r="AB298" s="148"/>
      <c r="AC298" s="148"/>
      <c r="AD298" s="148"/>
      <c r="AE298" s="148"/>
      <c r="AF298" s="148"/>
      <c r="AG298" s="148"/>
    </row>
    <row r="299" ht="15.75" customHeight="1">
      <c r="A299" s="90"/>
      <c r="B299" s="6"/>
      <c r="C299" s="90"/>
      <c r="D299" s="166" t="s">
        <v>35</v>
      </c>
      <c r="E299" s="167" t="s">
        <v>36</v>
      </c>
      <c r="F299" s="127">
        <v>2.0</v>
      </c>
      <c r="G299" s="161">
        <v>6.0</v>
      </c>
      <c r="H299" s="129"/>
      <c r="I299" s="130"/>
      <c r="J299" s="151">
        <v>7.0</v>
      </c>
      <c r="K299" s="132"/>
      <c r="L299" s="133"/>
      <c r="M299" s="134" t="str">
        <f>I164</f>
        <v/>
      </c>
      <c r="N299" s="135">
        <f>iferror(mround($P164*((VLOOKUP($J299,Sheet1!$D:$N,$G299+1,FALSE)-0.03)),2.5)," ")</f>
        <v>0</v>
      </c>
      <c r="O299" s="135">
        <f>iferror(mround($P164*((VLOOKUP($J299,Sheet1!$D:$N,$G299+1,FALSE)+0.02)),2.5)," ")</f>
        <v>0</v>
      </c>
      <c r="P299" s="56" t="str">
        <f>iferror(mround(I299/VLOOKUP(L299,Sheet1!$D$7:$N$16,G299+1,FALSE),2.5),"")</f>
        <v/>
      </c>
      <c r="Q299" s="303" t="str">
        <f t="shared" si="6"/>
        <v/>
      </c>
      <c r="S299" s="11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</row>
    <row r="300" ht="3.75" customHeight="1">
      <c r="A300" s="168"/>
      <c r="B300" s="70"/>
      <c r="C300" s="168"/>
      <c r="D300" s="138"/>
      <c r="E300" s="139"/>
      <c r="F300" s="102"/>
      <c r="G300" s="102"/>
      <c r="H300" s="102"/>
      <c r="I300" s="102"/>
      <c r="J300" s="156"/>
      <c r="K300" s="142"/>
      <c r="L300" s="143"/>
      <c r="M300" s="144"/>
      <c r="N300" s="145"/>
      <c r="O300" s="145"/>
      <c r="P300" s="122"/>
      <c r="Q300" s="304" t="str">
        <f t="shared" si="6"/>
        <v/>
      </c>
      <c r="S300" s="147"/>
      <c r="T300" s="148"/>
      <c r="U300" s="148"/>
      <c r="V300" s="148"/>
      <c r="W300" s="148"/>
      <c r="X300" s="148"/>
      <c r="Y300" s="148"/>
      <c r="Z300" s="148"/>
      <c r="AA300" s="148"/>
      <c r="AB300" s="148"/>
      <c r="AC300" s="148"/>
      <c r="AD300" s="148"/>
      <c r="AE300" s="148"/>
      <c r="AF300" s="148"/>
      <c r="AG300" s="148"/>
    </row>
    <row r="301" ht="15.75" customHeight="1">
      <c r="A301" s="90"/>
      <c r="B301" s="6"/>
      <c r="C301" s="90"/>
      <c r="D301" s="166" t="s">
        <v>37</v>
      </c>
      <c r="E301" s="167" t="s">
        <v>38</v>
      </c>
      <c r="F301" s="127">
        <v>3.0</v>
      </c>
      <c r="G301" s="169">
        <v>45942.0</v>
      </c>
      <c r="H301" s="129"/>
      <c r="I301" s="130"/>
      <c r="J301" s="151">
        <v>8.0</v>
      </c>
      <c r="K301" s="170"/>
      <c r="L301" s="133"/>
      <c r="M301" s="134" t="str">
        <f>I166</f>
        <v/>
      </c>
      <c r="N301" s="135" t="str">
        <f>iferror(mround($P166*((VLOOKUP($J301,Sheet1!$D:$N,$G301+1,FALSE)-0.03)),2.5)," ")</f>
        <v> </v>
      </c>
      <c r="O301" s="135" t="str">
        <f>iferror(mround($P166*((VLOOKUP($J301,Sheet1!$D:$N,$G301+1,FALSE)+0.02)),2.5)," ")</f>
        <v> </v>
      </c>
      <c r="P301" s="56" t="str">
        <f>iferror(mround(I301/VLOOKUP(L301,Sheet1!$D$7:$N$16,G301+1,FALSE),2.5),"")</f>
        <v/>
      </c>
      <c r="Q301" s="303" t="str">
        <f t="shared" si="6"/>
        <v/>
      </c>
      <c r="S301" s="11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</row>
    <row r="302" ht="3.75" customHeight="1">
      <c r="A302" s="90"/>
      <c r="B302" s="6"/>
      <c r="C302" s="90"/>
      <c r="D302" s="171"/>
      <c r="E302" s="172"/>
      <c r="F302" s="173"/>
      <c r="G302" s="173"/>
      <c r="H302" s="173"/>
      <c r="I302" s="173"/>
      <c r="J302" s="174"/>
      <c r="K302" s="142"/>
      <c r="L302" s="143"/>
      <c r="M302" s="144"/>
      <c r="N302" s="145"/>
      <c r="O302" s="145"/>
      <c r="P302" s="122"/>
      <c r="Q302" s="304" t="str">
        <f t="shared" si="6"/>
        <v/>
      </c>
      <c r="S302" s="11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</row>
    <row r="303" ht="15.75" customHeight="1">
      <c r="A303" s="90"/>
      <c r="B303" s="6"/>
      <c r="C303" s="90"/>
      <c r="D303" s="166" t="s">
        <v>39</v>
      </c>
      <c r="E303" s="160"/>
      <c r="F303" s="127">
        <v>2.0</v>
      </c>
      <c r="G303" s="161" t="s">
        <v>16</v>
      </c>
      <c r="H303" s="129"/>
      <c r="I303" s="130"/>
      <c r="J303" s="151">
        <v>8.0</v>
      </c>
      <c r="K303" s="132"/>
      <c r="L303" s="133"/>
      <c r="M303" s="134" t="str">
        <f>I168</f>
        <v/>
      </c>
      <c r="N303" s="135" t="str">
        <f>iferror(mround($P168*((VLOOKUP($J303,Sheet1!$D:$N,$G303+1,FALSE)-0.03)),2.5)," ")</f>
        <v> </v>
      </c>
      <c r="O303" s="135" t="str">
        <f>iferror(mround($P168*((VLOOKUP($J303,Sheet1!$D:$N,$G303+1,FALSE)+0.02)),2.5)," ")</f>
        <v> </v>
      </c>
      <c r="P303" s="56" t="str">
        <f>iferror(mround(I303/VLOOKUP(L303,Sheet1!$D$7:$N$16,G303+1,FALSE),2.5),"")</f>
        <v/>
      </c>
      <c r="Q303" s="303" t="str">
        <f t="shared" si="6"/>
        <v/>
      </c>
      <c r="S303" s="11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</row>
    <row r="304" ht="3.75" customHeight="1">
      <c r="A304" s="90"/>
      <c r="B304" s="6"/>
      <c r="C304" s="90"/>
      <c r="D304" s="171"/>
      <c r="E304" s="172"/>
      <c r="F304" s="173"/>
      <c r="G304" s="173"/>
      <c r="H304" s="173"/>
      <c r="I304" s="173"/>
      <c r="J304" s="174"/>
      <c r="K304" s="142"/>
      <c r="L304" s="143"/>
      <c r="M304" s="144"/>
      <c r="N304" s="145"/>
      <c r="O304" s="145"/>
      <c r="P304" s="122"/>
      <c r="Q304" s="304" t="str">
        <f t="shared" si="6"/>
        <v/>
      </c>
      <c r="S304" s="11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</row>
    <row r="305" ht="15.75" customHeight="1">
      <c r="A305" s="90"/>
      <c r="B305" s="6"/>
      <c r="C305" s="90"/>
      <c r="D305" s="175" t="s">
        <v>40</v>
      </c>
      <c r="E305" s="176"/>
      <c r="F305" s="177">
        <v>3.0</v>
      </c>
      <c r="G305" s="178" t="s">
        <v>41</v>
      </c>
      <c r="H305" s="179"/>
      <c r="I305" s="180"/>
      <c r="J305" s="181">
        <v>8.0</v>
      </c>
      <c r="K305" s="182"/>
      <c r="L305" s="183"/>
      <c r="M305" s="134" t="str">
        <f>I170</f>
        <v/>
      </c>
      <c r="N305" s="135" t="str">
        <f>iferror(mround($P170*((VLOOKUP($J305,Sheet1!$D:$N,$G305+1,FALSE)-0.03)),2.5)," ")</f>
        <v> </v>
      </c>
      <c r="O305" s="135" t="str">
        <f>iferror(mround($P170*((VLOOKUP($J305,Sheet1!$D:$N,$G305+1,FALSE)+0.02)),2.5)," ")</f>
        <v> </v>
      </c>
      <c r="P305" s="56" t="str">
        <f>iferror(mround(I305/VLOOKUP(L305,Sheet1!$D$7:$N$16,G305+1,FALSE),2.5),"")</f>
        <v/>
      </c>
      <c r="Q305" s="303" t="str">
        <f t="shared" si="6"/>
        <v/>
      </c>
      <c r="S305" s="11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</row>
    <row r="306" ht="3.75" customHeight="1">
      <c r="A306" s="90"/>
      <c r="B306" s="6"/>
      <c r="C306" s="90"/>
      <c r="D306" s="138"/>
      <c r="E306" s="184"/>
      <c r="F306" s="102"/>
      <c r="G306" s="102"/>
      <c r="H306" s="102"/>
      <c r="I306" s="102"/>
      <c r="J306" s="156"/>
      <c r="K306" s="103"/>
      <c r="L306" s="143"/>
      <c r="M306" s="144"/>
      <c r="N306" s="145"/>
      <c r="O306" s="145"/>
      <c r="P306" s="122"/>
      <c r="Q306" s="304" t="str">
        <f t="shared" si="6"/>
        <v/>
      </c>
      <c r="S306" s="11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</row>
    <row r="307" ht="15.75" hidden="1" customHeight="1">
      <c r="A307" s="90"/>
      <c r="B307" s="6"/>
      <c r="C307" s="90"/>
      <c r="D307" s="185"/>
      <c r="E307" s="186"/>
      <c r="F307" s="187"/>
      <c r="G307" s="188"/>
      <c r="H307" s="129"/>
      <c r="I307" s="164"/>
      <c r="J307" s="189"/>
      <c r="K307" s="190"/>
      <c r="L307" s="183"/>
      <c r="M307" s="134" t="str">
        <f>I172</f>
        <v/>
      </c>
      <c r="N307" s="135" t="str">
        <f>iferror(mround($P172*((VLOOKUP($J307,Sheet1!$D:$N,$G307+1,FALSE)-0.03)),2.5)," ")</f>
        <v> </v>
      </c>
      <c r="O307" s="135" t="str">
        <f>iferror(mround($P172*((VLOOKUP($J307,Sheet1!$D:$N,$G307+1,FALSE)+0.02)),2.5)," ")</f>
        <v> </v>
      </c>
      <c r="P307" s="56" t="str">
        <f>iferror(mround(I307/VLOOKUP(L307,Sheet1!$D$7:$N$16,G307+1,FALSE),2.5),"")</f>
        <v/>
      </c>
      <c r="Q307" s="303" t="str">
        <f t="shared" si="6"/>
        <v/>
      </c>
      <c r="S307" s="11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</row>
    <row r="308" ht="3.75" hidden="1" customHeight="1">
      <c r="A308" s="191"/>
      <c r="B308" s="6"/>
      <c r="C308" s="192"/>
      <c r="D308" s="138"/>
      <c r="E308" s="193"/>
      <c r="F308" s="194"/>
      <c r="G308" s="155"/>
      <c r="H308" s="102"/>
      <c r="I308" s="102"/>
      <c r="J308" s="156"/>
      <c r="K308" s="103"/>
      <c r="L308" s="143"/>
      <c r="M308" s="144"/>
      <c r="N308" s="145"/>
      <c r="O308" s="145"/>
      <c r="P308" s="122"/>
      <c r="Q308" s="304" t="str">
        <f t="shared" si="6"/>
        <v/>
      </c>
      <c r="S308" s="157"/>
      <c r="T308" s="5"/>
      <c r="U308" s="5"/>
      <c r="V308" s="158"/>
      <c r="W308" s="158"/>
      <c r="X308" s="158"/>
      <c r="Y308" s="158"/>
      <c r="Z308" s="158"/>
      <c r="AA308" s="158"/>
      <c r="AB308" s="158"/>
      <c r="AC308" s="158"/>
      <c r="AD308" s="158"/>
      <c r="AE308" s="158"/>
      <c r="AF308" s="158"/>
      <c r="AG308" s="158"/>
    </row>
    <row r="309" ht="15.75" hidden="1" customHeight="1">
      <c r="A309" s="90"/>
      <c r="B309" s="6"/>
      <c r="C309" s="90"/>
      <c r="D309" s="185"/>
      <c r="E309" s="186"/>
      <c r="F309" s="187"/>
      <c r="G309" s="195"/>
      <c r="H309" s="129"/>
      <c r="I309" s="164"/>
      <c r="J309" s="189"/>
      <c r="K309" s="190"/>
      <c r="L309" s="183"/>
      <c r="M309" s="134" t="str">
        <f>I174</f>
        <v/>
      </c>
      <c r="N309" s="135" t="str">
        <f>iferror(mround($P174*((VLOOKUP($J309,Sheet1!$D:$N,$G309+1,FALSE)-0.03)),2.5)," ")</f>
        <v> </v>
      </c>
      <c r="O309" s="135" t="str">
        <f>iferror(mround($P174*((VLOOKUP($J309,Sheet1!$D:$N,$G309+1,FALSE)+0.02)),2.5)," ")</f>
        <v> </v>
      </c>
      <c r="P309" s="56" t="str">
        <f>iferror(mround(I309/VLOOKUP(L309,Sheet1!$D$7:$N$16,G309+1,FALSE),2.5),"")</f>
        <v/>
      </c>
      <c r="Q309" s="303" t="str">
        <f t="shared" si="6"/>
        <v/>
      </c>
      <c r="S309" s="11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</row>
    <row r="310" ht="3.75" hidden="1" customHeight="1">
      <c r="A310" s="90"/>
      <c r="B310" s="6"/>
      <c r="C310" s="90"/>
      <c r="D310" s="196"/>
      <c r="E310" s="184"/>
      <c r="F310" s="102"/>
      <c r="G310" s="102"/>
      <c r="H310" s="102"/>
      <c r="I310" s="102"/>
      <c r="J310" s="156"/>
      <c r="K310" s="103"/>
      <c r="L310" s="143"/>
      <c r="M310" s="144"/>
      <c r="N310" s="145"/>
      <c r="O310" s="145"/>
      <c r="P310" s="122"/>
      <c r="Q310" s="304" t="str">
        <f t="shared" si="6"/>
        <v/>
      </c>
      <c r="S310" s="11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</row>
    <row r="311" ht="15.75" hidden="1" customHeight="1">
      <c r="A311" s="90"/>
      <c r="B311" s="6"/>
      <c r="C311" s="90"/>
      <c r="D311" s="197"/>
      <c r="E311" s="198"/>
      <c r="F311" s="199"/>
      <c r="G311" s="195"/>
      <c r="H311" s="129"/>
      <c r="I311" s="164"/>
      <c r="J311" s="189"/>
      <c r="K311" s="190"/>
      <c r="L311" s="183"/>
      <c r="M311" s="134" t="str">
        <f>I176</f>
        <v/>
      </c>
      <c r="N311" s="135" t="str">
        <f>iferror(mround($P176*((VLOOKUP($J311,Sheet1!$D:$N,$G311+1,FALSE)-0.03)),2.5)," ")</f>
        <v> </v>
      </c>
      <c r="O311" s="135" t="str">
        <f>iferror(mround($P176*((VLOOKUP($J311,Sheet1!$D:$N,$G311+1,FALSE)+0.02)),2.5)," ")</f>
        <v> </v>
      </c>
      <c r="P311" s="56" t="str">
        <f>iferror(mround(I311/VLOOKUP(L311,Sheet1!$D$7:$N$16,G311+1,FALSE),2.5),"")</f>
        <v/>
      </c>
      <c r="Q311" s="303" t="str">
        <f t="shared" si="6"/>
        <v/>
      </c>
      <c r="S311" s="11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</row>
    <row r="312" ht="3.75" hidden="1" customHeight="1">
      <c r="A312" s="90"/>
      <c r="B312" s="6"/>
      <c r="C312" s="90"/>
      <c r="D312" s="90"/>
      <c r="E312" s="156"/>
      <c r="F312" s="102"/>
      <c r="G312" s="102"/>
      <c r="H312" s="102"/>
      <c r="I312" s="102"/>
      <c r="J312" s="156"/>
      <c r="K312" s="200"/>
      <c r="L312" s="201"/>
      <c r="M312" s="144"/>
      <c r="N312" s="47"/>
      <c r="O312" s="47"/>
      <c r="P312" s="122"/>
      <c r="Q312" s="304" t="str">
        <f t="shared" si="6"/>
        <v/>
      </c>
      <c r="S312" s="11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</row>
    <row r="313" ht="30.0" customHeight="1">
      <c r="A313" s="90"/>
      <c r="B313" s="6"/>
      <c r="C313" s="90"/>
      <c r="D313" s="202" t="s">
        <v>42</v>
      </c>
      <c r="E313" s="105" t="s">
        <v>15</v>
      </c>
      <c r="F313" s="106" t="s">
        <v>16</v>
      </c>
      <c r="G313" s="106" t="s">
        <v>17</v>
      </c>
      <c r="H313" s="107"/>
      <c r="I313" s="106" t="s">
        <v>18</v>
      </c>
      <c r="J313" s="108" t="s">
        <v>19</v>
      </c>
      <c r="L313" s="109" t="s">
        <v>20</v>
      </c>
      <c r="M313" s="110" t="s">
        <v>21</v>
      </c>
      <c r="N313" s="111" t="s">
        <v>22</v>
      </c>
      <c r="P313" s="112"/>
      <c r="Q313" s="113" t="s">
        <v>23</v>
      </c>
      <c r="R313" s="114" t="s">
        <v>43</v>
      </c>
      <c r="S313" s="11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</row>
    <row r="314" ht="14.25" customHeight="1">
      <c r="A314" s="90"/>
      <c r="B314" s="6"/>
      <c r="C314" s="90"/>
      <c r="D314" s="116" t="s">
        <v>25</v>
      </c>
      <c r="E314" s="117" t="s">
        <v>26</v>
      </c>
      <c r="H314" s="107"/>
      <c r="N314" s="111" t="s">
        <v>27</v>
      </c>
      <c r="O314" s="111" t="s">
        <v>28</v>
      </c>
      <c r="P314" s="112" t="s">
        <v>29</v>
      </c>
      <c r="R314" s="118" t="s">
        <v>30</v>
      </c>
      <c r="S314" s="11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</row>
    <row r="315" ht="3.75" customHeight="1">
      <c r="A315" s="191"/>
      <c r="B315" s="6"/>
      <c r="C315" s="192"/>
      <c r="D315" s="203"/>
      <c r="E315" s="204"/>
      <c r="F315" s="205"/>
      <c r="G315" s="205"/>
      <c r="H315" s="206"/>
      <c r="I315" s="207"/>
      <c r="J315" s="208"/>
      <c r="K315" s="209"/>
      <c r="L315" s="210"/>
      <c r="M315" s="211"/>
      <c r="N315" s="47"/>
      <c r="O315" s="47"/>
      <c r="P315" s="122"/>
      <c r="Q315" s="304" t="str">
        <f t="shared" ref="Q315:Q337" si="7">IF(OR(ISBLANK(I315), ISBLANK(I180)), "", IF(I315 - I180 = 0, "", I315 - I180))</f>
        <v/>
      </c>
      <c r="R315" s="212"/>
      <c r="S315" s="157"/>
      <c r="T315" s="5"/>
      <c r="U315" s="5"/>
      <c r="V315" s="158"/>
      <c r="W315" s="158"/>
      <c r="X315" s="158"/>
      <c r="Y315" s="158"/>
      <c r="Z315" s="158"/>
      <c r="AA315" s="158"/>
      <c r="AB315" s="158"/>
      <c r="AC315" s="158"/>
      <c r="AD315" s="158"/>
      <c r="AE315" s="158"/>
      <c r="AF315" s="158"/>
      <c r="AG315" s="158"/>
    </row>
    <row r="316" ht="15.75" customHeight="1">
      <c r="A316" s="124"/>
      <c r="B316" s="6"/>
      <c r="C316" s="124"/>
      <c r="D316" s="159" t="s">
        <v>33</v>
      </c>
      <c r="E316" s="167"/>
      <c r="F316" s="127">
        <v>1.0</v>
      </c>
      <c r="G316" s="127">
        <v>2.0</v>
      </c>
      <c r="H316" s="195"/>
      <c r="I316" s="130"/>
      <c r="J316" s="151">
        <v>7.5</v>
      </c>
      <c r="K316" s="213"/>
      <c r="L316" s="133"/>
      <c r="M316" s="134" t="str">
        <f>I181</f>
        <v/>
      </c>
      <c r="N316" s="135">
        <f>iferror(mround($P181*((VLOOKUP($J316,Sheet1!$D:$N,$G316+1,FALSE)-0.03)),2.5)," ")</f>
        <v>0</v>
      </c>
      <c r="O316" s="135">
        <f>iferror(mround($P181*((VLOOKUP($J316,Sheet1!$D:$N,$G316+1,FALSE)+0.02)),2.5)," ")</f>
        <v>0</v>
      </c>
      <c r="P316" s="112" t="str">
        <f>iferror(mround(I316/VLOOKUP(L316,Sheet1!$D$7:$N$16,G316+1,FALSE),2.5),"")</f>
        <v/>
      </c>
      <c r="Q316" s="303" t="str">
        <f t="shared" si="7"/>
        <v/>
      </c>
      <c r="R316" s="214"/>
      <c r="S316" s="11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</row>
    <row r="317" ht="3.75" customHeight="1">
      <c r="A317" s="124"/>
      <c r="B317" s="6"/>
      <c r="C317" s="124"/>
      <c r="D317" s="138"/>
      <c r="E317" s="215"/>
      <c r="F317" s="102"/>
      <c r="G317" s="102"/>
      <c r="H317" s="102"/>
      <c r="I317" s="102"/>
      <c r="J317" s="216"/>
      <c r="K317" s="217"/>
      <c r="L317" s="218"/>
      <c r="M317" s="144"/>
      <c r="N317" s="145"/>
      <c r="O317" s="145"/>
      <c r="P317" s="122"/>
      <c r="Q317" s="304" t="str">
        <f t="shared" si="7"/>
        <v/>
      </c>
      <c r="R317" s="214"/>
      <c r="S317" s="11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</row>
    <row r="318" ht="15.75" customHeight="1">
      <c r="A318" s="90"/>
      <c r="B318" s="6"/>
      <c r="C318" s="90"/>
      <c r="D318" s="159" t="s">
        <v>33</v>
      </c>
      <c r="E318" s="167"/>
      <c r="F318" s="127">
        <v>2.0</v>
      </c>
      <c r="G318" s="161">
        <v>5.0</v>
      </c>
      <c r="H318" s="195"/>
      <c r="I318" s="130"/>
      <c r="J318" s="151">
        <v>7.0</v>
      </c>
      <c r="K318" s="219"/>
      <c r="L318" s="133"/>
      <c r="M318" s="134" t="str">
        <f>I183</f>
        <v/>
      </c>
      <c r="N318" s="135">
        <f>iferror(mround($P183*((VLOOKUP($J318,Sheet1!$D:$N,$G318+1,FALSE)-0.03)),2.5)," ")</f>
        <v>0</v>
      </c>
      <c r="O318" s="135">
        <f>iferror(mround($P183*((VLOOKUP($J318,Sheet1!$D:$N,$G318+1,FALSE)+0.02)),2.5)," ")</f>
        <v>0</v>
      </c>
      <c r="P318" s="112" t="str">
        <f>iferror(mround(I318/VLOOKUP(L318,Sheet1!$D$7:$N$16,G318+1,FALSE),2.5),"")</f>
        <v/>
      </c>
      <c r="Q318" s="303" t="str">
        <f t="shared" si="7"/>
        <v/>
      </c>
      <c r="R318" s="214"/>
      <c r="S318" s="11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</row>
    <row r="319" ht="3.75" customHeight="1">
      <c r="A319" s="90"/>
      <c r="B319" s="6"/>
      <c r="C319" s="90"/>
      <c r="D319" s="138"/>
      <c r="E319" s="215"/>
      <c r="F319" s="102"/>
      <c r="G319" s="102"/>
      <c r="H319" s="102"/>
      <c r="I319" s="102"/>
      <c r="J319" s="156"/>
      <c r="K319" s="217"/>
      <c r="L319" s="218"/>
      <c r="M319" s="144"/>
      <c r="N319" s="145"/>
      <c r="O319" s="145"/>
      <c r="P319" s="122"/>
      <c r="Q319" s="304" t="str">
        <f t="shared" si="7"/>
        <v/>
      </c>
      <c r="R319" s="214"/>
      <c r="S319" s="11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</row>
    <row r="320" ht="15.75" customHeight="1">
      <c r="A320" s="90"/>
      <c r="B320" s="6"/>
      <c r="C320" s="90"/>
      <c r="D320" s="159" t="s">
        <v>44</v>
      </c>
      <c r="E320" s="167"/>
      <c r="F320" s="127">
        <v>3.0</v>
      </c>
      <c r="G320" s="169">
        <v>45577.0</v>
      </c>
      <c r="H320" s="195"/>
      <c r="I320" s="130"/>
      <c r="J320" s="151">
        <v>8.0</v>
      </c>
      <c r="K320" s="219"/>
      <c r="L320" s="133"/>
      <c r="M320" s="134" t="str">
        <f>I185</f>
        <v/>
      </c>
      <c r="N320" s="135" t="str">
        <f>iferror(mround($P185*((VLOOKUP($J320,Sheet1!$D:$N,$G320+1,FALSE)-0.03)),2.5)," ")</f>
        <v> </v>
      </c>
      <c r="O320" s="135" t="str">
        <f>iferror(mround($P185*((VLOOKUP($J320,Sheet1!$D:$N,$G320+1,FALSE)+0.02)),2.5)," ")</f>
        <v> </v>
      </c>
      <c r="P320" s="112" t="str">
        <f>iferror(mround(I320/VLOOKUP(L320,Sheet1!$D$7:$N$16,G320+1,FALSE),2.5),"")</f>
        <v/>
      </c>
      <c r="Q320" s="303" t="str">
        <f t="shared" si="7"/>
        <v/>
      </c>
      <c r="R320" s="214"/>
      <c r="S320" s="11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</row>
    <row r="321" ht="3.75" customHeight="1">
      <c r="A321" s="90"/>
      <c r="B321" s="6"/>
      <c r="C321" s="90"/>
      <c r="D321" s="138"/>
      <c r="E321" s="215"/>
      <c r="F321" s="102"/>
      <c r="G321" s="102"/>
      <c r="H321" s="102"/>
      <c r="I321" s="102"/>
      <c r="J321" s="156"/>
      <c r="K321" s="217"/>
      <c r="L321" s="143"/>
      <c r="M321" s="144"/>
      <c r="N321" s="145"/>
      <c r="O321" s="145"/>
      <c r="P321" s="122"/>
      <c r="Q321" s="304" t="str">
        <f t="shared" si="7"/>
        <v/>
      </c>
      <c r="R321" s="214"/>
      <c r="S321" s="11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</row>
    <row r="322" ht="15.75" customHeight="1">
      <c r="A322" s="90"/>
      <c r="B322" s="6"/>
      <c r="C322" s="90"/>
      <c r="D322" s="159" t="s">
        <v>45</v>
      </c>
      <c r="E322" s="220"/>
      <c r="F322" s="127">
        <v>3.0</v>
      </c>
      <c r="G322" s="127" t="s">
        <v>41</v>
      </c>
      <c r="H322" s="195"/>
      <c r="I322" s="164"/>
      <c r="J322" s="151">
        <v>8.0</v>
      </c>
      <c r="K322" s="213"/>
      <c r="L322" s="133"/>
      <c r="M322" s="134" t="str">
        <f>I187</f>
        <v/>
      </c>
      <c r="N322" s="135" t="str">
        <f>iferror(mround($P187*((VLOOKUP($J322,Sheet1!$D:$N,$G322+1,FALSE)-0.03)),2.5)," ")</f>
        <v> </v>
      </c>
      <c r="O322" s="135" t="str">
        <f>iferror(mround($P187*((VLOOKUP($J322,Sheet1!$D:$N,$G322+1,FALSE)+0.02)),2.5)," ")</f>
        <v> </v>
      </c>
      <c r="P322" s="112" t="str">
        <f>iferror(mround(I322/VLOOKUP(L322,Sheet1!$D$7:$N$16,G322+1,FALSE),2.5),"")</f>
        <v/>
      </c>
      <c r="Q322" s="303" t="str">
        <f t="shared" si="7"/>
        <v/>
      </c>
      <c r="R322" s="214"/>
      <c r="S322" s="11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</row>
    <row r="323" ht="3.75" customHeight="1">
      <c r="A323" s="90"/>
      <c r="B323" s="6"/>
      <c r="C323" s="90"/>
      <c r="D323" s="138"/>
      <c r="E323" s="215"/>
      <c r="F323" s="102"/>
      <c r="G323" s="102"/>
      <c r="H323" s="102"/>
      <c r="I323" s="102"/>
      <c r="J323" s="156"/>
      <c r="K323" s="217"/>
      <c r="L323" s="143"/>
      <c r="M323" s="144"/>
      <c r="N323" s="145"/>
      <c r="O323" s="145"/>
      <c r="P323" s="122"/>
      <c r="Q323" s="304" t="str">
        <f t="shared" si="7"/>
        <v/>
      </c>
      <c r="R323" s="214"/>
      <c r="S323" s="11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</row>
    <row r="324" ht="15.75" customHeight="1">
      <c r="A324" s="90"/>
      <c r="B324" s="6"/>
      <c r="C324" s="90"/>
      <c r="D324" s="159" t="s">
        <v>46</v>
      </c>
      <c r="E324" s="220"/>
      <c r="F324" s="127">
        <v>3.0</v>
      </c>
      <c r="G324" s="127" t="s">
        <v>16</v>
      </c>
      <c r="H324" s="195"/>
      <c r="I324" s="130"/>
      <c r="J324" s="151">
        <v>9.0</v>
      </c>
      <c r="K324" s="213"/>
      <c r="L324" s="133"/>
      <c r="M324" s="134" t="str">
        <f>I189</f>
        <v/>
      </c>
      <c r="N324" s="135" t="str">
        <f>iferror(mround($P189*((VLOOKUP($J324,Sheet1!$D:$N,$G324+1,FALSE)-0.03)),2.5)," ")</f>
        <v> </v>
      </c>
      <c r="O324" s="135" t="str">
        <f>iferror(mround($P189*((VLOOKUP($J324,Sheet1!$D:$N,$G324+1,FALSE)+0.02)),2.5)," ")</f>
        <v> </v>
      </c>
      <c r="P324" s="112" t="str">
        <f>iferror(mround(I324/VLOOKUP(L324,Sheet1!$D$7:$N$16,G324+1,FALSE),2.5),"")</f>
        <v/>
      </c>
      <c r="Q324" s="303" t="str">
        <f t="shared" si="7"/>
        <v/>
      </c>
      <c r="R324" s="214"/>
      <c r="S324" s="11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</row>
    <row r="325" ht="3.75" customHeight="1">
      <c r="A325" s="90"/>
      <c r="B325" s="6"/>
      <c r="C325" s="90"/>
      <c r="D325" s="138"/>
      <c r="E325" s="215"/>
      <c r="F325" s="102"/>
      <c r="G325" s="102"/>
      <c r="H325" s="102"/>
      <c r="I325" s="102"/>
      <c r="J325" s="156"/>
      <c r="K325" s="217"/>
      <c r="L325" s="143"/>
      <c r="M325" s="144"/>
      <c r="N325" s="145"/>
      <c r="O325" s="145"/>
      <c r="P325" s="122"/>
      <c r="Q325" s="304" t="str">
        <f t="shared" si="7"/>
        <v/>
      </c>
      <c r="R325" s="214"/>
      <c r="S325" s="11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</row>
    <row r="326" ht="15.75" customHeight="1">
      <c r="A326" s="90"/>
      <c r="B326" s="6"/>
      <c r="C326" s="90"/>
      <c r="D326" s="159" t="s">
        <v>47</v>
      </c>
      <c r="E326" s="220"/>
      <c r="F326" s="127">
        <v>3.0</v>
      </c>
      <c r="G326" s="221">
        <v>45641.0</v>
      </c>
      <c r="H326" s="195"/>
      <c r="I326" s="130"/>
      <c r="J326" s="151">
        <v>9.0</v>
      </c>
      <c r="K326" s="213"/>
      <c r="L326" s="183"/>
      <c r="M326" s="134" t="str">
        <f>I191</f>
        <v/>
      </c>
      <c r="N326" s="135" t="str">
        <f>iferror(mround($P191*((VLOOKUP($J326,Sheet1!$D:$N,$G326+1,FALSE)-0.03)),2.5)," ")</f>
        <v> </v>
      </c>
      <c r="O326" s="135" t="str">
        <f>iferror(mround($P191*((VLOOKUP($J326,Sheet1!$D:$N,$G326+1,FALSE)+0.02)),2.5)," ")</f>
        <v> </v>
      </c>
      <c r="P326" s="112" t="str">
        <f>iferror(mround(I326/VLOOKUP(L326,Sheet1!$D$7:$N$16,G326+1,FALSE),2.5),"")</f>
        <v/>
      </c>
      <c r="Q326" s="303" t="str">
        <f t="shared" si="7"/>
        <v/>
      </c>
      <c r="R326" s="214"/>
      <c r="S326" s="11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</row>
    <row r="327" ht="3.75" customHeight="1">
      <c r="A327" s="90"/>
      <c r="B327" s="6"/>
      <c r="C327" s="90"/>
      <c r="D327" s="138"/>
      <c r="E327" s="215"/>
      <c r="F327" s="102"/>
      <c r="G327" s="102"/>
      <c r="H327" s="102"/>
      <c r="I327" s="102"/>
      <c r="J327" s="156"/>
      <c r="K327" s="222"/>
      <c r="L327" s="143"/>
      <c r="M327" s="144"/>
      <c r="N327" s="145"/>
      <c r="O327" s="145"/>
      <c r="P327" s="122"/>
      <c r="Q327" s="304" t="str">
        <f t="shared" si="7"/>
        <v/>
      </c>
      <c r="R327" s="214"/>
      <c r="S327" s="11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</row>
    <row r="328" ht="18.0" customHeight="1">
      <c r="A328" s="90"/>
      <c r="B328" s="6"/>
      <c r="C328" s="90"/>
      <c r="D328" s="159" t="s">
        <v>48</v>
      </c>
      <c r="E328" s="220"/>
      <c r="F328" s="127">
        <v>3.0</v>
      </c>
      <c r="G328" s="221">
        <v>45942.0</v>
      </c>
      <c r="H328" s="195"/>
      <c r="I328" s="130"/>
      <c r="J328" s="151">
        <v>9.0</v>
      </c>
      <c r="K328" s="190"/>
      <c r="L328" s="183"/>
      <c r="M328" s="134" t="str">
        <f>I193</f>
        <v/>
      </c>
      <c r="N328" s="135" t="str">
        <f>iferror(mround($P193*((VLOOKUP($J328,Sheet1!$D:$N,$G328+1,FALSE)-0.03)),2.5)," ")</f>
        <v> </v>
      </c>
      <c r="O328" s="135" t="str">
        <f>iferror(mround($P193*((VLOOKUP($J328,Sheet1!$D:$N,$G328+1,FALSE)+0.02)),2.5)," ")</f>
        <v> </v>
      </c>
      <c r="P328" s="112" t="str">
        <f>iferror(mround(I328/VLOOKUP(L328,Sheet1!$D$7:$N$16,G328+1,FALSE),2.5),"")</f>
        <v/>
      </c>
      <c r="Q328" s="303" t="str">
        <f t="shared" si="7"/>
        <v/>
      </c>
      <c r="R328" s="214"/>
      <c r="S328" s="11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</row>
    <row r="329" ht="3.75" customHeight="1">
      <c r="A329" s="191"/>
      <c r="B329" s="6"/>
      <c r="C329" s="192"/>
      <c r="D329" s="138"/>
      <c r="E329" s="223"/>
      <c r="F329" s="194"/>
      <c r="G329" s="194"/>
      <c r="H329" s="155"/>
      <c r="I329" s="210"/>
      <c r="J329" s="216"/>
      <c r="K329" s="222"/>
      <c r="L329" s="143"/>
      <c r="M329" s="144"/>
      <c r="N329" s="145"/>
      <c r="O329" s="145"/>
      <c r="P329" s="122"/>
      <c r="Q329" s="304" t="str">
        <f t="shared" si="7"/>
        <v/>
      </c>
      <c r="R329" s="214"/>
      <c r="S329" s="157"/>
      <c r="T329" s="5"/>
      <c r="U329" s="5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</row>
    <row r="330" ht="15.75" hidden="1" customHeight="1">
      <c r="A330" s="90"/>
      <c r="B330" s="6"/>
      <c r="C330" s="90"/>
      <c r="D330" s="185"/>
      <c r="E330" s="186"/>
      <c r="F330" s="187"/>
      <c r="G330" s="187"/>
      <c r="H330" s="195"/>
      <c r="I330" s="164"/>
      <c r="J330" s="189"/>
      <c r="K330" s="190"/>
      <c r="L330" s="183"/>
      <c r="M330" s="134" t="str">
        <f>I195</f>
        <v/>
      </c>
      <c r="N330" s="135" t="str">
        <f>iferror(mround($P195*((VLOOKUP($J330,Sheet1!$D:$N,$G330+1,FALSE)-0.03)),2.5)," ")</f>
        <v> </v>
      </c>
      <c r="O330" s="135" t="str">
        <f>iferror(mround($P195*((VLOOKUP($J330,Sheet1!$D:$N,$G330+1,FALSE)+0.02)),2.5)," ")</f>
        <v> </v>
      </c>
      <c r="P330" s="112" t="str">
        <f>iferror(mround(I330/VLOOKUP(L330,Sheet1!$D$7:$N$16,G330+1,FALSE),2.5),"")</f>
        <v/>
      </c>
      <c r="Q330" s="303" t="str">
        <f t="shared" si="7"/>
        <v/>
      </c>
      <c r="R330" s="214"/>
      <c r="S330" s="11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</row>
    <row r="331" ht="3.75" hidden="1" customHeight="1">
      <c r="A331" s="90"/>
      <c r="B331" s="6"/>
      <c r="C331" s="90"/>
      <c r="D331" s="138"/>
      <c r="E331" s="184"/>
      <c r="F331" s="102"/>
      <c r="G331" s="102"/>
      <c r="H331" s="102"/>
      <c r="I331" s="102"/>
      <c r="J331" s="156"/>
      <c r="K331" s="222"/>
      <c r="L331" s="143"/>
      <c r="M331" s="144"/>
      <c r="N331" s="145"/>
      <c r="O331" s="145"/>
      <c r="P331" s="122"/>
      <c r="Q331" s="304" t="str">
        <f t="shared" si="7"/>
        <v/>
      </c>
      <c r="R331" s="214"/>
      <c r="S331" s="11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</row>
    <row r="332" ht="15.75" hidden="1" customHeight="1">
      <c r="A332" s="90"/>
      <c r="B332" s="6"/>
      <c r="C332" s="90"/>
      <c r="D332" s="185"/>
      <c r="E332" s="224"/>
      <c r="F332" s="187"/>
      <c r="G332" s="187"/>
      <c r="H332" s="195"/>
      <c r="I332" s="164"/>
      <c r="J332" s="189"/>
      <c r="K332" s="190"/>
      <c r="L332" s="183"/>
      <c r="M332" s="134" t="str">
        <f>I197</f>
        <v/>
      </c>
      <c r="N332" s="135" t="str">
        <f>iferror(mround($P197*((VLOOKUP($J332,Sheet1!$D:$N,$G332+1,FALSE)-0.03)),2.5)," ")</f>
        <v> </v>
      </c>
      <c r="O332" s="135" t="str">
        <f>iferror(mround($P197*((VLOOKUP($J332,Sheet1!$D:$N,$G332+1,FALSE)+0.02)),2.5)," ")</f>
        <v> </v>
      </c>
      <c r="P332" s="112" t="str">
        <f>iferror(mround(I332/VLOOKUP(L332,Sheet1!$D$7:$N$16,G332+1,FALSE),2.5),"")</f>
        <v/>
      </c>
      <c r="Q332" s="303" t="str">
        <f t="shared" si="7"/>
        <v/>
      </c>
      <c r="R332" s="214"/>
      <c r="S332" s="11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</row>
    <row r="333" ht="3.75" hidden="1" customHeight="1">
      <c r="A333" s="191"/>
      <c r="B333" s="6"/>
      <c r="C333" s="192"/>
      <c r="D333" s="138"/>
      <c r="E333" s="193"/>
      <c r="F333" s="194"/>
      <c r="G333" s="194"/>
      <c r="H333" s="155"/>
      <c r="I333" s="210"/>
      <c r="J333" s="216"/>
      <c r="K333" s="222"/>
      <c r="L333" s="143"/>
      <c r="M333" s="144"/>
      <c r="N333" s="145"/>
      <c r="O333" s="145"/>
      <c r="P333" s="122"/>
      <c r="Q333" s="304" t="str">
        <f t="shared" si="7"/>
        <v/>
      </c>
      <c r="R333" s="214"/>
      <c r="S333" s="157"/>
      <c r="T333" s="5"/>
      <c r="U333" s="5"/>
      <c r="V333" s="158"/>
      <c r="W333" s="158"/>
      <c r="X333" s="158"/>
      <c r="Y333" s="158"/>
      <c r="Z333" s="158"/>
      <c r="AA333" s="158"/>
      <c r="AB333" s="158"/>
      <c r="AC333" s="158"/>
      <c r="AD333" s="158"/>
      <c r="AE333" s="158"/>
      <c r="AF333" s="158"/>
      <c r="AG333" s="158"/>
    </row>
    <row r="334" ht="15.75" hidden="1" customHeight="1">
      <c r="A334" s="90"/>
      <c r="B334" s="6"/>
      <c r="C334" s="90"/>
      <c r="D334" s="185"/>
      <c r="E334" s="186"/>
      <c r="F334" s="187"/>
      <c r="G334" s="187"/>
      <c r="H334" s="195"/>
      <c r="I334" s="164"/>
      <c r="J334" s="189"/>
      <c r="K334" s="190"/>
      <c r="L334" s="183"/>
      <c r="M334" s="134" t="str">
        <f>I199</f>
        <v/>
      </c>
      <c r="N334" s="135" t="str">
        <f>iferror(mround($P199*((VLOOKUP($J334,Sheet1!$D:$N,$G334+1,FALSE)-0.03)),2.5)," ")</f>
        <v> </v>
      </c>
      <c r="O334" s="135" t="str">
        <f>iferror(mround($P199*((VLOOKUP($J334,Sheet1!$D:$N,$G334+1,FALSE)+0.02)),2.5)," ")</f>
        <v> </v>
      </c>
      <c r="P334" s="112" t="str">
        <f>iferror(mround(I334/VLOOKUP(L334,Sheet1!$D$7:$N$16,G334+1,FALSE),2.5),"")</f>
        <v/>
      </c>
      <c r="Q334" s="303" t="str">
        <f t="shared" si="7"/>
        <v/>
      </c>
      <c r="R334" s="214"/>
      <c r="S334" s="11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</row>
    <row r="335" ht="3.75" hidden="1" customHeight="1">
      <c r="A335" s="90"/>
      <c r="B335" s="6"/>
      <c r="C335" s="90"/>
      <c r="D335" s="196"/>
      <c r="E335" s="184"/>
      <c r="F335" s="102"/>
      <c r="G335" s="102"/>
      <c r="H335" s="102"/>
      <c r="I335" s="102"/>
      <c r="J335" s="156"/>
      <c r="K335" s="222"/>
      <c r="L335" s="143"/>
      <c r="M335" s="144"/>
      <c r="N335" s="145"/>
      <c r="O335" s="145"/>
      <c r="P335" s="122"/>
      <c r="Q335" s="304" t="str">
        <f t="shared" si="7"/>
        <v/>
      </c>
      <c r="R335" s="214"/>
      <c r="S335" s="11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</row>
    <row r="336" ht="15.75" hidden="1" customHeight="1">
      <c r="A336" s="90"/>
      <c r="B336" s="6"/>
      <c r="C336" s="90"/>
      <c r="D336" s="197"/>
      <c r="E336" s="198"/>
      <c r="F336" s="199"/>
      <c r="G336" s="187"/>
      <c r="H336" s="195"/>
      <c r="I336" s="164"/>
      <c r="J336" s="189"/>
      <c r="K336" s="190"/>
      <c r="L336" s="183"/>
      <c r="M336" s="134" t="str">
        <f>I201</f>
        <v/>
      </c>
      <c r="N336" s="135" t="str">
        <f>iferror(mround($P201*((VLOOKUP($J336,Sheet1!$D:$N,$G336+1,FALSE)-0.03)),2.5)," ")</f>
        <v> </v>
      </c>
      <c r="O336" s="135" t="str">
        <f>iferror(mround($P201*((VLOOKUP($J336,Sheet1!$D:$N,$G336+1,FALSE)+0.02)),2.5)," ")</f>
        <v> </v>
      </c>
      <c r="P336" s="112" t="str">
        <f>iferror(mround(I336/VLOOKUP(L336,Sheet1!$D$7:$N$16,G336+1,FALSE),2.5),"")</f>
        <v/>
      </c>
      <c r="Q336" s="303" t="str">
        <f t="shared" si="7"/>
        <v/>
      </c>
      <c r="R336" s="214"/>
      <c r="S336" s="11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</row>
    <row r="337" ht="3.75" hidden="1" customHeight="1">
      <c r="A337" s="90"/>
      <c r="B337" s="6"/>
      <c r="C337" s="90"/>
      <c r="D337" s="90"/>
      <c r="E337" s="156"/>
      <c r="F337" s="102"/>
      <c r="G337" s="102"/>
      <c r="H337" s="102"/>
      <c r="I337" s="102"/>
      <c r="J337" s="156"/>
      <c r="K337" s="222"/>
      <c r="L337" s="201"/>
      <c r="M337" s="211"/>
      <c r="N337" s="47"/>
      <c r="O337" s="47"/>
      <c r="P337" s="122"/>
      <c r="Q337" s="304" t="str">
        <f t="shared" si="7"/>
        <v/>
      </c>
      <c r="R337" s="214"/>
      <c r="S337" s="11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</row>
    <row r="338" ht="30.75" customHeight="1">
      <c r="A338" s="90"/>
      <c r="B338" s="6"/>
      <c r="C338" s="90"/>
      <c r="D338" s="202" t="s">
        <v>49</v>
      </c>
      <c r="E338" s="105" t="s">
        <v>15</v>
      </c>
      <c r="F338" s="106" t="s">
        <v>16</v>
      </c>
      <c r="G338" s="106" t="s">
        <v>17</v>
      </c>
      <c r="H338" s="107"/>
      <c r="I338" s="106" t="s">
        <v>18</v>
      </c>
      <c r="J338" s="108" t="s">
        <v>19</v>
      </c>
      <c r="L338" s="109" t="s">
        <v>20</v>
      </c>
      <c r="M338" s="110" t="s">
        <v>21</v>
      </c>
      <c r="N338" s="111" t="s">
        <v>22</v>
      </c>
      <c r="P338" s="112"/>
      <c r="Q338" s="113" t="s">
        <v>23</v>
      </c>
      <c r="R338" s="114" t="s">
        <v>50</v>
      </c>
      <c r="S338" s="11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</row>
    <row r="339" ht="14.25" customHeight="1">
      <c r="A339" s="90"/>
      <c r="B339" s="6"/>
      <c r="C339" s="90"/>
      <c r="D339" s="116" t="s">
        <v>25</v>
      </c>
      <c r="E339" s="117" t="s">
        <v>26</v>
      </c>
      <c r="H339" s="107"/>
      <c r="N339" s="111" t="s">
        <v>27</v>
      </c>
      <c r="O339" s="111" t="s">
        <v>28</v>
      </c>
      <c r="P339" s="112" t="s">
        <v>29</v>
      </c>
      <c r="R339" s="118" t="s">
        <v>30</v>
      </c>
      <c r="S339" s="11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</row>
    <row r="340" ht="3.75" customHeight="1">
      <c r="A340" s="191"/>
      <c r="B340" s="6"/>
      <c r="C340" s="192"/>
      <c r="D340" s="203"/>
      <c r="E340" s="203"/>
      <c r="F340" s="205"/>
      <c r="G340" s="205"/>
      <c r="H340" s="205"/>
      <c r="I340" s="225"/>
      <c r="J340" s="226"/>
      <c r="K340" s="209"/>
      <c r="L340" s="210"/>
      <c r="M340" s="211"/>
      <c r="N340" s="47"/>
      <c r="O340" s="47"/>
      <c r="P340" s="122"/>
      <c r="Q340" s="304" t="str">
        <f t="shared" ref="Q340:Q360" si="8">IF(OR(ISBLANK(I340), ISBLANK(I205)), "", IF(I340 - I205 = 0, "", I340 - I205))</f>
        <v/>
      </c>
      <c r="R340" s="212"/>
      <c r="S340" s="157"/>
      <c r="T340" s="5"/>
      <c r="U340" s="5"/>
      <c r="V340" s="158"/>
      <c r="W340" s="158"/>
      <c r="X340" s="158"/>
      <c r="Y340" s="158"/>
      <c r="Z340" s="158"/>
      <c r="AA340" s="158"/>
      <c r="AB340" s="158"/>
      <c r="AC340" s="158"/>
      <c r="AD340" s="158"/>
      <c r="AE340" s="158"/>
      <c r="AF340" s="158"/>
      <c r="AG340" s="158"/>
    </row>
    <row r="341" ht="15.75" customHeight="1">
      <c r="A341" s="124"/>
      <c r="B341" s="6"/>
      <c r="C341" s="124"/>
      <c r="D341" s="125" t="s">
        <v>6</v>
      </c>
      <c r="E341" s="126"/>
      <c r="F341" s="127">
        <v>3.0</v>
      </c>
      <c r="G341" s="128">
        <v>45816.0</v>
      </c>
      <c r="H341" s="129"/>
      <c r="I341" s="130"/>
      <c r="J341" s="151">
        <v>5.0</v>
      </c>
      <c r="K341" s="219"/>
      <c r="L341" s="133"/>
      <c r="M341" s="134" t="str">
        <f>I206</f>
        <v/>
      </c>
      <c r="N341" s="135" t="str">
        <f>iferror(mround($P206*((VLOOKUP($J341,Sheet1!$D:$N,$G341+1,FALSE)-0.03)),2.5)," ")</f>
        <v> </v>
      </c>
      <c r="O341" s="135" t="str">
        <f>iferror(mround($P206*((VLOOKUP($J341,Sheet1!$D:$N,$G341+1,FALSE)+0.02)),2.5)," ")</f>
        <v> </v>
      </c>
      <c r="P341" s="112" t="str">
        <f>iferror(mround(I341/VLOOKUP(L341,Sheet1!$D$7:$N$16,G341+1,FALSE),2.5),"")</f>
        <v/>
      </c>
      <c r="Q341" s="303" t="str">
        <f t="shared" si="8"/>
        <v/>
      </c>
      <c r="R341" s="214"/>
      <c r="S341" s="11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</row>
    <row r="342" ht="3.75" customHeight="1">
      <c r="A342" s="124"/>
      <c r="B342" s="6"/>
      <c r="C342" s="124"/>
      <c r="D342" s="138"/>
      <c r="E342" s="139"/>
      <c r="F342" s="140"/>
      <c r="G342" s="140"/>
      <c r="H342" s="140"/>
      <c r="I342" s="140"/>
      <c r="J342" s="141"/>
      <c r="K342" s="217"/>
      <c r="L342" s="218"/>
      <c r="M342" s="144"/>
      <c r="N342" s="145"/>
      <c r="O342" s="145"/>
      <c r="P342" s="122"/>
      <c r="Q342" s="304" t="str">
        <f t="shared" si="8"/>
        <v/>
      </c>
      <c r="R342" s="214"/>
      <c r="S342" s="11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</row>
    <row r="343" ht="15.75" customHeight="1">
      <c r="A343" s="90"/>
      <c r="B343" s="6"/>
      <c r="C343" s="90"/>
      <c r="D343" s="125" t="s">
        <v>10</v>
      </c>
      <c r="E343" s="126"/>
      <c r="F343" s="127">
        <v>3.0</v>
      </c>
      <c r="G343" s="128">
        <v>45879.0</v>
      </c>
      <c r="H343" s="129"/>
      <c r="I343" s="130"/>
      <c r="J343" s="151">
        <v>5.0</v>
      </c>
      <c r="K343" s="213"/>
      <c r="L343" s="133"/>
      <c r="M343" s="134" t="str">
        <f>I208</f>
        <v/>
      </c>
      <c r="N343" s="135" t="str">
        <f>iferror(mround($P208*((VLOOKUP($J343,Sheet1!$D:$N,$G343+1,FALSE)-0.03)),2.5)," ")</f>
        <v> </v>
      </c>
      <c r="O343" s="135" t="str">
        <f>iferror(mround($P208*((VLOOKUP($J343,Sheet1!$D:$N,$G343+1,FALSE)+0.02)),2.5)," ")</f>
        <v> </v>
      </c>
      <c r="P343" s="112" t="str">
        <f>iferror(mround(I343/VLOOKUP(L343,Sheet1!$D$7:$N$16,G343+1,FALSE),2.5),"")</f>
        <v/>
      </c>
      <c r="Q343" s="303" t="str">
        <f t="shared" si="8"/>
        <v/>
      </c>
      <c r="R343" s="214"/>
      <c r="S343" s="11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</row>
    <row r="344" ht="3.75" customHeight="1">
      <c r="A344" s="90"/>
      <c r="B344" s="6"/>
      <c r="C344" s="90"/>
      <c r="D344" s="138"/>
      <c r="E344" s="215"/>
      <c r="F344" s="102"/>
      <c r="G344" s="102"/>
      <c r="H344" s="102"/>
      <c r="I344" s="102"/>
      <c r="J344" s="156"/>
      <c r="K344" s="217"/>
      <c r="L344" s="218"/>
      <c r="M344" s="144"/>
      <c r="N344" s="145"/>
      <c r="O344" s="145"/>
      <c r="P344" s="122"/>
      <c r="Q344" s="304" t="str">
        <f t="shared" si="8"/>
        <v/>
      </c>
      <c r="R344" s="214"/>
      <c r="S344" s="11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</row>
    <row r="345" ht="15.75" hidden="1" customHeight="1">
      <c r="A345" s="90"/>
      <c r="B345" s="6"/>
      <c r="C345" s="90"/>
      <c r="D345" s="159"/>
      <c r="E345" s="160"/>
      <c r="F345" s="127"/>
      <c r="G345" s="161"/>
      <c r="H345" s="129"/>
      <c r="I345" s="130"/>
      <c r="J345" s="151"/>
      <c r="K345" s="219"/>
      <c r="L345" s="133"/>
      <c r="M345" s="134" t="str">
        <f>I210</f>
        <v/>
      </c>
      <c r="N345" s="135" t="str">
        <f>iferror(mround($P210*((VLOOKUP($J345,Sheet1!$D:$N,$G345+1,FALSE)-0.03)),2.5)," ")</f>
        <v> </v>
      </c>
      <c r="O345" s="135" t="str">
        <f>iferror(mround($P210*((VLOOKUP($J345,Sheet1!$D:$N,$G345+1,FALSE)+0.02)),2.5)," ")</f>
        <v> </v>
      </c>
      <c r="P345" s="112" t="str">
        <f>iferror(mround(I345/VLOOKUP(L345,Sheet1!$D$7:$N$16,G345+1,FALSE),2.5),"")</f>
        <v/>
      </c>
      <c r="Q345" s="303" t="str">
        <f t="shared" si="8"/>
        <v/>
      </c>
      <c r="R345" s="214"/>
      <c r="S345" s="11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</row>
    <row r="346" ht="3.75" hidden="1" customHeight="1">
      <c r="A346" s="90"/>
      <c r="B346" s="6"/>
      <c r="C346" s="90"/>
      <c r="D346" s="138"/>
      <c r="E346" s="154"/>
      <c r="F346" s="155"/>
      <c r="G346" s="102"/>
      <c r="H346" s="102"/>
      <c r="I346" s="102"/>
      <c r="J346" s="156"/>
      <c r="K346" s="217"/>
      <c r="L346" s="218"/>
      <c r="M346" s="144"/>
      <c r="N346" s="145"/>
      <c r="O346" s="145"/>
      <c r="P346" s="122"/>
      <c r="Q346" s="304" t="str">
        <f t="shared" si="8"/>
        <v/>
      </c>
      <c r="R346" s="214"/>
      <c r="S346" s="11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</row>
    <row r="347" ht="15.75" customHeight="1">
      <c r="A347" s="90"/>
      <c r="B347" s="6"/>
      <c r="C347" s="90"/>
      <c r="D347" s="159" t="s">
        <v>51</v>
      </c>
      <c r="E347" s="167" t="s">
        <v>52</v>
      </c>
      <c r="F347" s="127">
        <v>4.0</v>
      </c>
      <c r="G347" s="127">
        <v>3.0</v>
      </c>
      <c r="H347" s="195"/>
      <c r="I347" s="130"/>
      <c r="J347" s="151">
        <v>7.0</v>
      </c>
      <c r="K347" s="213"/>
      <c r="L347" s="183"/>
      <c r="M347" s="134" t="str">
        <f>I212</f>
        <v/>
      </c>
      <c r="N347" s="135">
        <f>iferror(mround($P212*((VLOOKUP($J347,Sheet1!$D:$N,$G347+1,FALSE)-0.03)),2.5)," ")</f>
        <v>0</v>
      </c>
      <c r="O347" s="135">
        <f>iferror(mround($P212*((VLOOKUP($J347,Sheet1!$D:$N,$G347+1,FALSE)+0.02)),2.5)," ")</f>
        <v>0</v>
      </c>
      <c r="P347" s="112" t="str">
        <f>iferror(mround(I347/VLOOKUP(L347,Sheet1!$D$7:$N$16,G347+1,FALSE),2.5),"")</f>
        <v/>
      </c>
      <c r="Q347" s="303" t="str">
        <f t="shared" si="8"/>
        <v/>
      </c>
      <c r="R347" s="214"/>
      <c r="S347" s="11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</row>
    <row r="348" ht="3.75" customHeight="1">
      <c r="A348" s="90"/>
      <c r="B348" s="6"/>
      <c r="C348" s="90"/>
      <c r="D348" s="138"/>
      <c r="E348" s="215"/>
      <c r="F348" s="102"/>
      <c r="G348" s="102"/>
      <c r="H348" s="102"/>
      <c r="I348" s="102"/>
      <c r="J348" s="156"/>
      <c r="K348" s="217"/>
      <c r="L348" s="218"/>
      <c r="M348" s="144"/>
      <c r="N348" s="145"/>
      <c r="O348" s="145"/>
      <c r="P348" s="122"/>
      <c r="Q348" s="304" t="str">
        <f t="shared" si="8"/>
        <v/>
      </c>
      <c r="R348" s="214"/>
      <c r="S348" s="11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</row>
    <row r="349" ht="15.75" customHeight="1">
      <c r="A349" s="90"/>
      <c r="B349" s="6"/>
      <c r="C349" s="90"/>
      <c r="D349" s="159" t="s">
        <v>53</v>
      </c>
      <c r="E349" s="220"/>
      <c r="F349" s="127">
        <v>3.0</v>
      </c>
      <c r="G349" s="127" t="s">
        <v>16</v>
      </c>
      <c r="H349" s="195"/>
      <c r="I349" s="130"/>
      <c r="J349" s="151">
        <v>7.0</v>
      </c>
      <c r="K349" s="213"/>
      <c r="L349" s="133"/>
      <c r="M349" s="134" t="str">
        <f>I214</f>
        <v/>
      </c>
      <c r="N349" s="135" t="str">
        <f>iferror(mround($P214*((VLOOKUP($J349,Sheet1!$D:$N,$G349+1,FALSE)-0.03)),2.5)," ")</f>
        <v> </v>
      </c>
      <c r="O349" s="135" t="str">
        <f>iferror(mround($P214*((VLOOKUP($J349,Sheet1!$D:$N,$G349+1,FALSE)+0.02)),2.5)," ")</f>
        <v> </v>
      </c>
      <c r="P349" s="112" t="str">
        <f>iferror(mround(I349/VLOOKUP(L349,Sheet1!$D$7:$N$16,G349+1,FALSE),2.5),"")</f>
        <v/>
      </c>
      <c r="Q349" s="303" t="str">
        <f t="shared" si="8"/>
        <v/>
      </c>
      <c r="R349" s="214"/>
      <c r="S349" s="11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</row>
    <row r="350" ht="3.75" customHeight="1">
      <c r="A350" s="90"/>
      <c r="B350" s="6"/>
      <c r="C350" s="90"/>
      <c r="D350" s="138"/>
      <c r="E350" s="215"/>
      <c r="F350" s="102"/>
      <c r="G350" s="102"/>
      <c r="H350" s="102"/>
      <c r="I350" s="102"/>
      <c r="J350" s="156"/>
      <c r="K350" s="222"/>
      <c r="L350" s="218"/>
      <c r="M350" s="144"/>
      <c r="N350" s="145"/>
      <c r="O350" s="145"/>
      <c r="P350" s="122"/>
      <c r="Q350" s="304" t="str">
        <f t="shared" si="8"/>
        <v/>
      </c>
      <c r="R350" s="214"/>
      <c r="S350" s="11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</row>
    <row r="351" ht="15.75" customHeight="1">
      <c r="A351" s="90"/>
      <c r="B351" s="6"/>
      <c r="C351" s="90"/>
      <c r="D351" s="159" t="s">
        <v>54</v>
      </c>
      <c r="E351" s="227"/>
      <c r="F351" s="127">
        <v>3.0</v>
      </c>
      <c r="G351" s="221">
        <v>45577.0</v>
      </c>
      <c r="H351" s="195"/>
      <c r="I351" s="130"/>
      <c r="J351" s="228">
        <v>8.0</v>
      </c>
      <c r="K351" s="190"/>
      <c r="L351" s="183"/>
      <c r="M351" s="134" t="str">
        <f>I216</f>
        <v/>
      </c>
      <c r="N351" s="135" t="str">
        <f>iferror(mround($P216*((VLOOKUP($J351,Sheet1!$D:$N,$G351+1,FALSE)-0.03)),2.5)," ")</f>
        <v> </v>
      </c>
      <c r="O351" s="135" t="str">
        <f>iferror(mround($P216*((VLOOKUP($J351,Sheet1!$D:$N,$G351+1,FALSE)+0.02)),2.5)," ")</f>
        <v> </v>
      </c>
      <c r="P351" s="112" t="str">
        <f>iferror(mround(I351/VLOOKUP(L351,Sheet1!$D$7:$N$16,G351+1,FALSE),2.5),"")</f>
        <v/>
      </c>
      <c r="Q351" s="303" t="str">
        <f t="shared" si="8"/>
        <v/>
      </c>
      <c r="R351" s="214"/>
      <c r="S351" s="11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</row>
    <row r="352" ht="3.75" customHeight="1">
      <c r="A352" s="90"/>
      <c r="B352" s="6"/>
      <c r="C352" s="90"/>
      <c r="D352" s="138"/>
      <c r="E352" s="215"/>
      <c r="F352" s="102"/>
      <c r="G352" s="102"/>
      <c r="H352" s="102"/>
      <c r="I352" s="102"/>
      <c r="J352" s="216"/>
      <c r="K352" s="222"/>
      <c r="L352" s="218"/>
      <c r="M352" s="144"/>
      <c r="N352" s="145"/>
      <c r="O352" s="145"/>
      <c r="P352" s="122"/>
      <c r="Q352" s="304" t="str">
        <f t="shared" si="8"/>
        <v/>
      </c>
      <c r="R352" s="214"/>
      <c r="S352" s="11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</row>
    <row r="353" ht="15.75" hidden="1" customHeight="1">
      <c r="A353" s="90"/>
      <c r="B353" s="6"/>
      <c r="C353" s="90"/>
      <c r="D353" s="185"/>
      <c r="E353" s="220"/>
      <c r="F353" s="187"/>
      <c r="G353" s="229"/>
      <c r="H353" s="195"/>
      <c r="I353" s="164"/>
      <c r="J353" s="189"/>
      <c r="K353" s="190"/>
      <c r="L353" s="183"/>
      <c r="M353" s="134" t="str">
        <f>I218</f>
        <v/>
      </c>
      <c r="N353" s="135" t="str">
        <f>iferror(mround($P218*((VLOOKUP($J353,Sheet1!$D:$N,$G353+1,FALSE)-0.03)),2.5)," ")</f>
        <v> </v>
      </c>
      <c r="O353" s="135" t="str">
        <f>iferror(mround($P218*((VLOOKUP($J353,Sheet1!$D:$N,$G353+1,FALSE)+0.02)),2.5)," ")</f>
        <v> </v>
      </c>
      <c r="P353" s="112" t="str">
        <f>iferror(mround(I353/VLOOKUP(L353,Sheet1!$D$7:$N$16,G353+1,FALSE),2.5),"")</f>
        <v/>
      </c>
      <c r="Q353" s="303" t="str">
        <f t="shared" si="8"/>
        <v/>
      </c>
      <c r="R353" s="214"/>
      <c r="S353" s="11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</row>
    <row r="354" ht="3.75" hidden="1" customHeight="1">
      <c r="A354" s="191"/>
      <c r="B354" s="6"/>
      <c r="C354" s="192"/>
      <c r="D354" s="138"/>
      <c r="E354" s="184"/>
      <c r="F354" s="102"/>
      <c r="G354" s="102"/>
      <c r="H354" s="102"/>
      <c r="I354" s="102"/>
      <c r="J354" s="156"/>
      <c r="K354" s="222"/>
      <c r="L354" s="218"/>
      <c r="M354" s="144"/>
      <c r="N354" s="145"/>
      <c r="O354" s="145"/>
      <c r="P354" s="122"/>
      <c r="Q354" s="304" t="str">
        <f t="shared" si="8"/>
        <v/>
      </c>
      <c r="R354" s="214"/>
      <c r="S354" s="157"/>
      <c r="T354" s="5"/>
      <c r="U354" s="5"/>
      <c r="V354" s="158"/>
      <c r="W354" s="158"/>
      <c r="X354" s="158"/>
      <c r="Y354" s="158"/>
      <c r="Z354" s="158"/>
      <c r="AA354" s="158"/>
      <c r="AB354" s="158"/>
      <c r="AC354" s="158"/>
      <c r="AD354" s="158"/>
      <c r="AE354" s="158"/>
      <c r="AF354" s="158"/>
      <c r="AG354" s="158"/>
    </row>
    <row r="355" ht="15.75" hidden="1" customHeight="1">
      <c r="A355" s="90"/>
      <c r="B355" s="6"/>
      <c r="C355" s="90"/>
      <c r="D355" s="185"/>
      <c r="E355" s="224"/>
      <c r="F355" s="187"/>
      <c r="G355" s="187"/>
      <c r="H355" s="195"/>
      <c r="I355" s="164"/>
      <c r="J355" s="230"/>
      <c r="K355" s="190"/>
      <c r="L355" s="183"/>
      <c r="M355" s="134" t="str">
        <f>I220</f>
        <v/>
      </c>
      <c r="N355" s="135" t="str">
        <f>iferror(mround($P220*((VLOOKUP($J355,Sheet1!$D:$N,$G355+1,FALSE)-0.03)),2.5)," ")</f>
        <v> </v>
      </c>
      <c r="O355" s="135" t="str">
        <f>iferror(mround($P220*((VLOOKUP($J355,Sheet1!$D:$N,$G355+1,FALSE)+0.02)),2.5)," ")</f>
        <v> </v>
      </c>
      <c r="P355" s="112" t="str">
        <f>iferror(mround(I355/VLOOKUP(L355,Sheet1!$D$7:$N$16,G355+1,FALSE),2.5),"")</f>
        <v/>
      </c>
      <c r="Q355" s="303" t="str">
        <f t="shared" si="8"/>
        <v/>
      </c>
      <c r="R355" s="214"/>
      <c r="S355" s="11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</row>
    <row r="356" ht="3.75" hidden="1" customHeight="1">
      <c r="A356" s="90"/>
      <c r="B356" s="6"/>
      <c r="C356" s="90"/>
      <c r="D356" s="138"/>
      <c r="E356" s="184"/>
      <c r="F356" s="102"/>
      <c r="G356" s="102"/>
      <c r="H356" s="102"/>
      <c r="I356" s="102"/>
      <c r="J356" s="156"/>
      <c r="K356" s="222"/>
      <c r="L356" s="218"/>
      <c r="M356" s="144"/>
      <c r="N356" s="145"/>
      <c r="O356" s="145"/>
      <c r="P356" s="122"/>
      <c r="Q356" s="304" t="str">
        <f t="shared" si="8"/>
        <v/>
      </c>
      <c r="R356" s="214"/>
      <c r="S356" s="11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</row>
    <row r="357" ht="15.75" hidden="1" customHeight="1">
      <c r="A357" s="90"/>
      <c r="B357" s="6"/>
      <c r="C357" s="90"/>
      <c r="D357" s="231"/>
      <c r="E357" s="232"/>
      <c r="F357" s="187"/>
      <c r="G357" s="187"/>
      <c r="H357" s="195"/>
      <c r="I357" s="164"/>
      <c r="J357" s="230"/>
      <c r="K357" s="190"/>
      <c r="L357" s="183"/>
      <c r="M357" s="134" t="str">
        <f>I222</f>
        <v/>
      </c>
      <c r="N357" s="135" t="str">
        <f>iferror(mround($P222*((VLOOKUP($J357,Sheet1!$D:$N,$G357+1,FALSE)-0.03)),2.5)," ")</f>
        <v> </v>
      </c>
      <c r="O357" s="135" t="str">
        <f>iferror(mround($P222*((VLOOKUP($J357,Sheet1!$D:$N,$G357+1,FALSE)+0.02)),2.5)," ")</f>
        <v> </v>
      </c>
      <c r="P357" s="112" t="str">
        <f>iferror(mround(I357/VLOOKUP(L357,Sheet1!$D$7:$N$16,G357+1,FALSE),2.5),"")</f>
        <v/>
      </c>
      <c r="Q357" s="303" t="str">
        <f t="shared" si="8"/>
        <v/>
      </c>
      <c r="R357" s="214"/>
      <c r="S357" s="11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</row>
    <row r="358" ht="3.75" hidden="1" customHeight="1">
      <c r="A358" s="191"/>
      <c r="B358" s="6"/>
      <c r="C358" s="233"/>
      <c r="D358" s="234"/>
      <c r="E358" s="235"/>
      <c r="F358" s="236"/>
      <c r="G358" s="194"/>
      <c r="H358" s="155"/>
      <c r="I358" s="210"/>
      <c r="J358" s="216"/>
      <c r="K358" s="222"/>
      <c r="L358" s="218"/>
      <c r="M358" s="144"/>
      <c r="N358" s="145"/>
      <c r="O358" s="145"/>
      <c r="P358" s="122"/>
      <c r="Q358" s="304" t="str">
        <f t="shared" si="8"/>
        <v/>
      </c>
      <c r="R358" s="214"/>
      <c r="S358" s="157"/>
      <c r="T358" s="5"/>
      <c r="U358" s="5"/>
      <c r="V358" s="158"/>
      <c r="W358" s="158"/>
      <c r="X358" s="158"/>
      <c r="Y358" s="158"/>
      <c r="Z358" s="158"/>
      <c r="AA358" s="158"/>
      <c r="AB358" s="158"/>
      <c r="AC358" s="158"/>
      <c r="AD358" s="158"/>
      <c r="AE358" s="158"/>
      <c r="AF358" s="158"/>
      <c r="AG358" s="158"/>
    </row>
    <row r="359" ht="15.75" hidden="1" customHeight="1">
      <c r="A359" s="90"/>
      <c r="B359" s="6"/>
      <c r="C359" s="90"/>
      <c r="D359" s="197"/>
      <c r="E359" s="198"/>
      <c r="F359" s="199"/>
      <c r="G359" s="187"/>
      <c r="H359" s="195"/>
      <c r="I359" s="164"/>
      <c r="J359" s="189"/>
      <c r="K359" s="190"/>
      <c r="L359" s="183"/>
      <c r="M359" s="134" t="str">
        <f>I224</f>
        <v/>
      </c>
      <c r="N359" s="135" t="str">
        <f>iferror(mround($P224*((VLOOKUP($J359,Sheet1!$D:$N,$G359+1,FALSE)-0.03)),2.5)," ")</f>
        <v> </v>
      </c>
      <c r="O359" s="135" t="str">
        <f>iferror(mround($P224*((VLOOKUP($J359,Sheet1!$D:$N,$G359+1,FALSE)+0.02)),2.5)," ")</f>
        <v> </v>
      </c>
      <c r="P359" s="112" t="str">
        <f>iferror(mround(I359/VLOOKUP(L359,Sheet1!$D$7:$N$16,G359+1,FALSE),2.5),"")</f>
        <v/>
      </c>
      <c r="Q359" s="303" t="str">
        <f t="shared" si="8"/>
        <v/>
      </c>
      <c r="R359" s="214"/>
      <c r="S359" s="11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</row>
    <row r="360" ht="3.75" hidden="1" customHeight="1">
      <c r="A360" s="90"/>
      <c r="B360" s="6"/>
      <c r="C360" s="90"/>
      <c r="D360" s="90"/>
      <c r="E360" s="156"/>
      <c r="F360" s="102"/>
      <c r="G360" s="102"/>
      <c r="H360" s="102"/>
      <c r="I360" s="102"/>
      <c r="J360" s="156"/>
      <c r="K360" s="200"/>
      <c r="L360" s="201"/>
      <c r="M360" s="211"/>
      <c r="N360" s="47"/>
      <c r="O360" s="47"/>
      <c r="P360" s="122"/>
      <c r="Q360" s="304" t="str">
        <f t="shared" si="8"/>
        <v/>
      </c>
      <c r="R360" s="214"/>
      <c r="S360" s="11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</row>
    <row r="361" ht="30.0" hidden="1" customHeight="1">
      <c r="A361" s="90"/>
      <c r="B361" s="6"/>
      <c r="C361" s="90"/>
      <c r="D361" s="202" t="s">
        <v>55</v>
      </c>
      <c r="E361" s="105" t="s">
        <v>15</v>
      </c>
      <c r="F361" s="106" t="s">
        <v>16</v>
      </c>
      <c r="G361" s="106" t="s">
        <v>17</v>
      </c>
      <c r="H361" s="107"/>
      <c r="I361" s="106" t="s">
        <v>18</v>
      </c>
      <c r="J361" s="108" t="s">
        <v>19</v>
      </c>
      <c r="L361" s="109" t="s">
        <v>20</v>
      </c>
      <c r="M361" s="110" t="s">
        <v>21</v>
      </c>
      <c r="N361" s="111" t="s">
        <v>22</v>
      </c>
      <c r="P361" s="112"/>
      <c r="Q361" s="113" t="s">
        <v>23</v>
      </c>
      <c r="R361" s="114" t="s">
        <v>56</v>
      </c>
      <c r="S361" s="11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</row>
    <row r="362" ht="14.25" hidden="1" customHeight="1">
      <c r="A362" s="90"/>
      <c r="B362" s="6"/>
      <c r="C362" s="90"/>
      <c r="D362" s="116" t="s">
        <v>25</v>
      </c>
      <c r="E362" s="117" t="s">
        <v>26</v>
      </c>
      <c r="H362" s="107"/>
      <c r="N362" s="111" t="s">
        <v>27</v>
      </c>
      <c r="O362" s="111" t="s">
        <v>28</v>
      </c>
      <c r="P362" s="112" t="s">
        <v>29</v>
      </c>
      <c r="R362" s="118" t="s">
        <v>30</v>
      </c>
      <c r="S362" s="11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</row>
    <row r="363" ht="3.75" hidden="1" customHeight="1">
      <c r="A363" s="191"/>
      <c r="B363" s="6"/>
      <c r="C363" s="192"/>
      <c r="D363" s="203"/>
      <c r="E363" s="204"/>
      <c r="F363" s="205"/>
      <c r="G363" s="205"/>
      <c r="H363" s="205"/>
      <c r="I363" s="225"/>
      <c r="J363" s="237"/>
      <c r="K363" s="209"/>
      <c r="L363" s="238"/>
      <c r="M363" s="211"/>
      <c r="N363" s="47"/>
      <c r="O363" s="47"/>
      <c r="P363" s="122"/>
      <c r="Q363" s="304" t="str">
        <f t="shared" ref="Q363:Q383" si="9">IF(OR(ISBLANK(I363), ISBLANK(I228)), "", IF(I363 - I228 = 0, "", I363 - I228))</f>
        <v/>
      </c>
      <c r="R363" s="239"/>
      <c r="S363" s="157"/>
      <c r="T363" s="5"/>
      <c r="U363" s="5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</row>
    <row r="364" ht="15.75" hidden="1" customHeight="1">
      <c r="A364" s="124"/>
      <c r="B364" s="6"/>
      <c r="C364" s="124"/>
      <c r="D364" s="125"/>
      <c r="E364" s="126"/>
      <c r="F364" s="127"/>
      <c r="G364" s="240"/>
      <c r="H364" s="129"/>
      <c r="I364" s="130"/>
      <c r="J364" s="151"/>
      <c r="K364" s="241"/>
      <c r="L364" s="130"/>
      <c r="M364" s="134" t="str">
        <f>I229</f>
        <v/>
      </c>
      <c r="N364" s="135" t="str">
        <f>iferror(mround($P229*((VLOOKUP($J364,Sheet1!$D:$N,$G364+1,FALSE)-0.03)),2.5)," ")</f>
        <v> </v>
      </c>
      <c r="O364" s="135" t="str">
        <f>iferror(mround($P229*((VLOOKUP($J364,Sheet1!$D:$N,$G364+1,FALSE)+0.02)),2.5)," ")</f>
        <v> </v>
      </c>
      <c r="P364" s="112" t="str">
        <f>iferror(mround(I364/VLOOKUP(L364,Sheet1!$D$7:$N$16,G364+1,FALSE),2.5),"")</f>
        <v/>
      </c>
      <c r="Q364" s="303" t="str">
        <f t="shared" si="9"/>
        <v/>
      </c>
      <c r="R364" s="242"/>
      <c r="S364" s="11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</row>
    <row r="365" ht="3.75" hidden="1" customHeight="1">
      <c r="A365" s="124"/>
      <c r="B365" s="6"/>
      <c r="C365" s="124"/>
      <c r="D365" s="138"/>
      <c r="E365" s="139"/>
      <c r="F365" s="140"/>
      <c r="G365" s="140"/>
      <c r="H365" s="140"/>
      <c r="I365" s="140"/>
      <c r="J365" s="141"/>
      <c r="K365" s="243"/>
      <c r="L365" s="210"/>
      <c r="M365" s="144"/>
      <c r="N365" s="145"/>
      <c r="O365" s="145"/>
      <c r="P365" s="122"/>
      <c r="Q365" s="304" t="str">
        <f t="shared" si="9"/>
        <v/>
      </c>
      <c r="R365" s="242"/>
      <c r="S365" s="11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</row>
    <row r="366" ht="15.0" hidden="1" customHeight="1">
      <c r="A366" s="124"/>
      <c r="B366" s="6"/>
      <c r="C366" s="124"/>
      <c r="D366" s="125"/>
      <c r="E366" s="126"/>
      <c r="F366" s="127"/>
      <c r="G366" s="240"/>
      <c r="H366" s="129"/>
      <c r="I366" s="164"/>
      <c r="J366" s="165"/>
      <c r="K366" s="241"/>
      <c r="L366" s="130"/>
      <c r="M366" s="134" t="str">
        <f>I231</f>
        <v/>
      </c>
      <c r="N366" s="135" t="str">
        <f>iferror(mround($P231*((VLOOKUP($J366,Sheet1!$D:$N,$G366+1,FALSE)-0.03)),2.5)," ")</f>
        <v> </v>
      </c>
      <c r="O366" s="135" t="str">
        <f>iferror(mround($P231*((VLOOKUP($J366,Sheet1!$D:$N,$G366+1,FALSE)+0.02)),2.5)," ")</f>
        <v> </v>
      </c>
      <c r="P366" s="112" t="str">
        <f>iferror(mround(I366/VLOOKUP(L366,Sheet1!$D$7:$N$16,G366+1,FALSE),2.5),"")</f>
        <v/>
      </c>
      <c r="Q366" s="303" t="str">
        <f t="shared" si="9"/>
        <v/>
      </c>
      <c r="R366" s="242"/>
      <c r="S366" s="11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</row>
    <row r="367" ht="3.75" hidden="1" customHeight="1">
      <c r="A367" s="124"/>
      <c r="B367" s="6"/>
      <c r="C367" s="124"/>
      <c r="D367" s="138"/>
      <c r="E367" s="215"/>
      <c r="F367" s="102"/>
      <c r="G367" s="102"/>
      <c r="H367" s="102"/>
      <c r="I367" s="102"/>
      <c r="J367" s="156"/>
      <c r="K367" s="243"/>
      <c r="L367" s="210"/>
      <c r="M367" s="144"/>
      <c r="N367" s="145"/>
      <c r="O367" s="145"/>
      <c r="P367" s="122"/>
      <c r="Q367" s="304" t="str">
        <f t="shared" si="9"/>
        <v/>
      </c>
      <c r="R367" s="242"/>
      <c r="S367" s="11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</row>
    <row r="368" ht="15.75" hidden="1" customHeight="1">
      <c r="A368" s="124"/>
      <c r="B368" s="6"/>
      <c r="C368" s="124"/>
      <c r="D368" s="159"/>
      <c r="E368" s="126"/>
      <c r="F368" s="127"/>
      <c r="G368" s="161"/>
      <c r="H368" s="129"/>
      <c r="I368" s="130"/>
      <c r="J368" s="151"/>
      <c r="K368" s="244"/>
      <c r="L368" s="130"/>
      <c r="M368" s="134" t="str">
        <f>I233</f>
        <v/>
      </c>
      <c r="N368" s="135" t="str">
        <f>iferror(mround($P233*((VLOOKUP($J368,Sheet1!$D:$N,$G368+1,FALSE)-0.03)),2.5)," ")</f>
        <v> </v>
      </c>
      <c r="O368" s="135" t="str">
        <f>iferror(mround($P233*((VLOOKUP($J368,Sheet1!$D:$N,$G368+1,FALSE)+0.02)),2.5)," ")</f>
        <v> </v>
      </c>
      <c r="P368" s="112" t="str">
        <f>iferror(mround(I368/VLOOKUP(L368,Sheet1!$D$7:$N$16,G368+1,FALSE),2.5),"")</f>
        <v/>
      </c>
      <c r="Q368" s="303" t="str">
        <f t="shared" si="9"/>
        <v/>
      </c>
      <c r="R368" s="242"/>
      <c r="S368" s="11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</row>
    <row r="369" ht="3.75" hidden="1" customHeight="1">
      <c r="A369" s="124"/>
      <c r="B369" s="6"/>
      <c r="C369" s="124"/>
      <c r="D369" s="138"/>
      <c r="E369" s="154"/>
      <c r="F369" s="155"/>
      <c r="G369" s="102"/>
      <c r="H369" s="102"/>
      <c r="I369" s="102"/>
      <c r="J369" s="156"/>
      <c r="K369" s="243"/>
      <c r="L369" s="210"/>
      <c r="M369" s="144"/>
      <c r="N369" s="145"/>
      <c r="O369" s="145"/>
      <c r="P369" s="122"/>
      <c r="Q369" s="304" t="str">
        <f t="shared" si="9"/>
        <v/>
      </c>
      <c r="R369" s="242"/>
      <c r="S369" s="11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</row>
    <row r="370" ht="15.75" hidden="1" customHeight="1">
      <c r="A370" s="124"/>
      <c r="B370" s="6"/>
      <c r="C370" s="124"/>
      <c r="D370" s="159"/>
      <c r="E370" s="126"/>
      <c r="F370" s="127"/>
      <c r="G370" s="161"/>
      <c r="H370" s="129"/>
      <c r="I370" s="130"/>
      <c r="J370" s="151"/>
      <c r="K370" s="241"/>
      <c r="L370" s="130"/>
      <c r="M370" s="134" t="str">
        <f>I235</f>
        <v/>
      </c>
      <c r="N370" s="135" t="str">
        <f>iferror(mround($P235*((VLOOKUP($J370,Sheet1!$D:$N,$G370+1,FALSE)-0.03)),2.5)," ")</f>
        <v> </v>
      </c>
      <c r="O370" s="135" t="str">
        <f>iferror(mround($P235*((VLOOKUP($J370,Sheet1!$D:$N,$G370+1,FALSE)+0.02)),2.5)," ")</f>
        <v> </v>
      </c>
      <c r="P370" s="112" t="str">
        <f>iferror(mround(I370/VLOOKUP(L370,Sheet1!$D$7:$N$16,G370+1,FALSE),2.5),"")</f>
        <v/>
      </c>
      <c r="Q370" s="303" t="str">
        <f t="shared" si="9"/>
        <v/>
      </c>
      <c r="R370" s="242"/>
      <c r="S370" s="11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</row>
    <row r="371" ht="3.75" hidden="1" customHeight="1">
      <c r="A371" s="90"/>
      <c r="B371" s="6"/>
      <c r="C371" s="90"/>
      <c r="D371" s="138"/>
      <c r="E371" s="245"/>
      <c r="F371" s="102"/>
      <c r="G371" s="102"/>
      <c r="H371" s="102"/>
      <c r="I371" s="102"/>
      <c r="J371" s="156"/>
      <c r="K371" s="243"/>
      <c r="L371" s="210"/>
      <c r="M371" s="144"/>
      <c r="N371" s="145"/>
      <c r="O371" s="145"/>
      <c r="P371" s="122"/>
      <c r="Q371" s="304" t="str">
        <f t="shared" si="9"/>
        <v/>
      </c>
      <c r="R371" s="242"/>
      <c r="S371" s="11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</row>
    <row r="372" ht="15.75" hidden="1" customHeight="1">
      <c r="A372" s="90"/>
      <c r="B372" s="6"/>
      <c r="C372" s="90"/>
      <c r="D372" s="159"/>
      <c r="E372" s="227"/>
      <c r="F372" s="127"/>
      <c r="G372" s="221"/>
      <c r="H372" s="195"/>
      <c r="I372" s="130"/>
      <c r="J372" s="228"/>
      <c r="K372" s="241"/>
      <c r="L372" s="130"/>
      <c r="M372" s="134" t="str">
        <f>I237</f>
        <v/>
      </c>
      <c r="N372" s="135" t="str">
        <f>iferror(mround($P237*((VLOOKUP($J372,Sheet1!$D:$N,$G372+1,FALSE)-0.03)),2.5)," ")</f>
        <v> </v>
      </c>
      <c r="O372" s="135" t="str">
        <f>iferror(mround($P237*((VLOOKUP($J372,Sheet1!$D:$N,$G372+1,FALSE)+0.02)),2.5)," ")</f>
        <v> </v>
      </c>
      <c r="P372" s="112" t="str">
        <f>iferror(mround(I372/VLOOKUP(L372,Sheet1!$D$7:$N$16,G372+1,FALSE),2.5),"")</f>
        <v/>
      </c>
      <c r="Q372" s="303" t="str">
        <f t="shared" si="9"/>
        <v/>
      </c>
      <c r="R372" s="242"/>
      <c r="S372" s="11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</row>
    <row r="373" ht="3.75" hidden="1" customHeight="1">
      <c r="A373" s="191"/>
      <c r="B373" s="6"/>
      <c r="C373" s="192"/>
      <c r="D373" s="138"/>
      <c r="E373" s="245"/>
      <c r="F373" s="102"/>
      <c r="G373" s="102"/>
      <c r="H373" s="102"/>
      <c r="I373" s="102"/>
      <c r="J373" s="156"/>
      <c r="K373" s="243"/>
      <c r="L373" s="210"/>
      <c r="M373" s="144"/>
      <c r="N373" s="145"/>
      <c r="O373" s="145"/>
      <c r="P373" s="122"/>
      <c r="Q373" s="304" t="str">
        <f t="shared" si="9"/>
        <v/>
      </c>
      <c r="R373" s="242"/>
      <c r="S373" s="157"/>
      <c r="T373" s="5"/>
      <c r="U373" s="5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</row>
    <row r="374" ht="15.75" hidden="1" customHeight="1">
      <c r="A374" s="90"/>
      <c r="B374" s="6"/>
      <c r="C374" s="90"/>
      <c r="D374" s="159"/>
      <c r="E374" s="246"/>
      <c r="F374" s="127"/>
      <c r="G374" s="221"/>
      <c r="H374" s="195"/>
      <c r="I374" s="130"/>
      <c r="J374" s="228"/>
      <c r="K374" s="241"/>
      <c r="L374" s="130"/>
      <c r="M374" s="134" t="str">
        <f>I239</f>
        <v/>
      </c>
      <c r="N374" s="135" t="str">
        <f>iferror(mround($P239*((VLOOKUP($J374,Sheet1!$D:$N,$G374+1,FALSE)-0.03)),2.5)," ")</f>
        <v> </v>
      </c>
      <c r="O374" s="135" t="str">
        <f>iferror(mround($P239*((VLOOKUP($J374,Sheet1!$D:$N,$G374+1,FALSE)+0.02)),2.5)," ")</f>
        <v> </v>
      </c>
      <c r="P374" s="112" t="str">
        <f>iferror(mround(I374/VLOOKUP(L374,Sheet1!$D$7:$N$16,G374+1,FALSE),2.5),"")</f>
        <v/>
      </c>
      <c r="Q374" s="303" t="str">
        <f t="shared" si="9"/>
        <v/>
      </c>
      <c r="R374" s="242"/>
      <c r="S374" s="11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</row>
    <row r="375" ht="3.75" hidden="1" customHeight="1">
      <c r="A375" s="90"/>
      <c r="B375" s="6"/>
      <c r="C375" s="90"/>
      <c r="D375" s="138"/>
      <c r="E375" s="245"/>
      <c r="F375" s="102"/>
      <c r="G375" s="102"/>
      <c r="H375" s="102"/>
      <c r="I375" s="102"/>
      <c r="J375" s="156"/>
      <c r="K375" s="243"/>
      <c r="L375" s="210"/>
      <c r="M375" s="144"/>
      <c r="N375" s="145"/>
      <c r="O375" s="145"/>
      <c r="P375" s="122"/>
      <c r="Q375" s="304" t="str">
        <f t="shared" si="9"/>
        <v/>
      </c>
      <c r="R375" s="242"/>
      <c r="S375" s="11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</row>
    <row r="376" ht="15.75" hidden="1" customHeight="1">
      <c r="A376" s="90"/>
      <c r="B376" s="6"/>
      <c r="C376" s="90"/>
      <c r="D376" s="185"/>
      <c r="E376" s="227"/>
      <c r="F376" s="187"/>
      <c r="G376" s="229"/>
      <c r="H376" s="195"/>
      <c r="I376" s="247"/>
      <c r="J376" s="248"/>
      <c r="K376" s="241"/>
      <c r="L376" s="164"/>
      <c r="M376" s="134" t="str">
        <f>I241</f>
        <v/>
      </c>
      <c r="N376" s="135" t="str">
        <f>iferror(mround($P241*((VLOOKUP($J376,Sheet1!$D:$N,$G376+1,FALSE)-0.03)),2.5)," ")</f>
        <v> </v>
      </c>
      <c r="O376" s="135" t="str">
        <f>iferror(mround($P241*((VLOOKUP($J376,Sheet1!$D:$N,$G376+1,FALSE)+0.02)),2.5)," ")</f>
        <v> </v>
      </c>
      <c r="P376" s="112" t="str">
        <f>iferror(mround(I376/VLOOKUP(L376,Sheet1!$D$7:$N$16,G376+1,FALSE),2.5),"")</f>
        <v/>
      </c>
      <c r="Q376" s="303" t="str">
        <f t="shared" si="9"/>
        <v/>
      </c>
      <c r="R376" s="242"/>
      <c r="S376" s="11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</row>
    <row r="377" ht="3.75" hidden="1" customHeight="1">
      <c r="A377" s="90"/>
      <c r="B377" s="6"/>
      <c r="C377" s="90"/>
      <c r="D377" s="138"/>
      <c r="E377" s="215"/>
      <c r="F377" s="102"/>
      <c r="G377" s="102"/>
      <c r="H377" s="102"/>
      <c r="I377" s="102"/>
      <c r="J377" s="156"/>
      <c r="K377" s="243"/>
      <c r="L377" s="210"/>
      <c r="M377" s="144"/>
      <c r="N377" s="145"/>
      <c r="O377" s="145"/>
      <c r="P377" s="122"/>
      <c r="Q377" s="304" t="str">
        <f t="shared" si="9"/>
        <v/>
      </c>
      <c r="R377" s="242"/>
      <c r="S377" s="11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</row>
    <row r="378" ht="15.75" hidden="1" customHeight="1">
      <c r="A378" s="90"/>
      <c r="B378" s="6"/>
      <c r="C378" s="90"/>
      <c r="D378" s="185"/>
      <c r="E378" s="220"/>
      <c r="F378" s="187"/>
      <c r="G378" s="229"/>
      <c r="H378" s="195"/>
      <c r="I378" s="247"/>
      <c r="J378" s="248"/>
      <c r="K378" s="241"/>
      <c r="L378" s="164"/>
      <c r="M378" s="134" t="str">
        <f>I243</f>
        <v/>
      </c>
      <c r="N378" s="135" t="str">
        <f>iferror(mround($P243*((VLOOKUP($J378,Sheet1!$D:$N,$G378+1,FALSE)-0.03)),2.5)," ")</f>
        <v> </v>
      </c>
      <c r="O378" s="135" t="str">
        <f>iferror(mround($P243*((VLOOKUP($J378,Sheet1!$D:$N,$G378+1,FALSE)+0.02)),2.5)," ")</f>
        <v> </v>
      </c>
      <c r="P378" s="112" t="str">
        <f>iferror(mround(I378/VLOOKUP(L378,Sheet1!$D$7:$N$16,G378+1,FALSE),2.5),"")</f>
        <v/>
      </c>
      <c r="Q378" s="303" t="str">
        <f t="shared" si="9"/>
        <v/>
      </c>
      <c r="R378" s="242"/>
      <c r="S378" s="11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</row>
    <row r="379" ht="3.75" hidden="1" customHeight="1">
      <c r="A379" s="90"/>
      <c r="B379" s="6"/>
      <c r="C379" s="90"/>
      <c r="D379" s="196"/>
      <c r="E379" s="184"/>
      <c r="F379" s="102"/>
      <c r="G379" s="102"/>
      <c r="H379" s="102"/>
      <c r="I379" s="102"/>
      <c r="J379" s="156"/>
      <c r="K379" s="249"/>
      <c r="L379" s="210"/>
      <c r="M379" s="144"/>
      <c r="N379" s="145"/>
      <c r="O379" s="145"/>
      <c r="P379" s="122"/>
      <c r="Q379" s="304" t="str">
        <f t="shared" si="9"/>
        <v/>
      </c>
      <c r="R379" s="242"/>
      <c r="S379" s="11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</row>
    <row r="380" ht="15.75" hidden="1" customHeight="1">
      <c r="A380" s="90"/>
      <c r="B380" s="6"/>
      <c r="C380" s="90"/>
      <c r="D380" s="197"/>
      <c r="E380" s="250"/>
      <c r="F380" s="129"/>
      <c r="G380" s="199"/>
      <c r="H380" s="195"/>
      <c r="I380" s="247"/>
      <c r="J380" s="248"/>
      <c r="K380" s="251"/>
      <c r="L380" s="164"/>
      <c r="M380" s="134" t="str">
        <f>I245</f>
        <v/>
      </c>
      <c r="N380" s="135" t="str">
        <f>iferror(mround($P245*((VLOOKUP($J380,Sheet1!$D:$N,$G380+1,FALSE)-0.03)),2.5)," ")</f>
        <v> </v>
      </c>
      <c r="O380" s="135" t="str">
        <f>iferror(mround($P245*((VLOOKUP($J380,Sheet1!$D:$N,$G380+1,FALSE)+0.02)),2.5)," ")</f>
        <v> </v>
      </c>
      <c r="P380" s="112" t="str">
        <f>iferror(mround(I380/VLOOKUP(L380,Sheet1!$D$7:$N$16,G380+1,FALSE),2.5),"")</f>
        <v/>
      </c>
      <c r="Q380" s="303" t="str">
        <f t="shared" si="9"/>
        <v/>
      </c>
      <c r="R380" s="242"/>
      <c r="S380" s="11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</row>
    <row r="381" ht="3.75" hidden="1" customHeight="1">
      <c r="A381" s="90"/>
      <c r="B381" s="6"/>
      <c r="C381" s="90"/>
      <c r="D381" s="234"/>
      <c r="E381" s="184"/>
      <c r="F381" s="102"/>
      <c r="G381" s="102"/>
      <c r="H381" s="102"/>
      <c r="I381" s="102"/>
      <c r="J381" s="156"/>
      <c r="K381" s="249"/>
      <c r="L381" s="210"/>
      <c r="M381" s="144"/>
      <c r="N381" s="145"/>
      <c r="O381" s="145"/>
      <c r="P381" s="122"/>
      <c r="Q381" s="304" t="str">
        <f t="shared" si="9"/>
        <v/>
      </c>
      <c r="R381" s="242"/>
      <c r="S381" s="11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</row>
    <row r="382" ht="15.75" hidden="1" customHeight="1">
      <c r="A382" s="90"/>
      <c r="B382" s="6"/>
      <c r="C382" s="90"/>
      <c r="D382" s="197"/>
      <c r="E382" s="198"/>
      <c r="F382" s="129"/>
      <c r="G382" s="199"/>
      <c r="H382" s="195"/>
      <c r="I382" s="164"/>
      <c r="J382" s="248"/>
      <c r="K382" s="251"/>
      <c r="L382" s="164"/>
      <c r="M382" s="134" t="str">
        <f>I247</f>
        <v/>
      </c>
      <c r="N382" s="135" t="str">
        <f>iferror(mround($P247*((VLOOKUP($J382,Sheet1!$D:$N,$G382+1,FALSE)-0.03)),2.5)," ")</f>
        <v> </v>
      </c>
      <c r="O382" s="135" t="str">
        <f>iferror(mround($P247*((VLOOKUP($J382,Sheet1!$D:$N,$G382+1,FALSE)+0.02)),2.5)," ")</f>
        <v> </v>
      </c>
      <c r="P382" s="112" t="str">
        <f>iferror(mround(I382/VLOOKUP(L382,Sheet1!$D$7:$N$16,G382+1,FALSE),2.5),"")</f>
        <v/>
      </c>
      <c r="Q382" s="303" t="str">
        <f t="shared" si="9"/>
        <v/>
      </c>
      <c r="R382" s="242"/>
      <c r="S382" s="11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</row>
    <row r="383" ht="3.75" hidden="1" customHeight="1">
      <c r="A383" s="124"/>
      <c r="B383" s="6"/>
      <c r="C383" s="124"/>
      <c r="D383" s="252"/>
      <c r="E383" s="252"/>
      <c r="F383" s="102"/>
      <c r="G383" s="102"/>
      <c r="H383" s="102"/>
      <c r="I383" s="102"/>
      <c r="J383" s="156"/>
      <c r="K383" s="253"/>
      <c r="L383" s="201"/>
      <c r="M383" s="211"/>
      <c r="N383" s="47"/>
      <c r="O383" s="47"/>
      <c r="P383" s="122"/>
      <c r="Q383" s="304" t="str">
        <f t="shared" si="9"/>
        <v/>
      </c>
      <c r="R383" s="242"/>
      <c r="S383" s="11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</row>
    <row r="384" ht="30.75" hidden="1" customHeight="1">
      <c r="A384" s="90"/>
      <c r="B384" s="6"/>
      <c r="C384" s="90"/>
      <c r="D384" s="254" t="s">
        <v>57</v>
      </c>
      <c r="E384" s="255" t="s">
        <v>15</v>
      </c>
      <c r="F384" s="106" t="s">
        <v>16</v>
      </c>
      <c r="G384" s="106" t="s">
        <v>17</v>
      </c>
      <c r="H384" s="107"/>
      <c r="I384" s="106" t="s">
        <v>18</v>
      </c>
      <c r="J384" s="108" t="s">
        <v>19</v>
      </c>
      <c r="L384" s="109" t="s">
        <v>20</v>
      </c>
      <c r="M384" s="110" t="s">
        <v>21</v>
      </c>
      <c r="N384" s="111" t="s">
        <v>22</v>
      </c>
      <c r="P384" s="112"/>
      <c r="Q384" s="113" t="s">
        <v>23</v>
      </c>
      <c r="R384" s="256" t="s">
        <v>58</v>
      </c>
      <c r="S384" s="11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</row>
    <row r="385" ht="14.25" hidden="1" customHeight="1">
      <c r="A385" s="90"/>
      <c r="B385" s="6"/>
      <c r="C385" s="90"/>
      <c r="D385" s="257" t="s">
        <v>25</v>
      </c>
      <c r="E385" s="258" t="s">
        <v>26</v>
      </c>
      <c r="H385" s="107"/>
      <c r="N385" s="111" t="s">
        <v>27</v>
      </c>
      <c r="O385" s="111" t="s">
        <v>28</v>
      </c>
      <c r="P385" s="112" t="s">
        <v>29</v>
      </c>
      <c r="R385" s="118" t="s">
        <v>30</v>
      </c>
      <c r="S385" s="11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</row>
    <row r="386" ht="3.75" hidden="1" customHeight="1">
      <c r="A386" s="124"/>
      <c r="B386" s="6"/>
      <c r="C386" s="124"/>
      <c r="D386" s="252"/>
      <c r="E386" s="252"/>
      <c r="F386" s="102"/>
      <c r="G386" s="102"/>
      <c r="H386" s="102"/>
      <c r="I386" s="102"/>
      <c r="J386" s="156"/>
      <c r="K386" s="253"/>
      <c r="L386" s="201"/>
      <c r="M386" s="211"/>
      <c r="N386" s="47"/>
      <c r="O386" s="47"/>
      <c r="P386" s="122"/>
      <c r="Q386" s="304" t="str">
        <f t="shared" ref="Q386:Q409" si="10">IF(OR(ISBLANK(I386), ISBLANK(I251)), "", IF(I386 - I251 = 0, "", I386 - I251))</f>
        <v/>
      </c>
      <c r="R386" s="259"/>
      <c r="S386" s="11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</row>
    <row r="387" ht="14.25" hidden="1" customHeight="1">
      <c r="A387" s="124"/>
      <c r="B387" s="6"/>
      <c r="C387" s="124"/>
      <c r="D387" s="260"/>
      <c r="E387" s="126"/>
      <c r="F387" s="187"/>
      <c r="G387" s="229"/>
      <c r="H387" s="129"/>
      <c r="I387" s="164"/>
      <c r="J387" s="189"/>
      <c r="K387" s="251"/>
      <c r="L387" s="164"/>
      <c r="M387" s="134" t="str">
        <f>I254</f>
        <v/>
      </c>
      <c r="N387" s="135" t="str">
        <f>iferror(mround($P254*((VLOOKUP($J387,Sheet1!$D:$N,$G387+1,FALSE)-0.03)),2.5)," ")</f>
        <v> </v>
      </c>
      <c r="O387" s="135" t="str">
        <f>iferror(mround($P254*((VLOOKUP($J387,Sheet1!$D:$N,$G387+1,FALSE)+0.02)),2.5)," ")</f>
        <v> </v>
      </c>
      <c r="P387" s="56" t="str">
        <f>iferror(mround(I387/VLOOKUP(L387,Sheet1!$D$7:$N$16,G387+1,FALSE),2.5),"")</f>
        <v/>
      </c>
      <c r="Q387" s="303" t="str">
        <f t="shared" si="10"/>
        <v/>
      </c>
      <c r="S387" s="11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</row>
    <row r="388" ht="3.75" hidden="1" customHeight="1">
      <c r="A388" s="124"/>
      <c r="B388" s="6"/>
      <c r="C388" s="124"/>
      <c r="D388" s="138"/>
      <c r="E388" s="215"/>
      <c r="F388" s="102"/>
      <c r="G388" s="102"/>
      <c r="H388" s="102"/>
      <c r="I388" s="102"/>
      <c r="J388" s="156"/>
      <c r="K388" s="249"/>
      <c r="L388" s="210"/>
      <c r="M388" s="144"/>
      <c r="N388" s="145"/>
      <c r="O388" s="145"/>
      <c r="P388" s="122"/>
      <c r="Q388" s="304" t="str">
        <f t="shared" si="10"/>
        <v/>
      </c>
      <c r="S388" s="11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</row>
    <row r="389" ht="14.25" hidden="1" customHeight="1">
      <c r="A389" s="124"/>
      <c r="B389" s="6"/>
      <c r="C389" s="124"/>
      <c r="D389" s="185"/>
      <c r="E389" s="227"/>
      <c r="F389" s="187"/>
      <c r="G389" s="229"/>
      <c r="H389" s="195"/>
      <c r="I389" s="164"/>
      <c r="J389" s="248"/>
      <c r="K389" s="251"/>
      <c r="L389" s="164"/>
      <c r="M389" s="134" t="str">
        <f>I254</f>
        <v/>
      </c>
      <c r="N389" s="135" t="str">
        <f>iferror(mround($P254*((VLOOKUP($J389,Sheet1!$D:$N,$G389+1,FALSE)-0.03)),2.5)," ")</f>
        <v> </v>
      </c>
      <c r="O389" s="135" t="str">
        <f>iferror(mround($P254*((VLOOKUP($J389,Sheet1!$D:$N,$G389+1,FALSE)+0.02)),2.5)," ")</f>
        <v> </v>
      </c>
      <c r="P389" s="112" t="str">
        <f>iferror(mround(I389/VLOOKUP(L389,Sheet1!$D$7:$N$16,G389+1,FALSE),2.5),"")</f>
        <v/>
      </c>
      <c r="Q389" s="303" t="str">
        <f t="shared" si="10"/>
        <v/>
      </c>
      <c r="S389" s="11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</row>
    <row r="390" ht="3.75" hidden="1" customHeight="1">
      <c r="A390" s="124"/>
      <c r="B390" s="6"/>
      <c r="C390" s="124"/>
      <c r="D390" s="138"/>
      <c r="E390" s="245"/>
      <c r="F390" s="102"/>
      <c r="G390" s="102"/>
      <c r="H390" s="102"/>
      <c r="I390" s="102"/>
      <c r="J390" s="156"/>
      <c r="K390" s="249"/>
      <c r="L390" s="210"/>
      <c r="M390" s="144"/>
      <c r="N390" s="145"/>
      <c r="O390" s="145"/>
      <c r="P390" s="122"/>
      <c r="Q390" s="304" t="str">
        <f t="shared" si="10"/>
        <v/>
      </c>
      <c r="S390" s="11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</row>
    <row r="391" ht="14.25" hidden="1" customHeight="1">
      <c r="A391" s="124"/>
      <c r="B391" s="6"/>
      <c r="C391" s="124"/>
      <c r="D391" s="185"/>
      <c r="E391" s="227"/>
      <c r="F391" s="187"/>
      <c r="G391" s="229"/>
      <c r="H391" s="195"/>
      <c r="I391" s="164"/>
      <c r="J391" s="248"/>
      <c r="K391" s="251"/>
      <c r="L391" s="164"/>
      <c r="M391" s="134" t="str">
        <f>I256</f>
        <v/>
      </c>
      <c r="N391" s="135" t="str">
        <f>iferror(mround($P256*((VLOOKUP($J391,Sheet1!$D:$N,$G391+1,FALSE)-0.03)),2.5)," ")</f>
        <v> </v>
      </c>
      <c r="O391" s="135" t="str">
        <f>iferror(mround($P256*((VLOOKUP($J391,Sheet1!$D:$N,$G391+1,FALSE)+0.02)),2.5)," ")</f>
        <v> </v>
      </c>
      <c r="P391" s="112" t="str">
        <f>iferror(mround(I391/VLOOKUP(L391,Sheet1!$D$7:$N$16,G391+1,FALSE),2.5),"")</f>
        <v/>
      </c>
      <c r="Q391" s="303" t="str">
        <f t="shared" si="10"/>
        <v/>
      </c>
      <c r="S391" s="11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</row>
    <row r="392" ht="3.75" hidden="1" customHeight="1">
      <c r="A392" s="124"/>
      <c r="B392" s="6"/>
      <c r="C392" s="124"/>
      <c r="D392" s="138"/>
      <c r="E392" s="245"/>
      <c r="F392" s="102"/>
      <c r="G392" s="102"/>
      <c r="H392" s="102"/>
      <c r="I392" s="102"/>
      <c r="J392" s="156"/>
      <c r="K392" s="249"/>
      <c r="L392" s="210"/>
      <c r="M392" s="144"/>
      <c r="N392" s="145"/>
      <c r="O392" s="145"/>
      <c r="P392" s="122"/>
      <c r="Q392" s="304" t="str">
        <f t="shared" si="10"/>
        <v/>
      </c>
      <c r="S392" s="11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</row>
    <row r="393" ht="14.25" hidden="1" customHeight="1">
      <c r="A393" s="124"/>
      <c r="B393" s="6"/>
      <c r="C393" s="124"/>
      <c r="D393" s="185"/>
      <c r="E393" s="227"/>
      <c r="F393" s="187"/>
      <c r="G393" s="229"/>
      <c r="H393" s="195"/>
      <c r="I393" s="164"/>
      <c r="J393" s="248"/>
      <c r="K393" s="251"/>
      <c r="L393" s="164"/>
      <c r="M393" s="134"/>
      <c r="N393" s="135" t="str">
        <f>iferror(mround($P258*((VLOOKUP($J393,Sheet1!$D:$N,$G393+1,FALSE)-0.03)),2.5)," ")</f>
        <v> </v>
      </c>
      <c r="O393" s="135" t="str">
        <f>iferror(mround($P258*((VLOOKUP($J393,Sheet1!$D:$N,$G393+1,FALSE)+0.02)),2.5)," ")</f>
        <v> </v>
      </c>
      <c r="P393" s="112" t="str">
        <f>iferror(mround(I393/VLOOKUP(L393,Sheet1!$D$7:$N$16,G393+1,FALSE),2.5),"")</f>
        <v/>
      </c>
      <c r="Q393" s="303" t="str">
        <f t="shared" si="10"/>
        <v/>
      </c>
      <c r="S393" s="11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</row>
    <row r="394" ht="3.75" hidden="1" customHeight="1">
      <c r="A394" s="124"/>
      <c r="B394" s="6"/>
      <c r="C394" s="124"/>
      <c r="D394" s="138"/>
      <c r="E394" s="245"/>
      <c r="F394" s="102"/>
      <c r="G394" s="102"/>
      <c r="H394" s="102"/>
      <c r="I394" s="102"/>
      <c r="J394" s="156"/>
      <c r="K394" s="249"/>
      <c r="L394" s="210"/>
      <c r="M394" s="144"/>
      <c r="N394" s="145" t="str">
        <f>iferror(mround($P259*((VLOOKUP($J394,Sheet1!$D:$N,$G394+1,FALSE)-0.03)),2.5)," ")</f>
        <v> </v>
      </c>
      <c r="O394" s="145" t="str">
        <f>iferror(mround($P259*((VLOOKUP($J394,Sheet1!$D:$N,$G394+1,FALSE)+0.02)),2.5)," ")</f>
        <v> </v>
      </c>
      <c r="P394" s="122"/>
      <c r="Q394" s="304" t="str">
        <f t="shared" si="10"/>
        <v/>
      </c>
      <c r="S394" s="11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</row>
    <row r="395" ht="14.25" hidden="1" customHeight="1">
      <c r="A395" s="124"/>
      <c r="B395" s="6"/>
      <c r="C395" s="124"/>
      <c r="D395" s="185"/>
      <c r="E395" s="227"/>
      <c r="F395" s="187"/>
      <c r="G395" s="187"/>
      <c r="H395" s="195"/>
      <c r="I395" s="164"/>
      <c r="J395" s="248"/>
      <c r="K395" s="251"/>
      <c r="L395" s="164"/>
      <c r="M395" s="134" t="str">
        <f>I260</f>
        <v/>
      </c>
      <c r="N395" s="135" t="str">
        <f>iferror(mround($P260*((VLOOKUP($J395,Sheet1!$D:$N,$G395+1,FALSE)-0.03)),2.5)," ")</f>
        <v> </v>
      </c>
      <c r="O395" s="135" t="str">
        <f>iferror(mround($P260*((VLOOKUP($J395,Sheet1!$D:$N,$G395+1,FALSE)+0.02)),2.5)," ")</f>
        <v> </v>
      </c>
      <c r="P395" s="112" t="str">
        <f>iferror(mround(I395/VLOOKUP(L395,Sheet1!$D$7:$N$16,G395+1,FALSE),2.5),"")</f>
        <v/>
      </c>
      <c r="Q395" s="303" t="str">
        <f t="shared" si="10"/>
        <v/>
      </c>
      <c r="S395" s="11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</row>
    <row r="396" ht="3.75" hidden="1" customHeight="1">
      <c r="A396" s="261"/>
      <c r="B396" s="6"/>
      <c r="C396" s="262"/>
      <c r="D396" s="138"/>
      <c r="E396" s="245"/>
      <c r="F396" s="102"/>
      <c r="G396" s="102"/>
      <c r="H396" s="102"/>
      <c r="I396" s="102"/>
      <c r="J396" s="156"/>
      <c r="K396" s="249"/>
      <c r="L396" s="210"/>
      <c r="M396" s="144"/>
      <c r="N396" s="145"/>
      <c r="O396" s="145"/>
      <c r="P396" s="122"/>
      <c r="Q396" s="304" t="str">
        <f t="shared" si="10"/>
        <v/>
      </c>
      <c r="S396" s="157"/>
      <c r="T396" s="5"/>
      <c r="U396" s="5"/>
      <c r="V396" s="158"/>
      <c r="W396" s="158"/>
      <c r="X396" s="158"/>
      <c r="Y396" s="158"/>
      <c r="Z396" s="158"/>
      <c r="AA396" s="158"/>
      <c r="AB396" s="158"/>
      <c r="AC396" s="158"/>
      <c r="AD396" s="158"/>
      <c r="AE396" s="158"/>
      <c r="AF396" s="158"/>
      <c r="AG396" s="158"/>
    </row>
    <row r="397" ht="14.25" hidden="1" customHeight="1">
      <c r="A397" s="124"/>
      <c r="B397" s="6"/>
      <c r="C397" s="124"/>
      <c r="D397" s="185"/>
      <c r="E397" s="227"/>
      <c r="F397" s="187"/>
      <c r="G397" s="187"/>
      <c r="H397" s="195"/>
      <c r="I397" s="164"/>
      <c r="J397" s="248"/>
      <c r="K397" s="251"/>
      <c r="L397" s="164"/>
      <c r="M397" s="134" t="str">
        <f>I262</f>
        <v/>
      </c>
      <c r="N397" s="135" t="str">
        <f>iferror(mround($P262*((VLOOKUP($J397,Sheet1!$D:$N,$G397+1,FALSE)-0.03)),2.5)," ")</f>
        <v> </v>
      </c>
      <c r="O397" s="135" t="str">
        <f>iferror(mround($P262*((VLOOKUP($J397,Sheet1!$D:$N,$G397+1,FALSE)+0.02)),2.5)," ")</f>
        <v> </v>
      </c>
      <c r="P397" s="112" t="str">
        <f>iferror(mround(I397/VLOOKUP(L397,Sheet1!$D$7:$N$16,G397+1,FALSE),2.5),"")</f>
        <v/>
      </c>
      <c r="Q397" s="303" t="str">
        <f t="shared" si="10"/>
        <v/>
      </c>
      <c r="S397" s="11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</row>
    <row r="398" ht="3.75" hidden="1" customHeight="1">
      <c r="A398" s="261"/>
      <c r="B398" s="6"/>
      <c r="C398" s="262"/>
      <c r="D398" s="138"/>
      <c r="E398" s="252"/>
      <c r="F398" s="102"/>
      <c r="G398" s="102"/>
      <c r="H398" s="102"/>
      <c r="I398" s="102"/>
      <c r="J398" s="156"/>
      <c r="K398" s="249"/>
      <c r="L398" s="210"/>
      <c r="M398" s="144"/>
      <c r="N398" s="145"/>
      <c r="O398" s="145"/>
      <c r="P398" s="122"/>
      <c r="Q398" s="304" t="str">
        <f t="shared" si="10"/>
        <v/>
      </c>
      <c r="S398" s="157"/>
      <c r="T398" s="5"/>
      <c r="U398" s="5"/>
      <c r="V398" s="158"/>
      <c r="W398" s="158"/>
      <c r="X398" s="158"/>
      <c r="Y398" s="158"/>
      <c r="Z398" s="158"/>
      <c r="AA398" s="158"/>
      <c r="AB398" s="158"/>
      <c r="AC398" s="158"/>
      <c r="AD398" s="158"/>
      <c r="AE398" s="158"/>
      <c r="AF398" s="158"/>
      <c r="AG398" s="158"/>
    </row>
    <row r="399" ht="15.75" hidden="1" customHeight="1">
      <c r="A399" s="124"/>
      <c r="B399" s="6"/>
      <c r="C399" s="124"/>
      <c r="D399" s="185"/>
      <c r="E399" s="260"/>
      <c r="F399" s="187"/>
      <c r="G399" s="187"/>
      <c r="H399" s="195"/>
      <c r="I399" s="247"/>
      <c r="J399" s="248"/>
      <c r="K399" s="251"/>
      <c r="L399" s="164"/>
      <c r="M399" s="134"/>
      <c r="N399" s="135" t="str">
        <f>iferror(mround($P264*((VLOOKUP($J399,Sheet1!$D:$N,$G399+1,FALSE)-0.03)),2.5)," ")</f>
        <v> </v>
      </c>
      <c r="O399" s="135" t="str">
        <f>iferror(mround($P264*((VLOOKUP($J399,Sheet1!$D:$N,$G399+1,FALSE)+0.02)),2.5)," ")</f>
        <v> </v>
      </c>
      <c r="P399" s="112" t="str">
        <f>iferror(mround(I399/VLOOKUP(L399,Sheet1!$D$7:$N$16,G399+1,FALSE),2.5),"")</f>
        <v/>
      </c>
      <c r="Q399" s="303" t="str">
        <f t="shared" si="10"/>
        <v/>
      </c>
      <c r="S399" s="11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</row>
    <row r="400" ht="3.75" hidden="1" customHeight="1">
      <c r="A400" s="124"/>
      <c r="B400" s="6"/>
      <c r="C400" s="124"/>
      <c r="D400" s="263"/>
      <c r="E400" s="252"/>
      <c r="F400" s="102"/>
      <c r="G400" s="102"/>
      <c r="H400" s="102"/>
      <c r="I400" s="102"/>
      <c r="J400" s="156"/>
      <c r="K400" s="249"/>
      <c r="L400" s="210"/>
      <c r="M400" s="144"/>
      <c r="N400" s="145" t="str">
        <f>iferror(mround($P265*((VLOOKUP($J400,Sheet1!$D:$N,$G400+1,FALSE)-0.03)),2.5)," ")</f>
        <v> </v>
      </c>
      <c r="O400" s="145" t="str">
        <f>iferror(mround($P265*((VLOOKUP($J400,Sheet1!$D:$N,$G400+1,FALSE)+0.02)),2.5)," ")</f>
        <v> </v>
      </c>
      <c r="P400" s="122"/>
      <c r="Q400" s="304" t="str">
        <f t="shared" si="10"/>
        <v/>
      </c>
      <c r="S400" s="11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</row>
    <row r="401" ht="14.25" hidden="1" customHeight="1">
      <c r="A401" s="90"/>
      <c r="B401" s="6"/>
      <c r="C401" s="90"/>
      <c r="D401" s="185"/>
      <c r="E401" s="264"/>
      <c r="F401" s="187"/>
      <c r="G401" s="187"/>
      <c r="H401" s="195"/>
      <c r="I401" s="164"/>
      <c r="J401" s="248"/>
      <c r="K401" s="251"/>
      <c r="L401" s="164"/>
      <c r="M401" s="134" t="str">
        <f>I266</f>
        <v/>
      </c>
      <c r="N401" s="135" t="str">
        <f>iferror(mround($P266*((VLOOKUP($J401,Sheet1!$D:$N,$G401+1,FALSE)-0.03)),2.5)," ")</f>
        <v> </v>
      </c>
      <c r="O401" s="135" t="str">
        <f>iferror(mround($P266*((VLOOKUP($J401,Sheet1!$D:$N,$G401+1,FALSE)+0.02)),2.5)," ")</f>
        <v> </v>
      </c>
      <c r="P401" s="112" t="str">
        <f>iferror(mround(I401/VLOOKUP(L401,Sheet1!$D$7:$N$16,G401+1,FALSE),2.5),"")</f>
        <v/>
      </c>
      <c r="Q401" s="303" t="str">
        <f t="shared" si="10"/>
        <v/>
      </c>
      <c r="S401" s="11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</row>
    <row r="402" ht="3.75" hidden="1" customHeight="1">
      <c r="A402" s="261"/>
      <c r="B402" s="6"/>
      <c r="C402" s="262"/>
      <c r="D402" s="263"/>
      <c r="E402" s="263"/>
      <c r="F402" s="194"/>
      <c r="G402" s="194"/>
      <c r="H402" s="155"/>
      <c r="I402" s="210"/>
      <c r="J402" s="265"/>
      <c r="K402" s="249"/>
      <c r="L402" s="210"/>
      <c r="M402" s="144"/>
      <c r="N402" s="145"/>
      <c r="O402" s="145"/>
      <c r="P402" s="122"/>
      <c r="Q402" s="304" t="str">
        <f t="shared" si="10"/>
        <v/>
      </c>
      <c r="S402" s="157"/>
      <c r="T402" s="5"/>
      <c r="U402" s="5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/>
      <c r="AF402" s="158"/>
      <c r="AG402" s="158"/>
    </row>
    <row r="403" ht="15.75" hidden="1" customHeight="1">
      <c r="A403" s="90"/>
      <c r="B403" s="6"/>
      <c r="C403" s="90"/>
      <c r="D403" s="185"/>
      <c r="E403" s="266"/>
      <c r="F403" s="187"/>
      <c r="G403" s="187"/>
      <c r="H403" s="195"/>
      <c r="I403" s="164"/>
      <c r="J403" s="248"/>
      <c r="K403" s="251"/>
      <c r="L403" s="164"/>
      <c r="M403" s="134"/>
      <c r="N403" s="135" t="str">
        <f>iferror(mround($P268*((VLOOKUP($J403,Sheet1!$D:$N,$G403+1,FALSE)-0.03)),2.5)," ")</f>
        <v> </v>
      </c>
      <c r="O403" s="135" t="str">
        <f>iferror(mround($P268*((VLOOKUP($J403,Sheet1!$D:$N,$G403+1,FALSE)+0.02)),2.5)," ")</f>
        <v> </v>
      </c>
      <c r="P403" s="112" t="str">
        <f>iferror(mround(I403/VLOOKUP(L403,Sheet1!$D$7:$N$16,G403+1,FALSE),2.5),"")</f>
        <v/>
      </c>
      <c r="Q403" s="303" t="str">
        <f t="shared" si="10"/>
        <v/>
      </c>
      <c r="S403" s="11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</row>
    <row r="404" ht="3.75" hidden="1" customHeight="1">
      <c r="A404" s="90"/>
      <c r="B404" s="6"/>
      <c r="C404" s="90"/>
      <c r="D404" s="138"/>
      <c r="E404" s="252"/>
      <c r="F404" s="102"/>
      <c r="G404" s="102"/>
      <c r="H404" s="102"/>
      <c r="I404" s="102"/>
      <c r="J404" s="156"/>
      <c r="K404" s="249"/>
      <c r="L404" s="210"/>
      <c r="M404" s="144"/>
      <c r="N404" s="145" t="str">
        <f>iferror(mround($P269*((VLOOKUP($J404,Sheet1!$D:$N,$G404+1,FALSE)-0.03)),2.5)," ")</f>
        <v> </v>
      </c>
      <c r="O404" s="145" t="str">
        <f>iferror(mround($P269*((VLOOKUP($J404,Sheet1!$D:$N,$G404+1,FALSE)+0.02)),2.5)," ")</f>
        <v> </v>
      </c>
      <c r="P404" s="122"/>
      <c r="Q404" s="304" t="str">
        <f t="shared" si="10"/>
        <v/>
      </c>
      <c r="S404" s="11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</row>
    <row r="405" ht="15.75" hidden="1" customHeight="1">
      <c r="A405" s="90"/>
      <c r="B405" s="6"/>
      <c r="C405" s="90"/>
      <c r="D405" s="185"/>
      <c r="E405" s="264"/>
      <c r="F405" s="187"/>
      <c r="G405" s="187"/>
      <c r="H405" s="195"/>
      <c r="I405" s="164"/>
      <c r="J405" s="248"/>
      <c r="K405" s="251"/>
      <c r="L405" s="164"/>
      <c r="M405" s="134" t="str">
        <f>I270</f>
        <v/>
      </c>
      <c r="N405" s="135" t="str">
        <f>iferror(mround($P270*((VLOOKUP($J405,Sheet1!$D:$N,$G405+1,FALSE)-0.03)),2.5)," ")</f>
        <v> </v>
      </c>
      <c r="O405" s="135" t="str">
        <f>iferror(mround($P270*((VLOOKUP($J405,Sheet1!$D:$N,$G405+1,FALSE)+0.02)),2.5)," ")</f>
        <v> </v>
      </c>
      <c r="P405" s="112" t="str">
        <f>iferror(mround(I405/VLOOKUP(L405,Sheet1!$D$7:$N$16,G405+1,FALSE),2.5),"")</f>
        <v/>
      </c>
      <c r="Q405" s="303" t="str">
        <f t="shared" si="10"/>
        <v/>
      </c>
      <c r="S405" s="11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</row>
    <row r="406" ht="3.75" hidden="1" customHeight="1">
      <c r="A406" s="191"/>
      <c r="B406" s="6"/>
      <c r="C406" s="192"/>
      <c r="D406" s="138"/>
      <c r="E406" s="252"/>
      <c r="F406" s="102"/>
      <c r="G406" s="102"/>
      <c r="H406" s="102"/>
      <c r="I406" s="102"/>
      <c r="J406" s="156"/>
      <c r="K406" s="249"/>
      <c r="L406" s="210"/>
      <c r="M406" s="144"/>
      <c r="N406" s="145"/>
      <c r="O406" s="145"/>
      <c r="P406" s="122"/>
      <c r="Q406" s="304" t="str">
        <f t="shared" si="10"/>
        <v/>
      </c>
      <c r="S406" s="157"/>
      <c r="T406" s="5"/>
      <c r="U406" s="5"/>
      <c r="V406" s="158"/>
      <c r="W406" s="158"/>
      <c r="X406" s="158"/>
      <c r="Y406" s="158"/>
      <c r="Z406" s="158"/>
      <c r="AA406" s="158"/>
      <c r="AB406" s="158"/>
      <c r="AC406" s="158"/>
      <c r="AD406" s="158"/>
      <c r="AE406" s="158"/>
      <c r="AF406" s="158"/>
      <c r="AG406" s="158"/>
    </row>
    <row r="407" ht="15.75" hidden="1" customHeight="1">
      <c r="A407" s="90"/>
      <c r="B407" s="6"/>
      <c r="C407" s="90"/>
      <c r="D407" s="185"/>
      <c r="E407" s="260"/>
      <c r="F407" s="187"/>
      <c r="G407" s="187"/>
      <c r="H407" s="195"/>
      <c r="I407" s="164"/>
      <c r="J407" s="248"/>
      <c r="K407" s="251"/>
      <c r="L407" s="164"/>
      <c r="M407" s="134" t="str">
        <f>I272</f>
        <v/>
      </c>
      <c r="N407" s="135" t="str">
        <f>iferror(mround($P272*((VLOOKUP($J407,Sheet1!$D:$N,$G407+1,FALSE)-0.03)),2.5)," ")</f>
        <v> </v>
      </c>
      <c r="O407" s="135" t="str">
        <f>iferror(mround($P272*((VLOOKUP($J407,Sheet1!$D:$N,$G407+1,FALSE)+0.02)),2.5)," ")</f>
        <v> </v>
      </c>
      <c r="P407" s="112" t="str">
        <f>iferror(mround(I407/VLOOKUP(L407,Sheet1!$D$7:$N$16,G407+1,FALSE),2.5),"")</f>
        <v/>
      </c>
      <c r="Q407" s="303" t="str">
        <f t="shared" si="10"/>
        <v/>
      </c>
      <c r="S407" s="11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</row>
    <row r="408" ht="3.75" hidden="1" customHeight="1">
      <c r="A408" s="90"/>
      <c r="B408" s="6"/>
      <c r="C408" s="90"/>
      <c r="D408" s="263"/>
      <c r="E408" s="252"/>
      <c r="F408" s="102"/>
      <c r="G408" s="102"/>
      <c r="H408" s="102"/>
      <c r="I408" s="102"/>
      <c r="J408" s="156"/>
      <c r="K408" s="249"/>
      <c r="L408" s="210"/>
      <c r="M408" s="144"/>
      <c r="N408" s="145"/>
      <c r="O408" s="145"/>
      <c r="P408" s="122"/>
      <c r="Q408" s="304" t="str">
        <f t="shared" si="10"/>
        <v/>
      </c>
      <c r="S408" s="11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</row>
    <row r="409" ht="15.75" hidden="1" customHeight="1">
      <c r="A409" s="90"/>
      <c r="B409" s="6"/>
      <c r="C409" s="90"/>
      <c r="D409" s="185"/>
      <c r="E409" s="266"/>
      <c r="F409" s="187"/>
      <c r="G409" s="187"/>
      <c r="H409" s="195"/>
      <c r="I409" s="164"/>
      <c r="J409" s="248"/>
      <c r="K409" s="251"/>
      <c r="L409" s="164"/>
      <c r="M409" s="134" t="str">
        <f>I274</f>
        <v/>
      </c>
      <c r="N409" s="135" t="str">
        <f>iferror(mround($P274*((VLOOKUP($J409,Sheet1!$D:$N,$G409+1,FALSE)-0.03)),2.5)," ")</f>
        <v> </v>
      </c>
      <c r="O409" s="135" t="str">
        <f>iferror(mround($P274*((VLOOKUP($J409,Sheet1!$D:$N,$G409+1,FALSE)+0.02)),2.5)," ")</f>
        <v> </v>
      </c>
      <c r="P409" s="112" t="str">
        <f>iferror(mround(I409/VLOOKUP(L409,Sheet1!$D$7:$N$16,G409+1,FALSE),2.5),"")</f>
        <v/>
      </c>
      <c r="Q409" s="303" t="str">
        <f t="shared" si="10"/>
        <v/>
      </c>
      <c r="S409" s="11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</row>
    <row r="410" ht="3.75" hidden="1" customHeight="1">
      <c r="A410" s="191"/>
      <c r="B410" s="6"/>
      <c r="C410" s="192"/>
      <c r="D410" s="192"/>
      <c r="E410" s="267"/>
      <c r="F410" s="194"/>
      <c r="G410" s="194"/>
      <c r="H410" s="155"/>
      <c r="I410" s="210"/>
      <c r="J410" s="268"/>
      <c r="K410" s="249"/>
      <c r="L410" s="269"/>
      <c r="M410" s="270"/>
      <c r="N410" s="269"/>
      <c r="O410" s="269"/>
      <c r="P410" s="271"/>
      <c r="Q410" s="272"/>
      <c r="R410" s="273"/>
      <c r="S410" s="157"/>
      <c r="T410" s="5"/>
      <c r="U410" s="5"/>
      <c r="V410" s="158"/>
      <c r="W410" s="158"/>
      <c r="X410" s="158"/>
      <c r="Y410" s="158"/>
      <c r="Z410" s="158"/>
      <c r="AA410" s="158"/>
      <c r="AB410" s="158"/>
      <c r="AC410" s="158"/>
      <c r="AD410" s="158"/>
      <c r="AE410" s="158"/>
      <c r="AF410" s="158"/>
      <c r="AG410" s="158"/>
    </row>
    <row r="411" ht="14.25" customHeight="1">
      <c r="A411" s="5"/>
      <c r="B411" s="6"/>
      <c r="C411" s="5"/>
      <c r="D411" s="274"/>
      <c r="E411" s="266"/>
      <c r="F411" s="187"/>
      <c r="G411" s="187"/>
      <c r="H411" s="195"/>
      <c r="I411" s="129"/>
      <c r="J411" s="275"/>
      <c r="K411" s="276"/>
      <c r="L411" s="187"/>
      <c r="M411" s="187"/>
      <c r="N411" s="187"/>
      <c r="O411" s="187"/>
      <c r="P411" s="277"/>
      <c r="Q411" s="278"/>
      <c r="R411" s="279"/>
      <c r="S411" s="11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</row>
    <row r="412" ht="14.25" customHeight="1">
      <c r="A412" s="5"/>
      <c r="B412" s="6"/>
      <c r="C412" s="5"/>
      <c r="D412" s="274" t="s">
        <v>59</v>
      </c>
      <c r="E412" s="266" t="s">
        <v>16</v>
      </c>
      <c r="F412" s="187" t="s">
        <v>17</v>
      </c>
      <c r="G412" s="187" t="s">
        <v>60</v>
      </c>
      <c r="H412" s="187"/>
      <c r="I412" s="280" t="s">
        <v>61</v>
      </c>
      <c r="J412" s="266" t="s">
        <v>62</v>
      </c>
      <c r="K412" s="274"/>
      <c r="L412" s="187"/>
      <c r="M412" s="285"/>
      <c r="N412" s="285"/>
      <c r="O412" s="285"/>
      <c r="P412" s="282"/>
      <c r="Q412" s="278"/>
      <c r="R412" s="157"/>
      <c r="S412" s="11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</row>
    <row r="413" ht="14.25" customHeight="1">
      <c r="A413" s="5"/>
      <c r="B413" s="6"/>
      <c r="C413" s="5"/>
      <c r="D413" s="274" t="s">
        <v>6</v>
      </c>
      <c r="E413" s="283">
        <f>IFERROR(__xludf.DUMMYFUNCTION("SUM(FILTER(F288:F412, ISNUMBER(SEARCH(""squat"", D288:D412))))"),6.0)</f>
        <v>6</v>
      </c>
      <c r="F413" s="284">
        <f>IFERROR(__xludf.DUMMYFUNCTION("SUMPRODUCT(FILTER(F288:F412 * G288:G412, ISNUMBER(SEARCH(""squat"", D288:D412))))"),275274.0)</f>
        <v>275274</v>
      </c>
      <c r="G413" s="135">
        <f>IFERROR(__xludf.DUMMYFUNCTION("ROUND(SUMPRODUCT(FILTER(F288:F412 * G288:G412 * I288:I412, ISNUMBER(SEARCH(""squat"", D288:D412)))), 0)"),0.0)</f>
        <v>0</v>
      </c>
      <c r="H413" s="285"/>
      <c r="I413" s="135" t="str">
        <f>IFERROR(__xludf.DUMMYFUNCTION("ROUND(AVERAGE(FILTER(I288:I412, ISNUMBER(SEARCH(""squat"", D288:D412)), I288:I412 &lt;&gt; """")) / J413 * 100, 0)"),"#N/A")</f>
        <v>#N/A</v>
      </c>
      <c r="J413" s="283" t="str">
        <f>IFERROR(__xludf.DUMMYFUNCTION("IFERROR(MROUND(AVERAGE(FILTER(P288:P412, D288:D412 = ""comp squat"", P288:P412 &lt;&gt; """", P288:P412 &gt;= 0.9 * MAX(FILTER(P288:P412, D288:D412 = ""comp squat"", P288:P412 &lt;&gt; """")), P288:P412 &lt;= 1.1 * MAX(FILTER(P288:P412, D288:D412 = ""comp squat"", P288:P41"&amp;"2 &lt;&gt; """")))), 2.5), ""No valid data"")"),"No valid data")</f>
        <v>No valid data</v>
      </c>
      <c r="K413" s="286"/>
      <c r="L413" s="287" t="str">
        <f>MROUND(J413/2.2046,2.5)-$O$10</f>
        <v>#VALUE!</v>
      </c>
      <c r="M413" s="305"/>
      <c r="N413" s="305"/>
      <c r="O413" s="305"/>
      <c r="P413" s="282"/>
      <c r="Q413" s="278"/>
      <c r="R413" s="291"/>
      <c r="S413" s="11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</row>
    <row r="414" ht="3.0" customHeight="1">
      <c r="A414" s="5"/>
      <c r="B414" s="6"/>
      <c r="C414" s="5"/>
      <c r="D414" s="90"/>
      <c r="E414" s="156"/>
      <c r="F414" s="102"/>
      <c r="G414" s="145"/>
      <c r="H414" s="102"/>
      <c r="I414" s="145"/>
      <c r="J414" s="156"/>
      <c r="K414" s="286"/>
      <c r="L414" s="292"/>
      <c r="M414" s="284"/>
      <c r="N414" s="284"/>
      <c r="O414" s="305"/>
      <c r="P414" s="282"/>
      <c r="Q414" s="278"/>
      <c r="R414" s="115"/>
      <c r="S414" s="11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</row>
    <row r="415" ht="15.75" customHeight="1">
      <c r="A415" s="5"/>
      <c r="B415" s="6"/>
      <c r="C415" s="5"/>
      <c r="D415" s="274" t="s">
        <v>66</v>
      </c>
      <c r="E415" s="293">
        <f>IFERROR(__xludf.DUMMYFUNCTION("SUM(FILTER(F288:F412, ISNUMBER(SEARCH(""bench press"", D288:D412))))"),12.0)</f>
        <v>12</v>
      </c>
      <c r="F415" s="284">
        <f>IFERROR(__xludf.DUMMYFUNCTION("SUMPRODUCT(FILTER(F289:F413 * G289:G413, ISNUMBER(SEARCH(""bench press"", D289:D413))))"),51.0)</f>
        <v>51</v>
      </c>
      <c r="G415" s="135">
        <f>IFERROR(__xludf.DUMMYFUNCTION("ROUND(SUMPRODUCT(FILTER(F288:F412 * G288:G412 * I288:I412, ISNUMBER(SEARCH(""bench press"", D288:D412)))), 0)"),0.0)</f>
        <v>0</v>
      </c>
      <c r="H415" s="285"/>
      <c r="I415" s="135" t="str">
        <f>IFERROR(__xludf.DUMMYFUNCTION("ROUND(AVERAGE(FILTER(I288:I412, ISNUMBER(SEARCH(""bench press"", D288:D412)), I288:I412 &lt;&gt; """")) / J415 * 100, 0)"),"#VALUE!")</f>
        <v>#VALUE!</v>
      </c>
      <c r="J415" s="293" t="str">
        <f>IFERROR(__xludf.DUMMYFUNCTION("IFERROR(MROUND(AVERAGE(FILTER(P288:P412, D288:D412 = ""comp bench press"", P288:P412 &lt;&gt; """", P288:P412 &gt;= 0.9 * MAX(FILTER(P288:P412, D288:D412 = ""comp bench press"", P288:P412 &lt;&gt; """")), P288:P412 &lt;= 1.1 * MAX(FILTER(P288:P412, D288:D412 = ""comp bench"&amp;" press"", P288:P412 &lt;&gt; """")))), 2.5), ""No valid data"")"),"No valid data")</f>
        <v>No valid data</v>
      </c>
      <c r="K415" s="286"/>
      <c r="L415" s="294" t="str">
        <f>MROUND(J415/2.2046,2.5)-$O$11</f>
        <v>#VALUE!</v>
      </c>
      <c r="M415" s="285"/>
      <c r="N415" s="285"/>
      <c r="O415" s="305"/>
      <c r="P415" s="282"/>
      <c r="Q415" s="278"/>
      <c r="R415" s="157"/>
      <c r="S415" s="11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</row>
    <row r="416" ht="3.0" customHeight="1">
      <c r="A416" s="5"/>
      <c r="B416" s="6"/>
      <c r="C416" s="5"/>
      <c r="D416" s="90"/>
      <c r="E416" s="156"/>
      <c r="F416" s="102"/>
      <c r="G416" s="145"/>
      <c r="H416" s="102"/>
      <c r="I416" s="145"/>
      <c r="J416" s="156"/>
      <c r="K416" s="286"/>
      <c r="L416" s="292"/>
      <c r="M416" s="285"/>
      <c r="N416" s="285"/>
      <c r="O416" s="284"/>
      <c r="P416" s="282"/>
      <c r="Q416" s="278"/>
      <c r="R416" s="157"/>
      <c r="S416" s="11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</row>
    <row r="417" ht="14.25" customHeight="1">
      <c r="A417" s="5"/>
      <c r="B417" s="6"/>
      <c r="C417" s="5"/>
      <c r="D417" s="274" t="s">
        <v>10</v>
      </c>
      <c r="E417" s="293">
        <f>IFERROR(__xludf.DUMMYFUNCTION("SUM(FILTER(F288:F412, ISNUMBER(SEARCH(""deadlift"", D288:D412))))"),6.0)</f>
        <v>6</v>
      </c>
      <c r="F417" s="284">
        <f>IFERROR(__xludf.DUMMYFUNCTION("SUMPRODUCT(FILTER(F288:F412 * G288:G412, ISNUMBER(SEARCH(""deadlift"", D288:D412))))"),275463.0)</f>
        <v>275463</v>
      </c>
      <c r="G417" s="135">
        <f>IFERROR(__xludf.DUMMYFUNCTION("ROUND(SUMPRODUCT(FILTER(F288:F412 * G288:G412 * I288:I412, ISNUMBER(SEARCH(""deadlift"", D288:D412)))), 0)"),0.0)</f>
        <v>0</v>
      </c>
      <c r="H417" s="285"/>
      <c r="I417" s="135" t="str">
        <f>IFERROR(__xludf.DUMMYFUNCTION("ROUND(AVERAGE(FILTER(I288:I412, ISNUMBER(SEARCH(""deadlift"", D288:D412)), I288:I412 &lt;&gt; """")) / J417 * 100, 0)"),"#N/A")</f>
        <v>#N/A</v>
      </c>
      <c r="J417" s="293" t="str">
        <f>IFERROR(__xludf.DUMMYFUNCTION("IFERROR(MROUND(AVERAGE(FILTER(P288:P412, D288:D412 = ""comp deadlift"", P288:P412 &lt;&gt; """", P288:P412 &gt;= 0.9 * MAX(FILTER(P288:P412, D288:D412 = ""comp deadlift"", P288:P412 &lt;&gt; """")), P288:P412 &lt;= 1.1 * MAX(FILTER(P288:P412, D288:D412 = ""comp deadlift"","&amp;" P288:P412 &lt;&gt; """")))), 2.5), ""No valid data"")"),"No valid data")</f>
        <v>No valid data</v>
      </c>
      <c r="K417" s="286"/>
      <c r="L417" s="294" t="str">
        <f>MROUND(J417/2.2046,2.5)-$O$12</f>
        <v>#VALUE!</v>
      </c>
      <c r="M417" s="285"/>
      <c r="N417" s="285"/>
      <c r="O417" s="285"/>
      <c r="P417" s="282"/>
      <c r="Q417" s="278"/>
      <c r="R417" s="157"/>
      <c r="S417" s="11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</row>
    <row r="418" ht="14.25" customHeight="1">
      <c r="A418" s="5"/>
      <c r="B418" s="6"/>
      <c r="C418" s="5"/>
      <c r="D418" s="274"/>
      <c r="E418" s="266"/>
      <c r="F418" s="187"/>
      <c r="G418" s="187"/>
      <c r="H418" s="187"/>
      <c r="I418" s="187"/>
      <c r="J418" s="295"/>
      <c r="K418" s="274"/>
      <c r="L418" s="187"/>
      <c r="M418" s="285"/>
      <c r="N418" s="285"/>
      <c r="O418" s="285"/>
      <c r="P418" s="282"/>
      <c r="Q418" s="278"/>
      <c r="R418" s="157"/>
      <c r="S418" s="11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</row>
    <row r="419" ht="14.25" customHeight="1">
      <c r="A419" s="5"/>
      <c r="B419" s="2"/>
      <c r="C419" s="5"/>
      <c r="D419" s="5"/>
      <c r="E419" s="75"/>
      <c r="F419" s="3"/>
      <c r="G419" s="3"/>
      <c r="H419" s="3"/>
      <c r="I419" s="3"/>
      <c r="J419" s="75"/>
      <c r="K419" s="5"/>
      <c r="L419" s="3"/>
      <c r="M419" s="47"/>
      <c r="N419" s="3"/>
      <c r="O419" s="3"/>
      <c r="P419" s="3"/>
      <c r="Q419" s="4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</row>
    <row r="420" ht="18.75" customHeight="1">
      <c r="A420" s="90"/>
      <c r="B420" s="6"/>
      <c r="C420" s="91"/>
      <c r="D420" s="79" t="s">
        <v>72</v>
      </c>
      <c r="E420" s="80" t="s">
        <v>13</v>
      </c>
      <c r="G420" s="81"/>
      <c r="H420" s="81"/>
      <c r="I420" s="81"/>
      <c r="J420" s="82"/>
      <c r="K420" s="83"/>
      <c r="L420" s="83"/>
      <c r="M420" s="93"/>
      <c r="N420" s="93"/>
      <c r="O420" s="93"/>
      <c r="P420" s="296"/>
      <c r="Q420" s="297"/>
      <c r="R420" s="298"/>
      <c r="S420" s="10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</row>
    <row r="421" ht="18.75" customHeight="1">
      <c r="A421" s="90"/>
      <c r="B421" s="6"/>
      <c r="C421" s="91"/>
      <c r="D421" s="299">
        <f>D286+1</f>
        <v>4</v>
      </c>
      <c r="E421" s="300" t="str">
        <f>IF(E286 = "", "", E286 - 1)</f>
        <v/>
      </c>
      <c r="F421" s="36"/>
      <c r="G421" s="301"/>
      <c r="H421" s="301"/>
      <c r="I421" s="301"/>
      <c r="J421" s="92"/>
      <c r="K421" s="93"/>
      <c r="L421" s="93"/>
      <c r="M421" s="93"/>
      <c r="N421" s="93"/>
      <c r="O421" s="93"/>
      <c r="P421" s="94"/>
      <c r="Q421" s="95"/>
      <c r="R421" s="96"/>
      <c r="S421" s="10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</row>
    <row r="422" ht="5.25" customHeight="1">
      <c r="A422" s="90"/>
      <c r="B422" s="6"/>
      <c r="C422" s="90"/>
      <c r="D422" s="97"/>
      <c r="E422" s="98"/>
      <c r="F422" s="99"/>
      <c r="G422" s="99"/>
      <c r="H422" s="99"/>
      <c r="I422" s="100"/>
      <c r="J422" s="101"/>
      <c r="K422" s="90"/>
      <c r="L422" s="102"/>
      <c r="M422" s="102"/>
      <c r="N422" s="102"/>
      <c r="O422" s="102"/>
      <c r="P422" s="103"/>
      <c r="Q422" s="4"/>
      <c r="R422" s="90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</row>
    <row r="423" ht="30.75" customHeight="1">
      <c r="A423" s="90"/>
      <c r="B423" s="6"/>
      <c r="C423" s="90"/>
      <c r="D423" s="202" t="s">
        <v>73</v>
      </c>
      <c r="E423" s="105" t="s">
        <v>15</v>
      </c>
      <c r="F423" s="106" t="s">
        <v>16</v>
      </c>
      <c r="G423" s="106" t="s">
        <v>17</v>
      </c>
      <c r="H423" s="107"/>
      <c r="I423" s="106" t="s">
        <v>18</v>
      </c>
      <c r="J423" s="108" t="s">
        <v>19</v>
      </c>
      <c r="L423" s="109" t="s">
        <v>20</v>
      </c>
      <c r="M423" s="110" t="s">
        <v>21</v>
      </c>
      <c r="N423" s="111" t="s">
        <v>22</v>
      </c>
      <c r="P423" s="112"/>
      <c r="Q423" s="113" t="s">
        <v>23</v>
      </c>
      <c r="R423" s="114" t="s">
        <v>24</v>
      </c>
      <c r="S423" s="11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</row>
    <row r="424" ht="14.25" customHeight="1">
      <c r="A424" s="90"/>
      <c r="B424" s="6"/>
      <c r="C424" s="90"/>
      <c r="D424" s="116" t="s">
        <v>25</v>
      </c>
      <c r="E424" s="117" t="s">
        <v>26</v>
      </c>
      <c r="H424" s="107"/>
      <c r="N424" s="111" t="s">
        <v>27</v>
      </c>
      <c r="O424" s="111" t="s">
        <v>28</v>
      </c>
      <c r="P424" s="112" t="s">
        <v>29</v>
      </c>
      <c r="R424" s="118" t="s">
        <v>30</v>
      </c>
      <c r="S424" s="11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</row>
    <row r="425" ht="3.75" customHeight="1">
      <c r="A425" s="90"/>
      <c r="B425" s="6"/>
      <c r="C425" s="90"/>
      <c r="D425" s="97"/>
      <c r="E425" s="98"/>
      <c r="F425" s="99"/>
      <c r="G425" s="99"/>
      <c r="H425" s="99"/>
      <c r="I425" s="100"/>
      <c r="J425" s="302"/>
      <c r="K425" s="90"/>
      <c r="L425" s="102"/>
      <c r="M425" s="121"/>
      <c r="N425" s="102"/>
      <c r="O425" s="102"/>
      <c r="P425" s="122"/>
      <c r="Q425" s="4"/>
      <c r="R425" s="123"/>
      <c r="S425" s="11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</row>
    <row r="426" ht="15.75" customHeight="1">
      <c r="A426" s="124"/>
      <c r="B426" s="6"/>
      <c r="C426" s="124"/>
      <c r="D426" s="125" t="s">
        <v>31</v>
      </c>
      <c r="E426" s="126"/>
      <c r="F426" s="127">
        <v>3.0</v>
      </c>
      <c r="G426" s="128">
        <v>45942.0</v>
      </c>
      <c r="H426" s="129"/>
      <c r="I426" s="130"/>
      <c r="J426" s="131">
        <v>45815.0</v>
      </c>
      <c r="K426" s="132"/>
      <c r="L426" s="133"/>
      <c r="M426" s="134" t="str">
        <f>I291</f>
        <v/>
      </c>
      <c r="N426" s="135" t="str">
        <f>iferror(mround($P291*((VLOOKUP($J426,Sheet1!$D:$N,$G426+1,FALSE)-0.03)),2.5)," ")</f>
        <v> </v>
      </c>
      <c r="O426" s="135" t="str">
        <f>iferror(mround($P291*((VLOOKUP($J426,Sheet1!$D:$N,$G426+1,FALSE)+0.02)),2.5)," ")</f>
        <v> </v>
      </c>
      <c r="P426" s="56" t="str">
        <f>iferror(mround(I426/VLOOKUP(L426,Sheet1!$D$7:$N$16,G426+1,FALSE),2.5),"")</f>
        <v/>
      </c>
      <c r="Q426" s="303" t="str">
        <f t="shared" ref="Q426:Q447" si="11">IF(OR(ISBLANK(I426), ISBLANK(I291)), "", IF(I426 - I291 = 0, "", I426 - I291))</f>
        <v/>
      </c>
      <c r="S426" s="11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</row>
    <row r="427" ht="3.75" customHeight="1">
      <c r="A427" s="137"/>
      <c r="B427" s="70"/>
      <c r="C427" s="137"/>
      <c r="D427" s="138"/>
      <c r="E427" s="139"/>
      <c r="F427" s="140"/>
      <c r="G427" s="140"/>
      <c r="H427" s="140"/>
      <c r="I427" s="140"/>
      <c r="J427" s="141"/>
      <c r="K427" s="142"/>
      <c r="L427" s="143"/>
      <c r="M427" s="144"/>
      <c r="N427" s="145"/>
      <c r="O427" s="145"/>
      <c r="P427" s="122"/>
      <c r="Q427" s="304" t="str">
        <f t="shared" si="11"/>
        <v/>
      </c>
      <c r="S427" s="147"/>
      <c r="T427" s="148"/>
      <c r="U427" s="148"/>
      <c r="V427" s="148"/>
      <c r="W427" s="148"/>
      <c r="X427" s="148"/>
      <c r="Y427" s="148"/>
      <c r="Z427" s="148"/>
      <c r="AA427" s="148"/>
      <c r="AB427" s="148"/>
      <c r="AC427" s="148"/>
      <c r="AD427" s="148"/>
      <c r="AE427" s="148"/>
      <c r="AF427" s="148"/>
      <c r="AG427" s="148"/>
    </row>
    <row r="428" ht="15.75" customHeight="1">
      <c r="A428" s="149"/>
      <c r="B428" s="150"/>
      <c r="C428" s="149"/>
      <c r="D428" s="125" t="s">
        <v>32</v>
      </c>
      <c r="E428" s="126"/>
      <c r="F428" s="127">
        <v>3.0</v>
      </c>
      <c r="G428" s="128">
        <v>45942.0</v>
      </c>
      <c r="H428" s="129"/>
      <c r="I428" s="130"/>
      <c r="J428" s="151">
        <v>6.0</v>
      </c>
      <c r="K428" s="132"/>
      <c r="L428" s="133"/>
      <c r="M428" s="134" t="str">
        <f>I293</f>
        <v/>
      </c>
      <c r="N428" s="135" t="str">
        <f>iferror(mround($P293*((VLOOKUP($J428,Sheet1!$D:$N,$G428+1,FALSE)-0.03)),2.5)," ")</f>
        <v> </v>
      </c>
      <c r="O428" s="135" t="str">
        <f>iferror(mround($P293*((VLOOKUP($J428,Sheet1!$D:$N,$G428+1,FALSE)+0.02)),2.5)," ")</f>
        <v> </v>
      </c>
      <c r="P428" s="56" t="str">
        <f>iferror(mround(I428/VLOOKUP(L428,Sheet1!$D$7:$N$16,G428+1,FALSE),2.5),"")</f>
        <v/>
      </c>
      <c r="Q428" s="303" t="str">
        <f t="shared" si="11"/>
        <v/>
      </c>
      <c r="S428" s="11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</row>
    <row r="429" ht="3.75" customHeight="1">
      <c r="A429" s="152"/>
      <c r="B429" s="150"/>
      <c r="C429" s="153"/>
      <c r="D429" s="138"/>
      <c r="E429" s="154"/>
      <c r="F429" s="155"/>
      <c r="G429" s="102"/>
      <c r="H429" s="102"/>
      <c r="I429" s="102"/>
      <c r="J429" s="156"/>
      <c r="K429" s="142"/>
      <c r="L429" s="143"/>
      <c r="M429" s="144"/>
      <c r="N429" s="145"/>
      <c r="O429" s="145"/>
      <c r="P429" s="122"/>
      <c r="Q429" s="304" t="str">
        <f t="shared" si="11"/>
        <v/>
      </c>
      <c r="S429" s="157"/>
      <c r="T429" s="5"/>
      <c r="U429" s="5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</row>
    <row r="430" ht="15.75" customHeight="1">
      <c r="A430" s="149"/>
      <c r="B430" s="150"/>
      <c r="C430" s="149"/>
      <c r="D430" s="159" t="s">
        <v>33</v>
      </c>
      <c r="E430" s="160" t="s">
        <v>34</v>
      </c>
      <c r="F430" s="127">
        <v>1.0</v>
      </c>
      <c r="G430" s="161">
        <v>5.0</v>
      </c>
      <c r="H430" s="129"/>
      <c r="I430" s="130"/>
      <c r="J430" s="151">
        <v>7.0</v>
      </c>
      <c r="K430" s="132"/>
      <c r="L430" s="133"/>
      <c r="M430" s="134" t="str">
        <f>I295</f>
        <v/>
      </c>
      <c r="N430" s="135">
        <f>iferror(mround($P295*((VLOOKUP($J430,Sheet1!$D:$N,$G430+1,FALSE)-0.03)),2.5)," ")</f>
        <v>0</v>
      </c>
      <c r="O430" s="135">
        <f>iferror(mround($P295*((VLOOKUP($J430,Sheet1!$D:$N,$G430+1,FALSE)+0.02)),2.5)," ")</f>
        <v>0</v>
      </c>
      <c r="P430" s="56" t="str">
        <f>iferror(mround(I430/VLOOKUP(L430,Sheet1!$D$7:$N$16,G430+1,FALSE),2.5),"")</f>
        <v/>
      </c>
      <c r="Q430" s="303" t="str">
        <f t="shared" si="11"/>
        <v/>
      </c>
      <c r="S430" s="11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</row>
    <row r="431" ht="3.75" customHeight="1">
      <c r="A431" s="162"/>
      <c r="B431" s="163"/>
      <c r="C431" s="162"/>
      <c r="D431" s="138"/>
      <c r="E431" s="139"/>
      <c r="F431" s="140"/>
      <c r="G431" s="140"/>
      <c r="H431" s="140"/>
      <c r="I431" s="140"/>
      <c r="J431" s="141"/>
      <c r="K431" s="142"/>
      <c r="L431" s="143"/>
      <c r="M431" s="144"/>
      <c r="N431" s="145"/>
      <c r="O431" s="145"/>
      <c r="P431" s="122"/>
      <c r="Q431" s="304" t="str">
        <f t="shared" si="11"/>
        <v/>
      </c>
      <c r="S431" s="147"/>
      <c r="T431" s="148"/>
      <c r="U431" s="148"/>
      <c r="V431" s="148"/>
      <c r="W431" s="148"/>
      <c r="X431" s="148"/>
      <c r="Y431" s="148"/>
      <c r="Z431" s="148"/>
      <c r="AA431" s="148"/>
      <c r="AB431" s="148"/>
      <c r="AC431" s="148"/>
      <c r="AD431" s="148"/>
      <c r="AE431" s="148"/>
      <c r="AF431" s="148"/>
      <c r="AG431" s="148"/>
    </row>
    <row r="432" ht="15.75" customHeight="1">
      <c r="A432" s="149"/>
      <c r="B432" s="150"/>
      <c r="C432" s="149"/>
      <c r="D432" s="159" t="s">
        <v>33</v>
      </c>
      <c r="E432" s="160" t="s">
        <v>34</v>
      </c>
      <c r="F432" s="127">
        <v>2.0</v>
      </c>
      <c r="G432" s="161">
        <v>5.0</v>
      </c>
      <c r="H432" s="129"/>
      <c r="I432" s="164">
        <f>MROUND(I430*(1+J432),5)</f>
        <v>0</v>
      </c>
      <c r="J432" s="165">
        <v>-0.1</v>
      </c>
      <c r="K432" s="132"/>
      <c r="L432" s="133"/>
      <c r="M432" s="134">
        <f>I297</f>
        <v>0</v>
      </c>
      <c r="N432" s="135" t="str">
        <f>iferror(mround($P297*((VLOOKUP($J432,Sheet1!$D:$N,$G432+1,FALSE)-0.03)),2.5)," ")</f>
        <v> </v>
      </c>
      <c r="O432" s="135" t="str">
        <f>iferror(mround($P297*((VLOOKUP($J432,Sheet1!$D:$N,$G432+1,FALSE)+0.02)),2.5)," ")</f>
        <v> </v>
      </c>
      <c r="P432" s="56" t="str">
        <f>iferror(mround(I432/VLOOKUP(L432,Sheet1!$D$7:$N$16,G432+1,FALSE),2.5),"")</f>
        <v/>
      </c>
      <c r="Q432" s="303" t="str">
        <f t="shared" si="11"/>
        <v/>
      </c>
      <c r="S432" s="11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</row>
    <row r="433" ht="3.75" customHeight="1">
      <c r="A433" s="162"/>
      <c r="B433" s="163"/>
      <c r="C433" s="162"/>
      <c r="D433" s="138"/>
      <c r="E433" s="139"/>
      <c r="F433" s="102"/>
      <c r="G433" s="102"/>
      <c r="H433" s="102"/>
      <c r="I433" s="102"/>
      <c r="J433" s="156"/>
      <c r="K433" s="142"/>
      <c r="L433" s="143"/>
      <c r="M433" s="144"/>
      <c r="N433" s="145"/>
      <c r="O433" s="145"/>
      <c r="P433" s="122"/>
      <c r="Q433" s="304" t="str">
        <f t="shared" si="11"/>
        <v/>
      </c>
      <c r="S433" s="147"/>
      <c r="T433" s="148"/>
      <c r="U433" s="148"/>
      <c r="V433" s="148"/>
      <c r="W433" s="148"/>
      <c r="X433" s="148"/>
      <c r="Y433" s="148"/>
      <c r="Z433" s="148"/>
      <c r="AA433" s="148"/>
      <c r="AB433" s="148"/>
      <c r="AC433" s="148"/>
      <c r="AD433" s="148"/>
      <c r="AE433" s="148"/>
      <c r="AF433" s="148"/>
      <c r="AG433" s="148"/>
    </row>
    <row r="434" ht="15.75" customHeight="1">
      <c r="A434" s="90"/>
      <c r="B434" s="6"/>
      <c r="C434" s="90"/>
      <c r="D434" s="166" t="s">
        <v>35</v>
      </c>
      <c r="E434" s="167" t="s">
        <v>36</v>
      </c>
      <c r="F434" s="127">
        <v>2.0</v>
      </c>
      <c r="G434" s="161">
        <v>6.0</v>
      </c>
      <c r="H434" s="129"/>
      <c r="I434" s="130"/>
      <c r="J434" s="151">
        <v>7.0</v>
      </c>
      <c r="K434" s="132"/>
      <c r="L434" s="133"/>
      <c r="M434" s="134" t="str">
        <f>I299</f>
        <v/>
      </c>
      <c r="N434" s="135">
        <f>iferror(mround($P299*((VLOOKUP($J434,Sheet1!$D:$N,$G434+1,FALSE)-0.03)),2.5)," ")</f>
        <v>0</v>
      </c>
      <c r="O434" s="135">
        <f>iferror(mround($P299*((VLOOKUP($J434,Sheet1!$D:$N,$G434+1,FALSE)+0.02)),2.5)," ")</f>
        <v>0</v>
      </c>
      <c r="P434" s="56" t="str">
        <f>iferror(mround(I434/VLOOKUP(L434,Sheet1!$D$7:$N$16,G434+1,FALSE),2.5),"")</f>
        <v/>
      </c>
      <c r="Q434" s="303" t="str">
        <f t="shared" si="11"/>
        <v/>
      </c>
      <c r="S434" s="11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</row>
    <row r="435" ht="3.75" customHeight="1">
      <c r="A435" s="168"/>
      <c r="B435" s="70"/>
      <c r="C435" s="168"/>
      <c r="D435" s="138"/>
      <c r="E435" s="139"/>
      <c r="F435" s="102"/>
      <c r="G435" s="102"/>
      <c r="H435" s="102"/>
      <c r="I435" s="102"/>
      <c r="J435" s="156"/>
      <c r="K435" s="142"/>
      <c r="L435" s="143"/>
      <c r="M435" s="144"/>
      <c r="N435" s="145"/>
      <c r="O435" s="145"/>
      <c r="P435" s="122"/>
      <c r="Q435" s="304" t="str">
        <f t="shared" si="11"/>
        <v/>
      </c>
      <c r="S435" s="147"/>
      <c r="T435" s="148"/>
      <c r="U435" s="148"/>
      <c r="V435" s="148"/>
      <c r="W435" s="148"/>
      <c r="X435" s="148"/>
      <c r="Y435" s="148"/>
      <c r="Z435" s="148"/>
      <c r="AA435" s="148"/>
      <c r="AB435" s="148"/>
      <c r="AC435" s="148"/>
      <c r="AD435" s="148"/>
      <c r="AE435" s="148"/>
      <c r="AF435" s="148"/>
      <c r="AG435" s="148"/>
    </row>
    <row r="436" ht="15.75" customHeight="1">
      <c r="A436" s="90"/>
      <c r="B436" s="6"/>
      <c r="C436" s="90"/>
      <c r="D436" s="166" t="s">
        <v>37</v>
      </c>
      <c r="E436" s="167" t="s">
        <v>38</v>
      </c>
      <c r="F436" s="127">
        <v>3.0</v>
      </c>
      <c r="G436" s="169">
        <v>45942.0</v>
      </c>
      <c r="H436" s="129"/>
      <c r="I436" s="130"/>
      <c r="J436" s="151">
        <v>8.0</v>
      </c>
      <c r="K436" s="170"/>
      <c r="L436" s="133"/>
      <c r="M436" s="134" t="str">
        <f>I301</f>
        <v/>
      </c>
      <c r="N436" s="135" t="str">
        <f>iferror(mround($P301*((VLOOKUP($J436,Sheet1!$D:$N,$G436+1,FALSE)-0.03)),2.5)," ")</f>
        <v> </v>
      </c>
      <c r="O436" s="135" t="str">
        <f>iferror(mround($P301*((VLOOKUP($J436,Sheet1!$D:$N,$G436+1,FALSE)+0.02)),2.5)," ")</f>
        <v> </v>
      </c>
      <c r="P436" s="56" t="str">
        <f>iferror(mround(I436/VLOOKUP(L436,Sheet1!$D$7:$N$16,G436+1,FALSE),2.5),"")</f>
        <v/>
      </c>
      <c r="Q436" s="303" t="str">
        <f t="shared" si="11"/>
        <v/>
      </c>
      <c r="S436" s="11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</row>
    <row r="437" ht="3.75" customHeight="1">
      <c r="A437" s="90"/>
      <c r="B437" s="6"/>
      <c r="C437" s="90"/>
      <c r="D437" s="171"/>
      <c r="E437" s="172"/>
      <c r="F437" s="173"/>
      <c r="G437" s="173"/>
      <c r="H437" s="173"/>
      <c r="I437" s="173"/>
      <c r="J437" s="174"/>
      <c r="K437" s="142"/>
      <c r="L437" s="143"/>
      <c r="M437" s="144"/>
      <c r="N437" s="145"/>
      <c r="O437" s="145"/>
      <c r="P437" s="122"/>
      <c r="Q437" s="304" t="str">
        <f t="shared" si="11"/>
        <v/>
      </c>
      <c r="S437" s="11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</row>
    <row r="438" ht="15.75" customHeight="1">
      <c r="A438" s="90"/>
      <c r="B438" s="6"/>
      <c r="C438" s="90"/>
      <c r="D438" s="166" t="s">
        <v>39</v>
      </c>
      <c r="E438" s="160"/>
      <c r="F438" s="127">
        <v>2.0</v>
      </c>
      <c r="G438" s="161" t="s">
        <v>16</v>
      </c>
      <c r="H438" s="129"/>
      <c r="I438" s="130"/>
      <c r="J438" s="151">
        <v>8.0</v>
      </c>
      <c r="K438" s="132"/>
      <c r="L438" s="133"/>
      <c r="M438" s="134" t="str">
        <f>I303</f>
        <v/>
      </c>
      <c r="N438" s="135" t="str">
        <f>iferror(mround($P303*((VLOOKUP($J438,Sheet1!$D:$N,$G438+1,FALSE)-0.03)),2.5)," ")</f>
        <v> </v>
      </c>
      <c r="O438" s="135" t="str">
        <f>iferror(mround($P303*((VLOOKUP($J438,Sheet1!$D:$N,$G438+1,FALSE)+0.02)),2.5)," ")</f>
        <v> </v>
      </c>
      <c r="P438" s="56" t="str">
        <f>iferror(mround(I438/VLOOKUP(L438,Sheet1!$D$7:$N$16,G438+1,FALSE),2.5),"")</f>
        <v/>
      </c>
      <c r="Q438" s="303" t="str">
        <f t="shared" si="11"/>
        <v/>
      </c>
      <c r="S438" s="11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</row>
    <row r="439" ht="3.75" customHeight="1">
      <c r="A439" s="90"/>
      <c r="B439" s="6"/>
      <c r="C439" s="90"/>
      <c r="D439" s="171"/>
      <c r="E439" s="172"/>
      <c r="F439" s="173"/>
      <c r="G439" s="173"/>
      <c r="H439" s="173"/>
      <c r="I439" s="173"/>
      <c r="J439" s="174"/>
      <c r="K439" s="142"/>
      <c r="L439" s="143"/>
      <c r="M439" s="144"/>
      <c r="N439" s="145"/>
      <c r="O439" s="145"/>
      <c r="P439" s="122"/>
      <c r="Q439" s="304" t="str">
        <f t="shared" si="11"/>
        <v/>
      </c>
      <c r="S439" s="11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</row>
    <row r="440" ht="15.75" customHeight="1">
      <c r="A440" s="90"/>
      <c r="B440" s="6"/>
      <c r="C440" s="90"/>
      <c r="D440" s="175" t="s">
        <v>40</v>
      </c>
      <c r="E440" s="176"/>
      <c r="F440" s="177">
        <v>3.0</v>
      </c>
      <c r="G440" s="178" t="s">
        <v>41</v>
      </c>
      <c r="H440" s="179"/>
      <c r="I440" s="180"/>
      <c r="J440" s="181">
        <v>8.0</v>
      </c>
      <c r="K440" s="182"/>
      <c r="L440" s="183"/>
      <c r="M440" s="134" t="str">
        <f>I305</f>
        <v/>
      </c>
      <c r="N440" s="135" t="str">
        <f>iferror(mround($P305*((VLOOKUP($J440,Sheet1!$D:$N,$G440+1,FALSE)-0.03)),2.5)," ")</f>
        <v> </v>
      </c>
      <c r="O440" s="135" t="str">
        <f>iferror(mround($P305*((VLOOKUP($J440,Sheet1!$D:$N,$G440+1,FALSE)+0.02)),2.5)," ")</f>
        <v> </v>
      </c>
      <c r="P440" s="56" t="str">
        <f>iferror(mround(I440/VLOOKUP(L440,Sheet1!$D$7:$N$16,G440+1,FALSE),2.5),"")</f>
        <v/>
      </c>
      <c r="Q440" s="303" t="str">
        <f t="shared" si="11"/>
        <v/>
      </c>
      <c r="S440" s="11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</row>
    <row r="441" ht="3.75" customHeight="1">
      <c r="A441" s="90"/>
      <c r="B441" s="6"/>
      <c r="C441" s="90"/>
      <c r="D441" s="138"/>
      <c r="E441" s="184"/>
      <c r="F441" s="102"/>
      <c r="G441" s="102"/>
      <c r="H441" s="102"/>
      <c r="I441" s="102"/>
      <c r="J441" s="156"/>
      <c r="K441" s="103"/>
      <c r="L441" s="143"/>
      <c r="M441" s="144"/>
      <c r="N441" s="145"/>
      <c r="O441" s="145"/>
      <c r="P441" s="122"/>
      <c r="Q441" s="304" t="str">
        <f t="shared" si="11"/>
        <v/>
      </c>
      <c r="S441" s="11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</row>
    <row r="442" ht="15.75" hidden="1" customHeight="1">
      <c r="A442" s="90"/>
      <c r="B442" s="6"/>
      <c r="C442" s="90"/>
      <c r="D442" s="185"/>
      <c r="E442" s="186"/>
      <c r="F442" s="187"/>
      <c r="G442" s="188"/>
      <c r="H442" s="129"/>
      <c r="I442" s="164"/>
      <c r="J442" s="189"/>
      <c r="K442" s="190"/>
      <c r="L442" s="183"/>
      <c r="M442" s="134" t="str">
        <f>I307</f>
        <v/>
      </c>
      <c r="N442" s="135" t="str">
        <f>iferror(mround($P307*((VLOOKUP($J442,Sheet1!$D:$N,$G442+1,FALSE)-0.03)),2.5)," ")</f>
        <v> </v>
      </c>
      <c r="O442" s="135" t="str">
        <f>iferror(mround($P307*((VLOOKUP($J442,Sheet1!$D:$N,$G442+1,FALSE)+0.02)),2.5)," ")</f>
        <v> </v>
      </c>
      <c r="P442" s="56" t="str">
        <f>iferror(mround(I442/VLOOKUP(L442,Sheet1!$D$7:$N$16,G442+1,FALSE),2.5),"")</f>
        <v/>
      </c>
      <c r="Q442" s="303" t="str">
        <f t="shared" si="11"/>
        <v/>
      </c>
      <c r="S442" s="11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</row>
    <row r="443" ht="3.75" hidden="1" customHeight="1">
      <c r="A443" s="191"/>
      <c r="B443" s="6"/>
      <c r="C443" s="192"/>
      <c r="D443" s="138"/>
      <c r="E443" s="193"/>
      <c r="F443" s="194"/>
      <c r="G443" s="155"/>
      <c r="H443" s="102"/>
      <c r="I443" s="102"/>
      <c r="J443" s="156"/>
      <c r="K443" s="103"/>
      <c r="L443" s="143"/>
      <c r="M443" s="144"/>
      <c r="N443" s="145"/>
      <c r="O443" s="145"/>
      <c r="P443" s="122"/>
      <c r="Q443" s="304" t="str">
        <f t="shared" si="11"/>
        <v/>
      </c>
      <c r="S443" s="157"/>
      <c r="T443" s="5"/>
      <c r="U443" s="5"/>
      <c r="V443" s="158"/>
      <c r="W443" s="158"/>
      <c r="X443" s="158"/>
      <c r="Y443" s="158"/>
      <c r="Z443" s="158"/>
      <c r="AA443" s="158"/>
      <c r="AB443" s="158"/>
      <c r="AC443" s="158"/>
      <c r="AD443" s="158"/>
      <c r="AE443" s="158"/>
      <c r="AF443" s="158"/>
      <c r="AG443" s="158"/>
    </row>
    <row r="444" ht="15.75" hidden="1" customHeight="1">
      <c r="A444" s="90"/>
      <c r="B444" s="6"/>
      <c r="C444" s="90"/>
      <c r="D444" s="185"/>
      <c r="E444" s="186"/>
      <c r="F444" s="187"/>
      <c r="G444" s="195"/>
      <c r="H444" s="129"/>
      <c r="I444" s="164"/>
      <c r="J444" s="189"/>
      <c r="K444" s="190"/>
      <c r="L444" s="183"/>
      <c r="M444" s="134" t="str">
        <f>I309</f>
        <v/>
      </c>
      <c r="N444" s="135" t="str">
        <f>iferror(mround($P309*((VLOOKUP($J444,Sheet1!$D:$N,$G444+1,FALSE)-0.03)),2.5)," ")</f>
        <v> </v>
      </c>
      <c r="O444" s="135" t="str">
        <f>iferror(mround($P309*((VLOOKUP($J444,Sheet1!$D:$N,$G444+1,FALSE)+0.02)),2.5)," ")</f>
        <v> </v>
      </c>
      <c r="P444" s="56" t="str">
        <f>iferror(mround(I444/VLOOKUP(L444,Sheet1!$D$7:$N$16,G444+1,FALSE),2.5),"")</f>
        <v/>
      </c>
      <c r="Q444" s="303" t="str">
        <f t="shared" si="11"/>
        <v/>
      </c>
      <c r="S444" s="11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</row>
    <row r="445" ht="3.75" hidden="1" customHeight="1">
      <c r="A445" s="90"/>
      <c r="B445" s="6"/>
      <c r="C445" s="90"/>
      <c r="D445" s="196"/>
      <c r="E445" s="184"/>
      <c r="F445" s="102"/>
      <c r="G445" s="102"/>
      <c r="H445" s="102"/>
      <c r="I445" s="102"/>
      <c r="J445" s="156"/>
      <c r="K445" s="103"/>
      <c r="L445" s="143"/>
      <c r="M445" s="144"/>
      <c r="N445" s="145"/>
      <c r="O445" s="145"/>
      <c r="P445" s="122"/>
      <c r="Q445" s="304" t="str">
        <f t="shared" si="11"/>
        <v/>
      </c>
      <c r="S445" s="11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</row>
    <row r="446" ht="15.75" hidden="1" customHeight="1">
      <c r="A446" s="90"/>
      <c r="B446" s="6"/>
      <c r="C446" s="90"/>
      <c r="D446" s="197"/>
      <c r="E446" s="198"/>
      <c r="F446" s="199"/>
      <c r="G446" s="195"/>
      <c r="H446" s="129"/>
      <c r="I446" s="164"/>
      <c r="J446" s="189"/>
      <c r="K446" s="190"/>
      <c r="L446" s="183"/>
      <c r="M446" s="134" t="str">
        <f>I311</f>
        <v/>
      </c>
      <c r="N446" s="135" t="str">
        <f>iferror(mround($P311*((VLOOKUP($J446,Sheet1!$D:$N,$G446+1,FALSE)-0.03)),2.5)," ")</f>
        <v> </v>
      </c>
      <c r="O446" s="135" t="str">
        <f>iferror(mround($P311*((VLOOKUP($J446,Sheet1!$D:$N,$G446+1,FALSE)+0.02)),2.5)," ")</f>
        <v> </v>
      </c>
      <c r="P446" s="56" t="str">
        <f>iferror(mround(I446/VLOOKUP(L446,Sheet1!$D$7:$N$16,G446+1,FALSE),2.5),"")</f>
        <v/>
      </c>
      <c r="Q446" s="303" t="str">
        <f t="shared" si="11"/>
        <v/>
      </c>
      <c r="S446" s="11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</row>
    <row r="447" ht="3.75" hidden="1" customHeight="1">
      <c r="A447" s="90"/>
      <c r="B447" s="6"/>
      <c r="C447" s="90"/>
      <c r="D447" s="90"/>
      <c r="E447" s="156"/>
      <c r="F447" s="102"/>
      <c r="G447" s="102"/>
      <c r="H447" s="102"/>
      <c r="I447" s="102"/>
      <c r="J447" s="156"/>
      <c r="K447" s="200"/>
      <c r="L447" s="201"/>
      <c r="M447" s="144"/>
      <c r="N447" s="47"/>
      <c r="O447" s="47"/>
      <c r="P447" s="122"/>
      <c r="Q447" s="304" t="str">
        <f t="shared" si="11"/>
        <v/>
      </c>
      <c r="S447" s="11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</row>
    <row r="448" ht="30.0" customHeight="1">
      <c r="A448" s="90"/>
      <c r="B448" s="6"/>
      <c r="C448" s="90"/>
      <c r="D448" s="202" t="s">
        <v>42</v>
      </c>
      <c r="E448" s="105" t="s">
        <v>15</v>
      </c>
      <c r="F448" s="106" t="s">
        <v>16</v>
      </c>
      <c r="G448" s="106" t="s">
        <v>17</v>
      </c>
      <c r="H448" s="107"/>
      <c r="I448" s="106" t="s">
        <v>18</v>
      </c>
      <c r="J448" s="108" t="s">
        <v>19</v>
      </c>
      <c r="L448" s="109" t="s">
        <v>20</v>
      </c>
      <c r="M448" s="110" t="s">
        <v>21</v>
      </c>
      <c r="N448" s="111" t="s">
        <v>22</v>
      </c>
      <c r="P448" s="112"/>
      <c r="Q448" s="113" t="s">
        <v>23</v>
      </c>
      <c r="R448" s="114" t="s">
        <v>43</v>
      </c>
      <c r="S448" s="11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</row>
    <row r="449" ht="14.25" customHeight="1">
      <c r="A449" s="90"/>
      <c r="B449" s="6"/>
      <c r="C449" s="90"/>
      <c r="D449" s="116" t="s">
        <v>25</v>
      </c>
      <c r="E449" s="117" t="s">
        <v>26</v>
      </c>
      <c r="H449" s="107"/>
      <c r="N449" s="111" t="s">
        <v>27</v>
      </c>
      <c r="O449" s="111" t="s">
        <v>28</v>
      </c>
      <c r="P449" s="112" t="s">
        <v>29</v>
      </c>
      <c r="R449" s="118" t="s">
        <v>30</v>
      </c>
      <c r="S449" s="11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</row>
    <row r="450" ht="3.75" customHeight="1">
      <c r="A450" s="191"/>
      <c r="B450" s="6"/>
      <c r="C450" s="192"/>
      <c r="D450" s="203"/>
      <c r="E450" s="204"/>
      <c r="F450" s="205"/>
      <c r="G450" s="205"/>
      <c r="H450" s="206"/>
      <c r="I450" s="207"/>
      <c r="J450" s="208"/>
      <c r="K450" s="209"/>
      <c r="L450" s="210"/>
      <c r="M450" s="211"/>
      <c r="N450" s="47"/>
      <c r="O450" s="47"/>
      <c r="P450" s="122"/>
      <c r="Q450" s="304" t="str">
        <f t="shared" ref="Q450:Q472" si="12">IF(OR(ISBLANK(I450), ISBLANK(I315)), "", IF(I450 - I315 = 0, "", I450 - I315))</f>
        <v/>
      </c>
      <c r="R450" s="212"/>
      <c r="S450" s="157"/>
      <c r="T450" s="5"/>
      <c r="U450" s="5"/>
      <c r="V450" s="158"/>
      <c r="W450" s="158"/>
      <c r="X450" s="158"/>
      <c r="Y450" s="158"/>
      <c r="Z450" s="158"/>
      <c r="AA450" s="158"/>
      <c r="AB450" s="158"/>
      <c r="AC450" s="158"/>
      <c r="AD450" s="158"/>
      <c r="AE450" s="158"/>
      <c r="AF450" s="158"/>
      <c r="AG450" s="158"/>
    </row>
    <row r="451" ht="15.75" customHeight="1">
      <c r="A451" s="124"/>
      <c r="B451" s="6"/>
      <c r="C451" s="124"/>
      <c r="D451" s="159" t="s">
        <v>33</v>
      </c>
      <c r="E451" s="167"/>
      <c r="F451" s="127">
        <v>1.0</v>
      </c>
      <c r="G451" s="127">
        <v>2.0</v>
      </c>
      <c r="H451" s="195"/>
      <c r="I451" s="130"/>
      <c r="J451" s="151">
        <v>7.5</v>
      </c>
      <c r="K451" s="213"/>
      <c r="L451" s="133"/>
      <c r="M451" s="134" t="str">
        <f>I316</f>
        <v/>
      </c>
      <c r="N451" s="135">
        <f>iferror(mround($P316*((VLOOKUP($J451,Sheet1!$D:$N,$G451+1,FALSE)-0.03)),2.5)," ")</f>
        <v>0</v>
      </c>
      <c r="O451" s="135">
        <f>iferror(mround($P316*((VLOOKUP($J451,Sheet1!$D:$N,$G451+1,FALSE)+0.02)),2.5)," ")</f>
        <v>0</v>
      </c>
      <c r="P451" s="112" t="str">
        <f>iferror(mround(I451/VLOOKUP(L451,Sheet1!$D$7:$N$16,G451+1,FALSE),2.5),"")</f>
        <v/>
      </c>
      <c r="Q451" s="303" t="str">
        <f t="shared" si="12"/>
        <v/>
      </c>
      <c r="R451" s="214"/>
      <c r="S451" s="11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</row>
    <row r="452" ht="3.75" customHeight="1">
      <c r="A452" s="124"/>
      <c r="B452" s="6"/>
      <c r="C452" s="124"/>
      <c r="D452" s="138"/>
      <c r="E452" s="215"/>
      <c r="F452" s="102"/>
      <c r="G452" s="102"/>
      <c r="H452" s="102"/>
      <c r="I452" s="102"/>
      <c r="J452" s="216"/>
      <c r="K452" s="217"/>
      <c r="L452" s="218"/>
      <c r="M452" s="144"/>
      <c r="N452" s="145"/>
      <c r="O452" s="145"/>
      <c r="P452" s="122"/>
      <c r="Q452" s="304" t="str">
        <f t="shared" si="12"/>
        <v/>
      </c>
      <c r="R452" s="214"/>
      <c r="S452" s="11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</row>
    <row r="453" ht="15.75" customHeight="1">
      <c r="A453" s="90"/>
      <c r="B453" s="6"/>
      <c r="C453" s="90"/>
      <c r="D453" s="159" t="s">
        <v>33</v>
      </c>
      <c r="E453" s="167"/>
      <c r="F453" s="127">
        <v>2.0</v>
      </c>
      <c r="G453" s="161">
        <v>5.0</v>
      </c>
      <c r="H453" s="195"/>
      <c r="I453" s="130"/>
      <c r="J453" s="151">
        <v>7.0</v>
      </c>
      <c r="K453" s="219"/>
      <c r="L453" s="133"/>
      <c r="M453" s="134" t="str">
        <f>I318</f>
        <v/>
      </c>
      <c r="N453" s="135">
        <f>iferror(mround($P318*((VLOOKUP($J453,Sheet1!$D:$N,$G453+1,FALSE)-0.03)),2.5)," ")</f>
        <v>0</v>
      </c>
      <c r="O453" s="135">
        <f>iferror(mround($P318*((VLOOKUP($J453,Sheet1!$D:$N,$G453+1,FALSE)+0.02)),2.5)," ")</f>
        <v>0</v>
      </c>
      <c r="P453" s="112" t="str">
        <f>iferror(mround(I453/VLOOKUP(L453,Sheet1!$D$7:$N$16,G453+1,FALSE),2.5),"")</f>
        <v/>
      </c>
      <c r="Q453" s="303" t="str">
        <f t="shared" si="12"/>
        <v/>
      </c>
      <c r="R453" s="214"/>
      <c r="S453" s="11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</row>
    <row r="454" ht="3.75" customHeight="1">
      <c r="A454" s="90"/>
      <c r="B454" s="6"/>
      <c r="C454" s="90"/>
      <c r="D454" s="138"/>
      <c r="E454" s="215"/>
      <c r="F454" s="102"/>
      <c r="G454" s="102"/>
      <c r="H454" s="102"/>
      <c r="I454" s="102"/>
      <c r="J454" s="156"/>
      <c r="K454" s="217"/>
      <c r="L454" s="218"/>
      <c r="M454" s="144"/>
      <c r="N454" s="145"/>
      <c r="O454" s="145"/>
      <c r="P454" s="122"/>
      <c r="Q454" s="304" t="str">
        <f t="shared" si="12"/>
        <v/>
      </c>
      <c r="R454" s="214"/>
      <c r="S454" s="11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</row>
    <row r="455" ht="15.75" customHeight="1">
      <c r="A455" s="90"/>
      <c r="B455" s="6"/>
      <c r="C455" s="90"/>
      <c r="D455" s="159" t="s">
        <v>44</v>
      </c>
      <c r="E455" s="167"/>
      <c r="F455" s="127">
        <v>3.0</v>
      </c>
      <c r="G455" s="169">
        <v>45577.0</v>
      </c>
      <c r="H455" s="195"/>
      <c r="I455" s="130"/>
      <c r="J455" s="151">
        <v>8.0</v>
      </c>
      <c r="K455" s="219"/>
      <c r="L455" s="133"/>
      <c r="M455" s="134" t="str">
        <f>I320</f>
        <v/>
      </c>
      <c r="N455" s="135" t="str">
        <f>iferror(mround($P320*((VLOOKUP($J455,Sheet1!$D:$N,$G455+1,FALSE)-0.03)),2.5)," ")</f>
        <v> </v>
      </c>
      <c r="O455" s="135" t="str">
        <f>iferror(mround($P320*((VLOOKUP($J455,Sheet1!$D:$N,$G455+1,FALSE)+0.02)),2.5)," ")</f>
        <v> </v>
      </c>
      <c r="P455" s="112" t="str">
        <f>iferror(mround(I455/VLOOKUP(L455,Sheet1!$D$7:$N$16,G455+1,FALSE),2.5),"")</f>
        <v/>
      </c>
      <c r="Q455" s="303" t="str">
        <f t="shared" si="12"/>
        <v/>
      </c>
      <c r="R455" s="214"/>
      <c r="S455" s="11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</row>
    <row r="456" ht="3.75" customHeight="1">
      <c r="A456" s="90"/>
      <c r="B456" s="6"/>
      <c r="C456" s="90"/>
      <c r="D456" s="138"/>
      <c r="E456" s="215"/>
      <c r="F456" s="102"/>
      <c r="G456" s="102"/>
      <c r="H456" s="102"/>
      <c r="I456" s="102"/>
      <c r="J456" s="156"/>
      <c r="K456" s="217"/>
      <c r="L456" s="143"/>
      <c r="M456" s="144"/>
      <c r="N456" s="145"/>
      <c r="O456" s="145"/>
      <c r="P456" s="122"/>
      <c r="Q456" s="304" t="str">
        <f t="shared" si="12"/>
        <v/>
      </c>
      <c r="R456" s="214"/>
      <c r="S456" s="11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</row>
    <row r="457" ht="15.75" customHeight="1">
      <c r="A457" s="90"/>
      <c r="B457" s="6"/>
      <c r="C457" s="90"/>
      <c r="D457" s="159" t="s">
        <v>45</v>
      </c>
      <c r="E457" s="220"/>
      <c r="F457" s="127">
        <v>3.0</v>
      </c>
      <c r="G457" s="127" t="s">
        <v>41</v>
      </c>
      <c r="H457" s="195"/>
      <c r="I457" s="164"/>
      <c r="J457" s="151">
        <v>8.0</v>
      </c>
      <c r="K457" s="213"/>
      <c r="L457" s="133"/>
      <c r="M457" s="134" t="str">
        <f>I322</f>
        <v/>
      </c>
      <c r="N457" s="135" t="str">
        <f>iferror(mround($P322*((VLOOKUP($J457,Sheet1!$D:$N,$G457+1,FALSE)-0.03)),2.5)," ")</f>
        <v> </v>
      </c>
      <c r="O457" s="135" t="str">
        <f>iferror(mround($P322*((VLOOKUP($J457,Sheet1!$D:$N,$G457+1,FALSE)+0.02)),2.5)," ")</f>
        <v> </v>
      </c>
      <c r="P457" s="112" t="str">
        <f>iferror(mround(I457/VLOOKUP(L457,Sheet1!$D$7:$N$16,G457+1,FALSE),2.5),"")</f>
        <v/>
      </c>
      <c r="Q457" s="303" t="str">
        <f t="shared" si="12"/>
        <v/>
      </c>
      <c r="R457" s="214"/>
      <c r="S457" s="11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</row>
    <row r="458" ht="3.75" customHeight="1">
      <c r="A458" s="90"/>
      <c r="B458" s="6"/>
      <c r="C458" s="90"/>
      <c r="D458" s="138"/>
      <c r="E458" s="215"/>
      <c r="F458" s="102"/>
      <c r="G458" s="102"/>
      <c r="H458" s="102"/>
      <c r="I458" s="102"/>
      <c r="J458" s="156"/>
      <c r="K458" s="217"/>
      <c r="L458" s="143"/>
      <c r="M458" s="144"/>
      <c r="N458" s="145"/>
      <c r="O458" s="145"/>
      <c r="P458" s="122"/>
      <c r="Q458" s="304" t="str">
        <f t="shared" si="12"/>
        <v/>
      </c>
      <c r="R458" s="214"/>
      <c r="S458" s="11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</row>
    <row r="459" ht="15.75" customHeight="1">
      <c r="A459" s="90"/>
      <c r="B459" s="6"/>
      <c r="C459" s="90"/>
      <c r="D459" s="159" t="s">
        <v>46</v>
      </c>
      <c r="E459" s="220"/>
      <c r="F459" s="127">
        <v>3.0</v>
      </c>
      <c r="G459" s="127" t="s">
        <v>16</v>
      </c>
      <c r="H459" s="195"/>
      <c r="I459" s="130"/>
      <c r="J459" s="151">
        <v>9.0</v>
      </c>
      <c r="K459" s="213"/>
      <c r="L459" s="133"/>
      <c r="M459" s="134" t="str">
        <f>I324</f>
        <v/>
      </c>
      <c r="N459" s="135" t="str">
        <f>iferror(mround($P324*((VLOOKUP($J459,Sheet1!$D:$N,$G459+1,FALSE)-0.03)),2.5)," ")</f>
        <v> </v>
      </c>
      <c r="O459" s="135" t="str">
        <f>iferror(mround($P324*((VLOOKUP($J459,Sheet1!$D:$N,$G459+1,FALSE)+0.02)),2.5)," ")</f>
        <v> </v>
      </c>
      <c r="P459" s="112" t="str">
        <f>iferror(mround(I459/VLOOKUP(L459,Sheet1!$D$7:$N$16,G459+1,FALSE),2.5),"")</f>
        <v/>
      </c>
      <c r="Q459" s="303" t="str">
        <f t="shared" si="12"/>
        <v/>
      </c>
      <c r="R459" s="214"/>
      <c r="S459" s="11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</row>
    <row r="460" ht="3.75" customHeight="1">
      <c r="A460" s="90"/>
      <c r="B460" s="6"/>
      <c r="C460" s="90"/>
      <c r="D460" s="138"/>
      <c r="E460" s="215"/>
      <c r="F460" s="102"/>
      <c r="G460" s="102"/>
      <c r="H460" s="102"/>
      <c r="I460" s="102"/>
      <c r="J460" s="156"/>
      <c r="K460" s="217"/>
      <c r="L460" s="143"/>
      <c r="M460" s="144"/>
      <c r="N460" s="145"/>
      <c r="O460" s="145"/>
      <c r="P460" s="122"/>
      <c r="Q460" s="304" t="str">
        <f t="shared" si="12"/>
        <v/>
      </c>
      <c r="R460" s="214"/>
      <c r="S460" s="11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</row>
    <row r="461" ht="15.75" customHeight="1">
      <c r="A461" s="90"/>
      <c r="B461" s="6"/>
      <c r="C461" s="90"/>
      <c r="D461" s="159" t="s">
        <v>47</v>
      </c>
      <c r="E461" s="220"/>
      <c r="F461" s="127">
        <v>3.0</v>
      </c>
      <c r="G461" s="221">
        <v>45641.0</v>
      </c>
      <c r="H461" s="195"/>
      <c r="I461" s="130"/>
      <c r="J461" s="151">
        <v>9.0</v>
      </c>
      <c r="K461" s="213"/>
      <c r="L461" s="183"/>
      <c r="M461" s="134" t="str">
        <f>I326</f>
        <v/>
      </c>
      <c r="N461" s="135" t="str">
        <f>iferror(mround($P326*((VLOOKUP($J461,Sheet1!$D:$N,$G461+1,FALSE)-0.03)),2.5)," ")</f>
        <v> </v>
      </c>
      <c r="O461" s="135" t="str">
        <f>iferror(mround($P326*((VLOOKUP($J461,Sheet1!$D:$N,$G461+1,FALSE)+0.02)),2.5)," ")</f>
        <v> </v>
      </c>
      <c r="P461" s="112" t="str">
        <f>iferror(mround(I461/VLOOKUP(L461,Sheet1!$D$7:$N$16,G461+1,FALSE),2.5),"")</f>
        <v/>
      </c>
      <c r="Q461" s="303" t="str">
        <f t="shared" si="12"/>
        <v/>
      </c>
      <c r="R461" s="214"/>
      <c r="S461" s="11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</row>
    <row r="462" ht="3.75" customHeight="1">
      <c r="A462" s="90"/>
      <c r="B462" s="6"/>
      <c r="C462" s="90"/>
      <c r="D462" s="138"/>
      <c r="E462" s="215"/>
      <c r="F462" s="102"/>
      <c r="G462" s="102"/>
      <c r="H462" s="102"/>
      <c r="I462" s="102"/>
      <c r="J462" s="156"/>
      <c r="K462" s="222"/>
      <c r="L462" s="143"/>
      <c r="M462" s="144"/>
      <c r="N462" s="145"/>
      <c r="O462" s="145"/>
      <c r="P462" s="122"/>
      <c r="Q462" s="304" t="str">
        <f t="shared" si="12"/>
        <v/>
      </c>
      <c r="R462" s="214"/>
      <c r="S462" s="11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</row>
    <row r="463" ht="18.0" customHeight="1">
      <c r="A463" s="90"/>
      <c r="B463" s="6"/>
      <c r="C463" s="90"/>
      <c r="D463" s="159" t="s">
        <v>48</v>
      </c>
      <c r="E463" s="220"/>
      <c r="F463" s="127">
        <v>3.0</v>
      </c>
      <c r="G463" s="221">
        <v>45942.0</v>
      </c>
      <c r="H463" s="195"/>
      <c r="I463" s="130"/>
      <c r="J463" s="151">
        <v>9.0</v>
      </c>
      <c r="K463" s="190"/>
      <c r="L463" s="183"/>
      <c r="M463" s="134" t="str">
        <f>I328</f>
        <v/>
      </c>
      <c r="N463" s="135" t="str">
        <f>iferror(mround($P328*((VLOOKUP($J463,Sheet1!$D:$N,$G463+1,FALSE)-0.03)),2.5)," ")</f>
        <v> </v>
      </c>
      <c r="O463" s="135" t="str">
        <f>iferror(mround($P328*((VLOOKUP($J463,Sheet1!$D:$N,$G463+1,FALSE)+0.02)),2.5)," ")</f>
        <v> </v>
      </c>
      <c r="P463" s="112" t="str">
        <f>iferror(mround(I463/VLOOKUP(L463,Sheet1!$D$7:$N$16,G463+1,FALSE),2.5),"")</f>
        <v/>
      </c>
      <c r="Q463" s="303" t="str">
        <f t="shared" si="12"/>
        <v/>
      </c>
      <c r="R463" s="214"/>
      <c r="S463" s="11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</row>
    <row r="464" ht="3.75" customHeight="1">
      <c r="A464" s="191"/>
      <c r="B464" s="6"/>
      <c r="C464" s="192"/>
      <c r="D464" s="138"/>
      <c r="E464" s="223"/>
      <c r="F464" s="194"/>
      <c r="G464" s="194"/>
      <c r="H464" s="155"/>
      <c r="I464" s="210"/>
      <c r="J464" s="216"/>
      <c r="K464" s="222"/>
      <c r="L464" s="143"/>
      <c r="M464" s="144"/>
      <c r="N464" s="145"/>
      <c r="O464" s="145"/>
      <c r="P464" s="122"/>
      <c r="Q464" s="304" t="str">
        <f t="shared" si="12"/>
        <v/>
      </c>
      <c r="R464" s="214"/>
      <c r="S464" s="157"/>
      <c r="T464" s="5"/>
      <c r="U464" s="5"/>
      <c r="V464" s="158"/>
      <c r="W464" s="158"/>
      <c r="X464" s="158"/>
      <c r="Y464" s="158"/>
      <c r="Z464" s="158"/>
      <c r="AA464" s="158"/>
      <c r="AB464" s="158"/>
      <c r="AC464" s="158"/>
      <c r="AD464" s="158"/>
      <c r="AE464" s="158"/>
      <c r="AF464" s="158"/>
      <c r="AG464" s="158"/>
    </row>
    <row r="465" ht="15.75" hidden="1" customHeight="1">
      <c r="A465" s="90"/>
      <c r="B465" s="6"/>
      <c r="C465" s="90"/>
      <c r="D465" s="185"/>
      <c r="E465" s="186"/>
      <c r="F465" s="187"/>
      <c r="G465" s="187"/>
      <c r="H465" s="195"/>
      <c r="I465" s="164"/>
      <c r="J465" s="189"/>
      <c r="K465" s="190"/>
      <c r="L465" s="183"/>
      <c r="M465" s="134" t="str">
        <f>I330</f>
        <v/>
      </c>
      <c r="N465" s="135" t="str">
        <f>iferror(mround($P330*((VLOOKUP($J465,Sheet1!$D:$N,$G465+1,FALSE)-0.03)),2.5)," ")</f>
        <v> </v>
      </c>
      <c r="O465" s="135" t="str">
        <f>iferror(mround($P330*((VLOOKUP($J465,Sheet1!$D:$N,$G465+1,FALSE)+0.02)),2.5)," ")</f>
        <v> </v>
      </c>
      <c r="P465" s="112" t="str">
        <f>iferror(mround(I465/VLOOKUP(L465,Sheet1!$D$7:$N$16,G465+1,FALSE),2.5),"")</f>
        <v/>
      </c>
      <c r="Q465" s="303" t="str">
        <f t="shared" si="12"/>
        <v/>
      </c>
      <c r="R465" s="214"/>
      <c r="S465" s="11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</row>
    <row r="466" ht="3.75" hidden="1" customHeight="1">
      <c r="A466" s="90"/>
      <c r="B466" s="6"/>
      <c r="C466" s="90"/>
      <c r="D466" s="138"/>
      <c r="E466" s="184"/>
      <c r="F466" s="102"/>
      <c r="G466" s="102"/>
      <c r="H466" s="102"/>
      <c r="I466" s="102"/>
      <c r="J466" s="156"/>
      <c r="K466" s="222"/>
      <c r="L466" s="143"/>
      <c r="M466" s="144"/>
      <c r="N466" s="145"/>
      <c r="O466" s="145"/>
      <c r="P466" s="122"/>
      <c r="Q466" s="304" t="str">
        <f t="shared" si="12"/>
        <v/>
      </c>
      <c r="R466" s="214"/>
      <c r="S466" s="11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</row>
    <row r="467" ht="15.75" hidden="1" customHeight="1">
      <c r="A467" s="90"/>
      <c r="B467" s="6"/>
      <c r="C467" s="90"/>
      <c r="D467" s="185"/>
      <c r="E467" s="224"/>
      <c r="F467" s="187"/>
      <c r="G467" s="187"/>
      <c r="H467" s="195"/>
      <c r="I467" s="164"/>
      <c r="J467" s="189"/>
      <c r="K467" s="190"/>
      <c r="L467" s="183"/>
      <c r="M467" s="134" t="str">
        <f>I332</f>
        <v/>
      </c>
      <c r="N467" s="135" t="str">
        <f>iferror(mround($P332*((VLOOKUP($J467,Sheet1!$D:$N,$G467+1,FALSE)-0.03)),2.5)," ")</f>
        <v> </v>
      </c>
      <c r="O467" s="135" t="str">
        <f>iferror(mround($P332*((VLOOKUP($J467,Sheet1!$D:$N,$G467+1,FALSE)+0.02)),2.5)," ")</f>
        <v> </v>
      </c>
      <c r="P467" s="112" t="str">
        <f>iferror(mround(I467/VLOOKUP(L467,Sheet1!$D$7:$N$16,G467+1,FALSE),2.5),"")</f>
        <v/>
      </c>
      <c r="Q467" s="303" t="str">
        <f t="shared" si="12"/>
        <v/>
      </c>
      <c r="R467" s="214"/>
      <c r="S467" s="11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</row>
    <row r="468" ht="3.75" hidden="1" customHeight="1">
      <c r="A468" s="191"/>
      <c r="B468" s="6"/>
      <c r="C468" s="192"/>
      <c r="D468" s="138"/>
      <c r="E468" s="193"/>
      <c r="F468" s="194"/>
      <c r="G468" s="194"/>
      <c r="H468" s="155"/>
      <c r="I468" s="210"/>
      <c r="J468" s="216"/>
      <c r="K468" s="222"/>
      <c r="L468" s="143"/>
      <c r="M468" s="144"/>
      <c r="N468" s="145"/>
      <c r="O468" s="145"/>
      <c r="P468" s="122"/>
      <c r="Q468" s="304" t="str">
        <f t="shared" si="12"/>
        <v/>
      </c>
      <c r="R468" s="214"/>
      <c r="S468" s="157"/>
      <c r="T468" s="5"/>
      <c r="U468" s="5"/>
      <c r="V468" s="158"/>
      <c r="W468" s="158"/>
      <c r="X468" s="158"/>
      <c r="Y468" s="158"/>
      <c r="Z468" s="158"/>
      <c r="AA468" s="158"/>
      <c r="AB468" s="158"/>
      <c r="AC468" s="158"/>
      <c r="AD468" s="158"/>
      <c r="AE468" s="158"/>
      <c r="AF468" s="158"/>
      <c r="AG468" s="158"/>
    </row>
    <row r="469" ht="15.75" hidden="1" customHeight="1">
      <c r="A469" s="90"/>
      <c r="B469" s="6"/>
      <c r="C469" s="90"/>
      <c r="D469" s="185"/>
      <c r="E469" s="186"/>
      <c r="F469" s="187"/>
      <c r="G469" s="187"/>
      <c r="H469" s="195"/>
      <c r="I469" s="164"/>
      <c r="J469" s="189"/>
      <c r="K469" s="190"/>
      <c r="L469" s="183"/>
      <c r="M469" s="134" t="str">
        <f>I334</f>
        <v/>
      </c>
      <c r="N469" s="135" t="str">
        <f>iferror(mround($P334*((VLOOKUP($J469,Sheet1!$D:$N,$G469+1,FALSE)-0.03)),2.5)," ")</f>
        <v> </v>
      </c>
      <c r="O469" s="135" t="str">
        <f>iferror(mround($P334*((VLOOKUP($J469,Sheet1!$D:$N,$G469+1,FALSE)+0.02)),2.5)," ")</f>
        <v> </v>
      </c>
      <c r="P469" s="112" t="str">
        <f>iferror(mround(I469/VLOOKUP(L469,Sheet1!$D$7:$N$16,G469+1,FALSE),2.5),"")</f>
        <v/>
      </c>
      <c r="Q469" s="303" t="str">
        <f t="shared" si="12"/>
        <v/>
      </c>
      <c r="R469" s="214"/>
      <c r="S469" s="11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</row>
    <row r="470" ht="3.75" hidden="1" customHeight="1">
      <c r="A470" s="90"/>
      <c r="B470" s="6"/>
      <c r="C470" s="90"/>
      <c r="D470" s="196"/>
      <c r="E470" s="184"/>
      <c r="F470" s="102"/>
      <c r="G470" s="102"/>
      <c r="H470" s="102"/>
      <c r="I470" s="102"/>
      <c r="J470" s="156"/>
      <c r="K470" s="222"/>
      <c r="L470" s="143"/>
      <c r="M470" s="144"/>
      <c r="N470" s="145"/>
      <c r="O470" s="145"/>
      <c r="P470" s="122"/>
      <c r="Q470" s="304" t="str">
        <f t="shared" si="12"/>
        <v/>
      </c>
      <c r="R470" s="214"/>
      <c r="S470" s="11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</row>
    <row r="471" ht="15.75" hidden="1" customHeight="1">
      <c r="A471" s="90"/>
      <c r="B471" s="6"/>
      <c r="C471" s="90"/>
      <c r="D471" s="197"/>
      <c r="E471" s="198"/>
      <c r="F471" s="199"/>
      <c r="G471" s="187"/>
      <c r="H471" s="195"/>
      <c r="I471" s="164"/>
      <c r="J471" s="189"/>
      <c r="K471" s="190"/>
      <c r="L471" s="183"/>
      <c r="M471" s="134" t="str">
        <f>I336</f>
        <v/>
      </c>
      <c r="N471" s="135" t="str">
        <f>iferror(mround($P336*((VLOOKUP($J471,Sheet1!$D:$N,$G471+1,FALSE)-0.03)),2.5)," ")</f>
        <v> </v>
      </c>
      <c r="O471" s="135" t="str">
        <f>iferror(mround($P336*((VLOOKUP($J471,Sheet1!$D:$N,$G471+1,FALSE)+0.02)),2.5)," ")</f>
        <v> </v>
      </c>
      <c r="P471" s="112" t="str">
        <f>iferror(mround(I471/VLOOKUP(L471,Sheet1!$D$7:$N$16,G471+1,FALSE),2.5),"")</f>
        <v/>
      </c>
      <c r="Q471" s="303" t="str">
        <f t="shared" si="12"/>
        <v/>
      </c>
      <c r="R471" s="214"/>
      <c r="S471" s="11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</row>
    <row r="472" ht="3.75" hidden="1" customHeight="1">
      <c r="A472" s="90"/>
      <c r="B472" s="6"/>
      <c r="C472" s="90"/>
      <c r="D472" s="90"/>
      <c r="E472" s="156"/>
      <c r="F472" s="102"/>
      <c r="G472" s="102"/>
      <c r="H472" s="102"/>
      <c r="I472" s="102"/>
      <c r="J472" s="156"/>
      <c r="K472" s="222"/>
      <c r="L472" s="201"/>
      <c r="M472" s="211"/>
      <c r="N472" s="47"/>
      <c r="O472" s="47"/>
      <c r="P472" s="122"/>
      <c r="Q472" s="304" t="str">
        <f t="shared" si="12"/>
        <v/>
      </c>
      <c r="R472" s="214"/>
      <c r="S472" s="11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</row>
    <row r="473" ht="30.75" customHeight="1">
      <c r="A473" s="90"/>
      <c r="B473" s="6"/>
      <c r="C473" s="90"/>
      <c r="D473" s="202" t="s">
        <v>49</v>
      </c>
      <c r="E473" s="105" t="s">
        <v>15</v>
      </c>
      <c r="F473" s="106" t="s">
        <v>16</v>
      </c>
      <c r="G473" s="106" t="s">
        <v>17</v>
      </c>
      <c r="H473" s="107"/>
      <c r="I473" s="106" t="s">
        <v>18</v>
      </c>
      <c r="J473" s="108" t="s">
        <v>19</v>
      </c>
      <c r="L473" s="109" t="s">
        <v>20</v>
      </c>
      <c r="M473" s="110" t="s">
        <v>21</v>
      </c>
      <c r="N473" s="111" t="s">
        <v>22</v>
      </c>
      <c r="P473" s="112"/>
      <c r="Q473" s="113" t="s">
        <v>23</v>
      </c>
      <c r="R473" s="114" t="s">
        <v>50</v>
      </c>
      <c r="S473" s="11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</row>
    <row r="474" ht="14.25" customHeight="1">
      <c r="A474" s="90"/>
      <c r="B474" s="6"/>
      <c r="C474" s="90"/>
      <c r="D474" s="116" t="s">
        <v>25</v>
      </c>
      <c r="E474" s="117" t="s">
        <v>26</v>
      </c>
      <c r="H474" s="107"/>
      <c r="N474" s="111" t="s">
        <v>27</v>
      </c>
      <c r="O474" s="111" t="s">
        <v>28</v>
      </c>
      <c r="P474" s="112" t="s">
        <v>29</v>
      </c>
      <c r="R474" s="118" t="s">
        <v>30</v>
      </c>
      <c r="S474" s="11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</row>
    <row r="475" ht="3.75" customHeight="1">
      <c r="A475" s="191"/>
      <c r="B475" s="6"/>
      <c r="C475" s="192"/>
      <c r="D475" s="203"/>
      <c r="E475" s="203"/>
      <c r="F475" s="205"/>
      <c r="G475" s="205"/>
      <c r="H475" s="205"/>
      <c r="I475" s="225"/>
      <c r="J475" s="226"/>
      <c r="K475" s="209"/>
      <c r="L475" s="210"/>
      <c r="M475" s="211"/>
      <c r="N475" s="47"/>
      <c r="O475" s="47"/>
      <c r="P475" s="122"/>
      <c r="Q475" s="304" t="str">
        <f t="shared" ref="Q475:Q495" si="13">IF(OR(ISBLANK(I475), ISBLANK(I340)), "", IF(I475 - I340 = 0, "", I475 - I340))</f>
        <v/>
      </c>
      <c r="R475" s="212"/>
      <c r="S475" s="157"/>
      <c r="T475" s="5"/>
      <c r="U475" s="5"/>
      <c r="V475" s="158"/>
      <c r="W475" s="158"/>
      <c r="X475" s="158"/>
      <c r="Y475" s="158"/>
      <c r="Z475" s="158"/>
      <c r="AA475" s="158"/>
      <c r="AB475" s="158"/>
      <c r="AC475" s="158"/>
      <c r="AD475" s="158"/>
      <c r="AE475" s="158"/>
      <c r="AF475" s="158"/>
      <c r="AG475" s="158"/>
    </row>
    <row r="476" ht="15.75" customHeight="1">
      <c r="A476" s="124"/>
      <c r="B476" s="6"/>
      <c r="C476" s="124"/>
      <c r="D476" s="125" t="s">
        <v>6</v>
      </c>
      <c r="E476" s="126"/>
      <c r="F476" s="127">
        <v>3.0</v>
      </c>
      <c r="G476" s="128">
        <v>45816.0</v>
      </c>
      <c r="H476" s="129"/>
      <c r="I476" s="130"/>
      <c r="J476" s="151">
        <v>5.0</v>
      </c>
      <c r="K476" s="219"/>
      <c r="L476" s="133"/>
      <c r="M476" s="134" t="str">
        <f>I341</f>
        <v/>
      </c>
      <c r="N476" s="135" t="str">
        <f>iferror(mround($P341*((VLOOKUP($J476,Sheet1!$D:$N,$G476+1,FALSE)-0.03)),2.5)," ")</f>
        <v> </v>
      </c>
      <c r="O476" s="135" t="str">
        <f>iferror(mround($P341*((VLOOKUP($J476,Sheet1!$D:$N,$G476+1,FALSE)+0.02)),2.5)," ")</f>
        <v> </v>
      </c>
      <c r="P476" s="112" t="str">
        <f>iferror(mround(I476/VLOOKUP(L476,Sheet1!$D$7:$N$16,G476+1,FALSE),2.5),"")</f>
        <v/>
      </c>
      <c r="Q476" s="303" t="str">
        <f t="shared" si="13"/>
        <v/>
      </c>
      <c r="R476" s="214"/>
      <c r="S476" s="11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</row>
    <row r="477" ht="3.75" customHeight="1">
      <c r="A477" s="124"/>
      <c r="B477" s="6"/>
      <c r="C477" s="124"/>
      <c r="D477" s="138"/>
      <c r="E477" s="139"/>
      <c r="F477" s="140"/>
      <c r="G477" s="140"/>
      <c r="H477" s="140"/>
      <c r="I477" s="140"/>
      <c r="J477" s="141"/>
      <c r="K477" s="217"/>
      <c r="L477" s="218"/>
      <c r="M477" s="144"/>
      <c r="N477" s="145"/>
      <c r="O477" s="145"/>
      <c r="P477" s="122"/>
      <c r="Q477" s="304" t="str">
        <f t="shared" si="13"/>
        <v/>
      </c>
      <c r="R477" s="214"/>
      <c r="S477" s="11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</row>
    <row r="478" ht="15.75" customHeight="1">
      <c r="A478" s="90"/>
      <c r="B478" s="6"/>
      <c r="C478" s="90"/>
      <c r="D478" s="125" t="s">
        <v>10</v>
      </c>
      <c r="E478" s="126"/>
      <c r="F478" s="127">
        <v>3.0</v>
      </c>
      <c r="G478" s="128">
        <v>45879.0</v>
      </c>
      <c r="H478" s="129"/>
      <c r="I478" s="130"/>
      <c r="J478" s="151">
        <v>5.0</v>
      </c>
      <c r="K478" s="213"/>
      <c r="L478" s="133"/>
      <c r="M478" s="134" t="str">
        <f>I343</f>
        <v/>
      </c>
      <c r="N478" s="135" t="str">
        <f>iferror(mround($P343*((VLOOKUP($J478,Sheet1!$D:$N,$G478+1,FALSE)-0.03)),2.5)," ")</f>
        <v> </v>
      </c>
      <c r="O478" s="135" t="str">
        <f>iferror(mround($P343*((VLOOKUP($J478,Sheet1!$D:$N,$G478+1,FALSE)+0.02)),2.5)," ")</f>
        <v> </v>
      </c>
      <c r="P478" s="112" t="str">
        <f>iferror(mround(I478/VLOOKUP(L478,Sheet1!$D$7:$N$16,G478+1,FALSE),2.5),"")</f>
        <v/>
      </c>
      <c r="Q478" s="303" t="str">
        <f t="shared" si="13"/>
        <v/>
      </c>
      <c r="R478" s="214"/>
      <c r="S478" s="11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</row>
    <row r="479" ht="3.75" customHeight="1">
      <c r="A479" s="90"/>
      <c r="B479" s="6"/>
      <c r="C479" s="90"/>
      <c r="D479" s="138"/>
      <c r="E479" s="215"/>
      <c r="F479" s="102"/>
      <c r="G479" s="102"/>
      <c r="H479" s="102"/>
      <c r="I479" s="102"/>
      <c r="J479" s="156"/>
      <c r="K479" s="217"/>
      <c r="L479" s="218"/>
      <c r="M479" s="144"/>
      <c r="N479" s="145"/>
      <c r="O479" s="145"/>
      <c r="P479" s="122"/>
      <c r="Q479" s="304" t="str">
        <f t="shared" si="13"/>
        <v/>
      </c>
      <c r="R479" s="214"/>
      <c r="S479" s="11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</row>
    <row r="480" ht="15.75" hidden="1" customHeight="1">
      <c r="A480" s="90"/>
      <c r="B480" s="6"/>
      <c r="C480" s="90"/>
      <c r="D480" s="159"/>
      <c r="E480" s="160"/>
      <c r="F480" s="127"/>
      <c r="G480" s="161"/>
      <c r="H480" s="129"/>
      <c r="I480" s="130"/>
      <c r="J480" s="151"/>
      <c r="K480" s="219"/>
      <c r="L480" s="133"/>
      <c r="M480" s="134" t="str">
        <f>I345</f>
        <v/>
      </c>
      <c r="N480" s="135" t="str">
        <f>iferror(mround($P345*((VLOOKUP($J480,Sheet1!$D:$N,$G480+1,FALSE)-0.03)),2.5)," ")</f>
        <v> </v>
      </c>
      <c r="O480" s="135" t="str">
        <f>iferror(mround($P345*((VLOOKUP($J480,Sheet1!$D:$N,$G480+1,FALSE)+0.02)),2.5)," ")</f>
        <v> </v>
      </c>
      <c r="P480" s="112" t="str">
        <f>iferror(mround(I480/VLOOKUP(L480,Sheet1!$D$7:$N$16,G480+1,FALSE),2.5),"")</f>
        <v/>
      </c>
      <c r="Q480" s="303" t="str">
        <f t="shared" si="13"/>
        <v/>
      </c>
      <c r="R480" s="214"/>
      <c r="S480" s="11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</row>
    <row r="481" ht="3.75" hidden="1" customHeight="1">
      <c r="A481" s="90"/>
      <c r="B481" s="6"/>
      <c r="C481" s="90"/>
      <c r="D481" s="138"/>
      <c r="E481" s="154"/>
      <c r="F481" s="155"/>
      <c r="G481" s="102"/>
      <c r="H481" s="102"/>
      <c r="I481" s="102"/>
      <c r="J481" s="156"/>
      <c r="K481" s="217"/>
      <c r="L481" s="218"/>
      <c r="M481" s="144"/>
      <c r="N481" s="145"/>
      <c r="O481" s="145"/>
      <c r="P481" s="122"/>
      <c r="Q481" s="304" t="str">
        <f t="shared" si="13"/>
        <v/>
      </c>
      <c r="R481" s="214"/>
      <c r="S481" s="11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</row>
    <row r="482" ht="15.75" customHeight="1">
      <c r="A482" s="90"/>
      <c r="B482" s="6"/>
      <c r="C482" s="90"/>
      <c r="D482" s="159" t="s">
        <v>51</v>
      </c>
      <c r="E482" s="167" t="s">
        <v>52</v>
      </c>
      <c r="F482" s="127">
        <v>4.0</v>
      </c>
      <c r="G482" s="127">
        <v>3.0</v>
      </c>
      <c r="H482" s="195"/>
      <c r="I482" s="130"/>
      <c r="J482" s="151">
        <v>7.0</v>
      </c>
      <c r="K482" s="213"/>
      <c r="L482" s="183"/>
      <c r="M482" s="134" t="str">
        <f>I347</f>
        <v/>
      </c>
      <c r="N482" s="135">
        <f>iferror(mround($P347*((VLOOKUP($J482,Sheet1!$D:$N,$G482+1,FALSE)-0.03)),2.5)," ")</f>
        <v>0</v>
      </c>
      <c r="O482" s="135">
        <f>iferror(mround($P347*((VLOOKUP($J482,Sheet1!$D:$N,$G482+1,FALSE)+0.02)),2.5)," ")</f>
        <v>0</v>
      </c>
      <c r="P482" s="112" t="str">
        <f>iferror(mround(I482/VLOOKUP(L482,Sheet1!$D$7:$N$16,G482+1,FALSE),2.5),"")</f>
        <v/>
      </c>
      <c r="Q482" s="303" t="str">
        <f t="shared" si="13"/>
        <v/>
      </c>
      <c r="R482" s="214"/>
      <c r="S482" s="11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</row>
    <row r="483" ht="3.75" customHeight="1">
      <c r="A483" s="90"/>
      <c r="B483" s="6"/>
      <c r="C483" s="90"/>
      <c r="D483" s="138"/>
      <c r="E483" s="215"/>
      <c r="F483" s="102"/>
      <c r="G483" s="102"/>
      <c r="H483" s="102"/>
      <c r="I483" s="102"/>
      <c r="J483" s="156"/>
      <c r="K483" s="217"/>
      <c r="L483" s="218"/>
      <c r="M483" s="144"/>
      <c r="N483" s="145"/>
      <c r="O483" s="145"/>
      <c r="P483" s="122"/>
      <c r="Q483" s="304" t="str">
        <f t="shared" si="13"/>
        <v/>
      </c>
      <c r="R483" s="214"/>
      <c r="S483" s="11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</row>
    <row r="484" ht="15.75" customHeight="1">
      <c r="A484" s="90"/>
      <c r="B484" s="6"/>
      <c r="C484" s="90"/>
      <c r="D484" s="159" t="s">
        <v>53</v>
      </c>
      <c r="E484" s="220"/>
      <c r="F484" s="127">
        <v>3.0</v>
      </c>
      <c r="G484" s="127" t="s">
        <v>16</v>
      </c>
      <c r="H484" s="195"/>
      <c r="I484" s="130"/>
      <c r="J484" s="151">
        <v>7.0</v>
      </c>
      <c r="K484" s="213"/>
      <c r="L484" s="133"/>
      <c r="M484" s="134" t="str">
        <f>I349</f>
        <v/>
      </c>
      <c r="N484" s="135" t="str">
        <f>iferror(mround($P349*((VLOOKUP($J484,Sheet1!$D:$N,$G484+1,FALSE)-0.03)),2.5)," ")</f>
        <v> </v>
      </c>
      <c r="O484" s="135" t="str">
        <f>iferror(mround($P349*((VLOOKUP($J484,Sheet1!$D:$N,$G484+1,FALSE)+0.02)),2.5)," ")</f>
        <v> </v>
      </c>
      <c r="P484" s="112" t="str">
        <f>iferror(mround(I484/VLOOKUP(L484,Sheet1!$D$7:$N$16,G484+1,FALSE),2.5),"")</f>
        <v/>
      </c>
      <c r="Q484" s="303" t="str">
        <f t="shared" si="13"/>
        <v/>
      </c>
      <c r="R484" s="214"/>
      <c r="S484" s="11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</row>
    <row r="485" ht="3.75" customHeight="1">
      <c r="A485" s="90"/>
      <c r="B485" s="6"/>
      <c r="C485" s="90"/>
      <c r="D485" s="138"/>
      <c r="E485" s="215"/>
      <c r="F485" s="102"/>
      <c r="G485" s="102"/>
      <c r="H485" s="102"/>
      <c r="I485" s="102"/>
      <c r="J485" s="156"/>
      <c r="K485" s="222"/>
      <c r="L485" s="218"/>
      <c r="M485" s="144"/>
      <c r="N485" s="145"/>
      <c r="O485" s="145"/>
      <c r="P485" s="122"/>
      <c r="Q485" s="304" t="str">
        <f t="shared" si="13"/>
        <v/>
      </c>
      <c r="R485" s="214"/>
      <c r="S485" s="11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</row>
    <row r="486" ht="15.75" customHeight="1">
      <c r="A486" s="90"/>
      <c r="B486" s="6"/>
      <c r="C486" s="90"/>
      <c r="D486" s="159" t="s">
        <v>54</v>
      </c>
      <c r="E486" s="227"/>
      <c r="F486" s="127">
        <v>3.0</v>
      </c>
      <c r="G486" s="221">
        <v>45577.0</v>
      </c>
      <c r="H486" s="195"/>
      <c r="I486" s="130"/>
      <c r="J486" s="228">
        <v>8.0</v>
      </c>
      <c r="K486" s="190"/>
      <c r="L486" s="183"/>
      <c r="M486" s="134" t="str">
        <f>I351</f>
        <v/>
      </c>
      <c r="N486" s="135" t="str">
        <f>iferror(mround($P351*((VLOOKUP($J486,Sheet1!$D:$N,$G486+1,FALSE)-0.03)),2.5)," ")</f>
        <v> </v>
      </c>
      <c r="O486" s="135" t="str">
        <f>iferror(mround($P351*((VLOOKUP($J486,Sheet1!$D:$N,$G486+1,FALSE)+0.02)),2.5)," ")</f>
        <v> </v>
      </c>
      <c r="P486" s="112" t="str">
        <f>iferror(mround(I486/VLOOKUP(L486,Sheet1!$D$7:$N$16,G486+1,FALSE),2.5),"")</f>
        <v/>
      </c>
      <c r="Q486" s="303" t="str">
        <f t="shared" si="13"/>
        <v/>
      </c>
      <c r="R486" s="214"/>
      <c r="S486" s="11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</row>
    <row r="487" ht="3.75" customHeight="1">
      <c r="A487" s="90"/>
      <c r="B487" s="6"/>
      <c r="C487" s="90"/>
      <c r="D487" s="138"/>
      <c r="E487" s="215"/>
      <c r="F487" s="102"/>
      <c r="G487" s="102"/>
      <c r="H487" s="102"/>
      <c r="I487" s="102"/>
      <c r="J487" s="216"/>
      <c r="K487" s="222"/>
      <c r="L487" s="218"/>
      <c r="M487" s="144"/>
      <c r="N487" s="145"/>
      <c r="O487" s="145"/>
      <c r="P487" s="122"/>
      <c r="Q487" s="304" t="str">
        <f t="shared" si="13"/>
        <v/>
      </c>
      <c r="R487" s="214"/>
      <c r="S487" s="11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</row>
    <row r="488" ht="15.75" hidden="1" customHeight="1">
      <c r="A488" s="90"/>
      <c r="B488" s="6"/>
      <c r="C488" s="90"/>
      <c r="D488" s="185"/>
      <c r="E488" s="220"/>
      <c r="F488" s="187"/>
      <c r="G488" s="229"/>
      <c r="H488" s="195"/>
      <c r="I488" s="164"/>
      <c r="J488" s="189"/>
      <c r="K488" s="190"/>
      <c r="L488" s="183"/>
      <c r="M488" s="134" t="str">
        <f>I353</f>
        <v/>
      </c>
      <c r="N488" s="135" t="str">
        <f>iferror(mround($P353*((VLOOKUP($J488,Sheet1!$D:$N,$G488+1,FALSE)-0.03)),2.5)," ")</f>
        <v> </v>
      </c>
      <c r="O488" s="135" t="str">
        <f>iferror(mround($P353*((VLOOKUP($J488,Sheet1!$D:$N,$G488+1,FALSE)+0.02)),2.5)," ")</f>
        <v> </v>
      </c>
      <c r="P488" s="112" t="str">
        <f>iferror(mround(I488/VLOOKUP(L488,Sheet1!$D$7:$N$16,G488+1,FALSE),2.5),"")</f>
        <v/>
      </c>
      <c r="Q488" s="303" t="str">
        <f t="shared" si="13"/>
        <v/>
      </c>
      <c r="R488" s="214"/>
      <c r="S488" s="11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</row>
    <row r="489" ht="3.75" hidden="1" customHeight="1">
      <c r="A489" s="191"/>
      <c r="B489" s="6"/>
      <c r="C489" s="192"/>
      <c r="D489" s="138"/>
      <c r="E489" s="184"/>
      <c r="F489" s="102"/>
      <c r="G489" s="102"/>
      <c r="H489" s="102"/>
      <c r="I489" s="102"/>
      <c r="J489" s="156"/>
      <c r="K489" s="222"/>
      <c r="L489" s="218"/>
      <c r="M489" s="144"/>
      <c r="N489" s="145"/>
      <c r="O489" s="145"/>
      <c r="P489" s="122"/>
      <c r="Q489" s="304" t="str">
        <f t="shared" si="13"/>
        <v/>
      </c>
      <c r="R489" s="214"/>
      <c r="S489" s="157"/>
      <c r="T489" s="5"/>
      <c r="U489" s="5"/>
      <c r="V489" s="158"/>
      <c r="W489" s="158"/>
      <c r="X489" s="158"/>
      <c r="Y489" s="158"/>
      <c r="Z489" s="158"/>
      <c r="AA489" s="158"/>
      <c r="AB489" s="158"/>
      <c r="AC489" s="158"/>
      <c r="AD489" s="158"/>
      <c r="AE489" s="158"/>
      <c r="AF489" s="158"/>
      <c r="AG489" s="158"/>
    </row>
    <row r="490" ht="15.75" hidden="1" customHeight="1">
      <c r="A490" s="90"/>
      <c r="B490" s="6"/>
      <c r="C490" s="90"/>
      <c r="D490" s="185"/>
      <c r="E490" s="224"/>
      <c r="F490" s="187"/>
      <c r="G490" s="187"/>
      <c r="H490" s="195"/>
      <c r="I490" s="164"/>
      <c r="J490" s="230"/>
      <c r="K490" s="190"/>
      <c r="L490" s="183"/>
      <c r="M490" s="134" t="str">
        <f>I355</f>
        <v/>
      </c>
      <c r="N490" s="135" t="str">
        <f>iferror(mround($P355*((VLOOKUP($J490,Sheet1!$D:$N,$G490+1,FALSE)-0.03)),2.5)," ")</f>
        <v> </v>
      </c>
      <c r="O490" s="135" t="str">
        <f>iferror(mround($P355*((VLOOKUP($J490,Sheet1!$D:$N,$G490+1,FALSE)+0.02)),2.5)," ")</f>
        <v> </v>
      </c>
      <c r="P490" s="112" t="str">
        <f>iferror(mround(I490/VLOOKUP(L490,Sheet1!$D$7:$N$16,G490+1,FALSE),2.5),"")</f>
        <v/>
      </c>
      <c r="Q490" s="303" t="str">
        <f t="shared" si="13"/>
        <v/>
      </c>
      <c r="R490" s="214"/>
      <c r="S490" s="11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</row>
    <row r="491" ht="3.75" hidden="1" customHeight="1">
      <c r="A491" s="90"/>
      <c r="B491" s="6"/>
      <c r="C491" s="90"/>
      <c r="D491" s="138"/>
      <c r="E491" s="184"/>
      <c r="F491" s="102"/>
      <c r="G491" s="102"/>
      <c r="H491" s="102"/>
      <c r="I491" s="102"/>
      <c r="J491" s="156"/>
      <c r="K491" s="222"/>
      <c r="L491" s="218"/>
      <c r="M491" s="144"/>
      <c r="N491" s="145"/>
      <c r="O491" s="145"/>
      <c r="P491" s="122"/>
      <c r="Q491" s="304" t="str">
        <f t="shared" si="13"/>
        <v/>
      </c>
      <c r="R491" s="214"/>
      <c r="S491" s="11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</row>
    <row r="492" ht="15.75" hidden="1" customHeight="1">
      <c r="A492" s="90"/>
      <c r="B492" s="6"/>
      <c r="C492" s="90"/>
      <c r="D492" s="231"/>
      <c r="E492" s="232"/>
      <c r="F492" s="187"/>
      <c r="G492" s="187"/>
      <c r="H492" s="195"/>
      <c r="I492" s="164"/>
      <c r="J492" s="230"/>
      <c r="K492" s="190"/>
      <c r="L492" s="183"/>
      <c r="M492" s="134" t="str">
        <f>I357</f>
        <v/>
      </c>
      <c r="N492" s="135" t="str">
        <f>iferror(mround($P357*((VLOOKUP($J492,Sheet1!$D:$N,$G492+1,FALSE)-0.03)),2.5)," ")</f>
        <v> </v>
      </c>
      <c r="O492" s="135" t="str">
        <f>iferror(mround($P357*((VLOOKUP($J492,Sheet1!$D:$N,$G492+1,FALSE)+0.02)),2.5)," ")</f>
        <v> </v>
      </c>
      <c r="P492" s="112" t="str">
        <f>iferror(mround(I492/VLOOKUP(L492,Sheet1!$D$7:$N$16,G492+1,FALSE),2.5),"")</f>
        <v/>
      </c>
      <c r="Q492" s="303" t="str">
        <f t="shared" si="13"/>
        <v/>
      </c>
      <c r="R492" s="214"/>
      <c r="S492" s="11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</row>
    <row r="493" ht="3.75" hidden="1" customHeight="1">
      <c r="A493" s="191"/>
      <c r="B493" s="6"/>
      <c r="C493" s="233"/>
      <c r="D493" s="234"/>
      <c r="E493" s="235"/>
      <c r="F493" s="236"/>
      <c r="G493" s="194"/>
      <c r="H493" s="155"/>
      <c r="I493" s="210"/>
      <c r="J493" s="216"/>
      <c r="K493" s="222"/>
      <c r="L493" s="218"/>
      <c r="M493" s="144"/>
      <c r="N493" s="145"/>
      <c r="O493" s="145"/>
      <c r="P493" s="122"/>
      <c r="Q493" s="304" t="str">
        <f t="shared" si="13"/>
        <v/>
      </c>
      <c r="R493" s="214"/>
      <c r="S493" s="157"/>
      <c r="T493" s="5"/>
      <c r="U493" s="5"/>
      <c r="V493" s="158"/>
      <c r="W493" s="158"/>
      <c r="X493" s="158"/>
      <c r="Y493" s="158"/>
      <c r="Z493" s="158"/>
      <c r="AA493" s="158"/>
      <c r="AB493" s="158"/>
      <c r="AC493" s="158"/>
      <c r="AD493" s="158"/>
      <c r="AE493" s="158"/>
      <c r="AF493" s="158"/>
      <c r="AG493" s="158"/>
    </row>
    <row r="494" ht="15.75" hidden="1" customHeight="1">
      <c r="A494" s="90"/>
      <c r="B494" s="6"/>
      <c r="C494" s="90"/>
      <c r="D494" s="197"/>
      <c r="E494" s="198"/>
      <c r="F494" s="199"/>
      <c r="G494" s="187"/>
      <c r="H494" s="195"/>
      <c r="I494" s="164"/>
      <c r="J494" s="189"/>
      <c r="K494" s="190"/>
      <c r="L494" s="183"/>
      <c r="M494" s="134" t="str">
        <f>I359</f>
        <v/>
      </c>
      <c r="N494" s="135" t="str">
        <f>iferror(mround($P359*((VLOOKUP($J494,Sheet1!$D:$N,$G494+1,FALSE)-0.03)),2.5)," ")</f>
        <v> </v>
      </c>
      <c r="O494" s="135" t="str">
        <f>iferror(mround($P359*((VLOOKUP($J494,Sheet1!$D:$N,$G494+1,FALSE)+0.02)),2.5)," ")</f>
        <v> </v>
      </c>
      <c r="P494" s="112" t="str">
        <f>iferror(mround(I494/VLOOKUP(L494,Sheet1!$D$7:$N$16,G494+1,FALSE),2.5),"")</f>
        <v/>
      </c>
      <c r="Q494" s="303" t="str">
        <f t="shared" si="13"/>
        <v/>
      </c>
      <c r="R494" s="214"/>
      <c r="S494" s="11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</row>
    <row r="495" ht="3.75" hidden="1" customHeight="1">
      <c r="A495" s="90"/>
      <c r="B495" s="6"/>
      <c r="C495" s="90"/>
      <c r="D495" s="90"/>
      <c r="E495" s="156"/>
      <c r="F495" s="102"/>
      <c r="G495" s="102"/>
      <c r="H495" s="102"/>
      <c r="I495" s="102"/>
      <c r="J495" s="156"/>
      <c r="K495" s="200"/>
      <c r="L495" s="201"/>
      <c r="M495" s="211"/>
      <c r="N495" s="47"/>
      <c r="O495" s="47"/>
      <c r="P495" s="122"/>
      <c r="Q495" s="304" t="str">
        <f t="shared" si="13"/>
        <v/>
      </c>
      <c r="R495" s="214"/>
      <c r="S495" s="11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</row>
    <row r="496" ht="30.0" hidden="1" customHeight="1">
      <c r="A496" s="90"/>
      <c r="B496" s="6"/>
      <c r="C496" s="90"/>
      <c r="D496" s="202" t="s">
        <v>55</v>
      </c>
      <c r="E496" s="105" t="s">
        <v>15</v>
      </c>
      <c r="F496" s="106" t="s">
        <v>16</v>
      </c>
      <c r="G496" s="106" t="s">
        <v>17</v>
      </c>
      <c r="H496" s="107"/>
      <c r="I496" s="106" t="s">
        <v>18</v>
      </c>
      <c r="J496" s="108" t="s">
        <v>19</v>
      </c>
      <c r="L496" s="109" t="s">
        <v>20</v>
      </c>
      <c r="M496" s="110" t="s">
        <v>21</v>
      </c>
      <c r="N496" s="111" t="s">
        <v>22</v>
      </c>
      <c r="P496" s="112"/>
      <c r="Q496" s="113" t="s">
        <v>23</v>
      </c>
      <c r="R496" s="114" t="s">
        <v>56</v>
      </c>
      <c r="S496" s="11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</row>
    <row r="497" ht="14.25" hidden="1" customHeight="1">
      <c r="A497" s="90"/>
      <c r="B497" s="6"/>
      <c r="C497" s="90"/>
      <c r="D497" s="116" t="s">
        <v>25</v>
      </c>
      <c r="E497" s="117" t="s">
        <v>26</v>
      </c>
      <c r="H497" s="107"/>
      <c r="N497" s="111" t="s">
        <v>27</v>
      </c>
      <c r="O497" s="111" t="s">
        <v>28</v>
      </c>
      <c r="P497" s="112" t="s">
        <v>29</v>
      </c>
      <c r="R497" s="118" t="s">
        <v>30</v>
      </c>
      <c r="S497" s="11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</row>
    <row r="498" ht="3.75" hidden="1" customHeight="1">
      <c r="A498" s="191"/>
      <c r="B498" s="6"/>
      <c r="C498" s="192"/>
      <c r="D498" s="203"/>
      <c r="E498" s="204"/>
      <c r="F498" s="205"/>
      <c r="G498" s="205"/>
      <c r="H498" s="205"/>
      <c r="I498" s="225"/>
      <c r="J498" s="237"/>
      <c r="K498" s="209"/>
      <c r="L498" s="238"/>
      <c r="M498" s="211"/>
      <c r="N498" s="47"/>
      <c r="O498" s="47"/>
      <c r="P498" s="122"/>
      <c r="Q498" s="304" t="str">
        <f t="shared" ref="Q498:Q518" si="14">IF(OR(ISBLANK(I498), ISBLANK(I363)), "", IF(I498 - I363 = 0, "", I498 - I363))</f>
        <v/>
      </c>
      <c r="R498" s="239"/>
      <c r="S498" s="157"/>
      <c r="T498" s="5"/>
      <c r="U498" s="5"/>
      <c r="V498" s="158"/>
      <c r="W498" s="158"/>
      <c r="X498" s="158"/>
      <c r="Y498" s="158"/>
      <c r="Z498" s="158"/>
      <c r="AA498" s="158"/>
      <c r="AB498" s="158"/>
      <c r="AC498" s="158"/>
      <c r="AD498" s="158"/>
      <c r="AE498" s="158"/>
      <c r="AF498" s="158"/>
      <c r="AG498" s="158"/>
    </row>
    <row r="499" ht="15.75" hidden="1" customHeight="1">
      <c r="A499" s="124"/>
      <c r="B499" s="6"/>
      <c r="C499" s="124"/>
      <c r="D499" s="125"/>
      <c r="E499" s="126"/>
      <c r="F499" s="127"/>
      <c r="G499" s="240"/>
      <c r="H499" s="129"/>
      <c r="I499" s="130"/>
      <c r="J499" s="151"/>
      <c r="K499" s="241"/>
      <c r="L499" s="130"/>
      <c r="M499" s="134" t="str">
        <f>I364</f>
        <v/>
      </c>
      <c r="N499" s="135" t="str">
        <f>iferror(mround($P364*((VLOOKUP($J499,Sheet1!$D:$N,$G499+1,FALSE)-0.03)),2.5)," ")</f>
        <v> </v>
      </c>
      <c r="O499" s="135" t="str">
        <f>iferror(mround($P364*((VLOOKUP($J499,Sheet1!$D:$N,$G499+1,FALSE)+0.02)),2.5)," ")</f>
        <v> </v>
      </c>
      <c r="P499" s="112" t="str">
        <f>iferror(mround(I499/VLOOKUP(L499,Sheet1!$D$7:$N$16,G499+1,FALSE),2.5),"")</f>
        <v/>
      </c>
      <c r="Q499" s="303" t="str">
        <f t="shared" si="14"/>
        <v/>
      </c>
      <c r="R499" s="242"/>
      <c r="S499" s="11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</row>
    <row r="500" ht="3.75" hidden="1" customHeight="1">
      <c r="A500" s="124"/>
      <c r="B500" s="6"/>
      <c r="C500" s="124"/>
      <c r="D500" s="138"/>
      <c r="E500" s="139"/>
      <c r="F500" s="140"/>
      <c r="G500" s="140"/>
      <c r="H500" s="140"/>
      <c r="I500" s="140"/>
      <c r="J500" s="141"/>
      <c r="K500" s="243"/>
      <c r="L500" s="210"/>
      <c r="M500" s="144"/>
      <c r="N500" s="145"/>
      <c r="O500" s="145"/>
      <c r="P500" s="122"/>
      <c r="Q500" s="304" t="str">
        <f t="shared" si="14"/>
        <v/>
      </c>
      <c r="R500" s="242"/>
      <c r="S500" s="11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</row>
    <row r="501" ht="15.0" hidden="1" customHeight="1">
      <c r="A501" s="124"/>
      <c r="B501" s="6"/>
      <c r="C501" s="124"/>
      <c r="D501" s="125"/>
      <c r="E501" s="126"/>
      <c r="F501" s="127"/>
      <c r="G501" s="240"/>
      <c r="H501" s="129"/>
      <c r="I501" s="164"/>
      <c r="J501" s="165"/>
      <c r="K501" s="241"/>
      <c r="L501" s="130"/>
      <c r="M501" s="134" t="str">
        <f>I366</f>
        <v/>
      </c>
      <c r="N501" s="135" t="str">
        <f>iferror(mround($P366*((VLOOKUP($J501,Sheet1!$D:$N,$G501+1,FALSE)-0.03)),2.5)," ")</f>
        <v> </v>
      </c>
      <c r="O501" s="135" t="str">
        <f>iferror(mround($P366*((VLOOKUP($J501,Sheet1!$D:$N,$G501+1,FALSE)+0.02)),2.5)," ")</f>
        <v> </v>
      </c>
      <c r="P501" s="112" t="str">
        <f>iferror(mround(I501/VLOOKUP(L501,Sheet1!$D$7:$N$16,G501+1,FALSE),2.5),"")</f>
        <v/>
      </c>
      <c r="Q501" s="303" t="str">
        <f t="shared" si="14"/>
        <v/>
      </c>
      <c r="R501" s="242"/>
      <c r="S501" s="11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</row>
    <row r="502" ht="3.75" hidden="1" customHeight="1">
      <c r="A502" s="124"/>
      <c r="B502" s="6"/>
      <c r="C502" s="124"/>
      <c r="D502" s="138"/>
      <c r="E502" s="215"/>
      <c r="F502" s="102"/>
      <c r="G502" s="102"/>
      <c r="H502" s="102"/>
      <c r="I502" s="102"/>
      <c r="J502" s="156"/>
      <c r="K502" s="243"/>
      <c r="L502" s="210"/>
      <c r="M502" s="144"/>
      <c r="N502" s="145"/>
      <c r="O502" s="145"/>
      <c r="P502" s="122"/>
      <c r="Q502" s="304" t="str">
        <f t="shared" si="14"/>
        <v/>
      </c>
      <c r="R502" s="242"/>
      <c r="S502" s="11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</row>
    <row r="503" ht="15.75" hidden="1" customHeight="1">
      <c r="A503" s="124"/>
      <c r="B503" s="6"/>
      <c r="C503" s="124"/>
      <c r="D503" s="159"/>
      <c r="E503" s="126"/>
      <c r="F503" s="127"/>
      <c r="G503" s="161"/>
      <c r="H503" s="129"/>
      <c r="I503" s="130"/>
      <c r="J503" s="151"/>
      <c r="K503" s="244"/>
      <c r="L503" s="130"/>
      <c r="M503" s="134" t="str">
        <f>I368</f>
        <v/>
      </c>
      <c r="N503" s="135" t="str">
        <f>iferror(mround($P368*((VLOOKUP($J503,Sheet1!$D:$N,$G503+1,FALSE)-0.03)),2.5)," ")</f>
        <v> </v>
      </c>
      <c r="O503" s="135" t="str">
        <f>iferror(mround($P368*((VLOOKUP($J503,Sheet1!$D:$N,$G503+1,FALSE)+0.02)),2.5)," ")</f>
        <v> </v>
      </c>
      <c r="P503" s="112" t="str">
        <f>iferror(mround(I503/VLOOKUP(L503,Sheet1!$D$7:$N$16,G503+1,FALSE),2.5),"")</f>
        <v/>
      </c>
      <c r="Q503" s="303" t="str">
        <f t="shared" si="14"/>
        <v/>
      </c>
      <c r="R503" s="242"/>
      <c r="S503" s="11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</row>
    <row r="504" ht="3.75" hidden="1" customHeight="1">
      <c r="A504" s="124"/>
      <c r="B504" s="6"/>
      <c r="C504" s="124"/>
      <c r="D504" s="138"/>
      <c r="E504" s="154"/>
      <c r="F504" s="155"/>
      <c r="G504" s="102"/>
      <c r="H504" s="102"/>
      <c r="I504" s="102"/>
      <c r="J504" s="156"/>
      <c r="K504" s="243"/>
      <c r="L504" s="210"/>
      <c r="M504" s="144"/>
      <c r="N504" s="145"/>
      <c r="O504" s="145"/>
      <c r="P504" s="122"/>
      <c r="Q504" s="304" t="str">
        <f t="shared" si="14"/>
        <v/>
      </c>
      <c r="R504" s="242"/>
      <c r="S504" s="11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</row>
    <row r="505" ht="15.75" hidden="1" customHeight="1">
      <c r="A505" s="124"/>
      <c r="B505" s="6"/>
      <c r="C505" s="124"/>
      <c r="D505" s="159"/>
      <c r="E505" s="126"/>
      <c r="F505" s="127"/>
      <c r="G505" s="161"/>
      <c r="H505" s="129"/>
      <c r="I505" s="130"/>
      <c r="J505" s="151"/>
      <c r="K505" s="241"/>
      <c r="L505" s="130"/>
      <c r="M505" s="134" t="str">
        <f>I370</f>
        <v/>
      </c>
      <c r="N505" s="135" t="str">
        <f>iferror(mround($P370*((VLOOKUP($J505,Sheet1!$D:$N,$G505+1,FALSE)-0.03)),2.5)," ")</f>
        <v> </v>
      </c>
      <c r="O505" s="135" t="str">
        <f>iferror(mround($P370*((VLOOKUP($J505,Sheet1!$D:$N,$G505+1,FALSE)+0.02)),2.5)," ")</f>
        <v> </v>
      </c>
      <c r="P505" s="112" t="str">
        <f>iferror(mround(I505/VLOOKUP(L505,Sheet1!$D$7:$N$16,G505+1,FALSE),2.5),"")</f>
        <v/>
      </c>
      <c r="Q505" s="303" t="str">
        <f t="shared" si="14"/>
        <v/>
      </c>
      <c r="R505" s="242"/>
      <c r="S505" s="11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</row>
    <row r="506" ht="3.75" hidden="1" customHeight="1">
      <c r="A506" s="90"/>
      <c r="B506" s="6"/>
      <c r="C506" s="90"/>
      <c r="D506" s="138"/>
      <c r="E506" s="245"/>
      <c r="F506" s="102"/>
      <c r="G506" s="102"/>
      <c r="H506" s="102"/>
      <c r="I506" s="102"/>
      <c r="J506" s="156"/>
      <c r="K506" s="243"/>
      <c r="L506" s="210"/>
      <c r="M506" s="144"/>
      <c r="N506" s="145"/>
      <c r="O506" s="145"/>
      <c r="P506" s="122"/>
      <c r="Q506" s="304" t="str">
        <f t="shared" si="14"/>
        <v/>
      </c>
      <c r="R506" s="242"/>
      <c r="S506" s="11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</row>
    <row r="507" ht="15.75" hidden="1" customHeight="1">
      <c r="A507" s="90"/>
      <c r="B507" s="6"/>
      <c r="C507" s="90"/>
      <c r="D507" s="159"/>
      <c r="E507" s="227"/>
      <c r="F507" s="127"/>
      <c r="G507" s="221"/>
      <c r="H507" s="195"/>
      <c r="I507" s="130"/>
      <c r="J507" s="228"/>
      <c r="K507" s="241"/>
      <c r="L507" s="130"/>
      <c r="M507" s="134" t="str">
        <f>I372</f>
        <v/>
      </c>
      <c r="N507" s="135" t="str">
        <f>iferror(mround($P372*((VLOOKUP($J507,Sheet1!$D:$N,$G507+1,FALSE)-0.03)),2.5)," ")</f>
        <v> </v>
      </c>
      <c r="O507" s="135" t="str">
        <f>iferror(mround($P372*((VLOOKUP($J507,Sheet1!$D:$N,$G507+1,FALSE)+0.02)),2.5)," ")</f>
        <v> </v>
      </c>
      <c r="P507" s="112" t="str">
        <f>iferror(mround(I507/VLOOKUP(L507,Sheet1!$D$7:$N$16,G507+1,FALSE),2.5),"")</f>
        <v/>
      </c>
      <c r="Q507" s="303" t="str">
        <f t="shared" si="14"/>
        <v/>
      </c>
      <c r="R507" s="242"/>
      <c r="S507" s="11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</row>
    <row r="508" ht="3.75" hidden="1" customHeight="1">
      <c r="A508" s="191"/>
      <c r="B508" s="6"/>
      <c r="C508" s="192"/>
      <c r="D508" s="138"/>
      <c r="E508" s="245"/>
      <c r="F508" s="102"/>
      <c r="G508" s="102"/>
      <c r="H508" s="102"/>
      <c r="I508" s="102"/>
      <c r="J508" s="156"/>
      <c r="K508" s="243"/>
      <c r="L508" s="210"/>
      <c r="M508" s="144"/>
      <c r="N508" s="145"/>
      <c r="O508" s="145"/>
      <c r="P508" s="122"/>
      <c r="Q508" s="304" t="str">
        <f t="shared" si="14"/>
        <v/>
      </c>
      <c r="R508" s="242"/>
      <c r="S508" s="157"/>
      <c r="T508" s="5"/>
      <c r="U508" s="5"/>
      <c r="V508" s="158"/>
      <c r="W508" s="158"/>
      <c r="X508" s="158"/>
      <c r="Y508" s="158"/>
      <c r="Z508" s="158"/>
      <c r="AA508" s="158"/>
      <c r="AB508" s="158"/>
      <c r="AC508" s="158"/>
      <c r="AD508" s="158"/>
      <c r="AE508" s="158"/>
      <c r="AF508" s="158"/>
      <c r="AG508" s="158"/>
    </row>
    <row r="509" ht="15.75" hidden="1" customHeight="1">
      <c r="A509" s="90"/>
      <c r="B509" s="6"/>
      <c r="C509" s="90"/>
      <c r="D509" s="159"/>
      <c r="E509" s="246"/>
      <c r="F509" s="127"/>
      <c r="G509" s="221"/>
      <c r="H509" s="195"/>
      <c r="I509" s="130"/>
      <c r="J509" s="228"/>
      <c r="K509" s="241"/>
      <c r="L509" s="130"/>
      <c r="M509" s="134" t="str">
        <f>I374</f>
        <v/>
      </c>
      <c r="N509" s="135" t="str">
        <f>iferror(mround($P374*((VLOOKUP($J509,Sheet1!$D:$N,$G509+1,FALSE)-0.03)),2.5)," ")</f>
        <v> </v>
      </c>
      <c r="O509" s="135" t="str">
        <f>iferror(mround($P374*((VLOOKUP($J509,Sheet1!$D:$N,$G509+1,FALSE)+0.02)),2.5)," ")</f>
        <v> </v>
      </c>
      <c r="P509" s="112" t="str">
        <f>iferror(mround(I509/VLOOKUP(L509,Sheet1!$D$7:$N$16,G509+1,FALSE),2.5),"")</f>
        <v/>
      </c>
      <c r="Q509" s="303" t="str">
        <f t="shared" si="14"/>
        <v/>
      </c>
      <c r="R509" s="242"/>
      <c r="S509" s="11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</row>
    <row r="510" ht="3.75" hidden="1" customHeight="1">
      <c r="A510" s="90"/>
      <c r="B510" s="6"/>
      <c r="C510" s="90"/>
      <c r="D510" s="138"/>
      <c r="E510" s="245"/>
      <c r="F510" s="102"/>
      <c r="G510" s="102"/>
      <c r="H510" s="102"/>
      <c r="I510" s="102"/>
      <c r="J510" s="156"/>
      <c r="K510" s="243"/>
      <c r="L510" s="210"/>
      <c r="M510" s="144"/>
      <c r="N510" s="145"/>
      <c r="O510" s="145"/>
      <c r="P510" s="122"/>
      <c r="Q510" s="304" t="str">
        <f t="shared" si="14"/>
        <v/>
      </c>
      <c r="R510" s="242"/>
      <c r="S510" s="11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</row>
    <row r="511" ht="15.75" hidden="1" customHeight="1">
      <c r="A511" s="90"/>
      <c r="B511" s="6"/>
      <c r="C511" s="90"/>
      <c r="D511" s="185"/>
      <c r="E511" s="227"/>
      <c r="F511" s="187"/>
      <c r="G511" s="229"/>
      <c r="H511" s="195"/>
      <c r="I511" s="247"/>
      <c r="J511" s="248"/>
      <c r="K511" s="241"/>
      <c r="L511" s="164"/>
      <c r="M511" s="134" t="str">
        <f>I376</f>
        <v/>
      </c>
      <c r="N511" s="135" t="str">
        <f>iferror(mround($P376*((VLOOKUP($J511,Sheet1!$D:$N,$G511+1,FALSE)-0.03)),2.5)," ")</f>
        <v> </v>
      </c>
      <c r="O511" s="135" t="str">
        <f>iferror(mround($P376*((VLOOKUP($J511,Sheet1!$D:$N,$G511+1,FALSE)+0.02)),2.5)," ")</f>
        <v> </v>
      </c>
      <c r="P511" s="112" t="str">
        <f>iferror(mround(I511/VLOOKUP(L511,Sheet1!$D$7:$N$16,G511+1,FALSE),2.5),"")</f>
        <v/>
      </c>
      <c r="Q511" s="303" t="str">
        <f t="shared" si="14"/>
        <v/>
      </c>
      <c r="R511" s="242"/>
      <c r="S511" s="11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</row>
    <row r="512" ht="3.75" hidden="1" customHeight="1">
      <c r="A512" s="90"/>
      <c r="B512" s="6"/>
      <c r="C512" s="90"/>
      <c r="D512" s="138"/>
      <c r="E512" s="215"/>
      <c r="F512" s="102"/>
      <c r="G512" s="102"/>
      <c r="H512" s="102"/>
      <c r="I512" s="102"/>
      <c r="J512" s="156"/>
      <c r="K512" s="243"/>
      <c r="L512" s="210"/>
      <c r="M512" s="144"/>
      <c r="N512" s="145"/>
      <c r="O512" s="145"/>
      <c r="P512" s="122"/>
      <c r="Q512" s="304" t="str">
        <f t="shared" si="14"/>
        <v/>
      </c>
      <c r="R512" s="242"/>
      <c r="S512" s="11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</row>
    <row r="513" ht="15.75" hidden="1" customHeight="1">
      <c r="A513" s="90"/>
      <c r="B513" s="6"/>
      <c r="C513" s="90"/>
      <c r="D513" s="185"/>
      <c r="E513" s="220"/>
      <c r="F513" s="187"/>
      <c r="G513" s="229"/>
      <c r="H513" s="195"/>
      <c r="I513" s="247"/>
      <c r="J513" s="248"/>
      <c r="K513" s="241"/>
      <c r="L513" s="164"/>
      <c r="M513" s="134" t="str">
        <f>I378</f>
        <v/>
      </c>
      <c r="N513" s="135" t="str">
        <f>iferror(mround($P378*((VLOOKUP($J513,Sheet1!$D:$N,$G513+1,FALSE)-0.03)),2.5)," ")</f>
        <v> </v>
      </c>
      <c r="O513" s="135" t="str">
        <f>iferror(mround($P378*((VLOOKUP($J513,Sheet1!$D:$N,$G513+1,FALSE)+0.02)),2.5)," ")</f>
        <v> </v>
      </c>
      <c r="P513" s="112" t="str">
        <f>iferror(mround(I513/VLOOKUP(L513,Sheet1!$D$7:$N$16,G513+1,FALSE),2.5),"")</f>
        <v/>
      </c>
      <c r="Q513" s="303" t="str">
        <f t="shared" si="14"/>
        <v/>
      </c>
      <c r="R513" s="242"/>
      <c r="S513" s="11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</row>
    <row r="514" ht="3.75" hidden="1" customHeight="1">
      <c r="A514" s="90"/>
      <c r="B514" s="6"/>
      <c r="C514" s="90"/>
      <c r="D514" s="196"/>
      <c r="E514" s="184"/>
      <c r="F514" s="102"/>
      <c r="G514" s="102"/>
      <c r="H514" s="102"/>
      <c r="I514" s="102"/>
      <c r="J514" s="156"/>
      <c r="K514" s="249"/>
      <c r="L514" s="210"/>
      <c r="M514" s="144"/>
      <c r="N514" s="145"/>
      <c r="O514" s="145"/>
      <c r="P514" s="122"/>
      <c r="Q514" s="304" t="str">
        <f t="shared" si="14"/>
        <v/>
      </c>
      <c r="R514" s="242"/>
      <c r="S514" s="11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</row>
    <row r="515" ht="15.75" hidden="1" customHeight="1">
      <c r="A515" s="90"/>
      <c r="B515" s="6"/>
      <c r="C515" s="90"/>
      <c r="D515" s="197"/>
      <c r="E515" s="250"/>
      <c r="F515" s="129"/>
      <c r="G515" s="199"/>
      <c r="H515" s="195"/>
      <c r="I515" s="247"/>
      <c r="J515" s="248"/>
      <c r="K515" s="251"/>
      <c r="L515" s="164"/>
      <c r="M515" s="134" t="str">
        <f>I380</f>
        <v/>
      </c>
      <c r="N515" s="135" t="str">
        <f>iferror(mround($P380*((VLOOKUP($J515,Sheet1!$D:$N,$G515+1,FALSE)-0.03)),2.5)," ")</f>
        <v> </v>
      </c>
      <c r="O515" s="135" t="str">
        <f>iferror(mround($P380*((VLOOKUP($J515,Sheet1!$D:$N,$G515+1,FALSE)+0.02)),2.5)," ")</f>
        <v> </v>
      </c>
      <c r="P515" s="112" t="str">
        <f>iferror(mround(I515/VLOOKUP(L515,Sheet1!$D$7:$N$16,G515+1,FALSE),2.5),"")</f>
        <v/>
      </c>
      <c r="Q515" s="303" t="str">
        <f t="shared" si="14"/>
        <v/>
      </c>
      <c r="R515" s="242"/>
      <c r="S515" s="11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</row>
    <row r="516" ht="3.75" hidden="1" customHeight="1">
      <c r="A516" s="90"/>
      <c r="B516" s="6"/>
      <c r="C516" s="90"/>
      <c r="D516" s="234"/>
      <c r="E516" s="184"/>
      <c r="F516" s="102"/>
      <c r="G516" s="102"/>
      <c r="H516" s="102"/>
      <c r="I516" s="102"/>
      <c r="J516" s="156"/>
      <c r="K516" s="249"/>
      <c r="L516" s="210"/>
      <c r="M516" s="144"/>
      <c r="N516" s="145"/>
      <c r="O516" s="145"/>
      <c r="P516" s="122"/>
      <c r="Q516" s="304" t="str">
        <f t="shared" si="14"/>
        <v/>
      </c>
      <c r="R516" s="242"/>
      <c r="S516" s="11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</row>
    <row r="517" ht="15.75" hidden="1" customHeight="1">
      <c r="A517" s="90"/>
      <c r="B517" s="6"/>
      <c r="C517" s="90"/>
      <c r="D517" s="197"/>
      <c r="E517" s="198"/>
      <c r="F517" s="129"/>
      <c r="G517" s="199"/>
      <c r="H517" s="195"/>
      <c r="I517" s="164"/>
      <c r="J517" s="248"/>
      <c r="K517" s="251"/>
      <c r="L517" s="164"/>
      <c r="M517" s="134" t="str">
        <f>I382</f>
        <v/>
      </c>
      <c r="N517" s="135" t="str">
        <f>iferror(mround($P382*((VLOOKUP($J517,Sheet1!$D:$N,$G517+1,FALSE)-0.03)),2.5)," ")</f>
        <v> </v>
      </c>
      <c r="O517" s="135" t="str">
        <f>iferror(mround($P382*((VLOOKUP($J517,Sheet1!$D:$N,$G517+1,FALSE)+0.02)),2.5)," ")</f>
        <v> </v>
      </c>
      <c r="P517" s="112" t="str">
        <f>iferror(mround(I517/VLOOKUP(L517,Sheet1!$D$7:$N$16,G517+1,FALSE),2.5),"")</f>
        <v/>
      </c>
      <c r="Q517" s="303" t="str">
        <f t="shared" si="14"/>
        <v/>
      </c>
      <c r="R517" s="242"/>
      <c r="S517" s="11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</row>
    <row r="518" ht="3.75" hidden="1" customHeight="1">
      <c r="A518" s="124"/>
      <c r="B518" s="6"/>
      <c r="C518" s="124"/>
      <c r="D518" s="252"/>
      <c r="E518" s="252"/>
      <c r="F518" s="102"/>
      <c r="G518" s="102"/>
      <c r="H518" s="102"/>
      <c r="I518" s="102"/>
      <c r="J518" s="156"/>
      <c r="K518" s="253"/>
      <c r="L518" s="201"/>
      <c r="M518" s="211"/>
      <c r="N518" s="47"/>
      <c r="O518" s="47"/>
      <c r="P518" s="122"/>
      <c r="Q518" s="304" t="str">
        <f t="shared" si="14"/>
        <v/>
      </c>
      <c r="R518" s="242"/>
      <c r="S518" s="11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</row>
    <row r="519" ht="30.75" hidden="1" customHeight="1">
      <c r="A519" s="90"/>
      <c r="B519" s="6"/>
      <c r="C519" s="90"/>
      <c r="D519" s="254" t="s">
        <v>57</v>
      </c>
      <c r="E519" s="255" t="s">
        <v>15</v>
      </c>
      <c r="F519" s="106" t="s">
        <v>16</v>
      </c>
      <c r="G519" s="106" t="s">
        <v>17</v>
      </c>
      <c r="H519" s="107"/>
      <c r="I519" s="106" t="s">
        <v>18</v>
      </c>
      <c r="J519" s="108" t="s">
        <v>19</v>
      </c>
      <c r="L519" s="109" t="s">
        <v>20</v>
      </c>
      <c r="M519" s="110" t="s">
        <v>21</v>
      </c>
      <c r="N519" s="111" t="s">
        <v>22</v>
      </c>
      <c r="P519" s="112"/>
      <c r="Q519" s="113" t="s">
        <v>23</v>
      </c>
      <c r="R519" s="256" t="s">
        <v>58</v>
      </c>
      <c r="S519" s="11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</row>
    <row r="520" ht="14.25" hidden="1" customHeight="1">
      <c r="A520" s="90"/>
      <c r="B520" s="6"/>
      <c r="C520" s="90"/>
      <c r="D520" s="257" t="s">
        <v>25</v>
      </c>
      <c r="E520" s="258" t="s">
        <v>26</v>
      </c>
      <c r="H520" s="107"/>
      <c r="N520" s="111" t="s">
        <v>27</v>
      </c>
      <c r="O520" s="111" t="s">
        <v>28</v>
      </c>
      <c r="P520" s="112" t="s">
        <v>29</v>
      </c>
      <c r="R520" s="118" t="s">
        <v>30</v>
      </c>
      <c r="S520" s="11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</row>
    <row r="521" ht="3.75" hidden="1" customHeight="1">
      <c r="A521" s="124"/>
      <c r="B521" s="6"/>
      <c r="C521" s="124"/>
      <c r="D521" s="252"/>
      <c r="E521" s="252"/>
      <c r="F521" s="102"/>
      <c r="G521" s="102"/>
      <c r="H521" s="102"/>
      <c r="I521" s="102"/>
      <c r="J521" s="156"/>
      <c r="K521" s="253"/>
      <c r="L521" s="201"/>
      <c r="M521" s="211"/>
      <c r="N521" s="47"/>
      <c r="O521" s="47"/>
      <c r="P521" s="122"/>
      <c r="Q521" s="304" t="str">
        <f t="shared" ref="Q521:Q544" si="15">IF(OR(ISBLANK(I521), ISBLANK(I386)), "", IF(I521 - I386 = 0, "", I521 - I386))</f>
        <v/>
      </c>
      <c r="R521" s="259"/>
      <c r="S521" s="11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</row>
    <row r="522" ht="14.25" hidden="1" customHeight="1">
      <c r="A522" s="124"/>
      <c r="B522" s="6"/>
      <c r="C522" s="124"/>
      <c r="D522" s="260"/>
      <c r="E522" s="126"/>
      <c r="F522" s="187"/>
      <c r="G522" s="229"/>
      <c r="H522" s="129"/>
      <c r="I522" s="164"/>
      <c r="J522" s="189"/>
      <c r="K522" s="251"/>
      <c r="L522" s="164"/>
      <c r="M522" s="134" t="str">
        <f>I389</f>
        <v/>
      </c>
      <c r="N522" s="135" t="str">
        <f>iferror(mround($P389*((VLOOKUP($J522,Sheet1!$D:$N,$G522+1,FALSE)-0.03)),2.5)," ")</f>
        <v> </v>
      </c>
      <c r="O522" s="135" t="str">
        <f>iferror(mround($P389*((VLOOKUP($J522,Sheet1!$D:$N,$G522+1,FALSE)+0.02)),2.5)," ")</f>
        <v> </v>
      </c>
      <c r="P522" s="56" t="str">
        <f>iferror(mround(I522/VLOOKUP(L522,Sheet1!$D$7:$N$16,G522+1,FALSE),2.5),"")</f>
        <v/>
      </c>
      <c r="Q522" s="303" t="str">
        <f t="shared" si="15"/>
        <v/>
      </c>
      <c r="S522" s="11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</row>
    <row r="523" ht="3.75" hidden="1" customHeight="1">
      <c r="A523" s="124"/>
      <c r="B523" s="6"/>
      <c r="C523" s="124"/>
      <c r="D523" s="138"/>
      <c r="E523" s="215"/>
      <c r="F523" s="102"/>
      <c r="G523" s="102"/>
      <c r="H523" s="102"/>
      <c r="I523" s="102"/>
      <c r="J523" s="156"/>
      <c r="K523" s="249"/>
      <c r="L523" s="210"/>
      <c r="M523" s="144"/>
      <c r="N523" s="145"/>
      <c r="O523" s="145"/>
      <c r="P523" s="122"/>
      <c r="Q523" s="304" t="str">
        <f t="shared" si="15"/>
        <v/>
      </c>
      <c r="S523" s="11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</row>
    <row r="524" ht="14.25" hidden="1" customHeight="1">
      <c r="A524" s="124"/>
      <c r="B524" s="6"/>
      <c r="C524" s="124"/>
      <c r="D524" s="185"/>
      <c r="E524" s="227"/>
      <c r="F524" s="187"/>
      <c r="G524" s="229"/>
      <c r="H524" s="195"/>
      <c r="I524" s="164"/>
      <c r="J524" s="248"/>
      <c r="K524" s="251"/>
      <c r="L524" s="164"/>
      <c r="M524" s="134" t="str">
        <f>I389</f>
        <v/>
      </c>
      <c r="N524" s="135" t="str">
        <f>iferror(mround($P389*((VLOOKUP($J524,Sheet1!$D:$N,$G524+1,FALSE)-0.03)),2.5)," ")</f>
        <v> </v>
      </c>
      <c r="O524" s="135" t="str">
        <f>iferror(mround($P389*((VLOOKUP($J524,Sheet1!$D:$N,$G524+1,FALSE)+0.02)),2.5)," ")</f>
        <v> </v>
      </c>
      <c r="P524" s="112" t="str">
        <f>iferror(mround(I524/VLOOKUP(L524,Sheet1!$D$7:$N$16,G524+1,FALSE),2.5),"")</f>
        <v/>
      </c>
      <c r="Q524" s="303" t="str">
        <f t="shared" si="15"/>
        <v/>
      </c>
      <c r="S524" s="11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</row>
    <row r="525" ht="3.75" hidden="1" customHeight="1">
      <c r="A525" s="124"/>
      <c r="B525" s="6"/>
      <c r="C525" s="124"/>
      <c r="D525" s="138"/>
      <c r="E525" s="245"/>
      <c r="F525" s="102"/>
      <c r="G525" s="102"/>
      <c r="H525" s="102"/>
      <c r="I525" s="102"/>
      <c r="J525" s="156"/>
      <c r="K525" s="249"/>
      <c r="L525" s="210"/>
      <c r="M525" s="144"/>
      <c r="N525" s="145"/>
      <c r="O525" s="145"/>
      <c r="P525" s="122"/>
      <c r="Q525" s="304" t="str">
        <f t="shared" si="15"/>
        <v/>
      </c>
      <c r="S525" s="11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</row>
    <row r="526" ht="14.25" hidden="1" customHeight="1">
      <c r="A526" s="124"/>
      <c r="B526" s="6"/>
      <c r="C526" s="124"/>
      <c r="D526" s="185"/>
      <c r="E526" s="227"/>
      <c r="F526" s="187"/>
      <c r="G526" s="229"/>
      <c r="H526" s="195"/>
      <c r="I526" s="164"/>
      <c r="J526" s="248"/>
      <c r="K526" s="251"/>
      <c r="L526" s="164"/>
      <c r="M526" s="134" t="str">
        <f>I391</f>
        <v/>
      </c>
      <c r="N526" s="135" t="str">
        <f>iferror(mround($P391*((VLOOKUP($J526,Sheet1!$D:$N,$G526+1,FALSE)-0.03)),2.5)," ")</f>
        <v> </v>
      </c>
      <c r="O526" s="135" t="str">
        <f>iferror(mround($P391*((VLOOKUP($J526,Sheet1!$D:$N,$G526+1,FALSE)+0.02)),2.5)," ")</f>
        <v> </v>
      </c>
      <c r="P526" s="112" t="str">
        <f>iferror(mround(I526/VLOOKUP(L526,Sheet1!$D$7:$N$16,G526+1,FALSE),2.5),"")</f>
        <v/>
      </c>
      <c r="Q526" s="303" t="str">
        <f t="shared" si="15"/>
        <v/>
      </c>
      <c r="S526" s="11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</row>
    <row r="527" ht="3.75" hidden="1" customHeight="1">
      <c r="A527" s="124"/>
      <c r="B527" s="6"/>
      <c r="C527" s="124"/>
      <c r="D527" s="138"/>
      <c r="E527" s="245"/>
      <c r="F527" s="102"/>
      <c r="G527" s="102"/>
      <c r="H527" s="102"/>
      <c r="I527" s="102"/>
      <c r="J527" s="156"/>
      <c r="K527" s="249"/>
      <c r="L527" s="210"/>
      <c r="M527" s="144"/>
      <c r="N527" s="145"/>
      <c r="O527" s="145"/>
      <c r="P527" s="122"/>
      <c r="Q527" s="304" t="str">
        <f t="shared" si="15"/>
        <v/>
      </c>
      <c r="S527" s="11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</row>
    <row r="528" ht="14.25" hidden="1" customHeight="1">
      <c r="A528" s="124"/>
      <c r="B528" s="6"/>
      <c r="C528" s="124"/>
      <c r="D528" s="185"/>
      <c r="E528" s="227"/>
      <c r="F528" s="187"/>
      <c r="G528" s="229"/>
      <c r="H528" s="195"/>
      <c r="I528" s="164"/>
      <c r="J528" s="248"/>
      <c r="K528" s="251"/>
      <c r="L528" s="164"/>
      <c r="M528" s="134"/>
      <c r="N528" s="135" t="str">
        <f>iferror(mround($P393*((VLOOKUP($J528,Sheet1!$D:$N,$G528+1,FALSE)-0.03)),2.5)," ")</f>
        <v> </v>
      </c>
      <c r="O528" s="135" t="str">
        <f>iferror(mround($P393*((VLOOKUP($J528,Sheet1!$D:$N,$G528+1,FALSE)+0.02)),2.5)," ")</f>
        <v> </v>
      </c>
      <c r="P528" s="112" t="str">
        <f>iferror(mround(I528/VLOOKUP(L528,Sheet1!$D$7:$N$16,G528+1,FALSE),2.5),"")</f>
        <v/>
      </c>
      <c r="Q528" s="303" t="str">
        <f t="shared" si="15"/>
        <v/>
      </c>
      <c r="S528" s="11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</row>
    <row r="529" ht="3.75" hidden="1" customHeight="1">
      <c r="A529" s="124"/>
      <c r="B529" s="6"/>
      <c r="C529" s="124"/>
      <c r="D529" s="138"/>
      <c r="E529" s="245"/>
      <c r="F529" s="102"/>
      <c r="G529" s="102"/>
      <c r="H529" s="102"/>
      <c r="I529" s="102"/>
      <c r="J529" s="156"/>
      <c r="K529" s="249"/>
      <c r="L529" s="210"/>
      <c r="M529" s="144"/>
      <c r="N529" s="145" t="str">
        <f>iferror(mround($P394*((VLOOKUP($J529,Sheet1!$D:$N,$G529+1,FALSE)-0.03)),2.5)," ")</f>
        <v> </v>
      </c>
      <c r="O529" s="145" t="str">
        <f>iferror(mround($P394*((VLOOKUP($J529,Sheet1!$D:$N,$G529+1,FALSE)+0.02)),2.5)," ")</f>
        <v> </v>
      </c>
      <c r="P529" s="122"/>
      <c r="Q529" s="304" t="str">
        <f t="shared" si="15"/>
        <v/>
      </c>
      <c r="S529" s="11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</row>
    <row r="530" ht="14.25" hidden="1" customHeight="1">
      <c r="A530" s="124"/>
      <c r="B530" s="6"/>
      <c r="C530" s="124"/>
      <c r="D530" s="185"/>
      <c r="E530" s="227"/>
      <c r="F530" s="187"/>
      <c r="G530" s="187"/>
      <c r="H530" s="195"/>
      <c r="I530" s="164"/>
      <c r="J530" s="248"/>
      <c r="K530" s="251"/>
      <c r="L530" s="164"/>
      <c r="M530" s="134" t="str">
        <f>I395</f>
        <v/>
      </c>
      <c r="N530" s="135" t="str">
        <f>iferror(mround($P395*((VLOOKUP($J530,Sheet1!$D:$N,$G530+1,FALSE)-0.03)),2.5)," ")</f>
        <v> </v>
      </c>
      <c r="O530" s="135" t="str">
        <f>iferror(mround($P395*((VLOOKUP($J530,Sheet1!$D:$N,$G530+1,FALSE)+0.02)),2.5)," ")</f>
        <v> </v>
      </c>
      <c r="P530" s="112" t="str">
        <f>iferror(mround(I530/VLOOKUP(L530,Sheet1!$D$7:$N$16,G530+1,FALSE),2.5),"")</f>
        <v/>
      </c>
      <c r="Q530" s="303" t="str">
        <f t="shared" si="15"/>
        <v/>
      </c>
      <c r="S530" s="11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</row>
    <row r="531" ht="3.75" hidden="1" customHeight="1">
      <c r="A531" s="261"/>
      <c r="B531" s="6"/>
      <c r="C531" s="262"/>
      <c r="D531" s="138"/>
      <c r="E531" s="245"/>
      <c r="F531" s="102"/>
      <c r="G531" s="102"/>
      <c r="H531" s="102"/>
      <c r="I531" s="102"/>
      <c r="J531" s="156"/>
      <c r="K531" s="249"/>
      <c r="L531" s="210"/>
      <c r="M531" s="144"/>
      <c r="N531" s="145"/>
      <c r="O531" s="145"/>
      <c r="P531" s="122"/>
      <c r="Q531" s="304" t="str">
        <f t="shared" si="15"/>
        <v/>
      </c>
      <c r="S531" s="157"/>
      <c r="T531" s="5"/>
      <c r="U531" s="5"/>
      <c r="V531" s="158"/>
      <c r="W531" s="158"/>
      <c r="X531" s="158"/>
      <c r="Y531" s="158"/>
      <c r="Z531" s="158"/>
      <c r="AA531" s="158"/>
      <c r="AB531" s="158"/>
      <c r="AC531" s="158"/>
      <c r="AD531" s="158"/>
      <c r="AE531" s="158"/>
      <c r="AF531" s="158"/>
      <c r="AG531" s="158"/>
    </row>
    <row r="532" ht="14.25" hidden="1" customHeight="1">
      <c r="A532" s="124"/>
      <c r="B532" s="6"/>
      <c r="C532" s="124"/>
      <c r="D532" s="185"/>
      <c r="E532" s="227"/>
      <c r="F532" s="187"/>
      <c r="G532" s="187"/>
      <c r="H532" s="195"/>
      <c r="I532" s="164"/>
      <c r="J532" s="248"/>
      <c r="K532" s="251"/>
      <c r="L532" s="164"/>
      <c r="M532" s="134" t="str">
        <f>I397</f>
        <v/>
      </c>
      <c r="N532" s="135" t="str">
        <f>iferror(mround($P397*((VLOOKUP($J532,Sheet1!$D:$N,$G532+1,FALSE)-0.03)),2.5)," ")</f>
        <v> </v>
      </c>
      <c r="O532" s="135" t="str">
        <f>iferror(mround($P397*((VLOOKUP($J532,Sheet1!$D:$N,$G532+1,FALSE)+0.02)),2.5)," ")</f>
        <v> </v>
      </c>
      <c r="P532" s="112" t="str">
        <f>iferror(mround(I532/VLOOKUP(L532,Sheet1!$D$7:$N$16,G532+1,FALSE),2.5),"")</f>
        <v/>
      </c>
      <c r="Q532" s="303" t="str">
        <f t="shared" si="15"/>
        <v/>
      </c>
      <c r="S532" s="11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</row>
    <row r="533" ht="3.75" hidden="1" customHeight="1">
      <c r="A533" s="261"/>
      <c r="B533" s="6"/>
      <c r="C533" s="262"/>
      <c r="D533" s="138"/>
      <c r="E533" s="252"/>
      <c r="F533" s="102"/>
      <c r="G533" s="102"/>
      <c r="H533" s="102"/>
      <c r="I533" s="102"/>
      <c r="J533" s="156"/>
      <c r="K533" s="249"/>
      <c r="L533" s="210"/>
      <c r="M533" s="144"/>
      <c r="N533" s="145"/>
      <c r="O533" s="145"/>
      <c r="P533" s="122"/>
      <c r="Q533" s="304" t="str">
        <f t="shared" si="15"/>
        <v/>
      </c>
      <c r="S533" s="157"/>
      <c r="T533" s="5"/>
      <c r="U533" s="5"/>
      <c r="V533" s="158"/>
      <c r="W533" s="158"/>
      <c r="X533" s="158"/>
      <c r="Y533" s="158"/>
      <c r="Z533" s="158"/>
      <c r="AA533" s="158"/>
      <c r="AB533" s="158"/>
      <c r="AC533" s="158"/>
      <c r="AD533" s="158"/>
      <c r="AE533" s="158"/>
      <c r="AF533" s="158"/>
      <c r="AG533" s="158"/>
    </row>
    <row r="534" ht="15.75" hidden="1" customHeight="1">
      <c r="A534" s="124"/>
      <c r="B534" s="6"/>
      <c r="C534" s="124"/>
      <c r="D534" s="185"/>
      <c r="E534" s="260"/>
      <c r="F534" s="187"/>
      <c r="G534" s="187"/>
      <c r="H534" s="195"/>
      <c r="I534" s="247"/>
      <c r="J534" s="248"/>
      <c r="K534" s="251"/>
      <c r="L534" s="164"/>
      <c r="M534" s="134"/>
      <c r="N534" s="135" t="str">
        <f>iferror(mround($P399*((VLOOKUP($J534,Sheet1!$D:$N,$G534+1,FALSE)-0.03)),2.5)," ")</f>
        <v> </v>
      </c>
      <c r="O534" s="135" t="str">
        <f>iferror(mround($P399*((VLOOKUP($J534,Sheet1!$D:$N,$G534+1,FALSE)+0.02)),2.5)," ")</f>
        <v> </v>
      </c>
      <c r="P534" s="112" t="str">
        <f>iferror(mround(I534/VLOOKUP(L534,Sheet1!$D$7:$N$16,G534+1,FALSE),2.5),"")</f>
        <v/>
      </c>
      <c r="Q534" s="303" t="str">
        <f t="shared" si="15"/>
        <v/>
      </c>
      <c r="S534" s="11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</row>
    <row r="535" ht="3.75" hidden="1" customHeight="1">
      <c r="A535" s="124"/>
      <c r="B535" s="6"/>
      <c r="C535" s="124"/>
      <c r="D535" s="263"/>
      <c r="E535" s="252"/>
      <c r="F535" s="102"/>
      <c r="G535" s="102"/>
      <c r="H535" s="102"/>
      <c r="I535" s="102"/>
      <c r="J535" s="156"/>
      <c r="K535" s="249"/>
      <c r="L535" s="210"/>
      <c r="M535" s="144"/>
      <c r="N535" s="145" t="str">
        <f>iferror(mround($P400*((VLOOKUP($J535,Sheet1!$D:$N,$G535+1,FALSE)-0.03)),2.5)," ")</f>
        <v> </v>
      </c>
      <c r="O535" s="145" t="str">
        <f>iferror(mround($P400*((VLOOKUP($J535,Sheet1!$D:$N,$G535+1,FALSE)+0.02)),2.5)," ")</f>
        <v> </v>
      </c>
      <c r="P535" s="122"/>
      <c r="Q535" s="304" t="str">
        <f t="shared" si="15"/>
        <v/>
      </c>
      <c r="S535" s="11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</row>
    <row r="536" ht="14.25" hidden="1" customHeight="1">
      <c r="A536" s="90"/>
      <c r="B536" s="6"/>
      <c r="C536" s="90"/>
      <c r="D536" s="185"/>
      <c r="E536" s="264"/>
      <c r="F536" s="187"/>
      <c r="G536" s="187"/>
      <c r="H536" s="195"/>
      <c r="I536" s="164"/>
      <c r="J536" s="248"/>
      <c r="K536" s="251"/>
      <c r="L536" s="164"/>
      <c r="M536" s="134" t="str">
        <f>I401</f>
        <v/>
      </c>
      <c r="N536" s="135" t="str">
        <f>iferror(mround($P401*((VLOOKUP($J536,Sheet1!$D:$N,$G536+1,FALSE)-0.03)),2.5)," ")</f>
        <v> </v>
      </c>
      <c r="O536" s="135" t="str">
        <f>iferror(mround($P401*((VLOOKUP($J536,Sheet1!$D:$N,$G536+1,FALSE)+0.02)),2.5)," ")</f>
        <v> </v>
      </c>
      <c r="P536" s="112" t="str">
        <f>iferror(mround(I536/VLOOKUP(L536,Sheet1!$D$7:$N$16,G536+1,FALSE),2.5),"")</f>
        <v/>
      </c>
      <c r="Q536" s="303" t="str">
        <f t="shared" si="15"/>
        <v/>
      </c>
      <c r="S536" s="11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</row>
    <row r="537" ht="3.75" hidden="1" customHeight="1">
      <c r="A537" s="261"/>
      <c r="B537" s="6"/>
      <c r="C537" s="262"/>
      <c r="D537" s="263"/>
      <c r="E537" s="263"/>
      <c r="F537" s="194"/>
      <c r="G537" s="194"/>
      <c r="H537" s="155"/>
      <c r="I537" s="210"/>
      <c r="J537" s="265"/>
      <c r="K537" s="249"/>
      <c r="L537" s="210"/>
      <c r="M537" s="144"/>
      <c r="N537" s="145"/>
      <c r="O537" s="145"/>
      <c r="P537" s="122"/>
      <c r="Q537" s="304" t="str">
        <f t="shared" si="15"/>
        <v/>
      </c>
      <c r="S537" s="157"/>
      <c r="T537" s="5"/>
      <c r="U537" s="5"/>
      <c r="V537" s="158"/>
      <c r="W537" s="158"/>
      <c r="X537" s="158"/>
      <c r="Y537" s="158"/>
      <c r="Z537" s="158"/>
      <c r="AA537" s="158"/>
      <c r="AB537" s="158"/>
      <c r="AC537" s="158"/>
      <c r="AD537" s="158"/>
      <c r="AE537" s="158"/>
      <c r="AF537" s="158"/>
      <c r="AG537" s="158"/>
    </row>
    <row r="538" ht="15.75" hidden="1" customHeight="1">
      <c r="A538" s="90"/>
      <c r="B538" s="6"/>
      <c r="C538" s="90"/>
      <c r="D538" s="185"/>
      <c r="E538" s="266"/>
      <c r="F538" s="187"/>
      <c r="G538" s="187"/>
      <c r="H538" s="195"/>
      <c r="I538" s="164"/>
      <c r="J538" s="248"/>
      <c r="K538" s="251"/>
      <c r="L538" s="164"/>
      <c r="M538" s="134"/>
      <c r="N538" s="135" t="str">
        <f>iferror(mround($P403*((VLOOKUP($J538,Sheet1!$D:$N,$G538+1,FALSE)-0.03)),2.5)," ")</f>
        <v> </v>
      </c>
      <c r="O538" s="135" t="str">
        <f>iferror(mround($P403*((VLOOKUP($J538,Sheet1!$D:$N,$G538+1,FALSE)+0.02)),2.5)," ")</f>
        <v> </v>
      </c>
      <c r="P538" s="112" t="str">
        <f>iferror(mround(I538/VLOOKUP(L538,Sheet1!$D$7:$N$16,G538+1,FALSE),2.5),"")</f>
        <v/>
      </c>
      <c r="Q538" s="303" t="str">
        <f t="shared" si="15"/>
        <v/>
      </c>
      <c r="S538" s="11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</row>
    <row r="539" ht="3.75" hidden="1" customHeight="1">
      <c r="A539" s="90"/>
      <c r="B539" s="6"/>
      <c r="C539" s="90"/>
      <c r="D539" s="138"/>
      <c r="E539" s="252"/>
      <c r="F539" s="102"/>
      <c r="G539" s="102"/>
      <c r="H539" s="102"/>
      <c r="I539" s="102"/>
      <c r="J539" s="156"/>
      <c r="K539" s="249"/>
      <c r="L539" s="210"/>
      <c r="M539" s="144"/>
      <c r="N539" s="145" t="str">
        <f>iferror(mround($P404*((VLOOKUP($J539,Sheet1!$D:$N,$G539+1,FALSE)-0.03)),2.5)," ")</f>
        <v> </v>
      </c>
      <c r="O539" s="145" t="str">
        <f>iferror(mround($P404*((VLOOKUP($J539,Sheet1!$D:$N,$G539+1,FALSE)+0.02)),2.5)," ")</f>
        <v> </v>
      </c>
      <c r="P539" s="122"/>
      <c r="Q539" s="304" t="str">
        <f t="shared" si="15"/>
        <v/>
      </c>
      <c r="S539" s="11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</row>
    <row r="540" ht="15.75" hidden="1" customHeight="1">
      <c r="A540" s="90"/>
      <c r="B540" s="6"/>
      <c r="C540" s="90"/>
      <c r="D540" s="185"/>
      <c r="E540" s="264"/>
      <c r="F540" s="187"/>
      <c r="G540" s="187"/>
      <c r="H540" s="195"/>
      <c r="I540" s="164"/>
      <c r="J540" s="248"/>
      <c r="K540" s="251"/>
      <c r="L540" s="164"/>
      <c r="M540" s="134" t="str">
        <f>I405</f>
        <v/>
      </c>
      <c r="N540" s="135" t="str">
        <f>iferror(mround($P405*((VLOOKUP($J540,Sheet1!$D:$N,$G540+1,FALSE)-0.03)),2.5)," ")</f>
        <v> </v>
      </c>
      <c r="O540" s="135" t="str">
        <f>iferror(mround($P405*((VLOOKUP($J540,Sheet1!$D:$N,$G540+1,FALSE)+0.02)),2.5)," ")</f>
        <v> </v>
      </c>
      <c r="P540" s="112" t="str">
        <f>iferror(mround(I540/VLOOKUP(L540,Sheet1!$D$7:$N$16,G540+1,FALSE),2.5),"")</f>
        <v/>
      </c>
      <c r="Q540" s="303" t="str">
        <f t="shared" si="15"/>
        <v/>
      </c>
      <c r="S540" s="11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</row>
    <row r="541" ht="3.75" hidden="1" customHeight="1">
      <c r="A541" s="191"/>
      <c r="B541" s="6"/>
      <c r="C541" s="192"/>
      <c r="D541" s="138"/>
      <c r="E541" s="252"/>
      <c r="F541" s="102"/>
      <c r="G541" s="102"/>
      <c r="H541" s="102"/>
      <c r="I541" s="102"/>
      <c r="J541" s="156"/>
      <c r="K541" s="249"/>
      <c r="L541" s="210"/>
      <c r="M541" s="144"/>
      <c r="N541" s="145"/>
      <c r="O541" s="145"/>
      <c r="P541" s="122"/>
      <c r="Q541" s="304" t="str">
        <f t="shared" si="15"/>
        <v/>
      </c>
      <c r="S541" s="157"/>
      <c r="T541" s="5"/>
      <c r="U541" s="5"/>
      <c r="V541" s="158"/>
      <c r="W541" s="158"/>
      <c r="X541" s="158"/>
      <c r="Y541" s="158"/>
      <c r="Z541" s="158"/>
      <c r="AA541" s="158"/>
      <c r="AB541" s="158"/>
      <c r="AC541" s="158"/>
      <c r="AD541" s="158"/>
      <c r="AE541" s="158"/>
      <c r="AF541" s="158"/>
      <c r="AG541" s="158"/>
    </row>
    <row r="542" ht="15.75" hidden="1" customHeight="1">
      <c r="A542" s="90"/>
      <c r="B542" s="6"/>
      <c r="C542" s="90"/>
      <c r="D542" s="185"/>
      <c r="E542" s="260"/>
      <c r="F542" s="187"/>
      <c r="G542" s="187"/>
      <c r="H542" s="195"/>
      <c r="I542" s="164"/>
      <c r="J542" s="248"/>
      <c r="K542" s="251"/>
      <c r="L542" s="164"/>
      <c r="M542" s="134" t="str">
        <f>I407</f>
        <v/>
      </c>
      <c r="N542" s="135" t="str">
        <f>iferror(mround($P407*((VLOOKUP($J542,Sheet1!$D:$N,$G542+1,FALSE)-0.03)),2.5)," ")</f>
        <v> </v>
      </c>
      <c r="O542" s="135" t="str">
        <f>iferror(mround($P407*((VLOOKUP($J542,Sheet1!$D:$N,$G542+1,FALSE)+0.02)),2.5)," ")</f>
        <v> </v>
      </c>
      <c r="P542" s="112" t="str">
        <f>iferror(mround(I542/VLOOKUP(L542,Sheet1!$D$7:$N$16,G542+1,FALSE),2.5),"")</f>
        <v/>
      </c>
      <c r="Q542" s="303" t="str">
        <f t="shared" si="15"/>
        <v/>
      </c>
      <c r="S542" s="11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</row>
    <row r="543" ht="3.75" hidden="1" customHeight="1">
      <c r="A543" s="90"/>
      <c r="B543" s="6"/>
      <c r="C543" s="90"/>
      <c r="D543" s="263"/>
      <c r="E543" s="252"/>
      <c r="F543" s="102"/>
      <c r="G543" s="102"/>
      <c r="H543" s="102"/>
      <c r="I543" s="102"/>
      <c r="J543" s="156"/>
      <c r="K543" s="249"/>
      <c r="L543" s="210"/>
      <c r="M543" s="144"/>
      <c r="N543" s="145"/>
      <c r="O543" s="145"/>
      <c r="P543" s="122"/>
      <c r="Q543" s="304" t="str">
        <f t="shared" si="15"/>
        <v/>
      </c>
      <c r="S543" s="11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</row>
    <row r="544" ht="15.75" hidden="1" customHeight="1">
      <c r="A544" s="90"/>
      <c r="B544" s="6"/>
      <c r="C544" s="90"/>
      <c r="D544" s="185"/>
      <c r="E544" s="266"/>
      <c r="F544" s="187"/>
      <c r="G544" s="187"/>
      <c r="H544" s="195"/>
      <c r="I544" s="164"/>
      <c r="J544" s="248"/>
      <c r="K544" s="251"/>
      <c r="L544" s="164"/>
      <c r="M544" s="134" t="str">
        <f>I409</f>
        <v/>
      </c>
      <c r="N544" s="135" t="str">
        <f>iferror(mround($P409*((VLOOKUP($J544,Sheet1!$D:$N,$G544+1,FALSE)-0.03)),2.5)," ")</f>
        <v> </v>
      </c>
      <c r="O544" s="135" t="str">
        <f>iferror(mround($P409*((VLOOKUP($J544,Sheet1!$D:$N,$G544+1,FALSE)+0.02)),2.5)," ")</f>
        <v> </v>
      </c>
      <c r="P544" s="112" t="str">
        <f>iferror(mround(I544/VLOOKUP(L544,Sheet1!$D$7:$N$16,G544+1,FALSE),2.5),"")</f>
        <v/>
      </c>
      <c r="Q544" s="303" t="str">
        <f t="shared" si="15"/>
        <v/>
      </c>
      <c r="S544" s="11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</row>
    <row r="545" ht="3.75" hidden="1" customHeight="1">
      <c r="A545" s="191"/>
      <c r="B545" s="6"/>
      <c r="C545" s="192"/>
      <c r="D545" s="192"/>
      <c r="E545" s="267"/>
      <c r="F545" s="194"/>
      <c r="G545" s="194"/>
      <c r="H545" s="155"/>
      <c r="I545" s="210"/>
      <c r="J545" s="268"/>
      <c r="K545" s="249"/>
      <c r="L545" s="269"/>
      <c r="M545" s="270"/>
      <c r="N545" s="269"/>
      <c r="O545" s="269"/>
      <c r="P545" s="271"/>
      <c r="Q545" s="272"/>
      <c r="R545" s="273"/>
      <c r="S545" s="157"/>
      <c r="T545" s="5"/>
      <c r="U545" s="5"/>
      <c r="V545" s="158"/>
      <c r="W545" s="158"/>
      <c r="X545" s="158"/>
      <c r="Y545" s="158"/>
      <c r="Z545" s="158"/>
      <c r="AA545" s="158"/>
      <c r="AB545" s="158"/>
      <c r="AC545" s="158"/>
      <c r="AD545" s="158"/>
      <c r="AE545" s="158"/>
      <c r="AF545" s="158"/>
      <c r="AG545" s="158"/>
    </row>
    <row r="546" ht="14.25" customHeight="1">
      <c r="A546" s="5"/>
      <c r="B546" s="6"/>
      <c r="C546" s="5"/>
      <c r="D546" s="274"/>
      <c r="E546" s="266"/>
      <c r="F546" s="187"/>
      <c r="G546" s="187"/>
      <c r="H546" s="195"/>
      <c r="I546" s="129"/>
      <c r="J546" s="275"/>
      <c r="K546" s="276"/>
      <c r="L546" s="187"/>
      <c r="M546" s="187"/>
      <c r="N546" s="187"/>
      <c r="O546" s="187"/>
      <c r="P546" s="277"/>
      <c r="Q546" s="278"/>
      <c r="R546" s="279"/>
      <c r="S546" s="11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</row>
    <row r="547" ht="14.25" customHeight="1">
      <c r="A547" s="5"/>
      <c r="B547" s="6"/>
      <c r="C547" s="5"/>
      <c r="D547" s="274" t="s">
        <v>59</v>
      </c>
      <c r="E547" s="266" t="s">
        <v>16</v>
      </c>
      <c r="F547" s="187" t="s">
        <v>17</v>
      </c>
      <c r="G547" s="187" t="s">
        <v>60</v>
      </c>
      <c r="H547" s="187"/>
      <c r="I547" s="280" t="s">
        <v>61</v>
      </c>
      <c r="J547" s="266" t="s">
        <v>62</v>
      </c>
      <c r="K547" s="274"/>
      <c r="L547" s="187"/>
      <c r="M547" s="285"/>
      <c r="N547" s="285"/>
      <c r="O547" s="285"/>
      <c r="P547" s="282"/>
      <c r="Q547" s="278"/>
      <c r="R547" s="157"/>
      <c r="S547" s="11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</row>
    <row r="548" ht="14.25" customHeight="1">
      <c r="A548" s="5"/>
      <c r="B548" s="6"/>
      <c r="C548" s="5"/>
      <c r="D548" s="274" t="s">
        <v>6</v>
      </c>
      <c r="E548" s="283">
        <f>IFERROR(__xludf.DUMMYFUNCTION("SUM(FILTER(F423:F547, ISNUMBER(SEARCH(""squat"", D423:D547))))"),6.0)</f>
        <v>6</v>
      </c>
      <c r="F548" s="284">
        <f>IFERROR(__xludf.DUMMYFUNCTION("SUMPRODUCT(FILTER(F423:F547 * G423:G547, ISNUMBER(SEARCH(""squat"", D423:D547))))"),275274.0)</f>
        <v>275274</v>
      </c>
      <c r="G548" s="135">
        <f>IFERROR(__xludf.DUMMYFUNCTION("ROUND(SUMPRODUCT(FILTER(F423:F547 * G423:G547 * I423:I547, ISNUMBER(SEARCH(""squat"", D423:D547)))), 0)"),0.0)</f>
        <v>0</v>
      </c>
      <c r="H548" s="285"/>
      <c r="I548" s="135" t="str">
        <f>IFERROR(__xludf.DUMMYFUNCTION("ROUND(AVERAGE(FILTER(I423:I547, ISNUMBER(SEARCH(""squat"", D423:D547)), I423:I547 &lt;&gt; """")) / J548 * 100, 0)"),"#N/A")</f>
        <v>#N/A</v>
      </c>
      <c r="J548" s="283" t="str">
        <f>IFERROR(__xludf.DUMMYFUNCTION("IFERROR(MROUND(AVERAGE(FILTER(P423:P547, D423:D547 = ""comp squat"", P423:P547 &lt;&gt; """", P423:P547 &gt;= 0.9 * MAX(FILTER(P423:P547, D423:D547 = ""comp squat"", P423:P547 &lt;&gt; """")), P423:P547 &lt;= 1.1 * MAX(FILTER(P423:P547, D423:D547 = ""comp squat"", P423:P54"&amp;"7 &lt;&gt; """")))), 2.5), ""No valid data"")"),"No valid data")</f>
        <v>No valid data</v>
      </c>
      <c r="K548" s="286"/>
      <c r="L548" s="287" t="str">
        <f>MROUND(J548/2.2046,2.5)-$O$10</f>
        <v>#VALUE!</v>
      </c>
      <c r="M548" s="305"/>
      <c r="N548" s="305"/>
      <c r="O548" s="305"/>
      <c r="P548" s="282"/>
      <c r="Q548" s="278"/>
      <c r="R548" s="291"/>
      <c r="S548" s="11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</row>
    <row r="549" ht="3.0" customHeight="1">
      <c r="A549" s="5"/>
      <c r="B549" s="6"/>
      <c r="C549" s="5"/>
      <c r="D549" s="90"/>
      <c r="E549" s="156"/>
      <c r="F549" s="102"/>
      <c r="G549" s="145"/>
      <c r="H549" s="102"/>
      <c r="I549" s="145"/>
      <c r="J549" s="156"/>
      <c r="K549" s="286"/>
      <c r="L549" s="292"/>
      <c r="M549" s="284"/>
      <c r="N549" s="284"/>
      <c r="O549" s="305"/>
      <c r="P549" s="282"/>
      <c r="Q549" s="278"/>
      <c r="R549" s="115"/>
      <c r="S549" s="11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</row>
    <row r="550" ht="15.75" customHeight="1">
      <c r="A550" s="5"/>
      <c r="B550" s="6"/>
      <c r="C550" s="5"/>
      <c r="D550" s="274" t="s">
        <v>66</v>
      </c>
      <c r="E550" s="293">
        <f>IFERROR(__xludf.DUMMYFUNCTION("SUM(FILTER(F423:F547, ISNUMBER(SEARCH(""bench press"", D423:D547))))"),12.0)</f>
        <v>12</v>
      </c>
      <c r="F550" s="284">
        <f>IFERROR(__xludf.DUMMYFUNCTION("SUMPRODUCT(FILTER(F424:F548 * G424:G548, ISNUMBER(SEARCH(""bench press"", D424:D548))))"),51.0)</f>
        <v>51</v>
      </c>
      <c r="G550" s="135">
        <f>IFERROR(__xludf.DUMMYFUNCTION("ROUND(SUMPRODUCT(FILTER(F423:F547 * G423:G547 * I423:I547, ISNUMBER(SEARCH(""bench press"", D423:D547)))), 0)"),0.0)</f>
        <v>0</v>
      </c>
      <c r="H550" s="285"/>
      <c r="I550" s="135" t="str">
        <f>IFERROR(__xludf.DUMMYFUNCTION("ROUND(AVERAGE(FILTER(I423:I547, ISNUMBER(SEARCH(""bench press"", D423:D547)), I423:I547 &lt;&gt; """")) / J550 * 100, 0)"),"#VALUE!")</f>
        <v>#VALUE!</v>
      </c>
      <c r="J550" s="293" t="str">
        <f>IFERROR(__xludf.DUMMYFUNCTION("IFERROR(MROUND(AVERAGE(FILTER(P423:P547, D423:D547 = ""comp bench press"", P423:P547 &lt;&gt; """", P423:P547 &gt;= 0.9 * MAX(FILTER(P423:P547, D423:D547 = ""comp bench press"", P423:P547 &lt;&gt; """")), P423:P547 &lt;= 1.1 * MAX(FILTER(P423:P547, D423:D547 = ""comp bench"&amp;" press"", P423:P547 &lt;&gt; """")))), 2.5), ""No valid data"")"),"No valid data")</f>
        <v>No valid data</v>
      </c>
      <c r="K550" s="286"/>
      <c r="L550" s="294" t="str">
        <f>MROUND(J550/2.2046,2.5)-$O$11</f>
        <v>#VALUE!</v>
      </c>
      <c r="M550" s="285"/>
      <c r="N550" s="285"/>
      <c r="O550" s="305"/>
      <c r="P550" s="282"/>
      <c r="Q550" s="278"/>
      <c r="R550" s="157"/>
      <c r="S550" s="11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</row>
    <row r="551" ht="3.0" customHeight="1">
      <c r="A551" s="5"/>
      <c r="B551" s="6"/>
      <c r="C551" s="5"/>
      <c r="D551" s="90"/>
      <c r="E551" s="156"/>
      <c r="F551" s="102"/>
      <c r="G551" s="145"/>
      <c r="H551" s="102"/>
      <c r="I551" s="145"/>
      <c r="J551" s="156"/>
      <c r="K551" s="286"/>
      <c r="L551" s="292"/>
      <c r="M551" s="285"/>
      <c r="N551" s="285"/>
      <c r="O551" s="284"/>
      <c r="P551" s="282"/>
      <c r="Q551" s="278"/>
      <c r="R551" s="157"/>
      <c r="S551" s="11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</row>
    <row r="552" ht="14.25" customHeight="1">
      <c r="A552" s="5"/>
      <c r="B552" s="6"/>
      <c r="C552" s="5"/>
      <c r="D552" s="274" t="s">
        <v>10</v>
      </c>
      <c r="E552" s="293">
        <f>IFERROR(__xludf.DUMMYFUNCTION("SUM(FILTER(F423:F547, ISNUMBER(SEARCH(""deadlift"", D423:D547))))"),6.0)</f>
        <v>6</v>
      </c>
      <c r="F552" s="284">
        <f>IFERROR(__xludf.DUMMYFUNCTION("SUMPRODUCT(FILTER(F423:F547 * G423:G547, ISNUMBER(SEARCH(""deadlift"", D423:D547))))"),275463.0)</f>
        <v>275463</v>
      </c>
      <c r="G552" s="135">
        <f>IFERROR(__xludf.DUMMYFUNCTION("ROUND(SUMPRODUCT(FILTER(F423:F547 * G423:G547 * I423:I547, ISNUMBER(SEARCH(""deadlift"", D423:D547)))), 0)"),0.0)</f>
        <v>0</v>
      </c>
      <c r="H552" s="285"/>
      <c r="I552" s="135" t="str">
        <f>IFERROR(__xludf.DUMMYFUNCTION("ROUND(AVERAGE(FILTER(I423:I547, ISNUMBER(SEARCH(""deadlift"", D423:D547)), I423:I547 &lt;&gt; """")) / J552 * 100, 0)"),"#N/A")</f>
        <v>#N/A</v>
      </c>
      <c r="J552" s="293" t="str">
        <f>IFERROR(__xludf.DUMMYFUNCTION("IFERROR(MROUND(AVERAGE(FILTER(P423:P547, D423:D547 = ""comp deadlift"", P423:P547 &lt;&gt; """", P423:P547 &gt;= 0.9 * MAX(FILTER(P423:P547, D423:D547 = ""comp deadlift"", P423:P547 &lt;&gt; """")), P423:P547 &lt;= 1.1 * MAX(FILTER(P423:P547, D423:D547 = ""comp deadlift"","&amp;" P423:P547 &lt;&gt; """")))), 2.5), ""No valid data"")"),"No valid data")</f>
        <v>No valid data</v>
      </c>
      <c r="K552" s="286"/>
      <c r="L552" s="294" t="str">
        <f>MROUND(J552/2.2046,2.5)-$O$12</f>
        <v>#VALUE!</v>
      </c>
      <c r="M552" s="285"/>
      <c r="N552" s="285"/>
      <c r="O552" s="285"/>
      <c r="P552" s="282"/>
      <c r="Q552" s="278"/>
      <c r="R552" s="157"/>
      <c r="S552" s="11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</row>
    <row r="553" ht="14.25" customHeight="1">
      <c r="A553" s="5"/>
      <c r="B553" s="6"/>
      <c r="C553" s="5"/>
      <c r="D553" s="274"/>
      <c r="E553" s="266"/>
      <c r="F553" s="187"/>
      <c r="G553" s="187"/>
      <c r="H553" s="187"/>
      <c r="I553" s="187"/>
      <c r="J553" s="295"/>
      <c r="K553" s="274"/>
      <c r="L553" s="187"/>
      <c r="M553" s="285"/>
      <c r="N553" s="285"/>
      <c r="O553" s="285"/>
      <c r="P553" s="282"/>
      <c r="Q553" s="278"/>
      <c r="R553" s="157"/>
      <c r="S553" s="11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</row>
    <row r="554" ht="14.25" customHeight="1">
      <c r="A554" s="5"/>
      <c r="B554" s="2"/>
      <c r="C554" s="5"/>
      <c r="D554" s="5"/>
      <c r="E554" s="75"/>
      <c r="F554" s="3"/>
      <c r="G554" s="3"/>
      <c r="H554" s="3"/>
      <c r="I554" s="3"/>
      <c r="J554" s="75"/>
      <c r="K554" s="5"/>
      <c r="L554" s="3"/>
      <c r="M554" s="47"/>
      <c r="N554" s="3"/>
      <c r="O554" s="3"/>
      <c r="P554" s="3"/>
      <c r="Q554" s="4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</row>
    <row r="555" ht="18.75" customHeight="1">
      <c r="A555" s="90"/>
      <c r="B555" s="6"/>
      <c r="C555" s="91"/>
      <c r="D555" s="79" t="s">
        <v>72</v>
      </c>
      <c r="E555" s="80" t="s">
        <v>13</v>
      </c>
      <c r="G555" s="81"/>
      <c r="H555" s="81"/>
      <c r="I555" s="81"/>
      <c r="J555" s="82"/>
      <c r="K555" s="83"/>
      <c r="L555" s="83"/>
      <c r="M555" s="93"/>
      <c r="N555" s="93"/>
      <c r="O555" s="93"/>
      <c r="P555" s="296"/>
      <c r="Q555" s="297"/>
      <c r="R555" s="298"/>
      <c r="S555" s="10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</row>
    <row r="556" ht="18.75" customHeight="1">
      <c r="A556" s="90"/>
      <c r="B556" s="6"/>
      <c r="C556" s="91"/>
      <c r="D556" s="306" t="s">
        <v>74</v>
      </c>
      <c r="E556" s="300" t="str">
        <f>IF(E421 = "", "", E421 - 1)</f>
        <v/>
      </c>
      <c r="F556" s="36"/>
      <c r="G556" s="301"/>
      <c r="H556" s="301"/>
      <c r="I556" s="301"/>
      <c r="J556" s="92"/>
      <c r="K556" s="93"/>
      <c r="L556" s="93"/>
      <c r="M556" s="93"/>
      <c r="N556" s="93"/>
      <c r="O556" s="93"/>
      <c r="P556" s="94"/>
      <c r="Q556" s="95"/>
      <c r="R556" s="96"/>
      <c r="S556" s="10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</row>
    <row r="557" ht="5.25" customHeight="1">
      <c r="A557" s="90"/>
      <c r="B557" s="6"/>
      <c r="C557" s="90"/>
      <c r="D557" s="97"/>
      <c r="E557" s="98"/>
      <c r="F557" s="99"/>
      <c r="G557" s="99"/>
      <c r="H557" s="99"/>
      <c r="I557" s="100"/>
      <c r="J557" s="101"/>
      <c r="K557" s="90"/>
      <c r="L557" s="102"/>
      <c r="M557" s="102"/>
      <c r="N557" s="102"/>
      <c r="O557" s="102"/>
      <c r="P557" s="103"/>
      <c r="Q557" s="4"/>
      <c r="R557" s="90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</row>
    <row r="558" ht="30.75" customHeight="1">
      <c r="A558" s="90"/>
      <c r="B558" s="6"/>
      <c r="C558" s="90"/>
      <c r="D558" s="202" t="s">
        <v>73</v>
      </c>
      <c r="E558" s="105" t="s">
        <v>15</v>
      </c>
      <c r="F558" s="106" t="s">
        <v>16</v>
      </c>
      <c r="G558" s="106" t="s">
        <v>17</v>
      </c>
      <c r="H558" s="107"/>
      <c r="I558" s="106" t="s">
        <v>18</v>
      </c>
      <c r="J558" s="108" t="s">
        <v>19</v>
      </c>
      <c r="L558" s="109" t="s">
        <v>20</v>
      </c>
      <c r="M558" s="110" t="s">
        <v>21</v>
      </c>
      <c r="N558" s="111" t="s">
        <v>22</v>
      </c>
      <c r="P558" s="112"/>
      <c r="Q558" s="113" t="s">
        <v>23</v>
      </c>
      <c r="R558" s="114" t="s">
        <v>24</v>
      </c>
      <c r="S558" s="11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</row>
    <row r="559" ht="14.25" customHeight="1">
      <c r="A559" s="90"/>
      <c r="B559" s="6"/>
      <c r="C559" s="90"/>
      <c r="D559" s="116" t="s">
        <v>25</v>
      </c>
      <c r="E559" s="117" t="s">
        <v>26</v>
      </c>
      <c r="H559" s="107"/>
      <c r="N559" s="111" t="s">
        <v>27</v>
      </c>
      <c r="O559" s="111" t="s">
        <v>28</v>
      </c>
      <c r="P559" s="112" t="s">
        <v>29</v>
      </c>
      <c r="R559" s="118" t="s">
        <v>30</v>
      </c>
      <c r="S559" s="11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</row>
    <row r="560" ht="3.75" customHeight="1">
      <c r="A560" s="90"/>
      <c r="B560" s="6"/>
      <c r="C560" s="90"/>
      <c r="D560" s="97"/>
      <c r="E560" s="98"/>
      <c r="F560" s="99"/>
      <c r="G560" s="99"/>
      <c r="H560" s="99"/>
      <c r="I560" s="100"/>
      <c r="J560" s="302"/>
      <c r="K560" s="90"/>
      <c r="L560" s="102"/>
      <c r="M560" s="121"/>
      <c r="N560" s="102"/>
      <c r="O560" s="102"/>
      <c r="P560" s="122"/>
      <c r="Q560" s="4"/>
      <c r="R560" s="123"/>
      <c r="S560" s="11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</row>
    <row r="561" ht="15.75" customHeight="1">
      <c r="A561" s="124"/>
      <c r="B561" s="6"/>
      <c r="C561" s="124"/>
      <c r="D561" s="125" t="s">
        <v>31</v>
      </c>
      <c r="E561" s="126"/>
      <c r="F561" s="127">
        <v>2.0</v>
      </c>
      <c r="G561" s="128">
        <v>45942.0</v>
      </c>
      <c r="H561" s="129"/>
      <c r="I561" s="130"/>
      <c r="J561" s="131">
        <v>45815.0</v>
      </c>
      <c r="K561" s="132"/>
      <c r="L561" s="133"/>
      <c r="M561" s="134" t="str">
        <f>I426</f>
        <v/>
      </c>
      <c r="N561" s="135" t="str">
        <f>iferror(mround($P426*((VLOOKUP($J561,Sheet1!$D:$N,$G561+1,FALSE)-0.03)),2.5)," ")</f>
        <v> </v>
      </c>
      <c r="O561" s="135" t="str">
        <f>iferror(mround($P426*((VLOOKUP($J561,Sheet1!$D:$N,$G561+1,FALSE)+0.02)),2.5)," ")</f>
        <v> </v>
      </c>
      <c r="P561" s="56" t="str">
        <f>iferror(mround(I561/VLOOKUP(L561,Sheet1!$D$7:$N$16,G561+1,FALSE),2.5),"")</f>
        <v/>
      </c>
      <c r="Q561" s="303" t="str">
        <f t="shared" ref="Q561:Q582" si="16">IF(OR(ISBLANK(I561), ISBLANK(I426)), "", IF(I561 - I426 = 0, "", I561 - I426))</f>
        <v/>
      </c>
      <c r="S561" s="11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</row>
    <row r="562" ht="3.75" customHeight="1">
      <c r="A562" s="137"/>
      <c r="B562" s="70"/>
      <c r="C562" s="137"/>
      <c r="D562" s="138"/>
      <c r="E562" s="139"/>
      <c r="F562" s="140"/>
      <c r="G562" s="140"/>
      <c r="H562" s="140"/>
      <c r="I562" s="140"/>
      <c r="J562" s="141"/>
      <c r="K562" s="142"/>
      <c r="L562" s="143"/>
      <c r="M562" s="144"/>
      <c r="N562" s="145"/>
      <c r="O562" s="145"/>
      <c r="P562" s="122"/>
      <c r="Q562" s="304" t="str">
        <f t="shared" si="16"/>
        <v/>
      </c>
      <c r="S562" s="147"/>
      <c r="T562" s="148"/>
      <c r="U562" s="148"/>
      <c r="V562" s="148"/>
      <c r="W562" s="148"/>
      <c r="X562" s="148"/>
      <c r="Y562" s="148"/>
      <c r="Z562" s="148"/>
      <c r="AA562" s="148"/>
      <c r="AB562" s="148"/>
      <c r="AC562" s="148"/>
      <c r="AD562" s="148"/>
      <c r="AE562" s="148"/>
      <c r="AF562" s="148"/>
      <c r="AG562" s="148"/>
    </row>
    <row r="563" ht="15.75" customHeight="1">
      <c r="A563" s="149"/>
      <c r="B563" s="150"/>
      <c r="C563" s="149"/>
      <c r="D563" s="125" t="s">
        <v>32</v>
      </c>
      <c r="E563" s="126"/>
      <c r="F563" s="127">
        <v>2.0</v>
      </c>
      <c r="G563" s="128">
        <v>45942.0</v>
      </c>
      <c r="H563" s="129"/>
      <c r="I563" s="130"/>
      <c r="J563" s="151">
        <v>6.0</v>
      </c>
      <c r="K563" s="132"/>
      <c r="L563" s="133"/>
      <c r="M563" s="134" t="str">
        <f>I428</f>
        <v/>
      </c>
      <c r="N563" s="135" t="str">
        <f>iferror(mround($P428*((VLOOKUP($J563,Sheet1!$D:$N,$G563+1,FALSE)-0.03)),2.5)," ")</f>
        <v> </v>
      </c>
      <c r="O563" s="135" t="str">
        <f>iferror(mround($P428*((VLOOKUP($J563,Sheet1!$D:$N,$G563+1,FALSE)+0.02)),2.5)," ")</f>
        <v> </v>
      </c>
      <c r="P563" s="56" t="str">
        <f>iferror(mround(I563/VLOOKUP(L563,Sheet1!$D$7:$N$16,G563+1,FALSE),2.5),"")</f>
        <v/>
      </c>
      <c r="Q563" s="303" t="str">
        <f t="shared" si="16"/>
        <v/>
      </c>
      <c r="S563" s="11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</row>
    <row r="564" ht="3.75" customHeight="1">
      <c r="A564" s="152"/>
      <c r="B564" s="150"/>
      <c r="C564" s="153"/>
      <c r="D564" s="138"/>
      <c r="E564" s="154"/>
      <c r="F564" s="155"/>
      <c r="G564" s="102"/>
      <c r="H564" s="102"/>
      <c r="I564" s="102"/>
      <c r="J564" s="156"/>
      <c r="K564" s="142"/>
      <c r="L564" s="143"/>
      <c r="M564" s="144"/>
      <c r="N564" s="145"/>
      <c r="O564" s="145"/>
      <c r="P564" s="122"/>
      <c r="Q564" s="304" t="str">
        <f t="shared" si="16"/>
        <v/>
      </c>
      <c r="S564" s="157"/>
      <c r="T564" s="5"/>
      <c r="U564" s="5"/>
      <c r="V564" s="158"/>
      <c r="W564" s="158"/>
      <c r="X564" s="158"/>
      <c r="Y564" s="158"/>
      <c r="Z564" s="158"/>
      <c r="AA564" s="158"/>
      <c r="AB564" s="158"/>
      <c r="AC564" s="158"/>
      <c r="AD564" s="158"/>
      <c r="AE564" s="158"/>
      <c r="AF564" s="158"/>
      <c r="AG564" s="158"/>
    </row>
    <row r="565" ht="15.75" customHeight="1">
      <c r="A565" s="149"/>
      <c r="B565" s="150"/>
      <c r="C565" s="149"/>
      <c r="D565" s="159" t="s">
        <v>33</v>
      </c>
      <c r="E565" s="160" t="s">
        <v>34</v>
      </c>
      <c r="F565" s="127">
        <v>1.0</v>
      </c>
      <c r="G565" s="161">
        <v>5.0</v>
      </c>
      <c r="H565" s="129"/>
      <c r="I565" s="130"/>
      <c r="J565" s="151">
        <v>7.0</v>
      </c>
      <c r="K565" s="132"/>
      <c r="L565" s="133"/>
      <c r="M565" s="134" t="str">
        <f>I430</f>
        <v/>
      </c>
      <c r="N565" s="135">
        <f>iferror(mround($P430*((VLOOKUP($J565,Sheet1!$D:$N,$G565+1,FALSE)-0.03)),2.5)," ")</f>
        <v>0</v>
      </c>
      <c r="O565" s="135">
        <f>iferror(mround($P430*((VLOOKUP($J565,Sheet1!$D:$N,$G565+1,FALSE)+0.02)),2.5)," ")</f>
        <v>0</v>
      </c>
      <c r="P565" s="56" t="str">
        <f>iferror(mround(I565/VLOOKUP(L565,Sheet1!$D$7:$N$16,G565+1,FALSE),2.5),"")</f>
        <v/>
      </c>
      <c r="Q565" s="303" t="str">
        <f t="shared" si="16"/>
        <v/>
      </c>
      <c r="S565" s="11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</row>
    <row r="566" ht="3.75" customHeight="1">
      <c r="A566" s="162"/>
      <c r="B566" s="163"/>
      <c r="C566" s="162"/>
      <c r="D566" s="138"/>
      <c r="E566" s="139"/>
      <c r="F566" s="140"/>
      <c r="G566" s="140"/>
      <c r="H566" s="140"/>
      <c r="I566" s="140"/>
      <c r="J566" s="141"/>
      <c r="K566" s="142"/>
      <c r="L566" s="143"/>
      <c r="M566" s="144"/>
      <c r="N566" s="145"/>
      <c r="O566" s="145"/>
      <c r="P566" s="122"/>
      <c r="Q566" s="304" t="str">
        <f t="shared" si="16"/>
        <v/>
      </c>
      <c r="S566" s="147"/>
      <c r="T566" s="148"/>
      <c r="U566" s="148"/>
      <c r="V566" s="148"/>
      <c r="W566" s="148"/>
      <c r="X566" s="148"/>
      <c r="Y566" s="148"/>
      <c r="Z566" s="148"/>
      <c r="AA566" s="148"/>
      <c r="AB566" s="148"/>
      <c r="AC566" s="148"/>
      <c r="AD566" s="148"/>
      <c r="AE566" s="148"/>
      <c r="AF566" s="148"/>
      <c r="AG566" s="148"/>
    </row>
    <row r="567" ht="15.75" customHeight="1">
      <c r="A567" s="149"/>
      <c r="B567" s="150"/>
      <c r="C567" s="149"/>
      <c r="D567" s="159" t="s">
        <v>33</v>
      </c>
      <c r="E567" s="160" t="s">
        <v>34</v>
      </c>
      <c r="F567" s="127">
        <v>1.0</v>
      </c>
      <c r="G567" s="161">
        <v>5.0</v>
      </c>
      <c r="H567" s="129"/>
      <c r="I567" s="164">
        <f>MROUND(I565*(1+J567),5)</f>
        <v>0</v>
      </c>
      <c r="J567" s="165">
        <v>-0.1</v>
      </c>
      <c r="K567" s="132"/>
      <c r="L567" s="133"/>
      <c r="M567" s="134">
        <f>I432</f>
        <v>0</v>
      </c>
      <c r="N567" s="135" t="str">
        <f>iferror(mround($P432*((VLOOKUP($J567,Sheet1!$D:$N,$G567+1,FALSE)-0.03)),2.5)," ")</f>
        <v> </v>
      </c>
      <c r="O567" s="135" t="str">
        <f>iferror(mround($P432*((VLOOKUP($J567,Sheet1!$D:$N,$G567+1,FALSE)+0.02)),2.5)," ")</f>
        <v> </v>
      </c>
      <c r="P567" s="56" t="str">
        <f>iferror(mround(I567/VLOOKUP(L567,Sheet1!$D$7:$N$16,G567+1,FALSE),2.5),"")</f>
        <v/>
      </c>
      <c r="Q567" s="303" t="str">
        <f t="shared" si="16"/>
        <v/>
      </c>
      <c r="S567" s="11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</row>
    <row r="568" ht="3.75" customHeight="1">
      <c r="A568" s="162"/>
      <c r="B568" s="163"/>
      <c r="C568" s="162"/>
      <c r="D568" s="138"/>
      <c r="E568" s="139"/>
      <c r="F568" s="102"/>
      <c r="G568" s="102"/>
      <c r="H568" s="102"/>
      <c r="I568" s="102"/>
      <c r="J568" s="156"/>
      <c r="K568" s="142"/>
      <c r="L568" s="143"/>
      <c r="M568" s="144"/>
      <c r="N568" s="145"/>
      <c r="O568" s="145"/>
      <c r="P568" s="122"/>
      <c r="Q568" s="304" t="str">
        <f t="shared" si="16"/>
        <v/>
      </c>
      <c r="S568" s="147"/>
      <c r="T568" s="148"/>
      <c r="U568" s="148"/>
      <c r="V568" s="148"/>
      <c r="W568" s="148"/>
      <c r="X568" s="148"/>
      <c r="Y568" s="148"/>
      <c r="Z568" s="148"/>
      <c r="AA568" s="148"/>
      <c r="AB568" s="148"/>
      <c r="AC568" s="148"/>
      <c r="AD568" s="148"/>
      <c r="AE568" s="148"/>
      <c r="AF568" s="148"/>
      <c r="AG568" s="148"/>
    </row>
    <row r="569" ht="15.75" customHeight="1">
      <c r="A569" s="90"/>
      <c r="B569" s="6"/>
      <c r="C569" s="90"/>
      <c r="D569" s="166" t="s">
        <v>35</v>
      </c>
      <c r="E569" s="167" t="s">
        <v>36</v>
      </c>
      <c r="F569" s="127">
        <v>1.0</v>
      </c>
      <c r="G569" s="161">
        <v>6.0</v>
      </c>
      <c r="H569" s="129"/>
      <c r="I569" s="130"/>
      <c r="J569" s="151">
        <v>7.0</v>
      </c>
      <c r="K569" s="132"/>
      <c r="L569" s="133"/>
      <c r="M569" s="134" t="str">
        <f>I434</f>
        <v/>
      </c>
      <c r="N569" s="135">
        <f>iferror(mround($P434*((VLOOKUP($J569,Sheet1!$D:$N,$G569+1,FALSE)-0.03)),2.5)," ")</f>
        <v>0</v>
      </c>
      <c r="O569" s="135">
        <f>iferror(mround($P434*((VLOOKUP($J569,Sheet1!$D:$N,$G569+1,FALSE)+0.02)),2.5)," ")</f>
        <v>0</v>
      </c>
      <c r="P569" s="56" t="str">
        <f>iferror(mround(I569/VLOOKUP(L569,Sheet1!$D$7:$N$16,G569+1,FALSE),2.5),"")</f>
        <v/>
      </c>
      <c r="Q569" s="303" t="str">
        <f t="shared" si="16"/>
        <v/>
      </c>
      <c r="S569" s="11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</row>
    <row r="570" ht="3.75" customHeight="1">
      <c r="A570" s="168"/>
      <c r="B570" s="70"/>
      <c r="C570" s="168"/>
      <c r="D570" s="138"/>
      <c r="E570" s="139"/>
      <c r="F570" s="102"/>
      <c r="G570" s="102"/>
      <c r="H570" s="102"/>
      <c r="I570" s="102"/>
      <c r="J570" s="156"/>
      <c r="K570" s="142"/>
      <c r="L570" s="143"/>
      <c r="M570" s="144"/>
      <c r="N570" s="145"/>
      <c r="O570" s="145"/>
      <c r="P570" s="122"/>
      <c r="Q570" s="304" t="str">
        <f t="shared" si="16"/>
        <v/>
      </c>
      <c r="S570" s="147"/>
      <c r="T570" s="148"/>
      <c r="U570" s="148"/>
      <c r="V570" s="148"/>
      <c r="W570" s="148"/>
      <c r="X570" s="148"/>
      <c r="Y570" s="148"/>
      <c r="Z570" s="148"/>
      <c r="AA570" s="148"/>
      <c r="AB570" s="148"/>
      <c r="AC570" s="148"/>
      <c r="AD570" s="148"/>
      <c r="AE570" s="148"/>
      <c r="AF570" s="148"/>
      <c r="AG570" s="148"/>
    </row>
    <row r="571" ht="15.75" customHeight="1">
      <c r="A571" s="90"/>
      <c r="B571" s="6"/>
      <c r="C571" s="90"/>
      <c r="D571" s="166" t="s">
        <v>37</v>
      </c>
      <c r="E571" s="167" t="s">
        <v>38</v>
      </c>
      <c r="F571" s="127">
        <v>2.0</v>
      </c>
      <c r="G571" s="169">
        <v>45942.0</v>
      </c>
      <c r="H571" s="129"/>
      <c r="I571" s="130"/>
      <c r="J571" s="151">
        <v>8.0</v>
      </c>
      <c r="K571" s="170"/>
      <c r="L571" s="133"/>
      <c r="M571" s="134" t="str">
        <f>I436</f>
        <v/>
      </c>
      <c r="N571" s="135" t="str">
        <f>iferror(mround($P436*((VLOOKUP($J571,Sheet1!$D:$N,$G571+1,FALSE)-0.03)),2.5)," ")</f>
        <v> </v>
      </c>
      <c r="O571" s="135" t="str">
        <f>iferror(mround($P436*((VLOOKUP($J571,Sheet1!$D:$N,$G571+1,FALSE)+0.02)),2.5)," ")</f>
        <v> </v>
      </c>
      <c r="P571" s="56" t="str">
        <f>iferror(mround(I571/VLOOKUP(L571,Sheet1!$D$7:$N$16,G571+1,FALSE),2.5),"")</f>
        <v/>
      </c>
      <c r="Q571" s="303" t="str">
        <f t="shared" si="16"/>
        <v/>
      </c>
      <c r="S571" s="11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</row>
    <row r="572" ht="3.75" customHeight="1">
      <c r="A572" s="90"/>
      <c r="B572" s="6"/>
      <c r="C572" s="90"/>
      <c r="D572" s="171"/>
      <c r="E572" s="172"/>
      <c r="F572" s="173"/>
      <c r="G572" s="173"/>
      <c r="H572" s="173"/>
      <c r="I572" s="173"/>
      <c r="J572" s="174"/>
      <c r="K572" s="142"/>
      <c r="L572" s="143"/>
      <c r="M572" s="144"/>
      <c r="N572" s="145"/>
      <c r="O572" s="145"/>
      <c r="P572" s="122"/>
      <c r="Q572" s="304" t="str">
        <f t="shared" si="16"/>
        <v/>
      </c>
      <c r="S572" s="11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</row>
    <row r="573" ht="15.75" customHeight="1">
      <c r="A573" s="90"/>
      <c r="B573" s="6"/>
      <c r="C573" s="90"/>
      <c r="D573" s="166" t="s">
        <v>39</v>
      </c>
      <c r="E573" s="160"/>
      <c r="F573" s="127">
        <v>2.0</v>
      </c>
      <c r="G573" s="161" t="s">
        <v>16</v>
      </c>
      <c r="H573" s="129"/>
      <c r="I573" s="130"/>
      <c r="J573" s="151">
        <v>8.0</v>
      </c>
      <c r="K573" s="132"/>
      <c r="L573" s="133"/>
      <c r="M573" s="134" t="str">
        <f>I438</f>
        <v/>
      </c>
      <c r="N573" s="135" t="str">
        <f>iferror(mround($P438*((VLOOKUP($J573,Sheet1!$D:$N,$G573+1,FALSE)-0.03)),2.5)," ")</f>
        <v> </v>
      </c>
      <c r="O573" s="135" t="str">
        <f>iferror(mround($P438*((VLOOKUP($J573,Sheet1!$D:$N,$G573+1,FALSE)+0.02)),2.5)," ")</f>
        <v> </v>
      </c>
      <c r="P573" s="56" t="str">
        <f>iferror(mround(I573/VLOOKUP(L573,Sheet1!$D$7:$N$16,G573+1,FALSE),2.5),"")</f>
        <v/>
      </c>
      <c r="Q573" s="303" t="str">
        <f t="shared" si="16"/>
        <v/>
      </c>
      <c r="S573" s="11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</row>
    <row r="574" ht="3.75" customHeight="1">
      <c r="A574" s="90"/>
      <c r="B574" s="6"/>
      <c r="C574" s="90"/>
      <c r="D574" s="171"/>
      <c r="E574" s="172"/>
      <c r="F574" s="173"/>
      <c r="G574" s="173"/>
      <c r="H574" s="173"/>
      <c r="I574" s="173"/>
      <c r="J574" s="174"/>
      <c r="K574" s="142"/>
      <c r="L574" s="143"/>
      <c r="M574" s="144"/>
      <c r="N574" s="145"/>
      <c r="O574" s="145"/>
      <c r="P574" s="122"/>
      <c r="Q574" s="304" t="str">
        <f t="shared" si="16"/>
        <v/>
      </c>
      <c r="S574" s="11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</row>
    <row r="575" ht="15.75" customHeight="1">
      <c r="A575" s="90"/>
      <c r="B575" s="6"/>
      <c r="C575" s="90"/>
      <c r="D575" s="175" t="s">
        <v>40</v>
      </c>
      <c r="E575" s="176"/>
      <c r="F575" s="177">
        <v>3.0</v>
      </c>
      <c r="G575" s="178" t="s">
        <v>41</v>
      </c>
      <c r="H575" s="179"/>
      <c r="I575" s="180"/>
      <c r="J575" s="181">
        <v>8.0</v>
      </c>
      <c r="K575" s="182"/>
      <c r="L575" s="183"/>
      <c r="M575" s="134" t="str">
        <f>I440</f>
        <v/>
      </c>
      <c r="N575" s="135" t="str">
        <f>iferror(mround($P440*((VLOOKUP($J575,Sheet1!$D:$N,$G575+1,FALSE)-0.03)),2.5)," ")</f>
        <v> </v>
      </c>
      <c r="O575" s="135" t="str">
        <f>iferror(mround($P440*((VLOOKUP($J575,Sheet1!$D:$N,$G575+1,FALSE)+0.02)),2.5)," ")</f>
        <v> </v>
      </c>
      <c r="P575" s="56" t="str">
        <f>iferror(mround(I575/VLOOKUP(L575,Sheet1!$D$7:$N$16,G575+1,FALSE),2.5),"")</f>
        <v/>
      </c>
      <c r="Q575" s="303" t="str">
        <f t="shared" si="16"/>
        <v/>
      </c>
      <c r="S575" s="11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</row>
    <row r="576" ht="3.75" customHeight="1">
      <c r="A576" s="90"/>
      <c r="B576" s="6"/>
      <c r="C576" s="90"/>
      <c r="D576" s="138"/>
      <c r="E576" s="184"/>
      <c r="F576" s="102"/>
      <c r="G576" s="102"/>
      <c r="H576" s="102"/>
      <c r="I576" s="102"/>
      <c r="J576" s="156"/>
      <c r="K576" s="103"/>
      <c r="L576" s="143"/>
      <c r="M576" s="144"/>
      <c r="N576" s="145"/>
      <c r="O576" s="145"/>
      <c r="P576" s="122"/>
      <c r="Q576" s="304" t="str">
        <f t="shared" si="16"/>
        <v/>
      </c>
      <c r="S576" s="11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</row>
    <row r="577" ht="15.75" hidden="1" customHeight="1">
      <c r="A577" s="90"/>
      <c r="B577" s="6"/>
      <c r="C577" s="90"/>
      <c r="D577" s="185"/>
      <c r="E577" s="186"/>
      <c r="F577" s="187"/>
      <c r="G577" s="188"/>
      <c r="H577" s="129"/>
      <c r="I577" s="164"/>
      <c r="J577" s="189"/>
      <c r="K577" s="190"/>
      <c r="L577" s="183"/>
      <c r="M577" s="134" t="str">
        <f>I442</f>
        <v/>
      </c>
      <c r="N577" s="135" t="str">
        <f>iferror(mround($P442*((VLOOKUP($J577,Sheet1!$D:$N,$G577+1,FALSE)-0.03)),2.5)," ")</f>
        <v> </v>
      </c>
      <c r="O577" s="135" t="str">
        <f>iferror(mround($P442*((VLOOKUP($J577,Sheet1!$D:$N,$G577+1,FALSE)+0.02)),2.5)," ")</f>
        <v> </v>
      </c>
      <c r="P577" s="56" t="str">
        <f>iferror(mround(I577/VLOOKUP(L577,Sheet1!$D$7:$N$16,G577+1,FALSE),2.5),"")</f>
        <v/>
      </c>
      <c r="Q577" s="303" t="str">
        <f t="shared" si="16"/>
        <v/>
      </c>
      <c r="S577" s="11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</row>
    <row r="578" ht="3.75" hidden="1" customHeight="1">
      <c r="A578" s="191"/>
      <c r="B578" s="6"/>
      <c r="C578" s="192"/>
      <c r="D578" s="138"/>
      <c r="E578" s="193"/>
      <c r="F578" s="194"/>
      <c r="G578" s="155"/>
      <c r="H578" s="102"/>
      <c r="I578" s="102"/>
      <c r="J578" s="156"/>
      <c r="K578" s="103"/>
      <c r="L578" s="143"/>
      <c r="M578" s="144"/>
      <c r="N578" s="145"/>
      <c r="O578" s="145"/>
      <c r="P578" s="122"/>
      <c r="Q578" s="304" t="str">
        <f t="shared" si="16"/>
        <v/>
      </c>
      <c r="S578" s="157"/>
      <c r="T578" s="5"/>
      <c r="U578" s="5"/>
      <c r="V578" s="158"/>
      <c r="W578" s="158"/>
      <c r="X578" s="158"/>
      <c r="Y578" s="158"/>
      <c r="Z578" s="158"/>
      <c r="AA578" s="158"/>
      <c r="AB578" s="158"/>
      <c r="AC578" s="158"/>
      <c r="AD578" s="158"/>
      <c r="AE578" s="158"/>
      <c r="AF578" s="158"/>
      <c r="AG578" s="158"/>
    </row>
    <row r="579" ht="15.75" hidden="1" customHeight="1">
      <c r="A579" s="90"/>
      <c r="B579" s="6"/>
      <c r="C579" s="90"/>
      <c r="D579" s="185"/>
      <c r="E579" s="186"/>
      <c r="F579" s="187"/>
      <c r="G579" s="195"/>
      <c r="H579" s="129"/>
      <c r="I579" s="164"/>
      <c r="J579" s="189"/>
      <c r="K579" s="190"/>
      <c r="L579" s="183"/>
      <c r="M579" s="134" t="str">
        <f>I444</f>
        <v/>
      </c>
      <c r="N579" s="135" t="str">
        <f>iferror(mround($P444*((VLOOKUP($J579,Sheet1!$D:$N,$G579+1,FALSE)-0.03)),2.5)," ")</f>
        <v> </v>
      </c>
      <c r="O579" s="135" t="str">
        <f>iferror(mround($P444*((VLOOKUP($J579,Sheet1!$D:$N,$G579+1,FALSE)+0.02)),2.5)," ")</f>
        <v> </v>
      </c>
      <c r="P579" s="56" t="str">
        <f>iferror(mround(I579/VLOOKUP(L579,Sheet1!$D$7:$N$16,G579+1,FALSE),2.5),"")</f>
        <v/>
      </c>
      <c r="Q579" s="303" t="str">
        <f t="shared" si="16"/>
        <v/>
      </c>
      <c r="S579" s="11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</row>
    <row r="580" ht="3.75" hidden="1" customHeight="1">
      <c r="A580" s="90"/>
      <c r="B580" s="6"/>
      <c r="C580" s="90"/>
      <c r="D580" s="196"/>
      <c r="E580" s="184"/>
      <c r="F580" s="102"/>
      <c r="G580" s="102"/>
      <c r="H580" s="102"/>
      <c r="I580" s="102"/>
      <c r="J580" s="156"/>
      <c r="K580" s="103"/>
      <c r="L580" s="143"/>
      <c r="M580" s="144"/>
      <c r="N580" s="145"/>
      <c r="O580" s="145"/>
      <c r="P580" s="122"/>
      <c r="Q580" s="304" t="str">
        <f t="shared" si="16"/>
        <v/>
      </c>
      <c r="S580" s="11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</row>
    <row r="581" ht="15.75" hidden="1" customHeight="1">
      <c r="A581" s="90"/>
      <c r="B581" s="6"/>
      <c r="C581" s="90"/>
      <c r="D581" s="197"/>
      <c r="E581" s="198"/>
      <c r="F581" s="199"/>
      <c r="G581" s="195"/>
      <c r="H581" s="129"/>
      <c r="I581" s="164"/>
      <c r="J581" s="189"/>
      <c r="K581" s="190"/>
      <c r="L581" s="183"/>
      <c r="M581" s="134" t="str">
        <f>I446</f>
        <v/>
      </c>
      <c r="N581" s="135" t="str">
        <f>iferror(mround($P446*((VLOOKUP($J581,Sheet1!$D:$N,$G581+1,FALSE)-0.03)),2.5)," ")</f>
        <v> </v>
      </c>
      <c r="O581" s="135" t="str">
        <f>iferror(mround($P446*((VLOOKUP($J581,Sheet1!$D:$N,$G581+1,FALSE)+0.02)),2.5)," ")</f>
        <v> </v>
      </c>
      <c r="P581" s="56" t="str">
        <f>iferror(mround(I581/VLOOKUP(L581,Sheet1!$D$7:$N$16,G581+1,FALSE),2.5),"")</f>
        <v/>
      </c>
      <c r="Q581" s="303" t="str">
        <f t="shared" si="16"/>
        <v/>
      </c>
      <c r="S581" s="11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</row>
    <row r="582" ht="3.75" hidden="1" customHeight="1">
      <c r="A582" s="90"/>
      <c r="B582" s="6"/>
      <c r="C582" s="90"/>
      <c r="D582" s="90"/>
      <c r="E582" s="156"/>
      <c r="F582" s="102"/>
      <c r="G582" s="102"/>
      <c r="H582" s="102"/>
      <c r="I582" s="102"/>
      <c r="J582" s="156"/>
      <c r="K582" s="200"/>
      <c r="L582" s="201"/>
      <c r="M582" s="144"/>
      <c r="N582" s="47"/>
      <c r="O582" s="47"/>
      <c r="P582" s="122"/>
      <c r="Q582" s="304" t="str">
        <f t="shared" si="16"/>
        <v/>
      </c>
      <c r="S582" s="11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</row>
    <row r="583" ht="30.0" customHeight="1">
      <c r="A583" s="90"/>
      <c r="B583" s="6"/>
      <c r="C583" s="90"/>
      <c r="D583" s="202" t="s">
        <v>42</v>
      </c>
      <c r="E583" s="105" t="s">
        <v>15</v>
      </c>
      <c r="F583" s="106" t="s">
        <v>16</v>
      </c>
      <c r="G583" s="106" t="s">
        <v>17</v>
      </c>
      <c r="H583" s="107"/>
      <c r="I583" s="106" t="s">
        <v>18</v>
      </c>
      <c r="J583" s="108" t="s">
        <v>19</v>
      </c>
      <c r="L583" s="109" t="s">
        <v>20</v>
      </c>
      <c r="M583" s="110" t="s">
        <v>21</v>
      </c>
      <c r="N583" s="111" t="s">
        <v>22</v>
      </c>
      <c r="P583" s="112"/>
      <c r="Q583" s="113" t="s">
        <v>23</v>
      </c>
      <c r="R583" s="114" t="s">
        <v>43</v>
      </c>
      <c r="S583" s="11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</row>
    <row r="584" ht="14.25" customHeight="1">
      <c r="A584" s="90"/>
      <c r="B584" s="6"/>
      <c r="C584" s="90"/>
      <c r="D584" s="116" t="s">
        <v>25</v>
      </c>
      <c r="E584" s="117" t="s">
        <v>26</v>
      </c>
      <c r="H584" s="107"/>
      <c r="N584" s="111" t="s">
        <v>27</v>
      </c>
      <c r="O584" s="111" t="s">
        <v>28</v>
      </c>
      <c r="P584" s="112" t="s">
        <v>29</v>
      </c>
      <c r="R584" s="118" t="s">
        <v>30</v>
      </c>
      <c r="S584" s="11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</row>
    <row r="585" ht="3.75" customHeight="1">
      <c r="A585" s="191"/>
      <c r="B585" s="6"/>
      <c r="C585" s="192"/>
      <c r="D585" s="203"/>
      <c r="E585" s="204"/>
      <c r="F585" s="205"/>
      <c r="G585" s="205"/>
      <c r="H585" s="206"/>
      <c r="I585" s="207"/>
      <c r="J585" s="208"/>
      <c r="K585" s="209"/>
      <c r="L585" s="210"/>
      <c r="M585" s="211"/>
      <c r="N585" s="47"/>
      <c r="O585" s="47"/>
      <c r="P585" s="122"/>
      <c r="Q585" s="304" t="str">
        <f t="shared" ref="Q585:Q607" si="17">IF(OR(ISBLANK(I585), ISBLANK(I450)), "", IF(I585 - I450 = 0, "", I585 - I450))</f>
        <v/>
      </c>
      <c r="R585" s="212"/>
      <c r="S585" s="157"/>
      <c r="T585" s="5"/>
      <c r="U585" s="5"/>
      <c r="V585" s="158"/>
      <c r="W585" s="158"/>
      <c r="X585" s="158"/>
      <c r="Y585" s="158"/>
      <c r="Z585" s="158"/>
      <c r="AA585" s="158"/>
      <c r="AB585" s="158"/>
      <c r="AC585" s="158"/>
      <c r="AD585" s="158"/>
      <c r="AE585" s="158"/>
      <c r="AF585" s="158"/>
      <c r="AG585" s="158"/>
    </row>
    <row r="586" ht="15.75" customHeight="1">
      <c r="A586" s="124"/>
      <c r="B586" s="6"/>
      <c r="C586" s="124"/>
      <c r="D586" s="159" t="s">
        <v>33</v>
      </c>
      <c r="E586" s="167"/>
      <c r="F586" s="127">
        <v>1.0</v>
      </c>
      <c r="G586" s="127">
        <v>2.0</v>
      </c>
      <c r="H586" s="195"/>
      <c r="I586" s="130"/>
      <c r="J586" s="151">
        <v>7.5</v>
      </c>
      <c r="K586" s="213"/>
      <c r="L586" s="133"/>
      <c r="M586" s="134" t="str">
        <f>I451</f>
        <v/>
      </c>
      <c r="N586" s="135">
        <f>iferror(mround($P451*((VLOOKUP($J586,Sheet1!$D:$N,$G586+1,FALSE)-0.03)),2.5)," ")</f>
        <v>0</v>
      </c>
      <c r="O586" s="135">
        <f>iferror(mround($P451*((VLOOKUP($J586,Sheet1!$D:$N,$G586+1,FALSE)+0.02)),2.5)," ")</f>
        <v>0</v>
      </c>
      <c r="P586" s="112" t="str">
        <f>iferror(mround(I586/VLOOKUP(L586,Sheet1!$D$7:$N$16,G586+1,FALSE),2.5),"")</f>
        <v/>
      </c>
      <c r="Q586" s="303" t="str">
        <f t="shared" si="17"/>
        <v/>
      </c>
      <c r="R586" s="214"/>
      <c r="S586" s="11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</row>
    <row r="587" ht="3.75" customHeight="1">
      <c r="A587" s="124"/>
      <c r="B587" s="6"/>
      <c r="C587" s="124"/>
      <c r="D587" s="138"/>
      <c r="E587" s="215"/>
      <c r="F587" s="102"/>
      <c r="G587" s="102"/>
      <c r="H587" s="102"/>
      <c r="I587" s="102"/>
      <c r="J587" s="216"/>
      <c r="K587" s="217"/>
      <c r="L587" s="218"/>
      <c r="M587" s="144"/>
      <c r="N587" s="145"/>
      <c r="O587" s="145"/>
      <c r="P587" s="122"/>
      <c r="Q587" s="304" t="str">
        <f t="shared" si="17"/>
        <v/>
      </c>
      <c r="R587" s="214"/>
      <c r="S587" s="11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</row>
    <row r="588" ht="15.75" customHeight="1">
      <c r="A588" s="90"/>
      <c r="B588" s="6"/>
      <c r="C588" s="90"/>
      <c r="D588" s="159" t="s">
        <v>33</v>
      </c>
      <c r="E588" s="167"/>
      <c r="F588" s="127">
        <v>2.0</v>
      </c>
      <c r="G588" s="161">
        <v>5.0</v>
      </c>
      <c r="H588" s="195"/>
      <c r="I588" s="130"/>
      <c r="J588" s="151">
        <v>7.0</v>
      </c>
      <c r="K588" s="219"/>
      <c r="L588" s="133"/>
      <c r="M588" s="134" t="str">
        <f>I453</f>
        <v/>
      </c>
      <c r="N588" s="135">
        <f>iferror(mround($P453*((VLOOKUP($J588,Sheet1!$D:$N,$G588+1,FALSE)-0.03)),2.5)," ")</f>
        <v>0</v>
      </c>
      <c r="O588" s="135">
        <f>iferror(mround($P453*((VLOOKUP($J588,Sheet1!$D:$N,$G588+1,FALSE)+0.02)),2.5)," ")</f>
        <v>0</v>
      </c>
      <c r="P588" s="112" t="str">
        <f>iferror(mround(I588/VLOOKUP(L588,Sheet1!$D$7:$N$16,G588+1,FALSE),2.5),"")</f>
        <v/>
      </c>
      <c r="Q588" s="303" t="str">
        <f t="shared" si="17"/>
        <v/>
      </c>
      <c r="R588" s="214"/>
      <c r="S588" s="11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</row>
    <row r="589" ht="3.75" customHeight="1">
      <c r="A589" s="90"/>
      <c r="B589" s="6"/>
      <c r="C589" s="90"/>
      <c r="D589" s="138"/>
      <c r="E589" s="215"/>
      <c r="F589" s="102"/>
      <c r="G589" s="102"/>
      <c r="H589" s="102"/>
      <c r="I589" s="102"/>
      <c r="J589" s="156"/>
      <c r="K589" s="217"/>
      <c r="L589" s="218"/>
      <c r="M589" s="144"/>
      <c r="N589" s="145"/>
      <c r="O589" s="145"/>
      <c r="P589" s="122"/>
      <c r="Q589" s="304" t="str">
        <f t="shared" si="17"/>
        <v/>
      </c>
      <c r="R589" s="214"/>
      <c r="S589" s="11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</row>
    <row r="590" ht="15.75" customHeight="1">
      <c r="A590" s="90"/>
      <c r="B590" s="6"/>
      <c r="C590" s="90"/>
      <c r="D590" s="159" t="s">
        <v>44</v>
      </c>
      <c r="E590" s="167"/>
      <c r="F590" s="127">
        <v>3.0</v>
      </c>
      <c r="G590" s="169">
        <v>45577.0</v>
      </c>
      <c r="H590" s="195"/>
      <c r="I590" s="130"/>
      <c r="J590" s="151">
        <v>8.0</v>
      </c>
      <c r="K590" s="219"/>
      <c r="L590" s="133"/>
      <c r="M590" s="134" t="str">
        <f>I455</f>
        <v/>
      </c>
      <c r="N590" s="135" t="str">
        <f>iferror(mround($P455*((VLOOKUP($J590,Sheet1!$D:$N,$G590+1,FALSE)-0.03)),2.5)," ")</f>
        <v> </v>
      </c>
      <c r="O590" s="135" t="str">
        <f>iferror(mround($P455*((VLOOKUP($J590,Sheet1!$D:$N,$G590+1,FALSE)+0.02)),2.5)," ")</f>
        <v> </v>
      </c>
      <c r="P590" s="112" t="str">
        <f>iferror(mround(I590/VLOOKUP(L590,Sheet1!$D$7:$N$16,G590+1,FALSE),2.5),"")</f>
        <v/>
      </c>
      <c r="Q590" s="303" t="str">
        <f t="shared" si="17"/>
        <v/>
      </c>
      <c r="R590" s="214"/>
      <c r="S590" s="11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</row>
    <row r="591" ht="3.75" customHeight="1">
      <c r="A591" s="90"/>
      <c r="B591" s="6"/>
      <c r="C591" s="90"/>
      <c r="D591" s="138"/>
      <c r="E591" s="215"/>
      <c r="F591" s="102"/>
      <c r="G591" s="102"/>
      <c r="H591" s="102"/>
      <c r="I591" s="102"/>
      <c r="J591" s="156"/>
      <c r="K591" s="217"/>
      <c r="L591" s="143"/>
      <c r="M591" s="144"/>
      <c r="N591" s="145"/>
      <c r="O591" s="145"/>
      <c r="P591" s="122"/>
      <c r="Q591" s="304" t="str">
        <f t="shared" si="17"/>
        <v/>
      </c>
      <c r="R591" s="214"/>
      <c r="S591" s="11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</row>
    <row r="592" ht="15.75" customHeight="1">
      <c r="A592" s="90"/>
      <c r="B592" s="6"/>
      <c r="C592" s="90"/>
      <c r="D592" s="159" t="s">
        <v>45</v>
      </c>
      <c r="E592" s="220"/>
      <c r="F592" s="127">
        <v>3.0</v>
      </c>
      <c r="G592" s="127" t="s">
        <v>41</v>
      </c>
      <c r="H592" s="195"/>
      <c r="I592" s="164"/>
      <c r="J592" s="151">
        <v>8.0</v>
      </c>
      <c r="K592" s="213"/>
      <c r="L592" s="133"/>
      <c r="M592" s="134" t="str">
        <f>I457</f>
        <v/>
      </c>
      <c r="N592" s="135" t="str">
        <f>iferror(mround($P457*((VLOOKUP($J592,Sheet1!$D:$N,$G592+1,FALSE)-0.03)),2.5)," ")</f>
        <v> </v>
      </c>
      <c r="O592" s="135" t="str">
        <f>iferror(mround($P457*((VLOOKUP($J592,Sheet1!$D:$N,$G592+1,FALSE)+0.02)),2.5)," ")</f>
        <v> </v>
      </c>
      <c r="P592" s="112" t="str">
        <f>iferror(mround(I592/VLOOKUP(L592,Sheet1!$D$7:$N$16,G592+1,FALSE),2.5),"")</f>
        <v/>
      </c>
      <c r="Q592" s="303" t="str">
        <f t="shared" si="17"/>
        <v/>
      </c>
      <c r="R592" s="214"/>
      <c r="S592" s="11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</row>
    <row r="593" ht="3.75" customHeight="1">
      <c r="A593" s="90"/>
      <c r="B593" s="6"/>
      <c r="C593" s="90"/>
      <c r="D593" s="138"/>
      <c r="E593" s="215"/>
      <c r="F593" s="102"/>
      <c r="G593" s="102"/>
      <c r="H593" s="102"/>
      <c r="I593" s="102"/>
      <c r="J593" s="156"/>
      <c r="K593" s="217"/>
      <c r="L593" s="143"/>
      <c r="M593" s="144"/>
      <c r="N593" s="145"/>
      <c r="O593" s="145"/>
      <c r="P593" s="122"/>
      <c r="Q593" s="304" t="str">
        <f t="shared" si="17"/>
        <v/>
      </c>
      <c r="R593" s="214"/>
      <c r="S593" s="11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</row>
    <row r="594" ht="15.75" customHeight="1">
      <c r="A594" s="90"/>
      <c r="B594" s="6"/>
      <c r="C594" s="90"/>
      <c r="D594" s="159" t="s">
        <v>46</v>
      </c>
      <c r="E594" s="220"/>
      <c r="F594" s="127">
        <v>3.0</v>
      </c>
      <c r="G594" s="127" t="s">
        <v>16</v>
      </c>
      <c r="H594" s="195"/>
      <c r="I594" s="130"/>
      <c r="J594" s="151">
        <v>9.0</v>
      </c>
      <c r="K594" s="213"/>
      <c r="L594" s="133"/>
      <c r="M594" s="134" t="str">
        <f>I459</f>
        <v/>
      </c>
      <c r="N594" s="135" t="str">
        <f>iferror(mround($P459*((VLOOKUP($J594,Sheet1!$D:$N,$G594+1,FALSE)-0.03)),2.5)," ")</f>
        <v> </v>
      </c>
      <c r="O594" s="135" t="str">
        <f>iferror(mround($P459*((VLOOKUP($J594,Sheet1!$D:$N,$G594+1,FALSE)+0.02)),2.5)," ")</f>
        <v> </v>
      </c>
      <c r="P594" s="112" t="str">
        <f>iferror(mround(I594/VLOOKUP(L594,Sheet1!$D$7:$N$16,G594+1,FALSE),2.5),"")</f>
        <v/>
      </c>
      <c r="Q594" s="303" t="str">
        <f t="shared" si="17"/>
        <v/>
      </c>
      <c r="R594" s="214"/>
      <c r="S594" s="11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</row>
    <row r="595" ht="3.75" customHeight="1">
      <c r="A595" s="90"/>
      <c r="B595" s="6"/>
      <c r="C595" s="90"/>
      <c r="D595" s="138"/>
      <c r="E595" s="215"/>
      <c r="F595" s="102"/>
      <c r="G595" s="102"/>
      <c r="H595" s="102"/>
      <c r="I595" s="102"/>
      <c r="J595" s="156"/>
      <c r="K595" s="217"/>
      <c r="L595" s="143"/>
      <c r="M595" s="144"/>
      <c r="N595" s="145"/>
      <c r="O595" s="145"/>
      <c r="P595" s="122"/>
      <c r="Q595" s="304" t="str">
        <f t="shared" si="17"/>
        <v/>
      </c>
      <c r="R595" s="214"/>
      <c r="S595" s="11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</row>
    <row r="596" ht="15.75" customHeight="1">
      <c r="A596" s="90"/>
      <c r="B596" s="6"/>
      <c r="C596" s="90"/>
      <c r="D596" s="159" t="s">
        <v>47</v>
      </c>
      <c r="E596" s="220"/>
      <c r="F596" s="127">
        <v>3.0</v>
      </c>
      <c r="G596" s="221">
        <v>45641.0</v>
      </c>
      <c r="H596" s="195"/>
      <c r="I596" s="130"/>
      <c r="J596" s="151">
        <v>9.0</v>
      </c>
      <c r="K596" s="213"/>
      <c r="L596" s="183"/>
      <c r="M596" s="134" t="str">
        <f>I461</f>
        <v/>
      </c>
      <c r="N596" s="135" t="str">
        <f>iferror(mround($P461*((VLOOKUP($J596,Sheet1!$D:$N,$G596+1,FALSE)-0.03)),2.5)," ")</f>
        <v> </v>
      </c>
      <c r="O596" s="135" t="str">
        <f>iferror(mround($P461*((VLOOKUP($J596,Sheet1!$D:$N,$G596+1,FALSE)+0.02)),2.5)," ")</f>
        <v> </v>
      </c>
      <c r="P596" s="112" t="str">
        <f>iferror(mround(I596/VLOOKUP(L596,Sheet1!$D$7:$N$16,G596+1,FALSE),2.5),"")</f>
        <v/>
      </c>
      <c r="Q596" s="303" t="str">
        <f t="shared" si="17"/>
        <v/>
      </c>
      <c r="R596" s="214"/>
      <c r="S596" s="11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</row>
    <row r="597" ht="3.75" customHeight="1">
      <c r="A597" s="90"/>
      <c r="B597" s="6"/>
      <c r="C597" s="90"/>
      <c r="D597" s="138"/>
      <c r="E597" s="215"/>
      <c r="F597" s="102"/>
      <c r="G597" s="102"/>
      <c r="H597" s="102"/>
      <c r="I597" s="102"/>
      <c r="J597" s="156"/>
      <c r="K597" s="222"/>
      <c r="L597" s="143"/>
      <c r="M597" s="144"/>
      <c r="N597" s="145"/>
      <c r="O597" s="145"/>
      <c r="P597" s="122"/>
      <c r="Q597" s="304" t="str">
        <f t="shared" si="17"/>
        <v/>
      </c>
      <c r="R597" s="214"/>
      <c r="S597" s="11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</row>
    <row r="598" ht="18.0" customHeight="1">
      <c r="A598" s="90"/>
      <c r="B598" s="6"/>
      <c r="C598" s="90"/>
      <c r="D598" s="159" t="s">
        <v>48</v>
      </c>
      <c r="E598" s="220"/>
      <c r="F598" s="127">
        <v>3.0</v>
      </c>
      <c r="G598" s="221">
        <v>45942.0</v>
      </c>
      <c r="H598" s="195"/>
      <c r="I598" s="130"/>
      <c r="J598" s="151">
        <v>9.0</v>
      </c>
      <c r="K598" s="190"/>
      <c r="L598" s="183"/>
      <c r="M598" s="134" t="str">
        <f>I463</f>
        <v/>
      </c>
      <c r="N598" s="135" t="str">
        <f>iferror(mround($P463*((VLOOKUP($J598,Sheet1!$D:$N,$G598+1,FALSE)-0.03)),2.5)," ")</f>
        <v> </v>
      </c>
      <c r="O598" s="135" t="str">
        <f>iferror(mround($P463*((VLOOKUP($J598,Sheet1!$D:$N,$G598+1,FALSE)+0.02)),2.5)," ")</f>
        <v> </v>
      </c>
      <c r="P598" s="112" t="str">
        <f>iferror(mround(I598/VLOOKUP(L598,Sheet1!$D$7:$N$16,G598+1,FALSE),2.5),"")</f>
        <v/>
      </c>
      <c r="Q598" s="303" t="str">
        <f t="shared" si="17"/>
        <v/>
      </c>
      <c r="R598" s="214"/>
      <c r="S598" s="11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</row>
    <row r="599" ht="3.75" customHeight="1">
      <c r="A599" s="191"/>
      <c r="B599" s="6"/>
      <c r="C599" s="192"/>
      <c r="D599" s="138"/>
      <c r="E599" s="223"/>
      <c r="F599" s="194"/>
      <c r="G599" s="194"/>
      <c r="H599" s="155"/>
      <c r="I599" s="210"/>
      <c r="J599" s="216"/>
      <c r="K599" s="222"/>
      <c r="L599" s="143"/>
      <c r="M599" s="144"/>
      <c r="N599" s="145"/>
      <c r="O599" s="145"/>
      <c r="P599" s="122"/>
      <c r="Q599" s="304" t="str">
        <f t="shared" si="17"/>
        <v/>
      </c>
      <c r="R599" s="214"/>
      <c r="S599" s="157"/>
      <c r="T599" s="5"/>
      <c r="U599" s="5"/>
      <c r="V599" s="158"/>
      <c r="W599" s="158"/>
      <c r="X599" s="158"/>
      <c r="Y599" s="158"/>
      <c r="Z599" s="158"/>
      <c r="AA599" s="158"/>
      <c r="AB599" s="158"/>
      <c r="AC599" s="158"/>
      <c r="AD599" s="158"/>
      <c r="AE599" s="158"/>
      <c r="AF599" s="158"/>
      <c r="AG599" s="158"/>
    </row>
    <row r="600" ht="15.75" hidden="1" customHeight="1">
      <c r="A600" s="90"/>
      <c r="B600" s="6"/>
      <c r="C600" s="90"/>
      <c r="D600" s="185"/>
      <c r="E600" s="186"/>
      <c r="F600" s="187"/>
      <c r="G600" s="187"/>
      <c r="H600" s="195"/>
      <c r="I600" s="164"/>
      <c r="J600" s="189"/>
      <c r="K600" s="190"/>
      <c r="L600" s="183"/>
      <c r="M600" s="134" t="str">
        <f>I465</f>
        <v/>
      </c>
      <c r="N600" s="135" t="str">
        <f>iferror(mround($P465*((VLOOKUP($J600,Sheet1!$D:$N,$G600+1,FALSE)-0.03)),2.5)," ")</f>
        <v> </v>
      </c>
      <c r="O600" s="135" t="str">
        <f>iferror(mround($P465*((VLOOKUP($J600,Sheet1!$D:$N,$G600+1,FALSE)+0.02)),2.5)," ")</f>
        <v> </v>
      </c>
      <c r="P600" s="112" t="str">
        <f>iferror(mround(I600/VLOOKUP(L600,Sheet1!$D$7:$N$16,G600+1,FALSE),2.5),"")</f>
        <v/>
      </c>
      <c r="Q600" s="303" t="str">
        <f t="shared" si="17"/>
        <v/>
      </c>
      <c r="R600" s="214"/>
      <c r="S600" s="11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</row>
    <row r="601" ht="3.75" hidden="1" customHeight="1">
      <c r="A601" s="90"/>
      <c r="B601" s="6"/>
      <c r="C601" s="90"/>
      <c r="D601" s="138"/>
      <c r="E601" s="184"/>
      <c r="F601" s="102"/>
      <c r="G601" s="102"/>
      <c r="H601" s="102"/>
      <c r="I601" s="102"/>
      <c r="J601" s="156"/>
      <c r="K601" s="222"/>
      <c r="L601" s="143"/>
      <c r="M601" s="144"/>
      <c r="N601" s="145"/>
      <c r="O601" s="145"/>
      <c r="P601" s="122"/>
      <c r="Q601" s="304" t="str">
        <f t="shared" si="17"/>
        <v/>
      </c>
      <c r="R601" s="214"/>
      <c r="S601" s="11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</row>
    <row r="602" ht="15.75" hidden="1" customHeight="1">
      <c r="A602" s="90"/>
      <c r="B602" s="6"/>
      <c r="C602" s="90"/>
      <c r="D602" s="185"/>
      <c r="E602" s="224"/>
      <c r="F602" s="187"/>
      <c r="G602" s="187"/>
      <c r="H602" s="195"/>
      <c r="I602" s="164"/>
      <c r="J602" s="189"/>
      <c r="K602" s="190"/>
      <c r="L602" s="183"/>
      <c r="M602" s="134" t="str">
        <f>I467</f>
        <v/>
      </c>
      <c r="N602" s="135" t="str">
        <f>iferror(mround($P467*((VLOOKUP($J602,Sheet1!$D:$N,$G602+1,FALSE)-0.03)),2.5)," ")</f>
        <v> </v>
      </c>
      <c r="O602" s="135" t="str">
        <f>iferror(mround($P467*((VLOOKUP($J602,Sheet1!$D:$N,$G602+1,FALSE)+0.02)),2.5)," ")</f>
        <v> </v>
      </c>
      <c r="P602" s="112" t="str">
        <f>iferror(mround(I602/VLOOKUP(L602,Sheet1!$D$7:$N$16,G602+1,FALSE),2.5),"")</f>
        <v/>
      </c>
      <c r="Q602" s="303" t="str">
        <f t="shared" si="17"/>
        <v/>
      </c>
      <c r="R602" s="214"/>
      <c r="S602" s="11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</row>
    <row r="603" ht="3.75" hidden="1" customHeight="1">
      <c r="A603" s="191"/>
      <c r="B603" s="6"/>
      <c r="C603" s="192"/>
      <c r="D603" s="138"/>
      <c r="E603" s="193"/>
      <c r="F603" s="194"/>
      <c r="G603" s="194"/>
      <c r="H603" s="155"/>
      <c r="I603" s="210"/>
      <c r="J603" s="216"/>
      <c r="K603" s="222"/>
      <c r="L603" s="143"/>
      <c r="M603" s="144"/>
      <c r="N603" s="145"/>
      <c r="O603" s="145"/>
      <c r="P603" s="122"/>
      <c r="Q603" s="304" t="str">
        <f t="shared" si="17"/>
        <v/>
      </c>
      <c r="R603" s="214"/>
      <c r="S603" s="157"/>
      <c r="T603" s="5"/>
      <c r="U603" s="5"/>
      <c r="V603" s="158"/>
      <c r="W603" s="158"/>
      <c r="X603" s="158"/>
      <c r="Y603" s="158"/>
      <c r="Z603" s="158"/>
      <c r="AA603" s="158"/>
      <c r="AB603" s="158"/>
      <c r="AC603" s="158"/>
      <c r="AD603" s="158"/>
      <c r="AE603" s="158"/>
      <c r="AF603" s="158"/>
      <c r="AG603" s="158"/>
    </row>
    <row r="604" ht="15.75" hidden="1" customHeight="1">
      <c r="A604" s="90"/>
      <c r="B604" s="6"/>
      <c r="C604" s="90"/>
      <c r="D604" s="185"/>
      <c r="E604" s="186"/>
      <c r="F604" s="187"/>
      <c r="G604" s="187"/>
      <c r="H604" s="195"/>
      <c r="I604" s="164"/>
      <c r="J604" s="189"/>
      <c r="K604" s="190"/>
      <c r="L604" s="183"/>
      <c r="M604" s="134" t="str">
        <f>I469</f>
        <v/>
      </c>
      <c r="N604" s="135" t="str">
        <f>iferror(mround($P469*((VLOOKUP($J604,Sheet1!$D:$N,$G604+1,FALSE)-0.03)),2.5)," ")</f>
        <v> </v>
      </c>
      <c r="O604" s="135" t="str">
        <f>iferror(mround($P469*((VLOOKUP($J604,Sheet1!$D:$N,$G604+1,FALSE)+0.02)),2.5)," ")</f>
        <v> </v>
      </c>
      <c r="P604" s="112" t="str">
        <f>iferror(mround(I604/VLOOKUP(L604,Sheet1!$D$7:$N$16,G604+1,FALSE),2.5),"")</f>
        <v/>
      </c>
      <c r="Q604" s="303" t="str">
        <f t="shared" si="17"/>
        <v/>
      </c>
      <c r="R604" s="214"/>
      <c r="S604" s="11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</row>
    <row r="605" ht="3.75" hidden="1" customHeight="1">
      <c r="A605" s="90"/>
      <c r="B605" s="6"/>
      <c r="C605" s="90"/>
      <c r="D605" s="196"/>
      <c r="E605" s="184"/>
      <c r="F605" s="102"/>
      <c r="G605" s="102"/>
      <c r="H605" s="102"/>
      <c r="I605" s="102"/>
      <c r="J605" s="156"/>
      <c r="K605" s="222"/>
      <c r="L605" s="143"/>
      <c r="M605" s="144"/>
      <c r="N605" s="145"/>
      <c r="O605" s="145"/>
      <c r="P605" s="122"/>
      <c r="Q605" s="304" t="str">
        <f t="shared" si="17"/>
        <v/>
      </c>
      <c r="R605" s="214"/>
      <c r="S605" s="11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</row>
    <row r="606" ht="15.75" hidden="1" customHeight="1">
      <c r="A606" s="90"/>
      <c r="B606" s="6"/>
      <c r="C606" s="90"/>
      <c r="D606" s="197"/>
      <c r="E606" s="198"/>
      <c r="F606" s="199"/>
      <c r="G606" s="187"/>
      <c r="H606" s="195"/>
      <c r="I606" s="164"/>
      <c r="J606" s="189"/>
      <c r="K606" s="190"/>
      <c r="L606" s="183"/>
      <c r="M606" s="134" t="str">
        <f>I471</f>
        <v/>
      </c>
      <c r="N606" s="135" t="str">
        <f>iferror(mround($P471*((VLOOKUP($J606,Sheet1!$D:$N,$G606+1,FALSE)-0.03)),2.5)," ")</f>
        <v> </v>
      </c>
      <c r="O606" s="135" t="str">
        <f>iferror(mround($P471*((VLOOKUP($J606,Sheet1!$D:$N,$G606+1,FALSE)+0.02)),2.5)," ")</f>
        <v> </v>
      </c>
      <c r="P606" s="112" t="str">
        <f>iferror(mround(I606/VLOOKUP(L606,Sheet1!$D$7:$N$16,G606+1,FALSE),2.5),"")</f>
        <v/>
      </c>
      <c r="Q606" s="303" t="str">
        <f t="shared" si="17"/>
        <v/>
      </c>
      <c r="R606" s="214"/>
      <c r="S606" s="11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</row>
    <row r="607" ht="3.75" hidden="1" customHeight="1">
      <c r="A607" s="90"/>
      <c r="B607" s="6"/>
      <c r="C607" s="90"/>
      <c r="D607" s="90"/>
      <c r="E607" s="156"/>
      <c r="F607" s="102"/>
      <c r="G607" s="102"/>
      <c r="H607" s="102"/>
      <c r="I607" s="102"/>
      <c r="J607" s="156"/>
      <c r="K607" s="222"/>
      <c r="L607" s="201"/>
      <c r="M607" s="211"/>
      <c r="N607" s="47"/>
      <c r="O607" s="47"/>
      <c r="P607" s="122"/>
      <c r="Q607" s="304" t="str">
        <f t="shared" si="17"/>
        <v/>
      </c>
      <c r="R607" s="214"/>
      <c r="S607" s="11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</row>
    <row r="608" ht="30.75" customHeight="1">
      <c r="A608" s="90"/>
      <c r="B608" s="6"/>
      <c r="C608" s="90"/>
      <c r="D608" s="202" t="s">
        <v>49</v>
      </c>
      <c r="E608" s="105" t="s">
        <v>15</v>
      </c>
      <c r="F608" s="106" t="s">
        <v>16</v>
      </c>
      <c r="G608" s="106" t="s">
        <v>17</v>
      </c>
      <c r="H608" s="107"/>
      <c r="I608" s="106" t="s">
        <v>18</v>
      </c>
      <c r="J608" s="108" t="s">
        <v>19</v>
      </c>
      <c r="L608" s="109" t="s">
        <v>20</v>
      </c>
      <c r="M608" s="110" t="s">
        <v>21</v>
      </c>
      <c r="N608" s="111" t="s">
        <v>22</v>
      </c>
      <c r="P608" s="112"/>
      <c r="Q608" s="113" t="s">
        <v>23</v>
      </c>
      <c r="R608" s="114" t="s">
        <v>50</v>
      </c>
      <c r="S608" s="11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</row>
    <row r="609" ht="14.25" customHeight="1">
      <c r="A609" s="90"/>
      <c r="B609" s="6"/>
      <c r="C609" s="90"/>
      <c r="D609" s="116" t="s">
        <v>25</v>
      </c>
      <c r="E609" s="117" t="s">
        <v>26</v>
      </c>
      <c r="H609" s="107"/>
      <c r="N609" s="111" t="s">
        <v>27</v>
      </c>
      <c r="O609" s="111" t="s">
        <v>28</v>
      </c>
      <c r="P609" s="112" t="s">
        <v>29</v>
      </c>
      <c r="R609" s="118" t="s">
        <v>30</v>
      </c>
      <c r="S609" s="11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</row>
    <row r="610" ht="3.75" customHeight="1">
      <c r="A610" s="191"/>
      <c r="B610" s="6"/>
      <c r="C610" s="192"/>
      <c r="D610" s="203"/>
      <c r="E610" s="203"/>
      <c r="F610" s="205"/>
      <c r="G610" s="205"/>
      <c r="H610" s="205"/>
      <c r="I610" s="225"/>
      <c r="J610" s="226"/>
      <c r="K610" s="209"/>
      <c r="L610" s="210"/>
      <c r="M610" s="211"/>
      <c r="N610" s="47"/>
      <c r="O610" s="47"/>
      <c r="P610" s="122"/>
      <c r="Q610" s="304" t="str">
        <f t="shared" ref="Q610:Q630" si="18">IF(OR(ISBLANK(I610), ISBLANK(I475)), "", IF(I610 - I475 = 0, "", I610 - I475))</f>
        <v/>
      </c>
      <c r="R610" s="212"/>
      <c r="S610" s="157"/>
      <c r="T610" s="5"/>
      <c r="U610" s="5"/>
      <c r="V610" s="158"/>
      <c r="W610" s="158"/>
      <c r="X610" s="158"/>
      <c r="Y610" s="158"/>
      <c r="Z610" s="158"/>
      <c r="AA610" s="158"/>
      <c r="AB610" s="158"/>
      <c r="AC610" s="158"/>
      <c r="AD610" s="158"/>
      <c r="AE610" s="158"/>
      <c r="AF610" s="158"/>
      <c r="AG610" s="158"/>
    </row>
    <row r="611" ht="15.75" customHeight="1">
      <c r="A611" s="124"/>
      <c r="B611" s="6"/>
      <c r="C611" s="124"/>
      <c r="D611" s="125" t="s">
        <v>6</v>
      </c>
      <c r="E611" s="126"/>
      <c r="F611" s="127">
        <v>2.0</v>
      </c>
      <c r="G611" s="128">
        <v>45816.0</v>
      </c>
      <c r="H611" s="129"/>
      <c r="I611" s="130"/>
      <c r="J611" s="151">
        <v>5.0</v>
      </c>
      <c r="K611" s="219"/>
      <c r="L611" s="133"/>
      <c r="M611" s="134" t="str">
        <f>I476</f>
        <v/>
      </c>
      <c r="N611" s="135" t="str">
        <f>iferror(mround($P476*((VLOOKUP($J611,Sheet1!$D:$N,$G611+1,FALSE)-0.03)),2.5)," ")</f>
        <v> </v>
      </c>
      <c r="O611" s="135" t="str">
        <f>iferror(mround($P476*((VLOOKUP($J611,Sheet1!$D:$N,$G611+1,FALSE)+0.02)),2.5)," ")</f>
        <v> </v>
      </c>
      <c r="P611" s="112" t="str">
        <f>iferror(mround(I611/VLOOKUP(L611,Sheet1!$D$7:$N$16,G611+1,FALSE),2.5),"")</f>
        <v/>
      </c>
      <c r="Q611" s="303" t="str">
        <f t="shared" si="18"/>
        <v/>
      </c>
      <c r="R611" s="214"/>
      <c r="S611" s="11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</row>
    <row r="612" ht="3.75" customHeight="1">
      <c r="A612" s="124"/>
      <c r="B612" s="6"/>
      <c r="C612" s="124"/>
      <c r="D612" s="138"/>
      <c r="E612" s="139"/>
      <c r="F612" s="140"/>
      <c r="G612" s="140"/>
      <c r="H612" s="140"/>
      <c r="I612" s="140"/>
      <c r="J612" s="141"/>
      <c r="K612" s="217"/>
      <c r="L612" s="218"/>
      <c r="M612" s="144"/>
      <c r="N612" s="145"/>
      <c r="O612" s="145"/>
      <c r="P612" s="122"/>
      <c r="Q612" s="304" t="str">
        <f t="shared" si="18"/>
        <v/>
      </c>
      <c r="R612" s="214"/>
      <c r="S612" s="11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</row>
    <row r="613" ht="15.75" customHeight="1">
      <c r="A613" s="90"/>
      <c r="B613" s="6"/>
      <c r="C613" s="90"/>
      <c r="D613" s="125" t="s">
        <v>10</v>
      </c>
      <c r="E613" s="126"/>
      <c r="F613" s="127">
        <v>3.0</v>
      </c>
      <c r="G613" s="128">
        <v>45879.0</v>
      </c>
      <c r="H613" s="129"/>
      <c r="I613" s="130"/>
      <c r="J613" s="151">
        <v>5.0</v>
      </c>
      <c r="K613" s="213"/>
      <c r="L613" s="133"/>
      <c r="M613" s="134" t="str">
        <f>I478</f>
        <v/>
      </c>
      <c r="N613" s="135" t="str">
        <f>iferror(mround($P478*((VLOOKUP($J613,Sheet1!$D:$N,$G613+1,FALSE)-0.03)),2.5)," ")</f>
        <v> </v>
      </c>
      <c r="O613" s="135" t="str">
        <f>iferror(mround($P478*((VLOOKUP($J613,Sheet1!$D:$N,$G613+1,FALSE)+0.02)),2.5)," ")</f>
        <v> </v>
      </c>
      <c r="P613" s="112" t="str">
        <f>iferror(mround(I613/VLOOKUP(L613,Sheet1!$D$7:$N$16,G613+1,FALSE),2.5),"")</f>
        <v/>
      </c>
      <c r="Q613" s="303" t="str">
        <f t="shared" si="18"/>
        <v/>
      </c>
      <c r="R613" s="214"/>
      <c r="S613" s="11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</row>
    <row r="614" ht="3.75" customHeight="1">
      <c r="A614" s="90"/>
      <c r="B614" s="6"/>
      <c r="C614" s="90"/>
      <c r="D614" s="138"/>
      <c r="E614" s="215"/>
      <c r="F614" s="102"/>
      <c r="G614" s="102"/>
      <c r="H614" s="102"/>
      <c r="I614" s="102"/>
      <c r="J614" s="156"/>
      <c r="K614" s="217"/>
      <c r="L614" s="218"/>
      <c r="M614" s="144"/>
      <c r="N614" s="145"/>
      <c r="O614" s="145"/>
      <c r="P614" s="122"/>
      <c r="Q614" s="304" t="str">
        <f t="shared" si="18"/>
        <v/>
      </c>
      <c r="R614" s="214"/>
      <c r="S614" s="11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</row>
    <row r="615" ht="15.75" hidden="1" customHeight="1">
      <c r="A615" s="90"/>
      <c r="B615" s="6"/>
      <c r="C615" s="90"/>
      <c r="D615" s="159"/>
      <c r="E615" s="160"/>
      <c r="F615" s="127"/>
      <c r="G615" s="161"/>
      <c r="H615" s="129"/>
      <c r="I615" s="130"/>
      <c r="J615" s="151"/>
      <c r="K615" s="219"/>
      <c r="L615" s="133"/>
      <c r="M615" s="134" t="str">
        <f>I480</f>
        <v/>
      </c>
      <c r="N615" s="135" t="str">
        <f>iferror(mround($P480*((VLOOKUP($J615,Sheet1!$D:$N,$G615+1,FALSE)-0.03)),2.5)," ")</f>
        <v> </v>
      </c>
      <c r="O615" s="135" t="str">
        <f>iferror(mround($P480*((VLOOKUP($J615,Sheet1!$D:$N,$G615+1,FALSE)+0.02)),2.5)," ")</f>
        <v> </v>
      </c>
      <c r="P615" s="112" t="str">
        <f>iferror(mround(I615/VLOOKUP(L615,Sheet1!$D$7:$N$16,G615+1,FALSE),2.5),"")</f>
        <v/>
      </c>
      <c r="Q615" s="303" t="str">
        <f t="shared" si="18"/>
        <v/>
      </c>
      <c r="R615" s="214"/>
      <c r="S615" s="11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</row>
    <row r="616" ht="3.75" hidden="1" customHeight="1">
      <c r="A616" s="90"/>
      <c r="B616" s="6"/>
      <c r="C616" s="90"/>
      <c r="D616" s="138"/>
      <c r="E616" s="154"/>
      <c r="F616" s="155"/>
      <c r="G616" s="102"/>
      <c r="H616" s="102"/>
      <c r="I616" s="102"/>
      <c r="J616" s="156"/>
      <c r="K616" s="217"/>
      <c r="L616" s="218"/>
      <c r="M616" s="144"/>
      <c r="N616" s="145"/>
      <c r="O616" s="145"/>
      <c r="P616" s="122"/>
      <c r="Q616" s="304" t="str">
        <f t="shared" si="18"/>
        <v/>
      </c>
      <c r="R616" s="214"/>
      <c r="S616" s="11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</row>
    <row r="617" ht="15.75" customHeight="1">
      <c r="A617" s="90"/>
      <c r="B617" s="6"/>
      <c r="C617" s="90"/>
      <c r="D617" s="159" t="s">
        <v>51</v>
      </c>
      <c r="E617" s="167" t="s">
        <v>52</v>
      </c>
      <c r="F617" s="127">
        <v>3.0</v>
      </c>
      <c r="G617" s="127">
        <v>3.0</v>
      </c>
      <c r="H617" s="195"/>
      <c r="I617" s="130"/>
      <c r="J617" s="151">
        <v>7.0</v>
      </c>
      <c r="K617" s="213"/>
      <c r="L617" s="183"/>
      <c r="M617" s="134" t="str">
        <f>I482</f>
        <v/>
      </c>
      <c r="N617" s="135">
        <f>iferror(mround($P482*((VLOOKUP($J617,Sheet1!$D:$N,$G617+1,FALSE)-0.03)),2.5)," ")</f>
        <v>0</v>
      </c>
      <c r="O617" s="135">
        <f>iferror(mround($P482*((VLOOKUP($J617,Sheet1!$D:$N,$G617+1,FALSE)+0.02)),2.5)," ")</f>
        <v>0</v>
      </c>
      <c r="P617" s="112" t="str">
        <f>iferror(mround(I617/VLOOKUP(L617,Sheet1!$D$7:$N$16,G617+1,FALSE),2.5),"")</f>
        <v/>
      </c>
      <c r="Q617" s="303" t="str">
        <f t="shared" si="18"/>
        <v/>
      </c>
      <c r="R617" s="214"/>
      <c r="S617" s="11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</row>
    <row r="618" ht="3.75" customHeight="1">
      <c r="A618" s="90"/>
      <c r="B618" s="6"/>
      <c r="C618" s="90"/>
      <c r="D618" s="138"/>
      <c r="E618" s="215"/>
      <c r="F618" s="102"/>
      <c r="G618" s="102"/>
      <c r="H618" s="102"/>
      <c r="I618" s="102"/>
      <c r="J618" s="156"/>
      <c r="K618" s="217"/>
      <c r="L618" s="218"/>
      <c r="M618" s="144"/>
      <c r="N618" s="145"/>
      <c r="O618" s="145"/>
      <c r="P618" s="122"/>
      <c r="Q618" s="304" t="str">
        <f t="shared" si="18"/>
        <v/>
      </c>
      <c r="R618" s="214"/>
      <c r="S618" s="11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</row>
    <row r="619" ht="15.75" customHeight="1">
      <c r="A619" s="90"/>
      <c r="B619" s="6"/>
      <c r="C619" s="90"/>
      <c r="D619" s="159" t="s">
        <v>53</v>
      </c>
      <c r="E619" s="220"/>
      <c r="F619" s="127">
        <v>3.0</v>
      </c>
      <c r="G619" s="127" t="s">
        <v>16</v>
      </c>
      <c r="H619" s="195"/>
      <c r="I619" s="130"/>
      <c r="J619" s="151">
        <v>7.0</v>
      </c>
      <c r="K619" s="213"/>
      <c r="L619" s="133"/>
      <c r="M619" s="134" t="str">
        <f>I484</f>
        <v/>
      </c>
      <c r="N619" s="135" t="str">
        <f>iferror(mround($P484*((VLOOKUP($J619,Sheet1!$D:$N,$G619+1,FALSE)-0.03)),2.5)," ")</f>
        <v> </v>
      </c>
      <c r="O619" s="135" t="str">
        <f>iferror(mround($P484*((VLOOKUP($J619,Sheet1!$D:$N,$G619+1,FALSE)+0.02)),2.5)," ")</f>
        <v> </v>
      </c>
      <c r="P619" s="112" t="str">
        <f>iferror(mround(I619/VLOOKUP(L619,Sheet1!$D$7:$N$16,G619+1,FALSE),2.5),"")</f>
        <v/>
      </c>
      <c r="Q619" s="303" t="str">
        <f t="shared" si="18"/>
        <v/>
      </c>
      <c r="R619" s="214"/>
      <c r="S619" s="11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</row>
    <row r="620" ht="3.75" customHeight="1">
      <c r="A620" s="90"/>
      <c r="B620" s="6"/>
      <c r="C620" s="90"/>
      <c r="D620" s="138"/>
      <c r="E620" s="215"/>
      <c r="F620" s="102"/>
      <c r="G620" s="102"/>
      <c r="H620" s="102"/>
      <c r="I620" s="102"/>
      <c r="J620" s="156"/>
      <c r="K620" s="222"/>
      <c r="L620" s="218"/>
      <c r="M620" s="144"/>
      <c r="N620" s="145"/>
      <c r="O620" s="145"/>
      <c r="P620" s="122"/>
      <c r="Q620" s="304" t="str">
        <f t="shared" si="18"/>
        <v/>
      </c>
      <c r="R620" s="214"/>
      <c r="S620" s="11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</row>
    <row r="621" ht="15.75" customHeight="1">
      <c r="A621" s="90"/>
      <c r="B621" s="6"/>
      <c r="C621" s="90"/>
      <c r="D621" s="159" t="s">
        <v>54</v>
      </c>
      <c r="E621" s="227"/>
      <c r="F621" s="127">
        <v>3.0</v>
      </c>
      <c r="G621" s="221">
        <v>45577.0</v>
      </c>
      <c r="H621" s="195"/>
      <c r="I621" s="130"/>
      <c r="J621" s="228">
        <v>8.0</v>
      </c>
      <c r="K621" s="190"/>
      <c r="L621" s="183"/>
      <c r="M621" s="134" t="str">
        <f>I486</f>
        <v/>
      </c>
      <c r="N621" s="135" t="str">
        <f>iferror(mround($P486*((VLOOKUP($J621,Sheet1!$D:$N,$G621+1,FALSE)-0.03)),2.5)," ")</f>
        <v> </v>
      </c>
      <c r="O621" s="135" t="str">
        <f>iferror(mround($P486*((VLOOKUP($J621,Sheet1!$D:$N,$G621+1,FALSE)+0.02)),2.5)," ")</f>
        <v> </v>
      </c>
      <c r="P621" s="112" t="str">
        <f>iferror(mround(I621/VLOOKUP(L621,Sheet1!$D$7:$N$16,G621+1,FALSE),2.5),"")</f>
        <v/>
      </c>
      <c r="Q621" s="303" t="str">
        <f t="shared" si="18"/>
        <v/>
      </c>
      <c r="R621" s="214"/>
      <c r="S621" s="11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</row>
    <row r="622" ht="3.75" customHeight="1">
      <c r="A622" s="90"/>
      <c r="B622" s="6"/>
      <c r="C622" s="90"/>
      <c r="D622" s="138"/>
      <c r="E622" s="215"/>
      <c r="F622" s="102"/>
      <c r="G622" s="102"/>
      <c r="H622" s="102"/>
      <c r="I622" s="102"/>
      <c r="J622" s="216"/>
      <c r="K622" s="222"/>
      <c r="L622" s="218"/>
      <c r="M622" s="144"/>
      <c r="N622" s="145"/>
      <c r="O622" s="145"/>
      <c r="P622" s="122"/>
      <c r="Q622" s="304" t="str">
        <f t="shared" si="18"/>
        <v/>
      </c>
      <c r="R622" s="214"/>
      <c r="S622" s="11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</row>
    <row r="623" ht="15.75" hidden="1" customHeight="1">
      <c r="A623" s="90"/>
      <c r="B623" s="6"/>
      <c r="C623" s="90"/>
      <c r="D623" s="185"/>
      <c r="E623" s="220"/>
      <c r="F623" s="187"/>
      <c r="G623" s="229"/>
      <c r="H623" s="195"/>
      <c r="I623" s="164"/>
      <c r="J623" s="189"/>
      <c r="K623" s="190"/>
      <c r="L623" s="183"/>
      <c r="M623" s="134" t="str">
        <f>I488</f>
        <v/>
      </c>
      <c r="N623" s="135" t="str">
        <f>iferror(mround($P488*((VLOOKUP($J623,Sheet1!$D:$N,$G623+1,FALSE)-0.03)),2.5)," ")</f>
        <v> </v>
      </c>
      <c r="O623" s="135" t="str">
        <f>iferror(mround($P488*((VLOOKUP($J623,Sheet1!$D:$N,$G623+1,FALSE)+0.02)),2.5)," ")</f>
        <v> </v>
      </c>
      <c r="P623" s="112" t="str">
        <f>iferror(mround(I623/VLOOKUP(L623,Sheet1!$D$7:$N$16,G623+1,FALSE),2.5),"")</f>
        <v/>
      </c>
      <c r="Q623" s="303" t="str">
        <f t="shared" si="18"/>
        <v/>
      </c>
      <c r="R623" s="214"/>
      <c r="S623" s="11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</row>
    <row r="624" ht="3.75" hidden="1" customHeight="1">
      <c r="A624" s="191"/>
      <c r="B624" s="6"/>
      <c r="C624" s="192"/>
      <c r="D624" s="138"/>
      <c r="E624" s="184"/>
      <c r="F624" s="102"/>
      <c r="G624" s="102"/>
      <c r="H624" s="102"/>
      <c r="I624" s="102"/>
      <c r="J624" s="156"/>
      <c r="K624" s="222"/>
      <c r="L624" s="218"/>
      <c r="M624" s="144"/>
      <c r="N624" s="145"/>
      <c r="O624" s="145"/>
      <c r="P624" s="122"/>
      <c r="Q624" s="304" t="str">
        <f t="shared" si="18"/>
        <v/>
      </c>
      <c r="R624" s="214"/>
      <c r="S624" s="157"/>
      <c r="T624" s="5"/>
      <c r="U624" s="5"/>
      <c r="V624" s="158"/>
      <c r="W624" s="158"/>
      <c r="X624" s="158"/>
      <c r="Y624" s="158"/>
      <c r="Z624" s="158"/>
      <c r="AA624" s="158"/>
      <c r="AB624" s="158"/>
      <c r="AC624" s="158"/>
      <c r="AD624" s="158"/>
      <c r="AE624" s="158"/>
      <c r="AF624" s="158"/>
      <c r="AG624" s="158"/>
    </row>
    <row r="625" ht="15.75" hidden="1" customHeight="1">
      <c r="A625" s="90"/>
      <c r="B625" s="6"/>
      <c r="C625" s="90"/>
      <c r="D625" s="185"/>
      <c r="E625" s="224"/>
      <c r="F625" s="187"/>
      <c r="G625" s="187"/>
      <c r="H625" s="195"/>
      <c r="I625" s="164"/>
      <c r="J625" s="230"/>
      <c r="K625" s="190"/>
      <c r="L625" s="183"/>
      <c r="M625" s="134" t="str">
        <f>I490</f>
        <v/>
      </c>
      <c r="N625" s="135" t="str">
        <f>iferror(mround($P490*((VLOOKUP($J625,Sheet1!$D:$N,$G625+1,FALSE)-0.03)),2.5)," ")</f>
        <v> </v>
      </c>
      <c r="O625" s="135" t="str">
        <f>iferror(mround($P490*((VLOOKUP($J625,Sheet1!$D:$N,$G625+1,FALSE)+0.02)),2.5)," ")</f>
        <v> </v>
      </c>
      <c r="P625" s="112" t="str">
        <f>iferror(mround(I625/VLOOKUP(L625,Sheet1!$D$7:$N$16,G625+1,FALSE),2.5),"")</f>
        <v/>
      </c>
      <c r="Q625" s="303" t="str">
        <f t="shared" si="18"/>
        <v/>
      </c>
      <c r="R625" s="214"/>
      <c r="S625" s="11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</row>
    <row r="626" ht="3.75" hidden="1" customHeight="1">
      <c r="A626" s="90"/>
      <c r="B626" s="6"/>
      <c r="C626" s="90"/>
      <c r="D626" s="138"/>
      <c r="E626" s="184"/>
      <c r="F626" s="102"/>
      <c r="G626" s="102"/>
      <c r="H626" s="102"/>
      <c r="I626" s="102"/>
      <c r="J626" s="156"/>
      <c r="K626" s="222"/>
      <c r="L626" s="218"/>
      <c r="M626" s="144"/>
      <c r="N626" s="145"/>
      <c r="O626" s="145"/>
      <c r="P626" s="122"/>
      <c r="Q626" s="304" t="str">
        <f t="shared" si="18"/>
        <v/>
      </c>
      <c r="R626" s="214"/>
      <c r="S626" s="11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</row>
    <row r="627" ht="15.75" hidden="1" customHeight="1">
      <c r="A627" s="90"/>
      <c r="B627" s="6"/>
      <c r="C627" s="90"/>
      <c r="D627" s="231"/>
      <c r="E627" s="232"/>
      <c r="F627" s="187"/>
      <c r="G627" s="187"/>
      <c r="H627" s="195"/>
      <c r="I627" s="164"/>
      <c r="J627" s="230"/>
      <c r="K627" s="190"/>
      <c r="L627" s="183"/>
      <c r="M627" s="134" t="str">
        <f>I492</f>
        <v/>
      </c>
      <c r="N627" s="135" t="str">
        <f>iferror(mround($P492*((VLOOKUP($J627,Sheet1!$D:$N,$G627+1,FALSE)-0.03)),2.5)," ")</f>
        <v> </v>
      </c>
      <c r="O627" s="135" t="str">
        <f>iferror(mround($P492*((VLOOKUP($J627,Sheet1!$D:$N,$G627+1,FALSE)+0.02)),2.5)," ")</f>
        <v> </v>
      </c>
      <c r="P627" s="112" t="str">
        <f>iferror(mround(I627/VLOOKUP(L627,Sheet1!$D$7:$N$16,G627+1,FALSE),2.5),"")</f>
        <v/>
      </c>
      <c r="Q627" s="303" t="str">
        <f t="shared" si="18"/>
        <v/>
      </c>
      <c r="R627" s="214"/>
      <c r="S627" s="11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</row>
    <row r="628" ht="3.75" hidden="1" customHeight="1">
      <c r="A628" s="191"/>
      <c r="B628" s="6"/>
      <c r="C628" s="233"/>
      <c r="D628" s="234"/>
      <c r="E628" s="235"/>
      <c r="F628" s="236"/>
      <c r="G628" s="194"/>
      <c r="H628" s="155"/>
      <c r="I628" s="210"/>
      <c r="J628" s="216"/>
      <c r="K628" s="222"/>
      <c r="L628" s="218"/>
      <c r="M628" s="144"/>
      <c r="N628" s="145"/>
      <c r="O628" s="145"/>
      <c r="P628" s="122"/>
      <c r="Q628" s="304" t="str">
        <f t="shared" si="18"/>
        <v/>
      </c>
      <c r="R628" s="214"/>
      <c r="S628" s="157"/>
      <c r="T628" s="5"/>
      <c r="U628" s="5"/>
      <c r="V628" s="158"/>
      <c r="W628" s="158"/>
      <c r="X628" s="158"/>
      <c r="Y628" s="158"/>
      <c r="Z628" s="158"/>
      <c r="AA628" s="158"/>
      <c r="AB628" s="158"/>
      <c r="AC628" s="158"/>
      <c r="AD628" s="158"/>
      <c r="AE628" s="158"/>
      <c r="AF628" s="158"/>
      <c r="AG628" s="158"/>
    </row>
    <row r="629" ht="15.75" hidden="1" customHeight="1">
      <c r="A629" s="90"/>
      <c r="B629" s="6"/>
      <c r="C629" s="90"/>
      <c r="D629" s="197"/>
      <c r="E629" s="198"/>
      <c r="F629" s="199"/>
      <c r="G629" s="187"/>
      <c r="H629" s="195"/>
      <c r="I629" s="164"/>
      <c r="J629" s="189"/>
      <c r="K629" s="190"/>
      <c r="L629" s="183"/>
      <c r="M629" s="134" t="str">
        <f>I494</f>
        <v/>
      </c>
      <c r="N629" s="135" t="str">
        <f>iferror(mround($P494*((VLOOKUP($J629,Sheet1!$D:$N,$G629+1,FALSE)-0.03)),2.5)," ")</f>
        <v> </v>
      </c>
      <c r="O629" s="135" t="str">
        <f>iferror(mround($P494*((VLOOKUP($J629,Sheet1!$D:$N,$G629+1,FALSE)+0.02)),2.5)," ")</f>
        <v> </v>
      </c>
      <c r="P629" s="112" t="str">
        <f>iferror(mround(I629/VLOOKUP(L629,Sheet1!$D$7:$N$16,G629+1,FALSE),2.5),"")</f>
        <v/>
      </c>
      <c r="Q629" s="303" t="str">
        <f t="shared" si="18"/>
        <v/>
      </c>
      <c r="R629" s="214"/>
      <c r="S629" s="11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</row>
    <row r="630" ht="3.75" hidden="1" customHeight="1">
      <c r="A630" s="90"/>
      <c r="B630" s="6"/>
      <c r="C630" s="90"/>
      <c r="D630" s="90"/>
      <c r="E630" s="156"/>
      <c r="F630" s="102"/>
      <c r="G630" s="102"/>
      <c r="H630" s="102"/>
      <c r="I630" s="102"/>
      <c r="J630" s="156"/>
      <c r="K630" s="200"/>
      <c r="L630" s="201"/>
      <c r="M630" s="211"/>
      <c r="N630" s="47"/>
      <c r="O630" s="47"/>
      <c r="P630" s="122"/>
      <c r="Q630" s="304" t="str">
        <f t="shared" si="18"/>
        <v/>
      </c>
      <c r="R630" s="214"/>
      <c r="S630" s="11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</row>
    <row r="631" ht="30.0" hidden="1" customHeight="1">
      <c r="A631" s="90"/>
      <c r="B631" s="6"/>
      <c r="C631" s="90"/>
      <c r="D631" s="202" t="s">
        <v>55</v>
      </c>
      <c r="E631" s="105" t="s">
        <v>15</v>
      </c>
      <c r="F631" s="106" t="s">
        <v>16</v>
      </c>
      <c r="G631" s="106" t="s">
        <v>17</v>
      </c>
      <c r="H631" s="107"/>
      <c r="I631" s="106" t="s">
        <v>18</v>
      </c>
      <c r="J631" s="108" t="s">
        <v>19</v>
      </c>
      <c r="L631" s="109" t="s">
        <v>20</v>
      </c>
      <c r="M631" s="110" t="s">
        <v>21</v>
      </c>
      <c r="N631" s="111" t="s">
        <v>22</v>
      </c>
      <c r="P631" s="112"/>
      <c r="Q631" s="113" t="s">
        <v>23</v>
      </c>
      <c r="R631" s="114" t="s">
        <v>56</v>
      </c>
      <c r="S631" s="11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</row>
    <row r="632" ht="14.25" hidden="1" customHeight="1">
      <c r="A632" s="90"/>
      <c r="B632" s="6"/>
      <c r="C632" s="90"/>
      <c r="D632" s="116" t="s">
        <v>25</v>
      </c>
      <c r="E632" s="117" t="s">
        <v>26</v>
      </c>
      <c r="H632" s="107"/>
      <c r="N632" s="111" t="s">
        <v>27</v>
      </c>
      <c r="O632" s="111" t="s">
        <v>28</v>
      </c>
      <c r="P632" s="112" t="s">
        <v>29</v>
      </c>
      <c r="R632" s="118" t="s">
        <v>30</v>
      </c>
      <c r="S632" s="11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</row>
    <row r="633" ht="3.75" hidden="1" customHeight="1">
      <c r="A633" s="191"/>
      <c r="B633" s="6"/>
      <c r="C633" s="192"/>
      <c r="D633" s="203"/>
      <c r="E633" s="204"/>
      <c r="F633" s="205"/>
      <c r="G633" s="205"/>
      <c r="H633" s="205"/>
      <c r="I633" s="225"/>
      <c r="J633" s="237"/>
      <c r="K633" s="209"/>
      <c r="L633" s="238"/>
      <c r="M633" s="211"/>
      <c r="N633" s="47"/>
      <c r="O633" s="47"/>
      <c r="P633" s="122"/>
      <c r="Q633" s="304" t="str">
        <f t="shared" ref="Q633:Q653" si="19">IF(OR(ISBLANK(I633), ISBLANK(I498)), "", IF(I633 - I498 = 0, "", I633 - I498))</f>
        <v/>
      </c>
      <c r="R633" s="239"/>
      <c r="S633" s="157"/>
      <c r="T633" s="5"/>
      <c r="U633" s="5"/>
      <c r="V633" s="158"/>
      <c r="W633" s="158"/>
      <c r="X633" s="158"/>
      <c r="Y633" s="158"/>
      <c r="Z633" s="158"/>
      <c r="AA633" s="158"/>
      <c r="AB633" s="158"/>
      <c r="AC633" s="158"/>
      <c r="AD633" s="158"/>
      <c r="AE633" s="158"/>
      <c r="AF633" s="158"/>
      <c r="AG633" s="158"/>
    </row>
    <row r="634" ht="15.75" hidden="1" customHeight="1">
      <c r="A634" s="124"/>
      <c r="B634" s="6"/>
      <c r="C634" s="124"/>
      <c r="D634" s="125"/>
      <c r="E634" s="126"/>
      <c r="F634" s="127"/>
      <c r="G634" s="240"/>
      <c r="H634" s="129"/>
      <c r="I634" s="130"/>
      <c r="J634" s="151"/>
      <c r="K634" s="241"/>
      <c r="L634" s="130"/>
      <c r="M634" s="134" t="str">
        <f>I499</f>
        <v/>
      </c>
      <c r="N634" s="135" t="str">
        <f>iferror(mround($P499*((VLOOKUP($J634,Sheet1!$D:$N,$G634+1,FALSE)-0.03)),2.5)," ")</f>
        <v> </v>
      </c>
      <c r="O634" s="135" t="str">
        <f>iferror(mround($P499*((VLOOKUP($J634,Sheet1!$D:$N,$G634+1,FALSE)+0.02)),2.5)," ")</f>
        <v> </v>
      </c>
      <c r="P634" s="112" t="str">
        <f>iferror(mround(I634/VLOOKUP(L634,Sheet1!$D$7:$N$16,G634+1,FALSE),2.5),"")</f>
        <v/>
      </c>
      <c r="Q634" s="303" t="str">
        <f t="shared" si="19"/>
        <v/>
      </c>
      <c r="R634" s="242"/>
      <c r="S634" s="11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</row>
    <row r="635" ht="3.75" hidden="1" customHeight="1">
      <c r="A635" s="124"/>
      <c r="B635" s="6"/>
      <c r="C635" s="124"/>
      <c r="D635" s="138"/>
      <c r="E635" s="139"/>
      <c r="F635" s="140"/>
      <c r="G635" s="140"/>
      <c r="H635" s="140"/>
      <c r="I635" s="140"/>
      <c r="J635" s="141"/>
      <c r="K635" s="243"/>
      <c r="L635" s="210"/>
      <c r="M635" s="144"/>
      <c r="N635" s="145"/>
      <c r="O635" s="145"/>
      <c r="P635" s="122"/>
      <c r="Q635" s="304" t="str">
        <f t="shared" si="19"/>
        <v/>
      </c>
      <c r="R635" s="242"/>
      <c r="S635" s="11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</row>
    <row r="636" ht="15.0" hidden="1" customHeight="1">
      <c r="A636" s="124"/>
      <c r="B636" s="6"/>
      <c r="C636" s="124"/>
      <c r="D636" s="125"/>
      <c r="E636" s="126"/>
      <c r="F636" s="127"/>
      <c r="G636" s="240"/>
      <c r="H636" s="129"/>
      <c r="I636" s="164"/>
      <c r="J636" s="165"/>
      <c r="K636" s="241"/>
      <c r="L636" s="130"/>
      <c r="M636" s="134" t="str">
        <f>I501</f>
        <v/>
      </c>
      <c r="N636" s="135" t="str">
        <f>iferror(mround($P501*((VLOOKUP($J636,Sheet1!$D:$N,$G636+1,FALSE)-0.03)),2.5)," ")</f>
        <v> </v>
      </c>
      <c r="O636" s="135" t="str">
        <f>iferror(mround($P501*((VLOOKUP($J636,Sheet1!$D:$N,$G636+1,FALSE)+0.02)),2.5)," ")</f>
        <v> </v>
      </c>
      <c r="P636" s="112" t="str">
        <f>iferror(mround(I636/VLOOKUP(L636,Sheet1!$D$7:$N$16,G636+1,FALSE),2.5),"")</f>
        <v/>
      </c>
      <c r="Q636" s="303" t="str">
        <f t="shared" si="19"/>
        <v/>
      </c>
      <c r="R636" s="242"/>
      <c r="S636" s="11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</row>
    <row r="637" ht="3.75" hidden="1" customHeight="1">
      <c r="A637" s="124"/>
      <c r="B637" s="6"/>
      <c r="C637" s="124"/>
      <c r="D637" s="138"/>
      <c r="E637" s="215"/>
      <c r="F637" s="102"/>
      <c r="G637" s="102"/>
      <c r="H637" s="102"/>
      <c r="I637" s="102"/>
      <c r="J637" s="156"/>
      <c r="K637" s="243"/>
      <c r="L637" s="210"/>
      <c r="M637" s="144"/>
      <c r="N637" s="145"/>
      <c r="O637" s="145"/>
      <c r="P637" s="122"/>
      <c r="Q637" s="304" t="str">
        <f t="shared" si="19"/>
        <v/>
      </c>
      <c r="R637" s="242"/>
      <c r="S637" s="11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</row>
    <row r="638" ht="15.75" hidden="1" customHeight="1">
      <c r="A638" s="124"/>
      <c r="B638" s="6"/>
      <c r="C638" s="124"/>
      <c r="D638" s="159"/>
      <c r="E638" s="126"/>
      <c r="F638" s="127"/>
      <c r="G638" s="161"/>
      <c r="H638" s="129"/>
      <c r="I638" s="130"/>
      <c r="J638" s="151"/>
      <c r="K638" s="244"/>
      <c r="L638" s="130"/>
      <c r="M638" s="134" t="str">
        <f>I503</f>
        <v/>
      </c>
      <c r="N638" s="135" t="str">
        <f>iferror(mround($P503*((VLOOKUP($J638,Sheet1!$D:$N,$G638+1,FALSE)-0.03)),2.5)," ")</f>
        <v> </v>
      </c>
      <c r="O638" s="135" t="str">
        <f>iferror(mround($P503*((VLOOKUP($J638,Sheet1!$D:$N,$G638+1,FALSE)+0.02)),2.5)," ")</f>
        <v> </v>
      </c>
      <c r="P638" s="112" t="str">
        <f>iferror(mround(I638/VLOOKUP(L638,Sheet1!$D$7:$N$16,G638+1,FALSE),2.5),"")</f>
        <v/>
      </c>
      <c r="Q638" s="303" t="str">
        <f t="shared" si="19"/>
        <v/>
      </c>
      <c r="R638" s="242"/>
      <c r="S638" s="11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</row>
    <row r="639" ht="3.75" hidden="1" customHeight="1">
      <c r="A639" s="124"/>
      <c r="B639" s="6"/>
      <c r="C639" s="124"/>
      <c r="D639" s="138"/>
      <c r="E639" s="154"/>
      <c r="F639" s="155"/>
      <c r="G639" s="102"/>
      <c r="H639" s="102"/>
      <c r="I639" s="102"/>
      <c r="J639" s="156"/>
      <c r="K639" s="243"/>
      <c r="L639" s="210"/>
      <c r="M639" s="144"/>
      <c r="N639" s="145"/>
      <c r="O639" s="145"/>
      <c r="P639" s="122"/>
      <c r="Q639" s="304" t="str">
        <f t="shared" si="19"/>
        <v/>
      </c>
      <c r="R639" s="242"/>
      <c r="S639" s="11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</row>
    <row r="640" ht="15.75" hidden="1" customHeight="1">
      <c r="A640" s="124"/>
      <c r="B640" s="6"/>
      <c r="C640" s="124"/>
      <c r="D640" s="159"/>
      <c r="E640" s="126"/>
      <c r="F640" s="127"/>
      <c r="G640" s="161"/>
      <c r="H640" s="129"/>
      <c r="I640" s="130"/>
      <c r="J640" s="151"/>
      <c r="K640" s="241"/>
      <c r="L640" s="130"/>
      <c r="M640" s="134" t="str">
        <f>I505</f>
        <v/>
      </c>
      <c r="N640" s="135" t="str">
        <f>iferror(mround($P505*((VLOOKUP($J640,Sheet1!$D:$N,$G640+1,FALSE)-0.03)),2.5)," ")</f>
        <v> </v>
      </c>
      <c r="O640" s="135" t="str">
        <f>iferror(mround($P505*((VLOOKUP($J640,Sheet1!$D:$N,$G640+1,FALSE)+0.02)),2.5)," ")</f>
        <v> </v>
      </c>
      <c r="P640" s="112" t="str">
        <f>iferror(mround(I640/VLOOKUP(L640,Sheet1!$D$7:$N$16,G640+1,FALSE),2.5),"")</f>
        <v/>
      </c>
      <c r="Q640" s="303" t="str">
        <f t="shared" si="19"/>
        <v/>
      </c>
      <c r="R640" s="242"/>
      <c r="S640" s="11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</row>
    <row r="641" ht="3.75" hidden="1" customHeight="1">
      <c r="A641" s="90"/>
      <c r="B641" s="6"/>
      <c r="C641" s="90"/>
      <c r="D641" s="138"/>
      <c r="E641" s="245"/>
      <c r="F641" s="102"/>
      <c r="G641" s="102"/>
      <c r="H641" s="102"/>
      <c r="I641" s="102"/>
      <c r="J641" s="156"/>
      <c r="K641" s="243"/>
      <c r="L641" s="210"/>
      <c r="M641" s="144"/>
      <c r="N641" s="145"/>
      <c r="O641" s="145"/>
      <c r="P641" s="122"/>
      <c r="Q641" s="304" t="str">
        <f t="shared" si="19"/>
        <v/>
      </c>
      <c r="R641" s="242"/>
      <c r="S641" s="11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</row>
    <row r="642" ht="15.75" hidden="1" customHeight="1">
      <c r="A642" s="90"/>
      <c r="B642" s="6"/>
      <c r="C642" s="90"/>
      <c r="D642" s="159"/>
      <c r="E642" s="227"/>
      <c r="F642" s="127"/>
      <c r="G642" s="221"/>
      <c r="H642" s="195"/>
      <c r="I642" s="130"/>
      <c r="J642" s="228"/>
      <c r="K642" s="241"/>
      <c r="L642" s="130"/>
      <c r="M642" s="134" t="str">
        <f>I507</f>
        <v/>
      </c>
      <c r="N642" s="135" t="str">
        <f>iferror(mround($P507*((VLOOKUP($J642,Sheet1!$D:$N,$G642+1,FALSE)-0.03)),2.5)," ")</f>
        <v> </v>
      </c>
      <c r="O642" s="135" t="str">
        <f>iferror(mround($P507*((VLOOKUP($J642,Sheet1!$D:$N,$G642+1,FALSE)+0.02)),2.5)," ")</f>
        <v> </v>
      </c>
      <c r="P642" s="112" t="str">
        <f>iferror(mround(I642/VLOOKUP(L642,Sheet1!$D$7:$N$16,G642+1,FALSE),2.5),"")</f>
        <v/>
      </c>
      <c r="Q642" s="303" t="str">
        <f t="shared" si="19"/>
        <v/>
      </c>
      <c r="R642" s="242"/>
      <c r="S642" s="11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</row>
    <row r="643" ht="3.75" hidden="1" customHeight="1">
      <c r="A643" s="191"/>
      <c r="B643" s="6"/>
      <c r="C643" s="192"/>
      <c r="D643" s="138"/>
      <c r="E643" s="245"/>
      <c r="F643" s="102"/>
      <c r="G643" s="102"/>
      <c r="H643" s="102"/>
      <c r="I643" s="102"/>
      <c r="J643" s="156"/>
      <c r="K643" s="243"/>
      <c r="L643" s="210"/>
      <c r="M643" s="144"/>
      <c r="N643" s="145"/>
      <c r="O643" s="145"/>
      <c r="P643" s="122"/>
      <c r="Q643" s="304" t="str">
        <f t="shared" si="19"/>
        <v/>
      </c>
      <c r="R643" s="242"/>
      <c r="S643" s="157"/>
      <c r="T643" s="5"/>
      <c r="U643" s="5"/>
      <c r="V643" s="158"/>
      <c r="W643" s="158"/>
      <c r="X643" s="158"/>
      <c r="Y643" s="158"/>
      <c r="Z643" s="158"/>
      <c r="AA643" s="158"/>
      <c r="AB643" s="158"/>
      <c r="AC643" s="158"/>
      <c r="AD643" s="158"/>
      <c r="AE643" s="158"/>
      <c r="AF643" s="158"/>
      <c r="AG643" s="158"/>
    </row>
    <row r="644" ht="15.75" hidden="1" customHeight="1">
      <c r="A644" s="90"/>
      <c r="B644" s="6"/>
      <c r="C644" s="90"/>
      <c r="D644" s="159"/>
      <c r="E644" s="246"/>
      <c r="F644" s="127"/>
      <c r="G644" s="221"/>
      <c r="H644" s="195"/>
      <c r="I644" s="130"/>
      <c r="J644" s="228"/>
      <c r="K644" s="241"/>
      <c r="L644" s="130"/>
      <c r="M644" s="134" t="str">
        <f>I509</f>
        <v/>
      </c>
      <c r="N644" s="135" t="str">
        <f>iferror(mround($P509*((VLOOKUP($J644,Sheet1!$D:$N,$G644+1,FALSE)-0.03)),2.5)," ")</f>
        <v> </v>
      </c>
      <c r="O644" s="135" t="str">
        <f>iferror(mround($P509*((VLOOKUP($J644,Sheet1!$D:$N,$G644+1,FALSE)+0.02)),2.5)," ")</f>
        <v> </v>
      </c>
      <c r="P644" s="112" t="str">
        <f>iferror(mround(I644/VLOOKUP(L644,Sheet1!$D$7:$N$16,G644+1,FALSE),2.5),"")</f>
        <v/>
      </c>
      <c r="Q644" s="303" t="str">
        <f t="shared" si="19"/>
        <v/>
      </c>
      <c r="R644" s="242"/>
      <c r="S644" s="11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</row>
    <row r="645" ht="3.75" hidden="1" customHeight="1">
      <c r="A645" s="90"/>
      <c r="B645" s="6"/>
      <c r="C645" s="90"/>
      <c r="D645" s="138"/>
      <c r="E645" s="245"/>
      <c r="F645" s="102"/>
      <c r="G645" s="102"/>
      <c r="H645" s="102"/>
      <c r="I645" s="102"/>
      <c r="J645" s="156"/>
      <c r="K645" s="243"/>
      <c r="L645" s="210"/>
      <c r="M645" s="144"/>
      <c r="N645" s="145"/>
      <c r="O645" s="145"/>
      <c r="P645" s="122"/>
      <c r="Q645" s="304" t="str">
        <f t="shared" si="19"/>
        <v/>
      </c>
      <c r="R645" s="242"/>
      <c r="S645" s="11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</row>
    <row r="646" ht="15.75" hidden="1" customHeight="1">
      <c r="A646" s="90"/>
      <c r="B646" s="6"/>
      <c r="C646" s="90"/>
      <c r="D646" s="185"/>
      <c r="E646" s="227"/>
      <c r="F646" s="187"/>
      <c r="G646" s="229"/>
      <c r="H646" s="195"/>
      <c r="I646" s="247"/>
      <c r="J646" s="248"/>
      <c r="K646" s="241"/>
      <c r="L646" s="164"/>
      <c r="M646" s="134" t="str">
        <f>I511</f>
        <v/>
      </c>
      <c r="N646" s="135" t="str">
        <f>iferror(mround($P511*((VLOOKUP($J646,Sheet1!$D:$N,$G646+1,FALSE)-0.03)),2.5)," ")</f>
        <v> </v>
      </c>
      <c r="O646" s="135" t="str">
        <f>iferror(mround($P511*((VLOOKUP($J646,Sheet1!$D:$N,$G646+1,FALSE)+0.02)),2.5)," ")</f>
        <v> </v>
      </c>
      <c r="P646" s="112" t="str">
        <f>iferror(mround(I646/VLOOKUP(L646,Sheet1!$D$7:$N$16,G646+1,FALSE),2.5),"")</f>
        <v/>
      </c>
      <c r="Q646" s="303" t="str">
        <f t="shared" si="19"/>
        <v/>
      </c>
      <c r="R646" s="242"/>
      <c r="S646" s="11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</row>
    <row r="647" ht="3.75" hidden="1" customHeight="1">
      <c r="A647" s="90"/>
      <c r="B647" s="6"/>
      <c r="C647" s="90"/>
      <c r="D647" s="138"/>
      <c r="E647" s="215"/>
      <c r="F647" s="102"/>
      <c r="G647" s="102"/>
      <c r="H647" s="102"/>
      <c r="I647" s="102"/>
      <c r="J647" s="156"/>
      <c r="K647" s="243"/>
      <c r="L647" s="210"/>
      <c r="M647" s="144"/>
      <c r="N647" s="145"/>
      <c r="O647" s="145"/>
      <c r="P647" s="122"/>
      <c r="Q647" s="304" t="str">
        <f t="shared" si="19"/>
        <v/>
      </c>
      <c r="R647" s="242"/>
      <c r="S647" s="11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</row>
    <row r="648" ht="15.75" hidden="1" customHeight="1">
      <c r="A648" s="90"/>
      <c r="B648" s="6"/>
      <c r="C648" s="90"/>
      <c r="D648" s="185"/>
      <c r="E648" s="220"/>
      <c r="F648" s="187"/>
      <c r="G648" s="229"/>
      <c r="H648" s="195"/>
      <c r="I648" s="247"/>
      <c r="J648" s="248"/>
      <c r="K648" s="241"/>
      <c r="L648" s="164"/>
      <c r="M648" s="134" t="str">
        <f>I513</f>
        <v/>
      </c>
      <c r="N648" s="135" t="str">
        <f>iferror(mround($P513*((VLOOKUP($J648,Sheet1!$D:$N,$G648+1,FALSE)-0.03)),2.5)," ")</f>
        <v> </v>
      </c>
      <c r="O648" s="135" t="str">
        <f>iferror(mround($P513*((VLOOKUP($J648,Sheet1!$D:$N,$G648+1,FALSE)+0.02)),2.5)," ")</f>
        <v> </v>
      </c>
      <c r="P648" s="112" t="str">
        <f>iferror(mround(I648/VLOOKUP(L648,Sheet1!$D$7:$N$16,G648+1,FALSE),2.5),"")</f>
        <v/>
      </c>
      <c r="Q648" s="303" t="str">
        <f t="shared" si="19"/>
        <v/>
      </c>
      <c r="R648" s="242"/>
      <c r="S648" s="11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</row>
    <row r="649" ht="3.75" hidden="1" customHeight="1">
      <c r="A649" s="90"/>
      <c r="B649" s="6"/>
      <c r="C649" s="90"/>
      <c r="D649" s="196"/>
      <c r="E649" s="184"/>
      <c r="F649" s="102"/>
      <c r="G649" s="102"/>
      <c r="H649" s="102"/>
      <c r="I649" s="102"/>
      <c r="J649" s="156"/>
      <c r="K649" s="249"/>
      <c r="L649" s="210"/>
      <c r="M649" s="144"/>
      <c r="N649" s="145"/>
      <c r="O649" s="145"/>
      <c r="P649" s="122"/>
      <c r="Q649" s="304" t="str">
        <f t="shared" si="19"/>
        <v/>
      </c>
      <c r="R649" s="242"/>
      <c r="S649" s="11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</row>
    <row r="650" ht="15.75" hidden="1" customHeight="1">
      <c r="A650" s="90"/>
      <c r="B650" s="6"/>
      <c r="C650" s="90"/>
      <c r="D650" s="197"/>
      <c r="E650" s="250"/>
      <c r="F650" s="129"/>
      <c r="G650" s="199"/>
      <c r="H650" s="195"/>
      <c r="I650" s="247"/>
      <c r="J650" s="248"/>
      <c r="K650" s="251"/>
      <c r="L650" s="164"/>
      <c r="M650" s="134" t="str">
        <f>I515</f>
        <v/>
      </c>
      <c r="N650" s="135" t="str">
        <f>iferror(mround($P515*((VLOOKUP($J650,Sheet1!$D:$N,$G650+1,FALSE)-0.03)),2.5)," ")</f>
        <v> </v>
      </c>
      <c r="O650" s="135" t="str">
        <f>iferror(mround($P515*((VLOOKUP($J650,Sheet1!$D:$N,$G650+1,FALSE)+0.02)),2.5)," ")</f>
        <v> </v>
      </c>
      <c r="P650" s="112" t="str">
        <f>iferror(mround(I650/VLOOKUP(L650,Sheet1!$D$7:$N$16,G650+1,FALSE),2.5),"")</f>
        <v/>
      </c>
      <c r="Q650" s="303" t="str">
        <f t="shared" si="19"/>
        <v/>
      </c>
      <c r="R650" s="242"/>
      <c r="S650" s="11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</row>
    <row r="651" ht="3.75" hidden="1" customHeight="1">
      <c r="A651" s="90"/>
      <c r="B651" s="6"/>
      <c r="C651" s="90"/>
      <c r="D651" s="234"/>
      <c r="E651" s="184"/>
      <c r="F651" s="102"/>
      <c r="G651" s="102"/>
      <c r="H651" s="102"/>
      <c r="I651" s="102"/>
      <c r="J651" s="156"/>
      <c r="K651" s="249"/>
      <c r="L651" s="210"/>
      <c r="M651" s="144"/>
      <c r="N651" s="145"/>
      <c r="O651" s="145"/>
      <c r="P651" s="122"/>
      <c r="Q651" s="304" t="str">
        <f t="shared" si="19"/>
        <v/>
      </c>
      <c r="R651" s="242"/>
      <c r="S651" s="11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</row>
    <row r="652" ht="15.75" hidden="1" customHeight="1">
      <c r="A652" s="90"/>
      <c r="B652" s="6"/>
      <c r="C652" s="90"/>
      <c r="D652" s="197"/>
      <c r="E652" s="198"/>
      <c r="F652" s="129"/>
      <c r="G652" s="199"/>
      <c r="H652" s="195"/>
      <c r="I652" s="164"/>
      <c r="J652" s="248"/>
      <c r="K652" s="251"/>
      <c r="L652" s="164"/>
      <c r="M652" s="134" t="str">
        <f>I517</f>
        <v/>
      </c>
      <c r="N652" s="135" t="str">
        <f>iferror(mround($P517*((VLOOKUP($J652,Sheet1!$D:$N,$G652+1,FALSE)-0.03)),2.5)," ")</f>
        <v> </v>
      </c>
      <c r="O652" s="135" t="str">
        <f>iferror(mround($P517*((VLOOKUP($J652,Sheet1!$D:$N,$G652+1,FALSE)+0.02)),2.5)," ")</f>
        <v> </v>
      </c>
      <c r="P652" s="112" t="str">
        <f>iferror(mround(I652/VLOOKUP(L652,Sheet1!$D$7:$N$16,G652+1,FALSE),2.5),"")</f>
        <v/>
      </c>
      <c r="Q652" s="303" t="str">
        <f t="shared" si="19"/>
        <v/>
      </c>
      <c r="R652" s="242"/>
      <c r="S652" s="11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</row>
    <row r="653" ht="3.75" hidden="1" customHeight="1">
      <c r="A653" s="124"/>
      <c r="B653" s="6"/>
      <c r="C653" s="124"/>
      <c r="D653" s="252"/>
      <c r="E653" s="252"/>
      <c r="F653" s="102"/>
      <c r="G653" s="102"/>
      <c r="H653" s="102"/>
      <c r="I653" s="102"/>
      <c r="J653" s="156"/>
      <c r="K653" s="253"/>
      <c r="L653" s="201"/>
      <c r="M653" s="211"/>
      <c r="N653" s="47"/>
      <c r="O653" s="47"/>
      <c r="P653" s="122"/>
      <c r="Q653" s="304" t="str">
        <f t="shared" si="19"/>
        <v/>
      </c>
      <c r="R653" s="242"/>
      <c r="S653" s="11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</row>
    <row r="654" ht="30.75" hidden="1" customHeight="1">
      <c r="A654" s="90"/>
      <c r="B654" s="6"/>
      <c r="C654" s="90"/>
      <c r="D654" s="254" t="s">
        <v>57</v>
      </c>
      <c r="E654" s="255" t="s">
        <v>15</v>
      </c>
      <c r="F654" s="106" t="s">
        <v>16</v>
      </c>
      <c r="G654" s="106" t="s">
        <v>17</v>
      </c>
      <c r="H654" s="107"/>
      <c r="I654" s="106" t="s">
        <v>18</v>
      </c>
      <c r="J654" s="108" t="s">
        <v>19</v>
      </c>
      <c r="L654" s="109" t="s">
        <v>20</v>
      </c>
      <c r="M654" s="110" t="s">
        <v>21</v>
      </c>
      <c r="N654" s="111" t="s">
        <v>22</v>
      </c>
      <c r="P654" s="112"/>
      <c r="Q654" s="113" t="s">
        <v>23</v>
      </c>
      <c r="R654" s="256" t="s">
        <v>58</v>
      </c>
      <c r="S654" s="11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</row>
    <row r="655" ht="14.25" hidden="1" customHeight="1">
      <c r="A655" s="90"/>
      <c r="B655" s="6"/>
      <c r="C655" s="90"/>
      <c r="D655" s="257" t="s">
        <v>25</v>
      </c>
      <c r="E655" s="258" t="s">
        <v>26</v>
      </c>
      <c r="H655" s="107"/>
      <c r="N655" s="111" t="s">
        <v>27</v>
      </c>
      <c r="O655" s="111" t="s">
        <v>28</v>
      </c>
      <c r="P655" s="112" t="s">
        <v>29</v>
      </c>
      <c r="R655" s="118" t="s">
        <v>30</v>
      </c>
      <c r="S655" s="11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</row>
    <row r="656" ht="3.75" hidden="1" customHeight="1">
      <c r="A656" s="124"/>
      <c r="B656" s="6"/>
      <c r="C656" s="124"/>
      <c r="D656" s="252"/>
      <c r="E656" s="252"/>
      <c r="F656" s="102"/>
      <c r="G656" s="102"/>
      <c r="H656" s="102"/>
      <c r="I656" s="102"/>
      <c r="J656" s="156"/>
      <c r="K656" s="253"/>
      <c r="L656" s="201"/>
      <c r="M656" s="211"/>
      <c r="N656" s="47"/>
      <c r="O656" s="47"/>
      <c r="P656" s="122"/>
      <c r="Q656" s="304" t="str">
        <f t="shared" ref="Q656:Q679" si="20">IF(OR(ISBLANK(I656), ISBLANK(I521)), "", IF(I656 - I521 = 0, "", I656 - I521))</f>
        <v/>
      </c>
      <c r="R656" s="259"/>
      <c r="S656" s="11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</row>
    <row r="657" ht="14.25" hidden="1" customHeight="1">
      <c r="A657" s="124"/>
      <c r="B657" s="6"/>
      <c r="C657" s="124"/>
      <c r="D657" s="260"/>
      <c r="E657" s="126"/>
      <c r="F657" s="187"/>
      <c r="G657" s="229"/>
      <c r="H657" s="129"/>
      <c r="I657" s="164"/>
      <c r="J657" s="189"/>
      <c r="K657" s="251"/>
      <c r="L657" s="164"/>
      <c r="M657" s="134" t="str">
        <f>I524</f>
        <v/>
      </c>
      <c r="N657" s="135" t="str">
        <f>iferror(mround($P524*((VLOOKUP($J657,Sheet1!$D:$N,$G657+1,FALSE)-0.03)),2.5)," ")</f>
        <v> </v>
      </c>
      <c r="O657" s="135" t="str">
        <f>iferror(mround($P524*((VLOOKUP($J657,Sheet1!$D:$N,$G657+1,FALSE)+0.02)),2.5)," ")</f>
        <v> </v>
      </c>
      <c r="P657" s="56" t="str">
        <f>iferror(mround(I657/VLOOKUP(L657,Sheet1!$D$7:$N$16,G657+1,FALSE),2.5),"")</f>
        <v/>
      </c>
      <c r="Q657" s="303" t="str">
        <f t="shared" si="20"/>
        <v/>
      </c>
      <c r="S657" s="11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</row>
    <row r="658" ht="3.75" hidden="1" customHeight="1">
      <c r="A658" s="124"/>
      <c r="B658" s="6"/>
      <c r="C658" s="124"/>
      <c r="D658" s="138"/>
      <c r="E658" s="215"/>
      <c r="F658" s="102"/>
      <c r="G658" s="102"/>
      <c r="H658" s="102"/>
      <c r="I658" s="102"/>
      <c r="J658" s="156"/>
      <c r="K658" s="249"/>
      <c r="L658" s="210"/>
      <c r="M658" s="144"/>
      <c r="N658" s="145"/>
      <c r="O658" s="145"/>
      <c r="P658" s="122"/>
      <c r="Q658" s="304" t="str">
        <f t="shared" si="20"/>
        <v/>
      </c>
      <c r="S658" s="11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</row>
    <row r="659" ht="14.25" hidden="1" customHeight="1">
      <c r="A659" s="124"/>
      <c r="B659" s="6"/>
      <c r="C659" s="124"/>
      <c r="D659" s="185"/>
      <c r="E659" s="227"/>
      <c r="F659" s="187"/>
      <c r="G659" s="229"/>
      <c r="H659" s="195"/>
      <c r="I659" s="164"/>
      <c r="J659" s="248"/>
      <c r="K659" s="251"/>
      <c r="L659" s="164"/>
      <c r="M659" s="134" t="str">
        <f>I524</f>
        <v/>
      </c>
      <c r="N659" s="135" t="str">
        <f>iferror(mround($P524*((VLOOKUP($J659,Sheet1!$D:$N,$G659+1,FALSE)-0.03)),2.5)," ")</f>
        <v> </v>
      </c>
      <c r="O659" s="135" t="str">
        <f>iferror(mround($P524*((VLOOKUP($J659,Sheet1!$D:$N,$G659+1,FALSE)+0.02)),2.5)," ")</f>
        <v> </v>
      </c>
      <c r="P659" s="112" t="str">
        <f>iferror(mround(I659/VLOOKUP(L659,Sheet1!$D$7:$N$16,G659+1,FALSE),2.5),"")</f>
        <v/>
      </c>
      <c r="Q659" s="303" t="str">
        <f t="shared" si="20"/>
        <v/>
      </c>
      <c r="S659" s="11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</row>
    <row r="660" ht="3.75" hidden="1" customHeight="1">
      <c r="A660" s="124"/>
      <c r="B660" s="6"/>
      <c r="C660" s="124"/>
      <c r="D660" s="138"/>
      <c r="E660" s="245"/>
      <c r="F660" s="102"/>
      <c r="G660" s="102"/>
      <c r="H660" s="102"/>
      <c r="I660" s="102"/>
      <c r="J660" s="156"/>
      <c r="K660" s="249"/>
      <c r="L660" s="210"/>
      <c r="M660" s="144"/>
      <c r="N660" s="145"/>
      <c r="O660" s="145"/>
      <c r="P660" s="122"/>
      <c r="Q660" s="304" t="str">
        <f t="shared" si="20"/>
        <v/>
      </c>
      <c r="S660" s="11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</row>
    <row r="661" ht="14.25" hidden="1" customHeight="1">
      <c r="A661" s="124"/>
      <c r="B661" s="6"/>
      <c r="C661" s="124"/>
      <c r="D661" s="185"/>
      <c r="E661" s="227"/>
      <c r="F661" s="187"/>
      <c r="G661" s="229"/>
      <c r="H661" s="195"/>
      <c r="I661" s="164"/>
      <c r="J661" s="248"/>
      <c r="K661" s="251"/>
      <c r="L661" s="164"/>
      <c r="M661" s="134" t="str">
        <f>I526</f>
        <v/>
      </c>
      <c r="N661" s="135" t="str">
        <f>iferror(mround($P526*((VLOOKUP($J661,Sheet1!$D:$N,$G661+1,FALSE)-0.03)),2.5)," ")</f>
        <v> </v>
      </c>
      <c r="O661" s="135" t="str">
        <f>iferror(mround($P526*((VLOOKUP($J661,Sheet1!$D:$N,$G661+1,FALSE)+0.02)),2.5)," ")</f>
        <v> </v>
      </c>
      <c r="P661" s="112" t="str">
        <f>iferror(mround(I661/VLOOKUP(L661,Sheet1!$D$7:$N$16,G661+1,FALSE),2.5),"")</f>
        <v/>
      </c>
      <c r="Q661" s="303" t="str">
        <f t="shared" si="20"/>
        <v/>
      </c>
      <c r="S661" s="11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</row>
    <row r="662" ht="3.75" hidden="1" customHeight="1">
      <c r="A662" s="124"/>
      <c r="B662" s="6"/>
      <c r="C662" s="124"/>
      <c r="D662" s="138"/>
      <c r="E662" s="245"/>
      <c r="F662" s="102"/>
      <c r="G662" s="102"/>
      <c r="H662" s="102"/>
      <c r="I662" s="102"/>
      <c r="J662" s="156"/>
      <c r="K662" s="249"/>
      <c r="L662" s="210"/>
      <c r="M662" s="144"/>
      <c r="N662" s="145"/>
      <c r="O662" s="145"/>
      <c r="P662" s="122"/>
      <c r="Q662" s="304" t="str">
        <f t="shared" si="20"/>
        <v/>
      </c>
      <c r="S662" s="11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</row>
    <row r="663" ht="14.25" hidden="1" customHeight="1">
      <c r="A663" s="124"/>
      <c r="B663" s="6"/>
      <c r="C663" s="124"/>
      <c r="D663" s="185"/>
      <c r="E663" s="227"/>
      <c r="F663" s="187"/>
      <c r="G663" s="229"/>
      <c r="H663" s="195"/>
      <c r="I663" s="164"/>
      <c r="J663" s="248"/>
      <c r="K663" s="251"/>
      <c r="L663" s="164"/>
      <c r="M663" s="134"/>
      <c r="N663" s="135" t="str">
        <f>iferror(mround($P528*((VLOOKUP($J663,Sheet1!$D:$N,$G663+1,FALSE)-0.03)),2.5)," ")</f>
        <v> </v>
      </c>
      <c r="O663" s="135" t="str">
        <f>iferror(mround($P528*((VLOOKUP($J663,Sheet1!$D:$N,$G663+1,FALSE)+0.02)),2.5)," ")</f>
        <v> </v>
      </c>
      <c r="P663" s="112" t="str">
        <f>iferror(mround(I663/VLOOKUP(L663,Sheet1!$D$7:$N$16,G663+1,FALSE),2.5),"")</f>
        <v/>
      </c>
      <c r="Q663" s="303" t="str">
        <f t="shared" si="20"/>
        <v/>
      </c>
      <c r="S663" s="11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</row>
    <row r="664" ht="3.75" hidden="1" customHeight="1">
      <c r="A664" s="124"/>
      <c r="B664" s="6"/>
      <c r="C664" s="124"/>
      <c r="D664" s="138"/>
      <c r="E664" s="245"/>
      <c r="F664" s="102"/>
      <c r="G664" s="102"/>
      <c r="H664" s="102"/>
      <c r="I664" s="102"/>
      <c r="J664" s="156"/>
      <c r="K664" s="249"/>
      <c r="L664" s="210"/>
      <c r="M664" s="144"/>
      <c r="N664" s="145" t="str">
        <f>iferror(mround($P529*((VLOOKUP($J664,Sheet1!$D:$N,$G664+1,FALSE)-0.03)),2.5)," ")</f>
        <v> </v>
      </c>
      <c r="O664" s="145" t="str">
        <f>iferror(mround($P529*((VLOOKUP($J664,Sheet1!$D:$N,$G664+1,FALSE)+0.02)),2.5)," ")</f>
        <v> </v>
      </c>
      <c r="P664" s="122"/>
      <c r="Q664" s="304" t="str">
        <f t="shared" si="20"/>
        <v/>
      </c>
      <c r="S664" s="11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</row>
    <row r="665" ht="14.25" hidden="1" customHeight="1">
      <c r="A665" s="124"/>
      <c r="B665" s="6"/>
      <c r="C665" s="124"/>
      <c r="D665" s="185"/>
      <c r="E665" s="227"/>
      <c r="F665" s="187"/>
      <c r="G665" s="187"/>
      <c r="H665" s="195"/>
      <c r="I665" s="164"/>
      <c r="J665" s="248"/>
      <c r="K665" s="251"/>
      <c r="L665" s="164"/>
      <c r="M665" s="134" t="str">
        <f>I530</f>
        <v/>
      </c>
      <c r="N665" s="135" t="str">
        <f>iferror(mround($P530*((VLOOKUP($J665,Sheet1!$D:$N,$G665+1,FALSE)-0.03)),2.5)," ")</f>
        <v> </v>
      </c>
      <c r="O665" s="135" t="str">
        <f>iferror(mround($P530*((VLOOKUP($J665,Sheet1!$D:$N,$G665+1,FALSE)+0.02)),2.5)," ")</f>
        <v> </v>
      </c>
      <c r="P665" s="112" t="str">
        <f>iferror(mround(I665/VLOOKUP(L665,Sheet1!$D$7:$N$16,G665+1,FALSE),2.5),"")</f>
        <v/>
      </c>
      <c r="Q665" s="303" t="str">
        <f t="shared" si="20"/>
        <v/>
      </c>
      <c r="S665" s="11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</row>
    <row r="666" ht="3.75" hidden="1" customHeight="1">
      <c r="A666" s="261"/>
      <c r="B666" s="6"/>
      <c r="C666" s="262"/>
      <c r="D666" s="138"/>
      <c r="E666" s="245"/>
      <c r="F666" s="102"/>
      <c r="G666" s="102"/>
      <c r="H666" s="102"/>
      <c r="I666" s="102"/>
      <c r="J666" s="156"/>
      <c r="K666" s="249"/>
      <c r="L666" s="210"/>
      <c r="M666" s="144"/>
      <c r="N666" s="145"/>
      <c r="O666" s="145"/>
      <c r="P666" s="122"/>
      <c r="Q666" s="304" t="str">
        <f t="shared" si="20"/>
        <v/>
      </c>
      <c r="S666" s="157"/>
      <c r="T666" s="5"/>
      <c r="U666" s="5"/>
      <c r="V666" s="158"/>
      <c r="W666" s="158"/>
      <c r="X666" s="158"/>
      <c r="Y666" s="158"/>
      <c r="Z666" s="158"/>
      <c r="AA666" s="158"/>
      <c r="AB666" s="158"/>
      <c r="AC666" s="158"/>
      <c r="AD666" s="158"/>
      <c r="AE666" s="158"/>
      <c r="AF666" s="158"/>
      <c r="AG666" s="158"/>
    </row>
    <row r="667" ht="14.25" hidden="1" customHeight="1">
      <c r="A667" s="124"/>
      <c r="B667" s="6"/>
      <c r="C667" s="124"/>
      <c r="D667" s="185"/>
      <c r="E667" s="227"/>
      <c r="F667" s="187"/>
      <c r="G667" s="187"/>
      <c r="H667" s="195"/>
      <c r="I667" s="164"/>
      <c r="J667" s="248"/>
      <c r="K667" s="251"/>
      <c r="L667" s="164"/>
      <c r="M667" s="134" t="str">
        <f>I532</f>
        <v/>
      </c>
      <c r="N667" s="135" t="str">
        <f>iferror(mround($P532*((VLOOKUP($J667,Sheet1!$D:$N,$G667+1,FALSE)-0.03)),2.5)," ")</f>
        <v> </v>
      </c>
      <c r="O667" s="135" t="str">
        <f>iferror(mround($P532*((VLOOKUP($J667,Sheet1!$D:$N,$G667+1,FALSE)+0.02)),2.5)," ")</f>
        <v> </v>
      </c>
      <c r="P667" s="112" t="str">
        <f>iferror(mround(I667/VLOOKUP(L667,Sheet1!$D$7:$N$16,G667+1,FALSE),2.5),"")</f>
        <v/>
      </c>
      <c r="Q667" s="303" t="str">
        <f t="shared" si="20"/>
        <v/>
      </c>
      <c r="S667" s="11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</row>
    <row r="668" ht="3.75" hidden="1" customHeight="1">
      <c r="A668" s="261"/>
      <c r="B668" s="6"/>
      <c r="C668" s="262"/>
      <c r="D668" s="138"/>
      <c r="E668" s="252"/>
      <c r="F668" s="102"/>
      <c r="G668" s="102"/>
      <c r="H668" s="102"/>
      <c r="I668" s="102"/>
      <c r="J668" s="156"/>
      <c r="K668" s="249"/>
      <c r="L668" s="210"/>
      <c r="M668" s="144"/>
      <c r="N668" s="145"/>
      <c r="O668" s="145"/>
      <c r="P668" s="122"/>
      <c r="Q668" s="304" t="str">
        <f t="shared" si="20"/>
        <v/>
      </c>
      <c r="S668" s="157"/>
      <c r="T668" s="5"/>
      <c r="U668" s="5"/>
      <c r="V668" s="158"/>
      <c r="W668" s="158"/>
      <c r="X668" s="158"/>
      <c r="Y668" s="158"/>
      <c r="Z668" s="158"/>
      <c r="AA668" s="158"/>
      <c r="AB668" s="158"/>
      <c r="AC668" s="158"/>
      <c r="AD668" s="158"/>
      <c r="AE668" s="158"/>
      <c r="AF668" s="158"/>
      <c r="AG668" s="158"/>
    </row>
    <row r="669" ht="15.75" hidden="1" customHeight="1">
      <c r="A669" s="124"/>
      <c r="B669" s="6"/>
      <c r="C669" s="124"/>
      <c r="D669" s="185"/>
      <c r="E669" s="260"/>
      <c r="F669" s="187"/>
      <c r="G669" s="187"/>
      <c r="H669" s="195"/>
      <c r="I669" s="247"/>
      <c r="J669" s="248"/>
      <c r="K669" s="251"/>
      <c r="L669" s="164"/>
      <c r="M669" s="134"/>
      <c r="N669" s="135" t="str">
        <f>iferror(mround($P534*((VLOOKUP($J669,Sheet1!$D:$N,$G669+1,FALSE)-0.03)),2.5)," ")</f>
        <v> </v>
      </c>
      <c r="O669" s="135" t="str">
        <f>iferror(mround($P534*((VLOOKUP($J669,Sheet1!$D:$N,$G669+1,FALSE)+0.02)),2.5)," ")</f>
        <v> </v>
      </c>
      <c r="P669" s="112" t="str">
        <f>iferror(mround(I669/VLOOKUP(L669,Sheet1!$D$7:$N$16,G669+1,FALSE),2.5),"")</f>
        <v/>
      </c>
      <c r="Q669" s="303" t="str">
        <f t="shared" si="20"/>
        <v/>
      </c>
      <c r="S669" s="11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</row>
    <row r="670" ht="3.75" hidden="1" customHeight="1">
      <c r="A670" s="124"/>
      <c r="B670" s="6"/>
      <c r="C670" s="124"/>
      <c r="D670" s="263"/>
      <c r="E670" s="252"/>
      <c r="F670" s="102"/>
      <c r="G670" s="102"/>
      <c r="H670" s="102"/>
      <c r="I670" s="102"/>
      <c r="J670" s="156"/>
      <c r="K670" s="249"/>
      <c r="L670" s="210"/>
      <c r="M670" s="144"/>
      <c r="N670" s="145" t="str">
        <f>iferror(mround($P535*((VLOOKUP($J670,Sheet1!$D:$N,$G670+1,FALSE)-0.03)),2.5)," ")</f>
        <v> </v>
      </c>
      <c r="O670" s="145" t="str">
        <f>iferror(mround($P535*((VLOOKUP($J670,Sheet1!$D:$N,$G670+1,FALSE)+0.02)),2.5)," ")</f>
        <v> </v>
      </c>
      <c r="P670" s="122"/>
      <c r="Q670" s="304" t="str">
        <f t="shared" si="20"/>
        <v/>
      </c>
      <c r="S670" s="11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</row>
    <row r="671" ht="14.25" hidden="1" customHeight="1">
      <c r="A671" s="90"/>
      <c r="B671" s="6"/>
      <c r="C671" s="90"/>
      <c r="D671" s="185"/>
      <c r="E671" s="264"/>
      <c r="F671" s="187"/>
      <c r="G671" s="187"/>
      <c r="H671" s="195"/>
      <c r="I671" s="164"/>
      <c r="J671" s="248"/>
      <c r="K671" s="251"/>
      <c r="L671" s="164"/>
      <c r="M671" s="134" t="str">
        <f>I536</f>
        <v/>
      </c>
      <c r="N671" s="135" t="str">
        <f>iferror(mround($P536*((VLOOKUP($J671,Sheet1!$D:$N,$G671+1,FALSE)-0.03)),2.5)," ")</f>
        <v> </v>
      </c>
      <c r="O671" s="135" t="str">
        <f>iferror(mround($P536*((VLOOKUP($J671,Sheet1!$D:$N,$G671+1,FALSE)+0.02)),2.5)," ")</f>
        <v> </v>
      </c>
      <c r="P671" s="112" t="str">
        <f>iferror(mround(I671/VLOOKUP(L671,Sheet1!$D$7:$N$16,G671+1,FALSE),2.5),"")</f>
        <v/>
      </c>
      <c r="Q671" s="303" t="str">
        <f t="shared" si="20"/>
        <v/>
      </c>
      <c r="S671" s="11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</row>
    <row r="672" ht="3.75" hidden="1" customHeight="1">
      <c r="A672" s="261"/>
      <c r="B672" s="6"/>
      <c r="C672" s="262"/>
      <c r="D672" s="263"/>
      <c r="E672" s="263"/>
      <c r="F672" s="194"/>
      <c r="G672" s="194"/>
      <c r="H672" s="155"/>
      <c r="I672" s="210"/>
      <c r="J672" s="265"/>
      <c r="K672" s="249"/>
      <c r="L672" s="210"/>
      <c r="M672" s="144"/>
      <c r="N672" s="145"/>
      <c r="O672" s="145"/>
      <c r="P672" s="122"/>
      <c r="Q672" s="304" t="str">
        <f t="shared" si="20"/>
        <v/>
      </c>
      <c r="S672" s="157"/>
      <c r="T672" s="5"/>
      <c r="U672" s="5"/>
      <c r="V672" s="158"/>
      <c r="W672" s="158"/>
      <c r="X672" s="158"/>
      <c r="Y672" s="158"/>
      <c r="Z672" s="158"/>
      <c r="AA672" s="158"/>
      <c r="AB672" s="158"/>
      <c r="AC672" s="158"/>
      <c r="AD672" s="158"/>
      <c r="AE672" s="158"/>
      <c r="AF672" s="158"/>
      <c r="AG672" s="158"/>
    </row>
    <row r="673" ht="15.75" hidden="1" customHeight="1">
      <c r="A673" s="90"/>
      <c r="B673" s="6"/>
      <c r="C673" s="90"/>
      <c r="D673" s="185"/>
      <c r="E673" s="266"/>
      <c r="F673" s="187"/>
      <c r="G673" s="187"/>
      <c r="H673" s="195"/>
      <c r="I673" s="164"/>
      <c r="J673" s="248"/>
      <c r="K673" s="251"/>
      <c r="L673" s="164"/>
      <c r="M673" s="134"/>
      <c r="N673" s="135" t="str">
        <f>iferror(mround($P538*((VLOOKUP($J673,Sheet1!$D:$N,$G673+1,FALSE)-0.03)),2.5)," ")</f>
        <v> </v>
      </c>
      <c r="O673" s="135" t="str">
        <f>iferror(mround($P538*((VLOOKUP($J673,Sheet1!$D:$N,$G673+1,FALSE)+0.02)),2.5)," ")</f>
        <v> </v>
      </c>
      <c r="P673" s="112" t="str">
        <f>iferror(mround(I673/VLOOKUP(L673,Sheet1!$D$7:$N$16,G673+1,FALSE),2.5),"")</f>
        <v/>
      </c>
      <c r="Q673" s="303" t="str">
        <f t="shared" si="20"/>
        <v/>
      </c>
      <c r="S673" s="11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</row>
    <row r="674" ht="3.75" hidden="1" customHeight="1">
      <c r="A674" s="90"/>
      <c r="B674" s="6"/>
      <c r="C674" s="90"/>
      <c r="D674" s="138"/>
      <c r="E674" s="252"/>
      <c r="F674" s="102"/>
      <c r="G674" s="102"/>
      <c r="H674" s="102"/>
      <c r="I674" s="102"/>
      <c r="J674" s="156"/>
      <c r="K674" s="249"/>
      <c r="L674" s="210"/>
      <c r="M674" s="144"/>
      <c r="N674" s="145" t="str">
        <f>iferror(mround($P539*((VLOOKUP($J674,Sheet1!$D:$N,$G674+1,FALSE)-0.03)),2.5)," ")</f>
        <v> </v>
      </c>
      <c r="O674" s="145" t="str">
        <f>iferror(mround($P539*((VLOOKUP($J674,Sheet1!$D:$N,$G674+1,FALSE)+0.02)),2.5)," ")</f>
        <v> </v>
      </c>
      <c r="P674" s="122"/>
      <c r="Q674" s="304" t="str">
        <f t="shared" si="20"/>
        <v/>
      </c>
      <c r="S674" s="11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</row>
    <row r="675" ht="15.75" hidden="1" customHeight="1">
      <c r="A675" s="90"/>
      <c r="B675" s="6"/>
      <c r="C675" s="90"/>
      <c r="D675" s="185"/>
      <c r="E675" s="264"/>
      <c r="F675" s="187"/>
      <c r="G675" s="187"/>
      <c r="H675" s="195"/>
      <c r="I675" s="164"/>
      <c r="J675" s="248"/>
      <c r="K675" s="251"/>
      <c r="L675" s="164"/>
      <c r="M675" s="134" t="str">
        <f>I540</f>
        <v/>
      </c>
      <c r="N675" s="135" t="str">
        <f>iferror(mround($P540*((VLOOKUP($J675,Sheet1!$D:$N,$G675+1,FALSE)-0.03)),2.5)," ")</f>
        <v> </v>
      </c>
      <c r="O675" s="135" t="str">
        <f>iferror(mround($P540*((VLOOKUP($J675,Sheet1!$D:$N,$G675+1,FALSE)+0.02)),2.5)," ")</f>
        <v> </v>
      </c>
      <c r="P675" s="112" t="str">
        <f>iferror(mround(I675/VLOOKUP(L675,Sheet1!$D$7:$N$16,G675+1,FALSE),2.5),"")</f>
        <v/>
      </c>
      <c r="Q675" s="303" t="str">
        <f t="shared" si="20"/>
        <v/>
      </c>
      <c r="S675" s="11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</row>
    <row r="676" ht="3.75" hidden="1" customHeight="1">
      <c r="A676" s="191"/>
      <c r="B676" s="6"/>
      <c r="C676" s="192"/>
      <c r="D676" s="138"/>
      <c r="E676" s="252"/>
      <c r="F676" s="102"/>
      <c r="G676" s="102"/>
      <c r="H676" s="102"/>
      <c r="I676" s="102"/>
      <c r="J676" s="156"/>
      <c r="K676" s="249"/>
      <c r="L676" s="210"/>
      <c r="M676" s="144"/>
      <c r="N676" s="145"/>
      <c r="O676" s="145"/>
      <c r="P676" s="122"/>
      <c r="Q676" s="304" t="str">
        <f t="shared" si="20"/>
        <v/>
      </c>
      <c r="S676" s="157"/>
      <c r="T676" s="5"/>
      <c r="U676" s="5"/>
      <c r="V676" s="158"/>
      <c r="W676" s="158"/>
      <c r="X676" s="158"/>
      <c r="Y676" s="158"/>
      <c r="Z676" s="158"/>
      <c r="AA676" s="158"/>
      <c r="AB676" s="158"/>
      <c r="AC676" s="158"/>
      <c r="AD676" s="158"/>
      <c r="AE676" s="158"/>
      <c r="AF676" s="158"/>
      <c r="AG676" s="158"/>
    </row>
    <row r="677" ht="15.75" hidden="1" customHeight="1">
      <c r="A677" s="90"/>
      <c r="B677" s="6"/>
      <c r="C677" s="90"/>
      <c r="D677" s="185"/>
      <c r="E677" s="260"/>
      <c r="F677" s="187"/>
      <c r="G677" s="187"/>
      <c r="H677" s="195"/>
      <c r="I677" s="164"/>
      <c r="J677" s="248"/>
      <c r="K677" s="251"/>
      <c r="L677" s="164"/>
      <c r="M677" s="134" t="str">
        <f>I542</f>
        <v/>
      </c>
      <c r="N677" s="135" t="str">
        <f>iferror(mround($P542*((VLOOKUP($J677,Sheet1!$D:$N,$G677+1,FALSE)-0.03)),2.5)," ")</f>
        <v> </v>
      </c>
      <c r="O677" s="135" t="str">
        <f>iferror(mround($P542*((VLOOKUP($J677,Sheet1!$D:$N,$G677+1,FALSE)+0.02)),2.5)," ")</f>
        <v> </v>
      </c>
      <c r="P677" s="112" t="str">
        <f>iferror(mround(I677/VLOOKUP(L677,Sheet1!$D$7:$N$16,G677+1,FALSE),2.5),"")</f>
        <v/>
      </c>
      <c r="Q677" s="303" t="str">
        <f t="shared" si="20"/>
        <v/>
      </c>
      <c r="S677" s="11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</row>
    <row r="678" ht="3.75" hidden="1" customHeight="1">
      <c r="A678" s="90"/>
      <c r="B678" s="6"/>
      <c r="C678" s="90"/>
      <c r="D678" s="263"/>
      <c r="E678" s="252"/>
      <c r="F678" s="102"/>
      <c r="G678" s="102"/>
      <c r="H678" s="102"/>
      <c r="I678" s="102"/>
      <c r="J678" s="156"/>
      <c r="K678" s="249"/>
      <c r="L678" s="210"/>
      <c r="M678" s="144"/>
      <c r="N678" s="145"/>
      <c r="O678" s="145"/>
      <c r="P678" s="122"/>
      <c r="Q678" s="304" t="str">
        <f t="shared" si="20"/>
        <v/>
      </c>
      <c r="S678" s="11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</row>
    <row r="679" ht="15.75" hidden="1" customHeight="1">
      <c r="A679" s="90"/>
      <c r="B679" s="6"/>
      <c r="C679" s="90"/>
      <c r="D679" s="185"/>
      <c r="E679" s="266"/>
      <c r="F679" s="187"/>
      <c r="G679" s="187"/>
      <c r="H679" s="195"/>
      <c r="I679" s="164"/>
      <c r="J679" s="248"/>
      <c r="K679" s="251"/>
      <c r="L679" s="164"/>
      <c r="M679" s="134" t="str">
        <f>I544</f>
        <v/>
      </c>
      <c r="N679" s="135" t="str">
        <f>iferror(mround($P544*((VLOOKUP($J679,Sheet1!$D:$N,$G679+1,FALSE)-0.03)),2.5)," ")</f>
        <v> </v>
      </c>
      <c r="O679" s="135" t="str">
        <f>iferror(mround($P544*((VLOOKUP($J679,Sheet1!$D:$N,$G679+1,FALSE)+0.02)),2.5)," ")</f>
        <v> </v>
      </c>
      <c r="P679" s="112" t="str">
        <f>iferror(mround(I679/VLOOKUP(L679,Sheet1!$D$7:$N$16,G679+1,FALSE),2.5),"")</f>
        <v/>
      </c>
      <c r="Q679" s="303" t="str">
        <f t="shared" si="20"/>
        <v/>
      </c>
      <c r="S679" s="11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</row>
    <row r="680" ht="3.75" hidden="1" customHeight="1">
      <c r="A680" s="191"/>
      <c r="B680" s="6"/>
      <c r="C680" s="192"/>
      <c r="D680" s="192"/>
      <c r="E680" s="267"/>
      <c r="F680" s="194"/>
      <c r="G680" s="194"/>
      <c r="H680" s="155"/>
      <c r="I680" s="210"/>
      <c r="J680" s="268"/>
      <c r="K680" s="249"/>
      <c r="L680" s="269"/>
      <c r="M680" s="270"/>
      <c r="N680" s="269"/>
      <c r="O680" s="269"/>
      <c r="P680" s="271"/>
      <c r="Q680" s="272"/>
      <c r="R680" s="273"/>
      <c r="S680" s="157"/>
      <c r="T680" s="5"/>
      <c r="U680" s="5"/>
      <c r="V680" s="158"/>
      <c r="W680" s="158"/>
      <c r="X680" s="158"/>
      <c r="Y680" s="158"/>
      <c r="Z680" s="158"/>
      <c r="AA680" s="158"/>
      <c r="AB680" s="158"/>
      <c r="AC680" s="158"/>
      <c r="AD680" s="158"/>
      <c r="AE680" s="158"/>
      <c r="AF680" s="158"/>
      <c r="AG680" s="158"/>
    </row>
    <row r="681" ht="14.25" customHeight="1">
      <c r="A681" s="5"/>
      <c r="B681" s="6"/>
      <c r="C681" s="5"/>
      <c r="D681" s="274"/>
      <c r="E681" s="266"/>
      <c r="F681" s="187"/>
      <c r="G681" s="187"/>
      <c r="H681" s="195"/>
      <c r="I681" s="129"/>
      <c r="J681" s="275"/>
      <c r="K681" s="276"/>
      <c r="L681" s="187"/>
      <c r="M681" s="187"/>
      <c r="N681" s="187"/>
      <c r="O681" s="187"/>
      <c r="P681" s="277"/>
      <c r="Q681" s="278"/>
      <c r="R681" s="279"/>
      <c r="S681" s="11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</row>
    <row r="682" ht="14.25" customHeight="1">
      <c r="A682" s="5"/>
      <c r="B682" s="6"/>
      <c r="C682" s="5"/>
      <c r="D682" s="274" t="s">
        <v>59</v>
      </c>
      <c r="E682" s="266" t="s">
        <v>16</v>
      </c>
      <c r="F682" s="187" t="s">
        <v>17</v>
      </c>
      <c r="G682" s="187" t="s">
        <v>60</v>
      </c>
      <c r="H682" s="187"/>
      <c r="I682" s="280" t="s">
        <v>61</v>
      </c>
      <c r="J682" s="266" t="s">
        <v>62</v>
      </c>
      <c r="K682" s="274"/>
      <c r="L682" s="187"/>
      <c r="M682" s="285"/>
      <c r="N682" s="285"/>
      <c r="O682" s="285"/>
      <c r="P682" s="282"/>
      <c r="Q682" s="278"/>
      <c r="R682" s="157"/>
      <c r="S682" s="11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</row>
    <row r="683" ht="14.25" customHeight="1">
      <c r="A683" s="5"/>
      <c r="B683" s="6"/>
      <c r="C683" s="5"/>
      <c r="D683" s="274" t="s">
        <v>6</v>
      </c>
      <c r="E683" s="283">
        <f>IFERROR(__xludf.DUMMYFUNCTION("SUM(FILTER(F558:F682, ISNUMBER(SEARCH(""squat"", D558:D682))))"),4.0)</f>
        <v>4</v>
      </c>
      <c r="F683" s="284">
        <f>IFERROR(__xludf.DUMMYFUNCTION("SUMPRODUCT(FILTER(F558:F682 * G558:G682, ISNUMBER(SEARCH(""squat"", D558:D682))))"),183516.0)</f>
        <v>183516</v>
      </c>
      <c r="G683" s="135">
        <f>IFERROR(__xludf.DUMMYFUNCTION("ROUND(SUMPRODUCT(FILTER(F558:F682 * G558:G682 * I558:I682, ISNUMBER(SEARCH(""squat"", D558:D682)))), 0)"),0.0)</f>
        <v>0</v>
      </c>
      <c r="H683" s="285"/>
      <c r="I683" s="135" t="str">
        <f>IFERROR(__xludf.DUMMYFUNCTION("ROUND(AVERAGE(FILTER(I558:I682, ISNUMBER(SEARCH(""squat"", D558:D682)), I558:I682 &lt;&gt; """")) / J683 * 100, 0)"),"#N/A")</f>
        <v>#N/A</v>
      </c>
      <c r="J683" s="283" t="str">
        <f>IFERROR(__xludf.DUMMYFUNCTION("IFERROR(MROUND(AVERAGE(FILTER(P558:P682, D558:D682 = ""comp squat"", P558:P682 &lt;&gt; """", P558:P682 &gt;= 0.9 * MAX(FILTER(P558:P682, D558:D682 = ""comp squat"", P558:P682 &lt;&gt; """")), P558:P682 &lt;= 1.1 * MAX(FILTER(P558:P682, D558:D682 = ""comp squat"", P558:P68"&amp;"2 &lt;&gt; """")))), 2.5), ""No valid data"")"),"No valid data")</f>
        <v>No valid data</v>
      </c>
      <c r="K683" s="286"/>
      <c r="L683" s="287" t="str">
        <f>MROUND(J683/2.2046,2.5)-$O$10</f>
        <v>#VALUE!</v>
      </c>
      <c r="M683" s="305"/>
      <c r="N683" s="305"/>
      <c r="O683" s="305"/>
      <c r="P683" s="282"/>
      <c r="Q683" s="278"/>
      <c r="R683" s="291"/>
      <c r="S683" s="11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</row>
    <row r="684" ht="3.0" customHeight="1">
      <c r="A684" s="5"/>
      <c r="B684" s="6"/>
      <c r="C684" s="5"/>
      <c r="D684" s="90"/>
      <c r="E684" s="156"/>
      <c r="F684" s="102"/>
      <c r="G684" s="145"/>
      <c r="H684" s="102"/>
      <c r="I684" s="145"/>
      <c r="J684" s="156"/>
      <c r="K684" s="286"/>
      <c r="L684" s="292"/>
      <c r="M684" s="284"/>
      <c r="N684" s="284"/>
      <c r="O684" s="305"/>
      <c r="P684" s="282"/>
      <c r="Q684" s="278"/>
      <c r="R684" s="115"/>
      <c r="S684" s="11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</row>
    <row r="685" ht="15.75" customHeight="1">
      <c r="A685" s="5"/>
      <c r="B685" s="6"/>
      <c r="C685" s="5"/>
      <c r="D685" s="274" t="s">
        <v>66</v>
      </c>
      <c r="E685" s="293">
        <f>IFERROR(__xludf.DUMMYFUNCTION("SUM(FILTER(F558:F682, ISNUMBER(SEARCH(""bench press"", D558:D682))))"),9.0)</f>
        <v>9</v>
      </c>
      <c r="F685" s="284">
        <f>IFERROR(__xludf.DUMMYFUNCTION("SUMPRODUCT(FILTER(F559:F683 * G559:G683, ISNUMBER(SEARCH(""bench press"", D559:D683))))"),37.0)</f>
        <v>37</v>
      </c>
      <c r="G685" s="135">
        <f>IFERROR(__xludf.DUMMYFUNCTION("ROUND(SUMPRODUCT(FILTER(F558:F682 * G558:G682 * I558:I682, ISNUMBER(SEARCH(""bench press"", D558:D682)))), 0)"),0.0)</f>
        <v>0</v>
      </c>
      <c r="H685" s="285"/>
      <c r="I685" s="135" t="str">
        <f>IFERROR(__xludf.DUMMYFUNCTION("ROUND(AVERAGE(FILTER(I558:I682, ISNUMBER(SEARCH(""bench press"", D558:D682)), I558:I682 &lt;&gt; """")) / J685 * 100, 0)"),"#VALUE!")</f>
        <v>#VALUE!</v>
      </c>
      <c r="J685" s="293" t="str">
        <f>IFERROR(__xludf.DUMMYFUNCTION("IFERROR(MROUND(AVERAGE(FILTER(P558:P682, D558:D682 = ""comp bench press"", P558:P682 &lt;&gt; """", P558:P682 &gt;= 0.9 * MAX(FILTER(P558:P682, D558:D682 = ""comp bench press"", P558:P682 &lt;&gt; """")), P558:P682 &lt;= 1.1 * MAX(FILTER(P558:P682, D558:D682 = ""comp bench"&amp;" press"", P558:P682 &lt;&gt; """")))), 2.5), ""No valid data"")"),"No valid data")</f>
        <v>No valid data</v>
      </c>
      <c r="K685" s="286"/>
      <c r="L685" s="294" t="str">
        <f>MROUND(J685/2.2046,2.5)-$O$11</f>
        <v>#VALUE!</v>
      </c>
      <c r="M685" s="285"/>
      <c r="N685" s="285"/>
      <c r="O685" s="305"/>
      <c r="P685" s="282"/>
      <c r="Q685" s="278"/>
      <c r="R685" s="157"/>
      <c r="S685" s="11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</row>
    <row r="686" ht="3.0" customHeight="1">
      <c r="A686" s="5"/>
      <c r="B686" s="6"/>
      <c r="C686" s="5"/>
      <c r="D686" s="90"/>
      <c r="E686" s="156"/>
      <c r="F686" s="102"/>
      <c r="G686" s="145"/>
      <c r="H686" s="102"/>
      <c r="I686" s="145"/>
      <c r="J686" s="156"/>
      <c r="K686" s="286"/>
      <c r="L686" s="292"/>
      <c r="M686" s="285"/>
      <c r="N686" s="285"/>
      <c r="O686" s="284"/>
      <c r="P686" s="282"/>
      <c r="Q686" s="278"/>
      <c r="R686" s="157"/>
      <c r="S686" s="11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</row>
    <row r="687" ht="14.25" customHeight="1">
      <c r="A687" s="5"/>
      <c r="B687" s="6"/>
      <c r="C687" s="5"/>
      <c r="D687" s="274" t="s">
        <v>10</v>
      </c>
      <c r="E687" s="293">
        <f>IFERROR(__xludf.DUMMYFUNCTION("SUM(FILTER(F558:F682, ISNUMBER(SEARCH(""deadlift"", D558:D682))))"),5.0)</f>
        <v>5</v>
      </c>
      <c r="F687" s="284">
        <f>IFERROR(__xludf.DUMMYFUNCTION("SUMPRODUCT(FILTER(F558:F682 * G558:G682, ISNUMBER(SEARCH(""deadlift"", D558:D682))))"),229521.0)</f>
        <v>229521</v>
      </c>
      <c r="G687" s="135">
        <f>IFERROR(__xludf.DUMMYFUNCTION("ROUND(SUMPRODUCT(FILTER(F558:F682 * G558:G682 * I558:I682, ISNUMBER(SEARCH(""deadlift"", D558:D682)))), 0)"),0.0)</f>
        <v>0</v>
      </c>
      <c r="H687" s="285"/>
      <c r="I687" s="135" t="str">
        <f>IFERROR(__xludf.DUMMYFUNCTION("ROUND(AVERAGE(FILTER(I558:I682, ISNUMBER(SEARCH(""deadlift"", D558:D682)), I558:I682 &lt;&gt; """")) / J687 * 100, 0)"),"#N/A")</f>
        <v>#N/A</v>
      </c>
      <c r="J687" s="293" t="str">
        <f>IFERROR(__xludf.DUMMYFUNCTION("IFERROR(MROUND(AVERAGE(FILTER(P558:P682, D558:D682 = ""comp deadlift"", P558:P682 &lt;&gt; """", P558:P682 &gt;= 0.9 * MAX(FILTER(P558:P682, D558:D682 = ""comp deadlift"", P558:P682 &lt;&gt; """")), P558:P682 &lt;= 1.1 * MAX(FILTER(P558:P682, D558:D682 = ""comp deadlift"","&amp;" P558:P682 &lt;&gt; """")))), 2.5), ""No valid data"")"),"No valid data")</f>
        <v>No valid data</v>
      </c>
      <c r="K687" s="286"/>
      <c r="L687" s="294" t="str">
        <f>MROUND(J687/2.2046,2.5)-$O$12</f>
        <v>#VALUE!</v>
      </c>
      <c r="M687" s="285"/>
      <c r="N687" s="285"/>
      <c r="O687" s="285"/>
      <c r="P687" s="282"/>
      <c r="Q687" s="278"/>
      <c r="R687" s="157"/>
      <c r="S687" s="11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</row>
    <row r="688" ht="14.25" customHeight="1">
      <c r="A688" s="5"/>
      <c r="B688" s="6"/>
      <c r="C688" s="5"/>
      <c r="D688" s="274"/>
      <c r="E688" s="266"/>
      <c r="F688" s="187"/>
      <c r="G688" s="187"/>
      <c r="H688" s="187"/>
      <c r="I688" s="187"/>
      <c r="J688" s="295"/>
      <c r="K688" s="274"/>
      <c r="L688" s="187"/>
      <c r="M688" s="285"/>
      <c r="N688" s="285"/>
      <c r="O688" s="285"/>
      <c r="P688" s="282"/>
      <c r="Q688" s="278"/>
      <c r="R688" s="157"/>
      <c r="S688" s="11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</row>
    <row r="689" ht="14.25" customHeight="1">
      <c r="A689" s="5"/>
      <c r="B689" s="2"/>
      <c r="C689" s="5"/>
      <c r="D689" s="5"/>
      <c r="E689" s="75"/>
      <c r="F689" s="3"/>
      <c r="G689" s="3"/>
      <c r="H689" s="3"/>
      <c r="I689" s="3"/>
      <c r="J689" s="75"/>
      <c r="K689" s="5"/>
      <c r="L689" s="3"/>
      <c r="M689" s="47"/>
      <c r="N689" s="3"/>
      <c r="O689" s="3"/>
      <c r="P689" s="3"/>
      <c r="Q689" s="4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</row>
    <row r="690" ht="14.25" customHeight="1">
      <c r="A690" s="5"/>
      <c r="B690" s="2"/>
      <c r="C690" s="5"/>
      <c r="D690" s="5"/>
      <c r="E690" s="75"/>
      <c r="F690" s="3"/>
      <c r="G690" s="3"/>
      <c r="H690" s="3"/>
      <c r="I690" s="3"/>
      <c r="J690" s="75"/>
      <c r="K690" s="5"/>
      <c r="L690" s="3"/>
      <c r="M690" s="47"/>
      <c r="N690" s="3"/>
      <c r="O690" s="3"/>
      <c r="P690" s="3"/>
      <c r="Q690" s="4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</row>
  </sheetData>
  <mergeCells count="242">
    <mergeCell ref="G496:G497"/>
    <mergeCell ref="I496:I497"/>
    <mergeCell ref="J496:K497"/>
    <mergeCell ref="L496:L497"/>
    <mergeCell ref="M496:M497"/>
    <mergeCell ref="N496:O496"/>
    <mergeCell ref="Q496:Q497"/>
    <mergeCell ref="F496:F497"/>
    <mergeCell ref="F519:F520"/>
    <mergeCell ref="G519:G520"/>
    <mergeCell ref="I519:I520"/>
    <mergeCell ref="J519:K520"/>
    <mergeCell ref="L519:L520"/>
    <mergeCell ref="M519:M520"/>
    <mergeCell ref="F583:F584"/>
    <mergeCell ref="G583:G584"/>
    <mergeCell ref="I583:I584"/>
    <mergeCell ref="J583:K584"/>
    <mergeCell ref="L583:L584"/>
    <mergeCell ref="E555:F555"/>
    <mergeCell ref="J555:L555"/>
    <mergeCell ref="F558:F559"/>
    <mergeCell ref="G558:G559"/>
    <mergeCell ref="I558:I559"/>
    <mergeCell ref="J558:K559"/>
    <mergeCell ref="L558:L559"/>
    <mergeCell ref="N608:O608"/>
    <mergeCell ref="Q608:Q609"/>
    <mergeCell ref="R610:R630"/>
    <mergeCell ref="R633:R653"/>
    <mergeCell ref="R656:R679"/>
    <mergeCell ref="M558:M559"/>
    <mergeCell ref="N558:O558"/>
    <mergeCell ref="Q558:Q559"/>
    <mergeCell ref="R560:R582"/>
    <mergeCell ref="N583:O583"/>
    <mergeCell ref="Q583:Q584"/>
    <mergeCell ref="R585:R607"/>
    <mergeCell ref="G631:G632"/>
    <mergeCell ref="I631:I632"/>
    <mergeCell ref="J631:K632"/>
    <mergeCell ref="L631:L632"/>
    <mergeCell ref="M631:M632"/>
    <mergeCell ref="N631:O631"/>
    <mergeCell ref="Q631:Q632"/>
    <mergeCell ref="N654:O654"/>
    <mergeCell ref="Q654:Q655"/>
    <mergeCell ref="F631:F632"/>
    <mergeCell ref="F654:F655"/>
    <mergeCell ref="G654:G655"/>
    <mergeCell ref="I654:I655"/>
    <mergeCell ref="J654:K655"/>
    <mergeCell ref="L654:L655"/>
    <mergeCell ref="M654:M655"/>
    <mergeCell ref="L423:L424"/>
    <mergeCell ref="M423:M424"/>
    <mergeCell ref="N423:O423"/>
    <mergeCell ref="Q423:Q424"/>
    <mergeCell ref="F384:F385"/>
    <mergeCell ref="E420:F420"/>
    <mergeCell ref="J420:L420"/>
    <mergeCell ref="F423:F424"/>
    <mergeCell ref="G423:G424"/>
    <mergeCell ref="I423:I424"/>
    <mergeCell ref="J423:K424"/>
    <mergeCell ref="G448:G449"/>
    <mergeCell ref="I448:I449"/>
    <mergeCell ref="J448:K449"/>
    <mergeCell ref="L448:L449"/>
    <mergeCell ref="M448:M449"/>
    <mergeCell ref="N448:O448"/>
    <mergeCell ref="Q448:Q449"/>
    <mergeCell ref="N473:O473"/>
    <mergeCell ref="Q473:Q474"/>
    <mergeCell ref="F448:F449"/>
    <mergeCell ref="F473:F474"/>
    <mergeCell ref="G473:G474"/>
    <mergeCell ref="I473:I474"/>
    <mergeCell ref="J473:K474"/>
    <mergeCell ref="L473:L474"/>
    <mergeCell ref="M473:M474"/>
    <mergeCell ref="N519:O519"/>
    <mergeCell ref="Q519:Q520"/>
    <mergeCell ref="M583:M584"/>
    <mergeCell ref="F608:F609"/>
    <mergeCell ref="G608:G609"/>
    <mergeCell ref="I608:I609"/>
    <mergeCell ref="J608:K609"/>
    <mergeCell ref="L608:L609"/>
    <mergeCell ref="M608:M609"/>
    <mergeCell ref="F43:F44"/>
    <mergeCell ref="F68:F69"/>
    <mergeCell ref="G68:G69"/>
    <mergeCell ref="I68:I69"/>
    <mergeCell ref="J68:K69"/>
    <mergeCell ref="L68:L69"/>
    <mergeCell ref="F91:F92"/>
    <mergeCell ref="G91:G92"/>
    <mergeCell ref="I91:I92"/>
    <mergeCell ref="F114:F115"/>
    <mergeCell ref="G114:G115"/>
    <mergeCell ref="I114:I115"/>
    <mergeCell ref="J114:K115"/>
    <mergeCell ref="L114:L115"/>
    <mergeCell ref="I153:I154"/>
    <mergeCell ref="J153:K154"/>
    <mergeCell ref="N153:O153"/>
    <mergeCell ref="Q153:Q154"/>
    <mergeCell ref="M114:M115"/>
    <mergeCell ref="N114:O114"/>
    <mergeCell ref="Q114:Q115"/>
    <mergeCell ref="E150:F150"/>
    <mergeCell ref="J150:L150"/>
    <mergeCell ref="F153:F154"/>
    <mergeCell ref="G153:G154"/>
    <mergeCell ref="M178:M179"/>
    <mergeCell ref="N178:O178"/>
    <mergeCell ref="Q178:Q179"/>
    <mergeCell ref="L153:L154"/>
    <mergeCell ref="M153:M154"/>
    <mergeCell ref="F178:F179"/>
    <mergeCell ref="G178:G179"/>
    <mergeCell ref="I178:I179"/>
    <mergeCell ref="J178:K179"/>
    <mergeCell ref="L178:L179"/>
    <mergeCell ref="G203:G204"/>
    <mergeCell ref="I203:I204"/>
    <mergeCell ref="J203:K204"/>
    <mergeCell ref="L203:L204"/>
    <mergeCell ref="M203:M204"/>
    <mergeCell ref="N203:O203"/>
    <mergeCell ref="Q203:Q204"/>
    <mergeCell ref="F203:F204"/>
    <mergeCell ref="F226:F227"/>
    <mergeCell ref="G226:G227"/>
    <mergeCell ref="I226:I227"/>
    <mergeCell ref="J226:K227"/>
    <mergeCell ref="L226:L227"/>
    <mergeCell ref="M226:M227"/>
    <mergeCell ref="R45:R67"/>
    <mergeCell ref="R70:R90"/>
    <mergeCell ref="R93:R113"/>
    <mergeCell ref="R116:R139"/>
    <mergeCell ref="R155:R177"/>
    <mergeCell ref="R180:R202"/>
    <mergeCell ref="R205:R225"/>
    <mergeCell ref="R425:R447"/>
    <mergeCell ref="R450:R472"/>
    <mergeCell ref="R475:R495"/>
    <mergeCell ref="R498:R518"/>
    <mergeCell ref="R521:R544"/>
    <mergeCell ref="R228:R248"/>
    <mergeCell ref="R251:R274"/>
    <mergeCell ref="R290:R312"/>
    <mergeCell ref="R315:R337"/>
    <mergeCell ref="R340:R360"/>
    <mergeCell ref="R363:R383"/>
    <mergeCell ref="R386:R409"/>
    <mergeCell ref="E8:F8"/>
    <mergeCell ref="I8:K8"/>
    <mergeCell ref="N8:O8"/>
    <mergeCell ref="I10:J10"/>
    <mergeCell ref="R10:R11"/>
    <mergeCell ref="I11:L11"/>
    <mergeCell ref="J15:L15"/>
    <mergeCell ref="E15:F15"/>
    <mergeCell ref="E16:F16"/>
    <mergeCell ref="F18:F19"/>
    <mergeCell ref="G18:G19"/>
    <mergeCell ref="I18:I19"/>
    <mergeCell ref="J18:K19"/>
    <mergeCell ref="L18:L19"/>
    <mergeCell ref="G43:G44"/>
    <mergeCell ref="I43:I44"/>
    <mergeCell ref="J43:K44"/>
    <mergeCell ref="L43:L44"/>
    <mergeCell ref="M43:M44"/>
    <mergeCell ref="N43:O43"/>
    <mergeCell ref="Q43:Q44"/>
    <mergeCell ref="M18:M19"/>
    <mergeCell ref="N18:O18"/>
    <mergeCell ref="Q18:Q19"/>
    <mergeCell ref="R20:R42"/>
    <mergeCell ref="M68:M69"/>
    <mergeCell ref="N68:O68"/>
    <mergeCell ref="Q68:Q69"/>
    <mergeCell ref="J91:K92"/>
    <mergeCell ref="L91:L92"/>
    <mergeCell ref="M91:M92"/>
    <mergeCell ref="N91:O91"/>
    <mergeCell ref="Q91:Q92"/>
    <mergeCell ref="N226:O226"/>
    <mergeCell ref="Q226:Q227"/>
    <mergeCell ref="F249:F250"/>
    <mergeCell ref="G249:G250"/>
    <mergeCell ref="I249:I250"/>
    <mergeCell ref="J249:K250"/>
    <mergeCell ref="L249:L250"/>
    <mergeCell ref="Q249:Q250"/>
    <mergeCell ref="J288:K289"/>
    <mergeCell ref="L288:L289"/>
    <mergeCell ref="Q288:Q289"/>
    <mergeCell ref="M249:M250"/>
    <mergeCell ref="N249:O249"/>
    <mergeCell ref="E285:F285"/>
    <mergeCell ref="J285:L285"/>
    <mergeCell ref="F288:F289"/>
    <mergeCell ref="G288:G289"/>
    <mergeCell ref="I288:I289"/>
    <mergeCell ref="M313:M314"/>
    <mergeCell ref="N313:O313"/>
    <mergeCell ref="Q313:Q314"/>
    <mergeCell ref="M288:M289"/>
    <mergeCell ref="N288:O288"/>
    <mergeCell ref="F313:F314"/>
    <mergeCell ref="G313:G314"/>
    <mergeCell ref="I313:I314"/>
    <mergeCell ref="J313:K314"/>
    <mergeCell ref="L313:L314"/>
    <mergeCell ref="G338:G339"/>
    <mergeCell ref="I338:I339"/>
    <mergeCell ref="J338:K339"/>
    <mergeCell ref="L338:L339"/>
    <mergeCell ref="M338:M339"/>
    <mergeCell ref="N338:O338"/>
    <mergeCell ref="Q338:Q339"/>
    <mergeCell ref="N361:O361"/>
    <mergeCell ref="Q361:Q362"/>
    <mergeCell ref="F338:F339"/>
    <mergeCell ref="F361:F362"/>
    <mergeCell ref="G361:G362"/>
    <mergeCell ref="I361:I362"/>
    <mergeCell ref="J361:K362"/>
    <mergeCell ref="L361:L362"/>
    <mergeCell ref="M361:M362"/>
    <mergeCell ref="G384:G385"/>
    <mergeCell ref="I384:I385"/>
    <mergeCell ref="J384:K385"/>
    <mergeCell ref="L384:L385"/>
    <mergeCell ref="M384:M385"/>
    <mergeCell ref="N384:O384"/>
    <mergeCell ref="Q384:Q385"/>
  </mergeCells>
  <conditionalFormatting sqref="Q20:Q42 Q45:Q67 Q70:Q90 Q93:Q113 Q116:Q139 Q155:Q274 Q290:Q409 Q425:Q544 Q560:Q679">
    <cfRule type="cellIs" dxfId="0" priority="1" operator="greaterThan">
      <formula>0</formula>
    </cfRule>
  </conditionalFormatting>
  <conditionalFormatting sqref="Q20:Q42 Q45:Q67 Q70:Q90 Q93:Q113 Q116:Q139 Q155:Q274 Q290:Q409 Q425:Q544 Q560:Q679">
    <cfRule type="cellIs" dxfId="1" priority="2" operator="lessThan">
      <formula>0</formula>
    </cfRule>
  </conditionalFormatting>
  <conditionalFormatting sqref="D1:D15 F9:F13 O10:O13 D17:D150 D152:D285 D287:D420 D422:D690">
    <cfRule type="containsText" dxfId="2" priority="3" operator="containsText" text="squat">
      <formula>NOT(ISERROR(SEARCH(("squat"),(D1))))</formula>
    </cfRule>
  </conditionalFormatting>
  <conditionalFormatting sqref="D1:D15 F9:F13 O10:O13 D17:D150 D152:D285 D287:D420 D422:D690">
    <cfRule type="containsText" dxfId="3" priority="4" operator="containsText" text="bench press">
      <formula>NOT(ISERROR(SEARCH(("bench press"),(D1))))</formula>
    </cfRule>
  </conditionalFormatting>
  <conditionalFormatting sqref="D1:D15 F9:F13 O10:O13 D17:D150 D152:D285 D287:D420 D422:D690">
    <cfRule type="containsText" dxfId="4" priority="5" operator="containsText" text="deadlift">
      <formula>NOT(ISERROR(SEARCH(("deadlift"),(D1))))</formula>
    </cfRule>
  </conditionalFormatting>
  <conditionalFormatting sqref="I1:I690">
    <cfRule type="expression" dxfId="5" priority="6">
      <formula>isformula(I1:I690)</formula>
    </cfRule>
  </conditionalFormatting>
  <conditionalFormatting sqref="L143:L147 L278:L282 L413:L417 L548:L552 L683:L687">
    <cfRule type="cellIs" dxfId="6" priority="7" operator="greaterThanOrEqual">
      <formula>0</formula>
    </cfRule>
  </conditionalFormatting>
  <conditionalFormatting sqref="L143:L147 L278:L282 L413:L417 L548:L552 L683:L687">
    <cfRule type="cellIs" dxfId="7" priority="8" operator="lessThan">
      <formula>0</formula>
    </cfRule>
  </conditionalFormatting>
  <dataValidations>
    <dataValidation type="list" allowBlank="1" showErrorMessage="1" sqref="E18 E43 E68 E91 E153 E178 E203 E226 E288 E313 E338 E361 E423 E448 E473 E496 E558 E583 E608 E631">
      <formula1>"day,Sun,Mon,Tues,Wed,Thurs,Fri,Sat"</formula1>
    </dataValidation>
    <dataValidation type="list" allowBlank="1" showErrorMessage="1" sqref="D19 D44 D69 D92 D115 D154 D179 D204 D227 D250 D289 D314 D339 D362 D385 D424 D449 D474 D497 D520 D559 D584 D609 D632 D655">
      <formula1>"motivation,5 (high),4,3,2,1 (low)"</formula1>
    </dataValidation>
    <dataValidation type="list" allowBlank="1" showErrorMessage="1" sqref="E19 E44 E69 E92 E115 E154 E179 E204 E227 E250 E289 E314 E339 E362 E385 E424 E449 E474 E497 E520 E559 E584 E609 E632 E655">
      <formula1>"fatigue,5 (high),4,3,2,1 (low)"</formula1>
    </dataValidation>
    <dataValidation type="list" allowBlank="1" showErrorMessage="1" sqref="E114 E249 E384 E519 E654">
      <formula1>"day,Sunday,Monday,Tuesday,Wednesday,Thursday,Friday,Saturday"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.0"/>
    <col customWidth="1" min="2" max="2" width="2.38"/>
    <col customWidth="1" min="3" max="3" width="1.0"/>
    <col customWidth="1" min="4" max="4" width="20.88"/>
    <col customWidth="1" min="5" max="5" width="8.25"/>
    <col customWidth="1" min="6" max="6" width="4.38"/>
    <col customWidth="1" min="7" max="7" width="4.88"/>
    <col customWidth="1" min="8" max="8" width="0.38"/>
    <col customWidth="1" min="9" max="9" width="5.38"/>
    <col customWidth="1" min="10" max="10" width="4.25"/>
    <col customWidth="1" min="11" max="11" width="8.13"/>
    <col customWidth="1" min="12" max="12" width="5.88"/>
    <col customWidth="1" min="13" max="13" width="5.13"/>
    <col customWidth="1" min="14" max="14" width="5.5"/>
    <col customWidth="1" min="15" max="15" width="4.63"/>
    <col customWidth="1" min="16" max="16" width="5.13"/>
    <col customWidth="1" min="17" max="17" width="4.75"/>
    <col customWidth="1" min="18" max="18" width="31.5"/>
    <col customWidth="1" min="19" max="33" width="9.0"/>
  </cols>
  <sheetData>
    <row r="1" ht="5.2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3"/>
      <c r="L1" s="3"/>
      <c r="M1" s="3"/>
      <c r="N1" s="3"/>
      <c r="O1" s="3"/>
      <c r="P1" s="3"/>
      <c r="Q1" s="4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ht="13.5" customHeight="1">
      <c r="A2" s="1"/>
      <c r="B2" s="6"/>
      <c r="C2" s="7"/>
      <c r="D2" s="7"/>
      <c r="E2" s="7"/>
      <c r="F2" s="7"/>
      <c r="G2" s="7"/>
      <c r="H2" s="7"/>
      <c r="I2" s="7"/>
      <c r="J2" s="7"/>
      <c r="K2" s="8"/>
      <c r="L2" s="8"/>
      <c r="M2" s="8"/>
      <c r="N2" s="8"/>
      <c r="O2" s="8"/>
      <c r="P2" s="8"/>
      <c r="Q2" s="9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1"/>
      <c r="AF2" s="11"/>
      <c r="AG2" s="11"/>
    </row>
    <row r="3" ht="5.25" customHeight="1">
      <c r="A3" s="12"/>
      <c r="B3" s="13"/>
      <c r="C3" s="12"/>
      <c r="D3" s="12"/>
      <c r="E3" s="12"/>
      <c r="F3" s="12"/>
      <c r="G3" s="12"/>
      <c r="H3" s="12"/>
      <c r="I3" s="12"/>
      <c r="J3" s="12"/>
      <c r="K3" s="3"/>
      <c r="L3" s="3"/>
      <c r="M3" s="3"/>
      <c r="N3" s="3"/>
      <c r="O3" s="3"/>
      <c r="P3" s="3"/>
      <c r="Q3" s="4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</row>
    <row r="4" ht="18.75" customHeight="1">
      <c r="A4" s="12"/>
      <c r="B4" s="13"/>
      <c r="C4" s="12"/>
      <c r="D4" s="14"/>
      <c r="E4" s="14"/>
      <c r="F4" s="14"/>
      <c r="G4" s="14"/>
      <c r="H4" s="14"/>
      <c r="I4" s="14"/>
      <c r="J4" s="14"/>
      <c r="K4" s="15"/>
      <c r="L4" s="15"/>
      <c r="M4" s="15"/>
      <c r="N4" s="15"/>
      <c r="O4" s="15"/>
      <c r="P4" s="15"/>
      <c r="Q4" s="16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8"/>
      <c r="AF4" s="18"/>
      <c r="AG4" s="18"/>
    </row>
    <row r="5" ht="3.75" customHeight="1">
      <c r="A5" s="12"/>
      <c r="B5" s="13"/>
      <c r="C5" s="12"/>
      <c r="D5" s="12"/>
      <c r="E5" s="12"/>
      <c r="F5" s="19"/>
      <c r="G5" s="19"/>
      <c r="H5" s="19"/>
      <c r="I5" s="19"/>
      <c r="J5" s="12"/>
      <c r="K5" s="3"/>
      <c r="L5" s="3"/>
      <c r="M5" s="3"/>
      <c r="N5" s="3"/>
      <c r="O5" s="3"/>
      <c r="P5" s="3"/>
      <c r="Q5" s="4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</row>
    <row r="6" ht="22.5" customHeight="1">
      <c r="A6" s="12"/>
      <c r="B6" s="13"/>
      <c r="C6" s="12"/>
      <c r="D6" s="20"/>
      <c r="E6" s="20"/>
      <c r="F6" s="21"/>
      <c r="G6" s="21"/>
      <c r="H6" s="21"/>
      <c r="I6" s="21"/>
      <c r="J6" s="20"/>
      <c r="K6" s="22"/>
      <c r="L6" s="22"/>
      <c r="M6" s="22"/>
      <c r="N6" s="22"/>
      <c r="O6" s="22"/>
      <c r="P6" s="22"/>
      <c r="Q6" s="23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5"/>
      <c r="AF6" s="25"/>
      <c r="AG6" s="25"/>
    </row>
    <row r="7" ht="5.25" customHeight="1">
      <c r="A7" s="26"/>
      <c r="B7" s="27"/>
      <c r="C7" s="28"/>
      <c r="D7" s="29"/>
      <c r="E7" s="29"/>
      <c r="F7" s="30"/>
      <c r="G7" s="30"/>
      <c r="H7" s="30"/>
      <c r="I7" s="30"/>
      <c r="J7" s="29"/>
      <c r="K7" s="31"/>
      <c r="L7" s="31"/>
      <c r="M7" s="31"/>
      <c r="N7" s="31"/>
      <c r="O7" s="31"/>
      <c r="P7" s="31"/>
      <c r="Q7" s="30"/>
      <c r="R7" s="32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ht="13.5" customHeight="1">
      <c r="A8" s="5"/>
      <c r="B8" s="6"/>
      <c r="C8" s="10"/>
      <c r="D8" s="34" t="s">
        <v>0</v>
      </c>
      <c r="E8" s="35" t="s">
        <v>1</v>
      </c>
      <c r="G8" s="36"/>
      <c r="H8" s="36"/>
      <c r="I8" s="36" t="s">
        <v>2</v>
      </c>
      <c r="J8" s="37"/>
      <c r="K8" s="37"/>
      <c r="L8" s="38"/>
      <c r="M8" s="38"/>
      <c r="N8" s="35" t="s">
        <v>3</v>
      </c>
      <c r="P8" s="38"/>
      <c r="Q8" s="39"/>
      <c r="R8" s="40" t="s">
        <v>4</v>
      </c>
      <c r="S8" s="10"/>
      <c r="T8" s="5"/>
      <c r="U8" s="5"/>
      <c r="V8" s="5"/>
      <c r="W8" s="5"/>
      <c r="X8" s="5"/>
      <c r="Y8" s="5"/>
      <c r="Z8" s="5"/>
      <c r="AA8" s="5"/>
      <c r="AB8" s="5"/>
      <c r="AC8" s="5"/>
      <c r="AD8" s="5"/>
    </row>
    <row r="9" ht="5.25" customHeight="1">
      <c r="A9" s="41"/>
      <c r="B9" s="42"/>
      <c r="C9" s="41"/>
      <c r="D9" s="43"/>
      <c r="E9" s="44"/>
      <c r="F9" s="45"/>
      <c r="G9" s="46"/>
      <c r="H9" s="46"/>
      <c r="I9" s="46"/>
      <c r="J9" s="46"/>
      <c r="K9" s="47"/>
      <c r="L9" s="47"/>
      <c r="M9" s="47"/>
      <c r="N9" s="47"/>
      <c r="O9" s="47"/>
      <c r="P9" s="47"/>
      <c r="Q9" s="48"/>
      <c r="R9" s="49"/>
    </row>
    <row r="10" ht="12.75" customHeight="1">
      <c r="A10" s="41"/>
      <c r="B10" s="42"/>
      <c r="C10" s="41"/>
      <c r="D10" s="50" t="s">
        <v>5</v>
      </c>
      <c r="E10" s="51" t="s">
        <v>6</v>
      </c>
      <c r="F10" s="52">
        <v>245.0</v>
      </c>
      <c r="G10" s="53"/>
      <c r="H10" s="53"/>
      <c r="I10" s="54"/>
      <c r="J10" s="55"/>
      <c r="K10" s="56"/>
      <c r="L10" s="56"/>
      <c r="M10" s="57"/>
      <c r="N10" s="51" t="s">
        <v>6</v>
      </c>
      <c r="O10" s="52">
        <v>242.5</v>
      </c>
      <c r="P10" s="57"/>
      <c r="Q10" s="58"/>
      <c r="R10" s="59" t="s">
        <v>7</v>
      </c>
      <c r="S10" s="60"/>
    </row>
    <row r="11" ht="12.75" customHeight="1">
      <c r="A11" s="41"/>
      <c r="B11" s="42"/>
      <c r="C11" s="41"/>
      <c r="D11" s="50" t="s">
        <v>8</v>
      </c>
      <c r="E11" s="61" t="s">
        <v>9</v>
      </c>
      <c r="F11" s="52">
        <v>160.0</v>
      </c>
      <c r="G11" s="57"/>
      <c r="H11" s="57"/>
      <c r="I11" s="62"/>
      <c r="J11" s="63"/>
      <c r="K11" s="63"/>
      <c r="L11" s="55"/>
      <c r="M11" s="57"/>
      <c r="N11" s="61" t="s">
        <v>9</v>
      </c>
      <c r="O11" s="52">
        <v>152.5</v>
      </c>
      <c r="P11" s="57"/>
      <c r="Q11" s="58"/>
      <c r="S11" s="60"/>
    </row>
    <row r="12" ht="12.75" customHeight="1">
      <c r="A12" s="41"/>
      <c r="B12" s="42"/>
      <c r="C12" s="41"/>
      <c r="D12" s="64"/>
      <c r="E12" s="65" t="s">
        <v>10</v>
      </c>
      <c r="F12" s="52">
        <v>270.0</v>
      </c>
      <c r="G12" s="57"/>
      <c r="H12" s="57"/>
      <c r="I12" s="66" t="str">
        <f>IF(I10 = "", "", INT((I10 - TODAY()) / 7) &amp; " weeks, " &amp; MOD(I10 - TODAY(), 7) &amp; " day(s) out")</f>
        <v/>
      </c>
      <c r="J12" s="67"/>
      <c r="K12" s="67"/>
      <c r="L12" s="67"/>
      <c r="M12" s="57"/>
      <c r="N12" s="65" t="s">
        <v>10</v>
      </c>
      <c r="O12" s="52">
        <v>265.0</v>
      </c>
      <c r="P12" s="57"/>
      <c r="Q12" s="58"/>
      <c r="R12" s="68"/>
      <c r="S12" s="60"/>
    </row>
    <row r="13" ht="12.75" customHeight="1">
      <c r="A13" s="69"/>
      <c r="B13" s="70"/>
      <c r="C13" s="69"/>
      <c r="D13" s="71"/>
      <c r="E13" s="72" t="s">
        <v>11</v>
      </c>
      <c r="F13" s="73">
        <f>SUM(F10:F12)</f>
        <v>675</v>
      </c>
      <c r="G13" s="57"/>
      <c r="H13" s="57"/>
      <c r="I13" s="57"/>
      <c r="J13" s="74"/>
      <c r="K13" s="57"/>
      <c r="L13" s="57"/>
      <c r="M13" s="57"/>
      <c r="N13" s="72" t="s">
        <v>11</v>
      </c>
      <c r="O13" s="73">
        <f>SUM(O10:O12)</f>
        <v>660</v>
      </c>
      <c r="P13" s="57"/>
      <c r="Q13" s="58"/>
      <c r="R13" s="68"/>
      <c r="S13" s="60"/>
    </row>
    <row r="14" ht="5.25" customHeight="1">
      <c r="A14" s="5"/>
      <c r="B14" s="2"/>
      <c r="C14" s="5"/>
      <c r="D14" s="5"/>
      <c r="E14" s="75"/>
      <c r="F14" s="3"/>
      <c r="G14" s="3"/>
      <c r="H14" s="3"/>
      <c r="I14" s="3"/>
      <c r="J14" s="75"/>
      <c r="K14" s="3"/>
      <c r="L14" s="3"/>
      <c r="M14" s="3"/>
      <c r="N14" s="3"/>
      <c r="O14" s="3"/>
      <c r="P14" s="3"/>
      <c r="Q14" s="4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</row>
    <row r="15" ht="18.75" customHeight="1">
      <c r="A15" s="76"/>
      <c r="B15" s="77"/>
      <c r="C15" s="78"/>
      <c r="D15" s="79" t="s">
        <v>12</v>
      </c>
      <c r="E15" s="80" t="s">
        <v>13</v>
      </c>
      <c r="G15" s="81"/>
      <c r="H15" s="81"/>
      <c r="I15" s="81"/>
      <c r="J15" s="82"/>
      <c r="K15" s="83"/>
      <c r="L15" s="83"/>
      <c r="M15" s="84"/>
      <c r="N15" s="84"/>
      <c r="O15" s="84"/>
      <c r="P15" s="85"/>
      <c r="Q15" s="86"/>
      <c r="R15" s="87"/>
      <c r="S15" s="88"/>
      <c r="T15" s="89"/>
      <c r="U15" s="89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</row>
    <row r="16" ht="18.75" customHeight="1">
      <c r="A16" s="90"/>
      <c r="B16" s="6"/>
      <c r="C16" s="91"/>
      <c r="D16" s="36">
        <v>1.0</v>
      </c>
      <c r="E16" s="36"/>
      <c r="F16" s="37"/>
      <c r="G16" s="81"/>
      <c r="H16" s="81"/>
      <c r="I16" s="81"/>
      <c r="J16" s="92"/>
      <c r="K16" s="93"/>
      <c r="L16" s="93"/>
      <c r="M16" s="93"/>
      <c r="N16" s="93"/>
      <c r="O16" s="93"/>
      <c r="P16" s="94"/>
      <c r="Q16" s="95"/>
      <c r="R16" s="96"/>
      <c r="S16" s="10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</row>
    <row r="17" ht="5.25" customHeight="1">
      <c r="A17" s="90"/>
      <c r="B17" s="6"/>
      <c r="C17" s="90"/>
      <c r="D17" s="97"/>
      <c r="E17" s="98"/>
      <c r="F17" s="99"/>
      <c r="G17" s="99"/>
      <c r="H17" s="99"/>
      <c r="I17" s="100"/>
      <c r="J17" s="101"/>
      <c r="K17" s="90"/>
      <c r="L17" s="102"/>
      <c r="M17" s="102"/>
      <c r="N17" s="102"/>
      <c r="O17" s="102"/>
      <c r="P17" s="103"/>
      <c r="Q17" s="4"/>
      <c r="R17" s="90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</row>
    <row r="18" ht="32.25" customHeight="1">
      <c r="A18" s="90"/>
      <c r="B18" s="6"/>
      <c r="C18" s="90"/>
      <c r="D18" s="104" t="s">
        <v>14</v>
      </c>
      <c r="E18" s="105" t="s">
        <v>75</v>
      </c>
      <c r="F18" s="106" t="s">
        <v>16</v>
      </c>
      <c r="G18" s="106" t="s">
        <v>17</v>
      </c>
      <c r="H18" s="107"/>
      <c r="I18" s="106" t="s">
        <v>18</v>
      </c>
      <c r="J18" s="108" t="s">
        <v>19</v>
      </c>
      <c r="L18" s="109" t="s">
        <v>20</v>
      </c>
      <c r="M18" s="110" t="s">
        <v>21</v>
      </c>
      <c r="N18" s="111" t="s">
        <v>22</v>
      </c>
      <c r="P18" s="112"/>
      <c r="Q18" s="113" t="s">
        <v>23</v>
      </c>
      <c r="R18" s="114" t="s">
        <v>24</v>
      </c>
      <c r="S18" s="11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</row>
    <row r="19" ht="14.25" customHeight="1">
      <c r="A19" s="90"/>
      <c r="B19" s="6"/>
      <c r="C19" s="90"/>
      <c r="D19" s="116">
        <v>3.0</v>
      </c>
      <c r="E19" s="117" t="s">
        <v>76</v>
      </c>
      <c r="H19" s="107"/>
      <c r="N19" s="111" t="s">
        <v>27</v>
      </c>
      <c r="O19" s="111" t="s">
        <v>28</v>
      </c>
      <c r="P19" s="112" t="s">
        <v>29</v>
      </c>
      <c r="R19" s="118" t="s">
        <v>30</v>
      </c>
      <c r="S19" s="11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</row>
    <row r="20" ht="3.75" customHeight="1">
      <c r="A20" s="90"/>
      <c r="B20" s="6"/>
      <c r="C20" s="90"/>
      <c r="D20" s="97"/>
      <c r="E20" s="119"/>
      <c r="F20" s="99"/>
      <c r="G20" s="99"/>
      <c r="H20" s="99"/>
      <c r="I20" s="100"/>
      <c r="J20" s="101"/>
      <c r="K20" s="120"/>
      <c r="L20" s="102"/>
      <c r="M20" s="121"/>
      <c r="N20" s="102"/>
      <c r="O20" s="102"/>
      <c r="P20" s="122"/>
      <c r="Q20" s="4"/>
      <c r="R20" s="123"/>
      <c r="S20" s="11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</row>
    <row r="21" ht="15.75" customHeight="1">
      <c r="A21" s="124"/>
      <c r="B21" s="6"/>
      <c r="C21" s="124"/>
      <c r="D21" s="125" t="s">
        <v>77</v>
      </c>
      <c r="E21" s="126"/>
      <c r="F21" s="127">
        <v>1.0</v>
      </c>
      <c r="G21" s="240">
        <v>4.0</v>
      </c>
      <c r="H21" s="129"/>
      <c r="I21" s="130">
        <v>365.0</v>
      </c>
      <c r="J21" s="151">
        <v>5.0</v>
      </c>
      <c r="K21" s="132"/>
      <c r="L21" s="133">
        <v>4.5</v>
      </c>
      <c r="M21" s="134"/>
      <c r="N21" s="135" t="str">
        <f>iferror(mround(#REF!*((VLOOKUP($J21,Sheet1!$D:$N,$G21+1,FALSE)-0.03)),2.5)," ")</f>
        <v> </v>
      </c>
      <c r="O21" s="135" t="str">
        <f>iferror(mround(#REF!*((VLOOKUP($J21,Sheet1!$D:$N,$G21+1,FALSE)+0.02)),2.5)," ")</f>
        <v> </v>
      </c>
      <c r="P21" s="56" t="str">
        <f>iferror(mround(I21/VLOOKUP(L21,Sheet1!$D$7:$N$16,G21+1,FALSE),2.5),"")</f>
        <v/>
      </c>
      <c r="Q21" s="136"/>
      <c r="S21" s="11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</row>
    <row r="22" ht="3.75" customHeight="1">
      <c r="A22" s="137"/>
      <c r="B22" s="70"/>
      <c r="C22" s="137"/>
      <c r="D22" s="138"/>
      <c r="E22" s="139"/>
      <c r="F22" s="140"/>
      <c r="G22" s="140"/>
      <c r="H22" s="140"/>
      <c r="I22" s="140"/>
      <c r="J22" s="141"/>
      <c r="K22" s="142"/>
      <c r="L22" s="143"/>
      <c r="M22" s="144"/>
      <c r="N22" s="145"/>
      <c r="O22" s="145"/>
      <c r="P22" s="122"/>
      <c r="Q22" s="146"/>
      <c r="S22" s="147"/>
      <c r="T22" s="148"/>
      <c r="U22" s="148"/>
      <c r="V22" s="148"/>
      <c r="W22" s="148"/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</row>
    <row r="23" ht="15.75" customHeight="1">
      <c r="A23" s="149"/>
      <c r="B23" s="150"/>
      <c r="C23" s="149"/>
      <c r="D23" s="125" t="s">
        <v>77</v>
      </c>
      <c r="E23" s="126"/>
      <c r="F23" s="127">
        <v>1.0</v>
      </c>
      <c r="G23" s="240">
        <v>5.0</v>
      </c>
      <c r="H23" s="129"/>
      <c r="I23" s="130">
        <v>385.0</v>
      </c>
      <c r="J23" s="151">
        <v>6.0</v>
      </c>
      <c r="K23" s="132"/>
      <c r="L23" s="133">
        <v>6.0</v>
      </c>
      <c r="M23" s="134"/>
      <c r="N23" s="135" t="str">
        <f>iferror(mround(#REF!*((VLOOKUP($J23,Sheet1!$D:$N,$G23+1,FALSE)-0.03)),2.5)," ")</f>
        <v> </v>
      </c>
      <c r="O23" s="135" t="str">
        <f>iferror(mround(#REF!*((VLOOKUP($J23,Sheet1!$D:$N,$G23+1,FALSE)+0.02)),2.5)," ")</f>
        <v> </v>
      </c>
      <c r="P23" s="56">
        <f>iferror(mround(I23/VLOOKUP(L23,Sheet1!$D$7:$N$16,G23+1,FALSE),2.5),"")</f>
        <v>502.5</v>
      </c>
      <c r="Q23" s="136"/>
      <c r="S23" s="11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</row>
    <row r="24" ht="3.75" customHeight="1">
      <c r="A24" s="152"/>
      <c r="B24" s="150"/>
      <c r="C24" s="153"/>
      <c r="D24" s="138"/>
      <c r="E24" s="154"/>
      <c r="F24" s="155"/>
      <c r="G24" s="102"/>
      <c r="H24" s="102"/>
      <c r="I24" s="102"/>
      <c r="J24" s="156"/>
      <c r="K24" s="142"/>
      <c r="L24" s="143"/>
      <c r="M24" s="144"/>
      <c r="N24" s="145"/>
      <c r="O24" s="145"/>
      <c r="P24" s="122"/>
      <c r="Q24" s="146"/>
      <c r="S24" s="157"/>
      <c r="T24" s="5"/>
      <c r="U24" s="5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</row>
    <row r="25" ht="15.75" customHeight="1">
      <c r="A25" s="149"/>
      <c r="B25" s="150"/>
      <c r="C25" s="149"/>
      <c r="D25" s="125" t="s">
        <v>77</v>
      </c>
      <c r="E25" s="126"/>
      <c r="F25" s="127">
        <v>1.0</v>
      </c>
      <c r="G25" s="161">
        <v>5.0</v>
      </c>
      <c r="H25" s="129"/>
      <c r="I25" s="130">
        <v>375.0</v>
      </c>
      <c r="J25" s="151" t="s">
        <v>78</v>
      </c>
      <c r="K25" s="132"/>
      <c r="L25" s="133">
        <v>5.5</v>
      </c>
      <c r="M25" s="134"/>
      <c r="N25" s="135" t="str">
        <f>iferror(mround(#REF!*((VLOOKUP($J25,Sheet1!$D:$N,$G25+1,FALSE)-0.03)),2.5)," ")</f>
        <v> </v>
      </c>
      <c r="O25" s="135" t="str">
        <f>iferror(mround(#REF!*((VLOOKUP($J25,Sheet1!$D:$N,$G25+1,FALSE)+0.02)),2.5)," ")</f>
        <v> </v>
      </c>
      <c r="P25" s="56" t="str">
        <f>iferror(mround(I25/VLOOKUP(L25,Sheet1!$D$7:$N$16,G25+1,FALSE),2.5),"")</f>
        <v/>
      </c>
      <c r="Q25" s="136"/>
      <c r="S25" s="11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</row>
    <row r="26" ht="3.75" customHeight="1">
      <c r="A26" s="162"/>
      <c r="B26" s="163"/>
      <c r="C26" s="162"/>
      <c r="D26" s="138"/>
      <c r="E26" s="154"/>
      <c r="F26" s="155"/>
      <c r="G26" s="102"/>
      <c r="H26" s="102"/>
      <c r="I26" s="102"/>
      <c r="J26" s="156"/>
      <c r="K26" s="142"/>
      <c r="L26" s="143"/>
      <c r="M26" s="144"/>
      <c r="N26" s="145"/>
      <c r="O26" s="145"/>
      <c r="P26" s="122"/>
      <c r="Q26" s="146"/>
      <c r="S26" s="147"/>
      <c r="T26" s="148"/>
      <c r="U26" s="148"/>
      <c r="V26" s="148"/>
      <c r="W26" s="148"/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</row>
    <row r="27" ht="15.75" customHeight="1">
      <c r="A27" s="149"/>
      <c r="B27" s="150"/>
      <c r="C27" s="149"/>
      <c r="D27" s="159" t="s">
        <v>33</v>
      </c>
      <c r="E27" s="160" t="s">
        <v>34</v>
      </c>
      <c r="F27" s="127">
        <v>1.0</v>
      </c>
      <c r="G27" s="161">
        <v>5.0</v>
      </c>
      <c r="H27" s="129"/>
      <c r="I27" s="130">
        <v>255.0</v>
      </c>
      <c r="J27" s="151">
        <v>7.0</v>
      </c>
      <c r="K27" s="132"/>
      <c r="L27" s="133">
        <v>7.0</v>
      </c>
      <c r="M27" s="134"/>
      <c r="N27" s="135" t="str">
        <f>iferror(mround(#REF!*((VLOOKUP($J27,Sheet1!$D:$N,$G27+1,FALSE)-0.03)),2.5)," ")</f>
        <v> </v>
      </c>
      <c r="O27" s="135" t="str">
        <f>iferror(mround(#REF!*((VLOOKUP($J27,Sheet1!$D:$N,$G27+1,FALSE)+0.02)),2.5)," ")</f>
        <v> </v>
      </c>
      <c r="P27" s="56">
        <f>iferror(mround(I27/VLOOKUP(L27,Sheet1!$D$7:$N$16,G27+1,FALSE),2.5),"")</f>
        <v>322.5</v>
      </c>
      <c r="Q27" s="136"/>
      <c r="S27" s="11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</row>
    <row r="28" ht="3.75" customHeight="1">
      <c r="A28" s="162"/>
      <c r="B28" s="163"/>
      <c r="C28" s="162"/>
      <c r="D28" s="138"/>
      <c r="E28" s="139"/>
      <c r="F28" s="140"/>
      <c r="G28" s="140"/>
      <c r="H28" s="140"/>
      <c r="I28" s="140"/>
      <c r="J28" s="141"/>
      <c r="K28" s="142"/>
      <c r="L28" s="143"/>
      <c r="M28" s="144"/>
      <c r="N28" s="145"/>
      <c r="O28" s="145"/>
      <c r="P28" s="122"/>
      <c r="Q28" s="146"/>
      <c r="S28" s="147"/>
      <c r="T28" s="148"/>
      <c r="U28" s="148"/>
      <c r="V28" s="148"/>
      <c r="W28" s="148"/>
      <c r="X28" s="148"/>
      <c r="Y28" s="148"/>
      <c r="Z28" s="148"/>
      <c r="AA28" s="148"/>
      <c r="AB28" s="148"/>
      <c r="AC28" s="148"/>
      <c r="AD28" s="148"/>
      <c r="AE28" s="148"/>
      <c r="AF28" s="148"/>
      <c r="AG28" s="148"/>
    </row>
    <row r="29" ht="15.75" customHeight="1">
      <c r="A29" s="90"/>
      <c r="B29" s="6"/>
      <c r="C29" s="90"/>
      <c r="D29" s="159" t="s">
        <v>33</v>
      </c>
      <c r="E29" s="160" t="s">
        <v>34</v>
      </c>
      <c r="F29" s="127">
        <v>3.0</v>
      </c>
      <c r="G29" s="161">
        <v>5.0</v>
      </c>
      <c r="H29" s="129"/>
      <c r="I29" s="164">
        <f>MROUND(I27*(1+J29),5)</f>
        <v>230</v>
      </c>
      <c r="J29" s="165">
        <v>-0.1</v>
      </c>
      <c r="K29" s="132"/>
      <c r="L29" s="133">
        <v>6.0</v>
      </c>
      <c r="M29" s="134"/>
      <c r="N29" s="135" t="str">
        <f>iferror(mround(#REF!*((VLOOKUP($J29,Sheet1!$D:$N,$G29+1,FALSE)-0.03)),2.5)," ")</f>
        <v> </v>
      </c>
      <c r="O29" s="135" t="str">
        <f>iferror(mround(#REF!*((VLOOKUP($J29,Sheet1!$D:$N,$G29+1,FALSE)+0.02)),2.5)," ")</f>
        <v> </v>
      </c>
      <c r="P29" s="56">
        <f>iferror(mround(I29/VLOOKUP(L29,Sheet1!$D$7:$N$16,G29+1,FALSE),2.5),"")</f>
        <v>300</v>
      </c>
      <c r="Q29" s="136"/>
      <c r="S29" s="11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</row>
    <row r="30" ht="3.75" customHeight="1">
      <c r="A30" s="168"/>
      <c r="B30" s="70"/>
      <c r="C30" s="168"/>
      <c r="D30" s="138"/>
      <c r="E30" s="139"/>
      <c r="F30" s="102"/>
      <c r="G30" s="102"/>
      <c r="H30" s="102"/>
      <c r="I30" s="102"/>
      <c r="J30" s="156"/>
      <c r="K30" s="142"/>
      <c r="L30" s="143"/>
      <c r="M30" s="144"/>
      <c r="N30" s="145"/>
      <c r="O30" s="145"/>
      <c r="P30" s="122"/>
      <c r="Q30" s="146"/>
      <c r="S30" s="147"/>
      <c r="T30" s="148"/>
      <c r="U30" s="148"/>
      <c r="V30" s="148"/>
      <c r="W30" s="148"/>
      <c r="X30" s="148"/>
      <c r="Y30" s="148"/>
      <c r="Z30" s="148"/>
      <c r="AA30" s="148"/>
      <c r="AB30" s="148"/>
      <c r="AC30" s="148"/>
      <c r="AD30" s="148"/>
      <c r="AE30" s="148"/>
      <c r="AF30" s="148"/>
      <c r="AG30" s="148"/>
    </row>
    <row r="31" ht="15.75" customHeight="1">
      <c r="A31" s="90"/>
      <c r="B31" s="6"/>
      <c r="C31" s="90"/>
      <c r="D31" s="166" t="s">
        <v>35</v>
      </c>
      <c r="E31" s="167" t="s">
        <v>79</v>
      </c>
      <c r="F31" s="127">
        <v>2.0</v>
      </c>
      <c r="G31" s="161">
        <v>7.0</v>
      </c>
      <c r="H31" s="129"/>
      <c r="I31" s="130">
        <v>245.0</v>
      </c>
      <c r="J31" s="151">
        <v>8.0</v>
      </c>
      <c r="K31" s="170" t="s">
        <v>80</v>
      </c>
      <c r="L31" s="133">
        <v>8.0</v>
      </c>
      <c r="M31" s="134"/>
      <c r="N31" s="135" t="str">
        <f>iferror(mround(#REF!*((VLOOKUP($J31,Sheet1!$D:$N,$G31+1,FALSE)-0.03)),2.5)," ")</f>
        <v> </v>
      </c>
      <c r="O31" s="135" t="str">
        <f>iferror(mround(#REF!*((VLOOKUP($J31,Sheet1!$D:$N,$G31+1,FALSE)+0.02)),2.5)," ")</f>
        <v> </v>
      </c>
      <c r="P31" s="56">
        <f>iferror(mround(I31/VLOOKUP(L31,Sheet1!$D$7:$N$16,G31+1,FALSE),2.5),"")</f>
        <v>320</v>
      </c>
      <c r="Q31" s="136"/>
      <c r="S31" s="11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</row>
    <row r="32" ht="3.75" customHeight="1">
      <c r="A32" s="90"/>
      <c r="B32" s="6"/>
      <c r="C32" s="90"/>
      <c r="D32" s="171"/>
      <c r="E32" s="172"/>
      <c r="F32" s="173"/>
      <c r="G32" s="173"/>
      <c r="H32" s="173"/>
      <c r="I32" s="173"/>
      <c r="J32" s="174"/>
      <c r="K32" s="142"/>
      <c r="L32" s="143"/>
      <c r="M32" s="144"/>
      <c r="N32" s="145"/>
      <c r="O32" s="145"/>
      <c r="P32" s="122"/>
      <c r="Q32" s="146"/>
      <c r="S32" s="11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</row>
    <row r="33" ht="15.75" customHeight="1">
      <c r="A33" s="90"/>
      <c r="B33" s="6"/>
      <c r="C33" s="90"/>
      <c r="D33" s="166" t="s">
        <v>37</v>
      </c>
      <c r="E33" s="160" t="s">
        <v>81</v>
      </c>
      <c r="F33" s="127">
        <v>3.0</v>
      </c>
      <c r="G33" s="169">
        <v>45577.0</v>
      </c>
      <c r="H33" s="129"/>
      <c r="I33" s="130">
        <v>340.0</v>
      </c>
      <c r="J33" s="151">
        <v>8.0</v>
      </c>
      <c r="K33" s="132"/>
      <c r="L33" s="133">
        <v>7.5</v>
      </c>
      <c r="M33" s="134"/>
      <c r="N33" s="135" t="str">
        <f>iferror(mround(#REF!*((VLOOKUP($J33,Sheet1!$D:$N,$G33+1,FALSE)-0.03)),2.5)," ")</f>
        <v> </v>
      </c>
      <c r="O33" s="135" t="str">
        <f>iferror(mround(#REF!*((VLOOKUP($J33,Sheet1!$D:$N,$G33+1,FALSE)+0.02)),2.5)," ")</f>
        <v> </v>
      </c>
      <c r="P33" s="56" t="str">
        <f>iferror(mround(I33/VLOOKUP(L33,Sheet1!$D$7:$N$16,G33+1,FALSE),2.5),"")</f>
        <v/>
      </c>
      <c r="Q33" s="136"/>
      <c r="S33" s="11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</row>
    <row r="34" ht="3.75" customHeight="1">
      <c r="A34" s="90"/>
      <c r="B34" s="6"/>
      <c r="C34" s="90"/>
      <c r="D34" s="171"/>
      <c r="E34" s="172"/>
      <c r="F34" s="173"/>
      <c r="G34" s="173"/>
      <c r="H34" s="173"/>
      <c r="I34" s="173"/>
      <c r="J34" s="174"/>
      <c r="K34" s="142"/>
      <c r="L34" s="143"/>
      <c r="M34" s="144"/>
      <c r="N34" s="145"/>
      <c r="O34" s="145"/>
      <c r="P34" s="122"/>
      <c r="Q34" s="146"/>
      <c r="S34" s="11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</row>
    <row r="35" ht="15.75" customHeight="1">
      <c r="A35" s="90"/>
      <c r="B35" s="6"/>
      <c r="C35" s="90"/>
      <c r="D35" s="175" t="s">
        <v>40</v>
      </c>
      <c r="E35" s="176"/>
      <c r="F35" s="177">
        <v>3.0</v>
      </c>
      <c r="G35" s="178" t="s">
        <v>41</v>
      </c>
      <c r="H35" s="179"/>
      <c r="I35" s="180"/>
      <c r="J35" s="181">
        <v>8.0</v>
      </c>
      <c r="K35" s="182"/>
      <c r="L35" s="183"/>
      <c r="M35" s="134"/>
      <c r="N35" s="135" t="str">
        <f>iferror(mround(#REF!*((VLOOKUP($J35,Sheet1!$D:$N,$G35+1,FALSE)-0.03)),2.5)," ")</f>
        <v> </v>
      </c>
      <c r="O35" s="135" t="str">
        <f>iferror(mround(#REF!*((VLOOKUP($J35,Sheet1!$D:$N,$G35+1,FALSE)+0.02)),2.5)," ")</f>
        <v> </v>
      </c>
      <c r="P35" s="56" t="str">
        <f>iferror(mround(I35/VLOOKUP(L35,Sheet1!$D$7:$N$16,G35+1,FALSE),2.5),"")</f>
        <v/>
      </c>
      <c r="Q35" s="136"/>
      <c r="S35" s="11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</row>
    <row r="36" ht="3.75" customHeight="1">
      <c r="A36" s="90"/>
      <c r="B36" s="6"/>
      <c r="C36" s="90"/>
      <c r="D36" s="138"/>
      <c r="E36" s="139"/>
      <c r="F36" s="102"/>
      <c r="G36" s="102"/>
      <c r="H36" s="102"/>
      <c r="I36" s="102"/>
      <c r="J36" s="156"/>
      <c r="K36" s="307"/>
      <c r="L36" s="143"/>
      <c r="M36" s="144"/>
      <c r="N36" s="145"/>
      <c r="O36" s="145"/>
      <c r="P36" s="122"/>
      <c r="Q36" s="146"/>
      <c r="S36" s="11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</row>
    <row r="37" ht="15.75" hidden="1" customHeight="1">
      <c r="A37" s="90"/>
      <c r="B37" s="6"/>
      <c r="C37" s="90"/>
      <c r="D37" s="185"/>
      <c r="E37" s="126"/>
      <c r="F37" s="187"/>
      <c r="G37" s="188"/>
      <c r="H37" s="129"/>
      <c r="I37" s="164"/>
      <c r="J37" s="189"/>
      <c r="K37" s="182"/>
      <c r="L37" s="183"/>
      <c r="M37" s="134"/>
      <c r="N37" s="135" t="str">
        <f>iferror(mround(#REF!*((VLOOKUP($J37,Sheet1!$D:$N,$G37+1,FALSE)-0.03)),2.5)," ")</f>
        <v> </v>
      </c>
      <c r="O37" s="135" t="str">
        <f>iferror(mround(#REF!*((VLOOKUP($J37,Sheet1!$D:$N,$G37+1,FALSE)+0.02)),2.5)," ")</f>
        <v> </v>
      </c>
      <c r="P37" s="56" t="str">
        <f>iferror(mround(I37/VLOOKUP(L37,Sheet1!$D$7:$N$16,G37+1,FALSE),2.5),"")</f>
        <v/>
      </c>
      <c r="Q37" s="136"/>
      <c r="S37" s="11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</row>
    <row r="38" ht="3.75" hidden="1" customHeight="1">
      <c r="A38" s="191"/>
      <c r="B38" s="6"/>
      <c r="C38" s="192"/>
      <c r="D38" s="138"/>
      <c r="E38" s="154"/>
      <c r="F38" s="194"/>
      <c r="G38" s="155"/>
      <c r="H38" s="102"/>
      <c r="I38" s="102"/>
      <c r="J38" s="156"/>
      <c r="K38" s="307"/>
      <c r="L38" s="143"/>
      <c r="M38" s="144"/>
      <c r="N38" s="145"/>
      <c r="O38" s="145"/>
      <c r="P38" s="122"/>
      <c r="Q38" s="146"/>
      <c r="S38" s="157"/>
      <c r="T38" s="5"/>
      <c r="U38" s="5"/>
      <c r="V38" s="158"/>
      <c r="W38" s="158"/>
      <c r="X38" s="158"/>
      <c r="Y38" s="158"/>
      <c r="Z38" s="158"/>
      <c r="AA38" s="158"/>
      <c r="AB38" s="158"/>
      <c r="AC38" s="158"/>
      <c r="AD38" s="158"/>
      <c r="AE38" s="158"/>
      <c r="AF38" s="158"/>
      <c r="AG38" s="158"/>
    </row>
    <row r="39" ht="15.75" hidden="1" customHeight="1">
      <c r="A39" s="90"/>
      <c r="B39" s="6"/>
      <c r="C39" s="90"/>
      <c r="D39" s="185"/>
      <c r="E39" s="126"/>
      <c r="F39" s="187"/>
      <c r="G39" s="195"/>
      <c r="H39" s="129"/>
      <c r="I39" s="164"/>
      <c r="J39" s="189"/>
      <c r="K39" s="182"/>
      <c r="L39" s="183"/>
      <c r="M39" s="134"/>
      <c r="N39" s="135" t="str">
        <f>iferror(mround(#REF!*((VLOOKUP($J39,Sheet1!$D:$N,$G39+1,FALSE)-0.03)),2.5)," ")</f>
        <v> </v>
      </c>
      <c r="O39" s="135" t="str">
        <f>iferror(mround(#REF!*((VLOOKUP($J39,Sheet1!$D:$N,$G39+1,FALSE)+0.02)),2.5)," ")</f>
        <v> </v>
      </c>
      <c r="P39" s="56" t="str">
        <f>iferror(mround(I39/VLOOKUP(L39,Sheet1!$D$7:$N$16,G39+1,FALSE),2.5),"")</f>
        <v/>
      </c>
      <c r="Q39" s="136"/>
      <c r="S39" s="11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</row>
    <row r="40" ht="3.75" hidden="1" customHeight="1">
      <c r="A40" s="90"/>
      <c r="B40" s="6"/>
      <c r="C40" s="90"/>
      <c r="D40" s="196"/>
      <c r="E40" s="139"/>
      <c r="F40" s="102"/>
      <c r="G40" s="102"/>
      <c r="H40" s="102"/>
      <c r="I40" s="102"/>
      <c r="J40" s="156"/>
      <c r="K40" s="307"/>
      <c r="L40" s="143"/>
      <c r="M40" s="144"/>
      <c r="N40" s="145"/>
      <c r="O40" s="145"/>
      <c r="P40" s="122"/>
      <c r="Q40" s="146"/>
      <c r="S40" s="11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</row>
    <row r="41" ht="15.75" hidden="1" customHeight="1">
      <c r="A41" s="90"/>
      <c r="B41" s="6"/>
      <c r="C41" s="90"/>
      <c r="D41" s="197"/>
      <c r="E41" s="308"/>
      <c r="F41" s="199"/>
      <c r="G41" s="195"/>
      <c r="H41" s="129"/>
      <c r="I41" s="164"/>
      <c r="J41" s="189"/>
      <c r="K41" s="182"/>
      <c r="L41" s="183"/>
      <c r="M41" s="134"/>
      <c r="N41" s="135" t="str">
        <f>iferror(mround(#REF!*((VLOOKUP($J41,Sheet1!$D:$N,$G41+1,FALSE)-0.03)),2.5)," ")</f>
        <v> </v>
      </c>
      <c r="O41" s="135" t="str">
        <f>iferror(mround(#REF!*((VLOOKUP($J41,Sheet1!$D:$N,$G41+1,FALSE)+0.02)),2.5)," ")</f>
        <v> </v>
      </c>
      <c r="P41" s="56" t="str">
        <f>iferror(mround(I41/VLOOKUP(L41,Sheet1!$D$7:$N$16,G41+1,FALSE),2.5),"")</f>
        <v/>
      </c>
      <c r="Q41" s="136"/>
      <c r="S41" s="11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</row>
    <row r="42" ht="3.75" customHeight="1">
      <c r="A42" s="90"/>
      <c r="B42" s="6"/>
      <c r="C42" s="90"/>
      <c r="D42" s="90"/>
      <c r="E42" s="309"/>
      <c r="F42" s="102"/>
      <c r="G42" s="102"/>
      <c r="H42" s="102"/>
      <c r="I42" s="102"/>
      <c r="J42" s="156"/>
      <c r="K42" s="200"/>
      <c r="L42" s="201"/>
      <c r="M42" s="144"/>
      <c r="N42" s="47"/>
      <c r="O42" s="47"/>
      <c r="P42" s="122"/>
      <c r="Q42" s="146"/>
      <c r="S42" s="11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</row>
    <row r="43" ht="30.0" customHeight="1">
      <c r="A43" s="90"/>
      <c r="B43" s="6"/>
      <c r="C43" s="90"/>
      <c r="D43" s="104" t="s">
        <v>42</v>
      </c>
      <c r="E43" s="105" t="s">
        <v>82</v>
      </c>
      <c r="F43" s="106" t="s">
        <v>16</v>
      </c>
      <c r="G43" s="106" t="s">
        <v>17</v>
      </c>
      <c r="H43" s="107"/>
      <c r="I43" s="106" t="s">
        <v>18</v>
      </c>
      <c r="J43" s="108" t="s">
        <v>19</v>
      </c>
      <c r="L43" s="109" t="s">
        <v>20</v>
      </c>
      <c r="M43" s="110" t="s">
        <v>21</v>
      </c>
      <c r="N43" s="111" t="s">
        <v>22</v>
      </c>
      <c r="P43" s="112"/>
      <c r="Q43" s="113" t="s">
        <v>23</v>
      </c>
      <c r="R43" s="114" t="s">
        <v>43</v>
      </c>
      <c r="S43" s="11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</row>
    <row r="44" ht="14.25" customHeight="1">
      <c r="A44" s="90"/>
      <c r="B44" s="6"/>
      <c r="C44" s="90"/>
      <c r="D44" s="116">
        <v>4.0</v>
      </c>
      <c r="E44" s="117" t="s">
        <v>76</v>
      </c>
      <c r="H44" s="107"/>
      <c r="N44" s="111" t="s">
        <v>27</v>
      </c>
      <c r="O44" s="111" t="s">
        <v>28</v>
      </c>
      <c r="P44" s="112" t="s">
        <v>29</v>
      </c>
      <c r="R44" s="118" t="s">
        <v>30</v>
      </c>
      <c r="S44" s="11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</row>
    <row r="45" ht="3.75" customHeight="1">
      <c r="A45" s="191"/>
      <c r="B45" s="6"/>
      <c r="C45" s="192"/>
      <c r="D45" s="310"/>
      <c r="E45" s="204"/>
      <c r="F45" s="205"/>
      <c r="G45" s="205"/>
      <c r="H45" s="206"/>
      <c r="I45" s="207"/>
      <c r="J45" s="208"/>
      <c r="K45" s="209"/>
      <c r="L45" s="210"/>
      <c r="M45" s="211"/>
      <c r="N45" s="47"/>
      <c r="O45" s="47"/>
      <c r="P45" s="122"/>
      <c r="Q45" s="146"/>
      <c r="R45" s="212"/>
      <c r="S45" s="157"/>
      <c r="T45" s="5"/>
      <c r="U45" s="5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</row>
    <row r="46" ht="15.75" customHeight="1">
      <c r="A46" s="124"/>
      <c r="B46" s="6"/>
      <c r="C46" s="124"/>
      <c r="D46" s="159" t="s">
        <v>83</v>
      </c>
      <c r="E46" s="167" t="s">
        <v>84</v>
      </c>
      <c r="F46" s="127">
        <v>3.0</v>
      </c>
      <c r="G46" s="127">
        <v>3.0</v>
      </c>
      <c r="H46" s="195"/>
      <c r="I46" s="130">
        <v>408.0</v>
      </c>
      <c r="J46" s="151">
        <v>6.0</v>
      </c>
      <c r="K46" s="213"/>
      <c r="L46" s="133">
        <v>6.0</v>
      </c>
      <c r="M46" s="134"/>
      <c r="N46" s="135"/>
      <c r="O46" s="135"/>
      <c r="P46" s="112">
        <f>iferror(mround(I46/VLOOKUP(L46,Sheet1!$D$7:$N$16,G46+1,FALSE),2.5),"")</f>
        <v>500</v>
      </c>
      <c r="Q46" s="136"/>
      <c r="R46" s="214"/>
      <c r="S46" s="11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</row>
    <row r="47" ht="3.75" customHeight="1">
      <c r="A47" s="124"/>
      <c r="B47" s="6"/>
      <c r="C47" s="124"/>
      <c r="D47" s="138"/>
      <c r="E47" s="215"/>
      <c r="F47" s="102"/>
      <c r="G47" s="102"/>
      <c r="H47" s="102"/>
      <c r="I47" s="102"/>
      <c r="J47" s="216"/>
      <c r="K47" s="217"/>
      <c r="L47" s="218"/>
      <c r="M47" s="144"/>
      <c r="N47" s="145"/>
      <c r="O47" s="145"/>
      <c r="P47" s="122"/>
      <c r="Q47" s="146"/>
      <c r="R47" s="214"/>
      <c r="S47" s="11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</row>
    <row r="48" ht="15.75" customHeight="1">
      <c r="A48" s="90"/>
      <c r="B48" s="6"/>
      <c r="C48" s="90"/>
      <c r="D48" s="159" t="s">
        <v>33</v>
      </c>
      <c r="E48" s="167"/>
      <c r="F48" s="127">
        <v>1.0</v>
      </c>
      <c r="G48" s="127">
        <v>2.0</v>
      </c>
      <c r="H48" s="195"/>
      <c r="I48" s="130">
        <v>305.0</v>
      </c>
      <c r="J48" s="151">
        <v>7.5</v>
      </c>
      <c r="K48" s="219" t="s">
        <v>85</v>
      </c>
      <c r="L48" s="133">
        <v>7.5</v>
      </c>
      <c r="M48" s="134"/>
      <c r="N48" s="135"/>
      <c r="O48" s="135"/>
      <c r="P48" s="112">
        <f>iferror(mround(I48/VLOOKUP(L48,Sheet1!$D$7:$N$16,G48+1,FALSE),2.5),"")</f>
        <v>347.5</v>
      </c>
      <c r="Q48" s="136"/>
      <c r="R48" s="214"/>
      <c r="S48" s="11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</row>
    <row r="49" ht="3.75" customHeight="1">
      <c r="A49" s="90"/>
      <c r="B49" s="6"/>
      <c r="C49" s="90"/>
      <c r="D49" s="138"/>
      <c r="E49" s="215"/>
      <c r="F49" s="102"/>
      <c r="G49" s="102"/>
      <c r="H49" s="102"/>
      <c r="I49" s="102"/>
      <c r="J49" s="216"/>
      <c r="K49" s="217"/>
      <c r="L49" s="218"/>
      <c r="M49" s="144"/>
      <c r="N49" s="145"/>
      <c r="O49" s="145"/>
      <c r="P49" s="122"/>
      <c r="Q49" s="146"/>
      <c r="R49" s="214"/>
      <c r="S49" s="11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</row>
    <row r="50" ht="15.75" customHeight="1">
      <c r="A50" s="90"/>
      <c r="B50" s="6"/>
      <c r="C50" s="90"/>
      <c r="D50" s="159" t="s">
        <v>33</v>
      </c>
      <c r="E50" s="167"/>
      <c r="F50" s="127">
        <v>3.0</v>
      </c>
      <c r="G50" s="161">
        <v>3.0</v>
      </c>
      <c r="H50" s="195"/>
      <c r="I50" s="164">
        <f>MROUND(I48*(1+J50),5)</f>
        <v>280</v>
      </c>
      <c r="J50" s="165">
        <v>-0.08</v>
      </c>
      <c r="K50" s="219"/>
      <c r="L50" s="133">
        <v>7.0</v>
      </c>
      <c r="M50" s="134"/>
      <c r="N50" s="135"/>
      <c r="O50" s="135"/>
      <c r="P50" s="112">
        <f>iferror(mround(I50/VLOOKUP(L50,Sheet1!$D$7:$N$16,G50+1,FALSE),2.5),"")</f>
        <v>332.5</v>
      </c>
      <c r="Q50" s="136"/>
      <c r="R50" s="214"/>
      <c r="S50" s="11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</row>
    <row r="51" ht="3.75" customHeight="1">
      <c r="A51" s="90"/>
      <c r="B51" s="6"/>
      <c r="C51" s="90"/>
      <c r="D51" s="138"/>
      <c r="E51" s="215"/>
      <c r="F51" s="102"/>
      <c r="G51" s="102"/>
      <c r="H51" s="102"/>
      <c r="I51" s="102"/>
      <c r="J51" s="156"/>
      <c r="K51" s="217"/>
      <c r="L51" s="143"/>
      <c r="M51" s="144"/>
      <c r="N51" s="145"/>
      <c r="O51" s="145"/>
      <c r="P51" s="122"/>
      <c r="Q51" s="146"/>
      <c r="R51" s="214"/>
      <c r="S51" s="11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</row>
    <row r="52" ht="15.75" customHeight="1">
      <c r="A52" s="90"/>
      <c r="B52" s="6"/>
      <c r="C52" s="90"/>
      <c r="D52" s="159" t="s">
        <v>86</v>
      </c>
      <c r="E52" s="167" t="s">
        <v>87</v>
      </c>
      <c r="F52" s="127">
        <v>3.0</v>
      </c>
      <c r="G52" s="169">
        <v>45577.0</v>
      </c>
      <c r="H52" s="195"/>
      <c r="I52" s="130">
        <v>135.0</v>
      </c>
      <c r="J52" s="151">
        <v>8.0</v>
      </c>
      <c r="K52" s="213"/>
      <c r="L52" s="133">
        <v>8.0</v>
      </c>
      <c r="M52" s="134"/>
      <c r="N52" s="135"/>
      <c r="O52" s="135"/>
      <c r="P52" s="112" t="str">
        <f>iferror(mround(I52/VLOOKUP(L52,Sheet1!$D$7:$N$16,G52+1,FALSE),2.5),"")</f>
        <v/>
      </c>
      <c r="Q52" s="136"/>
      <c r="R52" s="214"/>
      <c r="S52" s="11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</row>
    <row r="53" ht="3.75" customHeight="1">
      <c r="A53" s="90"/>
      <c r="B53" s="6"/>
      <c r="C53" s="90"/>
      <c r="D53" s="138"/>
      <c r="E53" s="215"/>
      <c r="F53" s="102"/>
      <c r="G53" s="102"/>
      <c r="H53" s="102"/>
      <c r="I53" s="102"/>
      <c r="J53" s="156"/>
      <c r="K53" s="217"/>
      <c r="L53" s="143"/>
      <c r="M53" s="144"/>
      <c r="N53" s="145"/>
      <c r="O53" s="145"/>
      <c r="P53" s="122"/>
      <c r="Q53" s="146"/>
      <c r="R53" s="214"/>
      <c r="S53" s="11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</row>
    <row r="54" ht="15.75" customHeight="1">
      <c r="A54" s="90"/>
      <c r="B54" s="6"/>
      <c r="C54" s="90"/>
      <c r="D54" s="159" t="s">
        <v>88</v>
      </c>
      <c r="E54" s="220"/>
      <c r="F54" s="127">
        <v>3.0</v>
      </c>
      <c r="G54" s="221">
        <v>45641.0</v>
      </c>
      <c r="H54" s="195"/>
      <c r="I54" s="130">
        <v>11.25</v>
      </c>
      <c r="J54" s="151">
        <v>9.0</v>
      </c>
      <c r="K54" s="213"/>
      <c r="L54" s="133">
        <v>9.0</v>
      </c>
      <c r="M54" s="134"/>
      <c r="N54" s="135"/>
      <c r="O54" s="135"/>
      <c r="P54" s="112" t="str">
        <f>iferror(mround(I54/VLOOKUP(L54,Sheet1!$D$7:$N$16,G54+1,FALSE),2.5),"")</f>
        <v/>
      </c>
      <c r="Q54" s="136"/>
      <c r="R54" s="214"/>
      <c r="S54" s="11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</row>
    <row r="55" ht="3.75" customHeight="1">
      <c r="A55" s="90"/>
      <c r="B55" s="6"/>
      <c r="C55" s="90"/>
      <c r="D55" s="138"/>
      <c r="E55" s="215"/>
      <c r="F55" s="102"/>
      <c r="G55" s="102"/>
      <c r="H55" s="102"/>
      <c r="I55" s="102"/>
      <c r="J55" s="156"/>
      <c r="K55" s="217"/>
      <c r="L55" s="143"/>
      <c r="M55" s="144"/>
      <c r="N55" s="145"/>
      <c r="O55" s="145"/>
      <c r="P55" s="122"/>
      <c r="Q55" s="146"/>
      <c r="R55" s="214"/>
      <c r="S55" s="11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</row>
    <row r="56" ht="15.75" customHeight="1">
      <c r="A56" s="90"/>
      <c r="B56" s="6"/>
      <c r="C56" s="90"/>
      <c r="D56" s="159" t="s">
        <v>47</v>
      </c>
      <c r="E56" s="220"/>
      <c r="F56" s="127">
        <v>3.0</v>
      </c>
      <c r="G56" s="221">
        <v>45641.0</v>
      </c>
      <c r="H56" s="195"/>
      <c r="I56" s="130">
        <v>40.0</v>
      </c>
      <c r="J56" s="151">
        <v>9.0</v>
      </c>
      <c r="K56" s="213"/>
      <c r="L56" s="133">
        <v>9.0</v>
      </c>
      <c r="M56" s="134"/>
      <c r="N56" s="135"/>
      <c r="O56" s="135"/>
      <c r="P56" s="112" t="str">
        <f>iferror(mround(I56/VLOOKUP(L56,Sheet1!$D$7:$N$16,G56+1,FALSE),2.5),"")</f>
        <v/>
      </c>
      <c r="Q56" s="136"/>
      <c r="R56" s="214"/>
      <c r="S56" s="11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</row>
    <row r="57" ht="3.75" customHeight="1">
      <c r="A57" s="90"/>
      <c r="B57" s="6"/>
      <c r="C57" s="90"/>
      <c r="D57" s="138"/>
      <c r="E57" s="215"/>
      <c r="F57" s="102"/>
      <c r="G57" s="102"/>
      <c r="H57" s="102"/>
      <c r="I57" s="102"/>
      <c r="J57" s="216"/>
      <c r="K57" s="217"/>
      <c r="L57" s="143"/>
      <c r="M57" s="144"/>
      <c r="N57" s="145"/>
      <c r="O57" s="145"/>
      <c r="P57" s="122"/>
      <c r="Q57" s="146"/>
      <c r="R57" s="214"/>
      <c r="S57" s="11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</row>
    <row r="58" ht="18.0" hidden="1" customHeight="1">
      <c r="A58" s="90"/>
      <c r="B58" s="6"/>
      <c r="C58" s="90"/>
      <c r="D58" s="185"/>
      <c r="E58" s="220"/>
      <c r="F58" s="187"/>
      <c r="G58" s="187"/>
      <c r="H58" s="195"/>
      <c r="I58" s="164"/>
      <c r="J58" s="189"/>
      <c r="K58" s="213"/>
      <c r="L58" s="183"/>
      <c r="M58" s="134"/>
      <c r="N58" s="135"/>
      <c r="O58" s="135"/>
      <c r="P58" s="112" t="str">
        <f>iferror(mround(I58/VLOOKUP(L58,Sheet1!$D$7:$N$16,G58+1,FALSE),2.5),"")</f>
        <v/>
      </c>
      <c r="Q58" s="136"/>
      <c r="R58" s="214"/>
      <c r="S58" s="11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</row>
    <row r="59" ht="3.75" hidden="1" customHeight="1">
      <c r="A59" s="191"/>
      <c r="B59" s="6"/>
      <c r="C59" s="192"/>
      <c r="D59" s="138"/>
      <c r="E59" s="311"/>
      <c r="F59" s="194"/>
      <c r="G59" s="194"/>
      <c r="H59" s="155"/>
      <c r="I59" s="210"/>
      <c r="J59" s="216"/>
      <c r="K59" s="217"/>
      <c r="L59" s="143"/>
      <c r="M59" s="144"/>
      <c r="N59" s="145"/>
      <c r="O59" s="145"/>
      <c r="P59" s="122"/>
      <c r="Q59" s="146"/>
      <c r="R59" s="214"/>
      <c r="S59" s="157"/>
      <c r="T59" s="5"/>
      <c r="U59" s="5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</row>
    <row r="60" ht="15.75" hidden="1" customHeight="1">
      <c r="A60" s="90"/>
      <c r="B60" s="6"/>
      <c r="C60" s="90"/>
      <c r="D60" s="185"/>
      <c r="E60" s="312"/>
      <c r="F60" s="187"/>
      <c r="G60" s="187"/>
      <c r="H60" s="195"/>
      <c r="I60" s="164"/>
      <c r="J60" s="189"/>
      <c r="K60" s="213"/>
      <c r="L60" s="183"/>
      <c r="M60" s="134"/>
      <c r="N60" s="135"/>
      <c r="O60" s="135"/>
      <c r="P60" s="112" t="str">
        <f>iferror(mround(I60/VLOOKUP(L60,Sheet1!$D$7:$N$16,G60+1,FALSE),2.5),"")</f>
        <v/>
      </c>
      <c r="Q60" s="136"/>
      <c r="R60" s="214"/>
      <c r="S60" s="11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</row>
    <row r="61" ht="3.75" hidden="1" customHeight="1">
      <c r="A61" s="90"/>
      <c r="B61" s="6"/>
      <c r="C61" s="90"/>
      <c r="D61" s="138"/>
      <c r="E61" s="215"/>
      <c r="F61" s="102"/>
      <c r="G61" s="102"/>
      <c r="H61" s="102"/>
      <c r="I61" s="102"/>
      <c r="J61" s="156"/>
      <c r="K61" s="217"/>
      <c r="L61" s="143"/>
      <c r="M61" s="144"/>
      <c r="N61" s="145"/>
      <c r="O61" s="145"/>
      <c r="P61" s="122"/>
      <c r="Q61" s="146"/>
      <c r="R61" s="214"/>
      <c r="S61" s="11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</row>
    <row r="62" ht="15.75" hidden="1" customHeight="1">
      <c r="A62" s="90"/>
      <c r="B62" s="6"/>
      <c r="C62" s="90"/>
      <c r="D62" s="185"/>
      <c r="E62" s="220"/>
      <c r="F62" s="187"/>
      <c r="G62" s="187"/>
      <c r="H62" s="195"/>
      <c r="I62" s="164"/>
      <c r="J62" s="189"/>
      <c r="K62" s="213"/>
      <c r="L62" s="183"/>
      <c r="M62" s="134"/>
      <c r="N62" s="135"/>
      <c r="O62" s="135"/>
      <c r="P62" s="112" t="str">
        <f>iferror(mround(I62/VLOOKUP(L62,Sheet1!$D$7:$N$16,G62+1,FALSE),2.5),"")</f>
        <v/>
      </c>
      <c r="Q62" s="136"/>
      <c r="R62" s="214"/>
      <c r="S62" s="11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</row>
    <row r="63" ht="3.75" hidden="1" customHeight="1">
      <c r="A63" s="191"/>
      <c r="B63" s="6"/>
      <c r="C63" s="192"/>
      <c r="D63" s="138"/>
      <c r="E63" s="313"/>
      <c r="F63" s="194"/>
      <c r="G63" s="194"/>
      <c r="H63" s="155"/>
      <c r="I63" s="210"/>
      <c r="J63" s="216"/>
      <c r="K63" s="217"/>
      <c r="L63" s="143"/>
      <c r="M63" s="144"/>
      <c r="N63" s="145"/>
      <c r="O63" s="145"/>
      <c r="P63" s="122"/>
      <c r="Q63" s="146"/>
      <c r="R63" s="214"/>
      <c r="S63" s="157"/>
      <c r="T63" s="5"/>
      <c r="U63" s="5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</row>
    <row r="64" ht="15.75" hidden="1" customHeight="1">
      <c r="A64" s="90"/>
      <c r="B64" s="6"/>
      <c r="C64" s="90"/>
      <c r="D64" s="185"/>
      <c r="E64" s="312"/>
      <c r="F64" s="187"/>
      <c r="G64" s="187"/>
      <c r="H64" s="195"/>
      <c r="I64" s="164"/>
      <c r="J64" s="189"/>
      <c r="K64" s="213"/>
      <c r="L64" s="183"/>
      <c r="M64" s="134"/>
      <c r="N64" s="135"/>
      <c r="O64" s="135"/>
      <c r="P64" s="112" t="str">
        <f>iferror(mround(I64/VLOOKUP(L64,Sheet1!$D$7:$N$16,G64+1,FALSE),2.5),"")</f>
        <v/>
      </c>
      <c r="Q64" s="136"/>
      <c r="R64" s="214"/>
      <c r="S64" s="11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</row>
    <row r="65" ht="3.75" hidden="1" customHeight="1">
      <c r="A65" s="90"/>
      <c r="B65" s="6"/>
      <c r="C65" s="90"/>
      <c r="D65" s="196"/>
      <c r="E65" s="215"/>
      <c r="F65" s="102"/>
      <c r="G65" s="102"/>
      <c r="H65" s="102"/>
      <c r="I65" s="102"/>
      <c r="J65" s="156"/>
      <c r="K65" s="217"/>
      <c r="L65" s="143"/>
      <c r="M65" s="144"/>
      <c r="N65" s="145"/>
      <c r="O65" s="145"/>
      <c r="P65" s="122"/>
      <c r="Q65" s="146"/>
      <c r="R65" s="214"/>
      <c r="S65" s="11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</row>
    <row r="66" ht="15.75" hidden="1" customHeight="1">
      <c r="A66" s="90"/>
      <c r="B66" s="6"/>
      <c r="C66" s="90"/>
      <c r="D66" s="197"/>
      <c r="E66" s="314"/>
      <c r="F66" s="199"/>
      <c r="G66" s="187"/>
      <c r="H66" s="195"/>
      <c r="I66" s="164"/>
      <c r="J66" s="189"/>
      <c r="K66" s="213"/>
      <c r="L66" s="183"/>
      <c r="M66" s="134"/>
      <c r="N66" s="135"/>
      <c r="O66" s="135"/>
      <c r="P66" s="112" t="str">
        <f>iferror(mround(I66/VLOOKUP(L66,Sheet1!$D$7:$N$16,G66+1,FALSE),2.5),"")</f>
        <v/>
      </c>
      <c r="Q66" s="136"/>
      <c r="R66" s="214"/>
      <c r="S66" s="11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</row>
    <row r="67" ht="3.75" hidden="1" customHeight="1">
      <c r="A67" s="90"/>
      <c r="B67" s="6"/>
      <c r="C67" s="90"/>
      <c r="D67" s="90"/>
      <c r="E67" s="120"/>
      <c r="F67" s="102"/>
      <c r="G67" s="102"/>
      <c r="H67" s="102"/>
      <c r="I67" s="102"/>
      <c r="J67" s="156"/>
      <c r="K67" s="315"/>
      <c r="L67" s="201"/>
      <c r="M67" s="211"/>
      <c r="N67" s="47"/>
      <c r="O67" s="47"/>
      <c r="P67" s="122"/>
      <c r="Q67" s="146"/>
      <c r="R67" s="214"/>
      <c r="S67" s="11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</row>
    <row r="68" ht="30.75" customHeight="1">
      <c r="A68" s="90"/>
      <c r="B68" s="6"/>
      <c r="C68" s="90"/>
      <c r="D68" s="104" t="s">
        <v>49</v>
      </c>
      <c r="E68" s="105" t="s">
        <v>89</v>
      </c>
      <c r="F68" s="106" t="s">
        <v>16</v>
      </c>
      <c r="G68" s="106" t="s">
        <v>17</v>
      </c>
      <c r="H68" s="107"/>
      <c r="I68" s="106" t="s">
        <v>18</v>
      </c>
      <c r="J68" s="108" t="s">
        <v>19</v>
      </c>
      <c r="L68" s="109" t="s">
        <v>20</v>
      </c>
      <c r="M68" s="110" t="s">
        <v>21</v>
      </c>
      <c r="N68" s="111" t="s">
        <v>22</v>
      </c>
      <c r="P68" s="112"/>
      <c r="Q68" s="113" t="s">
        <v>23</v>
      </c>
      <c r="R68" s="114" t="s">
        <v>50</v>
      </c>
      <c r="S68" s="11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</row>
    <row r="69" ht="14.25" customHeight="1">
      <c r="A69" s="90"/>
      <c r="B69" s="6"/>
      <c r="C69" s="90"/>
      <c r="D69" s="116">
        <v>4.0</v>
      </c>
      <c r="E69" s="117">
        <v>2.0</v>
      </c>
      <c r="H69" s="107"/>
      <c r="N69" s="111" t="s">
        <v>27</v>
      </c>
      <c r="O69" s="111" t="s">
        <v>28</v>
      </c>
      <c r="P69" s="112" t="s">
        <v>29</v>
      </c>
      <c r="R69" s="118" t="s">
        <v>30</v>
      </c>
      <c r="S69" s="11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</row>
    <row r="70" ht="3.75" customHeight="1">
      <c r="A70" s="191"/>
      <c r="B70" s="6"/>
      <c r="C70" s="192"/>
      <c r="D70" s="203"/>
      <c r="E70" s="203"/>
      <c r="F70" s="205"/>
      <c r="G70" s="205"/>
      <c r="H70" s="205"/>
      <c r="I70" s="225"/>
      <c r="J70" s="226"/>
      <c r="K70" s="316"/>
      <c r="L70" s="210"/>
      <c r="M70" s="211"/>
      <c r="N70" s="47"/>
      <c r="O70" s="47"/>
      <c r="P70" s="122"/>
      <c r="Q70" s="146"/>
      <c r="R70" s="212"/>
      <c r="S70" s="157"/>
      <c r="T70" s="5"/>
      <c r="U70" s="5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</row>
    <row r="71" ht="15.75" customHeight="1">
      <c r="A71" s="124"/>
      <c r="B71" s="6"/>
      <c r="C71" s="124"/>
      <c r="D71" s="125" t="s">
        <v>90</v>
      </c>
      <c r="E71" s="126"/>
      <c r="F71" s="127">
        <v>1.0</v>
      </c>
      <c r="G71" s="240">
        <v>4.0</v>
      </c>
      <c r="H71" s="129"/>
      <c r="I71" s="130">
        <v>390.0</v>
      </c>
      <c r="J71" s="151">
        <v>6.0</v>
      </c>
      <c r="K71" s="213"/>
      <c r="L71" s="133">
        <v>6.0</v>
      </c>
      <c r="M71" s="134"/>
      <c r="N71" s="135" t="str">
        <f>iferror(mround(#REF!*((VLOOKUP($J71,Sheet1!$D:$N,$G71+1,FALSE)-0.03)),2.5)," ")</f>
        <v> </v>
      </c>
      <c r="O71" s="135" t="str">
        <f>iferror(mround(#REF!*((VLOOKUP($J71,Sheet1!$D:$N,$G71+1,FALSE)+0.02)),2.5)," ")</f>
        <v> </v>
      </c>
      <c r="P71" s="112">
        <f>iferror(mround(I71/VLOOKUP(L71,Sheet1!$D$7:$N$16,G71+1,FALSE),2.5),"")</f>
        <v>492.5</v>
      </c>
      <c r="Q71" s="136"/>
      <c r="R71" s="214"/>
      <c r="S71" s="11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</row>
    <row r="72" ht="3.75" customHeight="1">
      <c r="A72" s="124"/>
      <c r="B72" s="6"/>
      <c r="C72" s="124"/>
      <c r="D72" s="138"/>
      <c r="E72" s="139"/>
      <c r="F72" s="140"/>
      <c r="G72" s="140"/>
      <c r="H72" s="140"/>
      <c r="I72" s="140"/>
      <c r="J72" s="141"/>
      <c r="K72" s="217"/>
      <c r="L72" s="218"/>
      <c r="M72" s="144"/>
      <c r="N72" s="145"/>
      <c r="O72" s="145"/>
      <c r="P72" s="122"/>
      <c r="Q72" s="146"/>
      <c r="R72" s="214"/>
      <c r="S72" s="11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</row>
    <row r="73" ht="15.75" customHeight="1">
      <c r="A73" s="90"/>
      <c r="B73" s="6"/>
      <c r="C73" s="90"/>
      <c r="D73" s="125" t="s">
        <v>77</v>
      </c>
      <c r="E73" s="126"/>
      <c r="F73" s="127">
        <v>3.0</v>
      </c>
      <c r="G73" s="240">
        <v>4.0</v>
      </c>
      <c r="H73" s="129"/>
      <c r="I73" s="164">
        <f>MROUND(I71*(1+J73),5)</f>
        <v>345</v>
      </c>
      <c r="J73" s="165">
        <v>-0.12</v>
      </c>
      <c r="K73" s="213"/>
      <c r="L73" s="133">
        <v>5.0</v>
      </c>
      <c r="M73" s="134"/>
      <c r="N73" s="135" t="str">
        <f>iferror(mround(#REF!*((VLOOKUP($J73,Sheet1!$D:$N,$G73+1,FALSE)-0.03)),2.5)," ")</f>
        <v> </v>
      </c>
      <c r="O73" s="135" t="str">
        <f>iferror(mround(#REF!*((VLOOKUP($J73,Sheet1!$D:$N,$G73+1,FALSE)+0.02)),2.5)," ")</f>
        <v> </v>
      </c>
      <c r="P73" s="112" t="str">
        <f>iferror(mround(I73/VLOOKUP(L73,Sheet1!$D$7:$N$16,G73+1,FALSE),2.5),"")</f>
        <v/>
      </c>
      <c r="Q73" s="136"/>
      <c r="R73" s="214"/>
      <c r="S73" s="11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</row>
    <row r="74" ht="3.75" customHeight="1">
      <c r="A74" s="90"/>
      <c r="B74" s="6"/>
      <c r="C74" s="90"/>
      <c r="D74" s="138"/>
      <c r="E74" s="215"/>
      <c r="F74" s="102"/>
      <c r="G74" s="102"/>
      <c r="H74" s="102"/>
      <c r="I74" s="102"/>
      <c r="J74" s="156"/>
      <c r="K74" s="217"/>
      <c r="L74" s="218"/>
      <c r="M74" s="144"/>
      <c r="N74" s="145"/>
      <c r="O74" s="145"/>
      <c r="P74" s="122"/>
      <c r="Q74" s="146"/>
      <c r="R74" s="214"/>
      <c r="S74" s="11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</row>
    <row r="75" ht="15.75" customHeight="1">
      <c r="A75" s="90"/>
      <c r="B75" s="6"/>
      <c r="C75" s="90"/>
      <c r="D75" s="159" t="s">
        <v>33</v>
      </c>
      <c r="E75" s="160" t="s">
        <v>34</v>
      </c>
      <c r="F75" s="127">
        <v>3.0</v>
      </c>
      <c r="G75" s="161">
        <v>2.0</v>
      </c>
      <c r="H75" s="129"/>
      <c r="I75" s="130">
        <v>265.0</v>
      </c>
      <c r="J75" s="151">
        <v>7.0</v>
      </c>
      <c r="K75" s="219" t="s">
        <v>91</v>
      </c>
      <c r="L75" s="133">
        <v>7.0</v>
      </c>
      <c r="M75" s="134"/>
      <c r="N75" s="135" t="str">
        <f>iferror(mround(#REF!*((VLOOKUP($J75,Sheet1!$D:$N,$G75+1,FALSE)-0.03)),2.5)," ")</f>
        <v> </v>
      </c>
      <c r="O75" s="135" t="str">
        <f>iferror(mround(#REF!*((VLOOKUP($J75,Sheet1!$D:$N,$G75+1,FALSE)+0.02)),2.5)," ")</f>
        <v> </v>
      </c>
      <c r="P75" s="112">
        <f>iferror(mround(I75/VLOOKUP(L75,Sheet1!$D$7:$N$16,G75+1,FALSE),2.5),"")</f>
        <v>307.5</v>
      </c>
      <c r="Q75" s="136"/>
      <c r="R75" s="214"/>
      <c r="S75" s="11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</row>
    <row r="76" ht="3.75" customHeight="1">
      <c r="A76" s="90"/>
      <c r="B76" s="6"/>
      <c r="C76" s="90"/>
      <c r="D76" s="138"/>
      <c r="E76" s="154"/>
      <c r="F76" s="155"/>
      <c r="G76" s="102"/>
      <c r="H76" s="102"/>
      <c r="I76" s="102"/>
      <c r="J76" s="156"/>
      <c r="K76" s="217"/>
      <c r="L76" s="218"/>
      <c r="M76" s="144"/>
      <c r="N76" s="145"/>
      <c r="O76" s="145"/>
      <c r="P76" s="122"/>
      <c r="Q76" s="146"/>
      <c r="R76" s="214"/>
      <c r="S76" s="11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</row>
    <row r="77" ht="15.75" customHeight="1">
      <c r="A77" s="90"/>
      <c r="B77" s="6"/>
      <c r="C77" s="90"/>
      <c r="D77" s="159" t="s">
        <v>45</v>
      </c>
      <c r="E77" s="220"/>
      <c r="F77" s="127">
        <v>3.0</v>
      </c>
      <c r="G77" s="127" t="s">
        <v>41</v>
      </c>
      <c r="H77" s="195"/>
      <c r="I77" s="130" t="s">
        <v>92</v>
      </c>
      <c r="J77" s="151"/>
      <c r="K77" s="213"/>
      <c r="L77" s="133" t="s">
        <v>93</v>
      </c>
      <c r="M77" s="134"/>
      <c r="N77" s="135" t="str">
        <f>iferror(mround(#REF!*((VLOOKUP($J77,Sheet1!$D:$N,$G77+1,FALSE)-0.03)),2.5)," ")</f>
        <v> </v>
      </c>
      <c r="O77" s="135" t="str">
        <f>iferror(mround(#REF!*((VLOOKUP($J77,Sheet1!$D:$N,$G77+1,FALSE)+0.02)),2.5)," ")</f>
        <v> </v>
      </c>
      <c r="P77" s="112" t="str">
        <f>iferror(mround(I77/VLOOKUP(L77,Sheet1!$D$7:$N$16,G77+1,FALSE),2.5),"")</f>
        <v/>
      </c>
      <c r="Q77" s="136"/>
      <c r="R77" s="214"/>
      <c r="S77" s="11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</row>
    <row r="78" ht="3.75" customHeight="1">
      <c r="A78" s="90"/>
      <c r="B78" s="6"/>
      <c r="C78" s="90"/>
      <c r="D78" s="138"/>
      <c r="E78" s="215"/>
      <c r="F78" s="102"/>
      <c r="G78" s="102"/>
      <c r="H78" s="102"/>
      <c r="I78" s="102"/>
      <c r="J78" s="156"/>
      <c r="K78" s="217"/>
      <c r="L78" s="218"/>
      <c r="M78" s="144"/>
      <c r="N78" s="145"/>
      <c r="O78" s="145"/>
      <c r="P78" s="122"/>
      <c r="Q78" s="146"/>
      <c r="R78" s="214"/>
      <c r="S78" s="11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</row>
    <row r="79" ht="15.75" customHeight="1">
      <c r="A79" s="90"/>
      <c r="B79" s="6"/>
      <c r="C79" s="90"/>
      <c r="D79" s="159" t="s">
        <v>94</v>
      </c>
      <c r="E79" s="220"/>
      <c r="F79" s="127">
        <v>3.0</v>
      </c>
      <c r="G79" s="221">
        <v>45641.0</v>
      </c>
      <c r="H79" s="195"/>
      <c r="I79" s="130">
        <v>20.0</v>
      </c>
      <c r="J79" s="151">
        <v>9.0</v>
      </c>
      <c r="K79" s="213"/>
      <c r="L79" s="133" t="s">
        <v>95</v>
      </c>
      <c r="M79" s="134"/>
      <c r="N79" s="135" t="str">
        <f>iferror(mround(#REF!*((VLOOKUP($J79,Sheet1!$D:$N,$G79+1,FALSE)-0.03)),2.5)," ")</f>
        <v> </v>
      </c>
      <c r="O79" s="135" t="str">
        <f>iferror(mround(#REF!*((VLOOKUP($J79,Sheet1!$D:$N,$G79+1,FALSE)+0.02)),2.5)," ")</f>
        <v> </v>
      </c>
      <c r="P79" s="112" t="str">
        <f>iferror(mround(I79/VLOOKUP(L79,Sheet1!$D$7:$N$16,G79+1,FALSE),2.5),"")</f>
        <v/>
      </c>
      <c r="Q79" s="136"/>
      <c r="R79" s="214"/>
      <c r="S79" s="11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</row>
    <row r="80" ht="3.75" customHeight="1">
      <c r="A80" s="90"/>
      <c r="B80" s="6"/>
      <c r="C80" s="90"/>
      <c r="D80" s="138"/>
      <c r="E80" s="215"/>
      <c r="F80" s="102"/>
      <c r="G80" s="102"/>
      <c r="H80" s="102"/>
      <c r="I80" s="102"/>
      <c r="J80" s="156"/>
      <c r="K80" s="217"/>
      <c r="L80" s="218"/>
      <c r="M80" s="144"/>
      <c r="N80" s="145"/>
      <c r="O80" s="145"/>
      <c r="P80" s="122"/>
      <c r="Q80" s="146"/>
      <c r="R80" s="214"/>
      <c r="S80" s="11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</row>
    <row r="81" ht="15.75" hidden="1" customHeight="1">
      <c r="A81" s="90"/>
      <c r="B81" s="6"/>
      <c r="C81" s="90"/>
      <c r="D81" s="185"/>
      <c r="E81" s="220"/>
      <c r="F81" s="187"/>
      <c r="G81" s="229"/>
      <c r="H81" s="195"/>
      <c r="I81" s="164"/>
      <c r="J81" s="189"/>
      <c r="K81" s="213"/>
      <c r="L81" s="183"/>
      <c r="M81" s="134"/>
      <c r="N81" s="135" t="str">
        <f>iferror(mround(#REF!*((VLOOKUP($J81,Sheet1!$D:$N,$G81+1,FALSE)-0.03)),2.5)," ")</f>
        <v> </v>
      </c>
      <c r="O81" s="135" t="str">
        <f>iferror(mround(#REF!*((VLOOKUP($J81,Sheet1!$D:$N,$G81+1,FALSE)+0.02)),2.5)," ")</f>
        <v> </v>
      </c>
      <c r="P81" s="112" t="str">
        <f>iferror(mround(I81/VLOOKUP(L81,Sheet1!$D$7:$N$16,G81+1,FALSE),2.5),"")</f>
        <v/>
      </c>
      <c r="Q81" s="136"/>
      <c r="R81" s="214"/>
      <c r="S81" s="11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</row>
    <row r="82" ht="3.75" hidden="1" customHeight="1">
      <c r="A82" s="90"/>
      <c r="B82" s="6"/>
      <c r="C82" s="90"/>
      <c r="D82" s="138"/>
      <c r="E82" s="215"/>
      <c r="F82" s="102"/>
      <c r="G82" s="102"/>
      <c r="H82" s="102"/>
      <c r="I82" s="102"/>
      <c r="J82" s="216"/>
      <c r="K82" s="217"/>
      <c r="L82" s="218"/>
      <c r="M82" s="144"/>
      <c r="N82" s="145"/>
      <c r="O82" s="145"/>
      <c r="P82" s="122"/>
      <c r="Q82" s="146"/>
      <c r="R82" s="214"/>
      <c r="S82" s="11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</row>
    <row r="83" ht="15.75" hidden="1" customHeight="1">
      <c r="A83" s="90"/>
      <c r="B83" s="6"/>
      <c r="C83" s="90"/>
      <c r="D83" s="185"/>
      <c r="E83" s="220"/>
      <c r="F83" s="187"/>
      <c r="G83" s="229"/>
      <c r="H83" s="195"/>
      <c r="I83" s="164"/>
      <c r="J83" s="189"/>
      <c r="K83" s="213"/>
      <c r="L83" s="183"/>
      <c r="M83" s="134"/>
      <c r="N83" s="135" t="str">
        <f>iferror(mround(#REF!*((VLOOKUP($J83,Sheet1!$D:$N,$G83+1,FALSE)-0.03)),2.5)," ")</f>
        <v> </v>
      </c>
      <c r="O83" s="135" t="str">
        <f>iferror(mround(#REF!*((VLOOKUP($J83,Sheet1!$D:$N,$G83+1,FALSE)+0.02)),2.5)," ")</f>
        <v> </v>
      </c>
      <c r="P83" s="112" t="str">
        <f>iferror(mround(I83/VLOOKUP(L83,Sheet1!$D$7:$N$16,G83+1,FALSE),2.5),"")</f>
        <v/>
      </c>
      <c r="Q83" s="136"/>
      <c r="R83" s="214"/>
      <c r="S83" s="11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</row>
    <row r="84" ht="3.75" hidden="1" customHeight="1">
      <c r="A84" s="191"/>
      <c r="B84" s="6"/>
      <c r="C84" s="192"/>
      <c r="D84" s="138"/>
      <c r="E84" s="215"/>
      <c r="F84" s="102"/>
      <c r="G84" s="102"/>
      <c r="H84" s="102"/>
      <c r="I84" s="102"/>
      <c r="J84" s="156"/>
      <c r="K84" s="217"/>
      <c r="L84" s="218"/>
      <c r="M84" s="144"/>
      <c r="N84" s="145"/>
      <c r="O84" s="145"/>
      <c r="P84" s="122"/>
      <c r="Q84" s="146"/>
      <c r="R84" s="214"/>
      <c r="S84" s="157"/>
      <c r="T84" s="5"/>
      <c r="U84" s="5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</row>
    <row r="85" ht="15.75" hidden="1" customHeight="1">
      <c r="A85" s="90"/>
      <c r="B85" s="6"/>
      <c r="C85" s="90"/>
      <c r="D85" s="185"/>
      <c r="E85" s="220"/>
      <c r="F85" s="187"/>
      <c r="G85" s="187"/>
      <c r="H85" s="195"/>
      <c r="I85" s="164"/>
      <c r="J85" s="230"/>
      <c r="K85" s="213"/>
      <c r="L85" s="183"/>
      <c r="M85" s="134"/>
      <c r="N85" s="135" t="str">
        <f>iferror(mround(#REF!*((VLOOKUP($J85,Sheet1!$D:$N,$G85+1,FALSE)-0.03)),2.5)," ")</f>
        <v> </v>
      </c>
      <c r="O85" s="135" t="str">
        <f>iferror(mround(#REF!*((VLOOKUP($J85,Sheet1!$D:$N,$G85+1,FALSE)+0.02)),2.5)," ")</f>
        <v> </v>
      </c>
      <c r="P85" s="112" t="str">
        <f>iferror(mround(I85/VLOOKUP(L85,Sheet1!$D$7:$N$16,G85+1,FALSE),2.5),"")</f>
        <v/>
      </c>
      <c r="Q85" s="136"/>
      <c r="R85" s="214"/>
      <c r="S85" s="11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</row>
    <row r="86" ht="3.75" hidden="1" customHeight="1">
      <c r="A86" s="90"/>
      <c r="B86" s="6"/>
      <c r="C86" s="90"/>
      <c r="D86" s="138"/>
      <c r="E86" s="215"/>
      <c r="F86" s="102"/>
      <c r="G86" s="102"/>
      <c r="H86" s="102"/>
      <c r="I86" s="102"/>
      <c r="J86" s="156"/>
      <c r="K86" s="217"/>
      <c r="L86" s="218"/>
      <c r="M86" s="144"/>
      <c r="N86" s="145"/>
      <c r="O86" s="145"/>
      <c r="P86" s="122"/>
      <c r="Q86" s="146"/>
      <c r="R86" s="214"/>
      <c r="S86" s="11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</row>
    <row r="87" ht="15.75" hidden="1" customHeight="1">
      <c r="A87" s="90"/>
      <c r="B87" s="6"/>
      <c r="C87" s="90"/>
      <c r="D87" s="231"/>
      <c r="E87" s="317"/>
      <c r="F87" s="187"/>
      <c r="G87" s="187"/>
      <c r="H87" s="195"/>
      <c r="I87" s="164"/>
      <c r="J87" s="230"/>
      <c r="K87" s="213"/>
      <c r="L87" s="183"/>
      <c r="M87" s="134"/>
      <c r="N87" s="135" t="str">
        <f>iferror(mround(#REF!*((VLOOKUP($J87,Sheet1!$D:$N,$G87+1,FALSE)-0.03)),2.5)," ")</f>
        <v> </v>
      </c>
      <c r="O87" s="135" t="str">
        <f>iferror(mround(#REF!*((VLOOKUP($J87,Sheet1!$D:$N,$G87+1,FALSE)+0.02)),2.5)," ")</f>
        <v> </v>
      </c>
      <c r="P87" s="112" t="str">
        <f>iferror(mround(I87/VLOOKUP(L87,Sheet1!$D$7:$N$16,G87+1,FALSE),2.5),"")</f>
        <v/>
      </c>
      <c r="Q87" s="136"/>
      <c r="R87" s="214"/>
      <c r="S87" s="11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</row>
    <row r="88" ht="3.75" hidden="1" customHeight="1">
      <c r="A88" s="191"/>
      <c r="B88" s="6"/>
      <c r="C88" s="233"/>
      <c r="D88" s="234"/>
      <c r="E88" s="318"/>
      <c r="F88" s="236"/>
      <c r="G88" s="194"/>
      <c r="H88" s="155"/>
      <c r="I88" s="210"/>
      <c r="J88" s="216"/>
      <c r="K88" s="217"/>
      <c r="L88" s="218"/>
      <c r="M88" s="144"/>
      <c r="N88" s="145"/>
      <c r="O88" s="145"/>
      <c r="P88" s="122"/>
      <c r="Q88" s="146"/>
      <c r="R88" s="214"/>
      <c r="S88" s="157"/>
      <c r="T88" s="5"/>
      <c r="U88" s="5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</row>
    <row r="89" ht="15.75" hidden="1" customHeight="1">
      <c r="A89" s="90"/>
      <c r="B89" s="6"/>
      <c r="C89" s="90"/>
      <c r="D89" s="197"/>
      <c r="E89" s="314"/>
      <c r="F89" s="199"/>
      <c r="G89" s="187"/>
      <c r="H89" s="195"/>
      <c r="I89" s="164"/>
      <c r="J89" s="189"/>
      <c r="K89" s="213"/>
      <c r="L89" s="183"/>
      <c r="M89" s="134"/>
      <c r="N89" s="135" t="str">
        <f>iferror(mround(#REF!*((VLOOKUP($J89,Sheet1!$D:$N,$G89+1,FALSE)-0.03)),2.5)," ")</f>
        <v> </v>
      </c>
      <c r="O89" s="135" t="str">
        <f>iferror(mround(#REF!*((VLOOKUP($J89,Sheet1!$D:$N,$G89+1,FALSE)+0.02)),2.5)," ")</f>
        <v> </v>
      </c>
      <c r="P89" s="112" t="str">
        <f>iferror(mround(I89/VLOOKUP(L89,Sheet1!$D$7:$N$16,G89+1,FALSE),2.5),"")</f>
        <v/>
      </c>
      <c r="Q89" s="136"/>
      <c r="R89" s="214"/>
      <c r="S89" s="11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</row>
    <row r="90" ht="3.75" customHeight="1">
      <c r="A90" s="90"/>
      <c r="B90" s="6"/>
      <c r="C90" s="90"/>
      <c r="D90" s="90"/>
      <c r="E90" s="120"/>
      <c r="F90" s="102"/>
      <c r="G90" s="102"/>
      <c r="H90" s="102"/>
      <c r="I90" s="102"/>
      <c r="J90" s="156"/>
      <c r="K90" s="200"/>
      <c r="L90" s="201"/>
      <c r="M90" s="211"/>
      <c r="N90" s="47"/>
      <c r="O90" s="47"/>
      <c r="P90" s="122"/>
      <c r="Q90" s="146"/>
      <c r="R90" s="214"/>
      <c r="S90" s="11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</row>
    <row r="91" ht="30.0" customHeight="1">
      <c r="A91" s="90"/>
      <c r="B91" s="6"/>
      <c r="C91" s="90"/>
      <c r="D91" s="104" t="s">
        <v>55</v>
      </c>
      <c r="E91" s="105" t="s">
        <v>96</v>
      </c>
      <c r="F91" s="106" t="s">
        <v>16</v>
      </c>
      <c r="G91" s="106" t="s">
        <v>17</v>
      </c>
      <c r="H91" s="107"/>
      <c r="I91" s="106" t="s">
        <v>18</v>
      </c>
      <c r="J91" s="108" t="s">
        <v>19</v>
      </c>
      <c r="L91" s="109" t="s">
        <v>20</v>
      </c>
      <c r="M91" s="110" t="s">
        <v>21</v>
      </c>
      <c r="N91" s="111" t="s">
        <v>22</v>
      </c>
      <c r="P91" s="112"/>
      <c r="Q91" s="113" t="s">
        <v>23</v>
      </c>
      <c r="R91" s="114" t="s">
        <v>56</v>
      </c>
      <c r="S91" s="11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</row>
    <row r="92" ht="14.25" customHeight="1">
      <c r="A92" s="90"/>
      <c r="B92" s="6"/>
      <c r="C92" s="90"/>
      <c r="D92" s="116">
        <v>3.0</v>
      </c>
      <c r="E92" s="117">
        <v>2.0</v>
      </c>
      <c r="H92" s="107"/>
      <c r="N92" s="111" t="s">
        <v>27</v>
      </c>
      <c r="O92" s="111" t="s">
        <v>28</v>
      </c>
      <c r="P92" s="112" t="s">
        <v>29</v>
      </c>
      <c r="R92" s="118" t="s">
        <v>30</v>
      </c>
      <c r="S92" s="11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</row>
    <row r="93" ht="3.75" customHeight="1">
      <c r="A93" s="191"/>
      <c r="B93" s="6"/>
      <c r="C93" s="192"/>
      <c r="D93" s="310"/>
      <c r="E93" s="204"/>
      <c r="F93" s="205"/>
      <c r="G93" s="205"/>
      <c r="H93" s="205"/>
      <c r="I93" s="225"/>
      <c r="J93" s="319"/>
      <c r="K93" s="243"/>
      <c r="L93" s="238"/>
      <c r="M93" s="211"/>
      <c r="N93" s="47" t="str">
        <f>iferror(mround(#REF!*((VLOOKUP($J93,Sheet1!$D:$N,$G93+1,FALSE)-0.03)),2.5)," ")</f>
        <v> </v>
      </c>
      <c r="O93" s="47" t="str">
        <f>iferror(mround(#REF!*((VLOOKUP($J93,Sheet1!$D:$N,$G93+1,FALSE)+0.02)),2.5)," ")</f>
        <v> </v>
      </c>
      <c r="P93" s="122"/>
      <c r="Q93" s="146"/>
      <c r="R93" s="239"/>
      <c r="S93" s="157"/>
      <c r="T93" s="5"/>
      <c r="U93" s="5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</row>
    <row r="94" ht="15.75" customHeight="1">
      <c r="A94" s="124"/>
      <c r="B94" s="6"/>
      <c r="C94" s="124"/>
      <c r="D94" s="125" t="s">
        <v>97</v>
      </c>
      <c r="E94" s="126"/>
      <c r="F94" s="127">
        <v>1.0</v>
      </c>
      <c r="G94" s="240">
        <v>4.0</v>
      </c>
      <c r="H94" s="129"/>
      <c r="I94" s="130">
        <v>452.0</v>
      </c>
      <c r="J94" s="151">
        <v>6.0</v>
      </c>
      <c r="K94" s="241"/>
      <c r="L94" s="130">
        <v>6.0</v>
      </c>
      <c r="M94" s="134"/>
      <c r="N94" s="135" t="str">
        <f>iferror(mround(#REF!*((VLOOKUP($J94,Sheet1!$D:$N,$G94+1,FALSE)-0.03)),2.5)," ")</f>
        <v> </v>
      </c>
      <c r="O94" s="135" t="str">
        <f>iferror(mround(#REF!*((VLOOKUP($J94,Sheet1!$D:$N,$G94+1,FALSE)+0.02)),2.5)," ")</f>
        <v> </v>
      </c>
      <c r="P94" s="112">
        <f>iferror(mround(I94/VLOOKUP(L94,Sheet1!$D$7:$N$16,G94+1,FALSE),2.5),"")</f>
        <v>572.5</v>
      </c>
      <c r="Q94" s="136"/>
      <c r="R94" s="242"/>
      <c r="S94" s="11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</row>
    <row r="95" ht="3.75" customHeight="1">
      <c r="A95" s="124"/>
      <c r="B95" s="6"/>
      <c r="C95" s="124"/>
      <c r="D95" s="138"/>
      <c r="E95" s="139"/>
      <c r="F95" s="140"/>
      <c r="G95" s="140"/>
      <c r="H95" s="140"/>
      <c r="I95" s="140"/>
      <c r="J95" s="141"/>
      <c r="K95" s="243"/>
      <c r="L95" s="210"/>
      <c r="M95" s="144"/>
      <c r="N95" s="145" t="str">
        <f>iferror(mround(#REF!*((VLOOKUP($J95,Sheet1!$D:$N,$G95+1,FALSE)-0.03)),2.5)," ")</f>
        <v> </v>
      </c>
      <c r="O95" s="145" t="str">
        <f>iferror(mround(#REF!*((VLOOKUP($J95,Sheet1!$D:$N,$G95+1,FALSE)+0.02)),2.5)," ")</f>
        <v> </v>
      </c>
      <c r="P95" s="122"/>
      <c r="Q95" s="146"/>
      <c r="R95" s="242"/>
      <c r="S95" s="11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</row>
    <row r="96" ht="15.0" customHeight="1">
      <c r="A96" s="124"/>
      <c r="B96" s="6"/>
      <c r="C96" s="124"/>
      <c r="D96" s="125" t="s">
        <v>97</v>
      </c>
      <c r="E96" s="126"/>
      <c r="F96" s="127">
        <v>3.0</v>
      </c>
      <c r="G96" s="240">
        <v>4.0</v>
      </c>
      <c r="H96" s="129"/>
      <c r="I96" s="164">
        <f>MROUND(I94*(1+J96),5)</f>
        <v>400</v>
      </c>
      <c r="J96" s="165">
        <v>-0.12</v>
      </c>
      <c r="K96" s="241"/>
      <c r="L96" s="130">
        <v>5.0</v>
      </c>
      <c r="M96" s="134"/>
      <c r="N96" s="135" t="str">
        <f>iferror(mround(#REF!*((VLOOKUP($J96,Sheet1!$D:$N,$G96+1,FALSE)-0.03)),2.5)," ")</f>
        <v> </v>
      </c>
      <c r="O96" s="135" t="str">
        <f>iferror(mround(#REF!*((VLOOKUP($J96,Sheet1!$D:$N,$G96+1,FALSE)+0.02)),2.5)," ")</f>
        <v> </v>
      </c>
      <c r="P96" s="112" t="str">
        <f>iferror(mround(I96/VLOOKUP(L96,Sheet1!$D$7:$N$16,G96+1,FALSE),2.5),"")</f>
        <v/>
      </c>
      <c r="Q96" s="136"/>
      <c r="R96" s="242"/>
      <c r="S96" s="11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</row>
    <row r="97" ht="3.75" customHeight="1">
      <c r="A97" s="124"/>
      <c r="B97" s="6"/>
      <c r="C97" s="124"/>
      <c r="D97" s="138"/>
      <c r="E97" s="215"/>
      <c r="F97" s="102"/>
      <c r="G97" s="102"/>
      <c r="H97" s="102"/>
      <c r="I97" s="102"/>
      <c r="J97" s="156"/>
      <c r="K97" s="243"/>
      <c r="L97" s="210"/>
      <c r="M97" s="144"/>
      <c r="N97" s="145" t="str">
        <f>iferror(mround(#REF!*((VLOOKUP($J97,Sheet1!$D:$N,$G97+1,FALSE)-0.03)),2.5)," ")</f>
        <v> </v>
      </c>
      <c r="O97" s="145" t="str">
        <f>iferror(mround(#REF!*((VLOOKUP($J97,Sheet1!$D:$N,$G97+1,FALSE)+0.02)),2.5)," ")</f>
        <v> </v>
      </c>
      <c r="P97" s="122"/>
      <c r="Q97" s="146"/>
      <c r="R97" s="242"/>
      <c r="S97" s="11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</row>
    <row r="98" ht="15.75" customHeight="1">
      <c r="A98" s="124"/>
      <c r="B98" s="6"/>
      <c r="C98" s="124"/>
      <c r="D98" s="159" t="s">
        <v>33</v>
      </c>
      <c r="E98" s="126"/>
      <c r="F98" s="127">
        <v>2.0</v>
      </c>
      <c r="G98" s="161">
        <v>1.0</v>
      </c>
      <c r="H98" s="129"/>
      <c r="I98" s="130">
        <v>315.0</v>
      </c>
      <c r="J98" s="189">
        <v>6.0</v>
      </c>
      <c r="K98" s="244" t="s">
        <v>98</v>
      </c>
      <c r="L98" s="130">
        <v>6.5</v>
      </c>
      <c r="M98" s="134"/>
      <c r="N98" s="135" t="str">
        <f>iferror(mround(#REF!*((VLOOKUP($J98,Sheet1!$D:$N,$G98+1,FALSE)-0.03)),2.5)," ")</f>
        <v> </v>
      </c>
      <c r="O98" s="135" t="str">
        <f>iferror(mround(#REF!*((VLOOKUP($J98,Sheet1!$D:$N,$G98+1,FALSE)+0.02)),2.5)," ")</f>
        <v> </v>
      </c>
      <c r="P98" s="112">
        <f>iferror(mround(I98/VLOOKUP(L98,Sheet1!$D$7:$N$16,G98+1,FALSE),2.5),"")</f>
        <v>360</v>
      </c>
      <c r="Q98" s="136"/>
      <c r="R98" s="242"/>
      <c r="S98" s="11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</row>
    <row r="99" ht="3.75" customHeight="1">
      <c r="A99" s="124"/>
      <c r="B99" s="6"/>
      <c r="C99" s="124"/>
      <c r="D99" s="138"/>
      <c r="E99" s="154"/>
      <c r="F99" s="155"/>
      <c r="G99" s="102"/>
      <c r="H99" s="102"/>
      <c r="I99" s="102"/>
      <c r="J99" s="156"/>
      <c r="K99" s="243"/>
      <c r="L99" s="210"/>
      <c r="M99" s="144"/>
      <c r="N99" s="145" t="str">
        <f>iferror(mround(#REF!*((VLOOKUP($J99,Sheet1!$D:$N,$G99+1,FALSE)-0.03)),2.5)," ")</f>
        <v> </v>
      </c>
      <c r="O99" s="145" t="str">
        <f>iferror(mround(#REF!*((VLOOKUP($J99,Sheet1!$D:$N,$G99+1,FALSE)+0.02)),2.5)," ")</f>
        <v> </v>
      </c>
      <c r="P99" s="122"/>
      <c r="Q99" s="146"/>
      <c r="R99" s="242"/>
      <c r="S99" s="11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</row>
    <row r="100" ht="15.75" customHeight="1">
      <c r="A100" s="124"/>
      <c r="B100" s="6"/>
      <c r="C100" s="124"/>
      <c r="D100" s="159" t="s">
        <v>33</v>
      </c>
      <c r="E100" s="126"/>
      <c r="F100" s="127">
        <v>4.0</v>
      </c>
      <c r="G100" s="161">
        <v>4.0</v>
      </c>
      <c r="H100" s="129"/>
      <c r="I100" s="130">
        <v>265.0</v>
      </c>
      <c r="J100" s="151">
        <v>6.0</v>
      </c>
      <c r="K100" s="241" t="s">
        <v>91</v>
      </c>
      <c r="L100" s="130"/>
      <c r="M100" s="134"/>
      <c r="N100" s="135" t="str">
        <f>iferror(mround(#REF!*((VLOOKUP($J100,Sheet1!$D:$N,$G100+1,FALSE)-0.03)),2.5)," ")</f>
        <v> </v>
      </c>
      <c r="O100" s="135" t="str">
        <f>iferror(mround(#REF!*((VLOOKUP($J100,Sheet1!$D:$N,$G100+1,FALSE)+0.02)),2.5)," ")</f>
        <v> </v>
      </c>
      <c r="P100" s="112" t="str">
        <f>iferror(mround(I100/VLOOKUP(L100,Sheet1!$D$7:$N$16,G100+1,FALSE),2.5),"")</f>
        <v/>
      </c>
      <c r="Q100" s="136"/>
      <c r="R100" s="242"/>
      <c r="S100" s="11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</row>
    <row r="101" ht="3.75" customHeight="1">
      <c r="A101" s="90"/>
      <c r="B101" s="6"/>
      <c r="C101" s="90"/>
      <c r="D101" s="138"/>
      <c r="E101" s="245"/>
      <c r="F101" s="102"/>
      <c r="G101" s="102"/>
      <c r="H101" s="102"/>
      <c r="I101" s="102"/>
      <c r="J101" s="156"/>
      <c r="K101" s="243"/>
      <c r="L101" s="210"/>
      <c r="M101" s="144"/>
      <c r="N101" s="145" t="str">
        <f>iferror(mround(#REF!*((VLOOKUP($J101,Sheet1!$D:$N,$G101+1,FALSE)-0.03)),2.5)," ")</f>
        <v> </v>
      </c>
      <c r="O101" s="145" t="str">
        <f>iferror(mround(#REF!*((VLOOKUP($J101,Sheet1!$D:$N,$G101+1,FALSE)+0.02)),2.5)," ")</f>
        <v> </v>
      </c>
      <c r="P101" s="122"/>
      <c r="Q101" s="146"/>
      <c r="R101" s="242"/>
      <c r="S101" s="11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</row>
    <row r="102" ht="15.75" customHeight="1">
      <c r="A102" s="90"/>
      <c r="B102" s="6"/>
      <c r="C102" s="90"/>
      <c r="D102" s="159" t="s">
        <v>54</v>
      </c>
      <c r="E102" s="227"/>
      <c r="F102" s="127">
        <v>3.0</v>
      </c>
      <c r="G102" s="221">
        <v>45577.0</v>
      </c>
      <c r="H102" s="195"/>
      <c r="I102" s="130"/>
      <c r="J102" s="228">
        <v>8.0</v>
      </c>
      <c r="K102" s="241"/>
      <c r="L102" s="130"/>
      <c r="M102" s="134"/>
      <c r="N102" s="135" t="str">
        <f>iferror(mround(#REF!*((VLOOKUP($J102,Sheet1!$D:$N,$G102+1,FALSE)-0.03)),2.5)," ")</f>
        <v> </v>
      </c>
      <c r="O102" s="135" t="str">
        <f>iferror(mround(#REF!*((VLOOKUP($J102,Sheet1!$D:$N,$G102+1,FALSE)+0.02)),2.5)," ")</f>
        <v> </v>
      </c>
      <c r="P102" s="112" t="str">
        <f>iferror(mround(I102/VLOOKUP(L102,Sheet1!$D$7:$N$16,G102+1,FALSE),2.5),"")</f>
        <v/>
      </c>
      <c r="Q102" s="136"/>
      <c r="R102" s="242"/>
      <c r="S102" s="11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</row>
    <row r="103" ht="3.75" customHeight="1">
      <c r="A103" s="191"/>
      <c r="B103" s="6"/>
      <c r="C103" s="192"/>
      <c r="D103" s="138"/>
      <c r="E103" s="245"/>
      <c r="F103" s="102"/>
      <c r="G103" s="102"/>
      <c r="H103" s="102"/>
      <c r="I103" s="102"/>
      <c r="J103" s="156"/>
      <c r="K103" s="243"/>
      <c r="L103" s="210"/>
      <c r="M103" s="144"/>
      <c r="N103" s="145" t="str">
        <f>iferror(mround(#REF!*((VLOOKUP($J103,Sheet1!$D:$N,$G103+1,FALSE)-0.03)),2.5)," ")</f>
        <v> </v>
      </c>
      <c r="O103" s="145" t="str">
        <f>iferror(mround(#REF!*((VLOOKUP($J103,Sheet1!$D:$N,$G103+1,FALSE)+0.02)),2.5)," ")</f>
        <v> </v>
      </c>
      <c r="P103" s="122"/>
      <c r="Q103" s="146"/>
      <c r="R103" s="242"/>
      <c r="S103" s="157"/>
      <c r="T103" s="5"/>
      <c r="U103" s="5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</row>
    <row r="104" ht="15.75" customHeight="1">
      <c r="A104" s="90"/>
      <c r="B104" s="6"/>
      <c r="C104" s="90"/>
      <c r="D104" s="159" t="s">
        <v>99</v>
      </c>
      <c r="E104" s="246" t="s">
        <v>100</v>
      </c>
      <c r="F104" s="127">
        <v>3.0</v>
      </c>
      <c r="G104" s="221">
        <v>45577.0</v>
      </c>
      <c r="H104" s="195"/>
      <c r="I104" s="130"/>
      <c r="J104" s="228">
        <v>9.0</v>
      </c>
      <c r="K104" s="241"/>
      <c r="L104" s="130"/>
      <c r="M104" s="134"/>
      <c r="N104" s="135" t="str">
        <f>iferror(mround(#REF!*((VLOOKUP($J104,Sheet1!$D:$N,$G104+1,FALSE)-0.03)),2.5)," ")</f>
        <v> </v>
      </c>
      <c r="O104" s="135" t="str">
        <f>iferror(mround(#REF!*((VLOOKUP($J104,Sheet1!$D:$N,$G104+1,FALSE)+0.02)),2.5)," ")</f>
        <v> </v>
      </c>
      <c r="P104" s="112" t="str">
        <f>iferror(mround(I104/VLOOKUP(L104,Sheet1!$D$7:$N$16,G104+1,FALSE),2.5),"")</f>
        <v/>
      </c>
      <c r="Q104" s="136"/>
      <c r="R104" s="242"/>
      <c r="S104" s="11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</row>
    <row r="105" ht="3.75" customHeight="1">
      <c r="A105" s="90"/>
      <c r="B105" s="6"/>
      <c r="C105" s="90"/>
      <c r="D105" s="138"/>
      <c r="E105" s="245"/>
      <c r="F105" s="102"/>
      <c r="G105" s="102"/>
      <c r="H105" s="102"/>
      <c r="I105" s="102"/>
      <c r="J105" s="156"/>
      <c r="K105" s="243"/>
      <c r="L105" s="210"/>
      <c r="M105" s="144"/>
      <c r="N105" s="145" t="str">
        <f>iferror(mround(#REF!*((VLOOKUP($J105,Sheet1!$D:$N,$G105+1,FALSE)-0.03)),2.5)," ")</f>
        <v> </v>
      </c>
      <c r="O105" s="145" t="str">
        <f>iferror(mround(#REF!*((VLOOKUP($J105,Sheet1!$D:$N,$G105+1,FALSE)+0.02)),2.5)," ")</f>
        <v> </v>
      </c>
      <c r="P105" s="122"/>
      <c r="Q105" s="146"/>
      <c r="R105" s="242"/>
      <c r="S105" s="11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</row>
    <row r="106" ht="15.75" hidden="1" customHeight="1">
      <c r="A106" s="90"/>
      <c r="B106" s="6"/>
      <c r="C106" s="90"/>
      <c r="D106" s="185"/>
      <c r="E106" s="227"/>
      <c r="F106" s="187"/>
      <c r="G106" s="229"/>
      <c r="H106" s="195"/>
      <c r="I106" s="247"/>
      <c r="J106" s="248"/>
      <c r="K106" s="241"/>
      <c r="L106" s="164"/>
      <c r="M106" s="134"/>
      <c r="N106" s="135" t="str">
        <f>iferror(mround(#REF!*((VLOOKUP($J106,Sheet1!$D:$N,$G106+1,FALSE)-0.03)),2.5)," ")</f>
        <v> </v>
      </c>
      <c r="O106" s="135" t="str">
        <f>iferror(mround(#REF!*((VLOOKUP($J106,Sheet1!$D:$N,$G106+1,FALSE)+0.02)),2.5)," ")</f>
        <v> </v>
      </c>
      <c r="P106" s="112" t="str">
        <f>iferror(mround(I106/VLOOKUP(L106,Sheet1!$D$7:$N$16,G106+1,FALSE),2.5),"")</f>
        <v/>
      </c>
      <c r="Q106" s="136"/>
      <c r="R106" s="242"/>
      <c r="S106" s="11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</row>
    <row r="107" ht="3.75" hidden="1" customHeight="1">
      <c r="A107" s="90"/>
      <c r="B107" s="6"/>
      <c r="C107" s="90"/>
      <c r="D107" s="138"/>
      <c r="E107" s="215"/>
      <c r="F107" s="102"/>
      <c r="G107" s="102"/>
      <c r="H107" s="102"/>
      <c r="I107" s="102"/>
      <c r="J107" s="156"/>
      <c r="K107" s="243"/>
      <c r="L107" s="210"/>
      <c r="M107" s="144"/>
      <c r="N107" s="145" t="str">
        <f>iferror(mround(#REF!*((VLOOKUP($J107,Sheet1!$D:$N,$G107+1,FALSE)-0.03)),2.5)," ")</f>
        <v> </v>
      </c>
      <c r="O107" s="145" t="str">
        <f>iferror(mround(#REF!*((VLOOKUP($J107,Sheet1!$D:$N,$G107+1,FALSE)+0.02)),2.5)," ")</f>
        <v> </v>
      </c>
      <c r="P107" s="122"/>
      <c r="Q107" s="146"/>
      <c r="R107" s="242"/>
      <c r="S107" s="11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</row>
    <row r="108" ht="15.75" hidden="1" customHeight="1">
      <c r="A108" s="90"/>
      <c r="B108" s="6"/>
      <c r="C108" s="90"/>
      <c r="D108" s="185"/>
      <c r="E108" s="220"/>
      <c r="F108" s="187"/>
      <c r="G108" s="229"/>
      <c r="H108" s="195"/>
      <c r="I108" s="247"/>
      <c r="J108" s="248"/>
      <c r="K108" s="241"/>
      <c r="L108" s="164"/>
      <c r="M108" s="134"/>
      <c r="N108" s="135" t="str">
        <f>iferror(mround(#REF!*((VLOOKUP($J108,Sheet1!$D:$N,$G108+1,FALSE)-0.03)),2.5)," ")</f>
        <v> </v>
      </c>
      <c r="O108" s="135" t="str">
        <f>iferror(mround(#REF!*((VLOOKUP($J108,Sheet1!$D:$N,$G108+1,FALSE)+0.02)),2.5)," ")</f>
        <v> </v>
      </c>
      <c r="P108" s="112" t="str">
        <f>iferror(mround(I108/VLOOKUP(L108,Sheet1!$D$7:$N$16,G108+1,FALSE),2.5),"")</f>
        <v/>
      </c>
      <c r="Q108" s="136"/>
      <c r="R108" s="242"/>
      <c r="S108" s="11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</row>
    <row r="109" ht="3.75" customHeight="1">
      <c r="A109" s="90"/>
      <c r="B109" s="6"/>
      <c r="C109" s="90"/>
      <c r="D109" s="196"/>
      <c r="E109" s="215"/>
      <c r="F109" s="102"/>
      <c r="G109" s="102"/>
      <c r="H109" s="102"/>
      <c r="I109" s="102"/>
      <c r="J109" s="156"/>
      <c r="K109" s="243"/>
      <c r="L109" s="210"/>
      <c r="M109" s="144"/>
      <c r="N109" s="145" t="str">
        <f>iferror(mround(#REF!*((VLOOKUP($J109,Sheet1!$D:$N,$G109+1,FALSE)-0.03)),2.5)," ")</f>
        <v> </v>
      </c>
      <c r="O109" s="145" t="str">
        <f>iferror(mround(#REF!*((VLOOKUP($J109,Sheet1!$D:$N,$G109+1,FALSE)+0.02)),2.5)," ")</f>
        <v> </v>
      </c>
      <c r="P109" s="122"/>
      <c r="Q109" s="146"/>
      <c r="R109" s="242"/>
      <c r="S109" s="11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</row>
    <row r="110" ht="15.75" hidden="1" customHeight="1">
      <c r="A110" s="90"/>
      <c r="B110" s="6"/>
      <c r="C110" s="90"/>
      <c r="D110" s="197"/>
      <c r="E110" s="320"/>
      <c r="F110" s="129"/>
      <c r="G110" s="199"/>
      <c r="H110" s="195"/>
      <c r="I110" s="247"/>
      <c r="J110" s="248"/>
      <c r="K110" s="241"/>
      <c r="L110" s="164"/>
      <c r="M110" s="134"/>
      <c r="N110" s="135" t="str">
        <f>iferror(mround(#REF!*((VLOOKUP($J110,Sheet1!$D:$N,$G110+1,FALSE)-0.03)),2.5)," ")</f>
        <v> </v>
      </c>
      <c r="O110" s="135" t="str">
        <f>iferror(mround(#REF!*((VLOOKUP($J110,Sheet1!$D:$N,$G110+1,FALSE)+0.02)),2.5)," ")</f>
        <v> </v>
      </c>
      <c r="P110" s="112" t="str">
        <f>iferror(mround(I110/VLOOKUP(L110,Sheet1!$D$7:$N$16,G110+1,FALSE),2.5),"")</f>
        <v/>
      </c>
      <c r="Q110" s="136"/>
      <c r="R110" s="242"/>
      <c r="S110" s="11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</row>
    <row r="111" ht="3.75" hidden="1" customHeight="1">
      <c r="A111" s="90"/>
      <c r="B111" s="6"/>
      <c r="C111" s="90"/>
      <c r="D111" s="234"/>
      <c r="E111" s="215"/>
      <c r="F111" s="102"/>
      <c r="G111" s="102"/>
      <c r="H111" s="102"/>
      <c r="I111" s="102"/>
      <c r="J111" s="156"/>
      <c r="K111" s="243"/>
      <c r="L111" s="210"/>
      <c r="M111" s="144"/>
      <c r="N111" s="145" t="str">
        <f>iferror(mround(#REF!*((VLOOKUP($J111,Sheet1!$D:$N,$G111+1,FALSE)-0.03)),2.5)," ")</f>
        <v> </v>
      </c>
      <c r="O111" s="145" t="str">
        <f>iferror(mround(#REF!*((VLOOKUP($J111,Sheet1!$D:$N,$G111+1,FALSE)+0.02)),2.5)," ")</f>
        <v> </v>
      </c>
      <c r="P111" s="122"/>
      <c r="Q111" s="146"/>
      <c r="R111" s="242"/>
      <c r="S111" s="11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</row>
    <row r="112" ht="15.75" hidden="1" customHeight="1">
      <c r="A112" s="90"/>
      <c r="B112" s="6"/>
      <c r="C112" s="90"/>
      <c r="D112" s="197"/>
      <c r="E112" s="314"/>
      <c r="F112" s="129"/>
      <c r="G112" s="199"/>
      <c r="H112" s="195"/>
      <c r="I112" s="164"/>
      <c r="J112" s="248"/>
      <c r="K112" s="241"/>
      <c r="L112" s="164"/>
      <c r="M112" s="134"/>
      <c r="N112" s="135" t="str">
        <f>iferror(mround(#REF!*((VLOOKUP($J112,Sheet1!$D:$N,$G112+1,FALSE)-0.03)),2.5)," ")</f>
        <v> </v>
      </c>
      <c r="O112" s="135" t="str">
        <f>iferror(mround(#REF!*((VLOOKUP($J112,Sheet1!$D:$N,$G112+1,FALSE)+0.02)),2.5)," ")</f>
        <v> </v>
      </c>
      <c r="P112" s="112" t="str">
        <f>iferror(mround(I112/VLOOKUP(L112,Sheet1!$D$7:$N$16,G112+1,FALSE),2.5),"")</f>
        <v/>
      </c>
      <c r="Q112" s="136"/>
      <c r="R112" s="242"/>
      <c r="S112" s="11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</row>
    <row r="113" ht="3.75" hidden="1" customHeight="1">
      <c r="A113" s="124"/>
      <c r="B113" s="6"/>
      <c r="C113" s="124"/>
      <c r="D113" s="252"/>
      <c r="E113" s="321"/>
      <c r="F113" s="102"/>
      <c r="G113" s="102"/>
      <c r="H113" s="102"/>
      <c r="I113" s="102"/>
      <c r="J113" s="156"/>
      <c r="K113" s="253"/>
      <c r="L113" s="201"/>
      <c r="M113" s="211" t="str">
        <f>#REF!</f>
        <v>#REF!</v>
      </c>
      <c r="N113" s="47" t="str">
        <f>iferror(mround(#REF!*((VLOOKUP($J113,Sheet1!$D:$N,$G113+1,FALSE)-0.03)),2.5)," ")</f>
        <v> </v>
      </c>
      <c r="O113" s="47" t="str">
        <f>iferror(mround(#REF!*((VLOOKUP($J113,Sheet1!$D:$N,$G113+1,FALSE)+0.02)),2.5)," ")</f>
        <v> </v>
      </c>
      <c r="P113" s="122"/>
      <c r="Q113" s="146"/>
      <c r="R113" s="242"/>
      <c r="S113" s="11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</row>
    <row r="114" ht="30.75" hidden="1" customHeight="1">
      <c r="A114" s="90"/>
      <c r="B114" s="6"/>
      <c r="C114" s="90"/>
      <c r="D114" s="322" t="s">
        <v>57</v>
      </c>
      <c r="E114" s="255" t="s">
        <v>15</v>
      </c>
      <c r="F114" s="106" t="s">
        <v>16</v>
      </c>
      <c r="G114" s="106" t="s">
        <v>17</v>
      </c>
      <c r="H114" s="107"/>
      <c r="I114" s="106" t="s">
        <v>18</v>
      </c>
      <c r="J114" s="108" t="s">
        <v>19</v>
      </c>
      <c r="L114" s="109" t="s">
        <v>20</v>
      </c>
      <c r="M114" s="110" t="s">
        <v>21</v>
      </c>
      <c r="N114" s="111" t="s">
        <v>22</v>
      </c>
      <c r="P114" s="112"/>
      <c r="Q114" s="113" t="s">
        <v>23</v>
      </c>
      <c r="R114" s="256" t="s">
        <v>58</v>
      </c>
      <c r="S114" s="11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</row>
    <row r="115" ht="14.25" hidden="1" customHeight="1">
      <c r="A115" s="90"/>
      <c r="B115" s="6"/>
      <c r="C115" s="90"/>
      <c r="D115" s="257" t="s">
        <v>25</v>
      </c>
      <c r="E115" s="258" t="s">
        <v>26</v>
      </c>
      <c r="H115" s="107"/>
      <c r="N115" s="111" t="s">
        <v>27</v>
      </c>
      <c r="O115" s="111" t="s">
        <v>28</v>
      </c>
      <c r="P115" s="112" t="s">
        <v>29</v>
      </c>
      <c r="R115" s="118" t="s">
        <v>30</v>
      </c>
      <c r="S115" s="11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</row>
    <row r="116" ht="3.75" hidden="1" customHeight="1">
      <c r="A116" s="124"/>
      <c r="B116" s="6"/>
      <c r="C116" s="124"/>
      <c r="D116" s="252"/>
      <c r="E116" s="321"/>
      <c r="F116" s="102"/>
      <c r="G116" s="102"/>
      <c r="H116" s="102"/>
      <c r="I116" s="102"/>
      <c r="J116" s="156"/>
      <c r="K116" s="200"/>
      <c r="L116" s="201"/>
      <c r="M116" s="211"/>
      <c r="N116" s="47"/>
      <c r="O116" s="47"/>
      <c r="P116" s="122"/>
      <c r="Q116" s="146"/>
      <c r="R116" s="259"/>
      <c r="S116" s="11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</row>
    <row r="117" ht="14.25" hidden="1" customHeight="1">
      <c r="A117" s="124"/>
      <c r="B117" s="6"/>
      <c r="C117" s="124"/>
      <c r="D117" s="260"/>
      <c r="E117" s="126"/>
      <c r="F117" s="187"/>
      <c r="G117" s="229"/>
      <c r="H117" s="129"/>
      <c r="I117" s="164"/>
      <c r="J117" s="189"/>
      <c r="K117" s="132"/>
      <c r="L117" s="164"/>
      <c r="M117" s="134"/>
      <c r="N117" s="135" t="str">
        <f>iferror(mround(#REF!*((VLOOKUP($J117,Sheet1!$D:$N,$G117+1,FALSE)-0.03)),2.5)," ")</f>
        <v> </v>
      </c>
      <c r="O117" s="135" t="str">
        <f>iferror(mround(#REF!*((VLOOKUP($J117,Sheet1!$D:$N,$G117+1,FALSE)+0.02)),2.5)," ")</f>
        <v> </v>
      </c>
      <c r="P117" s="56" t="str">
        <f>iferror(mround(I117/VLOOKUP(L117,Sheet1!$D$7:$N$16,G117+1,FALSE),2.5),"")</f>
        <v/>
      </c>
      <c r="Q117" s="136"/>
      <c r="S117" s="11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</row>
    <row r="118" ht="3.75" hidden="1" customHeight="1">
      <c r="A118" s="124"/>
      <c r="B118" s="6"/>
      <c r="C118" s="124"/>
      <c r="D118" s="138"/>
      <c r="E118" s="215"/>
      <c r="F118" s="102"/>
      <c r="G118" s="102"/>
      <c r="H118" s="102"/>
      <c r="I118" s="102"/>
      <c r="J118" s="156"/>
      <c r="K118" s="243"/>
      <c r="L118" s="210"/>
      <c r="M118" s="144"/>
      <c r="N118" s="145"/>
      <c r="O118" s="145"/>
      <c r="P118" s="122"/>
      <c r="Q118" s="146"/>
      <c r="S118" s="11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</row>
    <row r="119" ht="14.25" hidden="1" customHeight="1">
      <c r="A119" s="124"/>
      <c r="B119" s="6"/>
      <c r="C119" s="124"/>
      <c r="D119" s="185"/>
      <c r="E119" s="227"/>
      <c r="F119" s="187"/>
      <c r="G119" s="229"/>
      <c r="H119" s="195"/>
      <c r="I119" s="164"/>
      <c r="J119" s="248"/>
      <c r="K119" s="241"/>
      <c r="L119" s="164"/>
      <c r="M119" s="134"/>
      <c r="N119" s="135" t="str">
        <f>iferror(mround(#REF!*((VLOOKUP($J119,Sheet1!$D:$N,$G119+1,FALSE)-0.03)),2.5)," ")</f>
        <v> </v>
      </c>
      <c r="O119" s="135" t="str">
        <f>iferror(mround(#REF!*((VLOOKUP($J119,Sheet1!$D:$N,$G119+1,FALSE)+0.02)),2.5)," ")</f>
        <v> </v>
      </c>
      <c r="P119" s="112" t="str">
        <f>iferror(mround(I119/VLOOKUP(L119,Sheet1!$D$7:$N$16,G119+1,FALSE),2.5),"")</f>
        <v/>
      </c>
      <c r="Q119" s="136"/>
      <c r="S119" s="11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</row>
    <row r="120" ht="3.75" hidden="1" customHeight="1">
      <c r="A120" s="124"/>
      <c r="B120" s="6"/>
      <c r="C120" s="124"/>
      <c r="D120" s="138"/>
      <c r="E120" s="245"/>
      <c r="F120" s="102"/>
      <c r="G120" s="102"/>
      <c r="H120" s="102"/>
      <c r="I120" s="102"/>
      <c r="J120" s="156"/>
      <c r="K120" s="243"/>
      <c r="L120" s="210"/>
      <c r="M120" s="144"/>
      <c r="N120" s="145"/>
      <c r="O120" s="145"/>
      <c r="P120" s="122"/>
      <c r="Q120" s="146"/>
      <c r="S120" s="11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</row>
    <row r="121" ht="14.25" hidden="1" customHeight="1">
      <c r="A121" s="124"/>
      <c r="B121" s="6"/>
      <c r="C121" s="124"/>
      <c r="D121" s="185"/>
      <c r="E121" s="227"/>
      <c r="F121" s="187"/>
      <c r="G121" s="229"/>
      <c r="H121" s="195"/>
      <c r="I121" s="164"/>
      <c r="J121" s="248"/>
      <c r="K121" s="241"/>
      <c r="L121" s="164"/>
      <c r="M121" s="134"/>
      <c r="N121" s="135" t="str">
        <f>iferror(mround(#REF!*((VLOOKUP($J121,Sheet1!$D:$N,$G121+1,FALSE)-0.03)),2.5)," ")</f>
        <v> </v>
      </c>
      <c r="O121" s="135" t="str">
        <f>iferror(mround(#REF!*((VLOOKUP($J121,Sheet1!$D:$N,$G121+1,FALSE)+0.02)),2.5)," ")</f>
        <v> </v>
      </c>
      <c r="P121" s="112" t="str">
        <f>iferror(mround(I121/VLOOKUP(L121,Sheet1!$D$7:$N$16,G121+1,FALSE),2.5),"")</f>
        <v/>
      </c>
      <c r="Q121" s="136"/>
      <c r="S121" s="11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</row>
    <row r="122" ht="3.75" hidden="1" customHeight="1">
      <c r="A122" s="124"/>
      <c r="B122" s="6"/>
      <c r="C122" s="124"/>
      <c r="D122" s="138"/>
      <c r="E122" s="245"/>
      <c r="F122" s="102"/>
      <c r="G122" s="102"/>
      <c r="H122" s="102"/>
      <c r="I122" s="102"/>
      <c r="J122" s="156"/>
      <c r="K122" s="243"/>
      <c r="L122" s="210"/>
      <c r="M122" s="144"/>
      <c r="N122" s="145"/>
      <c r="O122" s="145"/>
      <c r="P122" s="122"/>
      <c r="Q122" s="146"/>
      <c r="S122" s="11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</row>
    <row r="123" ht="14.25" hidden="1" customHeight="1">
      <c r="A123" s="124"/>
      <c r="B123" s="6"/>
      <c r="C123" s="124"/>
      <c r="D123" s="185"/>
      <c r="E123" s="227"/>
      <c r="F123" s="187"/>
      <c r="G123" s="229"/>
      <c r="H123" s="195"/>
      <c r="I123" s="164"/>
      <c r="J123" s="248"/>
      <c r="K123" s="241"/>
      <c r="L123" s="164"/>
      <c r="M123" s="134"/>
      <c r="N123" s="135" t="str">
        <f>iferror(mround(#REF!*((VLOOKUP($J123,Sheet1!$D:$N,$G123+1,FALSE)-0.03)),2.5)," ")</f>
        <v> </v>
      </c>
      <c r="O123" s="135" t="str">
        <f>iferror(mround(#REF!*((VLOOKUP($J123,Sheet1!$D:$N,$G123+1,FALSE)+0.02)),2.5)," ")</f>
        <v> </v>
      </c>
      <c r="P123" s="112" t="str">
        <f>iferror(mround(I123/VLOOKUP(L123,Sheet1!$D$7:$N$16,G123+1,FALSE),2.5),"")</f>
        <v/>
      </c>
      <c r="Q123" s="136"/>
      <c r="S123" s="11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</row>
    <row r="124" ht="3.75" hidden="1" customHeight="1">
      <c r="A124" s="124"/>
      <c r="B124" s="6"/>
      <c r="C124" s="124"/>
      <c r="D124" s="138"/>
      <c r="E124" s="245"/>
      <c r="F124" s="102"/>
      <c r="G124" s="102"/>
      <c r="H124" s="102"/>
      <c r="I124" s="102"/>
      <c r="J124" s="156"/>
      <c r="K124" s="243"/>
      <c r="L124" s="210"/>
      <c r="M124" s="144"/>
      <c r="N124" s="145"/>
      <c r="O124" s="145"/>
      <c r="P124" s="122"/>
      <c r="Q124" s="146"/>
      <c r="S124" s="11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</row>
    <row r="125" ht="14.25" hidden="1" customHeight="1">
      <c r="A125" s="124"/>
      <c r="B125" s="6"/>
      <c r="C125" s="124"/>
      <c r="D125" s="185"/>
      <c r="E125" s="227"/>
      <c r="F125" s="187"/>
      <c r="G125" s="187"/>
      <c r="H125" s="195"/>
      <c r="I125" s="164"/>
      <c r="J125" s="248"/>
      <c r="K125" s="241"/>
      <c r="L125" s="164"/>
      <c r="M125" s="134"/>
      <c r="N125" s="135" t="str">
        <f>iferror(mround(#REF!*((VLOOKUP($J125,Sheet1!$D:$N,$G125+1,FALSE)-0.03)),2.5)," ")</f>
        <v> </v>
      </c>
      <c r="O125" s="135" t="str">
        <f>iferror(mround(#REF!*((VLOOKUP($J125,Sheet1!$D:$N,$G125+1,FALSE)+0.02)),2.5)," ")</f>
        <v> </v>
      </c>
      <c r="P125" s="112" t="str">
        <f>iferror(mround(I125/VLOOKUP(L125,Sheet1!$D$7:$N$16,G125+1,FALSE),2.5),"")</f>
        <v/>
      </c>
      <c r="Q125" s="136"/>
      <c r="S125" s="11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</row>
    <row r="126" ht="3.75" hidden="1" customHeight="1">
      <c r="A126" s="261"/>
      <c r="B126" s="6"/>
      <c r="C126" s="262"/>
      <c r="D126" s="138"/>
      <c r="E126" s="245"/>
      <c r="F126" s="102"/>
      <c r="G126" s="102"/>
      <c r="H126" s="102"/>
      <c r="I126" s="102"/>
      <c r="J126" s="156"/>
      <c r="K126" s="243"/>
      <c r="L126" s="210"/>
      <c r="M126" s="144"/>
      <c r="N126" s="145"/>
      <c r="O126" s="145"/>
      <c r="P126" s="122"/>
      <c r="Q126" s="146"/>
      <c r="S126" s="157"/>
      <c r="T126" s="5"/>
      <c r="U126" s="5"/>
      <c r="V126" s="158"/>
      <c r="W126" s="158"/>
      <c r="X126" s="158"/>
      <c r="Y126" s="158"/>
      <c r="Z126" s="158"/>
      <c r="AA126" s="158"/>
      <c r="AB126" s="158"/>
      <c r="AC126" s="158"/>
      <c r="AD126" s="158"/>
      <c r="AE126" s="158"/>
      <c r="AF126" s="158"/>
      <c r="AG126" s="158"/>
    </row>
    <row r="127" ht="14.25" hidden="1" customHeight="1">
      <c r="A127" s="124"/>
      <c r="B127" s="6"/>
      <c r="C127" s="124"/>
      <c r="D127" s="185"/>
      <c r="E127" s="227"/>
      <c r="F127" s="187"/>
      <c r="G127" s="187"/>
      <c r="H127" s="195"/>
      <c r="I127" s="164"/>
      <c r="J127" s="248"/>
      <c r="K127" s="241"/>
      <c r="L127" s="164"/>
      <c r="M127" s="134"/>
      <c r="N127" s="135" t="str">
        <f>iferror(mround(#REF!*((VLOOKUP($J127,Sheet1!$D:$N,$G127+1,FALSE)-0.03)),2.5)," ")</f>
        <v> </v>
      </c>
      <c r="O127" s="135" t="str">
        <f>iferror(mround(#REF!*((VLOOKUP($J127,Sheet1!$D:$N,$G127+1,FALSE)+0.02)),2.5)," ")</f>
        <v> </v>
      </c>
      <c r="P127" s="112" t="str">
        <f>iferror(mround(I127/VLOOKUP(L127,Sheet1!$D$7:$N$16,G127+1,FALSE),2.5),"")</f>
        <v/>
      </c>
      <c r="Q127" s="136"/>
      <c r="S127" s="11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</row>
    <row r="128" ht="3.75" hidden="1" customHeight="1">
      <c r="A128" s="261"/>
      <c r="B128" s="6"/>
      <c r="C128" s="262"/>
      <c r="D128" s="138"/>
      <c r="E128" s="245"/>
      <c r="F128" s="102"/>
      <c r="G128" s="102"/>
      <c r="H128" s="102"/>
      <c r="I128" s="102"/>
      <c r="J128" s="156"/>
      <c r="K128" s="243"/>
      <c r="L128" s="210"/>
      <c r="M128" s="144"/>
      <c r="N128" s="145"/>
      <c r="O128" s="145"/>
      <c r="P128" s="122"/>
      <c r="Q128" s="146"/>
      <c r="S128" s="157"/>
      <c r="T128" s="5"/>
      <c r="U128" s="5"/>
      <c r="V128" s="158"/>
      <c r="W128" s="158"/>
      <c r="X128" s="158"/>
      <c r="Y128" s="158"/>
      <c r="Z128" s="158"/>
      <c r="AA128" s="158"/>
      <c r="AB128" s="158"/>
      <c r="AC128" s="158"/>
      <c r="AD128" s="158"/>
      <c r="AE128" s="158"/>
      <c r="AF128" s="158"/>
      <c r="AG128" s="158"/>
    </row>
    <row r="129" ht="15.75" hidden="1" customHeight="1">
      <c r="A129" s="124"/>
      <c r="B129" s="6"/>
      <c r="C129" s="124"/>
      <c r="D129" s="185"/>
      <c r="E129" s="227"/>
      <c r="F129" s="187"/>
      <c r="G129" s="187"/>
      <c r="H129" s="195"/>
      <c r="I129" s="247"/>
      <c r="J129" s="248"/>
      <c r="K129" s="241"/>
      <c r="L129" s="164"/>
      <c r="M129" s="134"/>
      <c r="N129" s="135" t="str">
        <f>iferror(mround(#REF!*((VLOOKUP($J129,Sheet1!$D:$N,$G129+1,FALSE)-0.03)),2.5)," ")</f>
        <v> </v>
      </c>
      <c r="O129" s="135" t="str">
        <f>iferror(mround(#REF!*((VLOOKUP($J129,Sheet1!$D:$N,$G129+1,FALSE)+0.02)),2.5)," ")</f>
        <v> </v>
      </c>
      <c r="P129" s="112" t="str">
        <f>iferror(mround(I129/VLOOKUP(L129,Sheet1!$D$7:$N$16,G129+1,FALSE),2.5),"")</f>
        <v/>
      </c>
      <c r="Q129" s="136"/>
      <c r="S129" s="11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</row>
    <row r="130" ht="3.75" hidden="1" customHeight="1">
      <c r="A130" s="124"/>
      <c r="B130" s="6"/>
      <c r="C130" s="124"/>
      <c r="D130" s="263"/>
      <c r="E130" s="245"/>
      <c r="F130" s="102"/>
      <c r="G130" s="102"/>
      <c r="H130" s="102"/>
      <c r="I130" s="102"/>
      <c r="J130" s="156"/>
      <c r="K130" s="243"/>
      <c r="L130" s="210"/>
      <c r="M130" s="144"/>
      <c r="N130" s="145"/>
      <c r="O130" s="145"/>
      <c r="P130" s="122"/>
      <c r="Q130" s="146"/>
      <c r="S130" s="11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</row>
    <row r="131" ht="14.25" hidden="1" customHeight="1">
      <c r="A131" s="90"/>
      <c r="B131" s="6"/>
      <c r="C131" s="90"/>
      <c r="D131" s="185"/>
      <c r="E131" s="227"/>
      <c r="F131" s="187"/>
      <c r="G131" s="187"/>
      <c r="H131" s="195"/>
      <c r="I131" s="164"/>
      <c r="J131" s="248"/>
      <c r="K131" s="241"/>
      <c r="L131" s="164"/>
      <c r="M131" s="134"/>
      <c r="N131" s="135" t="str">
        <f>iferror(mround(#REF!*((VLOOKUP($J131,Sheet1!$D:$N,$G131+1,FALSE)-0.03)),2.5)," ")</f>
        <v> </v>
      </c>
      <c r="O131" s="135" t="str">
        <f>iferror(mround(#REF!*((VLOOKUP($J131,Sheet1!$D:$N,$G131+1,FALSE)+0.02)),2.5)," ")</f>
        <v> </v>
      </c>
      <c r="P131" s="112" t="str">
        <f>iferror(mround(I131/VLOOKUP(L131,Sheet1!$D$7:$N$16,G131+1,FALSE),2.5),"")</f>
        <v/>
      </c>
      <c r="Q131" s="136"/>
      <c r="S131" s="11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</row>
    <row r="132" ht="3.75" hidden="1" customHeight="1">
      <c r="A132" s="261"/>
      <c r="B132" s="6"/>
      <c r="C132" s="262"/>
      <c r="D132" s="263"/>
      <c r="E132" s="323"/>
      <c r="F132" s="194"/>
      <c r="G132" s="194"/>
      <c r="H132" s="155"/>
      <c r="I132" s="210"/>
      <c r="J132" s="265"/>
      <c r="K132" s="243"/>
      <c r="L132" s="210"/>
      <c r="M132" s="144"/>
      <c r="N132" s="145"/>
      <c r="O132" s="145"/>
      <c r="P132" s="122"/>
      <c r="Q132" s="146"/>
      <c r="S132" s="157"/>
      <c r="T132" s="5"/>
      <c r="U132" s="5"/>
      <c r="V132" s="158"/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</row>
    <row r="133" ht="15.75" hidden="1" customHeight="1">
      <c r="A133" s="90"/>
      <c r="B133" s="6"/>
      <c r="C133" s="90"/>
      <c r="D133" s="185"/>
      <c r="E133" s="324"/>
      <c r="F133" s="187"/>
      <c r="G133" s="187"/>
      <c r="H133" s="195"/>
      <c r="I133" s="164"/>
      <c r="J133" s="248"/>
      <c r="K133" s="241"/>
      <c r="L133" s="164"/>
      <c r="M133" s="134"/>
      <c r="N133" s="135" t="str">
        <f>iferror(mround(#REF!*((VLOOKUP($J133,Sheet1!$D:$N,$G133+1,FALSE)-0.03)),2.5)," ")</f>
        <v> </v>
      </c>
      <c r="O133" s="135" t="str">
        <f>iferror(mround(#REF!*((VLOOKUP($J133,Sheet1!$D:$N,$G133+1,FALSE)+0.02)),2.5)," ")</f>
        <v> </v>
      </c>
      <c r="P133" s="112" t="str">
        <f>iferror(mround(I133/VLOOKUP(L133,Sheet1!$D$7:$N$16,G133+1,FALSE),2.5),"")</f>
        <v/>
      </c>
      <c r="Q133" s="136"/>
      <c r="S133" s="11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</row>
    <row r="134" ht="3.75" hidden="1" customHeight="1">
      <c r="A134" s="90"/>
      <c r="B134" s="6"/>
      <c r="C134" s="90"/>
      <c r="D134" s="138"/>
      <c r="E134" s="245"/>
      <c r="F134" s="102"/>
      <c r="G134" s="102"/>
      <c r="H134" s="102"/>
      <c r="I134" s="102"/>
      <c r="J134" s="156"/>
      <c r="K134" s="243"/>
      <c r="L134" s="210"/>
      <c r="M134" s="144"/>
      <c r="N134" s="145"/>
      <c r="O134" s="145"/>
      <c r="P134" s="122"/>
      <c r="Q134" s="146"/>
      <c r="S134" s="11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</row>
    <row r="135" ht="15.75" hidden="1" customHeight="1">
      <c r="A135" s="90"/>
      <c r="B135" s="6"/>
      <c r="C135" s="90"/>
      <c r="D135" s="185"/>
      <c r="E135" s="227"/>
      <c r="F135" s="187"/>
      <c r="G135" s="187"/>
      <c r="H135" s="195"/>
      <c r="I135" s="164"/>
      <c r="J135" s="248"/>
      <c r="K135" s="241"/>
      <c r="L135" s="164"/>
      <c r="M135" s="134"/>
      <c r="N135" s="135" t="str">
        <f>iferror(mround(#REF!*((VLOOKUP($J135,Sheet1!$D:$N,$G135+1,FALSE)-0.03)),2.5)," ")</f>
        <v> </v>
      </c>
      <c r="O135" s="135" t="str">
        <f>iferror(mround(#REF!*((VLOOKUP($J135,Sheet1!$D:$N,$G135+1,FALSE)+0.02)),2.5)," ")</f>
        <v> </v>
      </c>
      <c r="P135" s="112" t="str">
        <f>iferror(mround(I135/VLOOKUP(L135,Sheet1!$D$7:$N$16,G135+1,FALSE),2.5),"")</f>
        <v/>
      </c>
      <c r="Q135" s="136"/>
      <c r="S135" s="11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</row>
    <row r="136" ht="3.75" hidden="1" customHeight="1">
      <c r="A136" s="191"/>
      <c r="B136" s="6"/>
      <c r="C136" s="192"/>
      <c r="D136" s="138"/>
      <c r="E136" s="245"/>
      <c r="F136" s="102"/>
      <c r="G136" s="102"/>
      <c r="H136" s="102"/>
      <c r="I136" s="102"/>
      <c r="J136" s="156"/>
      <c r="K136" s="243"/>
      <c r="L136" s="210"/>
      <c r="M136" s="144"/>
      <c r="N136" s="145"/>
      <c r="O136" s="145"/>
      <c r="P136" s="122"/>
      <c r="Q136" s="146"/>
      <c r="S136" s="157"/>
      <c r="T136" s="5"/>
      <c r="U136" s="5"/>
      <c r="V136" s="158"/>
      <c r="W136" s="158"/>
      <c r="X136" s="158"/>
      <c r="Y136" s="158"/>
      <c r="Z136" s="158"/>
      <c r="AA136" s="158"/>
      <c r="AB136" s="158"/>
      <c r="AC136" s="158"/>
      <c r="AD136" s="158"/>
      <c r="AE136" s="158"/>
      <c r="AF136" s="158"/>
      <c r="AG136" s="158"/>
    </row>
    <row r="137" ht="15.75" hidden="1" customHeight="1">
      <c r="A137" s="90"/>
      <c r="B137" s="6"/>
      <c r="C137" s="90"/>
      <c r="D137" s="185"/>
      <c r="E137" s="227"/>
      <c r="F137" s="187"/>
      <c r="G137" s="187"/>
      <c r="H137" s="195"/>
      <c r="I137" s="164"/>
      <c r="J137" s="248"/>
      <c r="K137" s="241"/>
      <c r="L137" s="164"/>
      <c r="M137" s="134"/>
      <c r="N137" s="135" t="str">
        <f>iferror(mround(#REF!*((VLOOKUP($J137,Sheet1!$D:$N,$G137+1,FALSE)-0.03)),2.5)," ")</f>
        <v> </v>
      </c>
      <c r="O137" s="135" t="str">
        <f>iferror(mround(#REF!*((VLOOKUP($J137,Sheet1!$D:$N,$G137+1,FALSE)+0.02)),2.5)," ")</f>
        <v> </v>
      </c>
      <c r="P137" s="112" t="str">
        <f>iferror(mround(I137/VLOOKUP(L137,Sheet1!$D$7:$N$16,G137+1,FALSE),2.5),"")</f>
        <v/>
      </c>
      <c r="Q137" s="136"/>
      <c r="S137" s="11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</row>
    <row r="138" ht="3.75" hidden="1" customHeight="1">
      <c r="A138" s="90"/>
      <c r="B138" s="6"/>
      <c r="C138" s="90"/>
      <c r="D138" s="263"/>
      <c r="E138" s="245"/>
      <c r="F138" s="102"/>
      <c r="G138" s="102"/>
      <c r="H138" s="102"/>
      <c r="I138" s="102"/>
      <c r="J138" s="156"/>
      <c r="K138" s="243"/>
      <c r="L138" s="210"/>
      <c r="M138" s="144"/>
      <c r="N138" s="145"/>
      <c r="O138" s="145"/>
      <c r="P138" s="122"/>
      <c r="Q138" s="146"/>
      <c r="S138" s="11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</row>
    <row r="139" ht="15.75" hidden="1" customHeight="1">
      <c r="A139" s="90"/>
      <c r="B139" s="6"/>
      <c r="C139" s="90"/>
      <c r="D139" s="185"/>
      <c r="E139" s="324"/>
      <c r="F139" s="187"/>
      <c r="G139" s="187"/>
      <c r="H139" s="195"/>
      <c r="I139" s="164"/>
      <c r="J139" s="248"/>
      <c r="K139" s="241"/>
      <c r="L139" s="164"/>
      <c r="M139" s="134"/>
      <c r="N139" s="135" t="str">
        <f>iferror(mround(#REF!*((VLOOKUP($J139,Sheet1!$D:$N,$G139+1,FALSE)-0.03)),2.5)," ")</f>
        <v> </v>
      </c>
      <c r="O139" s="135" t="str">
        <f>iferror(mround(#REF!*((VLOOKUP($J139,Sheet1!$D:$N,$G139+1,FALSE)+0.02)),2.5)," ")</f>
        <v> </v>
      </c>
      <c r="P139" s="112" t="str">
        <f>iferror(mround(I139/VLOOKUP(L139,Sheet1!$D$7:$N$16,G139+1,FALSE),2.5),"")</f>
        <v/>
      </c>
      <c r="Q139" s="136"/>
      <c r="S139" s="11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</row>
    <row r="140" ht="3.75" hidden="1" customHeight="1">
      <c r="A140" s="191"/>
      <c r="B140" s="6"/>
      <c r="C140" s="192"/>
      <c r="D140" s="192"/>
      <c r="E140" s="325"/>
      <c r="F140" s="194"/>
      <c r="G140" s="194"/>
      <c r="H140" s="155"/>
      <c r="I140" s="210"/>
      <c r="J140" s="268"/>
      <c r="K140" s="316"/>
      <c r="L140" s="269"/>
      <c r="M140" s="270"/>
      <c r="N140" s="269"/>
      <c r="O140" s="269"/>
      <c r="P140" s="271"/>
      <c r="Q140" s="272"/>
      <c r="R140" s="273"/>
      <c r="S140" s="157"/>
      <c r="T140" s="5"/>
      <c r="U140" s="5"/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</row>
    <row r="141" ht="14.25" customHeight="1">
      <c r="A141" s="5"/>
      <c r="B141" s="6"/>
      <c r="C141" s="5"/>
      <c r="D141" s="274"/>
      <c r="E141" s="266"/>
      <c r="F141" s="187"/>
      <c r="G141" s="187"/>
      <c r="H141" s="195"/>
      <c r="I141" s="129"/>
      <c r="J141" s="275"/>
      <c r="K141" s="276"/>
      <c r="L141" s="187"/>
      <c r="M141" s="187"/>
      <c r="N141" s="187"/>
      <c r="O141" s="187"/>
      <c r="P141" s="277"/>
      <c r="Q141" s="278"/>
      <c r="R141" s="279"/>
      <c r="S141" s="11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</row>
    <row r="142" ht="14.25" customHeight="1">
      <c r="A142" s="5"/>
      <c r="B142" s="6"/>
      <c r="C142" s="5"/>
      <c r="D142" s="274" t="s">
        <v>59</v>
      </c>
      <c r="E142" s="266" t="s">
        <v>16</v>
      </c>
      <c r="F142" s="187" t="s">
        <v>17</v>
      </c>
      <c r="G142" s="187" t="s">
        <v>60</v>
      </c>
      <c r="H142" s="187"/>
      <c r="I142" s="280" t="s">
        <v>61</v>
      </c>
      <c r="J142" s="266" t="s">
        <v>62</v>
      </c>
      <c r="K142" s="274"/>
      <c r="L142" s="187"/>
      <c r="M142" s="281" t="s">
        <v>63</v>
      </c>
      <c r="N142" s="281"/>
      <c r="O142" s="282"/>
      <c r="P142" s="282"/>
      <c r="Q142" s="278"/>
      <c r="R142" s="157"/>
      <c r="S142" s="11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</row>
    <row r="143" ht="14.25" customHeight="1">
      <c r="A143" s="5"/>
      <c r="B143" s="6"/>
      <c r="C143" s="5"/>
      <c r="D143" s="274" t="s">
        <v>6</v>
      </c>
      <c r="E143" s="283">
        <f>IFERROR(__xludf.DUMMYFUNCTION("SUM(FILTER(F18:F142, ISNUMBER(SEARCH(""squat"", D18:D142))))"),7.0)</f>
        <v>7</v>
      </c>
      <c r="F143" s="284">
        <f>IFERROR(__xludf.DUMMYFUNCTION("SUMPRODUCT(FILTER(F18:F142 * G18:G142, ISNUMBER(SEARCH(""squat"", D18:D142))))"),30.0)</f>
        <v>30</v>
      </c>
      <c r="G143" s="135">
        <f>IFERROR(__xludf.DUMMYFUNCTION("ROUND(SUMPRODUCT(FILTER(F18:F142 * G18:G142 * I18:I142, ISNUMBER(SEARCH(""squat"", D18:D142)))), 0)"),10960.0)</f>
        <v>10960</v>
      </c>
      <c r="H143" s="285"/>
      <c r="I143" s="135">
        <f>IFERROR(__xludf.DUMMYFUNCTION("ROUND(AVERAGE(FILTER(I18:I142, ISNUMBER(SEARCH(""squat"", D18:D142)), I18:I142 &lt;&gt; """")) / J143 * 100, 0)"),74.0)</f>
        <v>74</v>
      </c>
      <c r="J143" s="283">
        <f>IFERROR(__xludf.DUMMYFUNCTION("IFERROR(MROUND(AVERAGE(FILTER(P18:P142, D18:D142 = ""comp squat"", P18:P142 &lt;&gt; """", P18:P142 &gt;= 0.9 * MAX(FILTER(P18:P142, D18:D142 = ""comp squat"", P18:P142 &lt;&gt; """")), P18:P142 &lt;= 1.1 * MAX(FILTER(P18:P142, D18:D142 = ""comp squat"", P18:P142 &lt;&gt; """"))"&amp;")), 2.5), ""No valid data"")"),502.5)</f>
        <v>502.5</v>
      </c>
      <c r="K143" s="286"/>
      <c r="L143" s="287">
        <f>MROUND(J143/2.2046,2.5)-$O$10</f>
        <v>-15</v>
      </c>
      <c r="M143" s="288" t="s">
        <v>64</v>
      </c>
      <c r="N143" s="288">
        <v>1.0</v>
      </c>
      <c r="O143" s="289" t="s">
        <v>65</v>
      </c>
      <c r="P143" s="290">
        <v>1.0</v>
      </c>
      <c r="Q143" s="278"/>
      <c r="R143" s="291"/>
      <c r="S143" s="11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</row>
    <row r="144" ht="3.0" customHeight="1">
      <c r="A144" s="5"/>
      <c r="B144" s="6"/>
      <c r="C144" s="5"/>
      <c r="D144" s="90"/>
      <c r="E144" s="156"/>
      <c r="F144" s="102"/>
      <c r="G144" s="145"/>
      <c r="H144" s="102"/>
      <c r="I144" s="145"/>
      <c r="J144" s="156"/>
      <c r="K144" s="286"/>
      <c r="L144" s="292"/>
      <c r="M144" s="251"/>
      <c r="N144" s="251"/>
      <c r="O144" s="289"/>
      <c r="P144" s="282"/>
      <c r="Q144" s="278"/>
      <c r="R144" s="115"/>
      <c r="S144" s="11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</row>
    <row r="145" ht="15.75" customHeight="1">
      <c r="A145" s="5"/>
      <c r="B145" s="6"/>
      <c r="C145" s="5"/>
      <c r="D145" s="274" t="s">
        <v>66</v>
      </c>
      <c r="E145" s="293">
        <f>IFERROR(__xludf.DUMMYFUNCTION("SUM(FILTER(F18:F142, ISNUMBER(SEARCH(""bench press"", D18:D142))))"),19.0)</f>
        <v>19</v>
      </c>
      <c r="F145" s="284">
        <f>IFERROR(__xludf.DUMMYFUNCTION("SUMPRODUCT(FILTER(F19:F143 * G19:G143, ISNUMBER(SEARCH(""bench press"", D19:D143))))"),69.0)</f>
        <v>69</v>
      </c>
      <c r="G145" s="135">
        <f>IFERROR(__xludf.DUMMYFUNCTION("ROUND(SUMPRODUCT(FILTER(F18:F142 * G18:G142 * I18:I142, ISNUMBER(SEARCH(""bench press"", D18:D142)))), 0)"),17745.0)</f>
        <v>17745</v>
      </c>
      <c r="H145" s="285"/>
      <c r="I145" s="135">
        <f>IFERROR(__xludf.DUMMYFUNCTION("ROUND(AVERAGE(FILTER(I18:I142, ISNUMBER(SEARCH(""bench press"", D18:D142)), I18:I142 &lt;&gt; """")) / J145 * 100, 0)"),78.0)</f>
        <v>78</v>
      </c>
      <c r="J145" s="293">
        <f>IFERROR(__xludf.DUMMYFUNCTION("IFERROR(MROUND(AVERAGE(FILTER(P18:P142, D18:D142 = ""comp bench press"", P18:P142 &lt;&gt; """", P18:P142 &gt;= 0.9 * MAX(FILTER(P18:P142, D18:D142 = ""comp bench press"", P18:P142 &lt;&gt; """")), P18:P142 &lt;= 1.1 * MAX(FILTER(P18:P142, D18:D142 = ""comp bench press"", "&amp;"P18:P142 &lt;&gt; """")))), 2.5), ""No valid data"")"),347.5)</f>
        <v>347.5</v>
      </c>
      <c r="K145" s="286"/>
      <c r="L145" s="294">
        <f>MROUND(J145/2.2046,2.5)-$O$11</f>
        <v>5</v>
      </c>
      <c r="M145" s="282" t="s">
        <v>67</v>
      </c>
      <c r="N145" s="290">
        <v>3.0</v>
      </c>
      <c r="O145" s="288" t="s">
        <v>68</v>
      </c>
      <c r="P145" s="290">
        <v>1.0</v>
      </c>
      <c r="Q145" s="278"/>
      <c r="R145" s="157"/>
      <c r="S145" s="11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</row>
    <row r="146" ht="3.0" customHeight="1">
      <c r="A146" s="5"/>
      <c r="B146" s="6"/>
      <c r="C146" s="5"/>
      <c r="D146" s="90"/>
      <c r="E146" s="156"/>
      <c r="F146" s="102"/>
      <c r="G146" s="145"/>
      <c r="H146" s="102"/>
      <c r="I146" s="145"/>
      <c r="J146" s="156"/>
      <c r="K146" s="286"/>
      <c r="L146" s="292"/>
      <c r="M146" s="282"/>
      <c r="N146" s="282"/>
      <c r="O146" s="251"/>
      <c r="P146" s="282"/>
      <c r="Q146" s="278"/>
      <c r="R146" s="157"/>
      <c r="S146" s="11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</row>
    <row r="147" ht="14.25" customHeight="1">
      <c r="A147" s="5"/>
      <c r="B147" s="6"/>
      <c r="C147" s="5"/>
      <c r="D147" s="274" t="s">
        <v>10</v>
      </c>
      <c r="E147" s="293">
        <f>IFERROR(__xludf.DUMMYFUNCTION("SUM(FILTER(F18:F142, ISNUMBER(SEARCH(""deadlift"", D18:D142))))"),7.0)</f>
        <v>7</v>
      </c>
      <c r="F147" s="284">
        <f>IFERROR(__xludf.DUMMYFUNCTION("SUMPRODUCT(FILTER(F18:F142 * G18:G142, ISNUMBER(SEARCH(""deadlift"", D18:D142))))"),25.0)</f>
        <v>25</v>
      </c>
      <c r="G147" s="135">
        <f>IFERROR(__xludf.DUMMYFUNCTION("ROUND(SUMPRODUCT(FILTER(F18:F142 * G18:G142 * I18:I142, ISNUMBER(SEARCH(""deadlift"", D18:D142)))), 0)"),10280.0)</f>
        <v>10280</v>
      </c>
      <c r="H147" s="285"/>
      <c r="I147" s="135">
        <f>IFERROR(__xludf.DUMMYFUNCTION("ROUND(AVERAGE(FILTER(I18:I142, ISNUMBER(SEARCH(""deadlift"", D18:D142)), I18:I142 &lt;&gt; """")) / J147 * 100, 0)"),73.0)</f>
        <v>73</v>
      </c>
      <c r="J147" s="293">
        <f>IFERROR(__xludf.DUMMYFUNCTION("IFERROR(MROUND(AVERAGE(FILTER(P18:P142, D18:D142 = ""comp deadlift"", P18:P142 &lt;&gt; """", P18:P142 &gt;= 0.9 * MAX(FILTER(P18:P142, D18:D142 = ""comp deadlift"", P18:P142 &lt;&gt; """")), P18:P142 &lt;= 1.1 * MAX(FILTER(P18:P142, D18:D142 = ""comp deadlift"", P18:P142 "&amp;"&lt;&gt; """")))), 2.5), ""No valid data"")"),572.5)</f>
        <v>572.5</v>
      </c>
      <c r="K147" s="286"/>
      <c r="L147" s="294">
        <f>MROUND(J147/2.2046,2.5)-$O$12</f>
        <v>-5</v>
      </c>
      <c r="M147" s="282" t="s">
        <v>69</v>
      </c>
      <c r="N147" s="290">
        <v>2.0</v>
      </c>
      <c r="O147" s="290" t="s">
        <v>70</v>
      </c>
      <c r="P147" s="290">
        <v>1.0</v>
      </c>
      <c r="Q147" s="278"/>
      <c r="R147" s="157"/>
      <c r="S147" s="11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</row>
    <row r="148" ht="14.25" customHeight="1">
      <c r="A148" s="5"/>
      <c r="B148" s="6"/>
      <c r="C148" s="5"/>
      <c r="D148" s="274"/>
      <c r="E148" s="266"/>
      <c r="F148" s="187"/>
      <c r="G148" s="187"/>
      <c r="H148" s="187"/>
      <c r="I148" s="187"/>
      <c r="J148" s="295"/>
      <c r="K148" s="274"/>
      <c r="L148" s="187"/>
      <c r="M148" s="282" t="s">
        <v>71</v>
      </c>
      <c r="N148" s="290">
        <v>1.0</v>
      </c>
      <c r="O148" s="282"/>
      <c r="P148" s="282"/>
      <c r="Q148" s="278"/>
      <c r="R148" s="157"/>
      <c r="S148" s="11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</row>
    <row r="149" ht="14.25" customHeight="1">
      <c r="A149" s="5"/>
      <c r="B149" s="2"/>
      <c r="C149" s="5"/>
      <c r="D149" s="5"/>
      <c r="E149" s="75"/>
      <c r="F149" s="3"/>
      <c r="G149" s="3"/>
      <c r="H149" s="3"/>
      <c r="I149" s="3"/>
      <c r="J149" s="75"/>
      <c r="K149" s="5"/>
      <c r="L149" s="3"/>
      <c r="M149" s="47"/>
      <c r="N149" s="3"/>
      <c r="O149" s="3"/>
      <c r="P149" s="3"/>
      <c r="Q149" s="4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</row>
    <row r="150" ht="18.75" customHeight="1">
      <c r="A150" s="90"/>
      <c r="B150" s="6"/>
      <c r="C150" s="91"/>
      <c r="D150" s="79" t="s">
        <v>72</v>
      </c>
      <c r="E150" s="80" t="s">
        <v>13</v>
      </c>
      <c r="G150" s="81"/>
      <c r="H150" s="81"/>
      <c r="I150" s="81"/>
      <c r="J150" s="82"/>
      <c r="K150" s="83"/>
      <c r="L150" s="83"/>
      <c r="M150" s="93"/>
      <c r="N150" s="93"/>
      <c r="O150" s="93"/>
      <c r="P150" s="296"/>
      <c r="Q150" s="297"/>
      <c r="R150" s="298"/>
      <c r="S150" s="10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</row>
    <row r="151" ht="18.75" customHeight="1">
      <c r="A151" s="90"/>
      <c r="B151" s="6"/>
      <c r="C151" s="91"/>
      <c r="D151" s="299">
        <f>D16+1</f>
        <v>2</v>
      </c>
      <c r="E151" s="300" t="str">
        <f>IF(E16 = "", "", E16 - 1)</f>
        <v/>
      </c>
      <c r="F151" s="36"/>
      <c r="G151" s="301"/>
      <c r="H151" s="301"/>
      <c r="I151" s="301"/>
      <c r="J151" s="92"/>
      <c r="K151" s="93"/>
      <c r="L151" s="93"/>
      <c r="M151" s="93"/>
      <c r="N151" s="93"/>
      <c r="O151" s="93"/>
      <c r="P151" s="94"/>
      <c r="Q151" s="95"/>
      <c r="R151" s="96"/>
      <c r="S151" s="10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</row>
    <row r="152" ht="5.25" customHeight="1">
      <c r="A152" s="90"/>
      <c r="B152" s="6"/>
      <c r="C152" s="90"/>
      <c r="D152" s="97"/>
      <c r="E152" s="98"/>
      <c r="F152" s="99"/>
      <c r="G152" s="99"/>
      <c r="H152" s="99"/>
      <c r="I152" s="100"/>
      <c r="J152" s="101"/>
      <c r="K152" s="90"/>
      <c r="L152" s="102"/>
      <c r="M152" s="102"/>
      <c r="N152" s="102"/>
      <c r="O152" s="102"/>
      <c r="P152" s="103"/>
      <c r="Q152" s="4"/>
      <c r="R152" s="90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</row>
    <row r="153" ht="30.75" customHeight="1">
      <c r="A153" s="90"/>
      <c r="B153" s="6"/>
      <c r="C153" s="90"/>
      <c r="D153" s="202" t="s">
        <v>73</v>
      </c>
      <c r="E153" s="105" t="s">
        <v>75</v>
      </c>
      <c r="F153" s="106" t="s">
        <v>16</v>
      </c>
      <c r="G153" s="106" t="s">
        <v>17</v>
      </c>
      <c r="H153" s="107"/>
      <c r="I153" s="106" t="s">
        <v>18</v>
      </c>
      <c r="J153" s="108" t="s">
        <v>19</v>
      </c>
      <c r="L153" s="109" t="s">
        <v>20</v>
      </c>
      <c r="M153" s="110" t="s">
        <v>21</v>
      </c>
      <c r="N153" s="111" t="s">
        <v>22</v>
      </c>
      <c r="P153" s="112"/>
      <c r="Q153" s="113" t="s">
        <v>23</v>
      </c>
      <c r="R153" s="114" t="s">
        <v>24</v>
      </c>
      <c r="S153" s="11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</row>
    <row r="154" ht="14.25" customHeight="1">
      <c r="A154" s="90"/>
      <c r="B154" s="6"/>
      <c r="C154" s="90"/>
      <c r="D154" s="116" t="s">
        <v>25</v>
      </c>
      <c r="E154" s="117" t="s">
        <v>26</v>
      </c>
      <c r="H154" s="107"/>
      <c r="N154" s="111" t="s">
        <v>27</v>
      </c>
      <c r="O154" s="111" t="s">
        <v>28</v>
      </c>
      <c r="P154" s="112" t="s">
        <v>29</v>
      </c>
      <c r="R154" s="118" t="s">
        <v>30</v>
      </c>
      <c r="S154" s="11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</row>
    <row r="155" ht="3.75" customHeight="1">
      <c r="A155" s="90"/>
      <c r="B155" s="6"/>
      <c r="C155" s="90"/>
      <c r="D155" s="97"/>
      <c r="E155" s="98"/>
      <c r="F155" s="99"/>
      <c r="G155" s="99"/>
      <c r="H155" s="99"/>
      <c r="I155" s="100"/>
      <c r="J155" s="302"/>
      <c r="K155" s="90"/>
      <c r="L155" s="102"/>
      <c r="M155" s="121"/>
      <c r="N155" s="102"/>
      <c r="O155" s="102"/>
      <c r="P155" s="122"/>
      <c r="Q155" s="4"/>
      <c r="R155" s="123"/>
      <c r="S155" s="11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</row>
    <row r="156" ht="15.75" customHeight="1">
      <c r="A156" s="124"/>
      <c r="B156" s="6"/>
      <c r="C156" s="124"/>
      <c r="D156" s="125" t="s">
        <v>77</v>
      </c>
      <c r="E156" s="126"/>
      <c r="F156" s="127">
        <v>1.0</v>
      </c>
      <c r="G156" s="240">
        <v>4.0</v>
      </c>
      <c r="H156" s="129"/>
      <c r="I156" s="130">
        <v>375.0</v>
      </c>
      <c r="J156" s="151">
        <v>5.0</v>
      </c>
      <c r="K156" s="132"/>
      <c r="L156" s="133">
        <v>5.0</v>
      </c>
      <c r="M156" s="134">
        <f>I21</f>
        <v>365</v>
      </c>
      <c r="N156" s="135">
        <f>iferror(mround($P21*((VLOOKUP($J156,Sheet1!$D:$N,$G156+1,FALSE)-0.03)),2.5)," ")</f>
        <v>0</v>
      </c>
      <c r="O156" s="135">
        <f>iferror(mround($P21*((VLOOKUP($J156,Sheet1!$D:$N,$G156+1,FALSE)+0.02)),2.5)," ")</f>
        <v>0</v>
      </c>
      <c r="P156" s="56" t="str">
        <f>iferror(mround(I156/VLOOKUP(L156,Sheet1!$D$7:$N$16,G156+1,FALSE),2.5),"")</f>
        <v/>
      </c>
      <c r="Q156" s="303">
        <f t="shared" ref="Q156:Q177" si="1">IF(OR(ISBLANK(I156), ISBLANK(I21)), "", IF(I156 - I21 = 0, "", I156 - I21))</f>
        <v>10</v>
      </c>
      <c r="S156" s="11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</row>
    <row r="157" ht="3.75" customHeight="1">
      <c r="A157" s="137"/>
      <c r="B157" s="70"/>
      <c r="C157" s="137"/>
      <c r="D157" s="138"/>
      <c r="E157" s="139"/>
      <c r="F157" s="140"/>
      <c r="G157" s="140"/>
      <c r="H157" s="140"/>
      <c r="I157" s="140"/>
      <c r="J157" s="141"/>
      <c r="K157" s="142"/>
      <c r="L157" s="143"/>
      <c r="M157" s="144"/>
      <c r="N157" s="145"/>
      <c r="O157" s="145"/>
      <c r="P157" s="122"/>
      <c r="Q157" s="304" t="str">
        <f t="shared" si="1"/>
        <v/>
      </c>
      <c r="S157" s="147"/>
      <c r="T157" s="148"/>
      <c r="U157" s="148"/>
      <c r="V157" s="148"/>
      <c r="W157" s="148"/>
      <c r="X157" s="148"/>
      <c r="Y157" s="148"/>
      <c r="Z157" s="148"/>
      <c r="AA157" s="148"/>
      <c r="AB157" s="148"/>
      <c r="AC157" s="148"/>
      <c r="AD157" s="148"/>
      <c r="AE157" s="148"/>
      <c r="AF157" s="148"/>
      <c r="AG157" s="148"/>
    </row>
    <row r="158" ht="15.75" customHeight="1">
      <c r="A158" s="149"/>
      <c r="B158" s="150"/>
      <c r="C158" s="149"/>
      <c r="D158" s="125" t="s">
        <v>77</v>
      </c>
      <c r="E158" s="126"/>
      <c r="F158" s="127">
        <v>1.0</v>
      </c>
      <c r="G158" s="240">
        <v>5.0</v>
      </c>
      <c r="H158" s="129"/>
      <c r="I158" s="130">
        <v>405.0</v>
      </c>
      <c r="J158" s="151">
        <v>6.5</v>
      </c>
      <c r="K158" s="132"/>
      <c r="L158" s="133"/>
      <c r="M158" s="134">
        <f>I23</f>
        <v>385</v>
      </c>
      <c r="N158" s="135">
        <f>iferror(mround($P23*((VLOOKUP($J158,Sheet1!$D:$N,$G158+1,FALSE)-0.03)),2.5)," ")</f>
        <v>375</v>
      </c>
      <c r="O158" s="135">
        <f>iferror(mround($P23*((VLOOKUP($J158,Sheet1!$D:$N,$G158+1,FALSE)+0.02)),2.5)," ")</f>
        <v>400</v>
      </c>
      <c r="P158" s="56" t="str">
        <f>iferror(mround(I158/VLOOKUP(L158,Sheet1!$D$7:$N$16,G158+1,FALSE),2.5),"")</f>
        <v/>
      </c>
      <c r="Q158" s="303">
        <f t="shared" si="1"/>
        <v>20</v>
      </c>
      <c r="S158" s="11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</row>
    <row r="159" ht="3.75" customHeight="1">
      <c r="A159" s="152"/>
      <c r="B159" s="150"/>
      <c r="C159" s="153"/>
      <c r="D159" s="138"/>
      <c r="E159" s="154"/>
      <c r="F159" s="155"/>
      <c r="G159" s="102"/>
      <c r="H159" s="102"/>
      <c r="I159" s="102"/>
      <c r="J159" s="156"/>
      <c r="K159" s="142"/>
      <c r="L159" s="143"/>
      <c r="M159" s="144"/>
      <c r="N159" s="145"/>
      <c r="O159" s="145"/>
      <c r="P159" s="122"/>
      <c r="Q159" s="304" t="str">
        <f t="shared" si="1"/>
        <v/>
      </c>
      <c r="S159" s="157"/>
      <c r="T159" s="5"/>
      <c r="U159" s="5"/>
      <c r="V159" s="158"/>
      <c r="W159" s="158"/>
      <c r="X159" s="158"/>
      <c r="Y159" s="158"/>
      <c r="Z159" s="158"/>
      <c r="AA159" s="158"/>
      <c r="AB159" s="158"/>
      <c r="AC159" s="158"/>
      <c r="AD159" s="158"/>
      <c r="AE159" s="158"/>
      <c r="AF159" s="158"/>
      <c r="AG159" s="158"/>
    </row>
    <row r="160" ht="15.75" customHeight="1">
      <c r="A160" s="149"/>
      <c r="B160" s="150"/>
      <c r="C160" s="149"/>
      <c r="D160" s="125" t="s">
        <v>77</v>
      </c>
      <c r="E160" s="126"/>
      <c r="F160" s="127">
        <v>1.0</v>
      </c>
      <c r="G160" s="161">
        <v>5.0</v>
      </c>
      <c r="H160" s="129"/>
      <c r="I160" s="130"/>
      <c r="J160" s="151" t="s">
        <v>78</v>
      </c>
      <c r="K160" s="132"/>
      <c r="L160" s="133"/>
      <c r="M160" s="134">
        <f>I25</f>
        <v>375</v>
      </c>
      <c r="N160" s="135" t="str">
        <f>iferror(mround($P25*((VLOOKUP($J160,Sheet1!$D:$N,$G160+1,FALSE)-0.03)),2.5)," ")</f>
        <v> </v>
      </c>
      <c r="O160" s="135" t="str">
        <f>iferror(mround($P25*((VLOOKUP($J160,Sheet1!$D:$N,$G160+1,FALSE)+0.02)),2.5)," ")</f>
        <v> </v>
      </c>
      <c r="P160" s="56" t="str">
        <f>iferror(mround(I160/VLOOKUP(L160,Sheet1!$D$7:$N$16,G160+1,FALSE),2.5),"")</f>
        <v/>
      </c>
      <c r="Q160" s="303" t="str">
        <f t="shared" si="1"/>
        <v/>
      </c>
      <c r="S160" s="11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</row>
    <row r="161" ht="3.75" customHeight="1">
      <c r="A161" s="162"/>
      <c r="B161" s="163"/>
      <c r="C161" s="162"/>
      <c r="D161" s="138"/>
      <c r="E161" s="154"/>
      <c r="F161" s="155"/>
      <c r="G161" s="102"/>
      <c r="H161" s="102"/>
      <c r="I161" s="102"/>
      <c r="J161" s="156"/>
      <c r="K161" s="142"/>
      <c r="L161" s="143"/>
      <c r="M161" s="144"/>
      <c r="N161" s="145"/>
      <c r="O161" s="145"/>
      <c r="P161" s="122"/>
      <c r="Q161" s="304" t="str">
        <f t="shared" si="1"/>
        <v/>
      </c>
      <c r="S161" s="147"/>
      <c r="T161" s="148"/>
      <c r="U161" s="148"/>
      <c r="V161" s="148"/>
      <c r="W161" s="148"/>
      <c r="X161" s="148"/>
      <c r="Y161" s="148"/>
      <c r="Z161" s="148"/>
      <c r="AA161" s="148"/>
      <c r="AB161" s="148"/>
      <c r="AC161" s="148"/>
      <c r="AD161" s="148"/>
      <c r="AE161" s="148"/>
      <c r="AF161" s="148"/>
      <c r="AG161" s="148"/>
    </row>
    <row r="162" ht="15.75" customHeight="1">
      <c r="A162" s="149"/>
      <c r="B162" s="150"/>
      <c r="C162" s="149"/>
      <c r="D162" s="159" t="s">
        <v>33</v>
      </c>
      <c r="E162" s="160" t="s">
        <v>34</v>
      </c>
      <c r="F162" s="127">
        <v>1.0</v>
      </c>
      <c r="G162" s="161">
        <v>5.0</v>
      </c>
      <c r="H162" s="129"/>
      <c r="I162" s="130"/>
      <c r="J162" s="151">
        <v>7.0</v>
      </c>
      <c r="K162" s="132"/>
      <c r="L162" s="133"/>
      <c r="M162" s="134">
        <f>I27</f>
        <v>255</v>
      </c>
      <c r="N162" s="135">
        <f>iferror(mround($P27*((VLOOKUP($J162,Sheet1!$D:$N,$G162+1,FALSE)-0.03)),2.5)," ")</f>
        <v>245</v>
      </c>
      <c r="O162" s="135">
        <f>iferror(mround($P27*((VLOOKUP($J162,Sheet1!$D:$N,$G162+1,FALSE)+0.02)),2.5)," ")</f>
        <v>260</v>
      </c>
      <c r="P162" s="56" t="str">
        <f>iferror(mround(I162/VLOOKUP(L162,Sheet1!$D$7:$N$16,G162+1,FALSE),2.5),"")</f>
        <v/>
      </c>
      <c r="Q162" s="303" t="str">
        <f t="shared" si="1"/>
        <v/>
      </c>
      <c r="S162" s="11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</row>
    <row r="163" ht="3.75" customHeight="1">
      <c r="A163" s="162"/>
      <c r="B163" s="163"/>
      <c r="C163" s="162"/>
      <c r="D163" s="138"/>
      <c r="E163" s="139"/>
      <c r="F163" s="140"/>
      <c r="G163" s="140"/>
      <c r="H163" s="140"/>
      <c r="I163" s="140"/>
      <c r="J163" s="141"/>
      <c r="K163" s="142"/>
      <c r="L163" s="143"/>
      <c r="M163" s="144"/>
      <c r="N163" s="145"/>
      <c r="O163" s="145"/>
      <c r="P163" s="122"/>
      <c r="Q163" s="304" t="str">
        <f t="shared" si="1"/>
        <v/>
      </c>
      <c r="S163" s="147"/>
      <c r="T163" s="148"/>
      <c r="U163" s="148"/>
      <c r="V163" s="148"/>
      <c r="W163" s="148"/>
      <c r="X163" s="148"/>
      <c r="Y163" s="148"/>
      <c r="Z163" s="148"/>
      <c r="AA163" s="148"/>
      <c r="AB163" s="148"/>
      <c r="AC163" s="148"/>
      <c r="AD163" s="148"/>
      <c r="AE163" s="148"/>
      <c r="AF163" s="148"/>
      <c r="AG163" s="148"/>
    </row>
    <row r="164" ht="15.75" customHeight="1">
      <c r="A164" s="90"/>
      <c r="B164" s="6"/>
      <c r="C164" s="90"/>
      <c r="D164" s="159" t="s">
        <v>33</v>
      </c>
      <c r="E164" s="160" t="s">
        <v>34</v>
      </c>
      <c r="F164" s="127">
        <v>3.0</v>
      </c>
      <c r="G164" s="161">
        <v>5.0</v>
      </c>
      <c r="H164" s="129"/>
      <c r="I164" s="164">
        <f>MROUND(I162*(1+J164),5)</f>
        <v>0</v>
      </c>
      <c r="J164" s="165">
        <v>-0.1</v>
      </c>
      <c r="K164" s="132"/>
      <c r="L164" s="133"/>
      <c r="M164" s="134">
        <f>I29</f>
        <v>230</v>
      </c>
      <c r="N164" s="135" t="str">
        <f>iferror(mround($P29*((VLOOKUP($J164,Sheet1!$D:$N,$G164+1,FALSE)-0.03)),2.5)," ")</f>
        <v> </v>
      </c>
      <c r="O164" s="135" t="str">
        <f>iferror(mround($P29*((VLOOKUP($J164,Sheet1!$D:$N,$G164+1,FALSE)+0.02)),2.5)," ")</f>
        <v> </v>
      </c>
      <c r="P164" s="56" t="str">
        <f>iferror(mround(I164/VLOOKUP(L164,Sheet1!$D$7:$N$16,G164+1,FALSE),2.5),"")</f>
        <v/>
      </c>
      <c r="Q164" s="303">
        <f t="shared" si="1"/>
        <v>-230</v>
      </c>
      <c r="S164" s="11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</row>
    <row r="165" ht="3.75" customHeight="1">
      <c r="A165" s="168"/>
      <c r="B165" s="70"/>
      <c r="C165" s="168"/>
      <c r="D165" s="138"/>
      <c r="E165" s="139"/>
      <c r="F165" s="102"/>
      <c r="G165" s="102"/>
      <c r="H165" s="102"/>
      <c r="I165" s="102"/>
      <c r="J165" s="156"/>
      <c r="K165" s="142"/>
      <c r="L165" s="143"/>
      <c r="M165" s="144"/>
      <c r="N165" s="145"/>
      <c r="O165" s="145"/>
      <c r="P165" s="122"/>
      <c r="Q165" s="304" t="str">
        <f t="shared" si="1"/>
        <v/>
      </c>
      <c r="S165" s="147"/>
      <c r="T165" s="148"/>
      <c r="U165" s="148"/>
      <c r="V165" s="148"/>
      <c r="W165" s="148"/>
      <c r="X165" s="148"/>
      <c r="Y165" s="148"/>
      <c r="Z165" s="148"/>
      <c r="AA165" s="148"/>
      <c r="AB165" s="148"/>
      <c r="AC165" s="148"/>
      <c r="AD165" s="148"/>
      <c r="AE165" s="148"/>
      <c r="AF165" s="148"/>
      <c r="AG165" s="148"/>
    </row>
    <row r="166" ht="15.75" customHeight="1">
      <c r="A166" s="90"/>
      <c r="B166" s="6"/>
      <c r="C166" s="90"/>
      <c r="D166" s="166" t="s">
        <v>35</v>
      </c>
      <c r="E166" s="167" t="s">
        <v>79</v>
      </c>
      <c r="F166" s="127">
        <v>2.0</v>
      </c>
      <c r="G166" s="161">
        <v>7.0</v>
      </c>
      <c r="H166" s="129"/>
      <c r="I166" s="130"/>
      <c r="J166" s="151">
        <v>8.0</v>
      </c>
      <c r="K166" s="170" t="s">
        <v>80</v>
      </c>
      <c r="L166" s="133"/>
      <c r="M166" s="134">
        <f>I31</f>
        <v>245</v>
      </c>
      <c r="N166" s="135">
        <f>iferror(mround($P31*((VLOOKUP($J166,Sheet1!$D:$N,$G166+1,FALSE)-0.03)),2.5)," ")</f>
        <v>235</v>
      </c>
      <c r="O166" s="135">
        <f>iferror(mround($P31*((VLOOKUP($J166,Sheet1!$D:$N,$G166+1,FALSE)+0.02)),2.5)," ")</f>
        <v>250</v>
      </c>
      <c r="P166" s="56" t="str">
        <f>iferror(mround(I166/VLOOKUP(L166,Sheet1!$D$7:$N$16,G166+1,FALSE),2.5),"")</f>
        <v/>
      </c>
      <c r="Q166" s="303" t="str">
        <f t="shared" si="1"/>
        <v/>
      </c>
      <c r="S166" s="11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</row>
    <row r="167" ht="3.75" customHeight="1">
      <c r="A167" s="90"/>
      <c r="B167" s="6"/>
      <c r="C167" s="90"/>
      <c r="D167" s="171"/>
      <c r="E167" s="172"/>
      <c r="F167" s="173"/>
      <c r="G167" s="173"/>
      <c r="H167" s="173"/>
      <c r="I167" s="173"/>
      <c r="J167" s="174"/>
      <c r="K167" s="142"/>
      <c r="L167" s="143"/>
      <c r="M167" s="144"/>
      <c r="N167" s="145"/>
      <c r="O167" s="145"/>
      <c r="P167" s="122"/>
      <c r="Q167" s="304" t="str">
        <f t="shared" si="1"/>
        <v/>
      </c>
      <c r="S167" s="11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</row>
    <row r="168" ht="15.75" customHeight="1">
      <c r="A168" s="90"/>
      <c r="B168" s="6"/>
      <c r="C168" s="90"/>
      <c r="D168" s="166" t="s">
        <v>37</v>
      </c>
      <c r="E168" s="160" t="s">
        <v>81</v>
      </c>
      <c r="F168" s="127">
        <v>3.0</v>
      </c>
      <c r="G168" s="169">
        <v>45577.0</v>
      </c>
      <c r="H168" s="129"/>
      <c r="I168" s="130"/>
      <c r="J168" s="151">
        <v>8.0</v>
      </c>
      <c r="K168" s="132"/>
      <c r="L168" s="133"/>
      <c r="M168" s="134">
        <f>I33</f>
        <v>340</v>
      </c>
      <c r="N168" s="135" t="str">
        <f>iferror(mround($P33*((VLOOKUP($J168,Sheet1!$D:$N,$G168+1,FALSE)-0.03)),2.5)," ")</f>
        <v> </v>
      </c>
      <c r="O168" s="135" t="str">
        <f>iferror(mround($P33*((VLOOKUP($J168,Sheet1!$D:$N,$G168+1,FALSE)+0.02)),2.5)," ")</f>
        <v> </v>
      </c>
      <c r="P168" s="56" t="str">
        <f>iferror(mround(I168/VLOOKUP(L168,Sheet1!$D$7:$N$16,G168+1,FALSE),2.5),"")</f>
        <v/>
      </c>
      <c r="Q168" s="303" t="str">
        <f t="shared" si="1"/>
        <v/>
      </c>
      <c r="S168" s="11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</row>
    <row r="169" ht="3.75" customHeight="1">
      <c r="A169" s="90"/>
      <c r="B169" s="6"/>
      <c r="C169" s="90"/>
      <c r="D169" s="171"/>
      <c r="E169" s="172"/>
      <c r="F169" s="173"/>
      <c r="G169" s="173"/>
      <c r="H169" s="173"/>
      <c r="I169" s="173"/>
      <c r="J169" s="174"/>
      <c r="K169" s="142"/>
      <c r="L169" s="143"/>
      <c r="M169" s="144"/>
      <c r="N169" s="145"/>
      <c r="O169" s="145"/>
      <c r="P169" s="122"/>
      <c r="Q169" s="304" t="str">
        <f t="shared" si="1"/>
        <v/>
      </c>
      <c r="S169" s="11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</row>
    <row r="170" ht="15.75" hidden="1" customHeight="1">
      <c r="A170" s="90"/>
      <c r="B170" s="6"/>
      <c r="C170" s="90"/>
      <c r="D170" s="175" t="s">
        <v>40</v>
      </c>
      <c r="E170" s="176"/>
      <c r="F170" s="177">
        <v>3.0</v>
      </c>
      <c r="G170" s="178" t="s">
        <v>41</v>
      </c>
      <c r="H170" s="179"/>
      <c r="I170" s="180"/>
      <c r="J170" s="181">
        <v>8.0</v>
      </c>
      <c r="K170" s="182"/>
      <c r="L170" s="183"/>
      <c r="M170" s="134" t="str">
        <f>I35</f>
        <v/>
      </c>
      <c r="N170" s="135" t="str">
        <f>iferror(mround($P35*((VLOOKUP($J170,Sheet1!$D:$N,$G170+1,FALSE)-0.03)),2.5)," ")</f>
        <v> </v>
      </c>
      <c r="O170" s="135" t="str">
        <f>iferror(mround($P35*((VLOOKUP($J170,Sheet1!$D:$N,$G170+1,FALSE)+0.02)),2.5)," ")</f>
        <v> </v>
      </c>
      <c r="P170" s="56" t="str">
        <f>iferror(mround(I170/VLOOKUP(L170,Sheet1!$D$7:$N$16,G170+1,FALSE),2.5),"")</f>
        <v/>
      </c>
      <c r="Q170" s="303" t="str">
        <f t="shared" si="1"/>
        <v/>
      </c>
      <c r="S170" s="11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</row>
    <row r="171" ht="3.75" hidden="1" customHeight="1">
      <c r="A171" s="90"/>
      <c r="B171" s="6"/>
      <c r="C171" s="90"/>
      <c r="D171" s="138"/>
      <c r="E171" s="184"/>
      <c r="F171" s="102"/>
      <c r="G171" s="102"/>
      <c r="H171" s="102"/>
      <c r="I171" s="102"/>
      <c r="J171" s="156"/>
      <c r="K171" s="103"/>
      <c r="L171" s="143"/>
      <c r="M171" s="144"/>
      <c r="N171" s="145"/>
      <c r="O171" s="145"/>
      <c r="P171" s="122"/>
      <c r="Q171" s="304" t="str">
        <f t="shared" si="1"/>
        <v/>
      </c>
      <c r="S171" s="11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</row>
    <row r="172" ht="15.75" hidden="1" customHeight="1">
      <c r="A172" s="90"/>
      <c r="B172" s="6"/>
      <c r="C172" s="90"/>
      <c r="D172" s="185"/>
      <c r="E172" s="186"/>
      <c r="F172" s="187"/>
      <c r="G172" s="188"/>
      <c r="H172" s="129"/>
      <c r="I172" s="164"/>
      <c r="J172" s="189"/>
      <c r="K172" s="190"/>
      <c r="L172" s="183"/>
      <c r="M172" s="134" t="str">
        <f>I37</f>
        <v/>
      </c>
      <c r="N172" s="135" t="str">
        <f>iferror(mround($P37*((VLOOKUP($J172,Sheet1!$D:$N,$G172+1,FALSE)-0.03)),2.5)," ")</f>
        <v> </v>
      </c>
      <c r="O172" s="135" t="str">
        <f>iferror(mround($P37*((VLOOKUP($J172,Sheet1!$D:$N,$G172+1,FALSE)+0.02)),2.5)," ")</f>
        <v> </v>
      </c>
      <c r="P172" s="56" t="str">
        <f>iferror(mround(I172/VLOOKUP(L172,Sheet1!$D$7:$N$16,G172+1,FALSE),2.5),"")</f>
        <v/>
      </c>
      <c r="Q172" s="303" t="str">
        <f t="shared" si="1"/>
        <v/>
      </c>
      <c r="S172" s="11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</row>
    <row r="173" ht="3.75" hidden="1" customHeight="1">
      <c r="A173" s="191"/>
      <c r="B173" s="6"/>
      <c r="C173" s="192"/>
      <c r="D173" s="138"/>
      <c r="E173" s="193"/>
      <c r="F173" s="194"/>
      <c r="G173" s="155"/>
      <c r="H173" s="102"/>
      <c r="I173" s="102"/>
      <c r="J173" s="156"/>
      <c r="K173" s="103"/>
      <c r="L173" s="143"/>
      <c r="M173" s="144"/>
      <c r="N173" s="145"/>
      <c r="O173" s="145"/>
      <c r="P173" s="122"/>
      <c r="Q173" s="304" t="str">
        <f t="shared" si="1"/>
        <v/>
      </c>
      <c r="S173" s="157"/>
      <c r="T173" s="5"/>
      <c r="U173" s="5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</row>
    <row r="174" ht="15.75" hidden="1" customHeight="1">
      <c r="A174" s="90"/>
      <c r="B174" s="6"/>
      <c r="C174" s="90"/>
      <c r="D174" s="185"/>
      <c r="E174" s="186"/>
      <c r="F174" s="187"/>
      <c r="G174" s="195"/>
      <c r="H174" s="129"/>
      <c r="I174" s="164"/>
      <c r="J174" s="189"/>
      <c r="K174" s="190"/>
      <c r="L174" s="183"/>
      <c r="M174" s="134" t="str">
        <f>I39</f>
        <v/>
      </c>
      <c r="N174" s="135" t="str">
        <f>iferror(mround($P39*((VLOOKUP($J174,Sheet1!$D:$N,$G174+1,FALSE)-0.03)),2.5)," ")</f>
        <v> </v>
      </c>
      <c r="O174" s="135" t="str">
        <f>iferror(mround($P39*((VLOOKUP($J174,Sheet1!$D:$N,$G174+1,FALSE)+0.02)),2.5)," ")</f>
        <v> </v>
      </c>
      <c r="P174" s="56" t="str">
        <f>iferror(mround(I174/VLOOKUP(L174,Sheet1!$D$7:$N$16,G174+1,FALSE),2.5),"")</f>
        <v/>
      </c>
      <c r="Q174" s="303" t="str">
        <f t="shared" si="1"/>
        <v/>
      </c>
      <c r="S174" s="11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</row>
    <row r="175" ht="3.75" hidden="1" customHeight="1">
      <c r="A175" s="90"/>
      <c r="B175" s="6"/>
      <c r="C175" s="90"/>
      <c r="D175" s="196"/>
      <c r="E175" s="184"/>
      <c r="F175" s="102"/>
      <c r="G175" s="102"/>
      <c r="H175" s="102"/>
      <c r="I175" s="102"/>
      <c r="J175" s="156"/>
      <c r="K175" s="103"/>
      <c r="L175" s="143"/>
      <c r="M175" s="144"/>
      <c r="N175" s="145"/>
      <c r="O175" s="145"/>
      <c r="P175" s="122"/>
      <c r="Q175" s="304" t="str">
        <f t="shared" si="1"/>
        <v/>
      </c>
      <c r="S175" s="11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</row>
    <row r="176" ht="15.75" hidden="1" customHeight="1">
      <c r="A176" s="90"/>
      <c r="B176" s="6"/>
      <c r="C176" s="90"/>
      <c r="D176" s="197"/>
      <c r="E176" s="198"/>
      <c r="F176" s="199"/>
      <c r="G176" s="195"/>
      <c r="H176" s="129"/>
      <c r="I176" s="164"/>
      <c r="J176" s="189"/>
      <c r="K176" s="190"/>
      <c r="L176" s="183"/>
      <c r="M176" s="134" t="str">
        <f>I41</f>
        <v/>
      </c>
      <c r="N176" s="135" t="str">
        <f>iferror(mround($P41*((VLOOKUP($J176,Sheet1!$D:$N,$G176+1,FALSE)-0.03)),2.5)," ")</f>
        <v> </v>
      </c>
      <c r="O176" s="135" t="str">
        <f>iferror(mround($P41*((VLOOKUP($J176,Sheet1!$D:$N,$G176+1,FALSE)+0.02)),2.5)," ")</f>
        <v> </v>
      </c>
      <c r="P176" s="56" t="str">
        <f>iferror(mround(I176/VLOOKUP(L176,Sheet1!$D$7:$N$16,G176+1,FALSE),2.5),"")</f>
        <v/>
      </c>
      <c r="Q176" s="303" t="str">
        <f t="shared" si="1"/>
        <v/>
      </c>
      <c r="S176" s="11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</row>
    <row r="177" ht="3.75" customHeight="1">
      <c r="A177" s="90"/>
      <c r="B177" s="6"/>
      <c r="C177" s="90"/>
      <c r="D177" s="90"/>
      <c r="E177" s="156"/>
      <c r="F177" s="102"/>
      <c r="G177" s="102"/>
      <c r="H177" s="102"/>
      <c r="I177" s="102"/>
      <c r="J177" s="156"/>
      <c r="K177" s="200"/>
      <c r="L177" s="201"/>
      <c r="M177" s="144"/>
      <c r="N177" s="47"/>
      <c r="O177" s="47"/>
      <c r="P177" s="122"/>
      <c r="Q177" s="304" t="str">
        <f t="shared" si="1"/>
        <v/>
      </c>
      <c r="S177" s="11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</row>
    <row r="178" ht="30.0" customHeight="1">
      <c r="A178" s="90"/>
      <c r="B178" s="6"/>
      <c r="C178" s="90"/>
      <c r="D178" s="202" t="s">
        <v>42</v>
      </c>
      <c r="E178" s="105" t="s">
        <v>15</v>
      </c>
      <c r="F178" s="106" t="s">
        <v>16</v>
      </c>
      <c r="G178" s="106" t="s">
        <v>17</v>
      </c>
      <c r="H178" s="107"/>
      <c r="I178" s="106" t="s">
        <v>18</v>
      </c>
      <c r="J178" s="108" t="s">
        <v>19</v>
      </c>
      <c r="L178" s="109" t="s">
        <v>20</v>
      </c>
      <c r="M178" s="110" t="s">
        <v>21</v>
      </c>
      <c r="N178" s="111" t="s">
        <v>22</v>
      </c>
      <c r="P178" s="112"/>
      <c r="Q178" s="113" t="s">
        <v>23</v>
      </c>
      <c r="R178" s="114" t="s">
        <v>43</v>
      </c>
      <c r="S178" s="11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</row>
    <row r="179" ht="14.25" customHeight="1">
      <c r="A179" s="90"/>
      <c r="B179" s="6"/>
      <c r="C179" s="90"/>
      <c r="D179" s="116" t="s">
        <v>25</v>
      </c>
      <c r="E179" s="117" t="s">
        <v>26</v>
      </c>
      <c r="H179" s="107"/>
      <c r="N179" s="111" t="s">
        <v>27</v>
      </c>
      <c r="O179" s="111" t="s">
        <v>28</v>
      </c>
      <c r="P179" s="112" t="s">
        <v>29</v>
      </c>
      <c r="R179" s="118" t="s">
        <v>30</v>
      </c>
      <c r="S179" s="11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</row>
    <row r="180" ht="3.75" customHeight="1">
      <c r="A180" s="191"/>
      <c r="B180" s="6"/>
      <c r="C180" s="192"/>
      <c r="D180" s="203"/>
      <c r="E180" s="204"/>
      <c r="F180" s="205"/>
      <c r="G180" s="205"/>
      <c r="H180" s="206"/>
      <c r="I180" s="207"/>
      <c r="J180" s="208"/>
      <c r="K180" s="209"/>
      <c r="L180" s="210"/>
      <c r="M180" s="211"/>
      <c r="N180" s="47"/>
      <c r="O180" s="47"/>
      <c r="P180" s="122"/>
      <c r="Q180" s="304" t="str">
        <f t="shared" ref="Q180:Q202" si="2">IF(OR(ISBLANK(I180), ISBLANK(I45)), "", IF(I180 - I45 = 0, "", I180 - I45))</f>
        <v/>
      </c>
      <c r="R180" s="212"/>
      <c r="S180" s="157"/>
      <c r="T180" s="5"/>
      <c r="U180" s="5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</row>
    <row r="181" ht="15.75" customHeight="1">
      <c r="A181" s="124"/>
      <c r="B181" s="6"/>
      <c r="C181" s="124"/>
      <c r="D181" s="159" t="s">
        <v>83</v>
      </c>
      <c r="E181" s="167" t="s">
        <v>84</v>
      </c>
      <c r="F181" s="127">
        <v>3.0</v>
      </c>
      <c r="G181" s="127">
        <v>3.0</v>
      </c>
      <c r="H181" s="195"/>
      <c r="I181" s="130"/>
      <c r="J181" s="151">
        <v>6.0</v>
      </c>
      <c r="K181" s="213"/>
      <c r="L181" s="133"/>
      <c r="M181" s="134">
        <f>I46</f>
        <v>408</v>
      </c>
      <c r="N181" s="135">
        <f>iferror(mround($P46*((VLOOKUP($J181,Sheet1!$D:$N,$G181+1,FALSE)-0.03)),2.5)," ")</f>
        <v>392.5</v>
      </c>
      <c r="O181" s="135">
        <f>iferror(mround($P46*((VLOOKUP($J181,Sheet1!$D:$N,$G181+1,FALSE)+0.02)),2.5)," ")</f>
        <v>417.5</v>
      </c>
      <c r="P181" s="112" t="str">
        <f>iferror(mround(I181/VLOOKUP(L181,Sheet1!$D$7:$N$16,G181+1,FALSE),2.5),"")</f>
        <v/>
      </c>
      <c r="Q181" s="303" t="str">
        <f t="shared" si="2"/>
        <v/>
      </c>
      <c r="R181" s="214"/>
      <c r="S181" s="11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</row>
    <row r="182" ht="3.75" customHeight="1">
      <c r="A182" s="124"/>
      <c r="B182" s="6"/>
      <c r="C182" s="124"/>
      <c r="D182" s="138"/>
      <c r="E182" s="215"/>
      <c r="F182" s="102"/>
      <c r="G182" s="102"/>
      <c r="H182" s="102"/>
      <c r="I182" s="102"/>
      <c r="J182" s="216"/>
      <c r="K182" s="217"/>
      <c r="L182" s="218"/>
      <c r="M182" s="144"/>
      <c r="N182" s="145"/>
      <c r="O182" s="145"/>
      <c r="P182" s="122"/>
      <c r="Q182" s="304" t="str">
        <f t="shared" si="2"/>
        <v/>
      </c>
      <c r="R182" s="214"/>
      <c r="S182" s="11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</row>
    <row r="183" ht="15.75" customHeight="1">
      <c r="A183" s="90"/>
      <c r="B183" s="6"/>
      <c r="C183" s="90"/>
      <c r="D183" s="159" t="s">
        <v>33</v>
      </c>
      <c r="E183" s="167"/>
      <c r="F183" s="127">
        <v>1.0</v>
      </c>
      <c r="G183" s="127">
        <v>2.0</v>
      </c>
      <c r="H183" s="195"/>
      <c r="I183" s="130"/>
      <c r="J183" s="151">
        <v>7.5</v>
      </c>
      <c r="K183" s="219" t="s">
        <v>85</v>
      </c>
      <c r="L183" s="133"/>
      <c r="M183" s="134">
        <f>I48</f>
        <v>305</v>
      </c>
      <c r="N183" s="135">
        <f>iferror(mround($P48*((VLOOKUP($J183,Sheet1!$D:$N,$G183+1,FALSE)-0.03)),2.5)," ")</f>
        <v>295</v>
      </c>
      <c r="O183" s="135">
        <f>iferror(mround($P48*((VLOOKUP($J183,Sheet1!$D:$N,$G183+1,FALSE)+0.02)),2.5)," ")</f>
        <v>312.5</v>
      </c>
      <c r="P183" s="112" t="str">
        <f>iferror(mround(I183/VLOOKUP(L183,Sheet1!$D$7:$N$16,G183+1,FALSE),2.5),"")</f>
        <v/>
      </c>
      <c r="Q183" s="303" t="str">
        <f t="shared" si="2"/>
        <v/>
      </c>
      <c r="R183" s="214"/>
      <c r="S183" s="11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</row>
    <row r="184" ht="3.75" customHeight="1">
      <c r="A184" s="90"/>
      <c r="B184" s="6"/>
      <c r="C184" s="90"/>
      <c r="D184" s="138"/>
      <c r="E184" s="215"/>
      <c r="F184" s="102"/>
      <c r="G184" s="102"/>
      <c r="H184" s="102"/>
      <c r="I184" s="102"/>
      <c r="J184" s="216"/>
      <c r="K184" s="217"/>
      <c r="L184" s="218"/>
      <c r="M184" s="144"/>
      <c r="N184" s="145"/>
      <c r="O184" s="145"/>
      <c r="P184" s="122"/>
      <c r="Q184" s="304" t="str">
        <f t="shared" si="2"/>
        <v/>
      </c>
      <c r="R184" s="214"/>
      <c r="S184" s="11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</row>
    <row r="185" ht="15.75" customHeight="1">
      <c r="A185" s="90"/>
      <c r="B185" s="6"/>
      <c r="C185" s="90"/>
      <c r="D185" s="159" t="s">
        <v>33</v>
      </c>
      <c r="E185" s="167"/>
      <c r="F185" s="127">
        <v>3.0</v>
      </c>
      <c r="G185" s="161">
        <v>3.0</v>
      </c>
      <c r="H185" s="195"/>
      <c r="I185" s="164">
        <f>MROUND(I183*(1+J185),5)</f>
        <v>0</v>
      </c>
      <c r="J185" s="165">
        <v>-0.08</v>
      </c>
      <c r="K185" s="219"/>
      <c r="L185" s="133"/>
      <c r="M185" s="134">
        <f>I50</f>
        <v>280</v>
      </c>
      <c r="N185" s="135" t="str">
        <f>iferror(mround($P50*((VLOOKUP($J185,Sheet1!$D:$N,$G185+1,FALSE)-0.03)),2.5)," ")</f>
        <v> </v>
      </c>
      <c r="O185" s="135" t="str">
        <f>iferror(mround($P50*((VLOOKUP($J185,Sheet1!$D:$N,$G185+1,FALSE)+0.02)),2.5)," ")</f>
        <v> </v>
      </c>
      <c r="P185" s="112" t="str">
        <f>iferror(mround(I185/VLOOKUP(L185,Sheet1!$D$7:$N$16,G185+1,FALSE),2.5),"")</f>
        <v/>
      </c>
      <c r="Q185" s="303">
        <f t="shared" si="2"/>
        <v>-280</v>
      </c>
      <c r="R185" s="214"/>
      <c r="S185" s="11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</row>
    <row r="186" ht="3.75" customHeight="1">
      <c r="A186" s="90"/>
      <c r="B186" s="6"/>
      <c r="C186" s="90"/>
      <c r="D186" s="138"/>
      <c r="E186" s="215"/>
      <c r="F186" s="102"/>
      <c r="G186" s="102"/>
      <c r="H186" s="102"/>
      <c r="I186" s="102"/>
      <c r="J186" s="156"/>
      <c r="K186" s="217"/>
      <c r="L186" s="143"/>
      <c r="M186" s="144"/>
      <c r="N186" s="145"/>
      <c r="O186" s="145"/>
      <c r="P186" s="122"/>
      <c r="Q186" s="304" t="str">
        <f t="shared" si="2"/>
        <v/>
      </c>
      <c r="R186" s="214"/>
      <c r="S186" s="11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</row>
    <row r="187" ht="15.75" customHeight="1">
      <c r="A187" s="90"/>
      <c r="B187" s="6"/>
      <c r="C187" s="90"/>
      <c r="D187" s="159" t="s">
        <v>86</v>
      </c>
      <c r="E187" s="167" t="s">
        <v>87</v>
      </c>
      <c r="F187" s="127">
        <v>3.0</v>
      </c>
      <c r="G187" s="169">
        <v>45577.0</v>
      </c>
      <c r="H187" s="195"/>
      <c r="I187" s="130"/>
      <c r="J187" s="151">
        <v>8.0</v>
      </c>
      <c r="K187" s="213"/>
      <c r="L187" s="133"/>
      <c r="M187" s="134">
        <f>I52</f>
        <v>135</v>
      </c>
      <c r="N187" s="135" t="str">
        <f>iferror(mround($P52*((VLOOKUP($J187,Sheet1!$D:$N,$G187+1,FALSE)-0.03)),2.5)," ")</f>
        <v> </v>
      </c>
      <c r="O187" s="135" t="str">
        <f>iferror(mround($P52*((VLOOKUP($J187,Sheet1!$D:$N,$G187+1,FALSE)+0.02)),2.5)," ")</f>
        <v> </v>
      </c>
      <c r="P187" s="112" t="str">
        <f>iferror(mround(I187/VLOOKUP(L187,Sheet1!$D$7:$N$16,G187+1,FALSE),2.5),"")</f>
        <v/>
      </c>
      <c r="Q187" s="303" t="str">
        <f t="shared" si="2"/>
        <v/>
      </c>
      <c r="R187" s="214"/>
      <c r="S187" s="11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</row>
    <row r="188" ht="3.75" customHeight="1">
      <c r="A188" s="90"/>
      <c r="B188" s="6"/>
      <c r="C188" s="90"/>
      <c r="D188" s="138"/>
      <c r="E188" s="215"/>
      <c r="F188" s="102"/>
      <c r="G188" s="102"/>
      <c r="H188" s="102"/>
      <c r="I188" s="102"/>
      <c r="J188" s="156"/>
      <c r="K188" s="217"/>
      <c r="L188" s="143"/>
      <c r="M188" s="144"/>
      <c r="N188" s="145"/>
      <c r="O188" s="145"/>
      <c r="P188" s="122"/>
      <c r="Q188" s="304" t="str">
        <f t="shared" si="2"/>
        <v/>
      </c>
      <c r="R188" s="214"/>
      <c r="S188" s="11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</row>
    <row r="189" ht="15.75" customHeight="1">
      <c r="A189" s="90"/>
      <c r="B189" s="6"/>
      <c r="C189" s="90"/>
      <c r="D189" s="159" t="s">
        <v>88</v>
      </c>
      <c r="E189" s="220"/>
      <c r="F189" s="127">
        <v>3.0</v>
      </c>
      <c r="G189" s="221">
        <v>45641.0</v>
      </c>
      <c r="H189" s="195"/>
      <c r="I189" s="130"/>
      <c r="J189" s="151">
        <v>9.0</v>
      </c>
      <c r="K189" s="213"/>
      <c r="L189" s="133"/>
      <c r="M189" s="134">
        <f>I54</f>
        <v>11.25</v>
      </c>
      <c r="N189" s="135" t="str">
        <f>iferror(mround($P54*((VLOOKUP($J189,Sheet1!$D:$N,$G189+1,FALSE)-0.03)),2.5)," ")</f>
        <v> </v>
      </c>
      <c r="O189" s="135" t="str">
        <f>iferror(mround($P54*((VLOOKUP($J189,Sheet1!$D:$N,$G189+1,FALSE)+0.02)),2.5)," ")</f>
        <v> </v>
      </c>
      <c r="P189" s="112" t="str">
        <f>iferror(mround(I189/VLOOKUP(L189,Sheet1!$D$7:$N$16,G189+1,FALSE),2.5),"")</f>
        <v/>
      </c>
      <c r="Q189" s="303" t="str">
        <f t="shared" si="2"/>
        <v/>
      </c>
      <c r="R189" s="214"/>
      <c r="S189" s="11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</row>
    <row r="190" ht="3.75" customHeight="1">
      <c r="A190" s="90"/>
      <c r="B190" s="6"/>
      <c r="C190" s="90"/>
      <c r="D190" s="138"/>
      <c r="E190" s="215"/>
      <c r="F190" s="102"/>
      <c r="G190" s="102"/>
      <c r="H190" s="102"/>
      <c r="I190" s="102"/>
      <c r="J190" s="156"/>
      <c r="K190" s="217"/>
      <c r="L190" s="143"/>
      <c r="M190" s="144"/>
      <c r="N190" s="145"/>
      <c r="O190" s="145"/>
      <c r="P190" s="122"/>
      <c r="Q190" s="304" t="str">
        <f t="shared" si="2"/>
        <v/>
      </c>
      <c r="R190" s="214"/>
      <c r="S190" s="11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</row>
    <row r="191" ht="15.75" customHeight="1">
      <c r="A191" s="90"/>
      <c r="B191" s="6"/>
      <c r="C191" s="90"/>
      <c r="D191" s="159" t="s">
        <v>47</v>
      </c>
      <c r="E191" s="220"/>
      <c r="F191" s="127">
        <v>3.0</v>
      </c>
      <c r="G191" s="221">
        <v>45641.0</v>
      </c>
      <c r="H191" s="195"/>
      <c r="I191" s="130"/>
      <c r="J191" s="151">
        <v>9.0</v>
      </c>
      <c r="K191" s="213"/>
      <c r="L191" s="183"/>
      <c r="M191" s="134">
        <f>I56</f>
        <v>40</v>
      </c>
      <c r="N191" s="135" t="str">
        <f>iferror(mround($P56*((VLOOKUP($J191,Sheet1!$D:$N,$G191+1,FALSE)-0.03)),2.5)," ")</f>
        <v> </v>
      </c>
      <c r="O191" s="135" t="str">
        <f>iferror(mround($P56*((VLOOKUP($J191,Sheet1!$D:$N,$G191+1,FALSE)+0.02)),2.5)," ")</f>
        <v> </v>
      </c>
      <c r="P191" s="112" t="str">
        <f>iferror(mround(I191/VLOOKUP(L191,Sheet1!$D$7:$N$16,G191+1,FALSE),2.5),"")</f>
        <v/>
      </c>
      <c r="Q191" s="303" t="str">
        <f t="shared" si="2"/>
        <v/>
      </c>
      <c r="R191" s="214"/>
      <c r="S191" s="11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</row>
    <row r="192" ht="3.75" customHeight="1">
      <c r="A192" s="90"/>
      <c r="B192" s="6"/>
      <c r="C192" s="90"/>
      <c r="D192" s="138"/>
      <c r="E192" s="326"/>
      <c r="F192" s="102"/>
      <c r="G192" s="102"/>
      <c r="H192" s="102"/>
      <c r="I192" s="102"/>
      <c r="J192" s="216"/>
      <c r="K192" s="222"/>
      <c r="L192" s="143"/>
      <c r="M192" s="144"/>
      <c r="N192" s="145"/>
      <c r="O192" s="145"/>
      <c r="P192" s="122"/>
      <c r="Q192" s="304" t="str">
        <f t="shared" si="2"/>
        <v/>
      </c>
      <c r="R192" s="214"/>
      <c r="S192" s="11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</row>
    <row r="193" ht="18.0" hidden="1" customHeight="1">
      <c r="A193" s="90"/>
      <c r="B193" s="6"/>
      <c r="C193" s="90"/>
      <c r="D193" s="185"/>
      <c r="E193" s="327"/>
      <c r="F193" s="187"/>
      <c r="G193" s="187"/>
      <c r="H193" s="195"/>
      <c r="I193" s="164"/>
      <c r="J193" s="189"/>
      <c r="K193" s="190"/>
      <c r="L193" s="183"/>
      <c r="M193" s="134" t="str">
        <f>I58</f>
        <v/>
      </c>
      <c r="N193" s="135" t="str">
        <f>iferror(mround($P58*((VLOOKUP($J193,Sheet1!$D:$N,$G193+1,FALSE)-0.03)),2.5)," ")</f>
        <v> </v>
      </c>
      <c r="O193" s="135" t="str">
        <f>iferror(mround($P58*((VLOOKUP($J193,Sheet1!$D:$N,$G193+1,FALSE)+0.02)),2.5)," ")</f>
        <v> </v>
      </c>
      <c r="P193" s="112" t="str">
        <f>iferror(mround(I193/VLOOKUP(L193,Sheet1!$D$7:$N$16,G193+1,FALSE),2.5),"")</f>
        <v/>
      </c>
      <c r="Q193" s="303" t="str">
        <f t="shared" si="2"/>
        <v/>
      </c>
      <c r="R193" s="214"/>
      <c r="S193" s="11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</row>
    <row r="194" ht="3.75" hidden="1" customHeight="1">
      <c r="A194" s="191"/>
      <c r="B194" s="6"/>
      <c r="C194" s="192"/>
      <c r="D194" s="138"/>
      <c r="E194" s="223"/>
      <c r="F194" s="194"/>
      <c r="G194" s="194"/>
      <c r="H194" s="155"/>
      <c r="I194" s="210"/>
      <c r="J194" s="216"/>
      <c r="K194" s="222"/>
      <c r="L194" s="143"/>
      <c r="M194" s="144"/>
      <c r="N194" s="145"/>
      <c r="O194" s="145"/>
      <c r="P194" s="122"/>
      <c r="Q194" s="304" t="str">
        <f t="shared" si="2"/>
        <v/>
      </c>
      <c r="R194" s="214"/>
      <c r="S194" s="157"/>
      <c r="T194" s="5"/>
      <c r="U194" s="5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</row>
    <row r="195" ht="15.75" hidden="1" customHeight="1">
      <c r="A195" s="90"/>
      <c r="B195" s="6"/>
      <c r="C195" s="90"/>
      <c r="D195" s="185"/>
      <c r="E195" s="186"/>
      <c r="F195" s="187"/>
      <c r="G195" s="187"/>
      <c r="H195" s="195"/>
      <c r="I195" s="164"/>
      <c r="J195" s="189"/>
      <c r="K195" s="190"/>
      <c r="L195" s="183"/>
      <c r="M195" s="134" t="str">
        <f>I60</f>
        <v/>
      </c>
      <c r="N195" s="135" t="str">
        <f>iferror(mround($P60*((VLOOKUP($J195,Sheet1!$D:$N,$G195+1,FALSE)-0.03)),2.5)," ")</f>
        <v> </v>
      </c>
      <c r="O195" s="135" t="str">
        <f>iferror(mround($P60*((VLOOKUP($J195,Sheet1!$D:$N,$G195+1,FALSE)+0.02)),2.5)," ")</f>
        <v> </v>
      </c>
      <c r="P195" s="112" t="str">
        <f>iferror(mround(I195/VLOOKUP(L195,Sheet1!$D$7:$N$16,G195+1,FALSE),2.5),"")</f>
        <v/>
      </c>
      <c r="Q195" s="303" t="str">
        <f t="shared" si="2"/>
        <v/>
      </c>
      <c r="R195" s="214"/>
      <c r="S195" s="11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</row>
    <row r="196" ht="3.75" hidden="1" customHeight="1">
      <c r="A196" s="90"/>
      <c r="B196" s="6"/>
      <c r="C196" s="90"/>
      <c r="D196" s="138"/>
      <c r="E196" s="184"/>
      <c r="F196" s="102"/>
      <c r="G196" s="102"/>
      <c r="H196" s="102"/>
      <c r="I196" s="102"/>
      <c r="J196" s="156"/>
      <c r="K196" s="222"/>
      <c r="L196" s="143"/>
      <c r="M196" s="144"/>
      <c r="N196" s="145"/>
      <c r="O196" s="145"/>
      <c r="P196" s="122"/>
      <c r="Q196" s="304" t="str">
        <f t="shared" si="2"/>
        <v/>
      </c>
      <c r="R196" s="214"/>
      <c r="S196" s="11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</row>
    <row r="197" ht="15.75" hidden="1" customHeight="1">
      <c r="A197" s="90"/>
      <c r="B197" s="6"/>
      <c r="C197" s="90"/>
      <c r="D197" s="185"/>
      <c r="E197" s="224"/>
      <c r="F197" s="187"/>
      <c r="G197" s="187"/>
      <c r="H197" s="195"/>
      <c r="I197" s="164"/>
      <c r="J197" s="189"/>
      <c r="K197" s="190"/>
      <c r="L197" s="183"/>
      <c r="M197" s="134" t="str">
        <f>I62</f>
        <v/>
      </c>
      <c r="N197" s="135" t="str">
        <f>iferror(mround($P62*((VLOOKUP($J197,Sheet1!$D:$N,$G197+1,FALSE)-0.03)),2.5)," ")</f>
        <v> </v>
      </c>
      <c r="O197" s="135" t="str">
        <f>iferror(mround($P62*((VLOOKUP($J197,Sheet1!$D:$N,$G197+1,FALSE)+0.02)),2.5)," ")</f>
        <v> </v>
      </c>
      <c r="P197" s="112" t="str">
        <f>iferror(mround(I197/VLOOKUP(L197,Sheet1!$D$7:$N$16,G197+1,FALSE),2.5),"")</f>
        <v/>
      </c>
      <c r="Q197" s="303" t="str">
        <f t="shared" si="2"/>
        <v/>
      </c>
      <c r="R197" s="214"/>
      <c r="S197" s="11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</row>
    <row r="198" ht="3.75" hidden="1" customHeight="1">
      <c r="A198" s="191"/>
      <c r="B198" s="6"/>
      <c r="C198" s="192"/>
      <c r="D198" s="138"/>
      <c r="E198" s="193"/>
      <c r="F198" s="194"/>
      <c r="G198" s="194"/>
      <c r="H198" s="155"/>
      <c r="I198" s="210"/>
      <c r="J198" s="216"/>
      <c r="K198" s="222"/>
      <c r="L198" s="143"/>
      <c r="M198" s="144"/>
      <c r="N198" s="145"/>
      <c r="O198" s="145"/>
      <c r="P198" s="122"/>
      <c r="Q198" s="304" t="str">
        <f t="shared" si="2"/>
        <v/>
      </c>
      <c r="R198" s="214"/>
      <c r="S198" s="157"/>
      <c r="T198" s="5"/>
      <c r="U198" s="5"/>
      <c r="V198" s="158"/>
      <c r="W198" s="158"/>
      <c r="X198" s="158"/>
      <c r="Y198" s="158"/>
      <c r="Z198" s="158"/>
      <c r="AA198" s="158"/>
      <c r="AB198" s="158"/>
      <c r="AC198" s="158"/>
      <c r="AD198" s="158"/>
      <c r="AE198" s="158"/>
      <c r="AF198" s="158"/>
      <c r="AG198" s="158"/>
    </row>
    <row r="199" ht="15.75" hidden="1" customHeight="1">
      <c r="A199" s="90"/>
      <c r="B199" s="6"/>
      <c r="C199" s="90"/>
      <c r="D199" s="185"/>
      <c r="E199" s="186"/>
      <c r="F199" s="187"/>
      <c r="G199" s="187"/>
      <c r="H199" s="195"/>
      <c r="I199" s="164"/>
      <c r="J199" s="189"/>
      <c r="K199" s="190"/>
      <c r="L199" s="183"/>
      <c r="M199" s="134" t="str">
        <f>I64</f>
        <v/>
      </c>
      <c r="N199" s="135" t="str">
        <f>iferror(mround($P64*((VLOOKUP($J199,Sheet1!$D:$N,$G199+1,FALSE)-0.03)),2.5)," ")</f>
        <v> </v>
      </c>
      <c r="O199" s="135" t="str">
        <f>iferror(mround($P64*((VLOOKUP($J199,Sheet1!$D:$N,$G199+1,FALSE)+0.02)),2.5)," ")</f>
        <v> </v>
      </c>
      <c r="P199" s="112" t="str">
        <f>iferror(mround(I199/VLOOKUP(L199,Sheet1!$D$7:$N$16,G199+1,FALSE),2.5),"")</f>
        <v/>
      </c>
      <c r="Q199" s="303" t="str">
        <f t="shared" si="2"/>
        <v/>
      </c>
      <c r="R199" s="214"/>
      <c r="S199" s="11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</row>
    <row r="200" ht="3.75" hidden="1" customHeight="1">
      <c r="A200" s="90"/>
      <c r="B200" s="6"/>
      <c r="C200" s="90"/>
      <c r="D200" s="196"/>
      <c r="E200" s="184"/>
      <c r="F200" s="102"/>
      <c r="G200" s="102"/>
      <c r="H200" s="102"/>
      <c r="I200" s="102"/>
      <c r="J200" s="156"/>
      <c r="K200" s="222"/>
      <c r="L200" s="143"/>
      <c r="M200" s="144"/>
      <c r="N200" s="145"/>
      <c r="O200" s="145"/>
      <c r="P200" s="122"/>
      <c r="Q200" s="304" t="str">
        <f t="shared" si="2"/>
        <v/>
      </c>
      <c r="R200" s="214"/>
      <c r="S200" s="11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</row>
    <row r="201" ht="15.75" hidden="1" customHeight="1">
      <c r="A201" s="90"/>
      <c r="B201" s="6"/>
      <c r="C201" s="90"/>
      <c r="D201" s="197"/>
      <c r="E201" s="198"/>
      <c r="F201" s="199"/>
      <c r="G201" s="187"/>
      <c r="H201" s="195"/>
      <c r="I201" s="164"/>
      <c r="J201" s="189"/>
      <c r="K201" s="190"/>
      <c r="L201" s="183"/>
      <c r="M201" s="134" t="str">
        <f>I66</f>
        <v/>
      </c>
      <c r="N201" s="135" t="str">
        <f>iferror(mround($P66*((VLOOKUP($J201,Sheet1!$D:$N,$G201+1,FALSE)-0.03)),2.5)," ")</f>
        <v> </v>
      </c>
      <c r="O201" s="135" t="str">
        <f>iferror(mround($P66*((VLOOKUP($J201,Sheet1!$D:$N,$G201+1,FALSE)+0.02)),2.5)," ")</f>
        <v> </v>
      </c>
      <c r="P201" s="112" t="str">
        <f>iferror(mround(I201/VLOOKUP(L201,Sheet1!$D$7:$N$16,G201+1,FALSE),2.5),"")</f>
        <v/>
      </c>
      <c r="Q201" s="303" t="str">
        <f t="shared" si="2"/>
        <v/>
      </c>
      <c r="R201" s="214"/>
      <c r="S201" s="11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</row>
    <row r="202" ht="3.75" customHeight="1">
      <c r="A202" s="90"/>
      <c r="B202" s="6"/>
      <c r="C202" s="90"/>
      <c r="D202" s="90"/>
      <c r="E202" s="156"/>
      <c r="F202" s="102"/>
      <c r="G202" s="102"/>
      <c r="H202" s="102"/>
      <c r="I202" s="102"/>
      <c r="J202" s="156"/>
      <c r="K202" s="222"/>
      <c r="L202" s="201"/>
      <c r="M202" s="211"/>
      <c r="N202" s="47"/>
      <c r="O202" s="47"/>
      <c r="P202" s="122"/>
      <c r="Q202" s="304" t="str">
        <f t="shared" si="2"/>
        <v/>
      </c>
      <c r="R202" s="214"/>
      <c r="S202" s="11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</row>
    <row r="203" ht="30.75" customHeight="1">
      <c r="A203" s="90"/>
      <c r="B203" s="6"/>
      <c r="C203" s="90"/>
      <c r="D203" s="202" t="s">
        <v>49</v>
      </c>
      <c r="E203" s="105" t="s">
        <v>15</v>
      </c>
      <c r="F203" s="106" t="s">
        <v>16</v>
      </c>
      <c r="G203" s="106" t="s">
        <v>17</v>
      </c>
      <c r="H203" s="107"/>
      <c r="I203" s="106" t="s">
        <v>18</v>
      </c>
      <c r="J203" s="108" t="s">
        <v>19</v>
      </c>
      <c r="L203" s="109" t="s">
        <v>20</v>
      </c>
      <c r="M203" s="110" t="s">
        <v>21</v>
      </c>
      <c r="N203" s="111" t="s">
        <v>22</v>
      </c>
      <c r="P203" s="112"/>
      <c r="Q203" s="113" t="s">
        <v>23</v>
      </c>
      <c r="R203" s="114" t="s">
        <v>50</v>
      </c>
      <c r="S203" s="11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</row>
    <row r="204" ht="14.25" customHeight="1">
      <c r="A204" s="90"/>
      <c r="B204" s="6"/>
      <c r="C204" s="90"/>
      <c r="D204" s="116" t="s">
        <v>25</v>
      </c>
      <c r="E204" s="117" t="s">
        <v>26</v>
      </c>
      <c r="H204" s="107"/>
      <c r="N204" s="111" t="s">
        <v>27</v>
      </c>
      <c r="O204" s="111" t="s">
        <v>28</v>
      </c>
      <c r="P204" s="112" t="s">
        <v>29</v>
      </c>
      <c r="R204" s="118" t="s">
        <v>30</v>
      </c>
      <c r="S204" s="11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</row>
    <row r="205" ht="3.75" customHeight="1">
      <c r="A205" s="191"/>
      <c r="B205" s="6"/>
      <c r="C205" s="192"/>
      <c r="D205" s="203"/>
      <c r="E205" s="203"/>
      <c r="F205" s="205"/>
      <c r="G205" s="205"/>
      <c r="H205" s="205"/>
      <c r="I205" s="225"/>
      <c r="J205" s="226"/>
      <c r="K205" s="209"/>
      <c r="L205" s="210"/>
      <c r="M205" s="211"/>
      <c r="N205" s="47"/>
      <c r="O205" s="47"/>
      <c r="P205" s="122"/>
      <c r="Q205" s="304" t="str">
        <f t="shared" ref="Q205:Q225" si="3">IF(OR(ISBLANK(I205), ISBLANK(I70)), "", IF(I205 - I70 = 0, "", I205 - I70))</f>
        <v/>
      </c>
      <c r="R205" s="212"/>
      <c r="S205" s="157"/>
      <c r="T205" s="5"/>
      <c r="U205" s="5"/>
      <c r="V205" s="158"/>
      <c r="W205" s="158"/>
      <c r="X205" s="158"/>
      <c r="Y205" s="158"/>
      <c r="Z205" s="158"/>
      <c r="AA205" s="158"/>
      <c r="AB205" s="158"/>
      <c r="AC205" s="158"/>
      <c r="AD205" s="158"/>
      <c r="AE205" s="158"/>
      <c r="AF205" s="158"/>
      <c r="AG205" s="158"/>
    </row>
    <row r="206" ht="15.75" customHeight="1">
      <c r="A206" s="124"/>
      <c r="B206" s="6"/>
      <c r="C206" s="124"/>
      <c r="D206" s="125" t="s">
        <v>90</v>
      </c>
      <c r="E206" s="126"/>
      <c r="F206" s="127">
        <v>1.0</v>
      </c>
      <c r="G206" s="240">
        <v>4.0</v>
      </c>
      <c r="H206" s="129"/>
      <c r="I206" s="130"/>
      <c r="J206" s="151">
        <v>7.0</v>
      </c>
      <c r="K206" s="213"/>
      <c r="L206" s="133"/>
      <c r="M206" s="134">
        <f>I71</f>
        <v>390</v>
      </c>
      <c r="N206" s="135">
        <f>iferror(mround($P71*((VLOOKUP($J206,Sheet1!$D:$N,$G206+1,FALSE)-0.03)),2.5)," ")</f>
        <v>387.5</v>
      </c>
      <c r="O206" s="135">
        <f>iferror(mround($P71*((VLOOKUP($J206,Sheet1!$D:$N,$G206+1,FALSE)+0.02)),2.5)," ")</f>
        <v>410</v>
      </c>
      <c r="P206" s="112" t="str">
        <f>iferror(mround(I206/VLOOKUP(L206,Sheet1!$D$7:$N$16,G206+1,FALSE),2.5),"")</f>
        <v/>
      </c>
      <c r="Q206" s="303" t="str">
        <f t="shared" si="3"/>
        <v/>
      </c>
      <c r="R206" s="214"/>
      <c r="S206" s="11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</row>
    <row r="207" ht="3.75" customHeight="1">
      <c r="A207" s="124"/>
      <c r="B207" s="6"/>
      <c r="C207" s="124"/>
      <c r="D207" s="138"/>
      <c r="E207" s="139"/>
      <c r="F207" s="140"/>
      <c r="G207" s="140"/>
      <c r="H207" s="140"/>
      <c r="I207" s="140"/>
      <c r="J207" s="141"/>
      <c r="K207" s="217"/>
      <c r="L207" s="218"/>
      <c r="M207" s="144"/>
      <c r="N207" s="145"/>
      <c r="O207" s="145"/>
      <c r="P207" s="122"/>
      <c r="Q207" s="304" t="str">
        <f t="shared" si="3"/>
        <v/>
      </c>
      <c r="R207" s="214"/>
      <c r="S207" s="11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</row>
    <row r="208" ht="15.75" customHeight="1">
      <c r="A208" s="90"/>
      <c r="B208" s="6"/>
      <c r="C208" s="90"/>
      <c r="D208" s="125" t="s">
        <v>77</v>
      </c>
      <c r="E208" s="126"/>
      <c r="F208" s="127">
        <v>3.0</v>
      </c>
      <c r="G208" s="240">
        <v>4.0</v>
      </c>
      <c r="H208" s="129"/>
      <c r="I208" s="164">
        <f>MROUND(I206*(1+J208),5)</f>
        <v>0</v>
      </c>
      <c r="J208" s="165">
        <v>-0.12</v>
      </c>
      <c r="K208" s="213"/>
      <c r="L208" s="133"/>
      <c r="M208" s="134">
        <f>I73</f>
        <v>345</v>
      </c>
      <c r="N208" s="135" t="str">
        <f>iferror(mround($P73*((VLOOKUP($J208,Sheet1!$D:$N,$G208+1,FALSE)-0.03)),2.5)," ")</f>
        <v> </v>
      </c>
      <c r="O208" s="135" t="str">
        <f>iferror(mround($P73*((VLOOKUP($J208,Sheet1!$D:$N,$G208+1,FALSE)+0.02)),2.5)," ")</f>
        <v> </v>
      </c>
      <c r="P208" s="112" t="str">
        <f>iferror(mround(I208/VLOOKUP(L208,Sheet1!$D$7:$N$16,G208+1,FALSE),2.5),"")</f>
        <v/>
      </c>
      <c r="Q208" s="303">
        <f t="shared" si="3"/>
        <v>-345</v>
      </c>
      <c r="R208" s="214"/>
      <c r="S208" s="11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</row>
    <row r="209" ht="3.75" customHeight="1">
      <c r="A209" s="90"/>
      <c r="B209" s="6"/>
      <c r="C209" s="90"/>
      <c r="D209" s="138"/>
      <c r="E209" s="215"/>
      <c r="F209" s="102"/>
      <c r="G209" s="102"/>
      <c r="H209" s="102"/>
      <c r="I209" s="102"/>
      <c r="J209" s="156"/>
      <c r="K209" s="217"/>
      <c r="L209" s="218"/>
      <c r="M209" s="144"/>
      <c r="N209" s="145"/>
      <c r="O209" s="145"/>
      <c r="P209" s="122"/>
      <c r="Q209" s="304" t="str">
        <f t="shared" si="3"/>
        <v/>
      </c>
      <c r="R209" s="214"/>
      <c r="S209" s="11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</row>
    <row r="210" ht="15.75" customHeight="1">
      <c r="A210" s="90"/>
      <c r="B210" s="6"/>
      <c r="C210" s="90"/>
      <c r="D210" s="159" t="s">
        <v>33</v>
      </c>
      <c r="E210" s="160" t="s">
        <v>34</v>
      </c>
      <c r="F210" s="127">
        <v>3.0</v>
      </c>
      <c r="G210" s="161">
        <v>2.0</v>
      </c>
      <c r="H210" s="129"/>
      <c r="I210" s="130"/>
      <c r="J210" s="151">
        <v>7.0</v>
      </c>
      <c r="K210" s="219" t="s">
        <v>91</v>
      </c>
      <c r="L210" s="133"/>
      <c r="M210" s="134">
        <f>I75</f>
        <v>265</v>
      </c>
      <c r="N210" s="135">
        <f>iferror(mround($P75*((VLOOKUP($J210,Sheet1!$D:$N,$G210+1,FALSE)-0.03)),2.5)," ")</f>
        <v>257.5</v>
      </c>
      <c r="O210" s="135">
        <f>iferror(mround($P75*((VLOOKUP($J210,Sheet1!$D:$N,$G210+1,FALSE)+0.02)),2.5)," ")</f>
        <v>272.5</v>
      </c>
      <c r="P210" s="112" t="str">
        <f>iferror(mround(I210/VLOOKUP(L210,Sheet1!$D$7:$N$16,G210+1,FALSE),2.5),"")</f>
        <v/>
      </c>
      <c r="Q210" s="303" t="str">
        <f t="shared" si="3"/>
        <v/>
      </c>
      <c r="R210" s="214"/>
      <c r="S210" s="11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</row>
    <row r="211" ht="3.75" customHeight="1">
      <c r="A211" s="90"/>
      <c r="B211" s="6"/>
      <c r="C211" s="90"/>
      <c r="D211" s="138"/>
      <c r="E211" s="154"/>
      <c r="F211" s="155"/>
      <c r="G211" s="102"/>
      <c r="H211" s="102"/>
      <c r="I211" s="102"/>
      <c r="J211" s="156"/>
      <c r="K211" s="217"/>
      <c r="L211" s="218"/>
      <c r="M211" s="144"/>
      <c r="N211" s="145"/>
      <c r="O211" s="145"/>
      <c r="P211" s="122"/>
      <c r="Q211" s="304" t="str">
        <f t="shared" si="3"/>
        <v/>
      </c>
      <c r="R211" s="214"/>
      <c r="S211" s="11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</row>
    <row r="212" ht="15.75" customHeight="1">
      <c r="A212" s="90"/>
      <c r="B212" s="6"/>
      <c r="C212" s="90"/>
      <c r="D212" s="159" t="s">
        <v>45</v>
      </c>
      <c r="E212" s="220"/>
      <c r="F212" s="127">
        <v>3.0</v>
      </c>
      <c r="G212" s="127" t="s">
        <v>41</v>
      </c>
      <c r="H212" s="195"/>
      <c r="I212" s="164"/>
      <c r="J212" s="151">
        <v>8.0</v>
      </c>
      <c r="K212" s="213"/>
      <c r="L212" s="183"/>
      <c r="M212" s="134" t="str">
        <f>I77</f>
        <v>BW</v>
      </c>
      <c r="N212" s="135" t="str">
        <f>iferror(mround($P77*((VLOOKUP($J212,Sheet1!$D:$N,$G212+1,FALSE)-0.03)),2.5)," ")</f>
        <v> </v>
      </c>
      <c r="O212" s="135" t="str">
        <f>iferror(mround($P77*((VLOOKUP($J212,Sheet1!$D:$N,$G212+1,FALSE)+0.02)),2.5)," ")</f>
        <v> </v>
      </c>
      <c r="P212" s="112" t="str">
        <f>iferror(mround(I212/VLOOKUP(L212,Sheet1!$D$7:$N$16,G212+1,FALSE),2.5),"")</f>
        <v/>
      </c>
      <c r="Q212" s="303" t="str">
        <f t="shared" si="3"/>
        <v/>
      </c>
      <c r="R212" s="214"/>
      <c r="S212" s="11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</row>
    <row r="213" ht="3.75" customHeight="1">
      <c r="A213" s="90"/>
      <c r="B213" s="6"/>
      <c r="C213" s="90"/>
      <c r="D213" s="138"/>
      <c r="E213" s="215"/>
      <c r="F213" s="102"/>
      <c r="G213" s="102"/>
      <c r="H213" s="102"/>
      <c r="I213" s="102"/>
      <c r="J213" s="156"/>
      <c r="K213" s="217"/>
      <c r="L213" s="218"/>
      <c r="M213" s="144"/>
      <c r="N213" s="145"/>
      <c r="O213" s="145"/>
      <c r="P213" s="122"/>
      <c r="Q213" s="304" t="str">
        <f t="shared" si="3"/>
        <v/>
      </c>
      <c r="R213" s="214"/>
      <c r="S213" s="11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</row>
    <row r="214" ht="15.75" customHeight="1">
      <c r="A214" s="90"/>
      <c r="B214" s="6"/>
      <c r="C214" s="90"/>
      <c r="D214" s="159" t="s">
        <v>94</v>
      </c>
      <c r="E214" s="220"/>
      <c r="F214" s="127">
        <v>3.0</v>
      </c>
      <c r="G214" s="221">
        <v>45641.0</v>
      </c>
      <c r="H214" s="195"/>
      <c r="I214" s="130"/>
      <c r="J214" s="151">
        <v>9.0</v>
      </c>
      <c r="K214" s="213"/>
      <c r="L214" s="133"/>
      <c r="M214" s="134">
        <f>I79</f>
        <v>20</v>
      </c>
      <c r="N214" s="135" t="str">
        <f>iferror(mround($P79*((VLOOKUP($J214,Sheet1!$D:$N,$G214+1,FALSE)-0.03)),2.5)," ")</f>
        <v> </v>
      </c>
      <c r="O214" s="135" t="str">
        <f>iferror(mround($P79*((VLOOKUP($J214,Sheet1!$D:$N,$G214+1,FALSE)+0.02)),2.5)," ")</f>
        <v> </v>
      </c>
      <c r="P214" s="112" t="str">
        <f>iferror(mround(I214/VLOOKUP(L214,Sheet1!$D$7:$N$16,G214+1,FALSE),2.5),"")</f>
        <v/>
      </c>
      <c r="Q214" s="303" t="str">
        <f t="shared" si="3"/>
        <v/>
      </c>
      <c r="R214" s="214"/>
      <c r="S214" s="11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</row>
    <row r="215" ht="3.75" customHeight="1">
      <c r="A215" s="90"/>
      <c r="B215" s="6"/>
      <c r="C215" s="90"/>
      <c r="D215" s="138"/>
      <c r="E215" s="215"/>
      <c r="F215" s="102"/>
      <c r="G215" s="102"/>
      <c r="H215" s="102"/>
      <c r="I215" s="102"/>
      <c r="J215" s="156"/>
      <c r="K215" s="222"/>
      <c r="L215" s="218"/>
      <c r="M215" s="144"/>
      <c r="N215" s="145"/>
      <c r="O215" s="145"/>
      <c r="P215" s="122"/>
      <c r="Q215" s="304" t="str">
        <f t="shared" si="3"/>
        <v/>
      </c>
      <c r="R215" s="214"/>
      <c r="S215" s="11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</row>
    <row r="216" ht="15.75" hidden="1" customHeight="1">
      <c r="A216" s="90"/>
      <c r="B216" s="6"/>
      <c r="C216" s="90"/>
      <c r="D216" s="185"/>
      <c r="E216" s="220"/>
      <c r="F216" s="187"/>
      <c r="G216" s="229"/>
      <c r="H216" s="195"/>
      <c r="I216" s="164"/>
      <c r="J216" s="189"/>
      <c r="K216" s="190"/>
      <c r="L216" s="183"/>
      <c r="M216" s="134" t="str">
        <f>I81</f>
        <v/>
      </c>
      <c r="N216" s="135" t="str">
        <f>iferror(mround($P81*((VLOOKUP($J216,Sheet1!$D:$N,$G216+1,FALSE)-0.03)),2.5)," ")</f>
        <v> </v>
      </c>
      <c r="O216" s="135" t="str">
        <f>iferror(mround($P81*((VLOOKUP($J216,Sheet1!$D:$N,$G216+1,FALSE)+0.02)),2.5)," ")</f>
        <v> </v>
      </c>
      <c r="P216" s="112" t="str">
        <f>iferror(mround(I216/VLOOKUP(L216,Sheet1!$D$7:$N$16,G216+1,FALSE),2.5),"")</f>
        <v/>
      </c>
      <c r="Q216" s="303" t="str">
        <f t="shared" si="3"/>
        <v/>
      </c>
      <c r="R216" s="214"/>
      <c r="S216" s="11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</row>
    <row r="217" ht="3.75" hidden="1" customHeight="1">
      <c r="A217" s="90"/>
      <c r="B217" s="6"/>
      <c r="C217" s="90"/>
      <c r="D217" s="138"/>
      <c r="E217" s="215"/>
      <c r="F217" s="102"/>
      <c r="G217" s="102"/>
      <c r="H217" s="102"/>
      <c r="I217" s="102"/>
      <c r="J217" s="216"/>
      <c r="K217" s="222"/>
      <c r="L217" s="218"/>
      <c r="M217" s="144"/>
      <c r="N217" s="145"/>
      <c r="O217" s="145"/>
      <c r="P217" s="122"/>
      <c r="Q217" s="304" t="str">
        <f t="shared" si="3"/>
        <v/>
      </c>
      <c r="R217" s="214"/>
      <c r="S217" s="11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</row>
    <row r="218" ht="15.75" hidden="1" customHeight="1">
      <c r="A218" s="90"/>
      <c r="B218" s="6"/>
      <c r="C218" s="90"/>
      <c r="D218" s="185"/>
      <c r="E218" s="220"/>
      <c r="F218" s="187"/>
      <c r="G218" s="229"/>
      <c r="H218" s="195"/>
      <c r="I218" s="164"/>
      <c r="J218" s="189"/>
      <c r="K218" s="190"/>
      <c r="L218" s="183"/>
      <c r="M218" s="134" t="str">
        <f>I83</f>
        <v/>
      </c>
      <c r="N218" s="135" t="str">
        <f>iferror(mround($P83*((VLOOKUP($J218,Sheet1!$D:$N,$G218+1,FALSE)-0.03)),2.5)," ")</f>
        <v> </v>
      </c>
      <c r="O218" s="135" t="str">
        <f>iferror(mround($P83*((VLOOKUP($J218,Sheet1!$D:$N,$G218+1,FALSE)+0.02)),2.5)," ")</f>
        <v> </v>
      </c>
      <c r="P218" s="112" t="str">
        <f>iferror(mround(I218/VLOOKUP(L218,Sheet1!$D$7:$N$16,G218+1,FALSE),2.5),"")</f>
        <v/>
      </c>
      <c r="Q218" s="303" t="str">
        <f t="shared" si="3"/>
        <v/>
      </c>
      <c r="R218" s="214"/>
      <c r="S218" s="11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</row>
    <row r="219" ht="3.75" hidden="1" customHeight="1">
      <c r="A219" s="191"/>
      <c r="B219" s="6"/>
      <c r="C219" s="192"/>
      <c r="D219" s="138"/>
      <c r="E219" s="184"/>
      <c r="F219" s="102"/>
      <c r="G219" s="102"/>
      <c r="H219" s="102"/>
      <c r="I219" s="102"/>
      <c r="J219" s="156"/>
      <c r="K219" s="222"/>
      <c r="L219" s="218"/>
      <c r="M219" s="144"/>
      <c r="N219" s="145"/>
      <c r="O219" s="145"/>
      <c r="P219" s="122"/>
      <c r="Q219" s="304" t="str">
        <f t="shared" si="3"/>
        <v/>
      </c>
      <c r="R219" s="214"/>
      <c r="S219" s="157"/>
      <c r="T219" s="5"/>
      <c r="U219" s="5"/>
      <c r="V219" s="158"/>
      <c r="W219" s="158"/>
      <c r="X219" s="158"/>
      <c r="Y219" s="158"/>
      <c r="Z219" s="158"/>
      <c r="AA219" s="158"/>
      <c r="AB219" s="158"/>
      <c r="AC219" s="158"/>
      <c r="AD219" s="158"/>
      <c r="AE219" s="158"/>
      <c r="AF219" s="158"/>
      <c r="AG219" s="158"/>
    </row>
    <row r="220" ht="15.75" hidden="1" customHeight="1">
      <c r="A220" s="90"/>
      <c r="B220" s="6"/>
      <c r="C220" s="90"/>
      <c r="D220" s="185"/>
      <c r="E220" s="224"/>
      <c r="F220" s="187"/>
      <c r="G220" s="187"/>
      <c r="H220" s="195"/>
      <c r="I220" s="164"/>
      <c r="J220" s="230"/>
      <c r="K220" s="190"/>
      <c r="L220" s="183"/>
      <c r="M220" s="134" t="str">
        <f>I85</f>
        <v/>
      </c>
      <c r="N220" s="135" t="str">
        <f>iferror(mround($P85*((VLOOKUP($J220,Sheet1!$D:$N,$G220+1,FALSE)-0.03)),2.5)," ")</f>
        <v> </v>
      </c>
      <c r="O220" s="135" t="str">
        <f>iferror(mround($P85*((VLOOKUP($J220,Sheet1!$D:$N,$G220+1,FALSE)+0.02)),2.5)," ")</f>
        <v> </v>
      </c>
      <c r="P220" s="112" t="str">
        <f>iferror(mround(I220/VLOOKUP(L220,Sheet1!$D$7:$N$16,G220+1,FALSE),2.5),"")</f>
        <v/>
      </c>
      <c r="Q220" s="303" t="str">
        <f t="shared" si="3"/>
        <v/>
      </c>
      <c r="R220" s="214"/>
      <c r="S220" s="11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</row>
    <row r="221" ht="3.75" hidden="1" customHeight="1">
      <c r="A221" s="90"/>
      <c r="B221" s="6"/>
      <c r="C221" s="90"/>
      <c r="D221" s="138"/>
      <c r="E221" s="184"/>
      <c r="F221" s="102"/>
      <c r="G221" s="102"/>
      <c r="H221" s="102"/>
      <c r="I221" s="102"/>
      <c r="J221" s="156"/>
      <c r="K221" s="222"/>
      <c r="L221" s="218"/>
      <c r="M221" s="144"/>
      <c r="N221" s="145"/>
      <c r="O221" s="145"/>
      <c r="P221" s="122"/>
      <c r="Q221" s="304" t="str">
        <f t="shared" si="3"/>
        <v/>
      </c>
      <c r="R221" s="214"/>
      <c r="S221" s="11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</row>
    <row r="222" ht="15.75" hidden="1" customHeight="1">
      <c r="A222" s="90"/>
      <c r="B222" s="6"/>
      <c r="C222" s="90"/>
      <c r="D222" s="231"/>
      <c r="E222" s="232"/>
      <c r="F222" s="187"/>
      <c r="G222" s="187"/>
      <c r="H222" s="195"/>
      <c r="I222" s="164"/>
      <c r="J222" s="230"/>
      <c r="K222" s="190"/>
      <c r="L222" s="183"/>
      <c r="M222" s="134" t="str">
        <f>I87</f>
        <v/>
      </c>
      <c r="N222" s="135" t="str">
        <f>iferror(mround($P87*((VLOOKUP($J222,Sheet1!$D:$N,$G222+1,FALSE)-0.03)),2.5)," ")</f>
        <v> </v>
      </c>
      <c r="O222" s="135" t="str">
        <f>iferror(mround($P87*((VLOOKUP($J222,Sheet1!$D:$N,$G222+1,FALSE)+0.02)),2.5)," ")</f>
        <v> </v>
      </c>
      <c r="P222" s="112" t="str">
        <f>iferror(mround(I222/VLOOKUP(L222,Sheet1!$D$7:$N$16,G222+1,FALSE),2.5),"")</f>
        <v/>
      </c>
      <c r="Q222" s="303" t="str">
        <f t="shared" si="3"/>
        <v/>
      </c>
      <c r="R222" s="214"/>
      <c r="S222" s="11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</row>
    <row r="223" ht="3.75" hidden="1" customHeight="1">
      <c r="A223" s="191"/>
      <c r="B223" s="6"/>
      <c r="C223" s="233"/>
      <c r="D223" s="234"/>
      <c r="E223" s="235"/>
      <c r="F223" s="236"/>
      <c r="G223" s="194"/>
      <c r="H223" s="155"/>
      <c r="I223" s="210"/>
      <c r="J223" s="216"/>
      <c r="K223" s="222"/>
      <c r="L223" s="218"/>
      <c r="M223" s="144"/>
      <c r="N223" s="145"/>
      <c r="O223" s="145"/>
      <c r="P223" s="122"/>
      <c r="Q223" s="304" t="str">
        <f t="shared" si="3"/>
        <v/>
      </c>
      <c r="R223" s="214"/>
      <c r="S223" s="157"/>
      <c r="T223" s="5"/>
      <c r="U223" s="5"/>
      <c r="V223" s="158"/>
      <c r="W223" s="158"/>
      <c r="X223" s="158"/>
      <c r="Y223" s="158"/>
      <c r="Z223" s="158"/>
      <c r="AA223" s="158"/>
      <c r="AB223" s="158"/>
      <c r="AC223" s="158"/>
      <c r="AD223" s="158"/>
      <c r="AE223" s="158"/>
      <c r="AF223" s="158"/>
      <c r="AG223" s="158"/>
    </row>
    <row r="224" ht="15.75" hidden="1" customHeight="1">
      <c r="A224" s="90"/>
      <c r="B224" s="6"/>
      <c r="C224" s="90"/>
      <c r="D224" s="197"/>
      <c r="E224" s="198"/>
      <c r="F224" s="199"/>
      <c r="G224" s="187"/>
      <c r="H224" s="195"/>
      <c r="I224" s="164"/>
      <c r="J224" s="189"/>
      <c r="K224" s="190"/>
      <c r="L224" s="183"/>
      <c r="M224" s="134" t="str">
        <f>I89</f>
        <v/>
      </c>
      <c r="N224" s="135" t="str">
        <f>iferror(mround($P89*((VLOOKUP($J224,Sheet1!$D:$N,$G224+1,FALSE)-0.03)),2.5)," ")</f>
        <v> </v>
      </c>
      <c r="O224" s="135" t="str">
        <f>iferror(mround($P89*((VLOOKUP($J224,Sheet1!$D:$N,$G224+1,FALSE)+0.02)),2.5)," ")</f>
        <v> </v>
      </c>
      <c r="P224" s="112" t="str">
        <f>iferror(mround(I224/VLOOKUP(L224,Sheet1!$D$7:$N$16,G224+1,FALSE),2.5),"")</f>
        <v/>
      </c>
      <c r="Q224" s="303" t="str">
        <f t="shared" si="3"/>
        <v/>
      </c>
      <c r="R224" s="214"/>
      <c r="S224" s="11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</row>
    <row r="225" ht="3.75" customHeight="1">
      <c r="A225" s="90"/>
      <c r="B225" s="6"/>
      <c r="C225" s="90"/>
      <c r="D225" s="90"/>
      <c r="E225" s="156"/>
      <c r="F225" s="102"/>
      <c r="G225" s="102"/>
      <c r="H225" s="102"/>
      <c r="I225" s="102"/>
      <c r="J225" s="156"/>
      <c r="K225" s="200"/>
      <c r="L225" s="201"/>
      <c r="M225" s="211"/>
      <c r="N225" s="47"/>
      <c r="O225" s="47"/>
      <c r="P225" s="122"/>
      <c r="Q225" s="304" t="str">
        <f t="shared" si="3"/>
        <v/>
      </c>
      <c r="R225" s="214"/>
      <c r="S225" s="11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</row>
    <row r="226" ht="30.0" customHeight="1">
      <c r="A226" s="90"/>
      <c r="B226" s="6"/>
      <c r="C226" s="90"/>
      <c r="D226" s="202" t="s">
        <v>55</v>
      </c>
      <c r="E226" s="105" t="s">
        <v>15</v>
      </c>
      <c r="F226" s="106" t="s">
        <v>16</v>
      </c>
      <c r="G226" s="106" t="s">
        <v>17</v>
      </c>
      <c r="H226" s="107"/>
      <c r="I226" s="106" t="s">
        <v>18</v>
      </c>
      <c r="J226" s="108" t="s">
        <v>19</v>
      </c>
      <c r="L226" s="109" t="s">
        <v>20</v>
      </c>
      <c r="M226" s="110" t="s">
        <v>21</v>
      </c>
      <c r="N226" s="111" t="s">
        <v>22</v>
      </c>
      <c r="P226" s="112"/>
      <c r="Q226" s="113" t="s">
        <v>23</v>
      </c>
      <c r="R226" s="114" t="s">
        <v>56</v>
      </c>
      <c r="S226" s="11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</row>
    <row r="227" ht="14.25" customHeight="1">
      <c r="A227" s="90"/>
      <c r="B227" s="6"/>
      <c r="C227" s="90"/>
      <c r="D227" s="116" t="s">
        <v>25</v>
      </c>
      <c r="E227" s="117" t="s">
        <v>26</v>
      </c>
      <c r="H227" s="107"/>
      <c r="N227" s="111" t="s">
        <v>27</v>
      </c>
      <c r="O227" s="111" t="s">
        <v>28</v>
      </c>
      <c r="P227" s="112" t="s">
        <v>29</v>
      </c>
      <c r="R227" s="118" t="s">
        <v>30</v>
      </c>
      <c r="S227" s="11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</row>
    <row r="228" ht="3.75" customHeight="1">
      <c r="A228" s="191"/>
      <c r="B228" s="6"/>
      <c r="C228" s="192"/>
      <c r="D228" s="203"/>
      <c r="E228" s="204"/>
      <c r="F228" s="205"/>
      <c r="G228" s="205"/>
      <c r="H228" s="205"/>
      <c r="I228" s="225"/>
      <c r="J228" s="237"/>
      <c r="K228" s="209"/>
      <c r="L228" s="238"/>
      <c r="M228" s="211"/>
      <c r="N228" s="47"/>
      <c r="O228" s="47"/>
      <c r="P228" s="122"/>
      <c r="Q228" s="304" t="str">
        <f t="shared" ref="Q228:Q248" si="4">IF(OR(ISBLANK(I228), ISBLANK(I93)), "", IF(I228 - I93 = 0, "", I228 - I93))</f>
        <v/>
      </c>
      <c r="R228" s="239"/>
      <c r="S228" s="157"/>
      <c r="T228" s="5"/>
      <c r="U228" s="5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</row>
    <row r="229" ht="15.75" customHeight="1">
      <c r="A229" s="124"/>
      <c r="B229" s="6"/>
      <c r="C229" s="124"/>
      <c r="D229" s="125" t="s">
        <v>97</v>
      </c>
      <c r="E229" s="126"/>
      <c r="F229" s="127">
        <v>1.0</v>
      </c>
      <c r="G229" s="240">
        <v>4.0</v>
      </c>
      <c r="H229" s="129"/>
      <c r="I229" s="130"/>
      <c r="J229" s="151">
        <v>6.5</v>
      </c>
      <c r="K229" s="241"/>
      <c r="L229" s="130"/>
      <c r="M229" s="134">
        <f>I94</f>
        <v>452</v>
      </c>
      <c r="N229" s="135">
        <f>iferror(mround($P94*((VLOOKUP($J229,Sheet1!$D:$N,$G229+1,FALSE)-0.03)),2.5)," ")</f>
        <v>442.5</v>
      </c>
      <c r="O229" s="135">
        <f>iferror(mround($P94*((VLOOKUP($J229,Sheet1!$D:$N,$G229+1,FALSE)+0.02)),2.5)," ")</f>
        <v>470</v>
      </c>
      <c r="P229" s="112" t="str">
        <f>iferror(mround(I229/VLOOKUP(L229,Sheet1!$D$7:$N$16,G229+1,FALSE),2.5),"")</f>
        <v/>
      </c>
      <c r="Q229" s="303" t="str">
        <f t="shared" si="4"/>
        <v/>
      </c>
      <c r="R229" s="242"/>
      <c r="S229" s="11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</row>
    <row r="230" ht="3.75" customHeight="1">
      <c r="A230" s="124"/>
      <c r="B230" s="6"/>
      <c r="C230" s="124"/>
      <c r="D230" s="138"/>
      <c r="E230" s="139"/>
      <c r="F230" s="140"/>
      <c r="G230" s="140"/>
      <c r="H230" s="140"/>
      <c r="I230" s="140"/>
      <c r="J230" s="141"/>
      <c r="K230" s="243"/>
      <c r="L230" s="210"/>
      <c r="M230" s="144"/>
      <c r="N230" s="145"/>
      <c r="O230" s="145"/>
      <c r="P230" s="122"/>
      <c r="Q230" s="304" t="str">
        <f t="shared" si="4"/>
        <v/>
      </c>
      <c r="R230" s="242"/>
      <c r="S230" s="11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</row>
    <row r="231" ht="15.0" customHeight="1">
      <c r="A231" s="124"/>
      <c r="B231" s="6"/>
      <c r="C231" s="124"/>
      <c r="D231" s="125" t="s">
        <v>97</v>
      </c>
      <c r="E231" s="126"/>
      <c r="F231" s="127">
        <v>3.0</v>
      </c>
      <c r="G231" s="240">
        <v>4.0</v>
      </c>
      <c r="H231" s="129"/>
      <c r="I231" s="164">
        <f>MROUND(I229*(1+J231),5)</f>
        <v>0</v>
      </c>
      <c r="J231" s="165">
        <v>-0.12</v>
      </c>
      <c r="K231" s="241"/>
      <c r="L231" s="130"/>
      <c r="M231" s="134">
        <f>I96</f>
        <v>400</v>
      </c>
      <c r="N231" s="135" t="str">
        <f>iferror(mround($P96*((VLOOKUP($J231,Sheet1!$D:$N,$G231+1,FALSE)-0.03)),2.5)," ")</f>
        <v> </v>
      </c>
      <c r="O231" s="135" t="str">
        <f>iferror(mround($P96*((VLOOKUP($J231,Sheet1!$D:$N,$G231+1,FALSE)+0.02)),2.5)," ")</f>
        <v> </v>
      </c>
      <c r="P231" s="112" t="str">
        <f>iferror(mround(I231/VLOOKUP(L231,Sheet1!$D$7:$N$16,G231+1,FALSE),2.5),"")</f>
        <v/>
      </c>
      <c r="Q231" s="303">
        <f t="shared" si="4"/>
        <v>-400</v>
      </c>
      <c r="R231" s="242"/>
      <c r="S231" s="11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</row>
    <row r="232" ht="3.75" customHeight="1">
      <c r="A232" s="124"/>
      <c r="B232" s="6"/>
      <c r="C232" s="124"/>
      <c r="D232" s="138"/>
      <c r="E232" s="215"/>
      <c r="F232" s="102"/>
      <c r="G232" s="102"/>
      <c r="H232" s="102"/>
      <c r="I232" s="102"/>
      <c r="J232" s="156"/>
      <c r="K232" s="243"/>
      <c r="L232" s="210"/>
      <c r="M232" s="144"/>
      <c r="N232" s="145"/>
      <c r="O232" s="145"/>
      <c r="P232" s="122"/>
      <c r="Q232" s="304" t="str">
        <f t="shared" si="4"/>
        <v/>
      </c>
      <c r="R232" s="242"/>
      <c r="S232" s="11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</row>
    <row r="233" ht="15.75" customHeight="1">
      <c r="A233" s="124"/>
      <c r="B233" s="6"/>
      <c r="C233" s="124"/>
      <c r="D233" s="159" t="s">
        <v>33</v>
      </c>
      <c r="E233" s="126"/>
      <c r="F233" s="127">
        <v>2.0</v>
      </c>
      <c r="G233" s="161">
        <v>1.0</v>
      </c>
      <c r="H233" s="129"/>
      <c r="I233" s="130"/>
      <c r="J233" s="151">
        <v>7.0</v>
      </c>
      <c r="K233" s="244" t="s">
        <v>98</v>
      </c>
      <c r="L233" s="130"/>
      <c r="M233" s="134">
        <f>I98</f>
        <v>315</v>
      </c>
      <c r="N233" s="135">
        <f>iferror(mround($P98*((VLOOKUP($J233,Sheet1!$D:$N,$G233+1,FALSE)-0.03)),2.5)," ")</f>
        <v>310</v>
      </c>
      <c r="O233" s="135">
        <f>iferror(mround($P98*((VLOOKUP($J233,Sheet1!$D:$N,$G233+1,FALSE)+0.02)),2.5)," ")</f>
        <v>327.5</v>
      </c>
      <c r="P233" s="112" t="str">
        <f>iferror(mround(I233/VLOOKUP(L233,Sheet1!$D$7:$N$16,G233+1,FALSE),2.5),"")</f>
        <v/>
      </c>
      <c r="Q233" s="303" t="str">
        <f t="shared" si="4"/>
        <v/>
      </c>
      <c r="R233" s="242"/>
      <c r="S233" s="11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</row>
    <row r="234" ht="3.75" customHeight="1">
      <c r="A234" s="124"/>
      <c r="B234" s="6"/>
      <c r="C234" s="124"/>
      <c r="D234" s="138"/>
      <c r="E234" s="154"/>
      <c r="F234" s="155"/>
      <c r="G234" s="102"/>
      <c r="H234" s="102"/>
      <c r="I234" s="102"/>
      <c r="J234" s="156"/>
      <c r="K234" s="243"/>
      <c r="L234" s="210"/>
      <c r="M234" s="144"/>
      <c r="N234" s="145"/>
      <c r="O234" s="145"/>
      <c r="P234" s="122"/>
      <c r="Q234" s="304" t="str">
        <f t="shared" si="4"/>
        <v/>
      </c>
      <c r="R234" s="242"/>
      <c r="S234" s="11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</row>
    <row r="235" ht="15.75" customHeight="1">
      <c r="A235" s="124"/>
      <c r="B235" s="6"/>
      <c r="C235" s="124"/>
      <c r="D235" s="159" t="s">
        <v>33</v>
      </c>
      <c r="E235" s="126"/>
      <c r="F235" s="127">
        <v>4.0</v>
      </c>
      <c r="G235" s="161">
        <v>4.0</v>
      </c>
      <c r="H235" s="129"/>
      <c r="I235" s="130"/>
      <c r="J235" s="151">
        <v>6.5</v>
      </c>
      <c r="K235" s="241" t="s">
        <v>91</v>
      </c>
      <c r="L235" s="130"/>
      <c r="M235" s="134">
        <f>I100</f>
        <v>265</v>
      </c>
      <c r="N235" s="135">
        <f>iferror(mround($P100*((VLOOKUP($J235,Sheet1!$D:$N,$G235+1,FALSE)-0.03)),2.5)," ")</f>
        <v>0</v>
      </c>
      <c r="O235" s="135">
        <f>iferror(mround($P100*((VLOOKUP($J235,Sheet1!$D:$N,$G235+1,FALSE)+0.02)),2.5)," ")</f>
        <v>0</v>
      </c>
      <c r="P235" s="112" t="str">
        <f>iferror(mround(I235/VLOOKUP(L235,Sheet1!$D$7:$N$16,G235+1,FALSE),2.5),"")</f>
        <v/>
      </c>
      <c r="Q235" s="303" t="str">
        <f t="shared" si="4"/>
        <v/>
      </c>
      <c r="R235" s="242"/>
      <c r="S235" s="11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</row>
    <row r="236" ht="3.75" customHeight="1">
      <c r="A236" s="90"/>
      <c r="B236" s="6"/>
      <c r="C236" s="90"/>
      <c r="D236" s="138"/>
      <c r="E236" s="245"/>
      <c r="F236" s="102"/>
      <c r="G236" s="102"/>
      <c r="H236" s="102"/>
      <c r="I236" s="102"/>
      <c r="J236" s="156"/>
      <c r="K236" s="243"/>
      <c r="L236" s="210"/>
      <c r="M236" s="144"/>
      <c r="N236" s="145"/>
      <c r="O236" s="145"/>
      <c r="P236" s="122"/>
      <c r="Q236" s="304" t="str">
        <f t="shared" si="4"/>
        <v/>
      </c>
      <c r="R236" s="242"/>
      <c r="S236" s="11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</row>
    <row r="237" ht="15.75" customHeight="1">
      <c r="A237" s="90"/>
      <c r="B237" s="6"/>
      <c r="C237" s="90"/>
      <c r="D237" s="159" t="s">
        <v>54</v>
      </c>
      <c r="E237" s="227"/>
      <c r="F237" s="127">
        <v>3.0</v>
      </c>
      <c r="G237" s="221">
        <v>45577.0</v>
      </c>
      <c r="H237" s="195"/>
      <c r="I237" s="130"/>
      <c r="J237" s="228">
        <v>8.0</v>
      </c>
      <c r="K237" s="241"/>
      <c r="L237" s="130"/>
      <c r="M237" s="134" t="str">
        <f>I102</f>
        <v/>
      </c>
      <c r="N237" s="135" t="str">
        <f>iferror(mround($P102*((VLOOKUP($J237,Sheet1!$D:$N,$G237+1,FALSE)-0.03)),2.5)," ")</f>
        <v> </v>
      </c>
      <c r="O237" s="135" t="str">
        <f>iferror(mround($P102*((VLOOKUP($J237,Sheet1!$D:$N,$G237+1,FALSE)+0.02)),2.5)," ")</f>
        <v> </v>
      </c>
      <c r="P237" s="112" t="str">
        <f>iferror(mround(I237/VLOOKUP(L237,Sheet1!$D$7:$N$16,G237+1,FALSE),2.5),"")</f>
        <v/>
      </c>
      <c r="Q237" s="303" t="str">
        <f t="shared" si="4"/>
        <v/>
      </c>
      <c r="R237" s="242"/>
      <c r="S237" s="11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</row>
    <row r="238" ht="3.75" customHeight="1">
      <c r="A238" s="191"/>
      <c r="B238" s="6"/>
      <c r="C238" s="192"/>
      <c r="D238" s="138"/>
      <c r="E238" s="245"/>
      <c r="F238" s="102"/>
      <c r="G238" s="102"/>
      <c r="H238" s="102"/>
      <c r="I238" s="102"/>
      <c r="J238" s="156"/>
      <c r="K238" s="243"/>
      <c r="L238" s="210"/>
      <c r="M238" s="144"/>
      <c r="N238" s="145"/>
      <c r="O238" s="145"/>
      <c r="P238" s="122"/>
      <c r="Q238" s="304" t="str">
        <f t="shared" si="4"/>
        <v/>
      </c>
      <c r="R238" s="242"/>
      <c r="S238" s="157"/>
      <c r="T238" s="5"/>
      <c r="U238" s="5"/>
      <c r="V238" s="158"/>
      <c r="W238" s="158"/>
      <c r="X238" s="158"/>
      <c r="Y238" s="158"/>
      <c r="Z238" s="158"/>
      <c r="AA238" s="158"/>
      <c r="AB238" s="158"/>
      <c r="AC238" s="158"/>
      <c r="AD238" s="158"/>
      <c r="AE238" s="158"/>
      <c r="AF238" s="158"/>
      <c r="AG238" s="158"/>
    </row>
    <row r="239" ht="15.75" customHeight="1">
      <c r="A239" s="90"/>
      <c r="B239" s="6"/>
      <c r="C239" s="90"/>
      <c r="D239" s="159" t="s">
        <v>99</v>
      </c>
      <c r="E239" s="246" t="s">
        <v>100</v>
      </c>
      <c r="F239" s="127">
        <v>3.0</v>
      </c>
      <c r="G239" s="221">
        <v>45577.0</v>
      </c>
      <c r="H239" s="195"/>
      <c r="I239" s="130"/>
      <c r="J239" s="228">
        <v>9.0</v>
      </c>
      <c r="K239" s="241"/>
      <c r="L239" s="130"/>
      <c r="M239" s="134" t="str">
        <f>I104</f>
        <v/>
      </c>
      <c r="N239" s="135" t="str">
        <f>iferror(mround($P104*((VLOOKUP($J239,Sheet1!$D:$N,$G239+1,FALSE)-0.03)),2.5)," ")</f>
        <v> </v>
      </c>
      <c r="O239" s="135" t="str">
        <f>iferror(mround($P104*((VLOOKUP($J239,Sheet1!$D:$N,$G239+1,FALSE)+0.02)),2.5)," ")</f>
        <v> </v>
      </c>
      <c r="P239" s="112" t="str">
        <f>iferror(mround(I239/VLOOKUP(L239,Sheet1!$D$7:$N$16,G239+1,FALSE),2.5),"")</f>
        <v/>
      </c>
      <c r="Q239" s="303" t="str">
        <f t="shared" si="4"/>
        <v/>
      </c>
      <c r="R239" s="242"/>
      <c r="S239" s="11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</row>
    <row r="240" ht="3.75" customHeight="1">
      <c r="A240" s="90"/>
      <c r="B240" s="6"/>
      <c r="C240" s="90"/>
      <c r="D240" s="138"/>
      <c r="E240" s="245"/>
      <c r="F240" s="102"/>
      <c r="G240" s="102"/>
      <c r="H240" s="102"/>
      <c r="I240" s="102"/>
      <c r="J240" s="156"/>
      <c r="K240" s="243"/>
      <c r="L240" s="210"/>
      <c r="M240" s="144"/>
      <c r="N240" s="145"/>
      <c r="O240" s="145"/>
      <c r="P240" s="122"/>
      <c r="Q240" s="304" t="str">
        <f t="shared" si="4"/>
        <v/>
      </c>
      <c r="R240" s="242"/>
      <c r="S240" s="11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</row>
    <row r="241" ht="15.75" hidden="1" customHeight="1">
      <c r="A241" s="90"/>
      <c r="B241" s="6"/>
      <c r="C241" s="90"/>
      <c r="D241" s="185"/>
      <c r="E241" s="227"/>
      <c r="F241" s="187"/>
      <c r="G241" s="229"/>
      <c r="H241" s="195"/>
      <c r="I241" s="247"/>
      <c r="J241" s="248"/>
      <c r="K241" s="241"/>
      <c r="L241" s="164"/>
      <c r="M241" s="134" t="str">
        <f>I106</f>
        <v/>
      </c>
      <c r="N241" s="135" t="str">
        <f>iferror(mround($P106*((VLOOKUP($J241,Sheet1!$D:$N,$G241+1,FALSE)-0.03)),2.5)," ")</f>
        <v> </v>
      </c>
      <c r="O241" s="135" t="str">
        <f>iferror(mround($P106*((VLOOKUP($J241,Sheet1!$D:$N,$G241+1,FALSE)+0.02)),2.5)," ")</f>
        <v> </v>
      </c>
      <c r="P241" s="112" t="str">
        <f>iferror(mround(I241/VLOOKUP(L241,Sheet1!$D$7:$N$16,G241+1,FALSE),2.5),"")</f>
        <v/>
      </c>
      <c r="Q241" s="303" t="str">
        <f t="shared" si="4"/>
        <v/>
      </c>
      <c r="R241" s="242"/>
      <c r="S241" s="11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</row>
    <row r="242" ht="3.75" hidden="1" customHeight="1">
      <c r="A242" s="90"/>
      <c r="B242" s="6"/>
      <c r="C242" s="90"/>
      <c r="D242" s="138"/>
      <c r="E242" s="215"/>
      <c r="F242" s="102"/>
      <c r="G242" s="102"/>
      <c r="H242" s="102"/>
      <c r="I242" s="102"/>
      <c r="J242" s="156"/>
      <c r="K242" s="243"/>
      <c r="L242" s="210"/>
      <c r="M242" s="144"/>
      <c r="N242" s="145"/>
      <c r="O242" s="145"/>
      <c r="P242" s="122"/>
      <c r="Q242" s="304" t="str">
        <f t="shared" si="4"/>
        <v/>
      </c>
      <c r="R242" s="242"/>
      <c r="S242" s="11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</row>
    <row r="243" ht="15.75" hidden="1" customHeight="1">
      <c r="A243" s="90"/>
      <c r="B243" s="6"/>
      <c r="C243" s="90"/>
      <c r="D243" s="185"/>
      <c r="E243" s="220"/>
      <c r="F243" s="187"/>
      <c r="G243" s="229"/>
      <c r="H243" s="195"/>
      <c r="I243" s="247"/>
      <c r="J243" s="248"/>
      <c r="K243" s="241"/>
      <c r="L243" s="164"/>
      <c r="M243" s="134" t="str">
        <f>I108</f>
        <v/>
      </c>
      <c r="N243" s="135" t="str">
        <f>iferror(mround($P108*((VLOOKUP($J243,Sheet1!$D:$N,$G243+1,FALSE)-0.03)),2.5)," ")</f>
        <v> </v>
      </c>
      <c r="O243" s="135" t="str">
        <f>iferror(mround($P108*((VLOOKUP($J243,Sheet1!$D:$N,$G243+1,FALSE)+0.02)),2.5)," ")</f>
        <v> </v>
      </c>
      <c r="P243" s="112" t="str">
        <f>iferror(mround(I243/VLOOKUP(L243,Sheet1!$D$7:$N$16,G243+1,FALSE),2.5),"")</f>
        <v/>
      </c>
      <c r="Q243" s="303" t="str">
        <f t="shared" si="4"/>
        <v/>
      </c>
      <c r="R243" s="242"/>
      <c r="S243" s="11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</row>
    <row r="244" ht="3.75" hidden="1" customHeight="1">
      <c r="A244" s="90"/>
      <c r="B244" s="6"/>
      <c r="C244" s="90"/>
      <c r="D244" s="196"/>
      <c r="E244" s="184"/>
      <c r="F244" s="102"/>
      <c r="G244" s="102"/>
      <c r="H244" s="102"/>
      <c r="I244" s="102"/>
      <c r="J244" s="156"/>
      <c r="K244" s="249"/>
      <c r="L244" s="210"/>
      <c r="M244" s="144"/>
      <c r="N244" s="145"/>
      <c r="O244" s="145"/>
      <c r="P244" s="122"/>
      <c r="Q244" s="304" t="str">
        <f t="shared" si="4"/>
        <v/>
      </c>
      <c r="R244" s="242"/>
      <c r="S244" s="11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</row>
    <row r="245" ht="15.75" hidden="1" customHeight="1">
      <c r="A245" s="90"/>
      <c r="B245" s="6"/>
      <c r="C245" s="90"/>
      <c r="D245" s="197"/>
      <c r="E245" s="250"/>
      <c r="F245" s="129"/>
      <c r="G245" s="199"/>
      <c r="H245" s="195"/>
      <c r="I245" s="247"/>
      <c r="J245" s="248"/>
      <c r="K245" s="251"/>
      <c r="L245" s="164"/>
      <c r="M245" s="134" t="str">
        <f>I110</f>
        <v/>
      </c>
      <c r="N245" s="135" t="str">
        <f>iferror(mround($P110*((VLOOKUP($J245,Sheet1!$D:$N,$G245+1,FALSE)-0.03)),2.5)," ")</f>
        <v> </v>
      </c>
      <c r="O245" s="135" t="str">
        <f>iferror(mround($P110*((VLOOKUP($J245,Sheet1!$D:$N,$G245+1,FALSE)+0.02)),2.5)," ")</f>
        <v> </v>
      </c>
      <c r="P245" s="112" t="str">
        <f>iferror(mround(I245/VLOOKUP(L245,Sheet1!$D$7:$N$16,G245+1,FALSE),2.5),"")</f>
        <v/>
      </c>
      <c r="Q245" s="303" t="str">
        <f t="shared" si="4"/>
        <v/>
      </c>
      <c r="R245" s="242"/>
      <c r="S245" s="11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</row>
    <row r="246" ht="3.75" hidden="1" customHeight="1">
      <c r="A246" s="90"/>
      <c r="B246" s="6"/>
      <c r="C246" s="90"/>
      <c r="D246" s="234"/>
      <c r="E246" s="184"/>
      <c r="F246" s="102"/>
      <c r="G246" s="102"/>
      <c r="H246" s="102"/>
      <c r="I246" s="102"/>
      <c r="J246" s="156"/>
      <c r="K246" s="249"/>
      <c r="L246" s="210"/>
      <c r="M246" s="144"/>
      <c r="N246" s="145"/>
      <c r="O246" s="145"/>
      <c r="P246" s="122"/>
      <c r="Q246" s="304" t="str">
        <f t="shared" si="4"/>
        <v/>
      </c>
      <c r="R246" s="242"/>
      <c r="S246" s="11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</row>
    <row r="247" ht="15.75" hidden="1" customHeight="1">
      <c r="A247" s="90"/>
      <c r="B247" s="6"/>
      <c r="C247" s="90"/>
      <c r="D247" s="197"/>
      <c r="E247" s="198"/>
      <c r="F247" s="129"/>
      <c r="G247" s="199"/>
      <c r="H247" s="195"/>
      <c r="I247" s="164"/>
      <c r="J247" s="248"/>
      <c r="K247" s="251"/>
      <c r="L247" s="164"/>
      <c r="M247" s="134" t="str">
        <f>I112</f>
        <v/>
      </c>
      <c r="N247" s="135" t="str">
        <f>iferror(mround($P112*((VLOOKUP($J247,Sheet1!$D:$N,$G247+1,FALSE)-0.03)),2.5)," ")</f>
        <v> </v>
      </c>
      <c r="O247" s="135" t="str">
        <f>iferror(mround($P112*((VLOOKUP($J247,Sheet1!$D:$N,$G247+1,FALSE)+0.02)),2.5)," ")</f>
        <v> </v>
      </c>
      <c r="P247" s="112" t="str">
        <f>iferror(mround(I247/VLOOKUP(L247,Sheet1!$D$7:$N$16,G247+1,FALSE),2.5),"")</f>
        <v/>
      </c>
      <c r="Q247" s="303" t="str">
        <f t="shared" si="4"/>
        <v/>
      </c>
      <c r="R247" s="242"/>
      <c r="S247" s="11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</row>
    <row r="248" ht="3.75" hidden="1" customHeight="1">
      <c r="A248" s="124"/>
      <c r="B248" s="6"/>
      <c r="C248" s="124"/>
      <c r="D248" s="252"/>
      <c r="E248" s="252"/>
      <c r="F248" s="102"/>
      <c r="G248" s="102"/>
      <c r="H248" s="102"/>
      <c r="I248" s="102"/>
      <c r="J248" s="156"/>
      <c r="K248" s="253"/>
      <c r="L248" s="201"/>
      <c r="M248" s="211"/>
      <c r="N248" s="47"/>
      <c r="O248" s="47"/>
      <c r="P248" s="122"/>
      <c r="Q248" s="304" t="str">
        <f t="shared" si="4"/>
        <v/>
      </c>
      <c r="R248" s="242"/>
      <c r="S248" s="11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</row>
    <row r="249" ht="30.75" hidden="1" customHeight="1">
      <c r="A249" s="90"/>
      <c r="B249" s="6"/>
      <c r="C249" s="90"/>
      <c r="D249" s="254" t="s">
        <v>57</v>
      </c>
      <c r="E249" s="255" t="s">
        <v>15</v>
      </c>
      <c r="F249" s="106" t="s">
        <v>16</v>
      </c>
      <c r="G249" s="106" t="s">
        <v>17</v>
      </c>
      <c r="H249" s="107"/>
      <c r="I249" s="106" t="s">
        <v>18</v>
      </c>
      <c r="J249" s="108" t="s">
        <v>19</v>
      </c>
      <c r="L249" s="109" t="s">
        <v>20</v>
      </c>
      <c r="M249" s="110" t="s">
        <v>21</v>
      </c>
      <c r="N249" s="111" t="s">
        <v>22</v>
      </c>
      <c r="P249" s="112"/>
      <c r="Q249" s="113" t="s">
        <v>23</v>
      </c>
      <c r="R249" s="256" t="s">
        <v>58</v>
      </c>
      <c r="S249" s="11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</row>
    <row r="250" ht="14.25" hidden="1" customHeight="1">
      <c r="A250" s="90"/>
      <c r="B250" s="6"/>
      <c r="C250" s="90"/>
      <c r="D250" s="257" t="s">
        <v>25</v>
      </c>
      <c r="E250" s="258" t="s">
        <v>26</v>
      </c>
      <c r="H250" s="107"/>
      <c r="N250" s="111" t="s">
        <v>27</v>
      </c>
      <c r="O250" s="111" t="s">
        <v>28</v>
      </c>
      <c r="P250" s="112" t="s">
        <v>29</v>
      </c>
      <c r="R250" s="118" t="s">
        <v>30</v>
      </c>
      <c r="S250" s="11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</row>
    <row r="251" ht="3.75" hidden="1" customHeight="1">
      <c r="A251" s="124"/>
      <c r="B251" s="6"/>
      <c r="C251" s="124"/>
      <c r="D251" s="252"/>
      <c r="E251" s="252"/>
      <c r="F251" s="102"/>
      <c r="G251" s="102"/>
      <c r="H251" s="102"/>
      <c r="I251" s="102"/>
      <c r="J251" s="156"/>
      <c r="K251" s="253"/>
      <c r="L251" s="201"/>
      <c r="M251" s="211"/>
      <c r="N251" s="47"/>
      <c r="O251" s="47"/>
      <c r="P251" s="122"/>
      <c r="Q251" s="304" t="str">
        <f t="shared" ref="Q251:Q274" si="5">IF(OR(ISBLANK(I251), ISBLANK(I116)), "", IF(I251 - I116 = 0, "", I251 - I116))</f>
        <v/>
      </c>
      <c r="R251" s="259"/>
      <c r="S251" s="11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</row>
    <row r="252" ht="14.25" hidden="1" customHeight="1">
      <c r="A252" s="124"/>
      <c r="B252" s="6"/>
      <c r="C252" s="124"/>
      <c r="D252" s="260"/>
      <c r="E252" s="126"/>
      <c r="F252" s="187"/>
      <c r="G252" s="229"/>
      <c r="H252" s="129"/>
      <c r="I252" s="164"/>
      <c r="J252" s="189"/>
      <c r="K252" s="251"/>
      <c r="L252" s="164"/>
      <c r="M252" s="134" t="str">
        <f>I119</f>
        <v/>
      </c>
      <c r="N252" s="135" t="str">
        <f>iferror(mround($P119*((VLOOKUP($J252,Sheet1!$D:$N,$G252+1,FALSE)-0.03)),2.5)," ")</f>
        <v> </v>
      </c>
      <c r="O252" s="135" t="str">
        <f>iferror(mround($P119*((VLOOKUP($J252,Sheet1!$D:$N,$G252+1,FALSE)+0.02)),2.5)," ")</f>
        <v> </v>
      </c>
      <c r="P252" s="56" t="str">
        <f>iferror(mround(I252/VLOOKUP(L252,Sheet1!$D$7:$N$16,G252+1,FALSE),2.5),"")</f>
        <v/>
      </c>
      <c r="Q252" s="303" t="str">
        <f t="shared" si="5"/>
        <v/>
      </c>
      <c r="S252" s="11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</row>
    <row r="253" ht="3.75" hidden="1" customHeight="1">
      <c r="A253" s="124"/>
      <c r="B253" s="6"/>
      <c r="C253" s="124"/>
      <c r="D253" s="138"/>
      <c r="E253" s="215"/>
      <c r="F253" s="102"/>
      <c r="G253" s="102"/>
      <c r="H253" s="102"/>
      <c r="I253" s="102"/>
      <c r="J253" s="156"/>
      <c r="K253" s="249"/>
      <c r="L253" s="210"/>
      <c r="M253" s="144"/>
      <c r="N253" s="145"/>
      <c r="O253" s="145"/>
      <c r="P253" s="122"/>
      <c r="Q253" s="304" t="str">
        <f t="shared" si="5"/>
        <v/>
      </c>
      <c r="S253" s="11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</row>
    <row r="254" ht="14.25" hidden="1" customHeight="1">
      <c r="A254" s="124"/>
      <c r="B254" s="6"/>
      <c r="C254" s="124"/>
      <c r="D254" s="185"/>
      <c r="E254" s="227"/>
      <c r="F254" s="187"/>
      <c r="G254" s="229"/>
      <c r="H254" s="195"/>
      <c r="I254" s="164"/>
      <c r="J254" s="248"/>
      <c r="K254" s="251"/>
      <c r="L254" s="164"/>
      <c r="M254" s="134" t="str">
        <f>I119</f>
        <v/>
      </c>
      <c r="N254" s="135" t="str">
        <f>iferror(mround($P119*((VLOOKUP($J254,Sheet1!$D:$N,$G254+1,FALSE)-0.03)),2.5)," ")</f>
        <v> </v>
      </c>
      <c r="O254" s="135" t="str">
        <f>iferror(mround($P119*((VLOOKUP($J254,Sheet1!$D:$N,$G254+1,FALSE)+0.02)),2.5)," ")</f>
        <v> </v>
      </c>
      <c r="P254" s="112" t="str">
        <f>iferror(mround(I254/VLOOKUP(L254,Sheet1!$D$7:$N$16,G254+1,FALSE),2.5),"")</f>
        <v/>
      </c>
      <c r="Q254" s="303" t="str">
        <f t="shared" si="5"/>
        <v/>
      </c>
      <c r="S254" s="11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</row>
    <row r="255" ht="3.75" hidden="1" customHeight="1">
      <c r="A255" s="124"/>
      <c r="B255" s="6"/>
      <c r="C255" s="124"/>
      <c r="D255" s="138"/>
      <c r="E255" s="245"/>
      <c r="F255" s="102"/>
      <c r="G255" s="102"/>
      <c r="H255" s="102"/>
      <c r="I255" s="102"/>
      <c r="J255" s="156"/>
      <c r="K255" s="249"/>
      <c r="L255" s="210"/>
      <c r="M255" s="144"/>
      <c r="N255" s="145"/>
      <c r="O255" s="145"/>
      <c r="P255" s="122"/>
      <c r="Q255" s="304" t="str">
        <f t="shared" si="5"/>
        <v/>
      </c>
      <c r="S255" s="11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</row>
    <row r="256" ht="14.25" hidden="1" customHeight="1">
      <c r="A256" s="124"/>
      <c r="B256" s="6"/>
      <c r="C256" s="124"/>
      <c r="D256" s="185"/>
      <c r="E256" s="227"/>
      <c r="F256" s="187"/>
      <c r="G256" s="229"/>
      <c r="H256" s="195"/>
      <c r="I256" s="164"/>
      <c r="J256" s="248"/>
      <c r="K256" s="251"/>
      <c r="L256" s="164"/>
      <c r="M256" s="134" t="str">
        <f>I121</f>
        <v/>
      </c>
      <c r="N256" s="135" t="str">
        <f>iferror(mround($P121*((VLOOKUP($J256,Sheet1!$D:$N,$G256+1,FALSE)-0.03)),2.5)," ")</f>
        <v> </v>
      </c>
      <c r="O256" s="135" t="str">
        <f>iferror(mround($P121*((VLOOKUP($J256,Sheet1!$D:$N,$G256+1,FALSE)+0.02)),2.5)," ")</f>
        <v> </v>
      </c>
      <c r="P256" s="112" t="str">
        <f>iferror(mround(I256/VLOOKUP(L256,Sheet1!$D$7:$N$16,G256+1,FALSE),2.5),"")</f>
        <v/>
      </c>
      <c r="Q256" s="303" t="str">
        <f t="shared" si="5"/>
        <v/>
      </c>
      <c r="S256" s="11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</row>
    <row r="257" ht="3.75" hidden="1" customHeight="1">
      <c r="A257" s="124"/>
      <c r="B257" s="6"/>
      <c r="C257" s="124"/>
      <c r="D257" s="138"/>
      <c r="E257" s="245"/>
      <c r="F257" s="102"/>
      <c r="G257" s="102"/>
      <c r="H257" s="102"/>
      <c r="I257" s="102"/>
      <c r="J257" s="156"/>
      <c r="K257" s="249"/>
      <c r="L257" s="210"/>
      <c r="M257" s="144"/>
      <c r="N257" s="145"/>
      <c r="O257" s="145"/>
      <c r="P257" s="122"/>
      <c r="Q257" s="304" t="str">
        <f t="shared" si="5"/>
        <v/>
      </c>
      <c r="S257" s="11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</row>
    <row r="258" ht="14.25" hidden="1" customHeight="1">
      <c r="A258" s="124"/>
      <c r="B258" s="6"/>
      <c r="C258" s="124"/>
      <c r="D258" s="185"/>
      <c r="E258" s="227"/>
      <c r="F258" s="187"/>
      <c r="G258" s="229"/>
      <c r="H258" s="195"/>
      <c r="I258" s="164"/>
      <c r="J258" s="248"/>
      <c r="K258" s="251"/>
      <c r="L258" s="164"/>
      <c r="M258" s="134"/>
      <c r="N258" s="135" t="str">
        <f>iferror(mround($P123*((VLOOKUP($J258,Sheet1!$D:$N,$G258+1,FALSE)-0.03)),2.5)," ")</f>
        <v> </v>
      </c>
      <c r="O258" s="135" t="str">
        <f>iferror(mround($P123*((VLOOKUP($J258,Sheet1!$D:$N,$G258+1,FALSE)+0.02)),2.5)," ")</f>
        <v> </v>
      </c>
      <c r="P258" s="112" t="str">
        <f>iferror(mround(I258/VLOOKUP(L258,Sheet1!$D$7:$N$16,G258+1,FALSE),2.5),"")</f>
        <v/>
      </c>
      <c r="Q258" s="303" t="str">
        <f t="shared" si="5"/>
        <v/>
      </c>
      <c r="S258" s="11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</row>
    <row r="259" ht="3.75" hidden="1" customHeight="1">
      <c r="A259" s="124"/>
      <c r="B259" s="6"/>
      <c r="C259" s="124"/>
      <c r="D259" s="138"/>
      <c r="E259" s="245"/>
      <c r="F259" s="102"/>
      <c r="G259" s="102"/>
      <c r="H259" s="102"/>
      <c r="I259" s="102"/>
      <c r="J259" s="156"/>
      <c r="K259" s="249"/>
      <c r="L259" s="210"/>
      <c r="M259" s="144"/>
      <c r="N259" s="145" t="str">
        <f>iferror(mround($P124*((VLOOKUP($J259,Sheet1!$D:$N,$G259+1,FALSE)-0.03)),2.5)," ")</f>
        <v> </v>
      </c>
      <c r="O259" s="145" t="str">
        <f>iferror(mround($P124*((VLOOKUP($J259,Sheet1!$D:$N,$G259+1,FALSE)+0.02)),2.5)," ")</f>
        <v> </v>
      </c>
      <c r="P259" s="122"/>
      <c r="Q259" s="304" t="str">
        <f t="shared" si="5"/>
        <v/>
      </c>
      <c r="S259" s="11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</row>
    <row r="260" ht="14.25" hidden="1" customHeight="1">
      <c r="A260" s="124"/>
      <c r="B260" s="6"/>
      <c r="C260" s="124"/>
      <c r="D260" s="185"/>
      <c r="E260" s="227"/>
      <c r="F260" s="187"/>
      <c r="G260" s="187"/>
      <c r="H260" s="195"/>
      <c r="I260" s="164"/>
      <c r="J260" s="248"/>
      <c r="K260" s="251"/>
      <c r="L260" s="164"/>
      <c r="M260" s="134" t="str">
        <f>I125</f>
        <v/>
      </c>
      <c r="N260" s="135" t="str">
        <f>iferror(mround($P125*((VLOOKUP($J260,Sheet1!$D:$N,$G260+1,FALSE)-0.03)),2.5)," ")</f>
        <v> </v>
      </c>
      <c r="O260" s="135" t="str">
        <f>iferror(mround($P125*((VLOOKUP($J260,Sheet1!$D:$N,$G260+1,FALSE)+0.02)),2.5)," ")</f>
        <v> </v>
      </c>
      <c r="P260" s="112" t="str">
        <f>iferror(mround(I260/VLOOKUP(L260,Sheet1!$D$7:$N$16,G260+1,FALSE),2.5),"")</f>
        <v/>
      </c>
      <c r="Q260" s="303" t="str">
        <f t="shared" si="5"/>
        <v/>
      </c>
      <c r="S260" s="11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</row>
    <row r="261" ht="3.75" hidden="1" customHeight="1">
      <c r="A261" s="261"/>
      <c r="B261" s="6"/>
      <c r="C261" s="262"/>
      <c r="D261" s="138"/>
      <c r="E261" s="245"/>
      <c r="F261" s="102"/>
      <c r="G261" s="102"/>
      <c r="H261" s="102"/>
      <c r="I261" s="102"/>
      <c r="J261" s="156"/>
      <c r="K261" s="249"/>
      <c r="L261" s="210"/>
      <c r="M261" s="144"/>
      <c r="N261" s="145"/>
      <c r="O261" s="145"/>
      <c r="P261" s="122"/>
      <c r="Q261" s="304" t="str">
        <f t="shared" si="5"/>
        <v/>
      </c>
      <c r="S261" s="157"/>
      <c r="T261" s="5"/>
      <c r="U261" s="5"/>
      <c r="V261" s="158"/>
      <c r="W261" s="158"/>
      <c r="X261" s="158"/>
      <c r="Y261" s="158"/>
      <c r="Z261" s="158"/>
      <c r="AA261" s="158"/>
      <c r="AB261" s="158"/>
      <c r="AC261" s="158"/>
      <c r="AD261" s="158"/>
      <c r="AE261" s="158"/>
      <c r="AF261" s="158"/>
      <c r="AG261" s="158"/>
    </row>
    <row r="262" ht="14.25" hidden="1" customHeight="1">
      <c r="A262" s="124"/>
      <c r="B262" s="6"/>
      <c r="C262" s="124"/>
      <c r="D262" s="185"/>
      <c r="E262" s="227"/>
      <c r="F262" s="187"/>
      <c r="G262" s="187"/>
      <c r="H262" s="195"/>
      <c r="I262" s="164"/>
      <c r="J262" s="248"/>
      <c r="K262" s="251"/>
      <c r="L262" s="164"/>
      <c r="M262" s="134" t="str">
        <f>I127</f>
        <v/>
      </c>
      <c r="N262" s="135" t="str">
        <f>iferror(mround($P127*((VLOOKUP($J262,Sheet1!$D:$N,$G262+1,FALSE)-0.03)),2.5)," ")</f>
        <v> </v>
      </c>
      <c r="O262" s="135" t="str">
        <f>iferror(mround($P127*((VLOOKUP($J262,Sheet1!$D:$N,$G262+1,FALSE)+0.02)),2.5)," ")</f>
        <v> </v>
      </c>
      <c r="P262" s="112" t="str">
        <f>iferror(mround(I262/VLOOKUP(L262,Sheet1!$D$7:$N$16,G262+1,FALSE),2.5),"")</f>
        <v/>
      </c>
      <c r="Q262" s="303" t="str">
        <f t="shared" si="5"/>
        <v/>
      </c>
      <c r="S262" s="11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</row>
    <row r="263" ht="3.75" hidden="1" customHeight="1">
      <c r="A263" s="261"/>
      <c r="B263" s="6"/>
      <c r="C263" s="262"/>
      <c r="D263" s="138"/>
      <c r="E263" s="252"/>
      <c r="F263" s="102"/>
      <c r="G263" s="102"/>
      <c r="H263" s="102"/>
      <c r="I263" s="102"/>
      <c r="J263" s="156"/>
      <c r="K263" s="249"/>
      <c r="L263" s="210"/>
      <c r="M263" s="144"/>
      <c r="N263" s="145"/>
      <c r="O263" s="145"/>
      <c r="P263" s="122"/>
      <c r="Q263" s="304" t="str">
        <f t="shared" si="5"/>
        <v/>
      </c>
      <c r="S263" s="157"/>
      <c r="T263" s="5"/>
      <c r="U263" s="5"/>
      <c r="V263" s="158"/>
      <c r="W263" s="158"/>
      <c r="X263" s="158"/>
      <c r="Y263" s="158"/>
      <c r="Z263" s="158"/>
      <c r="AA263" s="158"/>
      <c r="AB263" s="158"/>
      <c r="AC263" s="158"/>
      <c r="AD263" s="158"/>
      <c r="AE263" s="158"/>
      <c r="AF263" s="158"/>
      <c r="AG263" s="158"/>
    </row>
    <row r="264" ht="15.75" hidden="1" customHeight="1">
      <c r="A264" s="124"/>
      <c r="B264" s="6"/>
      <c r="C264" s="124"/>
      <c r="D264" s="185"/>
      <c r="E264" s="260"/>
      <c r="F264" s="187"/>
      <c r="G264" s="187"/>
      <c r="H264" s="195"/>
      <c r="I264" s="247"/>
      <c r="J264" s="248"/>
      <c r="K264" s="251"/>
      <c r="L264" s="164"/>
      <c r="M264" s="134"/>
      <c r="N264" s="135" t="str">
        <f>iferror(mround($P129*((VLOOKUP($J264,Sheet1!$D:$N,$G264+1,FALSE)-0.03)),2.5)," ")</f>
        <v> </v>
      </c>
      <c r="O264" s="135" t="str">
        <f>iferror(mround($P129*((VLOOKUP($J264,Sheet1!$D:$N,$G264+1,FALSE)+0.02)),2.5)," ")</f>
        <v> </v>
      </c>
      <c r="P264" s="112" t="str">
        <f>iferror(mround(I264/VLOOKUP(L264,Sheet1!$D$7:$N$16,G264+1,FALSE),2.5),"")</f>
        <v/>
      </c>
      <c r="Q264" s="303" t="str">
        <f t="shared" si="5"/>
        <v/>
      </c>
      <c r="S264" s="11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</row>
    <row r="265" ht="3.75" hidden="1" customHeight="1">
      <c r="A265" s="124"/>
      <c r="B265" s="6"/>
      <c r="C265" s="124"/>
      <c r="D265" s="263"/>
      <c r="E265" s="252"/>
      <c r="F265" s="102"/>
      <c r="G265" s="102"/>
      <c r="H265" s="102"/>
      <c r="I265" s="102"/>
      <c r="J265" s="156"/>
      <c r="K265" s="249"/>
      <c r="L265" s="210"/>
      <c r="M265" s="144"/>
      <c r="N265" s="145" t="str">
        <f>iferror(mround($P130*((VLOOKUP($J265,Sheet1!$D:$N,$G265+1,FALSE)-0.03)),2.5)," ")</f>
        <v> </v>
      </c>
      <c r="O265" s="145" t="str">
        <f>iferror(mround($P130*((VLOOKUP($J265,Sheet1!$D:$N,$G265+1,FALSE)+0.02)),2.5)," ")</f>
        <v> </v>
      </c>
      <c r="P265" s="122"/>
      <c r="Q265" s="304" t="str">
        <f t="shared" si="5"/>
        <v/>
      </c>
      <c r="S265" s="11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</row>
    <row r="266" ht="14.25" hidden="1" customHeight="1">
      <c r="A266" s="90"/>
      <c r="B266" s="6"/>
      <c r="C266" s="90"/>
      <c r="D266" s="185"/>
      <c r="E266" s="264"/>
      <c r="F266" s="187"/>
      <c r="G266" s="187"/>
      <c r="H266" s="195"/>
      <c r="I266" s="164"/>
      <c r="J266" s="248"/>
      <c r="K266" s="251"/>
      <c r="L266" s="164"/>
      <c r="M266" s="134" t="str">
        <f>I131</f>
        <v/>
      </c>
      <c r="N266" s="135" t="str">
        <f>iferror(mround($P131*((VLOOKUP($J266,Sheet1!$D:$N,$G266+1,FALSE)-0.03)),2.5)," ")</f>
        <v> </v>
      </c>
      <c r="O266" s="135" t="str">
        <f>iferror(mround($P131*((VLOOKUP($J266,Sheet1!$D:$N,$G266+1,FALSE)+0.02)),2.5)," ")</f>
        <v> </v>
      </c>
      <c r="P266" s="112" t="str">
        <f>iferror(mround(I266/VLOOKUP(L266,Sheet1!$D$7:$N$16,G266+1,FALSE),2.5),"")</f>
        <v/>
      </c>
      <c r="Q266" s="303" t="str">
        <f t="shared" si="5"/>
        <v/>
      </c>
      <c r="S266" s="11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</row>
    <row r="267" ht="3.75" hidden="1" customHeight="1">
      <c r="A267" s="261"/>
      <c r="B267" s="6"/>
      <c r="C267" s="262"/>
      <c r="D267" s="263"/>
      <c r="E267" s="263"/>
      <c r="F267" s="194"/>
      <c r="G267" s="194"/>
      <c r="H267" s="155"/>
      <c r="I267" s="210"/>
      <c r="J267" s="265"/>
      <c r="K267" s="249"/>
      <c r="L267" s="210"/>
      <c r="M267" s="144"/>
      <c r="N267" s="145"/>
      <c r="O267" s="145"/>
      <c r="P267" s="122"/>
      <c r="Q267" s="304" t="str">
        <f t="shared" si="5"/>
        <v/>
      </c>
      <c r="S267" s="157"/>
      <c r="T267" s="5"/>
      <c r="U267" s="5"/>
      <c r="V267" s="158"/>
      <c r="W267" s="158"/>
      <c r="X267" s="158"/>
      <c r="Y267" s="158"/>
      <c r="Z267" s="158"/>
      <c r="AA267" s="158"/>
      <c r="AB267" s="158"/>
      <c r="AC267" s="158"/>
      <c r="AD267" s="158"/>
      <c r="AE267" s="158"/>
      <c r="AF267" s="158"/>
      <c r="AG267" s="158"/>
    </row>
    <row r="268" ht="15.75" hidden="1" customHeight="1">
      <c r="A268" s="90"/>
      <c r="B268" s="6"/>
      <c r="C268" s="90"/>
      <c r="D268" s="185"/>
      <c r="E268" s="266"/>
      <c r="F268" s="187"/>
      <c r="G268" s="187"/>
      <c r="H268" s="195"/>
      <c r="I268" s="164"/>
      <c r="J268" s="248"/>
      <c r="K268" s="251"/>
      <c r="L268" s="164"/>
      <c r="M268" s="134"/>
      <c r="N268" s="135" t="str">
        <f>iferror(mround($P133*((VLOOKUP($J268,Sheet1!$D:$N,$G268+1,FALSE)-0.03)),2.5)," ")</f>
        <v> </v>
      </c>
      <c r="O268" s="135" t="str">
        <f>iferror(mround($P133*((VLOOKUP($J268,Sheet1!$D:$N,$G268+1,FALSE)+0.02)),2.5)," ")</f>
        <v> </v>
      </c>
      <c r="P268" s="112" t="str">
        <f>iferror(mround(I268/VLOOKUP(L268,Sheet1!$D$7:$N$16,G268+1,FALSE),2.5),"")</f>
        <v/>
      </c>
      <c r="Q268" s="303" t="str">
        <f t="shared" si="5"/>
        <v/>
      </c>
      <c r="S268" s="11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</row>
    <row r="269" ht="3.75" hidden="1" customHeight="1">
      <c r="A269" s="90"/>
      <c r="B269" s="6"/>
      <c r="C269" s="90"/>
      <c r="D269" s="138"/>
      <c r="E269" s="252"/>
      <c r="F269" s="102"/>
      <c r="G269" s="102"/>
      <c r="H269" s="102"/>
      <c r="I269" s="102"/>
      <c r="J269" s="156"/>
      <c r="K269" s="249"/>
      <c r="L269" s="210"/>
      <c r="M269" s="144"/>
      <c r="N269" s="145" t="str">
        <f>iferror(mround($P134*((VLOOKUP($J269,Sheet1!$D:$N,$G269+1,FALSE)-0.03)),2.5)," ")</f>
        <v> </v>
      </c>
      <c r="O269" s="145" t="str">
        <f>iferror(mround($P134*((VLOOKUP($J269,Sheet1!$D:$N,$G269+1,FALSE)+0.02)),2.5)," ")</f>
        <v> </v>
      </c>
      <c r="P269" s="122"/>
      <c r="Q269" s="304" t="str">
        <f t="shared" si="5"/>
        <v/>
      </c>
      <c r="S269" s="11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</row>
    <row r="270" ht="15.75" hidden="1" customHeight="1">
      <c r="A270" s="90"/>
      <c r="B270" s="6"/>
      <c r="C270" s="90"/>
      <c r="D270" s="185"/>
      <c r="E270" s="264"/>
      <c r="F270" s="187"/>
      <c r="G270" s="187"/>
      <c r="H270" s="195"/>
      <c r="I270" s="164"/>
      <c r="J270" s="248"/>
      <c r="K270" s="251"/>
      <c r="L270" s="164"/>
      <c r="M270" s="134" t="str">
        <f>I135</f>
        <v/>
      </c>
      <c r="N270" s="135" t="str">
        <f>iferror(mround($P135*((VLOOKUP($J270,Sheet1!$D:$N,$G270+1,FALSE)-0.03)),2.5)," ")</f>
        <v> </v>
      </c>
      <c r="O270" s="135" t="str">
        <f>iferror(mround($P135*((VLOOKUP($J270,Sheet1!$D:$N,$G270+1,FALSE)+0.02)),2.5)," ")</f>
        <v> </v>
      </c>
      <c r="P270" s="112" t="str">
        <f>iferror(mround(I270/VLOOKUP(L270,Sheet1!$D$7:$N$16,G270+1,FALSE),2.5),"")</f>
        <v/>
      </c>
      <c r="Q270" s="303" t="str">
        <f t="shared" si="5"/>
        <v/>
      </c>
      <c r="S270" s="11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</row>
    <row r="271" ht="3.75" hidden="1" customHeight="1">
      <c r="A271" s="191"/>
      <c r="B271" s="6"/>
      <c r="C271" s="192"/>
      <c r="D271" s="138"/>
      <c r="E271" s="252"/>
      <c r="F271" s="102"/>
      <c r="G271" s="102"/>
      <c r="H271" s="102"/>
      <c r="I271" s="102"/>
      <c r="J271" s="156"/>
      <c r="K271" s="249"/>
      <c r="L271" s="210"/>
      <c r="M271" s="144"/>
      <c r="N271" s="145"/>
      <c r="O271" s="145"/>
      <c r="P271" s="122"/>
      <c r="Q271" s="304" t="str">
        <f t="shared" si="5"/>
        <v/>
      </c>
      <c r="S271" s="157"/>
      <c r="T271" s="5"/>
      <c r="U271" s="5"/>
      <c r="V271" s="158"/>
      <c r="W271" s="158"/>
      <c r="X271" s="158"/>
      <c r="Y271" s="158"/>
      <c r="Z271" s="158"/>
      <c r="AA271" s="158"/>
      <c r="AB271" s="158"/>
      <c r="AC271" s="158"/>
      <c r="AD271" s="158"/>
      <c r="AE271" s="158"/>
      <c r="AF271" s="158"/>
      <c r="AG271" s="158"/>
    </row>
    <row r="272" ht="15.75" hidden="1" customHeight="1">
      <c r="A272" s="90"/>
      <c r="B272" s="6"/>
      <c r="C272" s="90"/>
      <c r="D272" s="185"/>
      <c r="E272" s="260"/>
      <c r="F272" s="187"/>
      <c r="G272" s="187"/>
      <c r="H272" s="195"/>
      <c r="I272" s="164"/>
      <c r="J272" s="248"/>
      <c r="K272" s="251"/>
      <c r="L272" s="164"/>
      <c r="M272" s="134" t="str">
        <f>I137</f>
        <v/>
      </c>
      <c r="N272" s="135" t="str">
        <f>iferror(mround($P137*((VLOOKUP($J272,Sheet1!$D:$N,$G272+1,FALSE)-0.03)),2.5)," ")</f>
        <v> </v>
      </c>
      <c r="O272" s="135" t="str">
        <f>iferror(mround($P137*((VLOOKUP($J272,Sheet1!$D:$N,$G272+1,FALSE)+0.02)),2.5)," ")</f>
        <v> </v>
      </c>
      <c r="P272" s="112" t="str">
        <f>iferror(mround(I272/VLOOKUP(L272,Sheet1!$D$7:$N$16,G272+1,FALSE),2.5),"")</f>
        <v/>
      </c>
      <c r="Q272" s="303" t="str">
        <f t="shared" si="5"/>
        <v/>
      </c>
      <c r="S272" s="11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</row>
    <row r="273" ht="3.75" hidden="1" customHeight="1">
      <c r="A273" s="90"/>
      <c r="B273" s="6"/>
      <c r="C273" s="90"/>
      <c r="D273" s="263"/>
      <c r="E273" s="252"/>
      <c r="F273" s="102"/>
      <c r="G273" s="102"/>
      <c r="H273" s="102"/>
      <c r="I273" s="102"/>
      <c r="J273" s="156"/>
      <c r="K273" s="249"/>
      <c r="L273" s="210"/>
      <c r="M273" s="144"/>
      <c r="N273" s="145"/>
      <c r="O273" s="145"/>
      <c r="P273" s="122"/>
      <c r="Q273" s="304" t="str">
        <f t="shared" si="5"/>
        <v/>
      </c>
      <c r="S273" s="11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</row>
    <row r="274" ht="15.75" hidden="1" customHeight="1">
      <c r="A274" s="90"/>
      <c r="B274" s="6"/>
      <c r="C274" s="90"/>
      <c r="D274" s="185"/>
      <c r="E274" s="266"/>
      <c r="F274" s="187"/>
      <c r="G274" s="187"/>
      <c r="H274" s="195"/>
      <c r="I274" s="164"/>
      <c r="J274" s="248"/>
      <c r="K274" s="251"/>
      <c r="L274" s="164"/>
      <c r="M274" s="134" t="str">
        <f>I139</f>
        <v/>
      </c>
      <c r="N274" s="135" t="str">
        <f>iferror(mround($P139*((VLOOKUP($J274,Sheet1!$D:$N,$G274+1,FALSE)-0.03)),2.5)," ")</f>
        <v> </v>
      </c>
      <c r="O274" s="135" t="str">
        <f>iferror(mround($P139*((VLOOKUP($J274,Sheet1!$D:$N,$G274+1,FALSE)+0.02)),2.5)," ")</f>
        <v> </v>
      </c>
      <c r="P274" s="112" t="str">
        <f>iferror(mround(I274/VLOOKUP(L274,Sheet1!$D$7:$N$16,G274+1,FALSE),2.5),"")</f>
        <v/>
      </c>
      <c r="Q274" s="303" t="str">
        <f t="shared" si="5"/>
        <v/>
      </c>
      <c r="S274" s="11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</row>
    <row r="275" ht="3.75" customHeight="1">
      <c r="A275" s="191"/>
      <c r="B275" s="6"/>
      <c r="C275" s="192"/>
      <c r="D275" s="192"/>
      <c r="E275" s="267"/>
      <c r="F275" s="194"/>
      <c r="G275" s="194"/>
      <c r="H275" s="155"/>
      <c r="I275" s="210"/>
      <c r="J275" s="268"/>
      <c r="K275" s="249"/>
      <c r="L275" s="269"/>
      <c r="M275" s="270"/>
      <c r="N275" s="269"/>
      <c r="O275" s="269"/>
      <c r="P275" s="271"/>
      <c r="Q275" s="272"/>
      <c r="R275" s="273"/>
      <c r="S275" s="157"/>
      <c r="T275" s="5"/>
      <c r="U275" s="5"/>
      <c r="V275" s="158"/>
      <c r="W275" s="158"/>
      <c r="X275" s="158"/>
      <c r="Y275" s="158"/>
      <c r="Z275" s="158"/>
      <c r="AA275" s="158"/>
      <c r="AB275" s="158"/>
      <c r="AC275" s="158"/>
      <c r="AD275" s="158"/>
      <c r="AE275" s="158"/>
      <c r="AF275" s="158"/>
      <c r="AG275" s="158"/>
    </row>
    <row r="276" ht="14.25" customHeight="1">
      <c r="A276" s="5"/>
      <c r="B276" s="6"/>
      <c r="C276" s="5"/>
      <c r="D276" s="274"/>
      <c r="E276" s="266"/>
      <c r="F276" s="187"/>
      <c r="G276" s="187"/>
      <c r="H276" s="195"/>
      <c r="I276" s="129"/>
      <c r="J276" s="275"/>
      <c r="K276" s="276"/>
      <c r="L276" s="187"/>
      <c r="M276" s="187"/>
      <c r="N276" s="187"/>
      <c r="O276" s="187"/>
      <c r="P276" s="277"/>
      <c r="Q276" s="278"/>
      <c r="R276" s="279"/>
      <c r="S276" s="11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</row>
    <row r="277" ht="14.25" customHeight="1">
      <c r="A277" s="5"/>
      <c r="B277" s="6"/>
      <c r="C277" s="5"/>
      <c r="D277" s="274" t="s">
        <v>59</v>
      </c>
      <c r="E277" s="266" t="s">
        <v>16</v>
      </c>
      <c r="F277" s="187" t="s">
        <v>17</v>
      </c>
      <c r="G277" s="187" t="s">
        <v>60</v>
      </c>
      <c r="H277" s="187"/>
      <c r="I277" s="280" t="s">
        <v>61</v>
      </c>
      <c r="J277" s="266" t="s">
        <v>62</v>
      </c>
      <c r="K277" s="274"/>
      <c r="L277" s="187"/>
      <c r="M277" s="285"/>
      <c r="N277" s="285"/>
      <c r="O277" s="285"/>
      <c r="P277" s="282"/>
      <c r="Q277" s="278"/>
      <c r="R277" s="157"/>
      <c r="S277" s="11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</row>
    <row r="278" ht="14.25" customHeight="1">
      <c r="A278" s="5"/>
      <c r="B278" s="6"/>
      <c r="C278" s="5"/>
      <c r="D278" s="274" t="s">
        <v>6</v>
      </c>
      <c r="E278" s="283">
        <f>IFERROR(__xludf.DUMMYFUNCTION("SUM(FILTER(F153:F277, ISNUMBER(SEARCH(""squat"", D153:D277))))"),7.0)</f>
        <v>7</v>
      </c>
      <c r="F278" s="284">
        <f>IFERROR(__xludf.DUMMYFUNCTION("SUMPRODUCT(FILTER(F153:F277 * G153:G277, ISNUMBER(SEARCH(""squat"", D153:D277))))"),30.0)</f>
        <v>30</v>
      </c>
      <c r="G278" s="135">
        <f>IFERROR(__xludf.DUMMYFUNCTION("ROUND(SUMPRODUCT(FILTER(F153:F277 * G153:G277 * I153:I277, ISNUMBER(SEARCH(""squat"", D153:D277)))), 0)"),3525.0)</f>
        <v>3525</v>
      </c>
      <c r="H278" s="285"/>
      <c r="I278" s="135" t="str">
        <f>IFERROR(__xludf.DUMMYFUNCTION("ROUND(AVERAGE(FILTER(I153:I277, ISNUMBER(SEARCH(""squat"", D153:D277)), I153:I277 &lt;&gt; """")) / J278 * 100, 0)"),"#VALUE!")</f>
        <v>#VALUE!</v>
      </c>
      <c r="J278" s="283" t="str">
        <f>IFERROR(__xludf.DUMMYFUNCTION("IFERROR(MROUND(AVERAGE(FILTER(P153:P277, D153:D277 = ""comp squat"", P153:P277 &lt;&gt; """", P153:P277 &gt;= 0.9 * MAX(FILTER(P153:P277, D153:D277 = ""comp squat"", P153:P277 &lt;&gt; """")), P153:P277 &lt;= 1.1 * MAX(FILTER(P153:P277, D153:D277 = ""comp squat"", P153:P27"&amp;"7 &lt;&gt; """")))), 2.5), ""No valid data"")"),"No valid data")</f>
        <v>No valid data</v>
      </c>
      <c r="K278" s="286"/>
      <c r="L278" s="287" t="str">
        <f>MROUND(J278/2.2046,2.5)-$O$10</f>
        <v>#VALUE!</v>
      </c>
      <c r="M278" s="305"/>
      <c r="N278" s="305"/>
      <c r="O278" s="305"/>
      <c r="P278" s="282"/>
      <c r="Q278" s="278"/>
      <c r="R278" s="291"/>
      <c r="S278" s="11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</row>
    <row r="279" ht="3.0" customHeight="1">
      <c r="A279" s="5"/>
      <c r="B279" s="6"/>
      <c r="C279" s="5"/>
      <c r="D279" s="90"/>
      <c r="E279" s="156"/>
      <c r="F279" s="102"/>
      <c r="G279" s="145"/>
      <c r="H279" s="102"/>
      <c r="I279" s="145"/>
      <c r="J279" s="156"/>
      <c r="K279" s="286"/>
      <c r="L279" s="292"/>
      <c r="M279" s="284"/>
      <c r="N279" s="284"/>
      <c r="O279" s="305"/>
      <c r="P279" s="282"/>
      <c r="Q279" s="278"/>
      <c r="R279" s="115"/>
      <c r="S279" s="11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</row>
    <row r="280" ht="15.75" customHeight="1">
      <c r="A280" s="5"/>
      <c r="B280" s="6"/>
      <c r="C280" s="5"/>
      <c r="D280" s="274" t="s">
        <v>66</v>
      </c>
      <c r="E280" s="293">
        <f>IFERROR(__xludf.DUMMYFUNCTION("SUM(FILTER(F153:F277, ISNUMBER(SEARCH(""bench press"", D153:D277))))"),19.0)</f>
        <v>19</v>
      </c>
      <c r="F280" s="284">
        <f>IFERROR(__xludf.DUMMYFUNCTION("SUMPRODUCT(FILTER(F154:F278 * G154:G278, ISNUMBER(SEARCH(""bench press"", D154:D278))))"),69.0)</f>
        <v>69</v>
      </c>
      <c r="G280" s="135">
        <f>IFERROR(__xludf.DUMMYFUNCTION("ROUND(SUMPRODUCT(FILTER(F153:F277 * G153:G277 * I153:I277, ISNUMBER(SEARCH(""bench press"", D153:D277)))), 0)"),0.0)</f>
        <v>0</v>
      </c>
      <c r="H280" s="285"/>
      <c r="I280" s="135" t="str">
        <f>IFERROR(__xludf.DUMMYFUNCTION("ROUND(AVERAGE(FILTER(I153:I277, ISNUMBER(SEARCH(""bench press"", D153:D277)), I153:I277 &lt;&gt; """")) / J280 * 100, 0)"),"#VALUE!")</f>
        <v>#VALUE!</v>
      </c>
      <c r="J280" s="293" t="str">
        <f>IFERROR(__xludf.DUMMYFUNCTION("IFERROR(MROUND(AVERAGE(FILTER(P153:P277, D153:D277 = ""comp bench press"", P153:P277 &lt;&gt; """", P153:P277 &gt;= 0.9 * MAX(FILTER(P153:P277, D153:D277 = ""comp bench press"", P153:P277 &lt;&gt; """")), P153:P277 &lt;= 1.1 * MAX(FILTER(P153:P277, D153:D277 = ""comp bench"&amp;" press"", P153:P277 &lt;&gt; """")))), 2.5), ""No valid data"")"),"No valid data")</f>
        <v>No valid data</v>
      </c>
      <c r="K280" s="286"/>
      <c r="L280" s="294" t="str">
        <f>MROUND(J280/2.2046,2.5)-$O$11</f>
        <v>#VALUE!</v>
      </c>
      <c r="M280" s="285"/>
      <c r="N280" s="285"/>
      <c r="O280" s="305"/>
      <c r="P280" s="282"/>
      <c r="Q280" s="278"/>
      <c r="R280" s="157"/>
      <c r="S280" s="11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</row>
    <row r="281" ht="3.0" customHeight="1">
      <c r="A281" s="5"/>
      <c r="B281" s="6"/>
      <c r="C281" s="5"/>
      <c r="D281" s="90"/>
      <c r="E281" s="156"/>
      <c r="F281" s="102"/>
      <c r="G281" s="145"/>
      <c r="H281" s="102"/>
      <c r="I281" s="145"/>
      <c r="J281" s="156"/>
      <c r="K281" s="286"/>
      <c r="L281" s="292"/>
      <c r="M281" s="285"/>
      <c r="N281" s="285"/>
      <c r="O281" s="284"/>
      <c r="P281" s="282"/>
      <c r="Q281" s="278"/>
      <c r="R281" s="157"/>
      <c r="S281" s="11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</row>
    <row r="282" ht="14.25" customHeight="1">
      <c r="A282" s="5"/>
      <c r="B282" s="6"/>
      <c r="C282" s="5"/>
      <c r="D282" s="274" t="s">
        <v>10</v>
      </c>
      <c r="E282" s="293">
        <f>IFERROR(__xludf.DUMMYFUNCTION("SUM(FILTER(F153:F277, ISNUMBER(SEARCH(""deadlift"", D153:D277))))"),7.0)</f>
        <v>7</v>
      </c>
      <c r="F282" s="284">
        <f>IFERROR(__xludf.DUMMYFUNCTION("SUMPRODUCT(FILTER(F153:F277 * G153:G277, ISNUMBER(SEARCH(""deadlift"", D153:D277))))"),25.0)</f>
        <v>25</v>
      </c>
      <c r="G282" s="135">
        <f>IFERROR(__xludf.DUMMYFUNCTION("ROUND(SUMPRODUCT(FILTER(F153:F277 * G153:G277 * I153:I277, ISNUMBER(SEARCH(""deadlift"", D153:D277)))), 0)"),0.0)</f>
        <v>0</v>
      </c>
      <c r="H282" s="285"/>
      <c r="I282" s="135" t="str">
        <f>IFERROR(__xludf.DUMMYFUNCTION("ROUND(AVERAGE(FILTER(I153:I277, ISNUMBER(SEARCH(""deadlift"", D153:D277)), I153:I277 &lt;&gt; """")) / J282 * 100, 0)"),"#VALUE!")</f>
        <v>#VALUE!</v>
      </c>
      <c r="J282" s="293" t="str">
        <f>IFERROR(__xludf.DUMMYFUNCTION("IFERROR(MROUND(AVERAGE(FILTER(P153:P277, D153:D277 = ""comp deadlift"", P153:P277 &lt;&gt; """", P153:P277 &gt;= 0.9 * MAX(FILTER(P153:P277, D153:D277 = ""comp deadlift"", P153:P277 &lt;&gt; """")), P153:P277 &lt;= 1.1 * MAX(FILTER(P153:P277, D153:D277 = ""comp deadlift"","&amp;" P153:P277 &lt;&gt; """")))), 2.5), ""No valid data"")"),"No valid data")</f>
        <v>No valid data</v>
      </c>
      <c r="K282" s="286"/>
      <c r="L282" s="294" t="str">
        <f>MROUND(J282/2.2046,2.5)-$O$12</f>
        <v>#VALUE!</v>
      </c>
      <c r="M282" s="285"/>
      <c r="N282" s="285"/>
      <c r="O282" s="285"/>
      <c r="P282" s="282"/>
      <c r="Q282" s="278"/>
      <c r="R282" s="157"/>
      <c r="S282" s="11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</row>
    <row r="283" ht="14.25" customHeight="1">
      <c r="A283" s="5"/>
      <c r="B283" s="6"/>
      <c r="C283" s="5"/>
      <c r="D283" s="274"/>
      <c r="E283" s="266"/>
      <c r="F283" s="187"/>
      <c r="G283" s="187"/>
      <c r="H283" s="187"/>
      <c r="I283" s="187"/>
      <c r="J283" s="295"/>
      <c r="K283" s="274"/>
      <c r="L283" s="187"/>
      <c r="M283" s="285"/>
      <c r="N283" s="285"/>
      <c r="O283" s="285"/>
      <c r="P283" s="282"/>
      <c r="Q283" s="278"/>
      <c r="R283" s="157"/>
      <c r="S283" s="11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</row>
    <row r="284" ht="14.25" customHeight="1">
      <c r="A284" s="5"/>
      <c r="B284" s="2"/>
      <c r="C284" s="5"/>
      <c r="D284" s="5"/>
      <c r="E284" s="75"/>
      <c r="F284" s="3"/>
      <c r="G284" s="3"/>
      <c r="H284" s="3"/>
      <c r="I284" s="3"/>
      <c r="J284" s="75"/>
      <c r="K284" s="5"/>
      <c r="L284" s="3"/>
      <c r="M284" s="47"/>
      <c r="N284" s="3"/>
      <c r="O284" s="3"/>
      <c r="P284" s="3"/>
      <c r="Q284" s="4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</row>
    <row r="285" ht="18.75" customHeight="1">
      <c r="A285" s="90"/>
      <c r="B285" s="6"/>
      <c r="C285" s="91"/>
      <c r="D285" s="328" t="s">
        <v>101</v>
      </c>
      <c r="E285" s="80" t="s">
        <v>13</v>
      </c>
      <c r="G285" s="81"/>
      <c r="H285" s="81"/>
      <c r="I285" s="81"/>
      <c r="J285" s="82"/>
      <c r="K285" s="83"/>
      <c r="L285" s="83"/>
      <c r="M285" s="93"/>
      <c r="N285" s="93"/>
      <c r="O285" s="93"/>
      <c r="P285" s="296"/>
      <c r="Q285" s="297"/>
      <c r="R285" s="298"/>
      <c r="S285" s="10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</row>
    <row r="286" ht="18.75" customHeight="1">
      <c r="A286" s="90"/>
      <c r="B286" s="6"/>
      <c r="C286" s="91"/>
      <c r="D286" s="306">
        <v>1.0</v>
      </c>
      <c r="E286" s="300" t="str">
        <f>IF(E151 = "", "", E151 - 1)</f>
        <v/>
      </c>
      <c r="G286" s="301"/>
      <c r="H286" s="301"/>
      <c r="I286" s="301"/>
      <c r="J286" s="92"/>
      <c r="K286" s="93"/>
      <c r="L286" s="93"/>
      <c r="M286" s="93"/>
      <c r="N286" s="93"/>
      <c r="O286" s="93"/>
      <c r="P286" s="94"/>
      <c r="Q286" s="95"/>
      <c r="R286" s="96"/>
      <c r="S286" s="10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</row>
    <row r="287" ht="5.25" customHeight="1">
      <c r="A287" s="90"/>
      <c r="B287" s="6"/>
      <c r="C287" s="90"/>
      <c r="D287" s="97"/>
      <c r="E287" s="98"/>
      <c r="F287" s="99"/>
      <c r="G287" s="99"/>
      <c r="H287" s="99"/>
      <c r="I287" s="100"/>
      <c r="J287" s="101"/>
      <c r="K287" s="90"/>
      <c r="L287" s="102"/>
      <c r="M287" s="102"/>
      <c r="N287" s="102"/>
      <c r="O287" s="102"/>
      <c r="P287" s="103"/>
      <c r="Q287" s="4"/>
      <c r="R287" s="90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</row>
    <row r="288" ht="30.75" customHeight="1">
      <c r="A288" s="90"/>
      <c r="B288" s="6"/>
      <c r="C288" s="90"/>
      <c r="D288" s="202" t="s">
        <v>73</v>
      </c>
      <c r="E288" s="105" t="s">
        <v>82</v>
      </c>
      <c r="F288" s="106" t="s">
        <v>16</v>
      </c>
      <c r="G288" s="106" t="s">
        <v>17</v>
      </c>
      <c r="H288" s="107"/>
      <c r="I288" s="106" t="s">
        <v>18</v>
      </c>
      <c r="J288" s="108" t="s">
        <v>19</v>
      </c>
      <c r="L288" s="109" t="s">
        <v>20</v>
      </c>
      <c r="M288" s="110" t="s">
        <v>21</v>
      </c>
      <c r="N288" s="111" t="s">
        <v>22</v>
      </c>
      <c r="P288" s="112"/>
      <c r="Q288" s="113" t="s">
        <v>23</v>
      </c>
      <c r="R288" s="114"/>
      <c r="S288" s="11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</row>
    <row r="289" ht="14.25" customHeight="1">
      <c r="A289" s="90"/>
      <c r="B289" s="6"/>
      <c r="C289" s="90"/>
      <c r="D289" s="116" t="s">
        <v>102</v>
      </c>
      <c r="E289" s="117" t="s">
        <v>76</v>
      </c>
      <c r="H289" s="107"/>
      <c r="N289" s="111" t="s">
        <v>27</v>
      </c>
      <c r="O289" s="111" t="s">
        <v>28</v>
      </c>
      <c r="P289" s="112" t="s">
        <v>29</v>
      </c>
      <c r="R289" s="118" t="s">
        <v>30</v>
      </c>
      <c r="S289" s="11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</row>
    <row r="290" ht="3.75" customHeight="1">
      <c r="A290" s="90"/>
      <c r="B290" s="6"/>
      <c r="C290" s="90"/>
      <c r="D290" s="97"/>
      <c r="E290" s="98"/>
      <c r="F290" s="99"/>
      <c r="G290" s="99"/>
      <c r="H290" s="99"/>
      <c r="I290" s="100"/>
      <c r="J290" s="302"/>
      <c r="K290" s="90"/>
      <c r="L290" s="102"/>
      <c r="M290" s="121"/>
      <c r="N290" s="102"/>
      <c r="O290" s="102"/>
      <c r="P290" s="122"/>
      <c r="Q290" s="4"/>
      <c r="R290" s="123" t="s">
        <v>103</v>
      </c>
      <c r="S290" s="11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</row>
    <row r="291" ht="15.75" customHeight="1">
      <c r="A291" s="124"/>
      <c r="B291" s="6"/>
      <c r="C291" s="124"/>
      <c r="D291" s="125" t="s">
        <v>31</v>
      </c>
      <c r="E291" s="126"/>
      <c r="F291" s="127">
        <v>3.0</v>
      </c>
      <c r="G291" s="128">
        <v>45942.0</v>
      </c>
      <c r="H291" s="129"/>
      <c r="I291" s="130">
        <v>140.0</v>
      </c>
      <c r="J291" s="131">
        <v>45815.0</v>
      </c>
      <c r="K291" s="132"/>
      <c r="L291" s="133">
        <v>6.0</v>
      </c>
      <c r="M291" s="134">
        <f>I156</f>
        <v>375</v>
      </c>
      <c r="N291" s="135" t="str">
        <f>iferror(mround($P156*((VLOOKUP($J291,Sheet1!$D:$N,$G291+1,FALSE)-0.03)),2.5)," ")</f>
        <v> </v>
      </c>
      <c r="O291" s="135" t="str">
        <f>iferror(mround($P156*((VLOOKUP($J291,Sheet1!$D:$N,$G291+1,FALSE)+0.02)),2.5)," ")</f>
        <v> </v>
      </c>
      <c r="P291" s="56" t="str">
        <f>iferror(mround(I291/VLOOKUP(L291,Sheet1!$D$7:$N$16,G291+1,FALSE),2.5),"")</f>
        <v/>
      </c>
      <c r="Q291" s="303">
        <f t="shared" ref="Q291:Q312" si="6">IF(OR(ISBLANK(I291), ISBLANK(I156)), "", IF(I291 - I156 = 0, "", I291 - I156))</f>
        <v>-235</v>
      </c>
      <c r="S291" s="11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</row>
    <row r="292" ht="3.75" customHeight="1">
      <c r="A292" s="137"/>
      <c r="B292" s="70"/>
      <c r="C292" s="137"/>
      <c r="D292" s="138"/>
      <c r="E292" s="139"/>
      <c r="F292" s="140"/>
      <c r="G292" s="140"/>
      <c r="H292" s="140"/>
      <c r="I292" s="140"/>
      <c r="J292" s="141"/>
      <c r="K292" s="142"/>
      <c r="L292" s="143"/>
      <c r="M292" s="144"/>
      <c r="N292" s="145"/>
      <c r="O292" s="145"/>
      <c r="P292" s="122"/>
      <c r="Q292" s="304" t="str">
        <f t="shared" si="6"/>
        <v/>
      </c>
      <c r="S292" s="147"/>
      <c r="T292" s="148"/>
      <c r="U292" s="148"/>
      <c r="V292" s="148"/>
      <c r="W292" s="148"/>
      <c r="X292" s="148"/>
      <c r="Y292" s="148"/>
      <c r="Z292" s="148"/>
      <c r="AA292" s="148"/>
      <c r="AB292" s="148"/>
      <c r="AC292" s="148"/>
      <c r="AD292" s="148"/>
      <c r="AE292" s="148"/>
      <c r="AF292" s="148"/>
      <c r="AG292" s="148"/>
    </row>
    <row r="293" ht="15.75" customHeight="1">
      <c r="A293" s="149"/>
      <c r="B293" s="150"/>
      <c r="C293" s="149"/>
      <c r="D293" s="125" t="s">
        <v>32</v>
      </c>
      <c r="E293" s="126"/>
      <c r="F293" s="127">
        <v>3.0</v>
      </c>
      <c r="G293" s="128">
        <v>45942.0</v>
      </c>
      <c r="H293" s="129"/>
      <c r="I293" s="130">
        <v>45.0</v>
      </c>
      <c r="J293" s="151">
        <v>6.0</v>
      </c>
      <c r="K293" s="132"/>
      <c r="L293" s="133">
        <v>5.0</v>
      </c>
      <c r="M293" s="134">
        <f>I158</f>
        <v>405</v>
      </c>
      <c r="N293" s="135" t="str">
        <f>iferror(mround($P158*((VLOOKUP($J293,Sheet1!$D:$N,$G293+1,FALSE)-0.03)),2.5)," ")</f>
        <v> </v>
      </c>
      <c r="O293" s="135" t="str">
        <f>iferror(mround($P158*((VLOOKUP($J293,Sheet1!$D:$N,$G293+1,FALSE)+0.02)),2.5)," ")</f>
        <v> </v>
      </c>
      <c r="P293" s="56" t="str">
        <f>iferror(mround(I293/VLOOKUP(L293,Sheet1!$D$7:$N$16,G293+1,FALSE),2.5),"")</f>
        <v/>
      </c>
      <c r="Q293" s="303">
        <f t="shared" si="6"/>
        <v>-360</v>
      </c>
      <c r="S293" s="11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</row>
    <row r="294" ht="3.75" customHeight="1">
      <c r="A294" s="152"/>
      <c r="B294" s="150"/>
      <c r="C294" s="153"/>
      <c r="D294" s="138"/>
      <c r="E294" s="154"/>
      <c r="F294" s="155"/>
      <c r="G294" s="102"/>
      <c r="H294" s="102"/>
      <c r="I294" s="102"/>
      <c r="J294" s="156"/>
      <c r="K294" s="142"/>
      <c r="L294" s="143"/>
      <c r="M294" s="144"/>
      <c r="N294" s="145"/>
      <c r="O294" s="145"/>
      <c r="P294" s="122"/>
      <c r="Q294" s="304" t="str">
        <f t="shared" si="6"/>
        <v/>
      </c>
      <c r="S294" s="157"/>
      <c r="T294" s="5"/>
      <c r="U294" s="5"/>
      <c r="V294" s="158"/>
      <c r="W294" s="158"/>
      <c r="X294" s="158"/>
      <c r="Y294" s="158"/>
      <c r="Z294" s="158"/>
      <c r="AA294" s="158"/>
      <c r="AB294" s="158"/>
      <c r="AC294" s="158"/>
      <c r="AD294" s="158"/>
      <c r="AE294" s="158"/>
      <c r="AF294" s="158"/>
      <c r="AG294" s="158"/>
    </row>
    <row r="295" ht="15.75" customHeight="1">
      <c r="A295" s="149"/>
      <c r="B295" s="150"/>
      <c r="C295" s="149"/>
      <c r="D295" s="159" t="s">
        <v>33</v>
      </c>
      <c r="E295" s="160" t="s">
        <v>34</v>
      </c>
      <c r="F295" s="127">
        <v>1.0</v>
      </c>
      <c r="G295" s="161">
        <v>5.0</v>
      </c>
      <c r="H295" s="129"/>
      <c r="I295" s="130">
        <v>225.0</v>
      </c>
      <c r="J295" s="151">
        <v>7.0</v>
      </c>
      <c r="K295" s="132"/>
      <c r="L295" s="133">
        <v>6.0</v>
      </c>
      <c r="M295" s="134" t="str">
        <f>I160</f>
        <v/>
      </c>
      <c r="N295" s="135">
        <f>iferror(mround($P160*((VLOOKUP($J295,Sheet1!$D:$N,$G295+1,FALSE)-0.03)),2.5)," ")</f>
        <v>0</v>
      </c>
      <c r="O295" s="135">
        <f>iferror(mround($P160*((VLOOKUP($J295,Sheet1!$D:$N,$G295+1,FALSE)+0.02)),2.5)," ")</f>
        <v>0</v>
      </c>
      <c r="P295" s="56">
        <f>iferror(mround(I295/VLOOKUP(L295,Sheet1!$D$7:$N$16,G295+1,FALSE),2.5),"")</f>
        <v>295</v>
      </c>
      <c r="Q295" s="303" t="str">
        <f t="shared" si="6"/>
        <v/>
      </c>
      <c r="S295" s="11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</row>
    <row r="296" ht="3.75" customHeight="1">
      <c r="A296" s="162"/>
      <c r="B296" s="163"/>
      <c r="C296" s="162"/>
      <c r="D296" s="138"/>
      <c r="E296" s="139"/>
      <c r="F296" s="140"/>
      <c r="G296" s="140"/>
      <c r="H296" s="140"/>
      <c r="I296" s="140"/>
      <c r="J296" s="141"/>
      <c r="K296" s="142"/>
      <c r="L296" s="143"/>
      <c r="M296" s="144"/>
      <c r="N296" s="145"/>
      <c r="O296" s="145"/>
      <c r="P296" s="122"/>
      <c r="Q296" s="304" t="str">
        <f t="shared" si="6"/>
        <v/>
      </c>
      <c r="S296" s="147"/>
      <c r="T296" s="148"/>
      <c r="U296" s="148"/>
      <c r="V296" s="148"/>
      <c r="W296" s="148"/>
      <c r="X296" s="148"/>
      <c r="Y296" s="148"/>
      <c r="Z296" s="148"/>
      <c r="AA296" s="148"/>
      <c r="AB296" s="148"/>
      <c r="AC296" s="148"/>
      <c r="AD296" s="148"/>
      <c r="AE296" s="148"/>
      <c r="AF296" s="148"/>
      <c r="AG296" s="148"/>
    </row>
    <row r="297" ht="15.75" customHeight="1">
      <c r="A297" s="149"/>
      <c r="B297" s="150"/>
      <c r="C297" s="149"/>
      <c r="D297" s="159" t="s">
        <v>33</v>
      </c>
      <c r="E297" s="160" t="s">
        <v>34</v>
      </c>
      <c r="F297" s="127">
        <v>2.0</v>
      </c>
      <c r="G297" s="161">
        <v>5.0</v>
      </c>
      <c r="H297" s="129"/>
      <c r="I297" s="164">
        <f>MROUND(I295*(1+J297),5)</f>
        <v>205</v>
      </c>
      <c r="J297" s="165">
        <v>-0.1</v>
      </c>
      <c r="K297" s="132"/>
      <c r="L297" s="133">
        <v>5.0</v>
      </c>
      <c r="M297" s="134" t="str">
        <f>I162</f>
        <v/>
      </c>
      <c r="N297" s="135" t="str">
        <f>iferror(mround($P162*((VLOOKUP($J297,Sheet1!$D:$N,$G297+1,FALSE)-0.03)),2.5)," ")</f>
        <v> </v>
      </c>
      <c r="O297" s="135" t="str">
        <f>iferror(mround($P162*((VLOOKUP($J297,Sheet1!$D:$N,$G297+1,FALSE)+0.02)),2.5)," ")</f>
        <v> </v>
      </c>
      <c r="P297" s="56" t="str">
        <f>iferror(mround(I297/VLOOKUP(L297,Sheet1!$D$7:$N$16,G297+1,FALSE),2.5),"")</f>
        <v/>
      </c>
      <c r="Q297" s="303" t="str">
        <f t="shared" si="6"/>
        <v/>
      </c>
      <c r="S297" s="11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</row>
    <row r="298" ht="3.75" customHeight="1">
      <c r="A298" s="162"/>
      <c r="B298" s="163"/>
      <c r="C298" s="162"/>
      <c r="D298" s="138"/>
      <c r="E298" s="139"/>
      <c r="F298" s="102"/>
      <c r="G298" s="102"/>
      <c r="H298" s="102"/>
      <c r="I298" s="102"/>
      <c r="J298" s="156"/>
      <c r="K298" s="142"/>
      <c r="L298" s="143"/>
      <c r="M298" s="144"/>
      <c r="N298" s="145"/>
      <c r="O298" s="145"/>
      <c r="P298" s="122"/>
      <c r="Q298" s="304" t="str">
        <f t="shared" si="6"/>
        <v/>
      </c>
      <c r="S298" s="147"/>
      <c r="T298" s="148"/>
      <c r="U298" s="148"/>
      <c r="V298" s="148"/>
      <c r="W298" s="148"/>
      <c r="X298" s="148"/>
      <c r="Y298" s="148"/>
      <c r="Z298" s="148"/>
      <c r="AA298" s="148"/>
      <c r="AB298" s="148"/>
      <c r="AC298" s="148"/>
      <c r="AD298" s="148"/>
      <c r="AE298" s="148"/>
      <c r="AF298" s="148"/>
      <c r="AG298" s="148"/>
    </row>
    <row r="299" ht="15.75" customHeight="1">
      <c r="A299" s="90"/>
      <c r="B299" s="6"/>
      <c r="C299" s="90"/>
      <c r="D299" s="166" t="s">
        <v>35</v>
      </c>
      <c r="E299" s="167" t="s">
        <v>36</v>
      </c>
      <c r="F299" s="127">
        <v>2.0</v>
      </c>
      <c r="G299" s="161">
        <v>6.0</v>
      </c>
      <c r="H299" s="129"/>
      <c r="I299" s="130">
        <v>215.0</v>
      </c>
      <c r="J299" s="151">
        <v>7.0</v>
      </c>
      <c r="K299" s="132"/>
      <c r="L299" s="133">
        <v>7.0</v>
      </c>
      <c r="M299" s="134">
        <f>I164</f>
        <v>0</v>
      </c>
      <c r="N299" s="135">
        <f>iferror(mround($P164*((VLOOKUP($J299,Sheet1!$D:$N,$G299+1,FALSE)-0.03)),2.5)," ")</f>
        <v>0</v>
      </c>
      <c r="O299" s="135">
        <f>iferror(mround($P164*((VLOOKUP($J299,Sheet1!$D:$N,$G299+1,FALSE)+0.02)),2.5)," ")</f>
        <v>0</v>
      </c>
      <c r="P299" s="56">
        <f>iferror(mround(I299/VLOOKUP(L299,Sheet1!$D$7:$N$16,G299+1,FALSE),2.5),"")</f>
        <v>280</v>
      </c>
      <c r="Q299" s="303">
        <f t="shared" si="6"/>
        <v>215</v>
      </c>
      <c r="S299" s="11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</row>
    <row r="300" ht="3.75" customHeight="1">
      <c r="A300" s="168"/>
      <c r="B300" s="70"/>
      <c r="C300" s="168"/>
      <c r="D300" s="138"/>
      <c r="E300" s="139"/>
      <c r="F300" s="102"/>
      <c r="G300" s="102"/>
      <c r="H300" s="102"/>
      <c r="I300" s="102"/>
      <c r="J300" s="156"/>
      <c r="K300" s="142"/>
      <c r="L300" s="143"/>
      <c r="M300" s="144"/>
      <c r="N300" s="145"/>
      <c r="O300" s="145"/>
      <c r="P300" s="122"/>
      <c r="Q300" s="304" t="str">
        <f t="shared" si="6"/>
        <v/>
      </c>
      <c r="S300" s="147"/>
      <c r="T300" s="148"/>
      <c r="U300" s="148"/>
      <c r="V300" s="148"/>
      <c r="W300" s="148"/>
      <c r="X300" s="148"/>
      <c r="Y300" s="148"/>
      <c r="Z300" s="148"/>
      <c r="AA300" s="148"/>
      <c r="AB300" s="148"/>
      <c r="AC300" s="148"/>
      <c r="AD300" s="148"/>
      <c r="AE300" s="148"/>
      <c r="AF300" s="148"/>
      <c r="AG300" s="148"/>
    </row>
    <row r="301" ht="15.75" customHeight="1">
      <c r="A301" s="90"/>
      <c r="B301" s="6"/>
      <c r="C301" s="90"/>
      <c r="D301" s="166" t="s">
        <v>37</v>
      </c>
      <c r="E301" s="167" t="s">
        <v>38</v>
      </c>
      <c r="F301" s="127">
        <v>3.0</v>
      </c>
      <c r="G301" s="169">
        <v>45942.0</v>
      </c>
      <c r="H301" s="129"/>
      <c r="I301" s="130">
        <v>180.0</v>
      </c>
      <c r="J301" s="151">
        <v>8.0</v>
      </c>
      <c r="K301" s="170"/>
      <c r="L301" s="133">
        <v>7.0</v>
      </c>
      <c r="M301" s="134" t="str">
        <f>I166</f>
        <v/>
      </c>
      <c r="N301" s="135" t="str">
        <f>iferror(mround($P166*((VLOOKUP($J301,Sheet1!$D:$N,$G301+1,FALSE)-0.03)),2.5)," ")</f>
        <v> </v>
      </c>
      <c r="O301" s="135" t="str">
        <f>iferror(mround($P166*((VLOOKUP($J301,Sheet1!$D:$N,$G301+1,FALSE)+0.02)),2.5)," ")</f>
        <v> </v>
      </c>
      <c r="P301" s="56" t="str">
        <f>iferror(mround(I301/VLOOKUP(L301,Sheet1!$D$7:$N$16,G301+1,FALSE),2.5),"")</f>
        <v/>
      </c>
      <c r="Q301" s="303" t="str">
        <f t="shared" si="6"/>
        <v/>
      </c>
      <c r="S301" s="11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</row>
    <row r="302" ht="3.75" customHeight="1">
      <c r="A302" s="90"/>
      <c r="B302" s="6"/>
      <c r="C302" s="90"/>
      <c r="D302" s="171"/>
      <c r="E302" s="172"/>
      <c r="F302" s="173"/>
      <c r="G302" s="173"/>
      <c r="H302" s="173"/>
      <c r="I302" s="173"/>
      <c r="J302" s="174"/>
      <c r="K302" s="142"/>
      <c r="L302" s="143"/>
      <c r="M302" s="144"/>
      <c r="N302" s="145"/>
      <c r="O302" s="145"/>
      <c r="P302" s="122"/>
      <c r="Q302" s="304" t="str">
        <f t="shared" si="6"/>
        <v/>
      </c>
      <c r="S302" s="11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</row>
    <row r="303" ht="15.75" customHeight="1">
      <c r="A303" s="90"/>
      <c r="B303" s="6"/>
      <c r="C303" s="90"/>
      <c r="D303" s="166" t="s">
        <v>39</v>
      </c>
      <c r="E303" s="160"/>
      <c r="F303" s="127">
        <v>2.0</v>
      </c>
      <c r="G303" s="161" t="s">
        <v>16</v>
      </c>
      <c r="H303" s="129"/>
      <c r="I303" s="130" t="s">
        <v>104</v>
      </c>
      <c r="J303" s="151">
        <v>8.0</v>
      </c>
      <c r="K303" s="132"/>
      <c r="L303" s="133"/>
      <c r="M303" s="134" t="str">
        <f>I168</f>
        <v/>
      </c>
      <c r="N303" s="135" t="str">
        <f>iferror(mround($P168*((VLOOKUP($J303,Sheet1!$D:$N,$G303+1,FALSE)-0.03)),2.5)," ")</f>
        <v> </v>
      </c>
      <c r="O303" s="135" t="str">
        <f>iferror(mround($P168*((VLOOKUP($J303,Sheet1!$D:$N,$G303+1,FALSE)+0.02)),2.5)," ")</f>
        <v> </v>
      </c>
      <c r="P303" s="56" t="str">
        <f>iferror(mround(I303/VLOOKUP(L303,Sheet1!$D$7:$N$16,G303+1,FALSE),2.5),"")</f>
        <v/>
      </c>
      <c r="Q303" s="303" t="str">
        <f t="shared" si="6"/>
        <v/>
      </c>
      <c r="S303" s="11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</row>
    <row r="304" ht="3.75" customHeight="1">
      <c r="A304" s="90"/>
      <c r="B304" s="6"/>
      <c r="C304" s="90"/>
      <c r="D304" s="171"/>
      <c r="E304" s="172"/>
      <c r="F304" s="173"/>
      <c r="G304" s="173"/>
      <c r="H304" s="173"/>
      <c r="I304" s="173"/>
      <c r="J304" s="174"/>
      <c r="K304" s="142"/>
      <c r="L304" s="143"/>
      <c r="M304" s="144"/>
      <c r="N304" s="145"/>
      <c r="O304" s="145"/>
      <c r="P304" s="122"/>
      <c r="Q304" s="304" t="str">
        <f t="shared" si="6"/>
        <v/>
      </c>
      <c r="S304" s="11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</row>
    <row r="305" ht="15.75" hidden="1" customHeight="1">
      <c r="A305" s="90"/>
      <c r="B305" s="6"/>
      <c r="C305" s="90"/>
      <c r="D305" s="175" t="s">
        <v>40</v>
      </c>
      <c r="E305" s="176"/>
      <c r="F305" s="177">
        <v>3.0</v>
      </c>
      <c r="G305" s="178" t="s">
        <v>41</v>
      </c>
      <c r="H305" s="179"/>
      <c r="I305" s="180"/>
      <c r="J305" s="181">
        <v>8.0</v>
      </c>
      <c r="K305" s="182"/>
      <c r="L305" s="183"/>
      <c r="M305" s="134" t="str">
        <f>I170</f>
        <v/>
      </c>
      <c r="N305" s="135" t="str">
        <f>iferror(mround($P170*((VLOOKUP($J305,Sheet1!$D:$N,$G305+1,FALSE)-0.03)),2.5)," ")</f>
        <v> </v>
      </c>
      <c r="O305" s="135" t="str">
        <f>iferror(mround($P170*((VLOOKUP($J305,Sheet1!$D:$N,$G305+1,FALSE)+0.02)),2.5)," ")</f>
        <v> </v>
      </c>
      <c r="P305" s="56" t="str">
        <f>iferror(mround(I305/VLOOKUP(L305,Sheet1!$D$7:$N$16,G305+1,FALSE),2.5),"")</f>
        <v/>
      </c>
      <c r="Q305" s="303" t="str">
        <f t="shared" si="6"/>
        <v/>
      </c>
      <c r="S305" s="11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</row>
    <row r="306" ht="3.75" hidden="1" customHeight="1">
      <c r="A306" s="90"/>
      <c r="B306" s="6"/>
      <c r="C306" s="90"/>
      <c r="D306" s="138"/>
      <c r="E306" s="184"/>
      <c r="F306" s="102"/>
      <c r="G306" s="102"/>
      <c r="H306" s="102"/>
      <c r="I306" s="102"/>
      <c r="J306" s="156"/>
      <c r="K306" s="103"/>
      <c r="L306" s="143"/>
      <c r="M306" s="144"/>
      <c r="N306" s="145"/>
      <c r="O306" s="145"/>
      <c r="P306" s="122"/>
      <c r="Q306" s="304" t="str">
        <f t="shared" si="6"/>
        <v/>
      </c>
      <c r="S306" s="11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</row>
    <row r="307" ht="15.75" hidden="1" customHeight="1">
      <c r="A307" s="90"/>
      <c r="B307" s="6"/>
      <c r="C307" s="90"/>
      <c r="D307" s="185"/>
      <c r="E307" s="186"/>
      <c r="F307" s="187"/>
      <c r="G307" s="188"/>
      <c r="H307" s="129"/>
      <c r="I307" s="164"/>
      <c r="J307" s="189"/>
      <c r="K307" s="190"/>
      <c r="L307" s="183"/>
      <c r="M307" s="134" t="str">
        <f>I172</f>
        <v/>
      </c>
      <c r="N307" s="135" t="str">
        <f>iferror(mround($P172*((VLOOKUP($J307,Sheet1!$D:$N,$G307+1,FALSE)-0.03)),2.5)," ")</f>
        <v> </v>
      </c>
      <c r="O307" s="135" t="str">
        <f>iferror(mround($P172*((VLOOKUP($J307,Sheet1!$D:$N,$G307+1,FALSE)+0.02)),2.5)," ")</f>
        <v> </v>
      </c>
      <c r="P307" s="56" t="str">
        <f>iferror(mround(I307/VLOOKUP(L307,Sheet1!$D$7:$N$16,G307+1,FALSE),2.5),"")</f>
        <v/>
      </c>
      <c r="Q307" s="303" t="str">
        <f t="shared" si="6"/>
        <v/>
      </c>
      <c r="S307" s="11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</row>
    <row r="308" ht="3.75" hidden="1" customHeight="1">
      <c r="A308" s="191"/>
      <c r="B308" s="6"/>
      <c r="C308" s="192"/>
      <c r="D308" s="138"/>
      <c r="E308" s="193"/>
      <c r="F308" s="194"/>
      <c r="G308" s="155"/>
      <c r="H308" s="102"/>
      <c r="I308" s="102"/>
      <c r="J308" s="156"/>
      <c r="K308" s="103"/>
      <c r="L308" s="143"/>
      <c r="M308" s="144"/>
      <c r="N308" s="145"/>
      <c r="O308" s="145"/>
      <c r="P308" s="122"/>
      <c r="Q308" s="304" t="str">
        <f t="shared" si="6"/>
        <v/>
      </c>
      <c r="S308" s="157"/>
      <c r="T308" s="5"/>
      <c r="U308" s="5"/>
      <c r="V308" s="158"/>
      <c r="W308" s="158"/>
      <c r="X308" s="158"/>
      <c r="Y308" s="158"/>
      <c r="Z308" s="158"/>
      <c r="AA308" s="158"/>
      <c r="AB308" s="158"/>
      <c r="AC308" s="158"/>
      <c r="AD308" s="158"/>
      <c r="AE308" s="158"/>
      <c r="AF308" s="158"/>
      <c r="AG308" s="158"/>
    </row>
    <row r="309" ht="15.75" hidden="1" customHeight="1">
      <c r="A309" s="90"/>
      <c r="B309" s="6"/>
      <c r="C309" s="90"/>
      <c r="D309" s="185"/>
      <c r="E309" s="186"/>
      <c r="F309" s="187"/>
      <c r="G309" s="195"/>
      <c r="H309" s="129"/>
      <c r="I309" s="164"/>
      <c r="J309" s="189"/>
      <c r="K309" s="190"/>
      <c r="L309" s="183"/>
      <c r="M309" s="134" t="str">
        <f>I174</f>
        <v/>
      </c>
      <c r="N309" s="135" t="str">
        <f>iferror(mround($P174*((VLOOKUP($J309,Sheet1!$D:$N,$G309+1,FALSE)-0.03)),2.5)," ")</f>
        <v> </v>
      </c>
      <c r="O309" s="135" t="str">
        <f>iferror(mround($P174*((VLOOKUP($J309,Sheet1!$D:$N,$G309+1,FALSE)+0.02)),2.5)," ")</f>
        <v> </v>
      </c>
      <c r="P309" s="56" t="str">
        <f>iferror(mround(I309/VLOOKUP(L309,Sheet1!$D$7:$N$16,G309+1,FALSE),2.5),"")</f>
        <v/>
      </c>
      <c r="Q309" s="303" t="str">
        <f t="shared" si="6"/>
        <v/>
      </c>
      <c r="S309" s="11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</row>
    <row r="310" ht="3.75" hidden="1" customHeight="1">
      <c r="A310" s="90"/>
      <c r="B310" s="6"/>
      <c r="C310" s="90"/>
      <c r="D310" s="196"/>
      <c r="E310" s="184"/>
      <c r="F310" s="102"/>
      <c r="G310" s="102"/>
      <c r="H310" s="102"/>
      <c r="I310" s="102"/>
      <c r="J310" s="156"/>
      <c r="K310" s="103"/>
      <c r="L310" s="143"/>
      <c r="M310" s="144"/>
      <c r="N310" s="145"/>
      <c r="O310" s="145"/>
      <c r="P310" s="122"/>
      <c r="Q310" s="304" t="str">
        <f t="shared" si="6"/>
        <v/>
      </c>
      <c r="S310" s="11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</row>
    <row r="311" ht="15.75" hidden="1" customHeight="1">
      <c r="A311" s="90"/>
      <c r="B311" s="6"/>
      <c r="C311" s="90"/>
      <c r="D311" s="197"/>
      <c r="E311" s="198"/>
      <c r="F311" s="199"/>
      <c r="G311" s="195"/>
      <c r="H311" s="129"/>
      <c r="I311" s="164"/>
      <c r="J311" s="189"/>
      <c r="K311" s="190"/>
      <c r="L311" s="183"/>
      <c r="M311" s="134" t="str">
        <f>I176</f>
        <v/>
      </c>
      <c r="N311" s="135" t="str">
        <f>iferror(mround($P176*((VLOOKUP($J311,Sheet1!$D:$N,$G311+1,FALSE)-0.03)),2.5)," ")</f>
        <v> </v>
      </c>
      <c r="O311" s="135" t="str">
        <f>iferror(mround($P176*((VLOOKUP($J311,Sheet1!$D:$N,$G311+1,FALSE)+0.02)),2.5)," ")</f>
        <v> </v>
      </c>
      <c r="P311" s="56" t="str">
        <f>iferror(mround(I311/VLOOKUP(L311,Sheet1!$D$7:$N$16,G311+1,FALSE),2.5),"")</f>
        <v/>
      </c>
      <c r="Q311" s="303" t="str">
        <f t="shared" si="6"/>
        <v/>
      </c>
      <c r="S311" s="11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</row>
    <row r="312" ht="3.75" customHeight="1">
      <c r="A312" s="90"/>
      <c r="B312" s="6"/>
      <c r="C312" s="90"/>
      <c r="D312" s="90"/>
      <c r="E312" s="156"/>
      <c r="F312" s="102"/>
      <c r="G312" s="102"/>
      <c r="H312" s="102"/>
      <c r="I312" s="102"/>
      <c r="J312" s="156"/>
      <c r="K312" s="200"/>
      <c r="L312" s="201"/>
      <c r="M312" s="144"/>
      <c r="N312" s="47"/>
      <c r="O312" s="47"/>
      <c r="P312" s="122"/>
      <c r="Q312" s="304" t="str">
        <f t="shared" si="6"/>
        <v/>
      </c>
      <c r="S312" s="11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</row>
    <row r="313" ht="30.0" customHeight="1">
      <c r="A313" s="90"/>
      <c r="B313" s="6"/>
      <c r="C313" s="90"/>
      <c r="D313" s="202" t="s">
        <v>42</v>
      </c>
      <c r="E313" s="105" t="s">
        <v>105</v>
      </c>
      <c r="F313" s="106" t="s">
        <v>16</v>
      </c>
      <c r="G313" s="106" t="s">
        <v>17</v>
      </c>
      <c r="H313" s="107"/>
      <c r="I313" s="106" t="s">
        <v>18</v>
      </c>
      <c r="J313" s="108" t="s">
        <v>19</v>
      </c>
      <c r="L313" s="109" t="s">
        <v>20</v>
      </c>
      <c r="M313" s="110" t="s">
        <v>21</v>
      </c>
      <c r="N313" s="111" t="s">
        <v>22</v>
      </c>
      <c r="P313" s="112"/>
      <c r="Q313" s="113" t="s">
        <v>23</v>
      </c>
      <c r="R313" s="114"/>
      <c r="S313" s="11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</row>
    <row r="314" ht="14.25" customHeight="1">
      <c r="A314" s="90"/>
      <c r="B314" s="6"/>
      <c r="C314" s="90"/>
      <c r="D314" s="116">
        <v>4.0</v>
      </c>
      <c r="E314" s="117" t="s">
        <v>76</v>
      </c>
      <c r="H314" s="107"/>
      <c r="N314" s="111" t="s">
        <v>27</v>
      </c>
      <c r="O314" s="111" t="s">
        <v>28</v>
      </c>
      <c r="P314" s="112" t="s">
        <v>29</v>
      </c>
      <c r="R314" s="118" t="s">
        <v>30</v>
      </c>
      <c r="S314" s="11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</row>
    <row r="315" ht="3.75" customHeight="1">
      <c r="A315" s="191"/>
      <c r="B315" s="6"/>
      <c r="C315" s="192"/>
      <c r="D315" s="203"/>
      <c r="E315" s="204"/>
      <c r="F315" s="205"/>
      <c r="G315" s="205"/>
      <c r="H315" s="206"/>
      <c r="I315" s="207"/>
      <c r="J315" s="208"/>
      <c r="K315" s="209"/>
      <c r="L315" s="210"/>
      <c r="M315" s="211"/>
      <c r="N315" s="47"/>
      <c r="O315" s="47"/>
      <c r="P315" s="122"/>
      <c r="Q315" s="304" t="str">
        <f t="shared" ref="Q315:Q337" si="7">IF(OR(ISBLANK(I315), ISBLANK(I180)), "", IF(I315 - I180 = 0, "", I315 - I180))</f>
        <v/>
      </c>
      <c r="R315" s="212"/>
      <c r="S315" s="157"/>
      <c r="T315" s="5"/>
      <c r="U315" s="5"/>
      <c r="V315" s="158"/>
      <c r="W315" s="158"/>
      <c r="X315" s="158"/>
      <c r="Y315" s="158"/>
      <c r="Z315" s="158"/>
      <c r="AA315" s="158"/>
      <c r="AB315" s="158"/>
      <c r="AC315" s="158"/>
      <c r="AD315" s="158"/>
      <c r="AE315" s="158"/>
      <c r="AF315" s="158"/>
      <c r="AG315" s="158"/>
    </row>
    <row r="316" ht="15.75" customHeight="1">
      <c r="A316" s="124"/>
      <c r="B316" s="6"/>
      <c r="C316" s="124"/>
      <c r="D316" s="159" t="s">
        <v>33</v>
      </c>
      <c r="E316" s="167"/>
      <c r="F316" s="127">
        <v>1.0</v>
      </c>
      <c r="G316" s="127">
        <v>2.0</v>
      </c>
      <c r="H316" s="195"/>
      <c r="I316" s="130">
        <v>281.0</v>
      </c>
      <c r="J316" s="151">
        <v>7.5</v>
      </c>
      <c r="K316" s="213"/>
      <c r="L316" s="133">
        <v>7.0</v>
      </c>
      <c r="M316" s="134" t="str">
        <f>I181</f>
        <v/>
      </c>
      <c r="N316" s="135">
        <f>iferror(mround($P181*((VLOOKUP($J316,Sheet1!$D:$N,$G316+1,FALSE)-0.03)),2.5)," ")</f>
        <v>0</v>
      </c>
      <c r="O316" s="135">
        <f>iferror(mround($P181*((VLOOKUP($J316,Sheet1!$D:$N,$G316+1,FALSE)+0.02)),2.5)," ")</f>
        <v>0</v>
      </c>
      <c r="P316" s="112">
        <f>iferror(mround(I316/VLOOKUP(L316,Sheet1!$D$7:$N$16,G316+1,FALSE),2.5),"")</f>
        <v>325</v>
      </c>
      <c r="Q316" s="303" t="str">
        <f t="shared" si="7"/>
        <v/>
      </c>
      <c r="R316" s="214"/>
      <c r="S316" s="11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</row>
    <row r="317" ht="3.75" customHeight="1">
      <c r="A317" s="124"/>
      <c r="B317" s="6"/>
      <c r="C317" s="124"/>
      <c r="D317" s="138"/>
      <c r="E317" s="215"/>
      <c r="F317" s="102"/>
      <c r="G317" s="102"/>
      <c r="H317" s="102"/>
      <c r="I317" s="102"/>
      <c r="J317" s="216"/>
      <c r="K317" s="217"/>
      <c r="L317" s="218"/>
      <c r="M317" s="144"/>
      <c r="N317" s="145"/>
      <c r="O317" s="145"/>
      <c r="P317" s="122"/>
      <c r="Q317" s="304" t="str">
        <f t="shared" si="7"/>
        <v/>
      </c>
      <c r="R317" s="214"/>
      <c r="S317" s="11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</row>
    <row r="318" ht="15.75" customHeight="1">
      <c r="A318" s="90"/>
      <c r="B318" s="6"/>
      <c r="C318" s="90"/>
      <c r="D318" s="159" t="s">
        <v>33</v>
      </c>
      <c r="E318" s="167"/>
      <c r="F318" s="127">
        <v>2.0</v>
      </c>
      <c r="G318" s="161">
        <v>5.0</v>
      </c>
      <c r="H318" s="195"/>
      <c r="I318" s="130">
        <v>253.0</v>
      </c>
      <c r="J318" s="151">
        <v>7.0</v>
      </c>
      <c r="K318" s="219"/>
      <c r="L318" s="133">
        <v>7.5</v>
      </c>
      <c r="M318" s="134" t="str">
        <f>I183</f>
        <v/>
      </c>
      <c r="N318" s="135">
        <f>iferror(mround($P183*((VLOOKUP($J318,Sheet1!$D:$N,$G318+1,FALSE)-0.03)),2.5)," ")</f>
        <v>0</v>
      </c>
      <c r="O318" s="135">
        <f>iferror(mround($P183*((VLOOKUP($J318,Sheet1!$D:$N,$G318+1,FALSE)+0.02)),2.5)," ")</f>
        <v>0</v>
      </c>
      <c r="P318" s="112">
        <f>iferror(mround(I318/VLOOKUP(L318,Sheet1!$D$7:$N$16,G318+1,FALSE),2.5),"")</f>
        <v>315</v>
      </c>
      <c r="Q318" s="303" t="str">
        <f t="shared" si="7"/>
        <v/>
      </c>
      <c r="R318" s="214"/>
      <c r="S318" s="11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</row>
    <row r="319" ht="3.75" customHeight="1">
      <c r="A319" s="90"/>
      <c r="B319" s="6"/>
      <c r="C319" s="90"/>
      <c r="D319" s="138"/>
      <c r="E319" s="215"/>
      <c r="F319" s="102"/>
      <c r="G319" s="102"/>
      <c r="H319" s="102"/>
      <c r="I319" s="102"/>
      <c r="J319" s="156"/>
      <c r="K319" s="217"/>
      <c r="L319" s="218"/>
      <c r="M319" s="144"/>
      <c r="N319" s="145"/>
      <c r="O319" s="145"/>
      <c r="P319" s="122"/>
      <c r="Q319" s="304" t="str">
        <f t="shared" si="7"/>
        <v/>
      </c>
      <c r="R319" s="214"/>
      <c r="S319" s="11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</row>
    <row r="320" ht="15.75" customHeight="1">
      <c r="A320" s="90"/>
      <c r="B320" s="6"/>
      <c r="C320" s="90"/>
      <c r="D320" s="159" t="s">
        <v>44</v>
      </c>
      <c r="E320" s="167"/>
      <c r="F320" s="127">
        <v>3.0</v>
      </c>
      <c r="G320" s="169">
        <v>45577.0</v>
      </c>
      <c r="H320" s="195"/>
      <c r="I320" s="130">
        <v>55.0</v>
      </c>
      <c r="J320" s="151">
        <v>8.0</v>
      </c>
      <c r="K320" s="219"/>
      <c r="L320" s="133">
        <v>7.0</v>
      </c>
      <c r="M320" s="134">
        <f>I185</f>
        <v>0</v>
      </c>
      <c r="N320" s="135" t="str">
        <f>iferror(mround($P185*((VLOOKUP($J320,Sheet1!$D:$N,$G320+1,FALSE)-0.03)),2.5)," ")</f>
        <v> </v>
      </c>
      <c r="O320" s="135" t="str">
        <f>iferror(mround($P185*((VLOOKUP($J320,Sheet1!$D:$N,$G320+1,FALSE)+0.02)),2.5)," ")</f>
        <v> </v>
      </c>
      <c r="P320" s="112" t="str">
        <f>iferror(mround(I320/VLOOKUP(L320,Sheet1!$D$7:$N$16,G320+1,FALSE),2.5),"")</f>
        <v/>
      </c>
      <c r="Q320" s="303">
        <f t="shared" si="7"/>
        <v>55</v>
      </c>
      <c r="R320" s="214"/>
      <c r="S320" s="11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</row>
    <row r="321" ht="3.75" customHeight="1">
      <c r="A321" s="90"/>
      <c r="B321" s="6"/>
      <c r="C321" s="90"/>
      <c r="D321" s="138"/>
      <c r="E321" s="215"/>
      <c r="F321" s="102"/>
      <c r="G321" s="102"/>
      <c r="H321" s="102"/>
      <c r="I321" s="102"/>
      <c r="J321" s="156"/>
      <c r="K321" s="217"/>
      <c r="L321" s="143"/>
      <c r="M321" s="144"/>
      <c r="N321" s="145"/>
      <c r="O321" s="145"/>
      <c r="P321" s="122"/>
      <c r="Q321" s="304" t="str">
        <f t="shared" si="7"/>
        <v/>
      </c>
      <c r="R321" s="214"/>
      <c r="S321" s="11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</row>
    <row r="322" ht="15.75" customHeight="1">
      <c r="A322" s="90"/>
      <c r="B322" s="6"/>
      <c r="C322" s="90"/>
      <c r="D322" s="159" t="s">
        <v>45</v>
      </c>
      <c r="E322" s="220"/>
      <c r="F322" s="127">
        <v>3.0</v>
      </c>
      <c r="G322" s="127" t="s">
        <v>41</v>
      </c>
      <c r="H322" s="195"/>
      <c r="I322" s="164"/>
      <c r="J322" s="151">
        <v>8.0</v>
      </c>
      <c r="K322" s="213"/>
      <c r="L322" s="133"/>
      <c r="M322" s="134" t="str">
        <f>I187</f>
        <v/>
      </c>
      <c r="N322" s="135" t="str">
        <f>iferror(mround($P187*((VLOOKUP($J322,Sheet1!$D:$N,$G322+1,FALSE)-0.03)),2.5)," ")</f>
        <v> </v>
      </c>
      <c r="O322" s="135" t="str">
        <f>iferror(mround($P187*((VLOOKUP($J322,Sheet1!$D:$N,$G322+1,FALSE)+0.02)),2.5)," ")</f>
        <v> </v>
      </c>
      <c r="P322" s="112" t="str">
        <f>iferror(mround(I322/VLOOKUP(L322,Sheet1!$D$7:$N$16,G322+1,FALSE),2.5),"")</f>
        <v/>
      </c>
      <c r="Q322" s="303" t="str">
        <f t="shared" si="7"/>
        <v/>
      </c>
      <c r="R322" s="214"/>
      <c r="S322" s="11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</row>
    <row r="323" ht="3.75" customHeight="1">
      <c r="A323" s="90"/>
      <c r="B323" s="6"/>
      <c r="C323" s="90"/>
      <c r="D323" s="138"/>
      <c r="E323" s="215"/>
      <c r="F323" s="102"/>
      <c r="G323" s="102"/>
      <c r="H323" s="102"/>
      <c r="I323" s="102"/>
      <c r="J323" s="156"/>
      <c r="K323" s="217"/>
      <c r="L323" s="143"/>
      <c r="M323" s="144"/>
      <c r="N323" s="145"/>
      <c r="O323" s="145"/>
      <c r="P323" s="122"/>
      <c r="Q323" s="304" t="str">
        <f t="shared" si="7"/>
        <v/>
      </c>
      <c r="R323" s="214"/>
      <c r="S323" s="11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</row>
    <row r="324" ht="15.75" customHeight="1">
      <c r="A324" s="90"/>
      <c r="B324" s="6"/>
      <c r="C324" s="90"/>
      <c r="D324" s="159" t="s">
        <v>46</v>
      </c>
      <c r="E324" s="220"/>
      <c r="F324" s="127">
        <v>3.0</v>
      </c>
      <c r="G324" s="127" t="s">
        <v>16</v>
      </c>
      <c r="H324" s="195"/>
      <c r="I324" s="130"/>
      <c r="J324" s="151">
        <v>9.0</v>
      </c>
      <c r="K324" s="213"/>
      <c r="L324" s="133"/>
      <c r="M324" s="134" t="str">
        <f>I189</f>
        <v/>
      </c>
      <c r="N324" s="135" t="str">
        <f>iferror(mround($P189*((VLOOKUP($J324,Sheet1!$D:$N,$G324+1,FALSE)-0.03)),2.5)," ")</f>
        <v> </v>
      </c>
      <c r="O324" s="135" t="str">
        <f>iferror(mround($P189*((VLOOKUP($J324,Sheet1!$D:$N,$G324+1,FALSE)+0.02)),2.5)," ")</f>
        <v> </v>
      </c>
      <c r="P324" s="112" t="str">
        <f>iferror(mround(I324/VLOOKUP(L324,Sheet1!$D$7:$N$16,G324+1,FALSE),2.5),"")</f>
        <v/>
      </c>
      <c r="Q324" s="303" t="str">
        <f t="shared" si="7"/>
        <v/>
      </c>
      <c r="R324" s="214"/>
      <c r="S324" s="11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</row>
    <row r="325" ht="3.75" customHeight="1">
      <c r="A325" s="90"/>
      <c r="B325" s="6"/>
      <c r="C325" s="90"/>
      <c r="D325" s="138"/>
      <c r="E325" s="215"/>
      <c r="F325" s="102"/>
      <c r="G325" s="102"/>
      <c r="H325" s="102"/>
      <c r="I325" s="102"/>
      <c r="J325" s="156"/>
      <c r="K325" s="217"/>
      <c r="L325" s="143"/>
      <c r="M325" s="144"/>
      <c r="N325" s="145"/>
      <c r="O325" s="145"/>
      <c r="P325" s="122"/>
      <c r="Q325" s="304" t="str">
        <f t="shared" si="7"/>
        <v/>
      </c>
      <c r="R325" s="214"/>
      <c r="S325" s="11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</row>
    <row r="326" ht="15.75" customHeight="1">
      <c r="A326" s="90"/>
      <c r="B326" s="6"/>
      <c r="C326" s="90"/>
      <c r="D326" s="159" t="s">
        <v>47</v>
      </c>
      <c r="E326" s="220"/>
      <c r="F326" s="127">
        <v>3.0</v>
      </c>
      <c r="G326" s="221">
        <v>45641.0</v>
      </c>
      <c r="H326" s="195"/>
      <c r="I326" s="130">
        <v>50.0</v>
      </c>
      <c r="J326" s="151">
        <v>9.0</v>
      </c>
      <c r="K326" s="213"/>
      <c r="L326" s="133">
        <v>7.0</v>
      </c>
      <c r="M326" s="134" t="str">
        <f>I191</f>
        <v/>
      </c>
      <c r="N326" s="135" t="str">
        <f>iferror(mround($P191*((VLOOKUP($J326,Sheet1!$D:$N,$G326+1,FALSE)-0.03)),2.5)," ")</f>
        <v> </v>
      </c>
      <c r="O326" s="135" t="str">
        <f>iferror(mround($P191*((VLOOKUP($J326,Sheet1!$D:$N,$G326+1,FALSE)+0.02)),2.5)," ")</f>
        <v> </v>
      </c>
      <c r="P326" s="112" t="str">
        <f>iferror(mround(I326/VLOOKUP(L326,Sheet1!$D$7:$N$16,G326+1,FALSE),2.5),"")</f>
        <v/>
      </c>
      <c r="Q326" s="303" t="str">
        <f t="shared" si="7"/>
        <v/>
      </c>
      <c r="R326" s="214"/>
      <c r="S326" s="11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</row>
    <row r="327" ht="3.75" customHeight="1">
      <c r="A327" s="90"/>
      <c r="B327" s="6"/>
      <c r="C327" s="90"/>
      <c r="D327" s="138"/>
      <c r="E327" s="215"/>
      <c r="F327" s="102"/>
      <c r="G327" s="102"/>
      <c r="H327" s="102"/>
      <c r="I327" s="102"/>
      <c r="J327" s="156"/>
      <c r="K327" s="222"/>
      <c r="L327" s="143"/>
      <c r="M327" s="144"/>
      <c r="N327" s="145"/>
      <c r="O327" s="145"/>
      <c r="P327" s="122"/>
      <c r="Q327" s="304" t="str">
        <f t="shared" si="7"/>
        <v/>
      </c>
      <c r="R327" s="214"/>
      <c r="S327" s="11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</row>
    <row r="328" ht="18.0" customHeight="1">
      <c r="A328" s="90"/>
      <c r="B328" s="6"/>
      <c r="C328" s="90"/>
      <c r="D328" s="159" t="s">
        <v>48</v>
      </c>
      <c r="E328" s="220"/>
      <c r="F328" s="127">
        <v>3.0</v>
      </c>
      <c r="G328" s="221">
        <v>45942.0</v>
      </c>
      <c r="H328" s="195"/>
      <c r="I328" s="130">
        <v>20.0</v>
      </c>
      <c r="J328" s="151">
        <v>9.0</v>
      </c>
      <c r="K328" s="190"/>
      <c r="L328" s="133">
        <v>9.0</v>
      </c>
      <c r="M328" s="134" t="str">
        <f>I193</f>
        <v/>
      </c>
      <c r="N328" s="135" t="str">
        <f>iferror(mround($P193*((VLOOKUP($J328,Sheet1!$D:$N,$G328+1,FALSE)-0.03)),2.5)," ")</f>
        <v> </v>
      </c>
      <c r="O328" s="135" t="str">
        <f>iferror(mround($P193*((VLOOKUP($J328,Sheet1!$D:$N,$G328+1,FALSE)+0.02)),2.5)," ")</f>
        <v> </v>
      </c>
      <c r="P328" s="112" t="str">
        <f>iferror(mround(I328/VLOOKUP(L328,Sheet1!$D$7:$N$16,G328+1,FALSE),2.5),"")</f>
        <v/>
      </c>
      <c r="Q328" s="303" t="str">
        <f t="shared" si="7"/>
        <v/>
      </c>
      <c r="R328" s="214"/>
      <c r="S328" s="11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</row>
    <row r="329" ht="3.75" customHeight="1">
      <c r="A329" s="191"/>
      <c r="B329" s="6"/>
      <c r="C329" s="192"/>
      <c r="D329" s="138"/>
      <c r="E329" s="223"/>
      <c r="F329" s="194"/>
      <c r="G329" s="194"/>
      <c r="H329" s="155"/>
      <c r="I329" s="210"/>
      <c r="J329" s="216"/>
      <c r="K329" s="222"/>
      <c r="L329" s="143"/>
      <c r="M329" s="144"/>
      <c r="N329" s="145"/>
      <c r="O329" s="145"/>
      <c r="P329" s="122"/>
      <c r="Q329" s="304" t="str">
        <f t="shared" si="7"/>
        <v/>
      </c>
      <c r="R329" s="214"/>
      <c r="S329" s="157"/>
      <c r="T329" s="5"/>
      <c r="U329" s="5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</row>
    <row r="330" ht="15.75" hidden="1" customHeight="1">
      <c r="A330" s="90"/>
      <c r="B330" s="6"/>
      <c r="C330" s="90"/>
      <c r="D330" s="185"/>
      <c r="E330" s="186"/>
      <c r="F330" s="187"/>
      <c r="G330" s="187"/>
      <c r="H330" s="195"/>
      <c r="I330" s="164"/>
      <c r="J330" s="189"/>
      <c r="K330" s="190"/>
      <c r="L330" s="183"/>
      <c r="M330" s="134" t="str">
        <f>I195</f>
        <v/>
      </c>
      <c r="N330" s="135" t="str">
        <f>iferror(mround($P195*((VLOOKUP($J330,Sheet1!$D:$N,$G330+1,FALSE)-0.03)),2.5)," ")</f>
        <v> </v>
      </c>
      <c r="O330" s="135" t="str">
        <f>iferror(mround($P195*((VLOOKUP($J330,Sheet1!$D:$N,$G330+1,FALSE)+0.02)),2.5)," ")</f>
        <v> </v>
      </c>
      <c r="P330" s="112" t="str">
        <f>iferror(mround(I330/VLOOKUP(L330,Sheet1!$D$7:$N$16,G330+1,FALSE),2.5),"")</f>
        <v/>
      </c>
      <c r="Q330" s="303" t="str">
        <f t="shared" si="7"/>
        <v/>
      </c>
      <c r="R330" s="214"/>
      <c r="S330" s="11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</row>
    <row r="331" ht="3.75" hidden="1" customHeight="1">
      <c r="A331" s="90"/>
      <c r="B331" s="6"/>
      <c r="C331" s="90"/>
      <c r="D331" s="138"/>
      <c r="E331" s="184"/>
      <c r="F331" s="102"/>
      <c r="G331" s="102"/>
      <c r="H331" s="102"/>
      <c r="I331" s="102"/>
      <c r="J331" s="156"/>
      <c r="K331" s="222"/>
      <c r="L331" s="143"/>
      <c r="M331" s="144"/>
      <c r="N331" s="145"/>
      <c r="O331" s="145"/>
      <c r="P331" s="122"/>
      <c r="Q331" s="304" t="str">
        <f t="shared" si="7"/>
        <v/>
      </c>
      <c r="R331" s="214"/>
      <c r="S331" s="11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</row>
    <row r="332" ht="15.75" hidden="1" customHeight="1">
      <c r="A332" s="90"/>
      <c r="B332" s="6"/>
      <c r="C332" s="90"/>
      <c r="D332" s="185"/>
      <c r="E332" s="224"/>
      <c r="F332" s="187"/>
      <c r="G332" s="187"/>
      <c r="H332" s="195"/>
      <c r="I332" s="164"/>
      <c r="J332" s="189"/>
      <c r="K332" s="190"/>
      <c r="L332" s="183"/>
      <c r="M332" s="134" t="str">
        <f>I197</f>
        <v/>
      </c>
      <c r="N332" s="135" t="str">
        <f>iferror(mround($P197*((VLOOKUP($J332,Sheet1!$D:$N,$G332+1,FALSE)-0.03)),2.5)," ")</f>
        <v> </v>
      </c>
      <c r="O332" s="135" t="str">
        <f>iferror(mround($P197*((VLOOKUP($J332,Sheet1!$D:$N,$G332+1,FALSE)+0.02)),2.5)," ")</f>
        <v> </v>
      </c>
      <c r="P332" s="112" t="str">
        <f>iferror(mround(I332/VLOOKUP(L332,Sheet1!$D$7:$N$16,G332+1,FALSE),2.5),"")</f>
        <v/>
      </c>
      <c r="Q332" s="303" t="str">
        <f t="shared" si="7"/>
        <v/>
      </c>
      <c r="R332" s="214"/>
      <c r="S332" s="11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</row>
    <row r="333" ht="3.75" hidden="1" customHeight="1">
      <c r="A333" s="191"/>
      <c r="B333" s="6"/>
      <c r="C333" s="192"/>
      <c r="D333" s="138"/>
      <c r="E333" s="193"/>
      <c r="F333" s="194"/>
      <c r="G333" s="194"/>
      <c r="H333" s="155"/>
      <c r="I333" s="210"/>
      <c r="J333" s="216"/>
      <c r="K333" s="222"/>
      <c r="L333" s="143"/>
      <c r="M333" s="144"/>
      <c r="N333" s="145"/>
      <c r="O333" s="145"/>
      <c r="P333" s="122"/>
      <c r="Q333" s="304" t="str">
        <f t="shared" si="7"/>
        <v/>
      </c>
      <c r="R333" s="214"/>
      <c r="S333" s="157"/>
      <c r="T333" s="5"/>
      <c r="U333" s="5"/>
      <c r="V333" s="158"/>
      <c r="W333" s="158"/>
      <c r="X333" s="158"/>
      <c r="Y333" s="158"/>
      <c r="Z333" s="158"/>
      <c r="AA333" s="158"/>
      <c r="AB333" s="158"/>
      <c r="AC333" s="158"/>
      <c r="AD333" s="158"/>
      <c r="AE333" s="158"/>
      <c r="AF333" s="158"/>
      <c r="AG333" s="158"/>
    </row>
    <row r="334" ht="15.75" hidden="1" customHeight="1">
      <c r="A334" s="90"/>
      <c r="B334" s="6"/>
      <c r="C334" s="90"/>
      <c r="D334" s="185"/>
      <c r="E334" s="186"/>
      <c r="F334" s="187"/>
      <c r="G334" s="187"/>
      <c r="H334" s="195"/>
      <c r="I334" s="164"/>
      <c r="J334" s="189"/>
      <c r="K334" s="190"/>
      <c r="L334" s="183"/>
      <c r="M334" s="134" t="str">
        <f>I199</f>
        <v/>
      </c>
      <c r="N334" s="135" t="str">
        <f>iferror(mround($P199*((VLOOKUP($J334,Sheet1!$D:$N,$G334+1,FALSE)-0.03)),2.5)," ")</f>
        <v> </v>
      </c>
      <c r="O334" s="135" t="str">
        <f>iferror(mround($P199*((VLOOKUP($J334,Sheet1!$D:$N,$G334+1,FALSE)+0.02)),2.5)," ")</f>
        <v> </v>
      </c>
      <c r="P334" s="112" t="str">
        <f>iferror(mround(I334/VLOOKUP(L334,Sheet1!$D$7:$N$16,G334+1,FALSE),2.5),"")</f>
        <v/>
      </c>
      <c r="Q334" s="303" t="str">
        <f t="shared" si="7"/>
        <v/>
      </c>
      <c r="R334" s="214"/>
      <c r="S334" s="11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</row>
    <row r="335" ht="3.75" hidden="1" customHeight="1">
      <c r="A335" s="90"/>
      <c r="B335" s="6"/>
      <c r="C335" s="90"/>
      <c r="D335" s="196"/>
      <c r="E335" s="184"/>
      <c r="F335" s="102"/>
      <c r="G335" s="102"/>
      <c r="H335" s="102"/>
      <c r="I335" s="102"/>
      <c r="J335" s="156"/>
      <c r="K335" s="222"/>
      <c r="L335" s="143"/>
      <c r="M335" s="144"/>
      <c r="N335" s="145"/>
      <c r="O335" s="145"/>
      <c r="P335" s="122"/>
      <c r="Q335" s="304" t="str">
        <f t="shared" si="7"/>
        <v/>
      </c>
      <c r="R335" s="214"/>
      <c r="S335" s="11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</row>
    <row r="336" ht="15.75" hidden="1" customHeight="1">
      <c r="A336" s="90"/>
      <c r="B336" s="6"/>
      <c r="C336" s="90"/>
      <c r="D336" s="197"/>
      <c r="E336" s="198"/>
      <c r="F336" s="199"/>
      <c r="G336" s="187"/>
      <c r="H336" s="195"/>
      <c r="I336" s="164"/>
      <c r="J336" s="189"/>
      <c r="K336" s="190"/>
      <c r="L336" s="183"/>
      <c r="M336" s="134" t="str">
        <f>I201</f>
        <v/>
      </c>
      <c r="N336" s="135" t="str">
        <f>iferror(mround($P201*((VLOOKUP($J336,Sheet1!$D:$N,$G336+1,FALSE)-0.03)),2.5)," ")</f>
        <v> </v>
      </c>
      <c r="O336" s="135" t="str">
        <f>iferror(mround($P201*((VLOOKUP($J336,Sheet1!$D:$N,$G336+1,FALSE)+0.02)),2.5)," ")</f>
        <v> </v>
      </c>
      <c r="P336" s="112" t="str">
        <f>iferror(mround(I336/VLOOKUP(L336,Sheet1!$D$7:$N$16,G336+1,FALSE),2.5),"")</f>
        <v/>
      </c>
      <c r="Q336" s="303" t="str">
        <f t="shared" si="7"/>
        <v/>
      </c>
      <c r="R336" s="214"/>
      <c r="S336" s="11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</row>
    <row r="337" ht="3.75" customHeight="1">
      <c r="A337" s="90"/>
      <c r="B337" s="6"/>
      <c r="C337" s="90"/>
      <c r="D337" s="90"/>
      <c r="E337" s="156"/>
      <c r="F337" s="102"/>
      <c r="G337" s="102"/>
      <c r="H337" s="102"/>
      <c r="I337" s="102"/>
      <c r="J337" s="156"/>
      <c r="K337" s="222"/>
      <c r="L337" s="201"/>
      <c r="M337" s="211"/>
      <c r="N337" s="47"/>
      <c r="O337" s="47"/>
      <c r="P337" s="122"/>
      <c r="Q337" s="304" t="str">
        <f t="shared" si="7"/>
        <v/>
      </c>
      <c r="R337" s="214"/>
      <c r="S337" s="11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</row>
    <row r="338" ht="30.75" customHeight="1">
      <c r="A338" s="90"/>
      <c r="B338" s="6"/>
      <c r="C338" s="90"/>
      <c r="D338" s="202" t="s">
        <v>49</v>
      </c>
      <c r="E338" s="105" t="s">
        <v>106</v>
      </c>
      <c r="F338" s="106" t="s">
        <v>16</v>
      </c>
      <c r="G338" s="106" t="s">
        <v>17</v>
      </c>
      <c r="H338" s="107"/>
      <c r="I338" s="106" t="s">
        <v>18</v>
      </c>
      <c r="J338" s="108" t="s">
        <v>19</v>
      </c>
      <c r="L338" s="109" t="s">
        <v>20</v>
      </c>
      <c r="M338" s="110" t="s">
        <v>21</v>
      </c>
      <c r="N338" s="111" t="s">
        <v>22</v>
      </c>
      <c r="P338" s="112"/>
      <c r="Q338" s="113" t="s">
        <v>23</v>
      </c>
      <c r="R338" s="114"/>
      <c r="S338" s="11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</row>
    <row r="339" ht="14.25" customHeight="1">
      <c r="A339" s="90"/>
      <c r="B339" s="6"/>
      <c r="C339" s="90"/>
      <c r="D339" s="116">
        <v>3.0</v>
      </c>
      <c r="E339" s="117" t="s">
        <v>76</v>
      </c>
      <c r="H339" s="107"/>
      <c r="N339" s="111" t="s">
        <v>27</v>
      </c>
      <c r="O339" s="111" t="s">
        <v>28</v>
      </c>
      <c r="P339" s="112" t="s">
        <v>29</v>
      </c>
      <c r="R339" s="118" t="s">
        <v>30</v>
      </c>
      <c r="S339" s="11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</row>
    <row r="340" ht="3.75" customHeight="1">
      <c r="A340" s="191"/>
      <c r="B340" s="6"/>
      <c r="C340" s="192"/>
      <c r="D340" s="203"/>
      <c r="E340" s="203"/>
      <c r="F340" s="205"/>
      <c r="G340" s="205"/>
      <c r="H340" s="205"/>
      <c r="I340" s="225"/>
      <c r="J340" s="226"/>
      <c r="K340" s="209"/>
      <c r="L340" s="210"/>
      <c r="M340" s="211"/>
      <c r="N340" s="47"/>
      <c r="O340" s="47"/>
      <c r="P340" s="122"/>
      <c r="Q340" s="304" t="str">
        <f t="shared" ref="Q340:Q360" si="8">IF(OR(ISBLANK(I340), ISBLANK(I205)), "", IF(I340 - I205 = 0, "", I340 - I205))</f>
        <v/>
      </c>
      <c r="R340" s="212"/>
      <c r="S340" s="157"/>
      <c r="T340" s="5"/>
      <c r="U340" s="5"/>
      <c r="V340" s="158"/>
      <c r="W340" s="158"/>
      <c r="X340" s="158"/>
      <c r="Y340" s="158"/>
      <c r="Z340" s="158"/>
      <c r="AA340" s="158"/>
      <c r="AB340" s="158"/>
      <c r="AC340" s="158"/>
      <c r="AD340" s="158"/>
      <c r="AE340" s="158"/>
      <c r="AF340" s="158"/>
      <c r="AG340" s="158"/>
    </row>
    <row r="341" ht="15.75" customHeight="1">
      <c r="A341" s="124"/>
      <c r="B341" s="6"/>
      <c r="C341" s="124"/>
      <c r="D341" s="125" t="s">
        <v>6</v>
      </c>
      <c r="E341" s="126"/>
      <c r="F341" s="127">
        <v>3.0</v>
      </c>
      <c r="G341" s="128">
        <v>45816.0</v>
      </c>
      <c r="H341" s="129"/>
      <c r="I341" s="130">
        <v>135.0</v>
      </c>
      <c r="J341" s="151">
        <v>5.0</v>
      </c>
      <c r="K341" s="219"/>
      <c r="L341" s="133"/>
      <c r="M341" s="134" t="str">
        <f>I206</f>
        <v/>
      </c>
      <c r="N341" s="135" t="str">
        <f>iferror(mround($P206*((VLOOKUP($J341,Sheet1!$D:$N,$G341+1,FALSE)-0.03)),2.5)," ")</f>
        <v> </v>
      </c>
      <c r="O341" s="135" t="str">
        <f>iferror(mround($P206*((VLOOKUP($J341,Sheet1!$D:$N,$G341+1,FALSE)+0.02)),2.5)," ")</f>
        <v> </v>
      </c>
      <c r="P341" s="112" t="str">
        <f>iferror(mround(I341/VLOOKUP(L341,Sheet1!$D$7:$N$16,G341+1,FALSE),2.5),"")</f>
        <v/>
      </c>
      <c r="Q341" s="303" t="str">
        <f t="shared" si="8"/>
        <v/>
      </c>
      <c r="R341" s="214"/>
      <c r="S341" s="11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</row>
    <row r="342" ht="3.75" customHeight="1">
      <c r="A342" s="124"/>
      <c r="B342" s="6"/>
      <c r="C342" s="124"/>
      <c r="D342" s="138"/>
      <c r="E342" s="139"/>
      <c r="F342" s="140"/>
      <c r="G342" s="140"/>
      <c r="H342" s="140"/>
      <c r="I342" s="140"/>
      <c r="J342" s="141"/>
      <c r="K342" s="217"/>
      <c r="L342" s="218"/>
      <c r="M342" s="144"/>
      <c r="N342" s="145"/>
      <c r="O342" s="145"/>
      <c r="P342" s="122"/>
      <c r="Q342" s="304" t="str">
        <f t="shared" si="8"/>
        <v/>
      </c>
      <c r="R342" s="214"/>
      <c r="S342" s="11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</row>
    <row r="343" ht="15.75" customHeight="1">
      <c r="A343" s="90"/>
      <c r="B343" s="6"/>
      <c r="C343" s="90"/>
      <c r="D343" s="125" t="s">
        <v>10</v>
      </c>
      <c r="E343" s="126"/>
      <c r="F343" s="127">
        <v>3.0</v>
      </c>
      <c r="G343" s="128">
        <v>45879.0</v>
      </c>
      <c r="H343" s="129"/>
      <c r="I343" s="130">
        <v>135.0</v>
      </c>
      <c r="J343" s="151">
        <v>5.0</v>
      </c>
      <c r="K343" s="213"/>
      <c r="L343" s="133"/>
      <c r="M343" s="134">
        <f>I208</f>
        <v>0</v>
      </c>
      <c r="N343" s="135" t="str">
        <f>iferror(mround($P208*((VLOOKUP($J343,Sheet1!$D:$N,$G343+1,FALSE)-0.03)),2.5)," ")</f>
        <v> </v>
      </c>
      <c r="O343" s="135" t="str">
        <f>iferror(mround($P208*((VLOOKUP($J343,Sheet1!$D:$N,$G343+1,FALSE)+0.02)),2.5)," ")</f>
        <v> </v>
      </c>
      <c r="P343" s="112" t="str">
        <f>iferror(mround(I343/VLOOKUP(L343,Sheet1!$D$7:$N$16,G343+1,FALSE),2.5),"")</f>
        <v/>
      </c>
      <c r="Q343" s="303">
        <f t="shared" si="8"/>
        <v>135</v>
      </c>
      <c r="R343" s="214"/>
      <c r="S343" s="11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</row>
    <row r="344" ht="3.75" customHeight="1">
      <c r="A344" s="90"/>
      <c r="B344" s="6"/>
      <c r="C344" s="90"/>
      <c r="D344" s="138"/>
      <c r="E344" s="215"/>
      <c r="F344" s="102"/>
      <c r="G344" s="102"/>
      <c r="H344" s="102"/>
      <c r="I344" s="102"/>
      <c r="J344" s="156"/>
      <c r="K344" s="217"/>
      <c r="L344" s="218"/>
      <c r="M344" s="144"/>
      <c r="N344" s="145"/>
      <c r="O344" s="145"/>
      <c r="P344" s="122"/>
      <c r="Q344" s="304" t="str">
        <f t="shared" si="8"/>
        <v/>
      </c>
      <c r="R344" s="214"/>
      <c r="S344" s="11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</row>
    <row r="345" ht="15.75" hidden="1" customHeight="1">
      <c r="A345" s="90"/>
      <c r="B345" s="6"/>
      <c r="C345" s="90"/>
      <c r="D345" s="159"/>
      <c r="E345" s="160"/>
      <c r="F345" s="127"/>
      <c r="G345" s="161"/>
      <c r="H345" s="129"/>
      <c r="I345" s="130"/>
      <c r="J345" s="151"/>
      <c r="K345" s="219"/>
      <c r="L345" s="133"/>
      <c r="M345" s="134" t="str">
        <f>I210</f>
        <v/>
      </c>
      <c r="N345" s="135" t="str">
        <f>iferror(mround($P210*((VLOOKUP($J345,Sheet1!$D:$N,$G345+1,FALSE)-0.03)),2.5)," ")</f>
        <v> </v>
      </c>
      <c r="O345" s="135" t="str">
        <f>iferror(mround($P210*((VLOOKUP($J345,Sheet1!$D:$N,$G345+1,FALSE)+0.02)),2.5)," ")</f>
        <v> </v>
      </c>
      <c r="P345" s="112" t="str">
        <f>iferror(mround(I345/VLOOKUP(L345,Sheet1!$D$7:$N$16,G345+1,FALSE),2.5),"")</f>
        <v/>
      </c>
      <c r="Q345" s="303" t="str">
        <f t="shared" si="8"/>
        <v/>
      </c>
      <c r="R345" s="214"/>
      <c r="S345" s="11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</row>
    <row r="346" ht="3.75" hidden="1" customHeight="1">
      <c r="A346" s="90"/>
      <c r="B346" s="6"/>
      <c r="C346" s="90"/>
      <c r="D346" s="138"/>
      <c r="E346" s="154"/>
      <c r="F346" s="155"/>
      <c r="G346" s="102"/>
      <c r="H346" s="102"/>
      <c r="I346" s="102"/>
      <c r="J346" s="156"/>
      <c r="K346" s="217"/>
      <c r="L346" s="218"/>
      <c r="M346" s="144"/>
      <c r="N346" s="145"/>
      <c r="O346" s="145"/>
      <c r="P346" s="122"/>
      <c r="Q346" s="304" t="str">
        <f t="shared" si="8"/>
        <v/>
      </c>
      <c r="R346" s="214"/>
      <c r="S346" s="11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</row>
    <row r="347" ht="15.75" customHeight="1">
      <c r="A347" s="90"/>
      <c r="B347" s="6"/>
      <c r="C347" s="90"/>
      <c r="D347" s="159" t="s">
        <v>51</v>
      </c>
      <c r="E347" s="167" t="s">
        <v>52</v>
      </c>
      <c r="F347" s="127">
        <v>4.0</v>
      </c>
      <c r="G347" s="127">
        <v>3.0</v>
      </c>
      <c r="H347" s="195"/>
      <c r="I347" s="130">
        <v>245.0</v>
      </c>
      <c r="J347" s="151">
        <v>7.0</v>
      </c>
      <c r="K347" s="213"/>
      <c r="L347" s="133"/>
      <c r="M347" s="134" t="str">
        <f>I212</f>
        <v/>
      </c>
      <c r="N347" s="135">
        <f>iferror(mround($P212*((VLOOKUP($J347,Sheet1!$D:$N,$G347+1,FALSE)-0.03)),2.5)," ")</f>
        <v>0</v>
      </c>
      <c r="O347" s="135">
        <f>iferror(mround($P212*((VLOOKUP($J347,Sheet1!$D:$N,$G347+1,FALSE)+0.02)),2.5)," ")</f>
        <v>0</v>
      </c>
      <c r="P347" s="112" t="str">
        <f>iferror(mround(I347/VLOOKUP(L347,Sheet1!$D$7:$N$16,G347+1,FALSE),2.5),"")</f>
        <v/>
      </c>
      <c r="Q347" s="303" t="str">
        <f t="shared" si="8"/>
        <v/>
      </c>
      <c r="R347" s="214"/>
      <c r="S347" s="11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</row>
    <row r="348" ht="3.75" customHeight="1">
      <c r="A348" s="90"/>
      <c r="B348" s="6"/>
      <c r="C348" s="90"/>
      <c r="D348" s="138"/>
      <c r="E348" s="215"/>
      <c r="F348" s="102"/>
      <c r="G348" s="102"/>
      <c r="H348" s="102"/>
      <c r="I348" s="102"/>
      <c r="J348" s="156"/>
      <c r="K348" s="217"/>
      <c r="L348" s="218"/>
      <c r="M348" s="144"/>
      <c r="N348" s="145"/>
      <c r="O348" s="145"/>
      <c r="P348" s="122"/>
      <c r="Q348" s="304" t="str">
        <f t="shared" si="8"/>
        <v/>
      </c>
      <c r="R348" s="214"/>
      <c r="S348" s="11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</row>
    <row r="349" ht="15.75" customHeight="1">
      <c r="A349" s="90"/>
      <c r="B349" s="6"/>
      <c r="C349" s="90"/>
      <c r="D349" s="159" t="s">
        <v>53</v>
      </c>
      <c r="E349" s="220"/>
      <c r="F349" s="127">
        <v>3.0</v>
      </c>
      <c r="G349" s="127" t="s">
        <v>16</v>
      </c>
      <c r="H349" s="195"/>
      <c r="I349" s="130"/>
      <c r="J349" s="151">
        <v>7.0</v>
      </c>
      <c r="K349" s="213"/>
      <c r="L349" s="133"/>
      <c r="M349" s="134" t="str">
        <f>I214</f>
        <v/>
      </c>
      <c r="N349" s="135" t="str">
        <f>iferror(mround($P214*((VLOOKUP($J349,Sheet1!$D:$N,$G349+1,FALSE)-0.03)),2.5)," ")</f>
        <v> </v>
      </c>
      <c r="O349" s="135" t="str">
        <f>iferror(mround($P214*((VLOOKUP($J349,Sheet1!$D:$N,$G349+1,FALSE)+0.02)),2.5)," ")</f>
        <v> </v>
      </c>
      <c r="P349" s="112" t="str">
        <f>iferror(mround(I349/VLOOKUP(L349,Sheet1!$D$7:$N$16,G349+1,FALSE),2.5),"")</f>
        <v/>
      </c>
      <c r="Q349" s="303" t="str">
        <f t="shared" si="8"/>
        <v/>
      </c>
      <c r="R349" s="214"/>
      <c r="S349" s="11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</row>
    <row r="350" ht="3.75" customHeight="1">
      <c r="A350" s="90"/>
      <c r="B350" s="6"/>
      <c r="C350" s="90"/>
      <c r="D350" s="138"/>
      <c r="E350" s="215"/>
      <c r="F350" s="102"/>
      <c r="G350" s="102"/>
      <c r="H350" s="102"/>
      <c r="I350" s="102"/>
      <c r="J350" s="156"/>
      <c r="K350" s="222"/>
      <c r="L350" s="218"/>
      <c r="M350" s="144"/>
      <c r="N350" s="145"/>
      <c r="O350" s="145"/>
      <c r="P350" s="122"/>
      <c r="Q350" s="304" t="str">
        <f t="shared" si="8"/>
        <v/>
      </c>
      <c r="R350" s="214"/>
      <c r="S350" s="11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</row>
    <row r="351" ht="15.75" customHeight="1">
      <c r="A351" s="90"/>
      <c r="B351" s="6"/>
      <c r="C351" s="90"/>
      <c r="D351" s="159" t="s">
        <v>54</v>
      </c>
      <c r="E351" s="227"/>
      <c r="F351" s="127">
        <v>3.0</v>
      </c>
      <c r="G351" s="221">
        <v>45577.0</v>
      </c>
      <c r="H351" s="195"/>
      <c r="I351" s="130"/>
      <c r="J351" s="228">
        <v>8.0</v>
      </c>
      <c r="K351" s="190"/>
      <c r="L351" s="183"/>
      <c r="M351" s="134" t="str">
        <f>I216</f>
        <v/>
      </c>
      <c r="N351" s="135" t="str">
        <f>iferror(mround($P216*((VLOOKUP($J351,Sheet1!$D:$N,$G351+1,FALSE)-0.03)),2.5)," ")</f>
        <v> </v>
      </c>
      <c r="O351" s="135" t="str">
        <f>iferror(mround($P216*((VLOOKUP($J351,Sheet1!$D:$N,$G351+1,FALSE)+0.02)),2.5)," ")</f>
        <v> </v>
      </c>
      <c r="P351" s="112" t="str">
        <f>iferror(mround(I351/VLOOKUP(L351,Sheet1!$D$7:$N$16,G351+1,FALSE),2.5),"")</f>
        <v/>
      </c>
      <c r="Q351" s="303" t="str">
        <f t="shared" si="8"/>
        <v/>
      </c>
      <c r="R351" s="214"/>
      <c r="S351" s="11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</row>
    <row r="352" ht="3.75" customHeight="1">
      <c r="A352" s="90"/>
      <c r="B352" s="6"/>
      <c r="C352" s="90"/>
      <c r="D352" s="138"/>
      <c r="E352" s="215"/>
      <c r="F352" s="102"/>
      <c r="G352" s="102"/>
      <c r="H352" s="102"/>
      <c r="I352" s="102"/>
      <c r="J352" s="216"/>
      <c r="K352" s="222"/>
      <c r="L352" s="218"/>
      <c r="M352" s="144"/>
      <c r="N352" s="145"/>
      <c r="O352" s="145"/>
      <c r="P352" s="122"/>
      <c r="Q352" s="304" t="str">
        <f t="shared" si="8"/>
        <v/>
      </c>
      <c r="R352" s="214"/>
      <c r="S352" s="11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</row>
    <row r="353" ht="15.75" hidden="1" customHeight="1">
      <c r="A353" s="90"/>
      <c r="B353" s="6"/>
      <c r="C353" s="90"/>
      <c r="D353" s="185"/>
      <c r="E353" s="220"/>
      <c r="F353" s="187"/>
      <c r="G353" s="229"/>
      <c r="H353" s="195"/>
      <c r="I353" s="164"/>
      <c r="J353" s="189"/>
      <c r="K353" s="190"/>
      <c r="L353" s="183"/>
      <c r="M353" s="134" t="str">
        <f>I218</f>
        <v/>
      </c>
      <c r="N353" s="135" t="str">
        <f>iferror(mround($P218*((VLOOKUP($J353,Sheet1!$D:$N,$G353+1,FALSE)-0.03)),2.5)," ")</f>
        <v> </v>
      </c>
      <c r="O353" s="135" t="str">
        <f>iferror(mround($P218*((VLOOKUP($J353,Sheet1!$D:$N,$G353+1,FALSE)+0.02)),2.5)," ")</f>
        <v> </v>
      </c>
      <c r="P353" s="112" t="str">
        <f>iferror(mround(I353/VLOOKUP(L353,Sheet1!$D$7:$N$16,G353+1,FALSE),2.5),"")</f>
        <v/>
      </c>
      <c r="Q353" s="303" t="str">
        <f t="shared" si="8"/>
        <v/>
      </c>
      <c r="R353" s="214"/>
      <c r="S353" s="11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</row>
    <row r="354" ht="3.75" hidden="1" customHeight="1">
      <c r="A354" s="191"/>
      <c r="B354" s="6"/>
      <c r="C354" s="192"/>
      <c r="D354" s="138"/>
      <c r="E354" s="184"/>
      <c r="F354" s="102"/>
      <c r="G354" s="102"/>
      <c r="H354" s="102"/>
      <c r="I354" s="102"/>
      <c r="J354" s="156"/>
      <c r="K354" s="222"/>
      <c r="L354" s="218"/>
      <c r="M354" s="144"/>
      <c r="N354" s="145"/>
      <c r="O354" s="145"/>
      <c r="P354" s="122"/>
      <c r="Q354" s="304" t="str">
        <f t="shared" si="8"/>
        <v/>
      </c>
      <c r="R354" s="214"/>
      <c r="S354" s="157"/>
      <c r="T354" s="5"/>
      <c r="U354" s="5"/>
      <c r="V354" s="158"/>
      <c r="W354" s="158"/>
      <c r="X354" s="158"/>
      <c r="Y354" s="158"/>
      <c r="Z354" s="158"/>
      <c r="AA354" s="158"/>
      <c r="AB354" s="158"/>
      <c r="AC354" s="158"/>
      <c r="AD354" s="158"/>
      <c r="AE354" s="158"/>
      <c r="AF354" s="158"/>
      <c r="AG354" s="158"/>
    </row>
    <row r="355" ht="15.75" hidden="1" customHeight="1">
      <c r="A355" s="90"/>
      <c r="B355" s="6"/>
      <c r="C355" s="90"/>
      <c r="D355" s="185"/>
      <c r="E355" s="224"/>
      <c r="F355" s="187"/>
      <c r="G355" s="187"/>
      <c r="H355" s="195"/>
      <c r="I355" s="164"/>
      <c r="J355" s="230"/>
      <c r="K355" s="190"/>
      <c r="L355" s="183"/>
      <c r="M355" s="134" t="str">
        <f>I220</f>
        <v/>
      </c>
      <c r="N355" s="135" t="str">
        <f>iferror(mround($P220*((VLOOKUP($J355,Sheet1!$D:$N,$G355+1,FALSE)-0.03)),2.5)," ")</f>
        <v> </v>
      </c>
      <c r="O355" s="135" t="str">
        <f>iferror(mround($P220*((VLOOKUP($J355,Sheet1!$D:$N,$G355+1,FALSE)+0.02)),2.5)," ")</f>
        <v> </v>
      </c>
      <c r="P355" s="112" t="str">
        <f>iferror(mround(I355/VLOOKUP(L355,Sheet1!$D$7:$N$16,G355+1,FALSE),2.5),"")</f>
        <v/>
      </c>
      <c r="Q355" s="303" t="str">
        <f t="shared" si="8"/>
        <v/>
      </c>
      <c r="R355" s="214"/>
      <c r="S355" s="11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</row>
    <row r="356" ht="3.75" hidden="1" customHeight="1">
      <c r="A356" s="90"/>
      <c r="B356" s="6"/>
      <c r="C356" s="90"/>
      <c r="D356" s="138"/>
      <c r="E356" s="184"/>
      <c r="F356" s="102"/>
      <c r="G356" s="102"/>
      <c r="H356" s="102"/>
      <c r="I356" s="102"/>
      <c r="J356" s="156"/>
      <c r="K356" s="222"/>
      <c r="L356" s="218"/>
      <c r="M356" s="144"/>
      <c r="N356" s="145"/>
      <c r="O356" s="145"/>
      <c r="P356" s="122"/>
      <c r="Q356" s="304" t="str">
        <f t="shared" si="8"/>
        <v/>
      </c>
      <c r="R356" s="214"/>
      <c r="S356" s="11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</row>
    <row r="357" ht="15.75" hidden="1" customHeight="1">
      <c r="A357" s="90"/>
      <c r="B357" s="6"/>
      <c r="C357" s="90"/>
      <c r="D357" s="231"/>
      <c r="E357" s="232"/>
      <c r="F357" s="187"/>
      <c r="G357" s="187"/>
      <c r="H357" s="195"/>
      <c r="I357" s="164"/>
      <c r="J357" s="230"/>
      <c r="K357" s="190"/>
      <c r="L357" s="183"/>
      <c r="M357" s="134" t="str">
        <f>I222</f>
        <v/>
      </c>
      <c r="N357" s="135" t="str">
        <f>iferror(mround($P222*((VLOOKUP($J357,Sheet1!$D:$N,$G357+1,FALSE)-0.03)),2.5)," ")</f>
        <v> </v>
      </c>
      <c r="O357" s="135" t="str">
        <f>iferror(mround($P222*((VLOOKUP($J357,Sheet1!$D:$N,$G357+1,FALSE)+0.02)),2.5)," ")</f>
        <v> </v>
      </c>
      <c r="P357" s="112" t="str">
        <f>iferror(mround(I357/VLOOKUP(L357,Sheet1!$D$7:$N$16,G357+1,FALSE),2.5),"")</f>
        <v/>
      </c>
      <c r="Q357" s="303" t="str">
        <f t="shared" si="8"/>
        <v/>
      </c>
      <c r="R357" s="214"/>
      <c r="S357" s="11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</row>
    <row r="358" ht="3.75" hidden="1" customHeight="1">
      <c r="A358" s="191"/>
      <c r="B358" s="6"/>
      <c r="C358" s="233"/>
      <c r="D358" s="234"/>
      <c r="E358" s="235"/>
      <c r="F358" s="236"/>
      <c r="G358" s="194"/>
      <c r="H358" s="155"/>
      <c r="I358" s="210"/>
      <c r="J358" s="216"/>
      <c r="K358" s="222"/>
      <c r="L358" s="218"/>
      <c r="M358" s="144"/>
      <c r="N358" s="145"/>
      <c r="O358" s="145"/>
      <c r="P358" s="122"/>
      <c r="Q358" s="304" t="str">
        <f t="shared" si="8"/>
        <v/>
      </c>
      <c r="R358" s="214"/>
      <c r="S358" s="157"/>
      <c r="T358" s="5"/>
      <c r="U358" s="5"/>
      <c r="V358" s="158"/>
      <c r="W358" s="158"/>
      <c r="X358" s="158"/>
      <c r="Y358" s="158"/>
      <c r="Z358" s="158"/>
      <c r="AA358" s="158"/>
      <c r="AB358" s="158"/>
      <c r="AC358" s="158"/>
      <c r="AD358" s="158"/>
      <c r="AE358" s="158"/>
      <c r="AF358" s="158"/>
      <c r="AG358" s="158"/>
    </row>
    <row r="359" ht="15.75" hidden="1" customHeight="1">
      <c r="A359" s="90"/>
      <c r="B359" s="6"/>
      <c r="C359" s="90"/>
      <c r="D359" s="197"/>
      <c r="E359" s="198"/>
      <c r="F359" s="199"/>
      <c r="G359" s="187"/>
      <c r="H359" s="195"/>
      <c r="I359" s="164"/>
      <c r="J359" s="189"/>
      <c r="K359" s="190"/>
      <c r="L359" s="183"/>
      <c r="M359" s="134" t="str">
        <f>I224</f>
        <v/>
      </c>
      <c r="N359" s="135" t="str">
        <f>iferror(mround($P224*((VLOOKUP($J359,Sheet1!$D:$N,$G359+1,FALSE)-0.03)),2.5)," ")</f>
        <v> </v>
      </c>
      <c r="O359" s="135" t="str">
        <f>iferror(mround($P224*((VLOOKUP($J359,Sheet1!$D:$N,$G359+1,FALSE)+0.02)),2.5)," ")</f>
        <v> </v>
      </c>
      <c r="P359" s="112" t="str">
        <f>iferror(mround(I359/VLOOKUP(L359,Sheet1!$D$7:$N$16,G359+1,FALSE),2.5),"")</f>
        <v/>
      </c>
      <c r="Q359" s="303" t="str">
        <f t="shared" si="8"/>
        <v/>
      </c>
      <c r="R359" s="214"/>
      <c r="S359" s="11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</row>
    <row r="360" ht="3.75" hidden="1" customHeight="1">
      <c r="A360" s="90"/>
      <c r="B360" s="6"/>
      <c r="C360" s="90"/>
      <c r="D360" s="90"/>
      <c r="E360" s="156"/>
      <c r="F360" s="102"/>
      <c r="G360" s="102"/>
      <c r="H360" s="102"/>
      <c r="I360" s="102"/>
      <c r="J360" s="156"/>
      <c r="K360" s="200"/>
      <c r="L360" s="201"/>
      <c r="M360" s="211"/>
      <c r="N360" s="47"/>
      <c r="O360" s="47"/>
      <c r="P360" s="122"/>
      <c r="Q360" s="304" t="str">
        <f t="shared" si="8"/>
        <v/>
      </c>
      <c r="R360" s="214"/>
      <c r="S360" s="11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</row>
    <row r="361" ht="30.0" hidden="1" customHeight="1">
      <c r="A361" s="90"/>
      <c r="B361" s="6"/>
      <c r="C361" s="90"/>
      <c r="D361" s="202" t="s">
        <v>55</v>
      </c>
      <c r="E361" s="105" t="s">
        <v>15</v>
      </c>
      <c r="F361" s="106" t="s">
        <v>16</v>
      </c>
      <c r="G361" s="106" t="s">
        <v>17</v>
      </c>
      <c r="H361" s="107"/>
      <c r="I361" s="106" t="s">
        <v>18</v>
      </c>
      <c r="J361" s="108" t="s">
        <v>19</v>
      </c>
      <c r="L361" s="109" t="s">
        <v>20</v>
      </c>
      <c r="M361" s="110" t="s">
        <v>21</v>
      </c>
      <c r="N361" s="111" t="s">
        <v>22</v>
      </c>
      <c r="P361" s="112"/>
      <c r="Q361" s="113" t="s">
        <v>23</v>
      </c>
      <c r="R361" s="114" t="s">
        <v>56</v>
      </c>
      <c r="S361" s="11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</row>
    <row r="362" ht="14.25" hidden="1" customHeight="1">
      <c r="A362" s="90"/>
      <c r="B362" s="6"/>
      <c r="C362" s="90"/>
      <c r="D362" s="116" t="s">
        <v>25</v>
      </c>
      <c r="E362" s="117" t="s">
        <v>26</v>
      </c>
      <c r="H362" s="107"/>
      <c r="N362" s="111" t="s">
        <v>27</v>
      </c>
      <c r="O362" s="111" t="s">
        <v>28</v>
      </c>
      <c r="P362" s="112" t="s">
        <v>29</v>
      </c>
      <c r="R362" s="118" t="s">
        <v>30</v>
      </c>
      <c r="S362" s="11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</row>
    <row r="363" ht="3.75" hidden="1" customHeight="1">
      <c r="A363" s="191"/>
      <c r="B363" s="6"/>
      <c r="C363" s="192"/>
      <c r="D363" s="203"/>
      <c r="E363" s="204"/>
      <c r="F363" s="205"/>
      <c r="G363" s="205"/>
      <c r="H363" s="205"/>
      <c r="I363" s="225"/>
      <c r="J363" s="237"/>
      <c r="K363" s="209"/>
      <c r="L363" s="238"/>
      <c r="M363" s="211"/>
      <c r="N363" s="47"/>
      <c r="O363" s="47"/>
      <c r="P363" s="122"/>
      <c r="Q363" s="304" t="str">
        <f t="shared" ref="Q363:Q383" si="9">IF(OR(ISBLANK(I363), ISBLANK(I228)), "", IF(I363 - I228 = 0, "", I363 - I228))</f>
        <v/>
      </c>
      <c r="R363" s="239"/>
      <c r="S363" s="157"/>
      <c r="T363" s="5"/>
      <c r="U363" s="5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</row>
    <row r="364" ht="15.75" hidden="1" customHeight="1">
      <c r="A364" s="124"/>
      <c r="B364" s="6"/>
      <c r="C364" s="124"/>
      <c r="D364" s="125"/>
      <c r="E364" s="126"/>
      <c r="F364" s="127"/>
      <c r="G364" s="240"/>
      <c r="H364" s="129"/>
      <c r="I364" s="130"/>
      <c r="J364" s="151"/>
      <c r="K364" s="241"/>
      <c r="L364" s="130"/>
      <c r="M364" s="134" t="str">
        <f>I229</f>
        <v/>
      </c>
      <c r="N364" s="135" t="str">
        <f>iferror(mround($P229*((VLOOKUP($J364,Sheet1!$D:$N,$G364+1,FALSE)-0.03)),2.5)," ")</f>
        <v> </v>
      </c>
      <c r="O364" s="135" t="str">
        <f>iferror(mround($P229*((VLOOKUP($J364,Sheet1!$D:$N,$G364+1,FALSE)+0.02)),2.5)," ")</f>
        <v> </v>
      </c>
      <c r="P364" s="112" t="str">
        <f>iferror(mround(I364/VLOOKUP(L364,Sheet1!$D$7:$N$16,G364+1,FALSE),2.5),"")</f>
        <v/>
      </c>
      <c r="Q364" s="303" t="str">
        <f t="shared" si="9"/>
        <v/>
      </c>
      <c r="R364" s="242"/>
      <c r="S364" s="11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</row>
    <row r="365" ht="3.75" hidden="1" customHeight="1">
      <c r="A365" s="124"/>
      <c r="B365" s="6"/>
      <c r="C365" s="124"/>
      <c r="D365" s="138"/>
      <c r="E365" s="139"/>
      <c r="F365" s="140"/>
      <c r="G365" s="140"/>
      <c r="H365" s="140"/>
      <c r="I365" s="140"/>
      <c r="J365" s="141"/>
      <c r="K365" s="243"/>
      <c r="L365" s="210"/>
      <c r="M365" s="144"/>
      <c r="N365" s="145"/>
      <c r="O365" s="145"/>
      <c r="P365" s="122"/>
      <c r="Q365" s="304" t="str">
        <f t="shared" si="9"/>
        <v/>
      </c>
      <c r="R365" s="242"/>
      <c r="S365" s="11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</row>
    <row r="366" ht="15.0" hidden="1" customHeight="1">
      <c r="A366" s="124"/>
      <c r="B366" s="6"/>
      <c r="C366" s="124"/>
      <c r="D366" s="125"/>
      <c r="E366" s="126"/>
      <c r="F366" s="127"/>
      <c r="G366" s="240"/>
      <c r="H366" s="129"/>
      <c r="I366" s="164"/>
      <c r="J366" s="165"/>
      <c r="K366" s="241"/>
      <c r="L366" s="130"/>
      <c r="M366" s="134">
        <f>I231</f>
        <v>0</v>
      </c>
      <c r="N366" s="135" t="str">
        <f>iferror(mround($P231*((VLOOKUP($J366,Sheet1!$D:$N,$G366+1,FALSE)-0.03)),2.5)," ")</f>
        <v> </v>
      </c>
      <c r="O366" s="135" t="str">
        <f>iferror(mround($P231*((VLOOKUP($J366,Sheet1!$D:$N,$G366+1,FALSE)+0.02)),2.5)," ")</f>
        <v> </v>
      </c>
      <c r="P366" s="112" t="str">
        <f>iferror(mround(I366/VLOOKUP(L366,Sheet1!$D$7:$N$16,G366+1,FALSE),2.5),"")</f>
        <v/>
      </c>
      <c r="Q366" s="303" t="str">
        <f t="shared" si="9"/>
        <v/>
      </c>
      <c r="R366" s="242"/>
      <c r="S366" s="11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</row>
    <row r="367" ht="3.75" hidden="1" customHeight="1">
      <c r="A367" s="124"/>
      <c r="B367" s="6"/>
      <c r="C367" s="124"/>
      <c r="D367" s="138"/>
      <c r="E367" s="215"/>
      <c r="F367" s="102"/>
      <c r="G367" s="102"/>
      <c r="H367" s="102"/>
      <c r="I367" s="102"/>
      <c r="J367" s="156"/>
      <c r="K367" s="243"/>
      <c r="L367" s="210"/>
      <c r="M367" s="144"/>
      <c r="N367" s="145"/>
      <c r="O367" s="145"/>
      <c r="P367" s="122"/>
      <c r="Q367" s="304" t="str">
        <f t="shared" si="9"/>
        <v/>
      </c>
      <c r="R367" s="242"/>
      <c r="S367" s="11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</row>
    <row r="368" ht="15.75" hidden="1" customHeight="1">
      <c r="A368" s="124"/>
      <c r="B368" s="6"/>
      <c r="C368" s="124"/>
      <c r="D368" s="159"/>
      <c r="E368" s="126"/>
      <c r="F368" s="127"/>
      <c r="G368" s="161"/>
      <c r="H368" s="129"/>
      <c r="I368" s="130"/>
      <c r="J368" s="151"/>
      <c r="K368" s="244"/>
      <c r="L368" s="130"/>
      <c r="M368" s="134" t="str">
        <f>I233</f>
        <v/>
      </c>
      <c r="N368" s="135" t="str">
        <f>iferror(mround($P233*((VLOOKUP($J368,Sheet1!$D:$N,$G368+1,FALSE)-0.03)),2.5)," ")</f>
        <v> </v>
      </c>
      <c r="O368" s="135" t="str">
        <f>iferror(mround($P233*((VLOOKUP($J368,Sheet1!$D:$N,$G368+1,FALSE)+0.02)),2.5)," ")</f>
        <v> </v>
      </c>
      <c r="P368" s="112" t="str">
        <f>iferror(mround(I368/VLOOKUP(L368,Sheet1!$D$7:$N$16,G368+1,FALSE),2.5),"")</f>
        <v/>
      </c>
      <c r="Q368" s="303" t="str">
        <f t="shared" si="9"/>
        <v/>
      </c>
      <c r="R368" s="242"/>
      <c r="S368" s="11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</row>
    <row r="369" ht="3.75" hidden="1" customHeight="1">
      <c r="A369" s="124"/>
      <c r="B369" s="6"/>
      <c r="C369" s="124"/>
      <c r="D369" s="138"/>
      <c r="E369" s="154"/>
      <c r="F369" s="155"/>
      <c r="G369" s="102"/>
      <c r="H369" s="102"/>
      <c r="I369" s="102"/>
      <c r="J369" s="156"/>
      <c r="K369" s="243"/>
      <c r="L369" s="210"/>
      <c r="M369" s="144"/>
      <c r="N369" s="145"/>
      <c r="O369" s="145"/>
      <c r="P369" s="122"/>
      <c r="Q369" s="304" t="str">
        <f t="shared" si="9"/>
        <v/>
      </c>
      <c r="R369" s="242"/>
      <c r="S369" s="11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</row>
    <row r="370" ht="15.75" hidden="1" customHeight="1">
      <c r="A370" s="124"/>
      <c r="B370" s="6"/>
      <c r="C370" s="124"/>
      <c r="D370" s="159"/>
      <c r="E370" s="126"/>
      <c r="F370" s="127"/>
      <c r="G370" s="161"/>
      <c r="H370" s="129"/>
      <c r="I370" s="130"/>
      <c r="J370" s="151"/>
      <c r="K370" s="241"/>
      <c r="L370" s="130"/>
      <c r="M370" s="134" t="str">
        <f>I235</f>
        <v/>
      </c>
      <c r="N370" s="135" t="str">
        <f>iferror(mround($P235*((VLOOKUP($J370,Sheet1!$D:$N,$G370+1,FALSE)-0.03)),2.5)," ")</f>
        <v> </v>
      </c>
      <c r="O370" s="135" t="str">
        <f>iferror(mround($P235*((VLOOKUP($J370,Sheet1!$D:$N,$G370+1,FALSE)+0.02)),2.5)," ")</f>
        <v> </v>
      </c>
      <c r="P370" s="112" t="str">
        <f>iferror(mround(I370/VLOOKUP(L370,Sheet1!$D$7:$N$16,G370+1,FALSE),2.5),"")</f>
        <v/>
      </c>
      <c r="Q370" s="303" t="str">
        <f t="shared" si="9"/>
        <v/>
      </c>
      <c r="R370" s="242"/>
      <c r="S370" s="11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</row>
    <row r="371" ht="3.75" hidden="1" customHeight="1">
      <c r="A371" s="90"/>
      <c r="B371" s="6"/>
      <c r="C371" s="90"/>
      <c r="D371" s="138"/>
      <c r="E371" s="245"/>
      <c r="F371" s="102"/>
      <c r="G371" s="102"/>
      <c r="H371" s="102"/>
      <c r="I371" s="102"/>
      <c r="J371" s="156"/>
      <c r="K371" s="243"/>
      <c r="L371" s="210"/>
      <c r="M371" s="144"/>
      <c r="N371" s="145"/>
      <c r="O371" s="145"/>
      <c r="P371" s="122"/>
      <c r="Q371" s="304" t="str">
        <f t="shared" si="9"/>
        <v/>
      </c>
      <c r="R371" s="242"/>
      <c r="S371" s="11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</row>
    <row r="372" ht="15.75" hidden="1" customHeight="1">
      <c r="A372" s="90"/>
      <c r="B372" s="6"/>
      <c r="C372" s="90"/>
      <c r="D372" s="159"/>
      <c r="E372" s="227"/>
      <c r="F372" s="127"/>
      <c r="G372" s="221"/>
      <c r="H372" s="195"/>
      <c r="I372" s="130"/>
      <c r="J372" s="228"/>
      <c r="K372" s="241"/>
      <c r="L372" s="130"/>
      <c r="M372" s="134" t="str">
        <f>I237</f>
        <v/>
      </c>
      <c r="N372" s="135" t="str">
        <f>iferror(mround($P237*((VLOOKUP($J372,Sheet1!$D:$N,$G372+1,FALSE)-0.03)),2.5)," ")</f>
        <v> </v>
      </c>
      <c r="O372" s="135" t="str">
        <f>iferror(mround($P237*((VLOOKUP($J372,Sheet1!$D:$N,$G372+1,FALSE)+0.02)),2.5)," ")</f>
        <v> </v>
      </c>
      <c r="P372" s="112" t="str">
        <f>iferror(mround(I372/VLOOKUP(L372,Sheet1!$D$7:$N$16,G372+1,FALSE),2.5),"")</f>
        <v/>
      </c>
      <c r="Q372" s="303" t="str">
        <f t="shared" si="9"/>
        <v/>
      </c>
      <c r="R372" s="242"/>
      <c r="S372" s="11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</row>
    <row r="373" ht="3.75" hidden="1" customHeight="1">
      <c r="A373" s="191"/>
      <c r="B373" s="6"/>
      <c r="C373" s="192"/>
      <c r="D373" s="138"/>
      <c r="E373" s="245"/>
      <c r="F373" s="102"/>
      <c r="G373" s="102"/>
      <c r="H373" s="102"/>
      <c r="I373" s="102"/>
      <c r="J373" s="156"/>
      <c r="K373" s="243"/>
      <c r="L373" s="210"/>
      <c r="M373" s="144"/>
      <c r="N373" s="145"/>
      <c r="O373" s="145"/>
      <c r="P373" s="122"/>
      <c r="Q373" s="304" t="str">
        <f t="shared" si="9"/>
        <v/>
      </c>
      <c r="R373" s="242"/>
      <c r="S373" s="157"/>
      <c r="T373" s="5"/>
      <c r="U373" s="5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</row>
    <row r="374" ht="15.75" hidden="1" customHeight="1">
      <c r="A374" s="90"/>
      <c r="B374" s="6"/>
      <c r="C374" s="90"/>
      <c r="D374" s="159"/>
      <c r="E374" s="246"/>
      <c r="F374" s="127"/>
      <c r="G374" s="221"/>
      <c r="H374" s="195"/>
      <c r="I374" s="130"/>
      <c r="J374" s="228"/>
      <c r="K374" s="241"/>
      <c r="L374" s="130"/>
      <c r="M374" s="134" t="str">
        <f>I239</f>
        <v/>
      </c>
      <c r="N374" s="135" t="str">
        <f>iferror(mround($P239*((VLOOKUP($J374,Sheet1!$D:$N,$G374+1,FALSE)-0.03)),2.5)," ")</f>
        <v> </v>
      </c>
      <c r="O374" s="135" t="str">
        <f>iferror(mround($P239*((VLOOKUP($J374,Sheet1!$D:$N,$G374+1,FALSE)+0.02)),2.5)," ")</f>
        <v> </v>
      </c>
      <c r="P374" s="112" t="str">
        <f>iferror(mround(I374/VLOOKUP(L374,Sheet1!$D$7:$N$16,G374+1,FALSE),2.5),"")</f>
        <v/>
      </c>
      <c r="Q374" s="303" t="str">
        <f t="shared" si="9"/>
        <v/>
      </c>
      <c r="R374" s="242"/>
      <c r="S374" s="11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</row>
    <row r="375" ht="3.75" hidden="1" customHeight="1">
      <c r="A375" s="90"/>
      <c r="B375" s="6"/>
      <c r="C375" s="90"/>
      <c r="D375" s="138"/>
      <c r="E375" s="245"/>
      <c r="F375" s="102"/>
      <c r="G375" s="102"/>
      <c r="H375" s="102"/>
      <c r="I375" s="102"/>
      <c r="J375" s="156"/>
      <c r="K375" s="243"/>
      <c r="L375" s="210"/>
      <c r="M375" s="144"/>
      <c r="N375" s="145"/>
      <c r="O375" s="145"/>
      <c r="P375" s="122"/>
      <c r="Q375" s="304" t="str">
        <f t="shared" si="9"/>
        <v/>
      </c>
      <c r="R375" s="242"/>
      <c r="S375" s="11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</row>
    <row r="376" ht="15.75" hidden="1" customHeight="1">
      <c r="A376" s="90"/>
      <c r="B376" s="6"/>
      <c r="C376" s="90"/>
      <c r="D376" s="185"/>
      <c r="E376" s="227"/>
      <c r="F376" s="187"/>
      <c r="G376" s="229"/>
      <c r="H376" s="195"/>
      <c r="I376" s="247"/>
      <c r="J376" s="248"/>
      <c r="K376" s="241"/>
      <c r="L376" s="164"/>
      <c r="M376" s="134" t="str">
        <f>I241</f>
        <v/>
      </c>
      <c r="N376" s="135" t="str">
        <f>iferror(mround($P241*((VLOOKUP($J376,Sheet1!$D:$N,$G376+1,FALSE)-0.03)),2.5)," ")</f>
        <v> </v>
      </c>
      <c r="O376" s="135" t="str">
        <f>iferror(mround($P241*((VLOOKUP($J376,Sheet1!$D:$N,$G376+1,FALSE)+0.02)),2.5)," ")</f>
        <v> </v>
      </c>
      <c r="P376" s="112" t="str">
        <f>iferror(mround(I376/VLOOKUP(L376,Sheet1!$D$7:$N$16,G376+1,FALSE),2.5),"")</f>
        <v/>
      </c>
      <c r="Q376" s="303" t="str">
        <f t="shared" si="9"/>
        <v/>
      </c>
      <c r="R376" s="242"/>
      <c r="S376" s="11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</row>
    <row r="377" ht="3.75" hidden="1" customHeight="1">
      <c r="A377" s="90"/>
      <c r="B377" s="6"/>
      <c r="C377" s="90"/>
      <c r="D377" s="138"/>
      <c r="E377" s="215"/>
      <c r="F377" s="102"/>
      <c r="G377" s="102"/>
      <c r="H377" s="102"/>
      <c r="I377" s="102"/>
      <c r="J377" s="156"/>
      <c r="K377" s="243"/>
      <c r="L377" s="210"/>
      <c r="M377" s="144"/>
      <c r="N377" s="145"/>
      <c r="O377" s="145"/>
      <c r="P377" s="122"/>
      <c r="Q377" s="304" t="str">
        <f t="shared" si="9"/>
        <v/>
      </c>
      <c r="R377" s="242"/>
      <c r="S377" s="11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</row>
    <row r="378" ht="15.75" hidden="1" customHeight="1">
      <c r="A378" s="90"/>
      <c r="B378" s="6"/>
      <c r="C378" s="90"/>
      <c r="D378" s="185"/>
      <c r="E378" s="220"/>
      <c r="F378" s="187"/>
      <c r="G378" s="229"/>
      <c r="H378" s="195"/>
      <c r="I378" s="247"/>
      <c r="J378" s="248"/>
      <c r="K378" s="241"/>
      <c r="L378" s="164"/>
      <c r="M378" s="134" t="str">
        <f>I243</f>
        <v/>
      </c>
      <c r="N378" s="135" t="str">
        <f>iferror(mround($P243*((VLOOKUP($J378,Sheet1!$D:$N,$G378+1,FALSE)-0.03)),2.5)," ")</f>
        <v> </v>
      </c>
      <c r="O378" s="135" t="str">
        <f>iferror(mround($P243*((VLOOKUP($J378,Sheet1!$D:$N,$G378+1,FALSE)+0.02)),2.5)," ")</f>
        <v> </v>
      </c>
      <c r="P378" s="112" t="str">
        <f>iferror(mround(I378/VLOOKUP(L378,Sheet1!$D$7:$N$16,G378+1,FALSE),2.5),"")</f>
        <v/>
      </c>
      <c r="Q378" s="303" t="str">
        <f t="shared" si="9"/>
        <v/>
      </c>
      <c r="R378" s="242"/>
      <c r="S378" s="11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</row>
    <row r="379" ht="3.75" hidden="1" customHeight="1">
      <c r="A379" s="90"/>
      <c r="B379" s="6"/>
      <c r="C379" s="90"/>
      <c r="D379" s="196"/>
      <c r="E379" s="184"/>
      <c r="F379" s="102"/>
      <c r="G379" s="102"/>
      <c r="H379" s="102"/>
      <c r="I379" s="102"/>
      <c r="J379" s="156"/>
      <c r="K379" s="249"/>
      <c r="L379" s="210"/>
      <c r="M379" s="144"/>
      <c r="N379" s="145"/>
      <c r="O379" s="145"/>
      <c r="P379" s="122"/>
      <c r="Q379" s="304" t="str">
        <f t="shared" si="9"/>
        <v/>
      </c>
      <c r="R379" s="242"/>
      <c r="S379" s="11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</row>
    <row r="380" ht="15.75" hidden="1" customHeight="1">
      <c r="A380" s="90"/>
      <c r="B380" s="6"/>
      <c r="C380" s="90"/>
      <c r="D380" s="197"/>
      <c r="E380" s="250"/>
      <c r="F380" s="129"/>
      <c r="G380" s="199"/>
      <c r="H380" s="195"/>
      <c r="I380" s="247"/>
      <c r="J380" s="248"/>
      <c r="K380" s="251"/>
      <c r="L380" s="164"/>
      <c r="M380" s="134" t="str">
        <f>I245</f>
        <v/>
      </c>
      <c r="N380" s="135" t="str">
        <f>iferror(mround($P245*((VLOOKUP($J380,Sheet1!$D:$N,$G380+1,FALSE)-0.03)),2.5)," ")</f>
        <v> </v>
      </c>
      <c r="O380" s="135" t="str">
        <f>iferror(mround($P245*((VLOOKUP($J380,Sheet1!$D:$N,$G380+1,FALSE)+0.02)),2.5)," ")</f>
        <v> </v>
      </c>
      <c r="P380" s="112" t="str">
        <f>iferror(mround(I380/VLOOKUP(L380,Sheet1!$D$7:$N$16,G380+1,FALSE),2.5),"")</f>
        <v/>
      </c>
      <c r="Q380" s="303" t="str">
        <f t="shared" si="9"/>
        <v/>
      </c>
      <c r="R380" s="242"/>
      <c r="S380" s="11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</row>
    <row r="381" ht="3.75" hidden="1" customHeight="1">
      <c r="A381" s="90"/>
      <c r="B381" s="6"/>
      <c r="C381" s="90"/>
      <c r="D381" s="234"/>
      <c r="E381" s="184"/>
      <c r="F381" s="102"/>
      <c r="G381" s="102"/>
      <c r="H381" s="102"/>
      <c r="I381" s="102"/>
      <c r="J381" s="156"/>
      <c r="K381" s="249"/>
      <c r="L381" s="210"/>
      <c r="M381" s="144"/>
      <c r="N381" s="145"/>
      <c r="O381" s="145"/>
      <c r="P381" s="122"/>
      <c r="Q381" s="304" t="str">
        <f t="shared" si="9"/>
        <v/>
      </c>
      <c r="R381" s="242"/>
      <c r="S381" s="11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</row>
    <row r="382" ht="15.75" hidden="1" customHeight="1">
      <c r="A382" s="90"/>
      <c r="B382" s="6"/>
      <c r="C382" s="90"/>
      <c r="D382" s="197"/>
      <c r="E382" s="198"/>
      <c r="F382" s="129"/>
      <c r="G382" s="199"/>
      <c r="H382" s="195"/>
      <c r="I382" s="164"/>
      <c r="J382" s="248"/>
      <c r="K382" s="251"/>
      <c r="L382" s="164"/>
      <c r="M382" s="134" t="str">
        <f>I247</f>
        <v/>
      </c>
      <c r="N382" s="135" t="str">
        <f>iferror(mround($P247*((VLOOKUP($J382,Sheet1!$D:$N,$G382+1,FALSE)-0.03)),2.5)," ")</f>
        <v> </v>
      </c>
      <c r="O382" s="135" t="str">
        <f>iferror(mround($P247*((VLOOKUP($J382,Sheet1!$D:$N,$G382+1,FALSE)+0.02)),2.5)," ")</f>
        <v> </v>
      </c>
      <c r="P382" s="112" t="str">
        <f>iferror(mround(I382/VLOOKUP(L382,Sheet1!$D$7:$N$16,G382+1,FALSE),2.5),"")</f>
        <v/>
      </c>
      <c r="Q382" s="303" t="str">
        <f t="shared" si="9"/>
        <v/>
      </c>
      <c r="R382" s="242"/>
      <c r="S382" s="11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</row>
    <row r="383" ht="3.75" hidden="1" customHeight="1">
      <c r="A383" s="124"/>
      <c r="B383" s="6"/>
      <c r="C383" s="124"/>
      <c r="D383" s="252"/>
      <c r="E383" s="252"/>
      <c r="F383" s="102"/>
      <c r="G383" s="102"/>
      <c r="H383" s="102"/>
      <c r="I383" s="102"/>
      <c r="J383" s="156"/>
      <c r="K383" s="253"/>
      <c r="L383" s="201"/>
      <c r="M383" s="211"/>
      <c r="N383" s="47"/>
      <c r="O383" s="47"/>
      <c r="P383" s="122"/>
      <c r="Q383" s="304" t="str">
        <f t="shared" si="9"/>
        <v/>
      </c>
      <c r="R383" s="242"/>
      <c r="S383" s="11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</row>
    <row r="384" ht="30.75" hidden="1" customHeight="1">
      <c r="A384" s="90"/>
      <c r="B384" s="6"/>
      <c r="C384" s="90"/>
      <c r="D384" s="254" t="s">
        <v>57</v>
      </c>
      <c r="E384" s="255" t="s">
        <v>15</v>
      </c>
      <c r="F384" s="106" t="s">
        <v>16</v>
      </c>
      <c r="G384" s="106" t="s">
        <v>17</v>
      </c>
      <c r="H384" s="107"/>
      <c r="I384" s="106" t="s">
        <v>18</v>
      </c>
      <c r="J384" s="108" t="s">
        <v>19</v>
      </c>
      <c r="L384" s="109" t="s">
        <v>20</v>
      </c>
      <c r="M384" s="110" t="s">
        <v>21</v>
      </c>
      <c r="N384" s="111" t="s">
        <v>22</v>
      </c>
      <c r="P384" s="112"/>
      <c r="Q384" s="113" t="s">
        <v>23</v>
      </c>
      <c r="R384" s="256" t="s">
        <v>58</v>
      </c>
      <c r="S384" s="11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</row>
    <row r="385" ht="14.25" hidden="1" customHeight="1">
      <c r="A385" s="90"/>
      <c r="B385" s="6"/>
      <c r="C385" s="90"/>
      <c r="D385" s="257" t="s">
        <v>25</v>
      </c>
      <c r="E385" s="258" t="s">
        <v>26</v>
      </c>
      <c r="H385" s="107"/>
      <c r="N385" s="111" t="s">
        <v>27</v>
      </c>
      <c r="O385" s="111" t="s">
        <v>28</v>
      </c>
      <c r="P385" s="112" t="s">
        <v>29</v>
      </c>
      <c r="R385" s="118" t="s">
        <v>30</v>
      </c>
      <c r="S385" s="11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</row>
    <row r="386" ht="3.75" hidden="1" customHeight="1">
      <c r="A386" s="124"/>
      <c r="B386" s="6"/>
      <c r="C386" s="124"/>
      <c r="D386" s="252"/>
      <c r="E386" s="252"/>
      <c r="F386" s="102"/>
      <c r="G386" s="102"/>
      <c r="H386" s="102"/>
      <c r="I386" s="102"/>
      <c r="J386" s="156"/>
      <c r="K386" s="253"/>
      <c r="L386" s="201"/>
      <c r="M386" s="211"/>
      <c r="N386" s="47"/>
      <c r="O386" s="47"/>
      <c r="P386" s="122"/>
      <c r="Q386" s="304" t="str">
        <f t="shared" ref="Q386:Q409" si="10">IF(OR(ISBLANK(I386), ISBLANK(I251)), "", IF(I386 - I251 = 0, "", I386 - I251))</f>
        <v/>
      </c>
      <c r="R386" s="259"/>
      <c r="S386" s="11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</row>
    <row r="387" ht="14.25" hidden="1" customHeight="1">
      <c r="A387" s="124"/>
      <c r="B387" s="6"/>
      <c r="C387" s="124"/>
      <c r="D387" s="260"/>
      <c r="E387" s="126"/>
      <c r="F387" s="187"/>
      <c r="G387" s="229"/>
      <c r="H387" s="129"/>
      <c r="I387" s="164"/>
      <c r="J387" s="189"/>
      <c r="K387" s="251"/>
      <c r="L387" s="164"/>
      <c r="M387" s="134" t="str">
        <f>I254</f>
        <v/>
      </c>
      <c r="N387" s="135" t="str">
        <f>iferror(mround($P254*((VLOOKUP($J387,Sheet1!$D:$N,$G387+1,FALSE)-0.03)),2.5)," ")</f>
        <v> </v>
      </c>
      <c r="O387" s="135" t="str">
        <f>iferror(mround($P254*((VLOOKUP($J387,Sheet1!$D:$N,$G387+1,FALSE)+0.02)),2.5)," ")</f>
        <v> </v>
      </c>
      <c r="P387" s="56" t="str">
        <f>iferror(mround(I387/VLOOKUP(L387,Sheet1!$D$7:$N$16,G387+1,FALSE),2.5),"")</f>
        <v/>
      </c>
      <c r="Q387" s="303" t="str">
        <f t="shared" si="10"/>
        <v/>
      </c>
      <c r="S387" s="11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</row>
    <row r="388" ht="3.75" hidden="1" customHeight="1">
      <c r="A388" s="124"/>
      <c r="B388" s="6"/>
      <c r="C388" s="124"/>
      <c r="D388" s="138"/>
      <c r="E388" s="215"/>
      <c r="F388" s="102"/>
      <c r="G388" s="102"/>
      <c r="H388" s="102"/>
      <c r="I388" s="102"/>
      <c r="J388" s="156"/>
      <c r="K388" s="249"/>
      <c r="L388" s="210"/>
      <c r="M388" s="144"/>
      <c r="N388" s="145"/>
      <c r="O388" s="145"/>
      <c r="P388" s="122"/>
      <c r="Q388" s="304" t="str">
        <f t="shared" si="10"/>
        <v/>
      </c>
      <c r="S388" s="11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</row>
    <row r="389" ht="14.25" hidden="1" customHeight="1">
      <c r="A389" s="124"/>
      <c r="B389" s="6"/>
      <c r="C389" s="124"/>
      <c r="D389" s="185"/>
      <c r="E389" s="227"/>
      <c r="F389" s="187"/>
      <c r="G389" s="229"/>
      <c r="H389" s="195"/>
      <c r="I389" s="164"/>
      <c r="J389" s="248"/>
      <c r="K389" s="251"/>
      <c r="L389" s="164"/>
      <c r="M389" s="134" t="str">
        <f>I254</f>
        <v/>
      </c>
      <c r="N389" s="135" t="str">
        <f>iferror(mround($P254*((VLOOKUP($J389,Sheet1!$D:$N,$G389+1,FALSE)-0.03)),2.5)," ")</f>
        <v> </v>
      </c>
      <c r="O389" s="135" t="str">
        <f>iferror(mround($P254*((VLOOKUP($J389,Sheet1!$D:$N,$G389+1,FALSE)+0.02)),2.5)," ")</f>
        <v> </v>
      </c>
      <c r="P389" s="112" t="str">
        <f>iferror(mround(I389/VLOOKUP(L389,Sheet1!$D$7:$N$16,G389+1,FALSE),2.5),"")</f>
        <v/>
      </c>
      <c r="Q389" s="303" t="str">
        <f t="shared" si="10"/>
        <v/>
      </c>
      <c r="S389" s="11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</row>
    <row r="390" ht="3.75" hidden="1" customHeight="1">
      <c r="A390" s="124"/>
      <c r="B390" s="6"/>
      <c r="C390" s="124"/>
      <c r="D390" s="138"/>
      <c r="E390" s="245"/>
      <c r="F390" s="102"/>
      <c r="G390" s="102"/>
      <c r="H390" s="102"/>
      <c r="I390" s="102"/>
      <c r="J390" s="156"/>
      <c r="K390" s="249"/>
      <c r="L390" s="210"/>
      <c r="M390" s="144"/>
      <c r="N390" s="145"/>
      <c r="O390" s="145"/>
      <c r="P390" s="122"/>
      <c r="Q390" s="304" t="str">
        <f t="shared" si="10"/>
        <v/>
      </c>
      <c r="S390" s="11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</row>
    <row r="391" ht="14.25" hidden="1" customHeight="1">
      <c r="A391" s="124"/>
      <c r="B391" s="6"/>
      <c r="C391" s="124"/>
      <c r="D391" s="185"/>
      <c r="E391" s="227"/>
      <c r="F391" s="187"/>
      <c r="G391" s="229"/>
      <c r="H391" s="195"/>
      <c r="I391" s="164"/>
      <c r="J391" s="248"/>
      <c r="K391" s="251"/>
      <c r="L391" s="164"/>
      <c r="M391" s="134" t="str">
        <f>I256</f>
        <v/>
      </c>
      <c r="N391" s="135" t="str">
        <f>iferror(mround($P256*((VLOOKUP($J391,Sheet1!$D:$N,$G391+1,FALSE)-0.03)),2.5)," ")</f>
        <v> </v>
      </c>
      <c r="O391" s="135" t="str">
        <f>iferror(mround($P256*((VLOOKUP($J391,Sheet1!$D:$N,$G391+1,FALSE)+0.02)),2.5)," ")</f>
        <v> </v>
      </c>
      <c r="P391" s="112" t="str">
        <f>iferror(mround(I391/VLOOKUP(L391,Sheet1!$D$7:$N$16,G391+1,FALSE),2.5),"")</f>
        <v/>
      </c>
      <c r="Q391" s="303" t="str">
        <f t="shared" si="10"/>
        <v/>
      </c>
      <c r="S391" s="11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</row>
    <row r="392" ht="3.75" hidden="1" customHeight="1">
      <c r="A392" s="124"/>
      <c r="B392" s="6"/>
      <c r="C392" s="124"/>
      <c r="D392" s="138"/>
      <c r="E392" s="245"/>
      <c r="F392" s="102"/>
      <c r="G392" s="102"/>
      <c r="H392" s="102"/>
      <c r="I392" s="102"/>
      <c r="J392" s="156"/>
      <c r="K392" s="249"/>
      <c r="L392" s="210"/>
      <c r="M392" s="144"/>
      <c r="N392" s="145"/>
      <c r="O392" s="145"/>
      <c r="P392" s="122"/>
      <c r="Q392" s="304" t="str">
        <f t="shared" si="10"/>
        <v/>
      </c>
      <c r="S392" s="11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</row>
    <row r="393" ht="14.25" hidden="1" customHeight="1">
      <c r="A393" s="124"/>
      <c r="B393" s="6"/>
      <c r="C393" s="124"/>
      <c r="D393" s="185"/>
      <c r="E393" s="227"/>
      <c r="F393" s="187"/>
      <c r="G393" s="229"/>
      <c r="H393" s="195"/>
      <c r="I393" s="164"/>
      <c r="J393" s="248"/>
      <c r="K393" s="251"/>
      <c r="L393" s="164"/>
      <c r="M393" s="134"/>
      <c r="N393" s="135" t="str">
        <f>iferror(mround($P258*((VLOOKUP($J393,Sheet1!$D:$N,$G393+1,FALSE)-0.03)),2.5)," ")</f>
        <v> </v>
      </c>
      <c r="O393" s="135" t="str">
        <f>iferror(mround($P258*((VLOOKUP($J393,Sheet1!$D:$N,$G393+1,FALSE)+0.02)),2.5)," ")</f>
        <v> </v>
      </c>
      <c r="P393" s="112" t="str">
        <f>iferror(mround(I393/VLOOKUP(L393,Sheet1!$D$7:$N$16,G393+1,FALSE),2.5),"")</f>
        <v/>
      </c>
      <c r="Q393" s="303" t="str">
        <f t="shared" si="10"/>
        <v/>
      </c>
      <c r="S393" s="11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</row>
    <row r="394" ht="3.75" hidden="1" customHeight="1">
      <c r="A394" s="124"/>
      <c r="B394" s="6"/>
      <c r="C394" s="124"/>
      <c r="D394" s="138"/>
      <c r="E394" s="245"/>
      <c r="F394" s="102"/>
      <c r="G394" s="102"/>
      <c r="H394" s="102"/>
      <c r="I394" s="102"/>
      <c r="J394" s="156"/>
      <c r="K394" s="249"/>
      <c r="L394" s="210"/>
      <c r="M394" s="144"/>
      <c r="N394" s="145" t="str">
        <f>iferror(mround($P259*((VLOOKUP($J394,Sheet1!$D:$N,$G394+1,FALSE)-0.03)),2.5)," ")</f>
        <v> </v>
      </c>
      <c r="O394" s="145" t="str">
        <f>iferror(mround($P259*((VLOOKUP($J394,Sheet1!$D:$N,$G394+1,FALSE)+0.02)),2.5)," ")</f>
        <v> </v>
      </c>
      <c r="P394" s="122"/>
      <c r="Q394" s="304" t="str">
        <f t="shared" si="10"/>
        <v/>
      </c>
      <c r="S394" s="11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</row>
    <row r="395" ht="14.25" hidden="1" customHeight="1">
      <c r="A395" s="124"/>
      <c r="B395" s="6"/>
      <c r="C395" s="124"/>
      <c r="D395" s="185"/>
      <c r="E395" s="227"/>
      <c r="F395" s="187"/>
      <c r="G395" s="187"/>
      <c r="H395" s="195"/>
      <c r="I395" s="164"/>
      <c r="J395" s="248"/>
      <c r="K395" s="251"/>
      <c r="L395" s="164"/>
      <c r="M395" s="134" t="str">
        <f>I260</f>
        <v/>
      </c>
      <c r="N395" s="135" t="str">
        <f>iferror(mround($P260*((VLOOKUP($J395,Sheet1!$D:$N,$G395+1,FALSE)-0.03)),2.5)," ")</f>
        <v> </v>
      </c>
      <c r="O395" s="135" t="str">
        <f>iferror(mround($P260*((VLOOKUP($J395,Sheet1!$D:$N,$G395+1,FALSE)+0.02)),2.5)," ")</f>
        <v> </v>
      </c>
      <c r="P395" s="112" t="str">
        <f>iferror(mround(I395/VLOOKUP(L395,Sheet1!$D$7:$N$16,G395+1,FALSE),2.5),"")</f>
        <v/>
      </c>
      <c r="Q395" s="303" t="str">
        <f t="shared" si="10"/>
        <v/>
      </c>
      <c r="S395" s="11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</row>
    <row r="396" ht="3.75" hidden="1" customHeight="1">
      <c r="A396" s="261"/>
      <c r="B396" s="6"/>
      <c r="C396" s="262"/>
      <c r="D396" s="138"/>
      <c r="E396" s="245"/>
      <c r="F396" s="102"/>
      <c r="G396" s="102"/>
      <c r="H396" s="102"/>
      <c r="I396" s="102"/>
      <c r="J396" s="156"/>
      <c r="K396" s="249"/>
      <c r="L396" s="210"/>
      <c r="M396" s="144"/>
      <c r="N396" s="145"/>
      <c r="O396" s="145"/>
      <c r="P396" s="122"/>
      <c r="Q396" s="304" t="str">
        <f t="shared" si="10"/>
        <v/>
      </c>
      <c r="S396" s="157"/>
      <c r="T396" s="5"/>
      <c r="U396" s="5"/>
      <c r="V396" s="158"/>
      <c r="W396" s="158"/>
      <c r="X396" s="158"/>
      <c r="Y396" s="158"/>
      <c r="Z396" s="158"/>
      <c r="AA396" s="158"/>
      <c r="AB396" s="158"/>
      <c r="AC396" s="158"/>
      <c r="AD396" s="158"/>
      <c r="AE396" s="158"/>
      <c r="AF396" s="158"/>
      <c r="AG396" s="158"/>
    </row>
    <row r="397" ht="14.25" hidden="1" customHeight="1">
      <c r="A397" s="124"/>
      <c r="B397" s="6"/>
      <c r="C397" s="124"/>
      <c r="D397" s="185"/>
      <c r="E397" s="227"/>
      <c r="F397" s="187"/>
      <c r="G397" s="187"/>
      <c r="H397" s="195"/>
      <c r="I397" s="164"/>
      <c r="J397" s="248"/>
      <c r="K397" s="251"/>
      <c r="L397" s="164"/>
      <c r="M397" s="134" t="str">
        <f>I262</f>
        <v/>
      </c>
      <c r="N397" s="135" t="str">
        <f>iferror(mround($P262*((VLOOKUP($J397,Sheet1!$D:$N,$G397+1,FALSE)-0.03)),2.5)," ")</f>
        <v> </v>
      </c>
      <c r="O397" s="135" t="str">
        <f>iferror(mround($P262*((VLOOKUP($J397,Sheet1!$D:$N,$G397+1,FALSE)+0.02)),2.5)," ")</f>
        <v> </v>
      </c>
      <c r="P397" s="112" t="str">
        <f>iferror(mround(I397/VLOOKUP(L397,Sheet1!$D$7:$N$16,G397+1,FALSE),2.5),"")</f>
        <v/>
      </c>
      <c r="Q397" s="303" t="str">
        <f t="shared" si="10"/>
        <v/>
      </c>
      <c r="S397" s="11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</row>
    <row r="398" ht="3.75" hidden="1" customHeight="1">
      <c r="A398" s="261"/>
      <c r="B398" s="6"/>
      <c r="C398" s="262"/>
      <c r="D398" s="138"/>
      <c r="E398" s="252"/>
      <c r="F398" s="102"/>
      <c r="G398" s="102"/>
      <c r="H398" s="102"/>
      <c r="I398" s="102"/>
      <c r="J398" s="156"/>
      <c r="K398" s="249"/>
      <c r="L398" s="210"/>
      <c r="M398" s="144"/>
      <c r="N398" s="145"/>
      <c r="O398" s="145"/>
      <c r="P398" s="122"/>
      <c r="Q398" s="304" t="str">
        <f t="shared" si="10"/>
        <v/>
      </c>
      <c r="S398" s="157"/>
      <c r="T398" s="5"/>
      <c r="U398" s="5"/>
      <c r="V398" s="158"/>
      <c r="W398" s="158"/>
      <c r="X398" s="158"/>
      <c r="Y398" s="158"/>
      <c r="Z398" s="158"/>
      <c r="AA398" s="158"/>
      <c r="AB398" s="158"/>
      <c r="AC398" s="158"/>
      <c r="AD398" s="158"/>
      <c r="AE398" s="158"/>
      <c r="AF398" s="158"/>
      <c r="AG398" s="158"/>
    </row>
    <row r="399" ht="15.75" hidden="1" customHeight="1">
      <c r="A399" s="124"/>
      <c r="B399" s="6"/>
      <c r="C399" s="124"/>
      <c r="D399" s="185"/>
      <c r="E399" s="260"/>
      <c r="F399" s="187"/>
      <c r="G399" s="187"/>
      <c r="H399" s="195"/>
      <c r="I399" s="247"/>
      <c r="J399" s="248"/>
      <c r="K399" s="251"/>
      <c r="L399" s="164"/>
      <c r="M399" s="134"/>
      <c r="N399" s="135" t="str">
        <f>iferror(mround($P264*((VLOOKUP($J399,Sheet1!$D:$N,$G399+1,FALSE)-0.03)),2.5)," ")</f>
        <v> </v>
      </c>
      <c r="O399" s="135" t="str">
        <f>iferror(mround($P264*((VLOOKUP($J399,Sheet1!$D:$N,$G399+1,FALSE)+0.02)),2.5)," ")</f>
        <v> </v>
      </c>
      <c r="P399" s="112" t="str">
        <f>iferror(mround(I399/VLOOKUP(L399,Sheet1!$D$7:$N$16,G399+1,FALSE),2.5),"")</f>
        <v/>
      </c>
      <c r="Q399" s="303" t="str">
        <f t="shared" si="10"/>
        <v/>
      </c>
      <c r="S399" s="11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</row>
    <row r="400" ht="3.75" hidden="1" customHeight="1">
      <c r="A400" s="124"/>
      <c r="B400" s="6"/>
      <c r="C400" s="124"/>
      <c r="D400" s="263"/>
      <c r="E400" s="252"/>
      <c r="F400" s="102"/>
      <c r="G400" s="102"/>
      <c r="H400" s="102"/>
      <c r="I400" s="102"/>
      <c r="J400" s="156"/>
      <c r="K400" s="249"/>
      <c r="L400" s="210"/>
      <c r="M400" s="144"/>
      <c r="N400" s="145" t="str">
        <f>iferror(mround($P265*((VLOOKUP($J400,Sheet1!$D:$N,$G400+1,FALSE)-0.03)),2.5)," ")</f>
        <v> </v>
      </c>
      <c r="O400" s="145" t="str">
        <f>iferror(mround($P265*((VLOOKUP($J400,Sheet1!$D:$N,$G400+1,FALSE)+0.02)),2.5)," ")</f>
        <v> </v>
      </c>
      <c r="P400" s="122"/>
      <c r="Q400" s="304" t="str">
        <f t="shared" si="10"/>
        <v/>
      </c>
      <c r="S400" s="11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</row>
    <row r="401" ht="14.25" hidden="1" customHeight="1">
      <c r="A401" s="90"/>
      <c r="B401" s="6"/>
      <c r="C401" s="90"/>
      <c r="D401" s="185"/>
      <c r="E401" s="264"/>
      <c r="F401" s="187"/>
      <c r="G401" s="187"/>
      <c r="H401" s="195"/>
      <c r="I401" s="164"/>
      <c r="J401" s="248"/>
      <c r="K401" s="251"/>
      <c r="L401" s="164"/>
      <c r="M401" s="134" t="str">
        <f>I266</f>
        <v/>
      </c>
      <c r="N401" s="135" t="str">
        <f>iferror(mround($P266*((VLOOKUP($J401,Sheet1!$D:$N,$G401+1,FALSE)-0.03)),2.5)," ")</f>
        <v> </v>
      </c>
      <c r="O401" s="135" t="str">
        <f>iferror(mround($P266*((VLOOKUP($J401,Sheet1!$D:$N,$G401+1,FALSE)+0.02)),2.5)," ")</f>
        <v> </v>
      </c>
      <c r="P401" s="112" t="str">
        <f>iferror(mround(I401/VLOOKUP(L401,Sheet1!$D$7:$N$16,G401+1,FALSE),2.5),"")</f>
        <v/>
      </c>
      <c r="Q401" s="303" t="str">
        <f t="shared" si="10"/>
        <v/>
      </c>
      <c r="S401" s="11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</row>
    <row r="402" ht="3.75" hidden="1" customHeight="1">
      <c r="A402" s="261"/>
      <c r="B402" s="6"/>
      <c r="C402" s="262"/>
      <c r="D402" s="263"/>
      <c r="E402" s="263"/>
      <c r="F402" s="194"/>
      <c r="G402" s="194"/>
      <c r="H402" s="155"/>
      <c r="I402" s="210"/>
      <c r="J402" s="265"/>
      <c r="K402" s="249"/>
      <c r="L402" s="210"/>
      <c r="M402" s="144"/>
      <c r="N402" s="145"/>
      <c r="O402" s="145"/>
      <c r="P402" s="122"/>
      <c r="Q402" s="304" t="str">
        <f t="shared" si="10"/>
        <v/>
      </c>
      <c r="S402" s="157"/>
      <c r="T402" s="5"/>
      <c r="U402" s="5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/>
      <c r="AF402" s="158"/>
      <c r="AG402" s="158"/>
    </row>
    <row r="403" ht="15.75" hidden="1" customHeight="1">
      <c r="A403" s="90"/>
      <c r="B403" s="6"/>
      <c r="C403" s="90"/>
      <c r="D403" s="185"/>
      <c r="E403" s="266"/>
      <c r="F403" s="187"/>
      <c r="G403" s="187"/>
      <c r="H403" s="195"/>
      <c r="I403" s="164"/>
      <c r="J403" s="248"/>
      <c r="K403" s="251"/>
      <c r="L403" s="164"/>
      <c r="M403" s="134"/>
      <c r="N403" s="135" t="str">
        <f>iferror(mround($P268*((VLOOKUP($J403,Sheet1!$D:$N,$G403+1,FALSE)-0.03)),2.5)," ")</f>
        <v> </v>
      </c>
      <c r="O403" s="135" t="str">
        <f>iferror(mround($P268*((VLOOKUP($J403,Sheet1!$D:$N,$G403+1,FALSE)+0.02)),2.5)," ")</f>
        <v> </v>
      </c>
      <c r="P403" s="112" t="str">
        <f>iferror(mround(I403/VLOOKUP(L403,Sheet1!$D$7:$N$16,G403+1,FALSE),2.5),"")</f>
        <v/>
      </c>
      <c r="Q403" s="303" t="str">
        <f t="shared" si="10"/>
        <v/>
      </c>
      <c r="S403" s="11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</row>
    <row r="404" ht="3.75" hidden="1" customHeight="1">
      <c r="A404" s="90"/>
      <c r="B404" s="6"/>
      <c r="C404" s="90"/>
      <c r="D404" s="138"/>
      <c r="E404" s="252"/>
      <c r="F404" s="102"/>
      <c r="G404" s="102"/>
      <c r="H404" s="102"/>
      <c r="I404" s="102"/>
      <c r="J404" s="156"/>
      <c r="K404" s="249"/>
      <c r="L404" s="210"/>
      <c r="M404" s="144"/>
      <c r="N404" s="145" t="str">
        <f>iferror(mround($P269*((VLOOKUP($J404,Sheet1!$D:$N,$G404+1,FALSE)-0.03)),2.5)," ")</f>
        <v> </v>
      </c>
      <c r="O404" s="145" t="str">
        <f>iferror(mround($P269*((VLOOKUP($J404,Sheet1!$D:$N,$G404+1,FALSE)+0.02)),2.5)," ")</f>
        <v> </v>
      </c>
      <c r="P404" s="122"/>
      <c r="Q404" s="304" t="str">
        <f t="shared" si="10"/>
        <v/>
      </c>
      <c r="S404" s="11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</row>
    <row r="405" ht="15.75" hidden="1" customHeight="1">
      <c r="A405" s="90"/>
      <c r="B405" s="6"/>
      <c r="C405" s="90"/>
      <c r="D405" s="185"/>
      <c r="E405" s="264"/>
      <c r="F405" s="187"/>
      <c r="G405" s="187"/>
      <c r="H405" s="195"/>
      <c r="I405" s="164"/>
      <c r="J405" s="248"/>
      <c r="K405" s="251"/>
      <c r="L405" s="164"/>
      <c r="M405" s="134" t="str">
        <f>I270</f>
        <v/>
      </c>
      <c r="N405" s="135" t="str">
        <f>iferror(mround($P270*((VLOOKUP($J405,Sheet1!$D:$N,$G405+1,FALSE)-0.03)),2.5)," ")</f>
        <v> </v>
      </c>
      <c r="O405" s="135" t="str">
        <f>iferror(mround($P270*((VLOOKUP($J405,Sheet1!$D:$N,$G405+1,FALSE)+0.02)),2.5)," ")</f>
        <v> </v>
      </c>
      <c r="P405" s="112" t="str">
        <f>iferror(mround(I405/VLOOKUP(L405,Sheet1!$D$7:$N$16,G405+1,FALSE),2.5),"")</f>
        <v/>
      </c>
      <c r="Q405" s="303" t="str">
        <f t="shared" si="10"/>
        <v/>
      </c>
      <c r="S405" s="11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</row>
    <row r="406" ht="3.75" hidden="1" customHeight="1">
      <c r="A406" s="191"/>
      <c r="B406" s="6"/>
      <c r="C406" s="192"/>
      <c r="D406" s="138"/>
      <c r="E406" s="252"/>
      <c r="F406" s="102"/>
      <c r="G406" s="102"/>
      <c r="H406" s="102"/>
      <c r="I406" s="102"/>
      <c r="J406" s="156"/>
      <c r="K406" s="249"/>
      <c r="L406" s="210"/>
      <c r="M406" s="144"/>
      <c r="N406" s="145"/>
      <c r="O406" s="145"/>
      <c r="P406" s="122"/>
      <c r="Q406" s="304" t="str">
        <f t="shared" si="10"/>
        <v/>
      </c>
      <c r="S406" s="157"/>
      <c r="T406" s="5"/>
      <c r="U406" s="5"/>
      <c r="V406" s="158"/>
      <c r="W406" s="158"/>
      <c r="X406" s="158"/>
      <c r="Y406" s="158"/>
      <c r="Z406" s="158"/>
      <c r="AA406" s="158"/>
      <c r="AB406" s="158"/>
      <c r="AC406" s="158"/>
      <c r="AD406" s="158"/>
      <c r="AE406" s="158"/>
      <c r="AF406" s="158"/>
      <c r="AG406" s="158"/>
    </row>
    <row r="407" ht="15.75" hidden="1" customHeight="1">
      <c r="A407" s="90"/>
      <c r="B407" s="6"/>
      <c r="C407" s="90"/>
      <c r="D407" s="185"/>
      <c r="E407" s="260"/>
      <c r="F407" s="187"/>
      <c r="G407" s="187"/>
      <c r="H407" s="195"/>
      <c r="I407" s="164"/>
      <c r="J407" s="248"/>
      <c r="K407" s="251"/>
      <c r="L407" s="164"/>
      <c r="M407" s="134" t="str">
        <f>I272</f>
        <v/>
      </c>
      <c r="N407" s="135" t="str">
        <f>iferror(mround($P272*((VLOOKUP($J407,Sheet1!$D:$N,$G407+1,FALSE)-0.03)),2.5)," ")</f>
        <v> </v>
      </c>
      <c r="O407" s="135" t="str">
        <f>iferror(mround($P272*((VLOOKUP($J407,Sheet1!$D:$N,$G407+1,FALSE)+0.02)),2.5)," ")</f>
        <v> </v>
      </c>
      <c r="P407" s="112" t="str">
        <f>iferror(mround(I407/VLOOKUP(L407,Sheet1!$D$7:$N$16,G407+1,FALSE),2.5),"")</f>
        <v/>
      </c>
      <c r="Q407" s="303" t="str">
        <f t="shared" si="10"/>
        <v/>
      </c>
      <c r="S407" s="11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</row>
    <row r="408" ht="3.75" hidden="1" customHeight="1">
      <c r="A408" s="90"/>
      <c r="B408" s="6"/>
      <c r="C408" s="90"/>
      <c r="D408" s="263"/>
      <c r="E408" s="252"/>
      <c r="F408" s="102"/>
      <c r="G408" s="102"/>
      <c r="H408" s="102"/>
      <c r="I408" s="102"/>
      <c r="J408" s="156"/>
      <c r="K408" s="249"/>
      <c r="L408" s="210"/>
      <c r="M408" s="144"/>
      <c r="N408" s="145"/>
      <c r="O408" s="145"/>
      <c r="P408" s="122"/>
      <c r="Q408" s="304" t="str">
        <f t="shared" si="10"/>
        <v/>
      </c>
      <c r="S408" s="11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</row>
    <row r="409" ht="15.75" hidden="1" customHeight="1">
      <c r="A409" s="90"/>
      <c r="B409" s="6"/>
      <c r="C409" s="90"/>
      <c r="D409" s="185"/>
      <c r="E409" s="266"/>
      <c r="F409" s="187"/>
      <c r="G409" s="187"/>
      <c r="H409" s="195"/>
      <c r="I409" s="164"/>
      <c r="J409" s="248"/>
      <c r="K409" s="251"/>
      <c r="L409" s="164"/>
      <c r="M409" s="134" t="str">
        <f>I274</f>
        <v/>
      </c>
      <c r="N409" s="135" t="str">
        <f>iferror(mround($P274*((VLOOKUP($J409,Sheet1!$D:$N,$G409+1,FALSE)-0.03)),2.5)," ")</f>
        <v> </v>
      </c>
      <c r="O409" s="135" t="str">
        <f>iferror(mround($P274*((VLOOKUP($J409,Sheet1!$D:$N,$G409+1,FALSE)+0.02)),2.5)," ")</f>
        <v> </v>
      </c>
      <c r="P409" s="112" t="str">
        <f>iferror(mround(I409/VLOOKUP(L409,Sheet1!$D$7:$N$16,G409+1,FALSE),2.5),"")</f>
        <v/>
      </c>
      <c r="Q409" s="303" t="str">
        <f t="shared" si="10"/>
        <v/>
      </c>
      <c r="S409" s="11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</row>
    <row r="410" ht="3.75" customHeight="1">
      <c r="A410" s="191"/>
      <c r="B410" s="6"/>
      <c r="C410" s="192"/>
      <c r="D410" s="192"/>
      <c r="E410" s="267"/>
      <c r="F410" s="194"/>
      <c r="G410" s="194"/>
      <c r="H410" s="155"/>
      <c r="I410" s="210"/>
      <c r="J410" s="268"/>
      <c r="K410" s="249"/>
      <c r="L410" s="269"/>
      <c r="M410" s="270"/>
      <c r="N410" s="269"/>
      <c r="O410" s="269"/>
      <c r="P410" s="271"/>
      <c r="Q410" s="272"/>
      <c r="R410" s="273"/>
      <c r="S410" s="157"/>
      <c r="T410" s="5"/>
      <c r="U410" s="5"/>
      <c r="V410" s="158"/>
      <c r="W410" s="158"/>
      <c r="X410" s="158"/>
      <c r="Y410" s="158"/>
      <c r="Z410" s="158"/>
      <c r="AA410" s="158"/>
      <c r="AB410" s="158"/>
      <c r="AC410" s="158"/>
      <c r="AD410" s="158"/>
      <c r="AE410" s="158"/>
      <c r="AF410" s="158"/>
      <c r="AG410" s="158"/>
    </row>
    <row r="411" ht="14.25" customHeight="1">
      <c r="A411" s="5"/>
      <c r="B411" s="6"/>
      <c r="C411" s="5"/>
      <c r="D411" s="274"/>
      <c r="E411" s="266"/>
      <c r="F411" s="187"/>
      <c r="G411" s="187"/>
      <c r="H411" s="195"/>
      <c r="I411" s="129"/>
      <c r="J411" s="275"/>
      <c r="K411" s="276"/>
      <c r="L411" s="187"/>
      <c r="M411" s="187"/>
      <c r="N411" s="187"/>
      <c r="O411" s="187"/>
      <c r="P411" s="277"/>
      <c r="Q411" s="278"/>
      <c r="R411" s="279"/>
      <c r="S411" s="11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</row>
    <row r="412" ht="14.25" customHeight="1">
      <c r="A412" s="5"/>
      <c r="B412" s="6"/>
      <c r="C412" s="5"/>
      <c r="D412" s="274" t="s">
        <v>59</v>
      </c>
      <c r="E412" s="266" t="s">
        <v>16</v>
      </c>
      <c r="F412" s="187" t="s">
        <v>17</v>
      </c>
      <c r="G412" s="187" t="s">
        <v>60</v>
      </c>
      <c r="H412" s="187"/>
      <c r="I412" s="280" t="s">
        <v>61</v>
      </c>
      <c r="J412" s="266" t="s">
        <v>62</v>
      </c>
      <c r="K412" s="274"/>
      <c r="L412" s="187"/>
      <c r="M412" s="285"/>
      <c r="N412" s="285"/>
      <c r="O412" s="285"/>
      <c r="P412" s="282"/>
      <c r="Q412" s="278"/>
      <c r="R412" s="157"/>
      <c r="S412" s="11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</row>
    <row r="413" ht="14.25" customHeight="1">
      <c r="A413" s="5"/>
      <c r="B413" s="6"/>
      <c r="C413" s="5"/>
      <c r="D413" s="274" t="s">
        <v>6</v>
      </c>
      <c r="E413" s="283">
        <f>IFERROR(__xludf.DUMMYFUNCTION("SUM(FILTER(F288:F412, ISNUMBER(SEARCH(""squat"", D288:D412))))"),6.0)</f>
        <v>6</v>
      </c>
      <c r="F413" s="284">
        <f>IFERROR(__xludf.DUMMYFUNCTION("SUMPRODUCT(FILTER(F288:F412 * G288:G412, ISNUMBER(SEARCH(""squat"", D288:D412))))"),275274.0)</f>
        <v>275274</v>
      </c>
      <c r="G413" s="135">
        <f>IFERROR(__xludf.DUMMYFUNCTION("ROUND(SUMPRODUCT(FILTER(F288:F412 * G288:G412 * I288:I412, ISNUMBER(SEARCH(""squat"", D288:D412)))), 0)"),3.785112E7)</f>
        <v>37851120</v>
      </c>
      <c r="H413" s="285"/>
      <c r="I413" s="135" t="str">
        <f>IFERROR(__xludf.DUMMYFUNCTION("ROUND(AVERAGE(FILTER(I288:I412, ISNUMBER(SEARCH(""squat"", D288:D412)), I288:I412 &lt;&gt; """")) / J413 * 100, 0)"),"#VALUE!")</f>
        <v>#VALUE!</v>
      </c>
      <c r="J413" s="283" t="str">
        <f>IFERROR(__xludf.DUMMYFUNCTION("IFERROR(MROUND(AVERAGE(FILTER(P288:P412, D288:D412 = ""comp squat"", P288:P412 &lt;&gt; """", P288:P412 &gt;= 0.9 * MAX(FILTER(P288:P412, D288:D412 = ""comp squat"", P288:P412 &lt;&gt; """")), P288:P412 &lt;= 1.1 * MAX(FILTER(P288:P412, D288:D412 = ""comp squat"", P288:P41"&amp;"2 &lt;&gt; """")))), 2.5), ""No valid data"")"),"No valid data")</f>
        <v>No valid data</v>
      </c>
      <c r="K413" s="286"/>
      <c r="L413" s="287" t="str">
        <f>MROUND(J413/2.2046,2.5)-$O$10</f>
        <v>#VALUE!</v>
      </c>
      <c r="M413" s="305"/>
      <c r="N413" s="305"/>
      <c r="O413" s="305"/>
      <c r="P413" s="282"/>
      <c r="Q413" s="278"/>
      <c r="R413" s="291"/>
      <c r="S413" s="11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</row>
    <row r="414" ht="3.0" customHeight="1">
      <c r="A414" s="5"/>
      <c r="B414" s="6"/>
      <c r="C414" s="5"/>
      <c r="D414" s="90"/>
      <c r="E414" s="156"/>
      <c r="F414" s="102"/>
      <c r="G414" s="145"/>
      <c r="H414" s="102"/>
      <c r="I414" s="145"/>
      <c r="J414" s="156"/>
      <c r="K414" s="286"/>
      <c r="L414" s="292"/>
      <c r="M414" s="284"/>
      <c r="N414" s="284"/>
      <c r="O414" s="305"/>
      <c r="P414" s="282"/>
      <c r="Q414" s="278"/>
      <c r="R414" s="115"/>
      <c r="S414" s="11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</row>
    <row r="415" ht="15.75" customHeight="1">
      <c r="A415" s="5"/>
      <c r="B415" s="6"/>
      <c r="C415" s="5"/>
      <c r="D415" s="274" t="s">
        <v>66</v>
      </c>
      <c r="E415" s="293">
        <f>IFERROR(__xludf.DUMMYFUNCTION("SUM(FILTER(F288:F412, ISNUMBER(SEARCH(""bench press"", D288:D412))))"),12.0)</f>
        <v>12</v>
      </c>
      <c r="F415" s="284">
        <f>IFERROR(__xludf.DUMMYFUNCTION("SUMPRODUCT(FILTER(F289:F413 * G289:G413, ISNUMBER(SEARCH(""bench press"", D289:D413))))"),51.0)</f>
        <v>51</v>
      </c>
      <c r="G415" s="135">
        <f>IFERROR(__xludf.DUMMYFUNCTION("ROUND(SUMPRODUCT(FILTER(F288:F412 * G288:G412 * I288:I412, ISNUMBER(SEARCH(""bench press"", D288:D412)))), 0)"),11787.0)</f>
        <v>11787</v>
      </c>
      <c r="H415" s="285"/>
      <c r="I415" s="135">
        <f>IFERROR(__xludf.DUMMYFUNCTION("ROUND(AVERAGE(FILTER(I288:I412, ISNUMBER(SEARCH(""bench press"", D288:D412)), I288:I412 &lt;&gt; """")) / J415 * 100, 0)"),76.0)</f>
        <v>76</v>
      </c>
      <c r="J415" s="293">
        <f>IFERROR(__xludf.DUMMYFUNCTION("IFERROR(MROUND(AVERAGE(FILTER(P288:P412, D288:D412 = ""comp bench press"", P288:P412 &lt;&gt; """", P288:P412 &gt;= 0.9 * MAX(FILTER(P288:P412, D288:D412 = ""comp bench press"", P288:P412 &lt;&gt; """")), P288:P412 &lt;= 1.1 * MAX(FILTER(P288:P412, D288:D412 = ""comp bench"&amp;" press"", P288:P412 &lt;&gt; """")))), 2.5), ""No valid data"")"),312.5)</f>
        <v>312.5</v>
      </c>
      <c r="K415" s="286"/>
      <c r="L415" s="294">
        <f>MROUND(J415/2.2046,2.5)-$O$11</f>
        <v>-10</v>
      </c>
      <c r="M415" s="285"/>
      <c r="N415" s="285"/>
      <c r="O415" s="305"/>
      <c r="P415" s="282"/>
      <c r="Q415" s="278"/>
      <c r="R415" s="157"/>
      <c r="S415" s="11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</row>
    <row r="416" ht="3.0" customHeight="1">
      <c r="A416" s="5"/>
      <c r="B416" s="6"/>
      <c r="C416" s="5"/>
      <c r="D416" s="90"/>
      <c r="E416" s="156"/>
      <c r="F416" s="102"/>
      <c r="G416" s="145"/>
      <c r="H416" s="102"/>
      <c r="I416" s="145"/>
      <c r="J416" s="156"/>
      <c r="K416" s="286"/>
      <c r="L416" s="292"/>
      <c r="M416" s="285"/>
      <c r="N416" s="285"/>
      <c r="O416" s="284"/>
      <c r="P416" s="282"/>
      <c r="Q416" s="278"/>
      <c r="R416" s="157"/>
      <c r="S416" s="11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</row>
    <row r="417" ht="14.25" customHeight="1">
      <c r="A417" s="5"/>
      <c r="B417" s="6"/>
      <c r="C417" s="5"/>
      <c r="D417" s="274" t="s">
        <v>10</v>
      </c>
      <c r="E417" s="293">
        <f>IFERROR(__xludf.DUMMYFUNCTION("SUM(FILTER(F288:F412, ISNUMBER(SEARCH(""deadlift"", D288:D412))))"),6.0)</f>
        <v>6</v>
      </c>
      <c r="F417" s="284">
        <f>IFERROR(__xludf.DUMMYFUNCTION("SUMPRODUCT(FILTER(F288:F412 * G288:G412, ISNUMBER(SEARCH(""deadlift"", D288:D412))))"),275463.0)</f>
        <v>275463</v>
      </c>
      <c r="G417" s="135">
        <f>IFERROR(__xludf.DUMMYFUNCTION("ROUND(SUMPRODUCT(FILTER(F288:F412 * G288:G412 * I288:I412, ISNUMBER(SEARCH(""deadlift"", D288:D412)))), 0)"),2.4783165E7)</f>
        <v>24783165</v>
      </c>
      <c r="H417" s="285"/>
      <c r="I417" s="135" t="str">
        <f>IFERROR(__xludf.DUMMYFUNCTION("ROUND(AVERAGE(FILTER(I288:I412, ISNUMBER(SEARCH(""deadlift"", D288:D412)), I288:I412 &lt;&gt; """")) / J417 * 100, 0)"),"#VALUE!")</f>
        <v>#VALUE!</v>
      </c>
      <c r="J417" s="293" t="str">
        <f>IFERROR(__xludf.DUMMYFUNCTION("IFERROR(MROUND(AVERAGE(FILTER(P288:P412, D288:D412 = ""comp deadlift"", P288:P412 &lt;&gt; """", P288:P412 &gt;= 0.9 * MAX(FILTER(P288:P412, D288:D412 = ""comp deadlift"", P288:P412 &lt;&gt; """")), P288:P412 &lt;= 1.1 * MAX(FILTER(P288:P412, D288:D412 = ""comp deadlift"","&amp;" P288:P412 &lt;&gt; """")))), 2.5), ""No valid data"")"),"No valid data")</f>
        <v>No valid data</v>
      </c>
      <c r="K417" s="286"/>
      <c r="L417" s="294" t="str">
        <f>MROUND(J417/2.2046,2.5)-$O$12</f>
        <v>#VALUE!</v>
      </c>
      <c r="M417" s="285"/>
      <c r="N417" s="285"/>
      <c r="O417" s="285"/>
      <c r="P417" s="282"/>
      <c r="Q417" s="278"/>
      <c r="R417" s="157"/>
      <c r="S417" s="11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</row>
    <row r="418" ht="14.25" customHeight="1">
      <c r="A418" s="5"/>
      <c r="B418" s="6"/>
      <c r="C418" s="5"/>
      <c r="D418" s="274"/>
      <c r="E418" s="266"/>
      <c r="F418" s="187"/>
      <c r="G418" s="187"/>
      <c r="H418" s="187"/>
      <c r="I418" s="187"/>
      <c r="J418" s="295"/>
      <c r="K418" s="274"/>
      <c r="L418" s="187"/>
      <c r="M418" s="285"/>
      <c r="N418" s="285"/>
      <c r="O418" s="285"/>
      <c r="P418" s="282"/>
      <c r="Q418" s="278"/>
      <c r="R418" s="157"/>
      <c r="S418" s="11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</row>
    <row r="419" ht="14.25" customHeight="1">
      <c r="A419" s="5"/>
      <c r="B419" s="2"/>
      <c r="C419" s="5"/>
      <c r="D419" s="5"/>
      <c r="E419" s="75"/>
      <c r="F419" s="3"/>
      <c r="G419" s="3"/>
      <c r="H419" s="3"/>
      <c r="I419" s="3"/>
      <c r="J419" s="75"/>
      <c r="K419" s="5"/>
      <c r="L419" s="3"/>
      <c r="M419" s="47"/>
      <c r="N419" s="3"/>
      <c r="O419" s="3"/>
      <c r="P419" s="3"/>
      <c r="Q419" s="4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</row>
    <row r="420" ht="18.75" customHeight="1">
      <c r="A420" s="90"/>
      <c r="B420" s="6"/>
      <c r="C420" s="91"/>
      <c r="D420" s="79" t="s">
        <v>72</v>
      </c>
      <c r="E420" s="80" t="s">
        <v>13</v>
      </c>
      <c r="G420" s="81"/>
      <c r="H420" s="81"/>
      <c r="I420" s="81"/>
      <c r="J420" s="82"/>
      <c r="K420" s="83"/>
      <c r="L420" s="83"/>
      <c r="M420" s="93"/>
      <c r="N420" s="93"/>
      <c r="O420" s="93"/>
      <c r="P420" s="296"/>
      <c r="Q420" s="297"/>
      <c r="R420" s="298"/>
      <c r="S420" s="10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</row>
    <row r="421" ht="18.75" customHeight="1">
      <c r="A421" s="90"/>
      <c r="B421" s="6"/>
      <c r="C421" s="91"/>
      <c r="D421" s="299">
        <f>D286+1</f>
        <v>2</v>
      </c>
      <c r="E421" s="300" t="str">
        <f>IF(E286 = "", "", E286 - 1)</f>
        <v/>
      </c>
      <c r="G421" s="301"/>
      <c r="H421" s="301"/>
      <c r="I421" s="301"/>
      <c r="J421" s="92"/>
      <c r="K421" s="93"/>
      <c r="L421" s="93"/>
      <c r="M421" s="93"/>
      <c r="N421" s="93"/>
      <c r="O421" s="93"/>
      <c r="P421" s="94"/>
      <c r="Q421" s="95"/>
      <c r="R421" s="96"/>
      <c r="S421" s="10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</row>
    <row r="422" ht="5.25" customHeight="1">
      <c r="A422" s="90"/>
      <c r="B422" s="6"/>
      <c r="C422" s="90"/>
      <c r="D422" s="97"/>
      <c r="E422" s="98"/>
      <c r="F422" s="99"/>
      <c r="G422" s="99"/>
      <c r="H422" s="99"/>
      <c r="I422" s="100"/>
      <c r="J422" s="101"/>
      <c r="K422" s="90"/>
      <c r="L422" s="102"/>
      <c r="M422" s="102"/>
      <c r="N422" s="102"/>
      <c r="O422" s="102"/>
      <c r="P422" s="103"/>
      <c r="Q422" s="4"/>
      <c r="R422" s="90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</row>
    <row r="423" ht="30.75" customHeight="1">
      <c r="A423" s="90"/>
      <c r="B423" s="6"/>
      <c r="C423" s="90"/>
      <c r="D423" s="202" t="s">
        <v>73</v>
      </c>
      <c r="E423" s="105" t="s">
        <v>15</v>
      </c>
      <c r="F423" s="106" t="s">
        <v>16</v>
      </c>
      <c r="G423" s="106" t="s">
        <v>17</v>
      </c>
      <c r="H423" s="107"/>
      <c r="I423" s="106" t="s">
        <v>18</v>
      </c>
      <c r="J423" s="108" t="s">
        <v>19</v>
      </c>
      <c r="L423" s="109" t="s">
        <v>20</v>
      </c>
      <c r="M423" s="110" t="s">
        <v>21</v>
      </c>
      <c r="N423" s="111" t="s">
        <v>22</v>
      </c>
      <c r="P423" s="112"/>
      <c r="Q423" s="113" t="s">
        <v>23</v>
      </c>
      <c r="R423" s="114"/>
      <c r="S423" s="11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</row>
    <row r="424" ht="14.25" customHeight="1">
      <c r="A424" s="90"/>
      <c r="B424" s="6"/>
      <c r="C424" s="90"/>
      <c r="D424" s="116" t="s">
        <v>25</v>
      </c>
      <c r="E424" s="117" t="s">
        <v>26</v>
      </c>
      <c r="H424" s="107"/>
      <c r="N424" s="111" t="s">
        <v>27</v>
      </c>
      <c r="O424" s="111" t="s">
        <v>28</v>
      </c>
      <c r="P424" s="112" t="s">
        <v>29</v>
      </c>
      <c r="R424" s="118" t="s">
        <v>30</v>
      </c>
      <c r="S424" s="11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</row>
    <row r="425" ht="3.75" customHeight="1">
      <c r="A425" s="90"/>
      <c r="B425" s="6"/>
      <c r="C425" s="90"/>
      <c r="D425" s="97"/>
      <c r="E425" s="98"/>
      <c r="F425" s="99"/>
      <c r="G425" s="99"/>
      <c r="H425" s="99"/>
      <c r="I425" s="100"/>
      <c r="J425" s="302"/>
      <c r="K425" s="90"/>
      <c r="L425" s="102"/>
      <c r="M425" s="121"/>
      <c r="N425" s="102"/>
      <c r="O425" s="102"/>
      <c r="P425" s="122"/>
      <c r="Q425" s="4"/>
      <c r="R425" s="123"/>
      <c r="S425" s="11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</row>
    <row r="426" ht="15.75" customHeight="1">
      <c r="A426" s="124"/>
      <c r="B426" s="6"/>
      <c r="C426" s="124"/>
      <c r="D426" s="125" t="s">
        <v>31</v>
      </c>
      <c r="E426" s="126"/>
      <c r="F426" s="127">
        <v>3.0</v>
      </c>
      <c r="G426" s="128">
        <v>45942.0</v>
      </c>
      <c r="H426" s="129"/>
      <c r="I426" s="130">
        <v>180.0</v>
      </c>
      <c r="J426" s="131">
        <v>45815.0</v>
      </c>
      <c r="K426" s="132"/>
      <c r="L426" s="133">
        <v>7.0</v>
      </c>
      <c r="M426" s="134">
        <f>I291</f>
        <v>140</v>
      </c>
      <c r="N426" s="135" t="str">
        <f>iferror(mround($P291*((VLOOKUP($J426,Sheet1!$D:$N,$G426+1,FALSE)-0.03)),2.5)," ")</f>
        <v> </v>
      </c>
      <c r="O426" s="135" t="str">
        <f>iferror(mround($P291*((VLOOKUP($J426,Sheet1!$D:$N,$G426+1,FALSE)+0.02)),2.5)," ")</f>
        <v> </v>
      </c>
      <c r="P426" s="56" t="str">
        <f>iferror(mround(I426/VLOOKUP(L426,Sheet1!$D$7:$N$16,G426+1,FALSE),2.5),"")</f>
        <v/>
      </c>
      <c r="Q426" s="303">
        <f t="shared" ref="Q426:Q447" si="11">IF(OR(ISBLANK(I426), ISBLANK(I291)), "", IF(I426 - I291 = 0, "", I426 - I291))</f>
        <v>40</v>
      </c>
      <c r="S426" s="11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</row>
    <row r="427" ht="3.75" customHeight="1">
      <c r="A427" s="137"/>
      <c r="B427" s="70"/>
      <c r="C427" s="137"/>
      <c r="D427" s="138"/>
      <c r="E427" s="139"/>
      <c r="F427" s="140"/>
      <c r="G427" s="140"/>
      <c r="H427" s="140"/>
      <c r="I427" s="140"/>
      <c r="J427" s="141"/>
      <c r="K427" s="142"/>
      <c r="L427" s="143"/>
      <c r="M427" s="144"/>
      <c r="N427" s="145"/>
      <c r="O427" s="145"/>
      <c r="P427" s="122"/>
      <c r="Q427" s="304" t="str">
        <f t="shared" si="11"/>
        <v/>
      </c>
      <c r="S427" s="147"/>
      <c r="T427" s="148"/>
      <c r="U427" s="148"/>
      <c r="V427" s="148"/>
      <c r="W427" s="148"/>
      <c r="X427" s="148"/>
      <c r="Y427" s="148"/>
      <c r="Z427" s="148"/>
      <c r="AA427" s="148"/>
      <c r="AB427" s="148"/>
      <c r="AC427" s="148"/>
      <c r="AD427" s="148"/>
      <c r="AE427" s="148"/>
      <c r="AF427" s="148"/>
      <c r="AG427" s="148"/>
    </row>
    <row r="428" ht="15.75" customHeight="1">
      <c r="A428" s="149"/>
      <c r="B428" s="150"/>
      <c r="C428" s="149"/>
      <c r="D428" s="125" t="s">
        <v>32</v>
      </c>
      <c r="E428" s="126"/>
      <c r="F428" s="127">
        <v>3.0</v>
      </c>
      <c r="G428" s="128">
        <v>45942.0</v>
      </c>
      <c r="H428" s="129"/>
      <c r="I428" s="130">
        <v>55.0</v>
      </c>
      <c r="J428" s="151">
        <v>6.0</v>
      </c>
      <c r="K428" s="132"/>
      <c r="L428" s="133">
        <v>5.0</v>
      </c>
      <c r="M428" s="134">
        <f>I293</f>
        <v>45</v>
      </c>
      <c r="N428" s="135" t="str">
        <f>iferror(mround($P293*((VLOOKUP($J428,Sheet1!$D:$N,$G428+1,FALSE)-0.03)),2.5)," ")</f>
        <v> </v>
      </c>
      <c r="O428" s="135" t="str">
        <f>iferror(mround($P293*((VLOOKUP($J428,Sheet1!$D:$N,$G428+1,FALSE)+0.02)),2.5)," ")</f>
        <v> </v>
      </c>
      <c r="P428" s="56" t="str">
        <f>iferror(mround(I428/VLOOKUP(L428,Sheet1!$D$7:$N$16,G428+1,FALSE),2.5),"")</f>
        <v/>
      </c>
      <c r="Q428" s="303">
        <f t="shared" si="11"/>
        <v>10</v>
      </c>
      <c r="S428" s="11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</row>
    <row r="429" ht="3.75" customHeight="1">
      <c r="A429" s="152"/>
      <c r="B429" s="150"/>
      <c r="C429" s="153"/>
      <c r="D429" s="138"/>
      <c r="E429" s="154"/>
      <c r="F429" s="155"/>
      <c r="G429" s="102"/>
      <c r="H429" s="102"/>
      <c r="I429" s="102"/>
      <c r="J429" s="156"/>
      <c r="K429" s="142"/>
      <c r="L429" s="143"/>
      <c r="M429" s="144"/>
      <c r="N429" s="145"/>
      <c r="O429" s="145"/>
      <c r="P429" s="122"/>
      <c r="Q429" s="304" t="str">
        <f t="shared" si="11"/>
        <v/>
      </c>
      <c r="S429" s="157"/>
      <c r="T429" s="5"/>
      <c r="U429" s="5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</row>
    <row r="430" ht="15.75" customHeight="1">
      <c r="A430" s="149"/>
      <c r="B430" s="150"/>
      <c r="C430" s="149"/>
      <c r="D430" s="159" t="s">
        <v>33</v>
      </c>
      <c r="E430" s="160" t="s">
        <v>34</v>
      </c>
      <c r="F430" s="127">
        <v>1.0</v>
      </c>
      <c r="G430" s="161">
        <v>5.0</v>
      </c>
      <c r="H430" s="129"/>
      <c r="I430" s="130">
        <v>240.0</v>
      </c>
      <c r="J430" s="151">
        <v>7.0</v>
      </c>
      <c r="K430" s="132"/>
      <c r="L430" s="133">
        <v>6.5</v>
      </c>
      <c r="M430" s="134">
        <f>I295</f>
        <v>225</v>
      </c>
      <c r="N430" s="135">
        <f>iferror(mround($P295*((VLOOKUP($J430,Sheet1!$D:$N,$G430+1,FALSE)-0.03)),2.5)," ")</f>
        <v>225</v>
      </c>
      <c r="O430" s="135">
        <f>iferror(mround($P295*((VLOOKUP($J430,Sheet1!$D:$N,$G430+1,FALSE)+0.02)),2.5)," ")</f>
        <v>240</v>
      </c>
      <c r="P430" s="56">
        <f>iferror(mround(I430/VLOOKUP(L430,Sheet1!$D$7:$N$16,G430+1,FALSE),2.5),"")</f>
        <v>307.5</v>
      </c>
      <c r="Q430" s="303">
        <f t="shared" si="11"/>
        <v>15</v>
      </c>
      <c r="S430" s="11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</row>
    <row r="431" ht="3.75" customHeight="1">
      <c r="A431" s="162"/>
      <c r="B431" s="163"/>
      <c r="C431" s="162"/>
      <c r="D431" s="138"/>
      <c r="E431" s="139"/>
      <c r="F431" s="140"/>
      <c r="G431" s="140"/>
      <c r="H431" s="140"/>
      <c r="I431" s="140"/>
      <c r="J431" s="141"/>
      <c r="K431" s="142"/>
      <c r="L431" s="143"/>
      <c r="M431" s="144"/>
      <c r="N431" s="145"/>
      <c r="O431" s="145"/>
      <c r="P431" s="122"/>
      <c r="Q431" s="304" t="str">
        <f t="shared" si="11"/>
        <v/>
      </c>
      <c r="S431" s="147"/>
      <c r="T431" s="148"/>
      <c r="U431" s="148"/>
      <c r="V431" s="148"/>
      <c r="W431" s="148"/>
      <c r="X431" s="148"/>
      <c r="Y431" s="148"/>
      <c r="Z431" s="148"/>
      <c r="AA431" s="148"/>
      <c r="AB431" s="148"/>
      <c r="AC431" s="148"/>
      <c r="AD431" s="148"/>
      <c r="AE431" s="148"/>
      <c r="AF431" s="148"/>
      <c r="AG431" s="148"/>
    </row>
    <row r="432" ht="15.75" customHeight="1">
      <c r="A432" s="149"/>
      <c r="B432" s="150"/>
      <c r="C432" s="149"/>
      <c r="D432" s="159" t="s">
        <v>33</v>
      </c>
      <c r="E432" s="160" t="s">
        <v>34</v>
      </c>
      <c r="F432" s="127">
        <v>2.0</v>
      </c>
      <c r="G432" s="161">
        <v>5.0</v>
      </c>
      <c r="H432" s="129"/>
      <c r="I432" s="164">
        <f>MROUND(I430*(1+J432),5)</f>
        <v>215</v>
      </c>
      <c r="J432" s="165">
        <v>-0.1</v>
      </c>
      <c r="K432" s="132"/>
      <c r="L432" s="133">
        <v>5.0</v>
      </c>
      <c r="M432" s="134">
        <f>I297</f>
        <v>205</v>
      </c>
      <c r="N432" s="135" t="str">
        <f>iferror(mround($P297*((VLOOKUP($J432,Sheet1!$D:$N,$G432+1,FALSE)-0.03)),2.5)," ")</f>
        <v> </v>
      </c>
      <c r="O432" s="135" t="str">
        <f>iferror(mround($P297*((VLOOKUP($J432,Sheet1!$D:$N,$G432+1,FALSE)+0.02)),2.5)," ")</f>
        <v> </v>
      </c>
      <c r="P432" s="56" t="str">
        <f>iferror(mround(I432/VLOOKUP(L432,Sheet1!$D$7:$N$16,G432+1,FALSE),2.5),"")</f>
        <v/>
      </c>
      <c r="Q432" s="303">
        <f t="shared" si="11"/>
        <v>10</v>
      </c>
      <c r="S432" s="11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</row>
    <row r="433" ht="3.75" customHeight="1">
      <c r="A433" s="162"/>
      <c r="B433" s="163"/>
      <c r="C433" s="162"/>
      <c r="D433" s="138"/>
      <c r="E433" s="139"/>
      <c r="F433" s="102"/>
      <c r="G433" s="102"/>
      <c r="H433" s="102"/>
      <c r="I433" s="102"/>
      <c r="J433" s="156"/>
      <c r="K433" s="142"/>
      <c r="L433" s="143"/>
      <c r="M433" s="144"/>
      <c r="N433" s="145"/>
      <c r="O433" s="145"/>
      <c r="P433" s="122"/>
      <c r="Q433" s="304" t="str">
        <f t="shared" si="11"/>
        <v/>
      </c>
      <c r="S433" s="147"/>
      <c r="T433" s="148"/>
      <c r="U433" s="148"/>
      <c r="V433" s="148"/>
      <c r="W433" s="148"/>
      <c r="X433" s="148"/>
      <c r="Y433" s="148"/>
      <c r="Z433" s="148"/>
      <c r="AA433" s="148"/>
      <c r="AB433" s="148"/>
      <c r="AC433" s="148"/>
      <c r="AD433" s="148"/>
      <c r="AE433" s="148"/>
      <c r="AF433" s="148"/>
      <c r="AG433" s="148"/>
    </row>
    <row r="434" ht="15.75" customHeight="1">
      <c r="A434" s="90"/>
      <c r="B434" s="6"/>
      <c r="C434" s="90"/>
      <c r="D434" s="166" t="s">
        <v>35</v>
      </c>
      <c r="E434" s="167" t="s">
        <v>36</v>
      </c>
      <c r="F434" s="127">
        <v>2.0</v>
      </c>
      <c r="G434" s="161">
        <v>6.0</v>
      </c>
      <c r="H434" s="129"/>
      <c r="I434" s="130">
        <v>220.0</v>
      </c>
      <c r="J434" s="151">
        <v>7.0</v>
      </c>
      <c r="K434" s="132"/>
      <c r="L434" s="133"/>
      <c r="M434" s="134">
        <f>I299</f>
        <v>215</v>
      </c>
      <c r="N434" s="135">
        <f>iferror(mround($P299*((VLOOKUP($J434,Sheet1!$D:$N,$G434+1,FALSE)-0.03)),2.5)," ")</f>
        <v>205</v>
      </c>
      <c r="O434" s="135">
        <f>iferror(mround($P299*((VLOOKUP($J434,Sheet1!$D:$N,$G434+1,FALSE)+0.02)),2.5)," ")</f>
        <v>220</v>
      </c>
      <c r="P434" s="56" t="str">
        <f>iferror(mround(I434/VLOOKUP(L434,Sheet1!$D$7:$N$16,G434+1,FALSE),2.5),"")</f>
        <v/>
      </c>
      <c r="Q434" s="303">
        <f t="shared" si="11"/>
        <v>5</v>
      </c>
      <c r="S434" s="11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</row>
    <row r="435" ht="3.75" customHeight="1">
      <c r="A435" s="168"/>
      <c r="B435" s="70"/>
      <c r="C435" s="168"/>
      <c r="D435" s="138"/>
      <c r="E435" s="139"/>
      <c r="F435" s="102"/>
      <c r="G435" s="102"/>
      <c r="H435" s="102"/>
      <c r="I435" s="102"/>
      <c r="J435" s="156"/>
      <c r="K435" s="142"/>
      <c r="L435" s="143"/>
      <c r="M435" s="144"/>
      <c r="N435" s="145"/>
      <c r="O435" s="145"/>
      <c r="P435" s="122"/>
      <c r="Q435" s="304" t="str">
        <f t="shared" si="11"/>
        <v/>
      </c>
      <c r="S435" s="147"/>
      <c r="T435" s="148"/>
      <c r="U435" s="148"/>
      <c r="V435" s="148"/>
      <c r="W435" s="148"/>
      <c r="X435" s="148"/>
      <c r="Y435" s="148"/>
      <c r="Z435" s="148"/>
      <c r="AA435" s="148"/>
      <c r="AB435" s="148"/>
      <c r="AC435" s="148"/>
      <c r="AD435" s="148"/>
      <c r="AE435" s="148"/>
      <c r="AF435" s="148"/>
      <c r="AG435" s="148"/>
    </row>
    <row r="436" ht="15.75" customHeight="1">
      <c r="A436" s="90"/>
      <c r="B436" s="6"/>
      <c r="C436" s="90"/>
      <c r="D436" s="166" t="s">
        <v>37</v>
      </c>
      <c r="E436" s="167" t="s">
        <v>38</v>
      </c>
      <c r="F436" s="127">
        <v>3.0</v>
      </c>
      <c r="G436" s="169">
        <v>45942.0</v>
      </c>
      <c r="H436" s="129"/>
      <c r="I436" s="130">
        <v>205.0</v>
      </c>
      <c r="J436" s="151">
        <v>8.0</v>
      </c>
      <c r="K436" s="170"/>
      <c r="L436" s="133"/>
      <c r="M436" s="134">
        <f>I301</f>
        <v>180</v>
      </c>
      <c r="N436" s="135" t="str">
        <f>iferror(mround($P301*((VLOOKUP($J436,Sheet1!$D:$N,$G436+1,FALSE)-0.03)),2.5)," ")</f>
        <v> </v>
      </c>
      <c r="O436" s="135" t="str">
        <f>iferror(mround($P301*((VLOOKUP($J436,Sheet1!$D:$N,$G436+1,FALSE)+0.02)),2.5)," ")</f>
        <v> </v>
      </c>
      <c r="P436" s="56" t="str">
        <f>iferror(mround(I436/VLOOKUP(L436,Sheet1!$D$7:$N$16,G436+1,FALSE),2.5),"")</f>
        <v/>
      </c>
      <c r="Q436" s="303">
        <f t="shared" si="11"/>
        <v>25</v>
      </c>
      <c r="S436" s="11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</row>
    <row r="437" ht="3.75" customHeight="1">
      <c r="A437" s="90"/>
      <c r="B437" s="6"/>
      <c r="C437" s="90"/>
      <c r="D437" s="171"/>
      <c r="E437" s="172"/>
      <c r="F437" s="173"/>
      <c r="G437" s="173"/>
      <c r="H437" s="173"/>
      <c r="I437" s="173"/>
      <c r="J437" s="174"/>
      <c r="K437" s="142"/>
      <c r="L437" s="143"/>
      <c r="M437" s="144"/>
      <c r="N437" s="145"/>
      <c r="O437" s="145"/>
      <c r="P437" s="122"/>
      <c r="Q437" s="304" t="str">
        <f t="shared" si="11"/>
        <v/>
      </c>
      <c r="S437" s="11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</row>
    <row r="438" ht="15.75" customHeight="1">
      <c r="A438" s="90"/>
      <c r="B438" s="6"/>
      <c r="C438" s="90"/>
      <c r="D438" s="166" t="s">
        <v>39</v>
      </c>
      <c r="E438" s="160"/>
      <c r="F438" s="127">
        <v>2.0</v>
      </c>
      <c r="G438" s="161" t="s">
        <v>16</v>
      </c>
      <c r="H438" s="129"/>
      <c r="I438" s="130"/>
      <c r="J438" s="151">
        <v>8.0</v>
      </c>
      <c r="K438" s="132"/>
      <c r="L438" s="133"/>
      <c r="M438" s="134" t="str">
        <f>I303</f>
        <v>Bw</v>
      </c>
      <c r="N438" s="135" t="str">
        <f>iferror(mround($P303*((VLOOKUP($J438,Sheet1!$D:$N,$G438+1,FALSE)-0.03)),2.5)," ")</f>
        <v> </v>
      </c>
      <c r="O438" s="135" t="str">
        <f>iferror(mround($P303*((VLOOKUP($J438,Sheet1!$D:$N,$G438+1,FALSE)+0.02)),2.5)," ")</f>
        <v> </v>
      </c>
      <c r="P438" s="56" t="str">
        <f>iferror(mround(I438/VLOOKUP(L438,Sheet1!$D$7:$N$16,G438+1,FALSE),2.5),"")</f>
        <v/>
      </c>
      <c r="Q438" s="303" t="str">
        <f t="shared" si="11"/>
        <v/>
      </c>
      <c r="S438" s="11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</row>
    <row r="439" ht="3.75" customHeight="1">
      <c r="A439" s="90"/>
      <c r="B439" s="6"/>
      <c r="C439" s="90"/>
      <c r="D439" s="171"/>
      <c r="E439" s="172"/>
      <c r="F439" s="173"/>
      <c r="G439" s="173"/>
      <c r="H439" s="173"/>
      <c r="I439" s="173"/>
      <c r="J439" s="174"/>
      <c r="K439" s="142"/>
      <c r="L439" s="143"/>
      <c r="M439" s="144"/>
      <c r="N439" s="145"/>
      <c r="O439" s="145"/>
      <c r="P439" s="122"/>
      <c r="Q439" s="304" t="str">
        <f t="shared" si="11"/>
        <v/>
      </c>
      <c r="S439" s="11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</row>
    <row r="440" ht="15.75" hidden="1" customHeight="1">
      <c r="A440" s="90"/>
      <c r="B440" s="6"/>
      <c r="C440" s="90"/>
      <c r="D440" s="175" t="s">
        <v>40</v>
      </c>
      <c r="E440" s="176"/>
      <c r="F440" s="177">
        <v>3.0</v>
      </c>
      <c r="G440" s="178" t="s">
        <v>41</v>
      </c>
      <c r="H440" s="179"/>
      <c r="I440" s="180"/>
      <c r="J440" s="181">
        <v>8.0</v>
      </c>
      <c r="K440" s="182"/>
      <c r="L440" s="183"/>
      <c r="M440" s="134" t="str">
        <f>I305</f>
        <v/>
      </c>
      <c r="N440" s="135" t="str">
        <f>iferror(mround($P305*((VLOOKUP($J440,Sheet1!$D:$N,$G440+1,FALSE)-0.03)),2.5)," ")</f>
        <v> </v>
      </c>
      <c r="O440" s="135" t="str">
        <f>iferror(mround($P305*((VLOOKUP($J440,Sheet1!$D:$N,$G440+1,FALSE)+0.02)),2.5)," ")</f>
        <v> </v>
      </c>
      <c r="P440" s="56" t="str">
        <f>iferror(mround(I440/VLOOKUP(L440,Sheet1!$D$7:$N$16,G440+1,FALSE),2.5),"")</f>
        <v/>
      </c>
      <c r="Q440" s="303" t="str">
        <f t="shared" si="11"/>
        <v/>
      </c>
      <c r="S440" s="11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</row>
    <row r="441" ht="3.75" hidden="1" customHeight="1">
      <c r="A441" s="90"/>
      <c r="B441" s="6"/>
      <c r="C441" s="90"/>
      <c r="D441" s="138"/>
      <c r="E441" s="184"/>
      <c r="F441" s="102"/>
      <c r="G441" s="102"/>
      <c r="H441" s="102"/>
      <c r="I441" s="102"/>
      <c r="J441" s="156"/>
      <c r="K441" s="103"/>
      <c r="L441" s="143"/>
      <c r="M441" s="144"/>
      <c r="N441" s="145"/>
      <c r="O441" s="145"/>
      <c r="P441" s="122"/>
      <c r="Q441" s="304" t="str">
        <f t="shared" si="11"/>
        <v/>
      </c>
      <c r="S441" s="11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</row>
    <row r="442" ht="15.75" hidden="1" customHeight="1">
      <c r="A442" s="90"/>
      <c r="B442" s="6"/>
      <c r="C442" s="90"/>
      <c r="D442" s="185"/>
      <c r="E442" s="186"/>
      <c r="F442" s="187"/>
      <c r="G442" s="188"/>
      <c r="H442" s="129"/>
      <c r="I442" s="164"/>
      <c r="J442" s="189"/>
      <c r="K442" s="190"/>
      <c r="L442" s="183"/>
      <c r="M442" s="134" t="str">
        <f>I307</f>
        <v/>
      </c>
      <c r="N442" s="135" t="str">
        <f>iferror(mround($P307*((VLOOKUP($J442,Sheet1!$D:$N,$G442+1,FALSE)-0.03)),2.5)," ")</f>
        <v> </v>
      </c>
      <c r="O442" s="135" t="str">
        <f>iferror(mround($P307*((VLOOKUP($J442,Sheet1!$D:$N,$G442+1,FALSE)+0.02)),2.5)," ")</f>
        <v> </v>
      </c>
      <c r="P442" s="56" t="str">
        <f>iferror(mround(I442/VLOOKUP(L442,Sheet1!$D$7:$N$16,G442+1,FALSE),2.5),"")</f>
        <v/>
      </c>
      <c r="Q442" s="303" t="str">
        <f t="shared" si="11"/>
        <v/>
      </c>
      <c r="S442" s="11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</row>
    <row r="443" ht="3.75" hidden="1" customHeight="1">
      <c r="A443" s="191"/>
      <c r="B443" s="6"/>
      <c r="C443" s="192"/>
      <c r="D443" s="138"/>
      <c r="E443" s="193"/>
      <c r="F443" s="194"/>
      <c r="G443" s="155"/>
      <c r="H443" s="102"/>
      <c r="I443" s="102"/>
      <c r="J443" s="156"/>
      <c r="K443" s="103"/>
      <c r="L443" s="143"/>
      <c r="M443" s="144"/>
      <c r="N443" s="145"/>
      <c r="O443" s="145"/>
      <c r="P443" s="122"/>
      <c r="Q443" s="304" t="str">
        <f t="shared" si="11"/>
        <v/>
      </c>
      <c r="S443" s="157"/>
      <c r="T443" s="5"/>
      <c r="U443" s="5"/>
      <c r="V443" s="158"/>
      <c r="W443" s="158"/>
      <c r="X443" s="158"/>
      <c r="Y443" s="158"/>
      <c r="Z443" s="158"/>
      <c r="AA443" s="158"/>
      <c r="AB443" s="158"/>
      <c r="AC443" s="158"/>
      <c r="AD443" s="158"/>
      <c r="AE443" s="158"/>
      <c r="AF443" s="158"/>
      <c r="AG443" s="158"/>
    </row>
    <row r="444" ht="15.75" hidden="1" customHeight="1">
      <c r="A444" s="90"/>
      <c r="B444" s="6"/>
      <c r="C444" s="90"/>
      <c r="D444" s="185"/>
      <c r="E444" s="186"/>
      <c r="F444" s="187"/>
      <c r="G444" s="195"/>
      <c r="H444" s="129"/>
      <c r="I444" s="164"/>
      <c r="J444" s="189"/>
      <c r="K444" s="190"/>
      <c r="L444" s="183"/>
      <c r="M444" s="134" t="str">
        <f>I309</f>
        <v/>
      </c>
      <c r="N444" s="135" t="str">
        <f>iferror(mround($P309*((VLOOKUP($J444,Sheet1!$D:$N,$G444+1,FALSE)-0.03)),2.5)," ")</f>
        <v> </v>
      </c>
      <c r="O444" s="135" t="str">
        <f>iferror(mround($P309*((VLOOKUP($J444,Sheet1!$D:$N,$G444+1,FALSE)+0.02)),2.5)," ")</f>
        <v> </v>
      </c>
      <c r="P444" s="56" t="str">
        <f>iferror(mround(I444/VLOOKUP(L444,Sheet1!$D$7:$N$16,G444+1,FALSE),2.5),"")</f>
        <v/>
      </c>
      <c r="Q444" s="303" t="str">
        <f t="shared" si="11"/>
        <v/>
      </c>
      <c r="S444" s="11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</row>
    <row r="445" ht="3.75" hidden="1" customHeight="1">
      <c r="A445" s="90"/>
      <c r="B445" s="6"/>
      <c r="C445" s="90"/>
      <c r="D445" s="196"/>
      <c r="E445" s="184"/>
      <c r="F445" s="102"/>
      <c r="G445" s="102"/>
      <c r="H445" s="102"/>
      <c r="I445" s="102"/>
      <c r="J445" s="156"/>
      <c r="K445" s="103"/>
      <c r="L445" s="143"/>
      <c r="M445" s="144"/>
      <c r="N445" s="145"/>
      <c r="O445" s="145"/>
      <c r="P445" s="122"/>
      <c r="Q445" s="304" t="str">
        <f t="shared" si="11"/>
        <v/>
      </c>
      <c r="S445" s="11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</row>
    <row r="446" ht="15.75" hidden="1" customHeight="1">
      <c r="A446" s="90"/>
      <c r="B446" s="6"/>
      <c r="C446" s="90"/>
      <c r="D446" s="197"/>
      <c r="E446" s="198"/>
      <c r="F446" s="199"/>
      <c r="G446" s="195"/>
      <c r="H446" s="129"/>
      <c r="I446" s="164"/>
      <c r="J446" s="189"/>
      <c r="K446" s="190"/>
      <c r="L446" s="183"/>
      <c r="M446" s="134" t="str">
        <f>I311</f>
        <v/>
      </c>
      <c r="N446" s="135" t="str">
        <f>iferror(mround($P311*((VLOOKUP($J446,Sheet1!$D:$N,$G446+1,FALSE)-0.03)),2.5)," ")</f>
        <v> </v>
      </c>
      <c r="O446" s="135" t="str">
        <f>iferror(mround($P311*((VLOOKUP($J446,Sheet1!$D:$N,$G446+1,FALSE)+0.02)),2.5)," ")</f>
        <v> </v>
      </c>
      <c r="P446" s="56" t="str">
        <f>iferror(mround(I446/VLOOKUP(L446,Sheet1!$D$7:$N$16,G446+1,FALSE),2.5),"")</f>
        <v/>
      </c>
      <c r="Q446" s="303" t="str">
        <f t="shared" si="11"/>
        <v/>
      </c>
      <c r="S446" s="11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</row>
    <row r="447" ht="3.75" customHeight="1">
      <c r="A447" s="90"/>
      <c r="B447" s="6"/>
      <c r="C447" s="90"/>
      <c r="D447" s="90"/>
      <c r="E447" s="156"/>
      <c r="F447" s="102"/>
      <c r="G447" s="102"/>
      <c r="H447" s="102"/>
      <c r="I447" s="102"/>
      <c r="J447" s="156"/>
      <c r="K447" s="200"/>
      <c r="L447" s="201"/>
      <c r="M447" s="144"/>
      <c r="N447" s="47"/>
      <c r="O447" s="47"/>
      <c r="P447" s="122"/>
      <c r="Q447" s="304" t="str">
        <f t="shared" si="11"/>
        <v/>
      </c>
      <c r="S447" s="11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</row>
    <row r="448" ht="30.0" customHeight="1">
      <c r="A448" s="90"/>
      <c r="B448" s="6"/>
      <c r="C448" s="90"/>
      <c r="D448" s="202" t="s">
        <v>42</v>
      </c>
      <c r="E448" s="105" t="s">
        <v>82</v>
      </c>
      <c r="F448" s="106" t="s">
        <v>16</v>
      </c>
      <c r="G448" s="106" t="s">
        <v>17</v>
      </c>
      <c r="H448" s="107"/>
      <c r="I448" s="106" t="s">
        <v>18</v>
      </c>
      <c r="J448" s="108" t="s">
        <v>19</v>
      </c>
      <c r="L448" s="109" t="s">
        <v>20</v>
      </c>
      <c r="M448" s="110" t="s">
        <v>21</v>
      </c>
      <c r="N448" s="111" t="s">
        <v>22</v>
      </c>
      <c r="P448" s="112"/>
      <c r="Q448" s="113" t="s">
        <v>23</v>
      </c>
      <c r="R448" s="114"/>
      <c r="S448" s="11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</row>
    <row r="449" ht="14.25" customHeight="1">
      <c r="A449" s="90"/>
      <c r="B449" s="6"/>
      <c r="C449" s="90"/>
      <c r="D449" s="116">
        <v>4.0</v>
      </c>
      <c r="E449" s="117">
        <v>2.0</v>
      </c>
      <c r="H449" s="107"/>
      <c r="N449" s="111" t="s">
        <v>27</v>
      </c>
      <c r="O449" s="111" t="s">
        <v>28</v>
      </c>
      <c r="P449" s="112" t="s">
        <v>29</v>
      </c>
      <c r="R449" s="118" t="s">
        <v>30</v>
      </c>
      <c r="S449" s="11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</row>
    <row r="450" ht="3.75" customHeight="1">
      <c r="A450" s="191"/>
      <c r="B450" s="6"/>
      <c r="C450" s="192"/>
      <c r="D450" s="203"/>
      <c r="E450" s="204"/>
      <c r="F450" s="205"/>
      <c r="G450" s="205"/>
      <c r="H450" s="206"/>
      <c r="I450" s="207"/>
      <c r="J450" s="208"/>
      <c r="K450" s="209"/>
      <c r="L450" s="210"/>
      <c r="M450" s="211"/>
      <c r="N450" s="47"/>
      <c r="O450" s="47"/>
      <c r="P450" s="122"/>
      <c r="Q450" s="304" t="str">
        <f t="shared" ref="Q450:Q472" si="12">IF(OR(ISBLANK(I450), ISBLANK(I315)), "", IF(I450 - I315 = 0, "", I450 - I315))</f>
        <v/>
      </c>
      <c r="R450" s="212"/>
      <c r="S450" s="157"/>
      <c r="T450" s="5"/>
      <c r="U450" s="5"/>
      <c r="V450" s="158"/>
      <c r="W450" s="158"/>
      <c r="X450" s="158"/>
      <c r="Y450" s="158"/>
      <c r="Z450" s="158"/>
      <c r="AA450" s="158"/>
      <c r="AB450" s="158"/>
      <c r="AC450" s="158"/>
      <c r="AD450" s="158"/>
      <c r="AE450" s="158"/>
      <c r="AF450" s="158"/>
      <c r="AG450" s="158"/>
    </row>
    <row r="451" ht="15.75" customHeight="1">
      <c r="A451" s="124"/>
      <c r="B451" s="6"/>
      <c r="C451" s="124"/>
      <c r="D451" s="159" t="s">
        <v>33</v>
      </c>
      <c r="E451" s="167"/>
      <c r="F451" s="127">
        <v>1.0</v>
      </c>
      <c r="G451" s="127">
        <v>2.0</v>
      </c>
      <c r="H451" s="195"/>
      <c r="I451" s="130">
        <v>290.0</v>
      </c>
      <c r="J451" s="151">
        <v>7.5</v>
      </c>
      <c r="K451" s="213"/>
      <c r="L451" s="133">
        <v>7.0</v>
      </c>
      <c r="M451" s="134">
        <f>I316</f>
        <v>281</v>
      </c>
      <c r="N451" s="135">
        <f>iferror(mround($P316*((VLOOKUP($J451,Sheet1!$D:$N,$G451+1,FALSE)-0.03)),2.5)," ")</f>
        <v>275</v>
      </c>
      <c r="O451" s="135">
        <f>iferror(mround($P316*((VLOOKUP($J451,Sheet1!$D:$N,$G451+1,FALSE)+0.02)),2.5)," ")</f>
        <v>292.5</v>
      </c>
      <c r="P451" s="112">
        <f>iferror(mround(I451/VLOOKUP(L451,Sheet1!$D$7:$N$16,G451+1,FALSE),2.5),"")</f>
        <v>335</v>
      </c>
      <c r="Q451" s="303">
        <f t="shared" si="12"/>
        <v>9</v>
      </c>
      <c r="R451" s="214"/>
      <c r="S451" s="11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</row>
    <row r="452" ht="3.75" customHeight="1">
      <c r="A452" s="124"/>
      <c r="B452" s="6"/>
      <c r="C452" s="124"/>
      <c r="D452" s="138"/>
      <c r="E452" s="215"/>
      <c r="F452" s="102"/>
      <c r="G452" s="102"/>
      <c r="H452" s="102"/>
      <c r="I452" s="102"/>
      <c r="J452" s="216"/>
      <c r="K452" s="217"/>
      <c r="L452" s="218"/>
      <c r="M452" s="144"/>
      <c r="N452" s="145"/>
      <c r="O452" s="145"/>
      <c r="P452" s="122"/>
      <c r="Q452" s="304" t="str">
        <f t="shared" si="12"/>
        <v/>
      </c>
      <c r="R452" s="214"/>
      <c r="S452" s="11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</row>
    <row r="453" ht="15.75" customHeight="1">
      <c r="A453" s="90"/>
      <c r="B453" s="6"/>
      <c r="C453" s="90"/>
      <c r="D453" s="159" t="s">
        <v>33</v>
      </c>
      <c r="E453" s="167"/>
      <c r="F453" s="127">
        <v>2.0</v>
      </c>
      <c r="G453" s="161">
        <v>5.0</v>
      </c>
      <c r="H453" s="195"/>
      <c r="I453" s="130">
        <v>260.0</v>
      </c>
      <c r="J453" s="151">
        <v>7.0</v>
      </c>
      <c r="K453" s="219"/>
      <c r="L453" s="133">
        <v>6.5</v>
      </c>
      <c r="M453" s="134">
        <f>I318</f>
        <v>253</v>
      </c>
      <c r="N453" s="135">
        <f>iferror(mround($P318*((VLOOKUP($J453,Sheet1!$D:$N,$G453+1,FALSE)-0.03)),2.5)," ")</f>
        <v>240</v>
      </c>
      <c r="O453" s="135">
        <f>iferror(mround($P318*((VLOOKUP($J453,Sheet1!$D:$N,$G453+1,FALSE)+0.02)),2.5)," ")</f>
        <v>255</v>
      </c>
      <c r="P453" s="112">
        <f>iferror(mround(I453/VLOOKUP(L453,Sheet1!$D$7:$N$16,G453+1,FALSE),2.5),"")</f>
        <v>335</v>
      </c>
      <c r="Q453" s="303">
        <f t="shared" si="12"/>
        <v>7</v>
      </c>
      <c r="R453" s="214"/>
      <c r="S453" s="11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</row>
    <row r="454" ht="3.75" customHeight="1">
      <c r="A454" s="90"/>
      <c r="B454" s="6"/>
      <c r="C454" s="90"/>
      <c r="D454" s="138"/>
      <c r="E454" s="215"/>
      <c r="F454" s="102"/>
      <c r="G454" s="102"/>
      <c r="H454" s="102"/>
      <c r="I454" s="102"/>
      <c r="J454" s="156"/>
      <c r="K454" s="217"/>
      <c r="L454" s="218"/>
      <c r="M454" s="144"/>
      <c r="N454" s="145"/>
      <c r="O454" s="145"/>
      <c r="P454" s="122"/>
      <c r="Q454" s="304" t="str">
        <f t="shared" si="12"/>
        <v/>
      </c>
      <c r="R454" s="214"/>
      <c r="S454" s="11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</row>
    <row r="455" ht="15.75" customHeight="1">
      <c r="A455" s="90"/>
      <c r="B455" s="6"/>
      <c r="C455" s="90"/>
      <c r="D455" s="159" t="s">
        <v>44</v>
      </c>
      <c r="E455" s="167"/>
      <c r="F455" s="127">
        <v>3.0</v>
      </c>
      <c r="G455" s="169">
        <v>45577.0</v>
      </c>
      <c r="H455" s="195"/>
      <c r="I455" s="130">
        <v>60.0</v>
      </c>
      <c r="J455" s="151">
        <v>8.0</v>
      </c>
      <c r="K455" s="219"/>
      <c r="L455" s="133"/>
      <c r="M455" s="134">
        <f>I320</f>
        <v>55</v>
      </c>
      <c r="N455" s="135" t="str">
        <f>iferror(mround($P320*((VLOOKUP($J455,Sheet1!$D:$N,$G455+1,FALSE)-0.03)),2.5)," ")</f>
        <v> </v>
      </c>
      <c r="O455" s="135" t="str">
        <f>iferror(mround($P320*((VLOOKUP($J455,Sheet1!$D:$N,$G455+1,FALSE)+0.02)),2.5)," ")</f>
        <v> </v>
      </c>
      <c r="P455" s="112" t="str">
        <f>iferror(mround(I455/VLOOKUP(L455,Sheet1!$D$7:$N$16,G455+1,FALSE),2.5),"")</f>
        <v/>
      </c>
      <c r="Q455" s="303">
        <f t="shared" si="12"/>
        <v>5</v>
      </c>
      <c r="R455" s="214"/>
      <c r="S455" s="11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</row>
    <row r="456" ht="3.75" customHeight="1">
      <c r="A456" s="90"/>
      <c r="B456" s="6"/>
      <c r="C456" s="90"/>
      <c r="D456" s="138"/>
      <c r="E456" s="215"/>
      <c r="F456" s="102"/>
      <c r="G456" s="102"/>
      <c r="H456" s="102"/>
      <c r="I456" s="102"/>
      <c r="J456" s="156"/>
      <c r="K456" s="217"/>
      <c r="L456" s="143"/>
      <c r="M456" s="144"/>
      <c r="N456" s="145"/>
      <c r="O456" s="145"/>
      <c r="P456" s="122"/>
      <c r="Q456" s="304" t="str">
        <f t="shared" si="12"/>
        <v/>
      </c>
      <c r="R456" s="214"/>
      <c r="S456" s="11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</row>
    <row r="457" ht="15.75" customHeight="1">
      <c r="A457" s="90"/>
      <c r="B457" s="6"/>
      <c r="C457" s="90"/>
      <c r="D457" s="159" t="s">
        <v>45</v>
      </c>
      <c r="E457" s="220"/>
      <c r="F457" s="127">
        <v>3.0</v>
      </c>
      <c r="G457" s="127" t="s">
        <v>41</v>
      </c>
      <c r="H457" s="195"/>
      <c r="I457" s="130" t="s">
        <v>107</v>
      </c>
      <c r="J457" s="151">
        <v>8.0</v>
      </c>
      <c r="K457" s="213"/>
      <c r="L457" s="133"/>
      <c r="M457" s="134" t="str">
        <f>I322</f>
        <v/>
      </c>
      <c r="N457" s="135" t="str">
        <f>iferror(mround($P322*((VLOOKUP($J457,Sheet1!$D:$N,$G457+1,FALSE)-0.03)),2.5)," ")</f>
        <v> </v>
      </c>
      <c r="O457" s="135" t="str">
        <f>iferror(mround($P322*((VLOOKUP($J457,Sheet1!$D:$N,$G457+1,FALSE)+0.02)),2.5)," ")</f>
        <v> </v>
      </c>
      <c r="P457" s="112" t="str">
        <f>iferror(mround(I457/VLOOKUP(L457,Sheet1!$D$7:$N$16,G457+1,FALSE),2.5),"")</f>
        <v/>
      </c>
      <c r="Q457" s="303" t="str">
        <f t="shared" si="12"/>
        <v/>
      </c>
      <c r="R457" s="214"/>
      <c r="S457" s="11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</row>
    <row r="458" ht="3.75" customHeight="1">
      <c r="A458" s="90"/>
      <c r="B458" s="6"/>
      <c r="C458" s="90"/>
      <c r="D458" s="138"/>
      <c r="E458" s="215"/>
      <c r="F458" s="102"/>
      <c r="G458" s="102"/>
      <c r="H458" s="102"/>
      <c r="I458" s="102"/>
      <c r="J458" s="156"/>
      <c r="K458" s="217"/>
      <c r="L458" s="143"/>
      <c r="M458" s="144"/>
      <c r="N458" s="145"/>
      <c r="O458" s="145"/>
      <c r="P458" s="122"/>
      <c r="Q458" s="304" t="str">
        <f t="shared" si="12"/>
        <v/>
      </c>
      <c r="R458" s="214"/>
      <c r="S458" s="11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</row>
    <row r="459" ht="15.75" customHeight="1">
      <c r="A459" s="90"/>
      <c r="B459" s="6"/>
      <c r="C459" s="90"/>
      <c r="D459" s="159" t="s">
        <v>46</v>
      </c>
      <c r="E459" s="220"/>
      <c r="F459" s="127">
        <v>3.0</v>
      </c>
      <c r="G459" s="127" t="s">
        <v>16</v>
      </c>
      <c r="H459" s="195"/>
      <c r="I459" s="130"/>
      <c r="J459" s="151">
        <v>9.0</v>
      </c>
      <c r="K459" s="213"/>
      <c r="L459" s="133"/>
      <c r="M459" s="134" t="str">
        <f>I324</f>
        <v/>
      </c>
      <c r="N459" s="135" t="str">
        <f>iferror(mround($P324*((VLOOKUP($J459,Sheet1!$D:$N,$G459+1,FALSE)-0.03)),2.5)," ")</f>
        <v> </v>
      </c>
      <c r="O459" s="135" t="str">
        <f>iferror(mround($P324*((VLOOKUP($J459,Sheet1!$D:$N,$G459+1,FALSE)+0.02)),2.5)," ")</f>
        <v> </v>
      </c>
      <c r="P459" s="112" t="str">
        <f>iferror(mround(I459/VLOOKUP(L459,Sheet1!$D$7:$N$16,G459+1,FALSE),2.5),"")</f>
        <v/>
      </c>
      <c r="Q459" s="303" t="str">
        <f t="shared" si="12"/>
        <v/>
      </c>
      <c r="R459" s="214"/>
      <c r="S459" s="11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</row>
    <row r="460" ht="3.75" customHeight="1">
      <c r="A460" s="90"/>
      <c r="B460" s="6"/>
      <c r="C460" s="90"/>
      <c r="D460" s="138"/>
      <c r="E460" s="215"/>
      <c r="F460" s="102"/>
      <c r="G460" s="102"/>
      <c r="H460" s="102"/>
      <c r="I460" s="102"/>
      <c r="J460" s="156"/>
      <c r="K460" s="217"/>
      <c r="L460" s="143"/>
      <c r="M460" s="144"/>
      <c r="N460" s="145"/>
      <c r="O460" s="145"/>
      <c r="P460" s="122"/>
      <c r="Q460" s="304" t="str">
        <f t="shared" si="12"/>
        <v/>
      </c>
      <c r="R460" s="214"/>
      <c r="S460" s="11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</row>
    <row r="461" ht="15.75" customHeight="1">
      <c r="A461" s="90"/>
      <c r="B461" s="6"/>
      <c r="C461" s="90"/>
      <c r="D461" s="159" t="s">
        <v>47</v>
      </c>
      <c r="E461" s="220"/>
      <c r="F461" s="127">
        <v>3.0</v>
      </c>
      <c r="G461" s="221">
        <v>45641.0</v>
      </c>
      <c r="H461" s="195"/>
      <c r="I461" s="130"/>
      <c r="J461" s="151">
        <v>9.0</v>
      </c>
      <c r="K461" s="213"/>
      <c r="L461" s="133"/>
      <c r="M461" s="134">
        <f>I326</f>
        <v>50</v>
      </c>
      <c r="N461" s="135" t="str">
        <f>iferror(mround($P326*((VLOOKUP($J461,Sheet1!$D:$N,$G461+1,FALSE)-0.03)),2.5)," ")</f>
        <v> </v>
      </c>
      <c r="O461" s="135" t="str">
        <f>iferror(mround($P326*((VLOOKUP($J461,Sheet1!$D:$N,$G461+1,FALSE)+0.02)),2.5)," ")</f>
        <v> </v>
      </c>
      <c r="P461" s="112" t="str">
        <f>iferror(mround(I461/VLOOKUP(L461,Sheet1!$D$7:$N$16,G461+1,FALSE),2.5),"")</f>
        <v/>
      </c>
      <c r="Q461" s="303" t="str">
        <f t="shared" si="12"/>
        <v/>
      </c>
      <c r="R461" s="214"/>
      <c r="S461" s="11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</row>
    <row r="462" ht="3.75" customHeight="1">
      <c r="A462" s="90"/>
      <c r="B462" s="6"/>
      <c r="C462" s="90"/>
      <c r="D462" s="138"/>
      <c r="E462" s="215"/>
      <c r="F462" s="102"/>
      <c r="G462" s="102"/>
      <c r="H462" s="102"/>
      <c r="I462" s="102"/>
      <c r="J462" s="156"/>
      <c r="K462" s="222"/>
      <c r="L462" s="143"/>
      <c r="M462" s="144"/>
      <c r="N462" s="145"/>
      <c r="O462" s="145"/>
      <c r="P462" s="122"/>
      <c r="Q462" s="304" t="str">
        <f t="shared" si="12"/>
        <v/>
      </c>
      <c r="R462" s="214"/>
      <c r="S462" s="11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</row>
    <row r="463" ht="18.0" hidden="1" customHeight="1">
      <c r="A463" s="90"/>
      <c r="B463" s="6"/>
      <c r="C463" s="90"/>
      <c r="D463" s="159" t="s">
        <v>48</v>
      </c>
      <c r="E463" s="220"/>
      <c r="F463" s="127">
        <v>3.0</v>
      </c>
      <c r="G463" s="221">
        <v>45942.0</v>
      </c>
      <c r="H463" s="195"/>
      <c r="I463" s="130"/>
      <c r="J463" s="151">
        <v>9.0</v>
      </c>
      <c r="K463" s="190"/>
      <c r="L463" s="183"/>
      <c r="M463" s="134">
        <f>I328</f>
        <v>20</v>
      </c>
      <c r="N463" s="135" t="str">
        <f>iferror(mround($P328*((VLOOKUP($J463,Sheet1!$D:$N,$G463+1,FALSE)-0.03)),2.5)," ")</f>
        <v> </v>
      </c>
      <c r="O463" s="135" t="str">
        <f>iferror(mround($P328*((VLOOKUP($J463,Sheet1!$D:$N,$G463+1,FALSE)+0.02)),2.5)," ")</f>
        <v> </v>
      </c>
      <c r="P463" s="112" t="str">
        <f>iferror(mround(I463/VLOOKUP(L463,Sheet1!$D$7:$N$16,G463+1,FALSE),2.5),"")</f>
        <v/>
      </c>
      <c r="Q463" s="303" t="str">
        <f t="shared" si="12"/>
        <v/>
      </c>
      <c r="R463" s="214"/>
      <c r="S463" s="11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</row>
    <row r="464" ht="3.75" hidden="1" customHeight="1">
      <c r="A464" s="191"/>
      <c r="B464" s="6"/>
      <c r="C464" s="192"/>
      <c r="D464" s="138"/>
      <c r="E464" s="223"/>
      <c r="F464" s="194"/>
      <c r="G464" s="194"/>
      <c r="H464" s="155"/>
      <c r="I464" s="210"/>
      <c r="J464" s="216"/>
      <c r="K464" s="222"/>
      <c r="L464" s="143"/>
      <c r="M464" s="144"/>
      <c r="N464" s="145"/>
      <c r="O464" s="145"/>
      <c r="P464" s="122"/>
      <c r="Q464" s="304" t="str">
        <f t="shared" si="12"/>
        <v/>
      </c>
      <c r="R464" s="214"/>
      <c r="S464" s="157"/>
      <c r="T464" s="5"/>
      <c r="U464" s="5"/>
      <c r="V464" s="158"/>
      <c r="W464" s="158"/>
      <c r="X464" s="158"/>
      <c r="Y464" s="158"/>
      <c r="Z464" s="158"/>
      <c r="AA464" s="158"/>
      <c r="AB464" s="158"/>
      <c r="AC464" s="158"/>
      <c r="AD464" s="158"/>
      <c r="AE464" s="158"/>
      <c r="AF464" s="158"/>
      <c r="AG464" s="158"/>
    </row>
    <row r="465" ht="15.75" hidden="1" customHeight="1">
      <c r="A465" s="90"/>
      <c r="B465" s="6"/>
      <c r="C465" s="90"/>
      <c r="D465" s="185"/>
      <c r="E465" s="186"/>
      <c r="F465" s="187"/>
      <c r="G465" s="187"/>
      <c r="H465" s="195"/>
      <c r="I465" s="164"/>
      <c r="J465" s="189"/>
      <c r="K465" s="190"/>
      <c r="L465" s="183"/>
      <c r="M465" s="134" t="str">
        <f>I330</f>
        <v/>
      </c>
      <c r="N465" s="135" t="str">
        <f>iferror(mround($P330*((VLOOKUP($J465,Sheet1!$D:$N,$G465+1,FALSE)-0.03)),2.5)," ")</f>
        <v> </v>
      </c>
      <c r="O465" s="135" t="str">
        <f>iferror(mround($P330*((VLOOKUP($J465,Sheet1!$D:$N,$G465+1,FALSE)+0.02)),2.5)," ")</f>
        <v> </v>
      </c>
      <c r="P465" s="112" t="str">
        <f>iferror(mround(I465/VLOOKUP(L465,Sheet1!$D$7:$N$16,G465+1,FALSE),2.5),"")</f>
        <v/>
      </c>
      <c r="Q465" s="303" t="str">
        <f t="shared" si="12"/>
        <v/>
      </c>
      <c r="R465" s="214"/>
      <c r="S465" s="11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</row>
    <row r="466" ht="3.75" hidden="1" customHeight="1">
      <c r="A466" s="90"/>
      <c r="B466" s="6"/>
      <c r="C466" s="90"/>
      <c r="D466" s="138"/>
      <c r="E466" s="184"/>
      <c r="F466" s="102"/>
      <c r="G466" s="102"/>
      <c r="H466" s="102"/>
      <c r="I466" s="102"/>
      <c r="J466" s="156"/>
      <c r="K466" s="222"/>
      <c r="L466" s="143"/>
      <c r="M466" s="144"/>
      <c r="N466" s="145"/>
      <c r="O466" s="145"/>
      <c r="P466" s="122"/>
      <c r="Q466" s="304" t="str">
        <f t="shared" si="12"/>
        <v/>
      </c>
      <c r="R466" s="214"/>
      <c r="S466" s="11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</row>
    <row r="467" ht="15.75" hidden="1" customHeight="1">
      <c r="A467" s="90"/>
      <c r="B467" s="6"/>
      <c r="C467" s="90"/>
      <c r="D467" s="185"/>
      <c r="E467" s="224"/>
      <c r="F467" s="187"/>
      <c r="G467" s="187"/>
      <c r="H467" s="195"/>
      <c r="I467" s="164"/>
      <c r="J467" s="189"/>
      <c r="K467" s="190"/>
      <c r="L467" s="183"/>
      <c r="M467" s="134" t="str">
        <f>I332</f>
        <v/>
      </c>
      <c r="N467" s="135" t="str">
        <f>iferror(mround($P332*((VLOOKUP($J467,Sheet1!$D:$N,$G467+1,FALSE)-0.03)),2.5)," ")</f>
        <v> </v>
      </c>
      <c r="O467" s="135" t="str">
        <f>iferror(mround($P332*((VLOOKUP($J467,Sheet1!$D:$N,$G467+1,FALSE)+0.02)),2.5)," ")</f>
        <v> </v>
      </c>
      <c r="P467" s="112" t="str">
        <f>iferror(mround(I467/VLOOKUP(L467,Sheet1!$D$7:$N$16,G467+1,FALSE),2.5),"")</f>
        <v/>
      </c>
      <c r="Q467" s="303" t="str">
        <f t="shared" si="12"/>
        <v/>
      </c>
      <c r="R467" s="214"/>
      <c r="S467" s="11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</row>
    <row r="468" ht="3.75" hidden="1" customHeight="1">
      <c r="A468" s="191"/>
      <c r="B468" s="6"/>
      <c r="C468" s="192"/>
      <c r="D468" s="138"/>
      <c r="E468" s="193"/>
      <c r="F468" s="194"/>
      <c r="G468" s="194"/>
      <c r="H468" s="155"/>
      <c r="I468" s="210"/>
      <c r="J468" s="216"/>
      <c r="K468" s="222"/>
      <c r="L468" s="143"/>
      <c r="M468" s="144"/>
      <c r="N468" s="145"/>
      <c r="O468" s="145"/>
      <c r="P468" s="122"/>
      <c r="Q468" s="304" t="str">
        <f t="shared" si="12"/>
        <v/>
      </c>
      <c r="R468" s="214"/>
      <c r="S468" s="157"/>
      <c r="T468" s="5"/>
      <c r="U468" s="5"/>
      <c r="V468" s="158"/>
      <c r="W468" s="158"/>
      <c r="X468" s="158"/>
      <c r="Y468" s="158"/>
      <c r="Z468" s="158"/>
      <c r="AA468" s="158"/>
      <c r="AB468" s="158"/>
      <c r="AC468" s="158"/>
      <c r="AD468" s="158"/>
      <c r="AE468" s="158"/>
      <c r="AF468" s="158"/>
      <c r="AG468" s="158"/>
    </row>
    <row r="469" ht="15.75" hidden="1" customHeight="1">
      <c r="A469" s="90"/>
      <c r="B469" s="6"/>
      <c r="C469" s="90"/>
      <c r="D469" s="185"/>
      <c r="E469" s="186"/>
      <c r="F469" s="187"/>
      <c r="G469" s="187"/>
      <c r="H469" s="195"/>
      <c r="I469" s="164"/>
      <c r="J469" s="189"/>
      <c r="K469" s="190"/>
      <c r="L469" s="183"/>
      <c r="M469" s="134" t="str">
        <f>I334</f>
        <v/>
      </c>
      <c r="N469" s="135" t="str">
        <f>iferror(mround($P334*((VLOOKUP($J469,Sheet1!$D:$N,$G469+1,FALSE)-0.03)),2.5)," ")</f>
        <v> </v>
      </c>
      <c r="O469" s="135" t="str">
        <f>iferror(mround($P334*((VLOOKUP($J469,Sheet1!$D:$N,$G469+1,FALSE)+0.02)),2.5)," ")</f>
        <v> </v>
      </c>
      <c r="P469" s="112" t="str">
        <f>iferror(mround(I469/VLOOKUP(L469,Sheet1!$D$7:$N$16,G469+1,FALSE),2.5),"")</f>
        <v/>
      </c>
      <c r="Q469" s="303" t="str">
        <f t="shared" si="12"/>
        <v/>
      </c>
      <c r="R469" s="214"/>
      <c r="S469" s="11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</row>
    <row r="470" ht="3.75" hidden="1" customHeight="1">
      <c r="A470" s="90"/>
      <c r="B470" s="6"/>
      <c r="C470" s="90"/>
      <c r="D470" s="196"/>
      <c r="E470" s="184"/>
      <c r="F470" s="102"/>
      <c r="G470" s="102"/>
      <c r="H470" s="102"/>
      <c r="I470" s="102"/>
      <c r="J470" s="156"/>
      <c r="K470" s="222"/>
      <c r="L470" s="143"/>
      <c r="M470" s="144"/>
      <c r="N470" s="145"/>
      <c r="O470" s="145"/>
      <c r="P470" s="122"/>
      <c r="Q470" s="304" t="str">
        <f t="shared" si="12"/>
        <v/>
      </c>
      <c r="R470" s="214"/>
      <c r="S470" s="11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</row>
    <row r="471" ht="15.75" hidden="1" customHeight="1">
      <c r="A471" s="90"/>
      <c r="B471" s="6"/>
      <c r="C471" s="90"/>
      <c r="D471" s="197"/>
      <c r="E471" s="198"/>
      <c r="F471" s="199"/>
      <c r="G471" s="187"/>
      <c r="H471" s="195"/>
      <c r="I471" s="164"/>
      <c r="J471" s="189"/>
      <c r="K471" s="190"/>
      <c r="L471" s="183"/>
      <c r="M471" s="134" t="str">
        <f>I336</f>
        <v/>
      </c>
      <c r="N471" s="135" t="str">
        <f>iferror(mround($P336*((VLOOKUP($J471,Sheet1!$D:$N,$G471+1,FALSE)-0.03)),2.5)," ")</f>
        <v> </v>
      </c>
      <c r="O471" s="135" t="str">
        <f>iferror(mround($P336*((VLOOKUP($J471,Sheet1!$D:$N,$G471+1,FALSE)+0.02)),2.5)," ")</f>
        <v> </v>
      </c>
      <c r="P471" s="112" t="str">
        <f>iferror(mround(I471/VLOOKUP(L471,Sheet1!$D$7:$N$16,G471+1,FALSE),2.5),"")</f>
        <v/>
      </c>
      <c r="Q471" s="303" t="str">
        <f t="shared" si="12"/>
        <v/>
      </c>
      <c r="R471" s="214"/>
      <c r="S471" s="11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</row>
    <row r="472" ht="3.75" hidden="1" customHeight="1">
      <c r="A472" s="90"/>
      <c r="B472" s="6"/>
      <c r="C472" s="90"/>
      <c r="D472" s="90"/>
      <c r="E472" s="156"/>
      <c r="F472" s="102"/>
      <c r="G472" s="102"/>
      <c r="H472" s="102"/>
      <c r="I472" s="102"/>
      <c r="J472" s="156"/>
      <c r="K472" s="222"/>
      <c r="L472" s="201"/>
      <c r="M472" s="211"/>
      <c r="N472" s="47"/>
      <c r="O472" s="47"/>
      <c r="P472" s="122"/>
      <c r="Q472" s="304" t="str">
        <f t="shared" si="12"/>
        <v/>
      </c>
      <c r="R472" s="214"/>
      <c r="S472" s="11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</row>
    <row r="473" ht="30.75" customHeight="1">
      <c r="A473" s="90"/>
      <c r="B473" s="6"/>
      <c r="C473" s="90"/>
      <c r="D473" s="202" t="s">
        <v>49</v>
      </c>
      <c r="E473" s="105" t="s">
        <v>15</v>
      </c>
      <c r="F473" s="106" t="s">
        <v>16</v>
      </c>
      <c r="G473" s="106" t="s">
        <v>17</v>
      </c>
      <c r="H473" s="107"/>
      <c r="I473" s="106" t="s">
        <v>18</v>
      </c>
      <c r="J473" s="108" t="s">
        <v>19</v>
      </c>
      <c r="L473" s="109" t="s">
        <v>20</v>
      </c>
      <c r="M473" s="110" t="s">
        <v>21</v>
      </c>
      <c r="N473" s="111" t="s">
        <v>22</v>
      </c>
      <c r="P473" s="112"/>
      <c r="Q473" s="113" t="s">
        <v>23</v>
      </c>
      <c r="R473" s="114"/>
      <c r="S473" s="11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</row>
    <row r="474" ht="14.25" customHeight="1">
      <c r="A474" s="90"/>
      <c r="B474" s="6"/>
      <c r="C474" s="90"/>
      <c r="D474" s="116" t="s">
        <v>25</v>
      </c>
      <c r="E474" s="117" t="s">
        <v>26</v>
      </c>
      <c r="H474" s="107"/>
      <c r="N474" s="111" t="s">
        <v>27</v>
      </c>
      <c r="O474" s="111" t="s">
        <v>28</v>
      </c>
      <c r="P474" s="112" t="s">
        <v>29</v>
      </c>
      <c r="R474" s="118" t="s">
        <v>30</v>
      </c>
      <c r="S474" s="11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</row>
    <row r="475" ht="3.75" customHeight="1">
      <c r="A475" s="191"/>
      <c r="B475" s="6"/>
      <c r="C475" s="192"/>
      <c r="D475" s="203"/>
      <c r="E475" s="203"/>
      <c r="F475" s="205"/>
      <c r="G475" s="205"/>
      <c r="H475" s="205"/>
      <c r="I475" s="225"/>
      <c r="J475" s="226"/>
      <c r="K475" s="209"/>
      <c r="L475" s="210"/>
      <c r="M475" s="211"/>
      <c r="N475" s="47"/>
      <c r="O475" s="47"/>
      <c r="P475" s="122"/>
      <c r="Q475" s="304" t="str">
        <f t="shared" ref="Q475:Q495" si="13">IF(OR(ISBLANK(I475), ISBLANK(I340)), "", IF(I475 - I340 = 0, "", I475 - I340))</f>
        <v/>
      </c>
      <c r="R475" s="212"/>
      <c r="S475" s="157"/>
      <c r="T475" s="5"/>
      <c r="U475" s="5"/>
      <c r="V475" s="158"/>
      <c r="W475" s="158"/>
      <c r="X475" s="158"/>
      <c r="Y475" s="158"/>
      <c r="Z475" s="158"/>
      <c r="AA475" s="158"/>
      <c r="AB475" s="158"/>
      <c r="AC475" s="158"/>
      <c r="AD475" s="158"/>
      <c r="AE475" s="158"/>
      <c r="AF475" s="158"/>
      <c r="AG475" s="158"/>
    </row>
    <row r="476" ht="15.75" customHeight="1">
      <c r="A476" s="124"/>
      <c r="B476" s="6"/>
      <c r="C476" s="124"/>
      <c r="D476" s="125" t="s">
        <v>6</v>
      </c>
      <c r="E476" s="126"/>
      <c r="F476" s="127">
        <v>3.0</v>
      </c>
      <c r="G476" s="128">
        <v>45816.0</v>
      </c>
      <c r="H476" s="129"/>
      <c r="I476" s="130" t="s">
        <v>108</v>
      </c>
      <c r="J476" s="151">
        <v>5.0</v>
      </c>
      <c r="K476" s="219"/>
      <c r="L476" s="133"/>
      <c r="M476" s="134">
        <f>I341</f>
        <v>135</v>
      </c>
      <c r="N476" s="135" t="str">
        <f>iferror(mround($P341*((VLOOKUP($J476,Sheet1!$D:$N,$G476+1,FALSE)-0.03)),2.5)," ")</f>
        <v> </v>
      </c>
      <c r="O476" s="135" t="str">
        <f>iferror(mround($P341*((VLOOKUP($J476,Sheet1!$D:$N,$G476+1,FALSE)+0.02)),2.5)," ")</f>
        <v> </v>
      </c>
      <c r="P476" s="112" t="str">
        <f>iferror(mround(I476/VLOOKUP(L476,Sheet1!$D$7:$N$16,G476+1,FALSE),2.5),"")</f>
        <v/>
      </c>
      <c r="Q476" s="303" t="str">
        <f t="shared" si="13"/>
        <v>#VALUE!</v>
      </c>
      <c r="R476" s="214"/>
      <c r="S476" s="11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</row>
    <row r="477" ht="3.75" customHeight="1">
      <c r="A477" s="124"/>
      <c r="B477" s="6"/>
      <c r="C477" s="124"/>
      <c r="D477" s="138"/>
      <c r="E477" s="139"/>
      <c r="F477" s="140"/>
      <c r="G477" s="140"/>
      <c r="H477" s="140"/>
      <c r="I477" s="140"/>
      <c r="J477" s="141"/>
      <c r="K477" s="217"/>
      <c r="L477" s="218"/>
      <c r="M477" s="144"/>
      <c r="N477" s="145"/>
      <c r="O477" s="145"/>
      <c r="P477" s="122"/>
      <c r="Q477" s="304" t="str">
        <f t="shared" si="13"/>
        <v/>
      </c>
      <c r="R477" s="214"/>
      <c r="S477" s="11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</row>
    <row r="478" ht="15.75" customHeight="1">
      <c r="A478" s="90"/>
      <c r="B478" s="6"/>
      <c r="C478" s="90"/>
      <c r="D478" s="125" t="s">
        <v>10</v>
      </c>
      <c r="E478" s="126"/>
      <c r="F478" s="127">
        <v>3.0</v>
      </c>
      <c r="G478" s="128">
        <v>45879.0</v>
      </c>
      <c r="H478" s="129"/>
      <c r="I478" s="164"/>
      <c r="J478" s="151">
        <v>5.0</v>
      </c>
      <c r="K478" s="213"/>
      <c r="L478" s="133"/>
      <c r="M478" s="134">
        <f>I343</f>
        <v>135</v>
      </c>
      <c r="N478" s="135" t="str">
        <f>iferror(mround($P343*((VLOOKUP($J478,Sheet1!$D:$N,$G478+1,FALSE)-0.03)),2.5)," ")</f>
        <v> </v>
      </c>
      <c r="O478" s="135" t="str">
        <f>iferror(mround($P343*((VLOOKUP($J478,Sheet1!$D:$N,$G478+1,FALSE)+0.02)),2.5)," ")</f>
        <v> </v>
      </c>
      <c r="P478" s="112" t="str">
        <f>iferror(mround(I478/VLOOKUP(L478,Sheet1!$D$7:$N$16,G478+1,FALSE),2.5),"")</f>
        <v/>
      </c>
      <c r="Q478" s="303" t="str">
        <f t="shared" si="13"/>
        <v/>
      </c>
      <c r="R478" s="214"/>
      <c r="S478" s="11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</row>
    <row r="479" ht="3.75" customHeight="1">
      <c r="A479" s="90"/>
      <c r="B479" s="6"/>
      <c r="C479" s="90"/>
      <c r="D479" s="138"/>
      <c r="E479" s="215"/>
      <c r="F479" s="102"/>
      <c r="G479" s="102"/>
      <c r="H479" s="102"/>
      <c r="I479" s="102"/>
      <c r="J479" s="156"/>
      <c r="K479" s="217"/>
      <c r="L479" s="218"/>
      <c r="M479" s="144"/>
      <c r="N479" s="145"/>
      <c r="O479" s="145"/>
      <c r="P479" s="122"/>
      <c r="Q479" s="304" t="str">
        <f t="shared" si="13"/>
        <v/>
      </c>
      <c r="R479" s="214"/>
      <c r="S479" s="11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</row>
    <row r="480" ht="15.75" hidden="1" customHeight="1">
      <c r="A480" s="90"/>
      <c r="B480" s="6"/>
      <c r="C480" s="90"/>
      <c r="D480" s="159"/>
      <c r="E480" s="160"/>
      <c r="F480" s="127"/>
      <c r="G480" s="161"/>
      <c r="H480" s="129"/>
      <c r="I480" s="130"/>
      <c r="J480" s="151"/>
      <c r="K480" s="219"/>
      <c r="L480" s="133"/>
      <c r="M480" s="134" t="str">
        <f>I345</f>
        <v/>
      </c>
      <c r="N480" s="135" t="str">
        <f>iferror(mround($P345*((VLOOKUP($J480,Sheet1!$D:$N,$G480+1,FALSE)-0.03)),2.5)," ")</f>
        <v> </v>
      </c>
      <c r="O480" s="135" t="str">
        <f>iferror(mround($P345*((VLOOKUP($J480,Sheet1!$D:$N,$G480+1,FALSE)+0.02)),2.5)," ")</f>
        <v> </v>
      </c>
      <c r="P480" s="112" t="str">
        <f>iferror(mround(I480/VLOOKUP(L480,Sheet1!$D$7:$N$16,G480+1,FALSE),2.5),"")</f>
        <v/>
      </c>
      <c r="Q480" s="303" t="str">
        <f t="shared" si="13"/>
        <v/>
      </c>
      <c r="R480" s="214"/>
      <c r="S480" s="11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</row>
    <row r="481" ht="3.75" hidden="1" customHeight="1">
      <c r="A481" s="90"/>
      <c r="B481" s="6"/>
      <c r="C481" s="90"/>
      <c r="D481" s="138"/>
      <c r="E481" s="154"/>
      <c r="F481" s="155"/>
      <c r="G481" s="102"/>
      <c r="H481" s="102"/>
      <c r="I481" s="102"/>
      <c r="J481" s="156"/>
      <c r="K481" s="217"/>
      <c r="L481" s="218"/>
      <c r="M481" s="144"/>
      <c r="N481" s="145"/>
      <c r="O481" s="145"/>
      <c r="P481" s="122"/>
      <c r="Q481" s="304" t="str">
        <f t="shared" si="13"/>
        <v/>
      </c>
      <c r="R481" s="214"/>
      <c r="S481" s="11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</row>
    <row r="482" ht="15.75" customHeight="1">
      <c r="A482" s="90"/>
      <c r="B482" s="6"/>
      <c r="C482" s="90"/>
      <c r="D482" s="159" t="s">
        <v>51</v>
      </c>
      <c r="E482" s="167" t="s">
        <v>52</v>
      </c>
      <c r="F482" s="127">
        <v>4.0</v>
      </c>
      <c r="G482" s="127">
        <v>3.0</v>
      </c>
      <c r="H482" s="195"/>
      <c r="I482" s="130">
        <v>255.0</v>
      </c>
      <c r="J482" s="151">
        <v>7.0</v>
      </c>
      <c r="K482" s="213"/>
      <c r="L482" s="133"/>
      <c r="M482" s="134">
        <f>I347</f>
        <v>245</v>
      </c>
      <c r="N482" s="135">
        <f>iferror(mround($P347*((VLOOKUP($J482,Sheet1!$D:$N,$G482+1,FALSE)-0.03)),2.5)," ")</f>
        <v>0</v>
      </c>
      <c r="O482" s="135">
        <f>iferror(mround($P347*((VLOOKUP($J482,Sheet1!$D:$N,$G482+1,FALSE)+0.02)),2.5)," ")</f>
        <v>0</v>
      </c>
      <c r="P482" s="112" t="str">
        <f>iferror(mround(I482/VLOOKUP(L482,Sheet1!$D$7:$N$16,G482+1,FALSE),2.5),"")</f>
        <v/>
      </c>
      <c r="Q482" s="303">
        <f t="shared" si="13"/>
        <v>10</v>
      </c>
      <c r="R482" s="214"/>
      <c r="S482" s="11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</row>
    <row r="483" ht="3.75" customHeight="1">
      <c r="A483" s="90"/>
      <c r="B483" s="6"/>
      <c r="C483" s="90"/>
      <c r="D483" s="138"/>
      <c r="E483" s="215"/>
      <c r="F483" s="102"/>
      <c r="G483" s="102"/>
      <c r="H483" s="102"/>
      <c r="I483" s="102"/>
      <c r="J483" s="156"/>
      <c r="K483" s="217"/>
      <c r="L483" s="218"/>
      <c r="M483" s="144"/>
      <c r="N483" s="145"/>
      <c r="O483" s="145"/>
      <c r="P483" s="122"/>
      <c r="Q483" s="304" t="str">
        <f t="shared" si="13"/>
        <v/>
      </c>
      <c r="R483" s="214"/>
      <c r="S483" s="11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</row>
    <row r="484" ht="15.75" customHeight="1">
      <c r="A484" s="90"/>
      <c r="B484" s="6"/>
      <c r="C484" s="90"/>
      <c r="D484" s="159" t="s">
        <v>53</v>
      </c>
      <c r="E484" s="220"/>
      <c r="F484" s="127">
        <v>3.0</v>
      </c>
      <c r="G484" s="127" t="s">
        <v>16</v>
      </c>
      <c r="H484" s="195"/>
      <c r="I484" s="130"/>
      <c r="J484" s="151">
        <v>7.0</v>
      </c>
      <c r="K484" s="213"/>
      <c r="L484" s="133"/>
      <c r="M484" s="134" t="str">
        <f>I349</f>
        <v/>
      </c>
      <c r="N484" s="135" t="str">
        <f>iferror(mround($P349*((VLOOKUP($J484,Sheet1!$D:$N,$G484+1,FALSE)-0.03)),2.5)," ")</f>
        <v> </v>
      </c>
      <c r="O484" s="135" t="str">
        <f>iferror(mround($P349*((VLOOKUP($J484,Sheet1!$D:$N,$G484+1,FALSE)+0.02)),2.5)," ")</f>
        <v> </v>
      </c>
      <c r="P484" s="112" t="str">
        <f>iferror(mround(I484/VLOOKUP(L484,Sheet1!$D$7:$N$16,G484+1,FALSE),2.5),"")</f>
        <v/>
      </c>
      <c r="Q484" s="303" t="str">
        <f t="shared" si="13"/>
        <v/>
      </c>
      <c r="R484" s="214"/>
      <c r="S484" s="11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</row>
    <row r="485" ht="3.75" customHeight="1">
      <c r="A485" s="90"/>
      <c r="B485" s="6"/>
      <c r="C485" s="90"/>
      <c r="D485" s="138"/>
      <c r="E485" s="215"/>
      <c r="F485" s="102"/>
      <c r="G485" s="102"/>
      <c r="H485" s="102"/>
      <c r="I485" s="102"/>
      <c r="J485" s="156"/>
      <c r="K485" s="222"/>
      <c r="L485" s="218"/>
      <c r="M485" s="144"/>
      <c r="N485" s="145"/>
      <c r="O485" s="145"/>
      <c r="P485" s="122"/>
      <c r="Q485" s="304" t="str">
        <f t="shared" si="13"/>
        <v/>
      </c>
      <c r="R485" s="214"/>
      <c r="S485" s="11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</row>
    <row r="486" ht="15.75" customHeight="1">
      <c r="A486" s="90"/>
      <c r="B486" s="6"/>
      <c r="C486" s="90"/>
      <c r="D486" s="159" t="s">
        <v>54</v>
      </c>
      <c r="E486" s="227"/>
      <c r="F486" s="127">
        <v>3.0</v>
      </c>
      <c r="G486" s="221">
        <v>45577.0</v>
      </c>
      <c r="H486" s="195"/>
      <c r="I486" s="130"/>
      <c r="J486" s="228">
        <v>8.0</v>
      </c>
      <c r="K486" s="190"/>
      <c r="L486" s="183"/>
      <c r="M486" s="134" t="str">
        <f>I351</f>
        <v/>
      </c>
      <c r="N486" s="135" t="str">
        <f>iferror(mround($P351*((VLOOKUP($J486,Sheet1!$D:$N,$G486+1,FALSE)-0.03)),2.5)," ")</f>
        <v> </v>
      </c>
      <c r="O486" s="135" t="str">
        <f>iferror(mround($P351*((VLOOKUP($J486,Sheet1!$D:$N,$G486+1,FALSE)+0.02)),2.5)," ")</f>
        <v> </v>
      </c>
      <c r="P486" s="112" t="str">
        <f>iferror(mround(I486/VLOOKUP(L486,Sheet1!$D$7:$N$16,G486+1,FALSE),2.5),"")</f>
        <v/>
      </c>
      <c r="Q486" s="303" t="str">
        <f t="shared" si="13"/>
        <v/>
      </c>
      <c r="R486" s="214"/>
      <c r="S486" s="11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</row>
    <row r="487" ht="3.75" customHeight="1">
      <c r="A487" s="90"/>
      <c r="B487" s="6"/>
      <c r="C487" s="90"/>
      <c r="D487" s="138"/>
      <c r="E487" s="215"/>
      <c r="F487" s="102"/>
      <c r="G487" s="102"/>
      <c r="H487" s="102"/>
      <c r="I487" s="102"/>
      <c r="J487" s="216"/>
      <c r="K487" s="222"/>
      <c r="L487" s="218"/>
      <c r="M487" s="144"/>
      <c r="N487" s="145"/>
      <c r="O487" s="145"/>
      <c r="P487" s="122"/>
      <c r="Q487" s="304" t="str">
        <f t="shared" si="13"/>
        <v/>
      </c>
      <c r="R487" s="214"/>
      <c r="S487" s="11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</row>
    <row r="488" ht="15.75" hidden="1" customHeight="1">
      <c r="A488" s="90"/>
      <c r="B488" s="6"/>
      <c r="C488" s="90"/>
      <c r="D488" s="185"/>
      <c r="E488" s="220"/>
      <c r="F488" s="187"/>
      <c r="G488" s="229"/>
      <c r="H488" s="195"/>
      <c r="I488" s="164"/>
      <c r="J488" s="189"/>
      <c r="K488" s="190"/>
      <c r="L488" s="183"/>
      <c r="M488" s="134" t="str">
        <f>I353</f>
        <v/>
      </c>
      <c r="N488" s="135" t="str">
        <f>iferror(mround($P353*((VLOOKUP($J488,Sheet1!$D:$N,$G488+1,FALSE)-0.03)),2.5)," ")</f>
        <v> </v>
      </c>
      <c r="O488" s="135" t="str">
        <f>iferror(mround($P353*((VLOOKUP($J488,Sheet1!$D:$N,$G488+1,FALSE)+0.02)),2.5)," ")</f>
        <v> </v>
      </c>
      <c r="P488" s="112" t="str">
        <f>iferror(mround(I488/VLOOKUP(L488,Sheet1!$D$7:$N$16,G488+1,FALSE),2.5),"")</f>
        <v/>
      </c>
      <c r="Q488" s="303" t="str">
        <f t="shared" si="13"/>
        <v/>
      </c>
      <c r="R488" s="214"/>
      <c r="S488" s="11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</row>
    <row r="489" ht="3.75" hidden="1" customHeight="1">
      <c r="A489" s="191"/>
      <c r="B489" s="6"/>
      <c r="C489" s="192"/>
      <c r="D489" s="138"/>
      <c r="E489" s="184"/>
      <c r="F489" s="102"/>
      <c r="G489" s="102"/>
      <c r="H489" s="102"/>
      <c r="I489" s="102"/>
      <c r="J489" s="156"/>
      <c r="K489" s="222"/>
      <c r="L489" s="218"/>
      <c r="M489" s="144"/>
      <c r="N489" s="145"/>
      <c r="O489" s="145"/>
      <c r="P489" s="122"/>
      <c r="Q489" s="304" t="str">
        <f t="shared" si="13"/>
        <v/>
      </c>
      <c r="R489" s="214"/>
      <c r="S489" s="157"/>
      <c r="T489" s="5"/>
      <c r="U489" s="5"/>
      <c r="V489" s="158"/>
      <c r="W489" s="158"/>
      <c r="X489" s="158"/>
      <c r="Y489" s="158"/>
      <c r="Z489" s="158"/>
      <c r="AA489" s="158"/>
      <c r="AB489" s="158"/>
      <c r="AC489" s="158"/>
      <c r="AD489" s="158"/>
      <c r="AE489" s="158"/>
      <c r="AF489" s="158"/>
      <c r="AG489" s="158"/>
    </row>
    <row r="490" ht="15.75" hidden="1" customHeight="1">
      <c r="A490" s="90"/>
      <c r="B490" s="6"/>
      <c r="C490" s="90"/>
      <c r="D490" s="185"/>
      <c r="E490" s="224"/>
      <c r="F490" s="187"/>
      <c r="G490" s="187"/>
      <c r="H490" s="195"/>
      <c r="I490" s="164"/>
      <c r="J490" s="230"/>
      <c r="K490" s="190"/>
      <c r="L490" s="183"/>
      <c r="M490" s="134" t="str">
        <f>I355</f>
        <v/>
      </c>
      <c r="N490" s="135" t="str">
        <f>iferror(mround($P355*((VLOOKUP($J490,Sheet1!$D:$N,$G490+1,FALSE)-0.03)),2.5)," ")</f>
        <v> </v>
      </c>
      <c r="O490" s="135" t="str">
        <f>iferror(mround($P355*((VLOOKUP($J490,Sheet1!$D:$N,$G490+1,FALSE)+0.02)),2.5)," ")</f>
        <v> </v>
      </c>
      <c r="P490" s="112" t="str">
        <f>iferror(mround(I490/VLOOKUP(L490,Sheet1!$D$7:$N$16,G490+1,FALSE),2.5),"")</f>
        <v/>
      </c>
      <c r="Q490" s="303" t="str">
        <f t="shared" si="13"/>
        <v/>
      </c>
      <c r="R490" s="214"/>
      <c r="S490" s="11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</row>
    <row r="491" ht="3.75" hidden="1" customHeight="1">
      <c r="A491" s="90"/>
      <c r="B491" s="6"/>
      <c r="C491" s="90"/>
      <c r="D491" s="138"/>
      <c r="E491" s="184"/>
      <c r="F491" s="102"/>
      <c r="G491" s="102"/>
      <c r="H491" s="102"/>
      <c r="I491" s="102"/>
      <c r="J491" s="156"/>
      <c r="K491" s="222"/>
      <c r="L491" s="218"/>
      <c r="M491" s="144"/>
      <c r="N491" s="145"/>
      <c r="O491" s="145"/>
      <c r="P491" s="122"/>
      <c r="Q491" s="304" t="str">
        <f t="shared" si="13"/>
        <v/>
      </c>
      <c r="R491" s="214"/>
      <c r="S491" s="11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</row>
    <row r="492" ht="15.75" hidden="1" customHeight="1">
      <c r="A492" s="90"/>
      <c r="B492" s="6"/>
      <c r="C492" s="90"/>
      <c r="D492" s="231"/>
      <c r="E492" s="232"/>
      <c r="F492" s="187"/>
      <c r="G492" s="187"/>
      <c r="H492" s="195"/>
      <c r="I492" s="164"/>
      <c r="J492" s="230"/>
      <c r="K492" s="190"/>
      <c r="L492" s="183"/>
      <c r="M492" s="134" t="str">
        <f>I357</f>
        <v/>
      </c>
      <c r="N492" s="135" t="str">
        <f>iferror(mround($P357*((VLOOKUP($J492,Sheet1!$D:$N,$G492+1,FALSE)-0.03)),2.5)," ")</f>
        <v> </v>
      </c>
      <c r="O492" s="135" t="str">
        <f>iferror(mround($P357*((VLOOKUP($J492,Sheet1!$D:$N,$G492+1,FALSE)+0.02)),2.5)," ")</f>
        <v> </v>
      </c>
      <c r="P492" s="112" t="str">
        <f>iferror(mround(I492/VLOOKUP(L492,Sheet1!$D$7:$N$16,G492+1,FALSE),2.5),"")</f>
        <v/>
      </c>
      <c r="Q492" s="303" t="str">
        <f t="shared" si="13"/>
        <v/>
      </c>
      <c r="R492" s="214"/>
      <c r="S492" s="11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</row>
    <row r="493" ht="3.75" hidden="1" customHeight="1">
      <c r="A493" s="191"/>
      <c r="B493" s="6"/>
      <c r="C493" s="233"/>
      <c r="D493" s="234"/>
      <c r="E493" s="235"/>
      <c r="F493" s="236"/>
      <c r="G493" s="194"/>
      <c r="H493" s="155"/>
      <c r="I493" s="210"/>
      <c r="J493" s="216"/>
      <c r="K493" s="222"/>
      <c r="L493" s="218"/>
      <c r="M493" s="144"/>
      <c r="N493" s="145"/>
      <c r="O493" s="145"/>
      <c r="P493" s="122"/>
      <c r="Q493" s="304" t="str">
        <f t="shared" si="13"/>
        <v/>
      </c>
      <c r="R493" s="214"/>
      <c r="S493" s="157"/>
      <c r="T493" s="5"/>
      <c r="U493" s="5"/>
      <c r="V493" s="158"/>
      <c r="W493" s="158"/>
      <c r="X493" s="158"/>
      <c r="Y493" s="158"/>
      <c r="Z493" s="158"/>
      <c r="AA493" s="158"/>
      <c r="AB493" s="158"/>
      <c r="AC493" s="158"/>
      <c r="AD493" s="158"/>
      <c r="AE493" s="158"/>
      <c r="AF493" s="158"/>
      <c r="AG493" s="158"/>
    </row>
    <row r="494" ht="15.75" hidden="1" customHeight="1">
      <c r="A494" s="90"/>
      <c r="B494" s="6"/>
      <c r="C494" s="90"/>
      <c r="D494" s="197"/>
      <c r="E494" s="198"/>
      <c r="F494" s="199"/>
      <c r="G494" s="187"/>
      <c r="H494" s="195"/>
      <c r="I494" s="164"/>
      <c r="J494" s="189"/>
      <c r="K494" s="190"/>
      <c r="L494" s="183"/>
      <c r="M494" s="134" t="str">
        <f>I359</f>
        <v/>
      </c>
      <c r="N494" s="135" t="str">
        <f>iferror(mround($P359*((VLOOKUP($J494,Sheet1!$D:$N,$G494+1,FALSE)-0.03)),2.5)," ")</f>
        <v> </v>
      </c>
      <c r="O494" s="135" t="str">
        <f>iferror(mround($P359*((VLOOKUP($J494,Sheet1!$D:$N,$G494+1,FALSE)+0.02)),2.5)," ")</f>
        <v> </v>
      </c>
      <c r="P494" s="112" t="str">
        <f>iferror(mround(I494/VLOOKUP(L494,Sheet1!$D$7:$N$16,G494+1,FALSE),2.5),"")</f>
        <v/>
      </c>
      <c r="Q494" s="303" t="str">
        <f t="shared" si="13"/>
        <v/>
      </c>
      <c r="R494" s="214"/>
      <c r="S494" s="11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</row>
    <row r="495" ht="3.75" hidden="1" customHeight="1">
      <c r="A495" s="90"/>
      <c r="B495" s="6"/>
      <c r="C495" s="90"/>
      <c r="D495" s="90"/>
      <c r="E495" s="156"/>
      <c r="F495" s="102"/>
      <c r="G495" s="102"/>
      <c r="H495" s="102"/>
      <c r="I495" s="102"/>
      <c r="J495" s="156"/>
      <c r="K495" s="200"/>
      <c r="L495" s="201"/>
      <c r="M495" s="211"/>
      <c r="N495" s="47"/>
      <c r="O495" s="47"/>
      <c r="P495" s="122"/>
      <c r="Q495" s="304" t="str">
        <f t="shared" si="13"/>
        <v/>
      </c>
      <c r="R495" s="214"/>
      <c r="S495" s="11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</row>
    <row r="496" ht="30.0" hidden="1" customHeight="1">
      <c r="A496" s="90"/>
      <c r="B496" s="6"/>
      <c r="C496" s="90"/>
      <c r="D496" s="202" t="s">
        <v>55</v>
      </c>
      <c r="E496" s="105" t="s">
        <v>15</v>
      </c>
      <c r="F496" s="106" t="s">
        <v>16</v>
      </c>
      <c r="G496" s="106" t="s">
        <v>17</v>
      </c>
      <c r="H496" s="107"/>
      <c r="I496" s="106" t="s">
        <v>18</v>
      </c>
      <c r="J496" s="108" t="s">
        <v>19</v>
      </c>
      <c r="L496" s="109" t="s">
        <v>20</v>
      </c>
      <c r="M496" s="110" t="s">
        <v>21</v>
      </c>
      <c r="N496" s="111" t="s">
        <v>22</v>
      </c>
      <c r="P496" s="112"/>
      <c r="Q496" s="113" t="s">
        <v>23</v>
      </c>
      <c r="R496" s="114" t="s">
        <v>56</v>
      </c>
      <c r="S496" s="11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</row>
    <row r="497" ht="14.25" hidden="1" customHeight="1">
      <c r="A497" s="90"/>
      <c r="B497" s="6"/>
      <c r="C497" s="90"/>
      <c r="D497" s="116" t="s">
        <v>25</v>
      </c>
      <c r="E497" s="117" t="s">
        <v>26</v>
      </c>
      <c r="H497" s="107"/>
      <c r="N497" s="111" t="s">
        <v>27</v>
      </c>
      <c r="O497" s="111" t="s">
        <v>28</v>
      </c>
      <c r="P497" s="112" t="s">
        <v>29</v>
      </c>
      <c r="R497" s="118" t="s">
        <v>30</v>
      </c>
      <c r="S497" s="11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</row>
    <row r="498" ht="3.75" hidden="1" customHeight="1">
      <c r="A498" s="191"/>
      <c r="B498" s="6"/>
      <c r="C498" s="192"/>
      <c r="D498" s="203"/>
      <c r="E498" s="204"/>
      <c r="F498" s="205"/>
      <c r="G498" s="205"/>
      <c r="H498" s="205"/>
      <c r="I498" s="225"/>
      <c r="J498" s="237"/>
      <c r="K498" s="209"/>
      <c r="L498" s="238"/>
      <c r="M498" s="211"/>
      <c r="N498" s="47"/>
      <c r="O498" s="47"/>
      <c r="P498" s="122"/>
      <c r="Q498" s="304" t="str">
        <f t="shared" ref="Q498:Q518" si="14">IF(OR(ISBLANK(I498), ISBLANK(I363)), "", IF(I498 - I363 = 0, "", I498 - I363))</f>
        <v/>
      </c>
      <c r="R498" s="239"/>
      <c r="S498" s="157"/>
      <c r="T498" s="5"/>
      <c r="U498" s="5"/>
      <c r="V498" s="158"/>
      <c r="W498" s="158"/>
      <c r="X498" s="158"/>
      <c r="Y498" s="158"/>
      <c r="Z498" s="158"/>
      <c r="AA498" s="158"/>
      <c r="AB498" s="158"/>
      <c r="AC498" s="158"/>
      <c r="AD498" s="158"/>
      <c r="AE498" s="158"/>
      <c r="AF498" s="158"/>
      <c r="AG498" s="158"/>
    </row>
    <row r="499" ht="15.75" hidden="1" customHeight="1">
      <c r="A499" s="124"/>
      <c r="B499" s="6"/>
      <c r="C499" s="124"/>
      <c r="D499" s="125"/>
      <c r="E499" s="126"/>
      <c r="F499" s="127"/>
      <c r="G499" s="240"/>
      <c r="H499" s="129"/>
      <c r="I499" s="130"/>
      <c r="J499" s="151"/>
      <c r="K499" s="241"/>
      <c r="L499" s="130"/>
      <c r="M499" s="134" t="str">
        <f>I364</f>
        <v/>
      </c>
      <c r="N499" s="135" t="str">
        <f>iferror(mround($P364*((VLOOKUP($J499,Sheet1!$D:$N,$G499+1,FALSE)-0.03)),2.5)," ")</f>
        <v> </v>
      </c>
      <c r="O499" s="135" t="str">
        <f>iferror(mround($P364*((VLOOKUP($J499,Sheet1!$D:$N,$G499+1,FALSE)+0.02)),2.5)," ")</f>
        <v> </v>
      </c>
      <c r="P499" s="112" t="str">
        <f>iferror(mround(I499/VLOOKUP(L499,Sheet1!$D$7:$N$16,G499+1,FALSE),2.5),"")</f>
        <v/>
      </c>
      <c r="Q499" s="303" t="str">
        <f t="shared" si="14"/>
        <v/>
      </c>
      <c r="R499" s="242"/>
      <c r="S499" s="11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</row>
    <row r="500" ht="3.75" hidden="1" customHeight="1">
      <c r="A500" s="124"/>
      <c r="B500" s="6"/>
      <c r="C500" s="124"/>
      <c r="D500" s="138"/>
      <c r="E500" s="139"/>
      <c r="F500" s="140"/>
      <c r="G500" s="140"/>
      <c r="H500" s="140"/>
      <c r="I500" s="140"/>
      <c r="J500" s="141"/>
      <c r="K500" s="243"/>
      <c r="L500" s="210"/>
      <c r="M500" s="144"/>
      <c r="N500" s="145"/>
      <c r="O500" s="145"/>
      <c r="P500" s="122"/>
      <c r="Q500" s="304" t="str">
        <f t="shared" si="14"/>
        <v/>
      </c>
      <c r="R500" s="242"/>
      <c r="S500" s="11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</row>
    <row r="501" ht="15.0" hidden="1" customHeight="1">
      <c r="A501" s="124"/>
      <c r="B501" s="6"/>
      <c r="C501" s="124"/>
      <c r="D501" s="125"/>
      <c r="E501" s="126"/>
      <c r="F501" s="127"/>
      <c r="G501" s="240"/>
      <c r="H501" s="129"/>
      <c r="I501" s="164"/>
      <c r="J501" s="165"/>
      <c r="K501" s="241"/>
      <c r="L501" s="130"/>
      <c r="M501" s="134" t="str">
        <f>I366</f>
        <v/>
      </c>
      <c r="N501" s="135" t="str">
        <f>iferror(mround($P366*((VLOOKUP($J501,Sheet1!$D:$N,$G501+1,FALSE)-0.03)),2.5)," ")</f>
        <v> </v>
      </c>
      <c r="O501" s="135" t="str">
        <f>iferror(mround($P366*((VLOOKUP($J501,Sheet1!$D:$N,$G501+1,FALSE)+0.02)),2.5)," ")</f>
        <v> </v>
      </c>
      <c r="P501" s="112" t="str">
        <f>iferror(mround(I501/VLOOKUP(L501,Sheet1!$D$7:$N$16,G501+1,FALSE),2.5),"")</f>
        <v/>
      </c>
      <c r="Q501" s="303" t="str">
        <f t="shared" si="14"/>
        <v/>
      </c>
      <c r="R501" s="242"/>
      <c r="S501" s="11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</row>
    <row r="502" ht="3.75" hidden="1" customHeight="1">
      <c r="A502" s="124"/>
      <c r="B502" s="6"/>
      <c r="C502" s="124"/>
      <c r="D502" s="138"/>
      <c r="E502" s="215"/>
      <c r="F502" s="102"/>
      <c r="G502" s="102"/>
      <c r="H502" s="102"/>
      <c r="I502" s="102"/>
      <c r="J502" s="156"/>
      <c r="K502" s="243"/>
      <c r="L502" s="210"/>
      <c r="M502" s="144"/>
      <c r="N502" s="145"/>
      <c r="O502" s="145"/>
      <c r="P502" s="122"/>
      <c r="Q502" s="304" t="str">
        <f t="shared" si="14"/>
        <v/>
      </c>
      <c r="R502" s="242"/>
      <c r="S502" s="11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</row>
    <row r="503" ht="15.75" hidden="1" customHeight="1">
      <c r="A503" s="124"/>
      <c r="B503" s="6"/>
      <c r="C503" s="124"/>
      <c r="D503" s="159"/>
      <c r="E503" s="126"/>
      <c r="F503" s="127"/>
      <c r="G503" s="161"/>
      <c r="H503" s="129"/>
      <c r="I503" s="130"/>
      <c r="J503" s="151"/>
      <c r="K503" s="244"/>
      <c r="L503" s="130"/>
      <c r="M503" s="134" t="str">
        <f>I368</f>
        <v/>
      </c>
      <c r="N503" s="135" t="str">
        <f>iferror(mround($P368*((VLOOKUP($J503,Sheet1!$D:$N,$G503+1,FALSE)-0.03)),2.5)," ")</f>
        <v> </v>
      </c>
      <c r="O503" s="135" t="str">
        <f>iferror(mround($P368*((VLOOKUP($J503,Sheet1!$D:$N,$G503+1,FALSE)+0.02)),2.5)," ")</f>
        <v> </v>
      </c>
      <c r="P503" s="112" t="str">
        <f>iferror(mround(I503/VLOOKUP(L503,Sheet1!$D$7:$N$16,G503+1,FALSE),2.5),"")</f>
        <v/>
      </c>
      <c r="Q503" s="303" t="str">
        <f t="shared" si="14"/>
        <v/>
      </c>
      <c r="R503" s="242"/>
      <c r="S503" s="11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</row>
    <row r="504" ht="3.75" hidden="1" customHeight="1">
      <c r="A504" s="124"/>
      <c r="B504" s="6"/>
      <c r="C504" s="124"/>
      <c r="D504" s="138"/>
      <c r="E504" s="154"/>
      <c r="F504" s="155"/>
      <c r="G504" s="102"/>
      <c r="H504" s="102"/>
      <c r="I504" s="102"/>
      <c r="J504" s="156"/>
      <c r="K504" s="243"/>
      <c r="L504" s="210"/>
      <c r="M504" s="144"/>
      <c r="N504" s="145"/>
      <c r="O504" s="145"/>
      <c r="P504" s="122"/>
      <c r="Q504" s="304" t="str">
        <f t="shared" si="14"/>
        <v/>
      </c>
      <c r="R504" s="242"/>
      <c r="S504" s="11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</row>
    <row r="505" ht="15.75" hidden="1" customHeight="1">
      <c r="A505" s="124"/>
      <c r="B505" s="6"/>
      <c r="C505" s="124"/>
      <c r="D505" s="159"/>
      <c r="E505" s="126"/>
      <c r="F505" s="127"/>
      <c r="G505" s="161"/>
      <c r="H505" s="129"/>
      <c r="I505" s="130"/>
      <c r="J505" s="151"/>
      <c r="K505" s="241"/>
      <c r="L505" s="130"/>
      <c r="M505" s="134" t="str">
        <f>I370</f>
        <v/>
      </c>
      <c r="N505" s="135" t="str">
        <f>iferror(mround($P370*((VLOOKUP($J505,Sheet1!$D:$N,$G505+1,FALSE)-0.03)),2.5)," ")</f>
        <v> </v>
      </c>
      <c r="O505" s="135" t="str">
        <f>iferror(mround($P370*((VLOOKUP($J505,Sheet1!$D:$N,$G505+1,FALSE)+0.02)),2.5)," ")</f>
        <v> </v>
      </c>
      <c r="P505" s="112" t="str">
        <f>iferror(mround(I505/VLOOKUP(L505,Sheet1!$D$7:$N$16,G505+1,FALSE),2.5),"")</f>
        <v/>
      </c>
      <c r="Q505" s="303" t="str">
        <f t="shared" si="14"/>
        <v/>
      </c>
      <c r="R505" s="242"/>
      <c r="S505" s="11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</row>
    <row r="506" ht="3.75" hidden="1" customHeight="1">
      <c r="A506" s="90"/>
      <c r="B506" s="6"/>
      <c r="C506" s="90"/>
      <c r="D506" s="138"/>
      <c r="E506" s="245"/>
      <c r="F506" s="102"/>
      <c r="G506" s="102"/>
      <c r="H506" s="102"/>
      <c r="I506" s="102"/>
      <c r="J506" s="156"/>
      <c r="K506" s="243"/>
      <c r="L506" s="210"/>
      <c r="M506" s="144"/>
      <c r="N506" s="145"/>
      <c r="O506" s="145"/>
      <c r="P506" s="122"/>
      <c r="Q506" s="304" t="str">
        <f t="shared" si="14"/>
        <v/>
      </c>
      <c r="R506" s="242"/>
      <c r="S506" s="11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</row>
    <row r="507" ht="15.75" hidden="1" customHeight="1">
      <c r="A507" s="90"/>
      <c r="B507" s="6"/>
      <c r="C507" s="90"/>
      <c r="D507" s="159"/>
      <c r="E507" s="227"/>
      <c r="F507" s="127"/>
      <c r="G507" s="221"/>
      <c r="H507" s="195"/>
      <c r="I507" s="130"/>
      <c r="J507" s="228"/>
      <c r="K507" s="241"/>
      <c r="L507" s="130"/>
      <c r="M507" s="134" t="str">
        <f>I372</f>
        <v/>
      </c>
      <c r="N507" s="135" t="str">
        <f>iferror(mround($P372*((VLOOKUP($J507,Sheet1!$D:$N,$G507+1,FALSE)-0.03)),2.5)," ")</f>
        <v> </v>
      </c>
      <c r="O507" s="135" t="str">
        <f>iferror(mround($P372*((VLOOKUP($J507,Sheet1!$D:$N,$G507+1,FALSE)+0.02)),2.5)," ")</f>
        <v> </v>
      </c>
      <c r="P507" s="112" t="str">
        <f>iferror(mround(I507/VLOOKUP(L507,Sheet1!$D$7:$N$16,G507+1,FALSE),2.5),"")</f>
        <v/>
      </c>
      <c r="Q507" s="303" t="str">
        <f t="shared" si="14"/>
        <v/>
      </c>
      <c r="R507" s="242"/>
      <c r="S507" s="11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</row>
    <row r="508" ht="3.75" hidden="1" customHeight="1">
      <c r="A508" s="191"/>
      <c r="B508" s="6"/>
      <c r="C508" s="192"/>
      <c r="D508" s="138"/>
      <c r="E508" s="245"/>
      <c r="F508" s="102"/>
      <c r="G508" s="102"/>
      <c r="H508" s="102"/>
      <c r="I508" s="102"/>
      <c r="J508" s="156"/>
      <c r="K508" s="243"/>
      <c r="L508" s="210"/>
      <c r="M508" s="144"/>
      <c r="N508" s="145"/>
      <c r="O508" s="145"/>
      <c r="P508" s="122"/>
      <c r="Q508" s="304" t="str">
        <f t="shared" si="14"/>
        <v/>
      </c>
      <c r="R508" s="242"/>
      <c r="S508" s="157"/>
      <c r="T508" s="5"/>
      <c r="U508" s="5"/>
      <c r="V508" s="158"/>
      <c r="W508" s="158"/>
      <c r="X508" s="158"/>
      <c r="Y508" s="158"/>
      <c r="Z508" s="158"/>
      <c r="AA508" s="158"/>
      <c r="AB508" s="158"/>
      <c r="AC508" s="158"/>
      <c r="AD508" s="158"/>
      <c r="AE508" s="158"/>
      <c r="AF508" s="158"/>
      <c r="AG508" s="158"/>
    </row>
    <row r="509" ht="15.75" hidden="1" customHeight="1">
      <c r="A509" s="90"/>
      <c r="B509" s="6"/>
      <c r="C509" s="90"/>
      <c r="D509" s="159"/>
      <c r="E509" s="246"/>
      <c r="F509" s="127"/>
      <c r="G509" s="221"/>
      <c r="H509" s="195"/>
      <c r="I509" s="130"/>
      <c r="J509" s="228"/>
      <c r="K509" s="241"/>
      <c r="L509" s="130"/>
      <c r="M509" s="134" t="str">
        <f>I374</f>
        <v/>
      </c>
      <c r="N509" s="135" t="str">
        <f>iferror(mround($P374*((VLOOKUP($J509,Sheet1!$D:$N,$G509+1,FALSE)-0.03)),2.5)," ")</f>
        <v> </v>
      </c>
      <c r="O509" s="135" t="str">
        <f>iferror(mround($P374*((VLOOKUP($J509,Sheet1!$D:$N,$G509+1,FALSE)+0.02)),2.5)," ")</f>
        <v> </v>
      </c>
      <c r="P509" s="112" t="str">
        <f>iferror(mround(I509/VLOOKUP(L509,Sheet1!$D$7:$N$16,G509+1,FALSE),2.5),"")</f>
        <v/>
      </c>
      <c r="Q509" s="303" t="str">
        <f t="shared" si="14"/>
        <v/>
      </c>
      <c r="R509" s="242"/>
      <c r="S509" s="11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</row>
    <row r="510" ht="3.75" customHeight="1">
      <c r="A510" s="90"/>
      <c r="B510" s="6"/>
      <c r="C510" s="90"/>
      <c r="D510" s="138"/>
      <c r="E510" s="245"/>
      <c r="F510" s="102"/>
      <c r="G510" s="102"/>
      <c r="H510" s="102"/>
      <c r="I510" s="102"/>
      <c r="J510" s="156"/>
      <c r="K510" s="243"/>
      <c r="L510" s="210"/>
      <c r="M510" s="144"/>
      <c r="N510" s="145"/>
      <c r="O510" s="145"/>
      <c r="P510" s="122"/>
      <c r="Q510" s="304" t="str">
        <f t="shared" si="14"/>
        <v/>
      </c>
      <c r="R510" s="242"/>
      <c r="S510" s="11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</row>
    <row r="511" ht="15.75" hidden="1" customHeight="1">
      <c r="A511" s="90"/>
      <c r="B511" s="6"/>
      <c r="C511" s="90"/>
      <c r="D511" s="185"/>
      <c r="E511" s="227"/>
      <c r="F511" s="187"/>
      <c r="G511" s="229"/>
      <c r="H511" s="195"/>
      <c r="I511" s="247"/>
      <c r="J511" s="248"/>
      <c r="K511" s="241"/>
      <c r="L511" s="164"/>
      <c r="M511" s="134" t="str">
        <f>I376</f>
        <v/>
      </c>
      <c r="N511" s="135" t="str">
        <f>iferror(mround($P376*((VLOOKUP($J511,Sheet1!$D:$N,$G511+1,FALSE)-0.03)),2.5)," ")</f>
        <v> </v>
      </c>
      <c r="O511" s="135" t="str">
        <f>iferror(mround($P376*((VLOOKUP($J511,Sheet1!$D:$N,$G511+1,FALSE)+0.02)),2.5)," ")</f>
        <v> </v>
      </c>
      <c r="P511" s="112" t="str">
        <f>iferror(mround(I511/VLOOKUP(L511,Sheet1!$D$7:$N$16,G511+1,FALSE),2.5),"")</f>
        <v/>
      </c>
      <c r="Q511" s="303" t="str">
        <f t="shared" si="14"/>
        <v/>
      </c>
      <c r="R511" s="242"/>
      <c r="S511" s="11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</row>
    <row r="512" ht="3.75" hidden="1" customHeight="1">
      <c r="A512" s="90"/>
      <c r="B512" s="6"/>
      <c r="C512" s="90"/>
      <c r="D512" s="138"/>
      <c r="E512" s="215"/>
      <c r="F512" s="102"/>
      <c r="G512" s="102"/>
      <c r="H512" s="102"/>
      <c r="I512" s="102"/>
      <c r="J512" s="156"/>
      <c r="K512" s="243"/>
      <c r="L512" s="210"/>
      <c r="M512" s="144"/>
      <c r="N512" s="145"/>
      <c r="O512" s="145"/>
      <c r="P512" s="122"/>
      <c r="Q512" s="304" t="str">
        <f t="shared" si="14"/>
        <v/>
      </c>
      <c r="R512" s="242"/>
      <c r="S512" s="11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</row>
    <row r="513" ht="15.75" hidden="1" customHeight="1">
      <c r="A513" s="90"/>
      <c r="B513" s="6"/>
      <c r="C513" s="90"/>
      <c r="D513" s="185"/>
      <c r="E513" s="220"/>
      <c r="F513" s="187"/>
      <c r="G513" s="229"/>
      <c r="H513" s="195"/>
      <c r="I513" s="247"/>
      <c r="J513" s="248"/>
      <c r="K513" s="241"/>
      <c r="L513" s="164"/>
      <c r="M513" s="134" t="str">
        <f>I378</f>
        <v/>
      </c>
      <c r="N513" s="135" t="str">
        <f>iferror(mround($P378*((VLOOKUP($J513,Sheet1!$D:$N,$G513+1,FALSE)-0.03)),2.5)," ")</f>
        <v> </v>
      </c>
      <c r="O513" s="135" t="str">
        <f>iferror(mround($P378*((VLOOKUP($J513,Sheet1!$D:$N,$G513+1,FALSE)+0.02)),2.5)," ")</f>
        <v> </v>
      </c>
      <c r="P513" s="112" t="str">
        <f>iferror(mround(I513/VLOOKUP(L513,Sheet1!$D$7:$N$16,G513+1,FALSE),2.5),"")</f>
        <v/>
      </c>
      <c r="Q513" s="303" t="str">
        <f t="shared" si="14"/>
        <v/>
      </c>
      <c r="R513" s="242"/>
      <c r="S513" s="11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</row>
    <row r="514" ht="3.75" hidden="1" customHeight="1">
      <c r="A514" s="90"/>
      <c r="B514" s="6"/>
      <c r="C514" s="90"/>
      <c r="D514" s="196"/>
      <c r="E514" s="184"/>
      <c r="F514" s="102"/>
      <c r="G514" s="102"/>
      <c r="H514" s="102"/>
      <c r="I514" s="102"/>
      <c r="J514" s="156"/>
      <c r="K514" s="249"/>
      <c r="L514" s="210"/>
      <c r="M514" s="144"/>
      <c r="N514" s="145"/>
      <c r="O514" s="145"/>
      <c r="P514" s="122"/>
      <c r="Q514" s="304" t="str">
        <f t="shared" si="14"/>
        <v/>
      </c>
      <c r="R514" s="242"/>
      <c r="S514" s="11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</row>
    <row r="515" ht="15.75" hidden="1" customHeight="1">
      <c r="A515" s="90"/>
      <c r="B515" s="6"/>
      <c r="C515" s="90"/>
      <c r="D515" s="197"/>
      <c r="E515" s="250"/>
      <c r="F515" s="129"/>
      <c r="G515" s="199"/>
      <c r="H515" s="195"/>
      <c r="I515" s="247"/>
      <c r="J515" s="248"/>
      <c r="K515" s="251"/>
      <c r="L515" s="164"/>
      <c r="M515" s="134" t="str">
        <f>I380</f>
        <v/>
      </c>
      <c r="N515" s="135" t="str">
        <f>iferror(mround($P380*((VLOOKUP($J515,Sheet1!$D:$N,$G515+1,FALSE)-0.03)),2.5)," ")</f>
        <v> </v>
      </c>
      <c r="O515" s="135" t="str">
        <f>iferror(mround($P380*((VLOOKUP($J515,Sheet1!$D:$N,$G515+1,FALSE)+0.02)),2.5)," ")</f>
        <v> </v>
      </c>
      <c r="P515" s="112" t="str">
        <f>iferror(mround(I515/VLOOKUP(L515,Sheet1!$D$7:$N$16,G515+1,FALSE),2.5),"")</f>
        <v/>
      </c>
      <c r="Q515" s="303" t="str">
        <f t="shared" si="14"/>
        <v/>
      </c>
      <c r="R515" s="242"/>
      <c r="S515" s="11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</row>
    <row r="516" ht="3.75" hidden="1" customHeight="1">
      <c r="A516" s="90"/>
      <c r="B516" s="6"/>
      <c r="C516" s="90"/>
      <c r="D516" s="234"/>
      <c r="E516" s="184"/>
      <c r="F516" s="102"/>
      <c r="G516" s="102"/>
      <c r="H516" s="102"/>
      <c r="I516" s="102"/>
      <c r="J516" s="156"/>
      <c r="K516" s="249"/>
      <c r="L516" s="210"/>
      <c r="M516" s="144"/>
      <c r="N516" s="145"/>
      <c r="O516" s="145"/>
      <c r="P516" s="122"/>
      <c r="Q516" s="304" t="str">
        <f t="shared" si="14"/>
        <v/>
      </c>
      <c r="R516" s="242"/>
      <c r="S516" s="11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</row>
    <row r="517" ht="15.75" hidden="1" customHeight="1">
      <c r="A517" s="90"/>
      <c r="B517" s="6"/>
      <c r="C517" s="90"/>
      <c r="D517" s="197"/>
      <c r="E517" s="198"/>
      <c r="F517" s="129"/>
      <c r="G517" s="199"/>
      <c r="H517" s="195"/>
      <c r="I517" s="164"/>
      <c r="J517" s="248"/>
      <c r="K517" s="251"/>
      <c r="L517" s="164"/>
      <c r="M517" s="134" t="str">
        <f>I382</f>
        <v/>
      </c>
      <c r="N517" s="135" t="str">
        <f>iferror(mround($P382*((VLOOKUP($J517,Sheet1!$D:$N,$G517+1,FALSE)-0.03)),2.5)," ")</f>
        <v> </v>
      </c>
      <c r="O517" s="135" t="str">
        <f>iferror(mround($P382*((VLOOKUP($J517,Sheet1!$D:$N,$G517+1,FALSE)+0.02)),2.5)," ")</f>
        <v> </v>
      </c>
      <c r="P517" s="112" t="str">
        <f>iferror(mround(I517/VLOOKUP(L517,Sheet1!$D$7:$N$16,G517+1,FALSE),2.5),"")</f>
        <v/>
      </c>
      <c r="Q517" s="303" t="str">
        <f t="shared" si="14"/>
        <v/>
      </c>
      <c r="R517" s="242"/>
      <c r="S517" s="11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</row>
    <row r="518" ht="3.75" hidden="1" customHeight="1">
      <c r="A518" s="124"/>
      <c r="B518" s="6"/>
      <c r="C518" s="124"/>
      <c r="D518" s="252"/>
      <c r="E518" s="252"/>
      <c r="F518" s="102"/>
      <c r="G518" s="102"/>
      <c r="H518" s="102"/>
      <c r="I518" s="102"/>
      <c r="J518" s="156"/>
      <c r="K518" s="253"/>
      <c r="L518" s="201"/>
      <c r="M518" s="211"/>
      <c r="N518" s="47"/>
      <c r="O518" s="47"/>
      <c r="P518" s="122"/>
      <c r="Q518" s="304" t="str">
        <f t="shared" si="14"/>
        <v/>
      </c>
      <c r="R518" s="242"/>
      <c r="S518" s="11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</row>
    <row r="519" ht="30.75" hidden="1" customHeight="1">
      <c r="A519" s="90"/>
      <c r="B519" s="6"/>
      <c r="C519" s="90"/>
      <c r="D519" s="254" t="s">
        <v>57</v>
      </c>
      <c r="E519" s="255" t="s">
        <v>15</v>
      </c>
      <c r="F519" s="106" t="s">
        <v>16</v>
      </c>
      <c r="G519" s="106" t="s">
        <v>17</v>
      </c>
      <c r="H519" s="107"/>
      <c r="I519" s="106" t="s">
        <v>18</v>
      </c>
      <c r="J519" s="108" t="s">
        <v>19</v>
      </c>
      <c r="L519" s="109" t="s">
        <v>20</v>
      </c>
      <c r="M519" s="110" t="s">
        <v>21</v>
      </c>
      <c r="N519" s="111" t="s">
        <v>22</v>
      </c>
      <c r="P519" s="112"/>
      <c r="Q519" s="113" t="s">
        <v>23</v>
      </c>
      <c r="R519" s="256" t="s">
        <v>58</v>
      </c>
      <c r="S519" s="11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</row>
    <row r="520" ht="14.25" hidden="1" customHeight="1">
      <c r="A520" s="90"/>
      <c r="B520" s="6"/>
      <c r="C520" s="90"/>
      <c r="D520" s="257" t="s">
        <v>25</v>
      </c>
      <c r="E520" s="258" t="s">
        <v>26</v>
      </c>
      <c r="H520" s="107"/>
      <c r="N520" s="111" t="s">
        <v>27</v>
      </c>
      <c r="O520" s="111" t="s">
        <v>28</v>
      </c>
      <c r="P520" s="112" t="s">
        <v>29</v>
      </c>
      <c r="R520" s="118" t="s">
        <v>30</v>
      </c>
      <c r="S520" s="11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</row>
    <row r="521" ht="3.75" hidden="1" customHeight="1">
      <c r="A521" s="124"/>
      <c r="B521" s="6"/>
      <c r="C521" s="124"/>
      <c r="D521" s="252"/>
      <c r="E521" s="252"/>
      <c r="F521" s="102"/>
      <c r="G521" s="102"/>
      <c r="H521" s="102"/>
      <c r="I521" s="102"/>
      <c r="J521" s="156"/>
      <c r="K521" s="253"/>
      <c r="L521" s="201"/>
      <c r="M521" s="211"/>
      <c r="N521" s="47"/>
      <c r="O521" s="47"/>
      <c r="P521" s="122"/>
      <c r="Q521" s="304" t="str">
        <f t="shared" ref="Q521:Q544" si="15">IF(OR(ISBLANK(I521), ISBLANK(I386)), "", IF(I521 - I386 = 0, "", I521 - I386))</f>
        <v/>
      </c>
      <c r="R521" s="259"/>
      <c r="S521" s="11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</row>
    <row r="522" ht="14.25" hidden="1" customHeight="1">
      <c r="A522" s="124"/>
      <c r="B522" s="6"/>
      <c r="C522" s="124"/>
      <c r="D522" s="260"/>
      <c r="E522" s="126"/>
      <c r="F522" s="187"/>
      <c r="G522" s="229"/>
      <c r="H522" s="129"/>
      <c r="I522" s="164"/>
      <c r="J522" s="189"/>
      <c r="K522" s="251"/>
      <c r="L522" s="164"/>
      <c r="M522" s="134" t="str">
        <f>I389</f>
        <v/>
      </c>
      <c r="N522" s="135" t="str">
        <f>iferror(mround($P389*((VLOOKUP($J522,Sheet1!$D:$N,$G522+1,FALSE)-0.03)),2.5)," ")</f>
        <v> </v>
      </c>
      <c r="O522" s="135" t="str">
        <f>iferror(mround($P389*((VLOOKUP($J522,Sheet1!$D:$N,$G522+1,FALSE)+0.02)),2.5)," ")</f>
        <v> </v>
      </c>
      <c r="P522" s="56" t="str">
        <f>iferror(mround(I522/VLOOKUP(L522,Sheet1!$D$7:$N$16,G522+1,FALSE),2.5),"")</f>
        <v/>
      </c>
      <c r="Q522" s="303" t="str">
        <f t="shared" si="15"/>
        <v/>
      </c>
      <c r="S522" s="11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</row>
    <row r="523" ht="3.75" hidden="1" customHeight="1">
      <c r="A523" s="124"/>
      <c r="B523" s="6"/>
      <c r="C523" s="124"/>
      <c r="D523" s="138"/>
      <c r="E523" s="215"/>
      <c r="F523" s="102"/>
      <c r="G523" s="102"/>
      <c r="H523" s="102"/>
      <c r="I523" s="102"/>
      <c r="J523" s="156"/>
      <c r="K523" s="249"/>
      <c r="L523" s="210"/>
      <c r="M523" s="144"/>
      <c r="N523" s="145"/>
      <c r="O523" s="145"/>
      <c r="P523" s="122"/>
      <c r="Q523" s="304" t="str">
        <f t="shared" si="15"/>
        <v/>
      </c>
      <c r="S523" s="11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</row>
    <row r="524" ht="14.25" hidden="1" customHeight="1">
      <c r="A524" s="124"/>
      <c r="B524" s="6"/>
      <c r="C524" s="124"/>
      <c r="D524" s="185"/>
      <c r="E524" s="227"/>
      <c r="F524" s="187"/>
      <c r="G524" s="229"/>
      <c r="H524" s="195"/>
      <c r="I524" s="164"/>
      <c r="J524" s="248"/>
      <c r="K524" s="251"/>
      <c r="L524" s="164"/>
      <c r="M524" s="134" t="str">
        <f>I389</f>
        <v/>
      </c>
      <c r="N524" s="135" t="str">
        <f>iferror(mround($P389*((VLOOKUP($J524,Sheet1!$D:$N,$G524+1,FALSE)-0.03)),2.5)," ")</f>
        <v> </v>
      </c>
      <c r="O524" s="135" t="str">
        <f>iferror(mround($P389*((VLOOKUP($J524,Sheet1!$D:$N,$G524+1,FALSE)+0.02)),2.5)," ")</f>
        <v> </v>
      </c>
      <c r="P524" s="112" t="str">
        <f>iferror(mround(I524/VLOOKUP(L524,Sheet1!$D$7:$N$16,G524+1,FALSE),2.5),"")</f>
        <v/>
      </c>
      <c r="Q524" s="303" t="str">
        <f t="shared" si="15"/>
        <v/>
      </c>
      <c r="S524" s="11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</row>
    <row r="525" ht="3.75" hidden="1" customHeight="1">
      <c r="A525" s="124"/>
      <c r="B525" s="6"/>
      <c r="C525" s="124"/>
      <c r="D525" s="138"/>
      <c r="E525" s="245"/>
      <c r="F525" s="102"/>
      <c r="G525" s="102"/>
      <c r="H525" s="102"/>
      <c r="I525" s="102"/>
      <c r="J525" s="156"/>
      <c r="K525" s="249"/>
      <c r="L525" s="210"/>
      <c r="M525" s="144"/>
      <c r="N525" s="145"/>
      <c r="O525" s="145"/>
      <c r="P525" s="122"/>
      <c r="Q525" s="304" t="str">
        <f t="shared" si="15"/>
        <v/>
      </c>
      <c r="S525" s="11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</row>
    <row r="526" ht="14.25" hidden="1" customHeight="1">
      <c r="A526" s="124"/>
      <c r="B526" s="6"/>
      <c r="C526" s="124"/>
      <c r="D526" s="185"/>
      <c r="E526" s="227"/>
      <c r="F526" s="187"/>
      <c r="G526" s="229"/>
      <c r="H526" s="195"/>
      <c r="I526" s="164"/>
      <c r="J526" s="248"/>
      <c r="K526" s="251"/>
      <c r="L526" s="164"/>
      <c r="M526" s="134" t="str">
        <f>I391</f>
        <v/>
      </c>
      <c r="N526" s="135" t="str">
        <f>iferror(mround($P391*((VLOOKUP($J526,Sheet1!$D:$N,$G526+1,FALSE)-0.03)),2.5)," ")</f>
        <v> </v>
      </c>
      <c r="O526" s="135" t="str">
        <f>iferror(mround($P391*((VLOOKUP($J526,Sheet1!$D:$N,$G526+1,FALSE)+0.02)),2.5)," ")</f>
        <v> </v>
      </c>
      <c r="P526" s="112" t="str">
        <f>iferror(mround(I526/VLOOKUP(L526,Sheet1!$D$7:$N$16,G526+1,FALSE),2.5),"")</f>
        <v/>
      </c>
      <c r="Q526" s="303" t="str">
        <f t="shared" si="15"/>
        <v/>
      </c>
      <c r="S526" s="11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</row>
    <row r="527" ht="3.75" hidden="1" customHeight="1">
      <c r="A527" s="124"/>
      <c r="B527" s="6"/>
      <c r="C527" s="124"/>
      <c r="D527" s="138"/>
      <c r="E527" s="245"/>
      <c r="F527" s="102"/>
      <c r="G527" s="102"/>
      <c r="H527" s="102"/>
      <c r="I527" s="102"/>
      <c r="J527" s="156"/>
      <c r="K527" s="249"/>
      <c r="L527" s="210"/>
      <c r="M527" s="144"/>
      <c r="N527" s="145"/>
      <c r="O527" s="145"/>
      <c r="P527" s="122"/>
      <c r="Q527" s="304" t="str">
        <f t="shared" si="15"/>
        <v/>
      </c>
      <c r="S527" s="11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</row>
    <row r="528" ht="14.25" hidden="1" customHeight="1">
      <c r="A528" s="124"/>
      <c r="B528" s="6"/>
      <c r="C528" s="124"/>
      <c r="D528" s="185"/>
      <c r="E528" s="227"/>
      <c r="F528" s="187"/>
      <c r="G528" s="229"/>
      <c r="H528" s="195"/>
      <c r="I528" s="164"/>
      <c r="J528" s="248"/>
      <c r="K528" s="251"/>
      <c r="L528" s="164"/>
      <c r="M528" s="134"/>
      <c r="N528" s="135" t="str">
        <f>iferror(mround($P393*((VLOOKUP($J528,Sheet1!$D:$N,$G528+1,FALSE)-0.03)),2.5)," ")</f>
        <v> </v>
      </c>
      <c r="O528" s="135" t="str">
        <f>iferror(mround($P393*((VLOOKUP($J528,Sheet1!$D:$N,$G528+1,FALSE)+0.02)),2.5)," ")</f>
        <v> </v>
      </c>
      <c r="P528" s="112" t="str">
        <f>iferror(mround(I528/VLOOKUP(L528,Sheet1!$D$7:$N$16,G528+1,FALSE),2.5),"")</f>
        <v/>
      </c>
      <c r="Q528" s="303" t="str">
        <f t="shared" si="15"/>
        <v/>
      </c>
      <c r="S528" s="11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</row>
    <row r="529" ht="3.75" hidden="1" customHeight="1">
      <c r="A529" s="124"/>
      <c r="B529" s="6"/>
      <c r="C529" s="124"/>
      <c r="D529" s="138"/>
      <c r="E529" s="245"/>
      <c r="F529" s="102"/>
      <c r="G529" s="102"/>
      <c r="H529" s="102"/>
      <c r="I529" s="102"/>
      <c r="J529" s="156"/>
      <c r="K529" s="249"/>
      <c r="L529" s="210"/>
      <c r="M529" s="144"/>
      <c r="N529" s="145" t="str">
        <f>iferror(mround($P394*((VLOOKUP($J529,Sheet1!$D:$N,$G529+1,FALSE)-0.03)),2.5)," ")</f>
        <v> </v>
      </c>
      <c r="O529" s="145" t="str">
        <f>iferror(mround($P394*((VLOOKUP($J529,Sheet1!$D:$N,$G529+1,FALSE)+0.02)),2.5)," ")</f>
        <v> </v>
      </c>
      <c r="P529" s="122"/>
      <c r="Q529" s="304" t="str">
        <f t="shared" si="15"/>
        <v/>
      </c>
      <c r="S529" s="11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</row>
    <row r="530" ht="14.25" hidden="1" customHeight="1">
      <c r="A530" s="124"/>
      <c r="B530" s="6"/>
      <c r="C530" s="124"/>
      <c r="D530" s="185"/>
      <c r="E530" s="227"/>
      <c r="F530" s="187"/>
      <c r="G530" s="187"/>
      <c r="H530" s="195"/>
      <c r="I530" s="164"/>
      <c r="J530" s="248"/>
      <c r="K530" s="251"/>
      <c r="L530" s="164"/>
      <c r="M530" s="134" t="str">
        <f>I395</f>
        <v/>
      </c>
      <c r="N530" s="135" t="str">
        <f>iferror(mround($P395*((VLOOKUP($J530,Sheet1!$D:$N,$G530+1,FALSE)-0.03)),2.5)," ")</f>
        <v> </v>
      </c>
      <c r="O530" s="135" t="str">
        <f>iferror(mround($P395*((VLOOKUP($J530,Sheet1!$D:$N,$G530+1,FALSE)+0.02)),2.5)," ")</f>
        <v> </v>
      </c>
      <c r="P530" s="112" t="str">
        <f>iferror(mround(I530/VLOOKUP(L530,Sheet1!$D$7:$N$16,G530+1,FALSE),2.5),"")</f>
        <v/>
      </c>
      <c r="Q530" s="303" t="str">
        <f t="shared" si="15"/>
        <v/>
      </c>
      <c r="S530" s="11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</row>
    <row r="531" ht="3.75" hidden="1" customHeight="1">
      <c r="A531" s="261"/>
      <c r="B531" s="6"/>
      <c r="C531" s="262"/>
      <c r="D531" s="138"/>
      <c r="E531" s="245"/>
      <c r="F531" s="102"/>
      <c r="G531" s="102"/>
      <c r="H531" s="102"/>
      <c r="I531" s="102"/>
      <c r="J531" s="156"/>
      <c r="K531" s="249"/>
      <c r="L531" s="210"/>
      <c r="M531" s="144"/>
      <c r="N531" s="145"/>
      <c r="O531" s="145"/>
      <c r="P531" s="122"/>
      <c r="Q531" s="304" t="str">
        <f t="shared" si="15"/>
        <v/>
      </c>
      <c r="S531" s="157"/>
      <c r="T531" s="5"/>
      <c r="U531" s="5"/>
      <c r="V531" s="158"/>
      <c r="W531" s="158"/>
      <c r="X531" s="158"/>
      <c r="Y531" s="158"/>
      <c r="Z531" s="158"/>
      <c r="AA531" s="158"/>
      <c r="AB531" s="158"/>
      <c r="AC531" s="158"/>
      <c r="AD531" s="158"/>
      <c r="AE531" s="158"/>
      <c r="AF531" s="158"/>
      <c r="AG531" s="158"/>
    </row>
    <row r="532" ht="14.25" hidden="1" customHeight="1">
      <c r="A532" s="124"/>
      <c r="B532" s="6"/>
      <c r="C532" s="124"/>
      <c r="D532" s="185"/>
      <c r="E532" s="227"/>
      <c r="F532" s="187"/>
      <c r="G532" s="187"/>
      <c r="H532" s="195"/>
      <c r="I532" s="164"/>
      <c r="J532" s="248"/>
      <c r="K532" s="251"/>
      <c r="L532" s="164"/>
      <c r="M532" s="134" t="str">
        <f>I397</f>
        <v/>
      </c>
      <c r="N532" s="135" t="str">
        <f>iferror(mround($P397*((VLOOKUP($J532,Sheet1!$D:$N,$G532+1,FALSE)-0.03)),2.5)," ")</f>
        <v> </v>
      </c>
      <c r="O532" s="135" t="str">
        <f>iferror(mround($P397*((VLOOKUP($J532,Sheet1!$D:$N,$G532+1,FALSE)+0.02)),2.5)," ")</f>
        <v> </v>
      </c>
      <c r="P532" s="112" t="str">
        <f>iferror(mround(I532/VLOOKUP(L532,Sheet1!$D$7:$N$16,G532+1,FALSE),2.5),"")</f>
        <v/>
      </c>
      <c r="Q532" s="303" t="str">
        <f t="shared" si="15"/>
        <v/>
      </c>
      <c r="S532" s="11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</row>
    <row r="533" ht="3.75" hidden="1" customHeight="1">
      <c r="A533" s="261"/>
      <c r="B533" s="6"/>
      <c r="C533" s="262"/>
      <c r="D533" s="138"/>
      <c r="E533" s="252"/>
      <c r="F533" s="102"/>
      <c r="G533" s="102"/>
      <c r="H533" s="102"/>
      <c r="I533" s="102"/>
      <c r="J533" s="156"/>
      <c r="K533" s="249"/>
      <c r="L533" s="210"/>
      <c r="M533" s="144"/>
      <c r="N533" s="145"/>
      <c r="O533" s="145"/>
      <c r="P533" s="122"/>
      <c r="Q533" s="304" t="str">
        <f t="shared" si="15"/>
        <v/>
      </c>
      <c r="S533" s="157"/>
      <c r="T533" s="5"/>
      <c r="U533" s="5"/>
      <c r="V533" s="158"/>
      <c r="W533" s="158"/>
      <c r="X533" s="158"/>
      <c r="Y533" s="158"/>
      <c r="Z533" s="158"/>
      <c r="AA533" s="158"/>
      <c r="AB533" s="158"/>
      <c r="AC533" s="158"/>
      <c r="AD533" s="158"/>
      <c r="AE533" s="158"/>
      <c r="AF533" s="158"/>
      <c r="AG533" s="158"/>
    </row>
    <row r="534" ht="15.75" hidden="1" customHeight="1">
      <c r="A534" s="124"/>
      <c r="B534" s="6"/>
      <c r="C534" s="124"/>
      <c r="D534" s="185"/>
      <c r="E534" s="260"/>
      <c r="F534" s="187"/>
      <c r="G534" s="187"/>
      <c r="H534" s="195"/>
      <c r="I534" s="247"/>
      <c r="J534" s="248"/>
      <c r="K534" s="251"/>
      <c r="L534" s="164"/>
      <c r="M534" s="134"/>
      <c r="N534" s="135" t="str">
        <f>iferror(mround($P399*((VLOOKUP($J534,Sheet1!$D:$N,$G534+1,FALSE)-0.03)),2.5)," ")</f>
        <v> </v>
      </c>
      <c r="O534" s="135" t="str">
        <f>iferror(mround($P399*((VLOOKUP($J534,Sheet1!$D:$N,$G534+1,FALSE)+0.02)),2.5)," ")</f>
        <v> </v>
      </c>
      <c r="P534" s="112" t="str">
        <f>iferror(mround(I534/VLOOKUP(L534,Sheet1!$D$7:$N$16,G534+1,FALSE),2.5),"")</f>
        <v/>
      </c>
      <c r="Q534" s="303" t="str">
        <f t="shared" si="15"/>
        <v/>
      </c>
      <c r="S534" s="11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</row>
    <row r="535" ht="3.75" hidden="1" customHeight="1">
      <c r="A535" s="124"/>
      <c r="B535" s="6"/>
      <c r="C535" s="124"/>
      <c r="D535" s="263"/>
      <c r="E535" s="252"/>
      <c r="F535" s="102"/>
      <c r="G535" s="102"/>
      <c r="H535" s="102"/>
      <c r="I535" s="102"/>
      <c r="J535" s="156"/>
      <c r="K535" s="249"/>
      <c r="L535" s="210"/>
      <c r="M535" s="144"/>
      <c r="N535" s="145" t="str">
        <f>iferror(mround($P400*((VLOOKUP($J535,Sheet1!$D:$N,$G535+1,FALSE)-0.03)),2.5)," ")</f>
        <v> </v>
      </c>
      <c r="O535" s="145" t="str">
        <f>iferror(mround($P400*((VLOOKUP($J535,Sheet1!$D:$N,$G535+1,FALSE)+0.02)),2.5)," ")</f>
        <v> </v>
      </c>
      <c r="P535" s="122"/>
      <c r="Q535" s="304" t="str">
        <f t="shared" si="15"/>
        <v/>
      </c>
      <c r="S535" s="11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</row>
    <row r="536" ht="14.25" hidden="1" customHeight="1">
      <c r="A536" s="90"/>
      <c r="B536" s="6"/>
      <c r="C536" s="90"/>
      <c r="D536" s="185"/>
      <c r="E536" s="264"/>
      <c r="F536" s="187"/>
      <c r="G536" s="187"/>
      <c r="H536" s="195"/>
      <c r="I536" s="164"/>
      <c r="J536" s="248"/>
      <c r="K536" s="251"/>
      <c r="L536" s="164"/>
      <c r="M536" s="134" t="str">
        <f>I401</f>
        <v/>
      </c>
      <c r="N536" s="135" t="str">
        <f>iferror(mround($P401*((VLOOKUP($J536,Sheet1!$D:$N,$G536+1,FALSE)-0.03)),2.5)," ")</f>
        <v> </v>
      </c>
      <c r="O536" s="135" t="str">
        <f>iferror(mround($P401*((VLOOKUP($J536,Sheet1!$D:$N,$G536+1,FALSE)+0.02)),2.5)," ")</f>
        <v> </v>
      </c>
      <c r="P536" s="112" t="str">
        <f>iferror(mround(I536/VLOOKUP(L536,Sheet1!$D$7:$N$16,G536+1,FALSE),2.5),"")</f>
        <v/>
      </c>
      <c r="Q536" s="303" t="str">
        <f t="shared" si="15"/>
        <v/>
      </c>
      <c r="S536" s="11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</row>
    <row r="537" ht="3.75" hidden="1" customHeight="1">
      <c r="A537" s="261"/>
      <c r="B537" s="6"/>
      <c r="C537" s="262"/>
      <c r="D537" s="263"/>
      <c r="E537" s="263"/>
      <c r="F537" s="194"/>
      <c r="G537" s="194"/>
      <c r="H537" s="155"/>
      <c r="I537" s="210"/>
      <c r="J537" s="265"/>
      <c r="K537" s="249"/>
      <c r="L537" s="210"/>
      <c r="M537" s="144"/>
      <c r="N537" s="145"/>
      <c r="O537" s="145"/>
      <c r="P537" s="122"/>
      <c r="Q537" s="304" t="str">
        <f t="shared" si="15"/>
        <v/>
      </c>
      <c r="S537" s="157"/>
      <c r="T537" s="5"/>
      <c r="U537" s="5"/>
      <c r="V537" s="158"/>
      <c r="W537" s="158"/>
      <c r="X537" s="158"/>
      <c r="Y537" s="158"/>
      <c r="Z537" s="158"/>
      <c r="AA537" s="158"/>
      <c r="AB537" s="158"/>
      <c r="AC537" s="158"/>
      <c r="AD537" s="158"/>
      <c r="AE537" s="158"/>
      <c r="AF537" s="158"/>
      <c r="AG537" s="158"/>
    </row>
    <row r="538" ht="15.75" hidden="1" customHeight="1">
      <c r="A538" s="90"/>
      <c r="B538" s="6"/>
      <c r="C538" s="90"/>
      <c r="D538" s="185"/>
      <c r="E538" s="266"/>
      <c r="F538" s="187"/>
      <c r="G538" s="187"/>
      <c r="H538" s="195"/>
      <c r="I538" s="164"/>
      <c r="J538" s="248"/>
      <c r="K538" s="251"/>
      <c r="L538" s="164"/>
      <c r="M538" s="134"/>
      <c r="N538" s="135" t="str">
        <f>iferror(mround($P403*((VLOOKUP($J538,Sheet1!$D:$N,$G538+1,FALSE)-0.03)),2.5)," ")</f>
        <v> </v>
      </c>
      <c r="O538" s="135" t="str">
        <f>iferror(mround($P403*((VLOOKUP($J538,Sheet1!$D:$N,$G538+1,FALSE)+0.02)),2.5)," ")</f>
        <v> </v>
      </c>
      <c r="P538" s="112" t="str">
        <f>iferror(mround(I538/VLOOKUP(L538,Sheet1!$D$7:$N$16,G538+1,FALSE),2.5),"")</f>
        <v/>
      </c>
      <c r="Q538" s="303" t="str">
        <f t="shared" si="15"/>
        <v/>
      </c>
      <c r="S538" s="11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</row>
    <row r="539" ht="3.75" hidden="1" customHeight="1">
      <c r="A539" s="90"/>
      <c r="B539" s="6"/>
      <c r="C539" s="90"/>
      <c r="D539" s="138"/>
      <c r="E539" s="252"/>
      <c r="F539" s="102"/>
      <c r="G539" s="102"/>
      <c r="H539" s="102"/>
      <c r="I539" s="102"/>
      <c r="J539" s="156"/>
      <c r="K539" s="249"/>
      <c r="L539" s="210"/>
      <c r="M539" s="144"/>
      <c r="N539" s="145" t="str">
        <f>iferror(mround($P404*((VLOOKUP($J539,Sheet1!$D:$N,$G539+1,FALSE)-0.03)),2.5)," ")</f>
        <v> </v>
      </c>
      <c r="O539" s="145" t="str">
        <f>iferror(mround($P404*((VLOOKUP($J539,Sheet1!$D:$N,$G539+1,FALSE)+0.02)),2.5)," ")</f>
        <v> </v>
      </c>
      <c r="P539" s="122"/>
      <c r="Q539" s="304" t="str">
        <f t="shared" si="15"/>
        <v/>
      </c>
      <c r="S539" s="11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</row>
    <row r="540" ht="15.75" hidden="1" customHeight="1">
      <c r="A540" s="90"/>
      <c r="B540" s="6"/>
      <c r="C540" s="90"/>
      <c r="D540" s="185"/>
      <c r="E540" s="264"/>
      <c r="F540" s="187"/>
      <c r="G540" s="187"/>
      <c r="H540" s="195"/>
      <c r="I540" s="164"/>
      <c r="J540" s="248"/>
      <c r="K540" s="251"/>
      <c r="L540" s="164"/>
      <c r="M540" s="134" t="str">
        <f>I405</f>
        <v/>
      </c>
      <c r="N540" s="135" t="str">
        <f>iferror(mround($P405*((VLOOKUP($J540,Sheet1!$D:$N,$G540+1,FALSE)-0.03)),2.5)," ")</f>
        <v> </v>
      </c>
      <c r="O540" s="135" t="str">
        <f>iferror(mround($P405*((VLOOKUP($J540,Sheet1!$D:$N,$G540+1,FALSE)+0.02)),2.5)," ")</f>
        <v> </v>
      </c>
      <c r="P540" s="112" t="str">
        <f>iferror(mround(I540/VLOOKUP(L540,Sheet1!$D$7:$N$16,G540+1,FALSE),2.5),"")</f>
        <v/>
      </c>
      <c r="Q540" s="303" t="str">
        <f t="shared" si="15"/>
        <v/>
      </c>
      <c r="S540" s="11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</row>
    <row r="541" ht="3.75" hidden="1" customHeight="1">
      <c r="A541" s="191"/>
      <c r="B541" s="6"/>
      <c r="C541" s="192"/>
      <c r="D541" s="138"/>
      <c r="E541" s="252"/>
      <c r="F541" s="102"/>
      <c r="G541" s="102"/>
      <c r="H541" s="102"/>
      <c r="I541" s="102"/>
      <c r="J541" s="156"/>
      <c r="K541" s="249"/>
      <c r="L541" s="210"/>
      <c r="M541" s="144"/>
      <c r="N541" s="145"/>
      <c r="O541" s="145"/>
      <c r="P541" s="122"/>
      <c r="Q541" s="304" t="str">
        <f t="shared" si="15"/>
        <v/>
      </c>
      <c r="S541" s="157"/>
      <c r="T541" s="5"/>
      <c r="U541" s="5"/>
      <c r="V541" s="158"/>
      <c r="W541" s="158"/>
      <c r="X541" s="158"/>
      <c r="Y541" s="158"/>
      <c r="Z541" s="158"/>
      <c r="AA541" s="158"/>
      <c r="AB541" s="158"/>
      <c r="AC541" s="158"/>
      <c r="AD541" s="158"/>
      <c r="AE541" s="158"/>
      <c r="AF541" s="158"/>
      <c r="AG541" s="158"/>
    </row>
    <row r="542" ht="15.75" hidden="1" customHeight="1">
      <c r="A542" s="90"/>
      <c r="B542" s="6"/>
      <c r="C542" s="90"/>
      <c r="D542" s="185"/>
      <c r="E542" s="260"/>
      <c r="F542" s="187"/>
      <c r="G542" s="187"/>
      <c r="H542" s="195"/>
      <c r="I542" s="164"/>
      <c r="J542" s="248"/>
      <c r="K542" s="251"/>
      <c r="L542" s="164"/>
      <c r="M542" s="134" t="str">
        <f>I407</f>
        <v/>
      </c>
      <c r="N542" s="135" t="str">
        <f>iferror(mround($P407*((VLOOKUP($J542,Sheet1!$D:$N,$G542+1,FALSE)-0.03)),2.5)," ")</f>
        <v> </v>
      </c>
      <c r="O542" s="135" t="str">
        <f>iferror(mround($P407*((VLOOKUP($J542,Sheet1!$D:$N,$G542+1,FALSE)+0.02)),2.5)," ")</f>
        <v> </v>
      </c>
      <c r="P542" s="112" t="str">
        <f>iferror(mround(I542/VLOOKUP(L542,Sheet1!$D$7:$N$16,G542+1,FALSE),2.5),"")</f>
        <v/>
      </c>
      <c r="Q542" s="303" t="str">
        <f t="shared" si="15"/>
        <v/>
      </c>
      <c r="S542" s="11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</row>
    <row r="543" ht="3.75" hidden="1" customHeight="1">
      <c r="A543" s="90"/>
      <c r="B543" s="6"/>
      <c r="C543" s="90"/>
      <c r="D543" s="263"/>
      <c r="E543" s="252"/>
      <c r="F543" s="102"/>
      <c r="G543" s="102"/>
      <c r="H543" s="102"/>
      <c r="I543" s="102"/>
      <c r="J543" s="156"/>
      <c r="K543" s="249"/>
      <c r="L543" s="210"/>
      <c r="M543" s="144"/>
      <c r="N543" s="145"/>
      <c r="O543" s="145"/>
      <c r="P543" s="122"/>
      <c r="Q543" s="304" t="str">
        <f t="shared" si="15"/>
        <v/>
      </c>
      <c r="S543" s="11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</row>
    <row r="544" ht="15.75" hidden="1" customHeight="1">
      <c r="A544" s="90"/>
      <c r="B544" s="6"/>
      <c r="C544" s="90"/>
      <c r="D544" s="185"/>
      <c r="E544" s="266"/>
      <c r="F544" s="187"/>
      <c r="G544" s="187"/>
      <c r="H544" s="195"/>
      <c r="I544" s="164"/>
      <c r="J544" s="248"/>
      <c r="K544" s="251"/>
      <c r="L544" s="164"/>
      <c r="M544" s="134" t="str">
        <f>I409</f>
        <v/>
      </c>
      <c r="N544" s="135" t="str">
        <f>iferror(mround($P409*((VLOOKUP($J544,Sheet1!$D:$N,$G544+1,FALSE)-0.03)),2.5)," ")</f>
        <v> </v>
      </c>
      <c r="O544" s="135" t="str">
        <f>iferror(mround($P409*((VLOOKUP($J544,Sheet1!$D:$N,$G544+1,FALSE)+0.02)),2.5)," ")</f>
        <v> </v>
      </c>
      <c r="P544" s="112" t="str">
        <f>iferror(mround(I544/VLOOKUP(L544,Sheet1!$D$7:$N$16,G544+1,FALSE),2.5),"")</f>
        <v/>
      </c>
      <c r="Q544" s="303" t="str">
        <f t="shared" si="15"/>
        <v/>
      </c>
      <c r="S544" s="11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</row>
    <row r="545" ht="3.75" customHeight="1">
      <c r="A545" s="191"/>
      <c r="B545" s="6"/>
      <c r="C545" s="192"/>
      <c r="D545" s="192"/>
      <c r="E545" s="267"/>
      <c r="F545" s="194"/>
      <c r="G545" s="194"/>
      <c r="H545" s="155"/>
      <c r="I545" s="210"/>
      <c r="J545" s="268"/>
      <c r="K545" s="249"/>
      <c r="L545" s="269"/>
      <c r="M545" s="270"/>
      <c r="N545" s="269"/>
      <c r="O545" s="269"/>
      <c r="P545" s="271"/>
      <c r="Q545" s="272"/>
      <c r="R545" s="273"/>
      <c r="S545" s="157"/>
      <c r="T545" s="5"/>
      <c r="U545" s="5"/>
      <c r="V545" s="158"/>
      <c r="W545" s="158"/>
      <c r="X545" s="158"/>
      <c r="Y545" s="158"/>
      <c r="Z545" s="158"/>
      <c r="AA545" s="158"/>
      <c r="AB545" s="158"/>
      <c r="AC545" s="158"/>
      <c r="AD545" s="158"/>
      <c r="AE545" s="158"/>
      <c r="AF545" s="158"/>
      <c r="AG545" s="158"/>
    </row>
    <row r="546" ht="14.25" customHeight="1">
      <c r="A546" s="5"/>
      <c r="B546" s="6"/>
      <c r="C546" s="5"/>
      <c r="D546" s="274"/>
      <c r="E546" s="266"/>
      <c r="F546" s="187"/>
      <c r="G546" s="187"/>
      <c r="H546" s="195"/>
      <c r="I546" s="129"/>
      <c r="J546" s="275"/>
      <c r="K546" s="276"/>
      <c r="L546" s="187"/>
      <c r="M546" s="187"/>
      <c r="N546" s="187"/>
      <c r="O546" s="187"/>
      <c r="P546" s="277"/>
      <c r="Q546" s="278"/>
      <c r="R546" s="279"/>
      <c r="S546" s="11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</row>
    <row r="547" ht="14.25" customHeight="1">
      <c r="A547" s="5"/>
      <c r="B547" s="6"/>
      <c r="C547" s="5"/>
      <c r="D547" s="274" t="s">
        <v>59</v>
      </c>
      <c r="E547" s="266" t="s">
        <v>16</v>
      </c>
      <c r="F547" s="187" t="s">
        <v>17</v>
      </c>
      <c r="G547" s="187" t="s">
        <v>60</v>
      </c>
      <c r="H547" s="187"/>
      <c r="I547" s="280" t="s">
        <v>61</v>
      </c>
      <c r="J547" s="266" t="s">
        <v>62</v>
      </c>
      <c r="K547" s="274"/>
      <c r="L547" s="187"/>
      <c r="M547" s="285"/>
      <c r="N547" s="285"/>
      <c r="O547" s="285"/>
      <c r="P547" s="282"/>
      <c r="Q547" s="278"/>
      <c r="R547" s="157"/>
      <c r="S547" s="11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</row>
    <row r="548" ht="14.25" customHeight="1">
      <c r="A548" s="5"/>
      <c r="B548" s="6"/>
      <c r="C548" s="5"/>
      <c r="D548" s="274" t="s">
        <v>6</v>
      </c>
      <c r="E548" s="283">
        <f>IFERROR(__xludf.DUMMYFUNCTION("SUM(FILTER(F423:F547, ISNUMBER(SEARCH(""squat"", D423:D547))))"),6.0)</f>
        <v>6</v>
      </c>
      <c r="F548" s="284">
        <f>IFERROR(__xludf.DUMMYFUNCTION("SUMPRODUCT(FILTER(F423:F547 * G423:G547, ISNUMBER(SEARCH(""squat"", D423:D547))))"),275274.0)</f>
        <v>275274</v>
      </c>
      <c r="G548" s="135" t="str">
        <f>IFERROR(__xludf.DUMMYFUNCTION("ROUND(SUMPRODUCT(FILTER(F423:F547 * G423:G547 * I423:I547, ISNUMBER(SEARCH(""squat"", D423:D547)))), 0)"),"#VALUE!")</f>
        <v>#VALUE!</v>
      </c>
      <c r="H548" s="285"/>
      <c r="I548" s="135" t="str">
        <f>IFERROR(__xludf.DUMMYFUNCTION("ROUND(AVERAGE(FILTER(I423:I547, ISNUMBER(SEARCH(""squat"", D423:D547)), I423:I547 &lt;&gt; """")) / J548 * 100, 0)"),"#VALUE!")</f>
        <v>#VALUE!</v>
      </c>
      <c r="J548" s="283" t="str">
        <f>IFERROR(__xludf.DUMMYFUNCTION("IFERROR(MROUND(AVERAGE(FILTER(P423:P547, D423:D547 = ""comp squat"", P423:P547 &lt;&gt; """", P423:P547 &gt;= 0.9 * MAX(FILTER(P423:P547, D423:D547 = ""comp squat"", P423:P547 &lt;&gt; """")), P423:P547 &lt;= 1.1 * MAX(FILTER(P423:P547, D423:D547 = ""comp squat"", P423:P54"&amp;"7 &lt;&gt; """")))), 2.5), ""No valid data"")"),"No valid data")</f>
        <v>No valid data</v>
      </c>
      <c r="K548" s="286"/>
      <c r="L548" s="287" t="str">
        <f>MROUND(J548/2.2046,2.5)-$O$10</f>
        <v>#VALUE!</v>
      </c>
      <c r="M548" s="305"/>
      <c r="N548" s="305"/>
      <c r="O548" s="305"/>
      <c r="P548" s="282"/>
      <c r="Q548" s="278"/>
      <c r="R548" s="291"/>
      <c r="S548" s="11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</row>
    <row r="549" ht="3.0" customHeight="1">
      <c r="A549" s="5"/>
      <c r="B549" s="6"/>
      <c r="C549" s="5"/>
      <c r="D549" s="90"/>
      <c r="E549" s="156"/>
      <c r="F549" s="102"/>
      <c r="G549" s="145"/>
      <c r="H549" s="102"/>
      <c r="I549" s="145"/>
      <c r="J549" s="156"/>
      <c r="K549" s="286"/>
      <c r="L549" s="292"/>
      <c r="M549" s="284"/>
      <c r="N549" s="284"/>
      <c r="O549" s="305"/>
      <c r="P549" s="282"/>
      <c r="Q549" s="278"/>
      <c r="R549" s="115"/>
      <c r="S549" s="11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</row>
    <row r="550" ht="15.75" customHeight="1">
      <c r="A550" s="5"/>
      <c r="B550" s="6"/>
      <c r="C550" s="5"/>
      <c r="D550" s="274" t="s">
        <v>66</v>
      </c>
      <c r="E550" s="293">
        <f>IFERROR(__xludf.DUMMYFUNCTION("SUM(FILTER(F423:F547, ISNUMBER(SEARCH(""bench press"", D423:D547))))"),12.0)</f>
        <v>12</v>
      </c>
      <c r="F550" s="284">
        <f>IFERROR(__xludf.DUMMYFUNCTION("SUMPRODUCT(FILTER(F424:F548 * G424:G548, ISNUMBER(SEARCH(""bench press"", D424:D548))))"),51.0)</f>
        <v>51</v>
      </c>
      <c r="G550" s="135">
        <f>IFERROR(__xludf.DUMMYFUNCTION("ROUND(SUMPRODUCT(FILTER(F423:F547 * G423:G547 * I423:I547, ISNUMBER(SEARCH(""bench press"", D423:D547)))), 0)"),12230.0)</f>
        <v>12230</v>
      </c>
      <c r="H550" s="285"/>
      <c r="I550" s="135">
        <f>IFERROR(__xludf.DUMMYFUNCTION("ROUND(AVERAGE(FILTER(I423:I547, ISNUMBER(SEARCH(""bench press"", D423:D547)), I423:I547 &lt;&gt; """")) / J550 * 100, 0)"),76.0)</f>
        <v>76</v>
      </c>
      <c r="J550" s="293">
        <f>IFERROR(__xludf.DUMMYFUNCTION("IFERROR(MROUND(AVERAGE(FILTER(P423:P547, D423:D547 = ""comp bench press"", P423:P547 &lt;&gt; """", P423:P547 &gt;= 0.9 * MAX(FILTER(P423:P547, D423:D547 = ""comp bench press"", P423:P547 &lt;&gt; """")), P423:P547 &lt;= 1.1 * MAX(FILTER(P423:P547, D423:D547 = ""comp bench"&amp;" press"", P423:P547 &lt;&gt; """")))), 2.5), ""No valid data"")"),325.0)</f>
        <v>325</v>
      </c>
      <c r="K550" s="286"/>
      <c r="L550" s="294">
        <f>MROUND(J550/2.2046,2.5)-$O$11</f>
        <v>-5</v>
      </c>
      <c r="M550" s="285"/>
      <c r="N550" s="285"/>
      <c r="O550" s="305"/>
      <c r="P550" s="282"/>
      <c r="Q550" s="278"/>
      <c r="R550" s="157"/>
      <c r="S550" s="11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</row>
    <row r="551" ht="3.0" customHeight="1">
      <c r="A551" s="5"/>
      <c r="B551" s="6"/>
      <c r="C551" s="5"/>
      <c r="D551" s="90"/>
      <c r="E551" s="156"/>
      <c r="F551" s="102"/>
      <c r="G551" s="145"/>
      <c r="H551" s="102"/>
      <c r="I551" s="145"/>
      <c r="J551" s="156"/>
      <c r="K551" s="286"/>
      <c r="L551" s="292"/>
      <c r="M551" s="285"/>
      <c r="N551" s="285"/>
      <c r="O551" s="284"/>
      <c r="P551" s="282"/>
      <c r="Q551" s="278"/>
      <c r="R551" s="157"/>
      <c r="S551" s="11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</row>
    <row r="552" ht="14.25" customHeight="1">
      <c r="A552" s="5"/>
      <c r="B552" s="6"/>
      <c r="C552" s="5"/>
      <c r="D552" s="274" t="s">
        <v>10</v>
      </c>
      <c r="E552" s="293">
        <f>IFERROR(__xludf.DUMMYFUNCTION("SUM(FILTER(F423:F547, ISNUMBER(SEARCH(""deadlift"", D423:D547))))"),6.0)</f>
        <v>6</v>
      </c>
      <c r="F552" s="284">
        <f>IFERROR(__xludf.DUMMYFUNCTION("SUMPRODUCT(FILTER(F423:F547 * G423:G547, ISNUMBER(SEARCH(""deadlift"", D423:D547))))"),275463.0)</f>
        <v>275463</v>
      </c>
      <c r="G552" s="135">
        <f>IFERROR(__xludf.DUMMYFUNCTION("ROUND(SUMPRODUCT(FILTER(F423:F547 * G423:G547 * I423:I547, ISNUMBER(SEARCH(""deadlift"", D423:D547)))), 0)"),7580430.0)</f>
        <v>7580430</v>
      </c>
      <c r="H552" s="285"/>
      <c r="I552" s="135" t="str">
        <f>IFERROR(__xludf.DUMMYFUNCTION("ROUND(AVERAGE(FILTER(I423:I547, ISNUMBER(SEARCH(""deadlift"", D423:D547)), I423:I547 &lt;&gt; """")) / J552 * 100, 0)"),"#VALUE!")</f>
        <v>#VALUE!</v>
      </c>
      <c r="J552" s="293" t="str">
        <f>IFERROR(__xludf.DUMMYFUNCTION("IFERROR(MROUND(AVERAGE(FILTER(P423:P547, D423:D547 = ""comp deadlift"", P423:P547 &lt;&gt; """", P423:P547 &gt;= 0.9 * MAX(FILTER(P423:P547, D423:D547 = ""comp deadlift"", P423:P547 &lt;&gt; """")), P423:P547 &lt;= 1.1 * MAX(FILTER(P423:P547, D423:D547 = ""comp deadlift"","&amp;" P423:P547 &lt;&gt; """")))), 2.5), ""No valid data"")"),"No valid data")</f>
        <v>No valid data</v>
      </c>
      <c r="K552" s="286"/>
      <c r="L552" s="294" t="str">
        <f>MROUND(J552/2.2046,2.5)-$O$12</f>
        <v>#VALUE!</v>
      </c>
      <c r="M552" s="285"/>
      <c r="N552" s="285"/>
      <c r="O552" s="285"/>
      <c r="P552" s="282"/>
      <c r="Q552" s="278"/>
      <c r="R552" s="157"/>
      <c r="S552" s="11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</row>
    <row r="553" ht="14.25" customHeight="1">
      <c r="A553" s="5"/>
      <c r="B553" s="6"/>
      <c r="C553" s="5"/>
      <c r="D553" s="274"/>
      <c r="E553" s="266"/>
      <c r="F553" s="187"/>
      <c r="G553" s="187"/>
      <c r="H553" s="187"/>
      <c r="I553" s="187"/>
      <c r="J553" s="295"/>
      <c r="K553" s="274"/>
      <c r="L553" s="187"/>
      <c r="M553" s="285"/>
      <c r="N553" s="285"/>
      <c r="O553" s="285"/>
      <c r="P553" s="282"/>
      <c r="Q553" s="278"/>
      <c r="R553" s="157"/>
      <c r="S553" s="11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</row>
    <row r="554" ht="14.25" customHeight="1">
      <c r="A554" s="5"/>
      <c r="B554" s="2"/>
      <c r="C554" s="5"/>
      <c r="D554" s="5"/>
      <c r="E554" s="75"/>
      <c r="F554" s="3"/>
      <c r="G554" s="3"/>
      <c r="H554" s="3"/>
      <c r="I554" s="3"/>
      <c r="J554" s="75"/>
      <c r="K554" s="5"/>
      <c r="L554" s="3"/>
      <c r="M554" s="47"/>
      <c r="N554" s="3"/>
      <c r="O554" s="3"/>
      <c r="P554" s="3"/>
      <c r="Q554" s="4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</row>
    <row r="555" ht="18.75" customHeight="1">
      <c r="A555" s="90"/>
      <c r="B555" s="6"/>
      <c r="C555" s="91"/>
      <c r="D555" s="79" t="s">
        <v>72</v>
      </c>
      <c r="E555" s="80" t="s">
        <v>13</v>
      </c>
      <c r="G555" s="81"/>
      <c r="H555" s="81"/>
      <c r="I555" s="81"/>
      <c r="J555" s="82"/>
      <c r="K555" s="83"/>
      <c r="L555" s="83"/>
      <c r="M555" s="93"/>
      <c r="N555" s="93"/>
      <c r="O555" s="93"/>
      <c r="P555" s="296"/>
      <c r="Q555" s="297"/>
      <c r="R555" s="298"/>
      <c r="S555" s="10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</row>
    <row r="556" ht="18.75" customHeight="1">
      <c r="A556" s="90"/>
      <c r="B556" s="6"/>
      <c r="C556" s="91"/>
      <c r="D556" s="299">
        <f>D421+1</f>
        <v>3</v>
      </c>
      <c r="E556" s="300" t="str">
        <f>IF(E421 = "", "", E421 - 1)</f>
        <v/>
      </c>
      <c r="G556" s="301"/>
      <c r="H556" s="301"/>
      <c r="I556" s="301"/>
      <c r="J556" s="92"/>
      <c r="K556" s="93"/>
      <c r="L556" s="93"/>
      <c r="M556" s="93"/>
      <c r="N556" s="93"/>
      <c r="O556" s="93"/>
      <c r="P556" s="94"/>
      <c r="Q556" s="95"/>
      <c r="R556" s="96"/>
      <c r="S556" s="10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</row>
    <row r="557" ht="5.25" customHeight="1">
      <c r="A557" s="90"/>
      <c r="B557" s="6"/>
      <c r="C557" s="90"/>
      <c r="D557" s="97"/>
      <c r="E557" s="98"/>
      <c r="F557" s="99"/>
      <c r="G557" s="99"/>
      <c r="H557" s="99"/>
      <c r="I557" s="100"/>
      <c r="J557" s="101"/>
      <c r="K557" s="90"/>
      <c r="L557" s="102"/>
      <c r="M557" s="102"/>
      <c r="N557" s="102"/>
      <c r="O557" s="102"/>
      <c r="P557" s="103"/>
      <c r="Q557" s="4"/>
      <c r="R557" s="90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</row>
    <row r="558" ht="30.75" customHeight="1">
      <c r="A558" s="90"/>
      <c r="B558" s="6"/>
      <c r="C558" s="90"/>
      <c r="D558" s="202" t="s">
        <v>73</v>
      </c>
      <c r="E558" s="105" t="s">
        <v>15</v>
      </c>
      <c r="F558" s="106" t="s">
        <v>16</v>
      </c>
      <c r="G558" s="106" t="s">
        <v>17</v>
      </c>
      <c r="H558" s="107"/>
      <c r="I558" s="106" t="s">
        <v>18</v>
      </c>
      <c r="J558" s="108" t="s">
        <v>19</v>
      </c>
      <c r="L558" s="109" t="s">
        <v>20</v>
      </c>
      <c r="M558" s="110" t="s">
        <v>21</v>
      </c>
      <c r="N558" s="111" t="s">
        <v>22</v>
      </c>
      <c r="P558" s="112"/>
      <c r="Q558" s="113" t="s">
        <v>23</v>
      </c>
      <c r="R558" s="114"/>
      <c r="S558" s="11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</row>
    <row r="559" ht="14.25" customHeight="1">
      <c r="A559" s="90"/>
      <c r="B559" s="6"/>
      <c r="C559" s="90"/>
      <c r="D559" s="116" t="s">
        <v>25</v>
      </c>
      <c r="E559" s="117" t="s">
        <v>26</v>
      </c>
      <c r="H559" s="107"/>
      <c r="N559" s="111" t="s">
        <v>27</v>
      </c>
      <c r="O559" s="111" t="s">
        <v>28</v>
      </c>
      <c r="P559" s="112" t="s">
        <v>29</v>
      </c>
      <c r="R559" s="118" t="s">
        <v>30</v>
      </c>
      <c r="S559" s="11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</row>
    <row r="560" ht="3.75" customHeight="1">
      <c r="A560" s="90"/>
      <c r="B560" s="6"/>
      <c r="C560" s="90"/>
      <c r="D560" s="97"/>
      <c r="E560" s="98"/>
      <c r="F560" s="99"/>
      <c r="G560" s="99"/>
      <c r="H560" s="99"/>
      <c r="I560" s="100"/>
      <c r="J560" s="302"/>
      <c r="K560" s="90"/>
      <c r="L560" s="102"/>
      <c r="M560" s="121"/>
      <c r="N560" s="102"/>
      <c r="O560" s="102"/>
      <c r="P560" s="122"/>
      <c r="Q560" s="4"/>
      <c r="R560" s="123"/>
      <c r="S560" s="11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</row>
    <row r="561" ht="15.75" customHeight="1">
      <c r="A561" s="124"/>
      <c r="B561" s="6"/>
      <c r="C561" s="124"/>
      <c r="D561" s="125" t="s">
        <v>31</v>
      </c>
      <c r="E561" s="126"/>
      <c r="F561" s="127">
        <v>3.0</v>
      </c>
      <c r="G561" s="128">
        <v>45942.0</v>
      </c>
      <c r="H561" s="129"/>
      <c r="I561" s="130">
        <v>205.0</v>
      </c>
      <c r="J561" s="131">
        <v>45815.0</v>
      </c>
      <c r="K561" s="132"/>
      <c r="L561" s="133"/>
      <c r="M561" s="134">
        <f>I426</f>
        <v>180</v>
      </c>
      <c r="N561" s="135" t="str">
        <f>iferror(mround($P426*((VLOOKUP($J561,Sheet1!$D:$N,$G561+1,FALSE)-0.03)),2.5)," ")</f>
        <v> </v>
      </c>
      <c r="O561" s="135" t="str">
        <f>iferror(mround($P426*((VLOOKUP($J561,Sheet1!$D:$N,$G561+1,FALSE)+0.02)),2.5)," ")</f>
        <v> </v>
      </c>
      <c r="P561" s="56" t="str">
        <f>iferror(mround(I561/VLOOKUP(L561,Sheet1!$D$7:$N$16,G561+1,FALSE),2.5),"")</f>
        <v/>
      </c>
      <c r="Q561" s="303">
        <f t="shared" ref="Q561:Q582" si="16">IF(OR(ISBLANK(I561), ISBLANK(I426)), "", IF(I561 - I426 = 0, "", I561 - I426))</f>
        <v>25</v>
      </c>
      <c r="S561" s="11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</row>
    <row r="562" ht="3.75" customHeight="1">
      <c r="A562" s="137"/>
      <c r="B562" s="70"/>
      <c r="C562" s="137"/>
      <c r="D562" s="138"/>
      <c r="E562" s="139"/>
      <c r="F562" s="140"/>
      <c r="G562" s="140"/>
      <c r="H562" s="140"/>
      <c r="I562" s="140"/>
      <c r="J562" s="141"/>
      <c r="K562" s="142"/>
      <c r="L562" s="143"/>
      <c r="M562" s="144"/>
      <c r="N562" s="145"/>
      <c r="O562" s="145"/>
      <c r="P562" s="122"/>
      <c r="Q562" s="304" t="str">
        <f t="shared" si="16"/>
        <v/>
      </c>
      <c r="S562" s="147"/>
      <c r="T562" s="148"/>
      <c r="U562" s="148"/>
      <c r="V562" s="148"/>
      <c r="W562" s="148"/>
      <c r="X562" s="148"/>
      <c r="Y562" s="148"/>
      <c r="Z562" s="148"/>
      <c r="AA562" s="148"/>
      <c r="AB562" s="148"/>
      <c r="AC562" s="148"/>
      <c r="AD562" s="148"/>
      <c r="AE562" s="148"/>
      <c r="AF562" s="148"/>
      <c r="AG562" s="148"/>
    </row>
    <row r="563" ht="15.75" customHeight="1">
      <c r="A563" s="149"/>
      <c r="B563" s="150"/>
      <c r="C563" s="149"/>
      <c r="D563" s="125" t="s">
        <v>32</v>
      </c>
      <c r="E563" s="126"/>
      <c r="F563" s="127">
        <v>3.0</v>
      </c>
      <c r="G563" s="128">
        <v>45942.0</v>
      </c>
      <c r="H563" s="129"/>
      <c r="I563" s="130">
        <v>65.0</v>
      </c>
      <c r="J563" s="151">
        <v>6.0</v>
      </c>
      <c r="K563" s="132"/>
      <c r="L563" s="133"/>
      <c r="M563" s="134">
        <f>I428</f>
        <v>55</v>
      </c>
      <c r="N563" s="135" t="str">
        <f>iferror(mround($P428*((VLOOKUP($J563,Sheet1!$D:$N,$G563+1,FALSE)-0.03)),2.5)," ")</f>
        <v> </v>
      </c>
      <c r="O563" s="135" t="str">
        <f>iferror(mround($P428*((VLOOKUP($J563,Sheet1!$D:$N,$G563+1,FALSE)+0.02)),2.5)," ")</f>
        <v> </v>
      </c>
      <c r="P563" s="56" t="str">
        <f>iferror(mround(I563/VLOOKUP(L563,Sheet1!$D$7:$N$16,G563+1,FALSE),2.5),"")</f>
        <v/>
      </c>
      <c r="Q563" s="303">
        <f t="shared" si="16"/>
        <v>10</v>
      </c>
      <c r="S563" s="11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</row>
    <row r="564" ht="3.75" customHeight="1">
      <c r="A564" s="152"/>
      <c r="B564" s="150"/>
      <c r="C564" s="153"/>
      <c r="D564" s="138"/>
      <c r="E564" s="154"/>
      <c r="F564" s="155"/>
      <c r="G564" s="102"/>
      <c r="H564" s="102"/>
      <c r="I564" s="102"/>
      <c r="J564" s="156"/>
      <c r="K564" s="142"/>
      <c r="L564" s="143"/>
      <c r="M564" s="144"/>
      <c r="N564" s="145"/>
      <c r="O564" s="145"/>
      <c r="P564" s="122"/>
      <c r="Q564" s="304" t="str">
        <f t="shared" si="16"/>
        <v/>
      </c>
      <c r="S564" s="157"/>
      <c r="T564" s="5"/>
      <c r="U564" s="5"/>
      <c r="V564" s="158"/>
      <c r="W564" s="158"/>
      <c r="X564" s="158"/>
      <c r="Y564" s="158"/>
      <c r="Z564" s="158"/>
      <c r="AA564" s="158"/>
      <c r="AB564" s="158"/>
      <c r="AC564" s="158"/>
      <c r="AD564" s="158"/>
      <c r="AE564" s="158"/>
      <c r="AF564" s="158"/>
      <c r="AG564" s="158"/>
    </row>
    <row r="565" ht="15.75" customHeight="1">
      <c r="A565" s="149"/>
      <c r="B565" s="150"/>
      <c r="C565" s="149"/>
      <c r="D565" s="159" t="s">
        <v>33</v>
      </c>
      <c r="E565" s="160" t="s">
        <v>34</v>
      </c>
      <c r="F565" s="127">
        <v>1.0</v>
      </c>
      <c r="G565" s="161">
        <v>5.0</v>
      </c>
      <c r="H565" s="129"/>
      <c r="I565" s="130">
        <v>255.0</v>
      </c>
      <c r="J565" s="151">
        <v>7.0</v>
      </c>
      <c r="K565" s="132"/>
      <c r="L565" s="133"/>
      <c r="M565" s="134">
        <f>I430</f>
        <v>240</v>
      </c>
      <c r="N565" s="135">
        <f>iferror(mround($P430*((VLOOKUP($J565,Sheet1!$D:$N,$G565+1,FALSE)-0.03)),2.5)," ")</f>
        <v>232.5</v>
      </c>
      <c r="O565" s="135">
        <f>iferror(mround($P430*((VLOOKUP($J565,Sheet1!$D:$N,$G565+1,FALSE)+0.02)),2.5)," ")</f>
        <v>250</v>
      </c>
      <c r="P565" s="56" t="str">
        <f>iferror(mround(I565/VLOOKUP(L565,Sheet1!$D$7:$N$16,G565+1,FALSE),2.5),"")</f>
        <v/>
      </c>
      <c r="Q565" s="303">
        <f t="shared" si="16"/>
        <v>15</v>
      </c>
      <c r="S565" s="11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</row>
    <row r="566" ht="3.75" customHeight="1">
      <c r="A566" s="162"/>
      <c r="B566" s="163"/>
      <c r="C566" s="162"/>
      <c r="D566" s="138"/>
      <c r="E566" s="139"/>
      <c r="F566" s="140"/>
      <c r="G566" s="140"/>
      <c r="H566" s="140"/>
      <c r="I566" s="140"/>
      <c r="J566" s="141"/>
      <c r="K566" s="142"/>
      <c r="L566" s="143"/>
      <c r="M566" s="144"/>
      <c r="N566" s="145"/>
      <c r="O566" s="145"/>
      <c r="P566" s="122"/>
      <c r="Q566" s="304" t="str">
        <f t="shared" si="16"/>
        <v/>
      </c>
      <c r="S566" s="147"/>
      <c r="T566" s="148"/>
      <c r="U566" s="148"/>
      <c r="V566" s="148"/>
      <c r="W566" s="148"/>
      <c r="X566" s="148"/>
      <c r="Y566" s="148"/>
      <c r="Z566" s="148"/>
      <c r="AA566" s="148"/>
      <c r="AB566" s="148"/>
      <c r="AC566" s="148"/>
      <c r="AD566" s="148"/>
      <c r="AE566" s="148"/>
      <c r="AF566" s="148"/>
      <c r="AG566" s="148"/>
    </row>
    <row r="567" ht="15.75" customHeight="1">
      <c r="A567" s="149"/>
      <c r="B567" s="150"/>
      <c r="C567" s="149"/>
      <c r="D567" s="159" t="s">
        <v>33</v>
      </c>
      <c r="E567" s="160" t="s">
        <v>34</v>
      </c>
      <c r="F567" s="127">
        <v>2.0</v>
      </c>
      <c r="G567" s="161">
        <v>5.0</v>
      </c>
      <c r="H567" s="129"/>
      <c r="I567" s="164">
        <f>MROUND(I565*(1+J567),5)</f>
        <v>230</v>
      </c>
      <c r="J567" s="165">
        <v>-0.1</v>
      </c>
      <c r="K567" s="132"/>
      <c r="L567" s="133"/>
      <c r="M567" s="134">
        <f>I432</f>
        <v>215</v>
      </c>
      <c r="N567" s="135" t="str">
        <f>iferror(mround($P432*((VLOOKUP($J567,Sheet1!$D:$N,$G567+1,FALSE)-0.03)),2.5)," ")</f>
        <v> </v>
      </c>
      <c r="O567" s="135" t="str">
        <f>iferror(mround($P432*((VLOOKUP($J567,Sheet1!$D:$N,$G567+1,FALSE)+0.02)),2.5)," ")</f>
        <v> </v>
      </c>
      <c r="P567" s="56" t="str">
        <f>iferror(mround(I567/VLOOKUP(L567,Sheet1!$D$7:$N$16,G567+1,FALSE),2.5),"")</f>
        <v/>
      </c>
      <c r="Q567" s="303">
        <f t="shared" si="16"/>
        <v>15</v>
      </c>
      <c r="S567" s="11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</row>
    <row r="568" ht="3.75" customHeight="1">
      <c r="A568" s="162"/>
      <c r="B568" s="163"/>
      <c r="C568" s="162"/>
      <c r="D568" s="138"/>
      <c r="E568" s="139"/>
      <c r="F568" s="102"/>
      <c r="G568" s="102"/>
      <c r="H568" s="102"/>
      <c r="I568" s="102"/>
      <c r="J568" s="156"/>
      <c r="K568" s="142"/>
      <c r="L568" s="143"/>
      <c r="M568" s="144"/>
      <c r="N568" s="145"/>
      <c r="O568" s="145"/>
      <c r="P568" s="122"/>
      <c r="Q568" s="304" t="str">
        <f t="shared" si="16"/>
        <v/>
      </c>
      <c r="S568" s="147"/>
      <c r="T568" s="148"/>
      <c r="U568" s="148"/>
      <c r="V568" s="148"/>
      <c r="W568" s="148"/>
      <c r="X568" s="148"/>
      <c r="Y568" s="148"/>
      <c r="Z568" s="148"/>
      <c r="AA568" s="148"/>
      <c r="AB568" s="148"/>
      <c r="AC568" s="148"/>
      <c r="AD568" s="148"/>
      <c r="AE568" s="148"/>
      <c r="AF568" s="148"/>
      <c r="AG568" s="148"/>
    </row>
    <row r="569" ht="15.75" customHeight="1">
      <c r="A569" s="90"/>
      <c r="B569" s="6"/>
      <c r="C569" s="90"/>
      <c r="D569" s="166" t="s">
        <v>35</v>
      </c>
      <c r="E569" s="167" t="s">
        <v>36</v>
      </c>
      <c r="F569" s="127">
        <v>2.0</v>
      </c>
      <c r="G569" s="161">
        <v>6.0</v>
      </c>
      <c r="H569" s="129"/>
      <c r="I569" s="130"/>
      <c r="J569" s="151">
        <v>7.0</v>
      </c>
      <c r="K569" s="132"/>
      <c r="L569" s="133"/>
      <c r="M569" s="134">
        <f>I434</f>
        <v>220</v>
      </c>
      <c r="N569" s="135">
        <f>iferror(mround($P434*((VLOOKUP($J569,Sheet1!$D:$N,$G569+1,FALSE)-0.03)),2.5)," ")</f>
        <v>0</v>
      </c>
      <c r="O569" s="135">
        <f>iferror(mround($P434*((VLOOKUP($J569,Sheet1!$D:$N,$G569+1,FALSE)+0.02)),2.5)," ")</f>
        <v>0</v>
      </c>
      <c r="P569" s="56" t="str">
        <f>iferror(mround(I569/VLOOKUP(L569,Sheet1!$D$7:$N$16,G569+1,FALSE),2.5),"")</f>
        <v/>
      </c>
      <c r="Q569" s="303" t="str">
        <f t="shared" si="16"/>
        <v/>
      </c>
      <c r="S569" s="11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</row>
    <row r="570" ht="3.75" customHeight="1">
      <c r="A570" s="168"/>
      <c r="B570" s="70"/>
      <c r="C570" s="168"/>
      <c r="D570" s="138"/>
      <c r="E570" s="139"/>
      <c r="F570" s="102"/>
      <c r="G570" s="102"/>
      <c r="H570" s="102"/>
      <c r="I570" s="102"/>
      <c r="J570" s="156"/>
      <c r="K570" s="142"/>
      <c r="L570" s="143"/>
      <c r="M570" s="144"/>
      <c r="N570" s="145"/>
      <c r="O570" s="145"/>
      <c r="P570" s="122"/>
      <c r="Q570" s="304" t="str">
        <f t="shared" si="16"/>
        <v/>
      </c>
      <c r="S570" s="147"/>
      <c r="T570" s="148"/>
      <c r="U570" s="148"/>
      <c r="V570" s="148"/>
      <c r="W570" s="148"/>
      <c r="X570" s="148"/>
      <c r="Y570" s="148"/>
      <c r="Z570" s="148"/>
      <c r="AA570" s="148"/>
      <c r="AB570" s="148"/>
      <c r="AC570" s="148"/>
      <c r="AD570" s="148"/>
      <c r="AE570" s="148"/>
      <c r="AF570" s="148"/>
      <c r="AG570" s="148"/>
    </row>
    <row r="571" ht="15.75" customHeight="1">
      <c r="A571" s="90"/>
      <c r="B571" s="6"/>
      <c r="C571" s="90"/>
      <c r="D571" s="166" t="s">
        <v>37</v>
      </c>
      <c r="E571" s="167" t="s">
        <v>38</v>
      </c>
      <c r="F571" s="127">
        <v>3.0</v>
      </c>
      <c r="G571" s="169">
        <v>45942.0</v>
      </c>
      <c r="H571" s="129"/>
      <c r="I571" s="130"/>
      <c r="J571" s="151">
        <v>8.0</v>
      </c>
      <c r="K571" s="170"/>
      <c r="L571" s="133"/>
      <c r="M571" s="134">
        <f>I436</f>
        <v>205</v>
      </c>
      <c r="N571" s="135" t="str">
        <f>iferror(mround($P436*((VLOOKUP($J571,Sheet1!$D:$N,$G571+1,FALSE)-0.03)),2.5)," ")</f>
        <v> </v>
      </c>
      <c r="O571" s="135" t="str">
        <f>iferror(mround($P436*((VLOOKUP($J571,Sheet1!$D:$N,$G571+1,FALSE)+0.02)),2.5)," ")</f>
        <v> </v>
      </c>
      <c r="P571" s="56" t="str">
        <f>iferror(mround(I571/VLOOKUP(L571,Sheet1!$D$7:$N$16,G571+1,FALSE),2.5),"")</f>
        <v/>
      </c>
      <c r="Q571" s="303" t="str">
        <f t="shared" si="16"/>
        <v/>
      </c>
      <c r="S571" s="11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</row>
    <row r="572" ht="3.75" customHeight="1">
      <c r="A572" s="90"/>
      <c r="B572" s="6"/>
      <c r="C572" s="90"/>
      <c r="D572" s="171"/>
      <c r="E572" s="172"/>
      <c r="F572" s="173"/>
      <c r="G572" s="173"/>
      <c r="H572" s="173"/>
      <c r="I572" s="173"/>
      <c r="J572" s="174"/>
      <c r="K572" s="142"/>
      <c r="L572" s="143"/>
      <c r="M572" s="144"/>
      <c r="N572" s="145"/>
      <c r="O572" s="145"/>
      <c r="P572" s="122"/>
      <c r="Q572" s="304" t="str">
        <f t="shared" si="16"/>
        <v/>
      </c>
      <c r="S572" s="11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</row>
    <row r="573" ht="15.75" customHeight="1">
      <c r="A573" s="90"/>
      <c r="B573" s="6"/>
      <c r="C573" s="90"/>
      <c r="D573" s="166" t="s">
        <v>39</v>
      </c>
      <c r="E573" s="160"/>
      <c r="F573" s="127">
        <v>2.0</v>
      </c>
      <c r="G573" s="161" t="s">
        <v>16</v>
      </c>
      <c r="H573" s="129"/>
      <c r="I573" s="130"/>
      <c r="J573" s="151">
        <v>8.0</v>
      </c>
      <c r="K573" s="132"/>
      <c r="L573" s="133"/>
      <c r="M573" s="134" t="str">
        <f>I438</f>
        <v/>
      </c>
      <c r="N573" s="135" t="str">
        <f>iferror(mround($P438*((VLOOKUP($J573,Sheet1!$D:$N,$G573+1,FALSE)-0.03)),2.5)," ")</f>
        <v> </v>
      </c>
      <c r="O573" s="135" t="str">
        <f>iferror(mround($P438*((VLOOKUP($J573,Sheet1!$D:$N,$G573+1,FALSE)+0.02)),2.5)," ")</f>
        <v> </v>
      </c>
      <c r="P573" s="56" t="str">
        <f>iferror(mround(I573/VLOOKUP(L573,Sheet1!$D$7:$N$16,G573+1,FALSE),2.5),"")</f>
        <v/>
      </c>
      <c r="Q573" s="303" t="str">
        <f t="shared" si="16"/>
        <v/>
      </c>
      <c r="S573" s="11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</row>
    <row r="574" ht="3.75" customHeight="1">
      <c r="A574" s="90"/>
      <c r="B574" s="6"/>
      <c r="C574" s="90"/>
      <c r="D574" s="171"/>
      <c r="E574" s="172"/>
      <c r="F574" s="173"/>
      <c r="G574" s="173"/>
      <c r="H574" s="173"/>
      <c r="I574" s="173"/>
      <c r="J574" s="174"/>
      <c r="K574" s="142"/>
      <c r="L574" s="143"/>
      <c r="M574" s="144"/>
      <c r="N574" s="145"/>
      <c r="O574" s="145"/>
      <c r="P574" s="122"/>
      <c r="Q574" s="304" t="str">
        <f t="shared" si="16"/>
        <v/>
      </c>
      <c r="S574" s="11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</row>
    <row r="575" ht="15.75" hidden="1" customHeight="1">
      <c r="A575" s="90"/>
      <c r="B575" s="6"/>
      <c r="C575" s="90"/>
      <c r="D575" s="175" t="s">
        <v>40</v>
      </c>
      <c r="E575" s="176"/>
      <c r="F575" s="177">
        <v>3.0</v>
      </c>
      <c r="G575" s="178" t="s">
        <v>41</v>
      </c>
      <c r="H575" s="179"/>
      <c r="I575" s="180"/>
      <c r="J575" s="181">
        <v>8.0</v>
      </c>
      <c r="K575" s="182"/>
      <c r="L575" s="183"/>
      <c r="M575" s="134" t="str">
        <f>I440</f>
        <v/>
      </c>
      <c r="N575" s="135" t="str">
        <f>iferror(mround($P440*((VLOOKUP($J575,Sheet1!$D:$N,$G575+1,FALSE)-0.03)),2.5)," ")</f>
        <v> </v>
      </c>
      <c r="O575" s="135" t="str">
        <f>iferror(mround($P440*((VLOOKUP($J575,Sheet1!$D:$N,$G575+1,FALSE)+0.02)),2.5)," ")</f>
        <v> </v>
      </c>
      <c r="P575" s="56" t="str">
        <f>iferror(mround(I575/VLOOKUP(L575,Sheet1!$D$7:$N$16,G575+1,FALSE),2.5),"")</f>
        <v/>
      </c>
      <c r="Q575" s="303" t="str">
        <f t="shared" si="16"/>
        <v/>
      </c>
      <c r="S575" s="11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</row>
    <row r="576" ht="3.75" hidden="1" customHeight="1">
      <c r="A576" s="90"/>
      <c r="B576" s="6"/>
      <c r="C576" s="90"/>
      <c r="D576" s="138"/>
      <c r="E576" s="184"/>
      <c r="F576" s="102"/>
      <c r="G576" s="102"/>
      <c r="H576" s="102"/>
      <c r="I576" s="102"/>
      <c r="J576" s="156"/>
      <c r="K576" s="103"/>
      <c r="L576" s="143"/>
      <c r="M576" s="144"/>
      <c r="N576" s="145"/>
      <c r="O576" s="145"/>
      <c r="P576" s="122"/>
      <c r="Q576" s="304" t="str">
        <f t="shared" si="16"/>
        <v/>
      </c>
      <c r="S576" s="11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</row>
    <row r="577" ht="15.75" hidden="1" customHeight="1">
      <c r="A577" s="90"/>
      <c r="B577" s="6"/>
      <c r="C577" s="90"/>
      <c r="D577" s="185"/>
      <c r="E577" s="186"/>
      <c r="F577" s="187"/>
      <c r="G577" s="188"/>
      <c r="H577" s="129"/>
      <c r="I577" s="164"/>
      <c r="J577" s="189"/>
      <c r="K577" s="190"/>
      <c r="L577" s="183"/>
      <c r="M577" s="134" t="str">
        <f>I442</f>
        <v/>
      </c>
      <c r="N577" s="135" t="str">
        <f>iferror(mround($P442*((VLOOKUP($J577,Sheet1!$D:$N,$G577+1,FALSE)-0.03)),2.5)," ")</f>
        <v> </v>
      </c>
      <c r="O577" s="135" t="str">
        <f>iferror(mround($P442*((VLOOKUP($J577,Sheet1!$D:$N,$G577+1,FALSE)+0.02)),2.5)," ")</f>
        <v> </v>
      </c>
      <c r="P577" s="56" t="str">
        <f>iferror(mround(I577/VLOOKUP(L577,Sheet1!$D$7:$N$16,G577+1,FALSE),2.5),"")</f>
        <v/>
      </c>
      <c r="Q577" s="303" t="str">
        <f t="shared" si="16"/>
        <v/>
      </c>
      <c r="S577" s="11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</row>
    <row r="578" ht="3.75" hidden="1" customHeight="1">
      <c r="A578" s="191"/>
      <c r="B578" s="6"/>
      <c r="C578" s="192"/>
      <c r="D578" s="138"/>
      <c r="E578" s="193"/>
      <c r="F578" s="194"/>
      <c r="G578" s="155"/>
      <c r="H578" s="102"/>
      <c r="I578" s="102"/>
      <c r="J578" s="156"/>
      <c r="K578" s="103"/>
      <c r="L578" s="143"/>
      <c r="M578" s="144"/>
      <c r="N578" s="145"/>
      <c r="O578" s="145"/>
      <c r="P578" s="122"/>
      <c r="Q578" s="304" t="str">
        <f t="shared" si="16"/>
        <v/>
      </c>
      <c r="S578" s="157"/>
      <c r="T578" s="5"/>
      <c r="U578" s="5"/>
      <c r="V578" s="158"/>
      <c r="W578" s="158"/>
      <c r="X578" s="158"/>
      <c r="Y578" s="158"/>
      <c r="Z578" s="158"/>
      <c r="AA578" s="158"/>
      <c r="AB578" s="158"/>
      <c r="AC578" s="158"/>
      <c r="AD578" s="158"/>
      <c r="AE578" s="158"/>
      <c r="AF578" s="158"/>
      <c r="AG578" s="158"/>
    </row>
    <row r="579" ht="15.75" hidden="1" customHeight="1">
      <c r="A579" s="90"/>
      <c r="B579" s="6"/>
      <c r="C579" s="90"/>
      <c r="D579" s="185"/>
      <c r="E579" s="186"/>
      <c r="F579" s="187"/>
      <c r="G579" s="195"/>
      <c r="H579" s="129"/>
      <c r="I579" s="164"/>
      <c r="J579" s="189"/>
      <c r="K579" s="190"/>
      <c r="L579" s="183"/>
      <c r="M579" s="134" t="str">
        <f>I444</f>
        <v/>
      </c>
      <c r="N579" s="135" t="str">
        <f>iferror(mround($P444*((VLOOKUP($J579,Sheet1!$D:$N,$G579+1,FALSE)-0.03)),2.5)," ")</f>
        <v> </v>
      </c>
      <c r="O579" s="135" t="str">
        <f>iferror(mround($P444*((VLOOKUP($J579,Sheet1!$D:$N,$G579+1,FALSE)+0.02)),2.5)," ")</f>
        <v> </v>
      </c>
      <c r="P579" s="56" t="str">
        <f>iferror(mround(I579/VLOOKUP(L579,Sheet1!$D$7:$N$16,G579+1,FALSE),2.5),"")</f>
        <v/>
      </c>
      <c r="Q579" s="303" t="str">
        <f t="shared" si="16"/>
        <v/>
      </c>
      <c r="S579" s="11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</row>
    <row r="580" ht="3.75" hidden="1" customHeight="1">
      <c r="A580" s="90"/>
      <c r="B580" s="6"/>
      <c r="C580" s="90"/>
      <c r="D580" s="196"/>
      <c r="E580" s="184"/>
      <c r="F580" s="102"/>
      <c r="G580" s="102"/>
      <c r="H580" s="102"/>
      <c r="I580" s="102"/>
      <c r="J580" s="156"/>
      <c r="K580" s="103"/>
      <c r="L580" s="143"/>
      <c r="M580" s="144"/>
      <c r="N580" s="145"/>
      <c r="O580" s="145"/>
      <c r="P580" s="122"/>
      <c r="Q580" s="304" t="str">
        <f t="shared" si="16"/>
        <v/>
      </c>
      <c r="S580" s="11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</row>
    <row r="581" ht="15.75" hidden="1" customHeight="1">
      <c r="A581" s="90"/>
      <c r="B581" s="6"/>
      <c r="C581" s="90"/>
      <c r="D581" s="197"/>
      <c r="E581" s="198"/>
      <c r="F581" s="199"/>
      <c r="G581" s="195"/>
      <c r="H581" s="129"/>
      <c r="I581" s="164"/>
      <c r="J581" s="189"/>
      <c r="K581" s="190"/>
      <c r="L581" s="183"/>
      <c r="M581" s="134" t="str">
        <f>I446</f>
        <v/>
      </c>
      <c r="N581" s="135" t="str">
        <f>iferror(mround($P446*((VLOOKUP($J581,Sheet1!$D:$N,$G581+1,FALSE)-0.03)),2.5)," ")</f>
        <v> </v>
      </c>
      <c r="O581" s="135" t="str">
        <f>iferror(mround($P446*((VLOOKUP($J581,Sheet1!$D:$N,$G581+1,FALSE)+0.02)),2.5)," ")</f>
        <v> </v>
      </c>
      <c r="P581" s="56" t="str">
        <f>iferror(mround(I581/VLOOKUP(L581,Sheet1!$D$7:$N$16,G581+1,FALSE),2.5),"")</f>
        <v/>
      </c>
      <c r="Q581" s="303" t="str">
        <f t="shared" si="16"/>
        <v/>
      </c>
      <c r="S581" s="11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</row>
    <row r="582" ht="3.75" customHeight="1">
      <c r="A582" s="90"/>
      <c r="B582" s="6"/>
      <c r="C582" s="90"/>
      <c r="D582" s="90"/>
      <c r="E582" s="156"/>
      <c r="F582" s="102"/>
      <c r="G582" s="102"/>
      <c r="H582" s="102"/>
      <c r="I582" s="102"/>
      <c r="J582" s="156"/>
      <c r="K582" s="200"/>
      <c r="L582" s="201"/>
      <c r="M582" s="144"/>
      <c r="N582" s="47"/>
      <c r="O582" s="47"/>
      <c r="P582" s="122"/>
      <c r="Q582" s="304" t="str">
        <f t="shared" si="16"/>
        <v/>
      </c>
      <c r="S582" s="11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</row>
    <row r="583" ht="30.0" customHeight="1">
      <c r="A583" s="90"/>
      <c r="B583" s="6"/>
      <c r="C583" s="90"/>
      <c r="D583" s="202" t="s">
        <v>42</v>
      </c>
      <c r="E583" s="105" t="s">
        <v>15</v>
      </c>
      <c r="F583" s="106" t="s">
        <v>16</v>
      </c>
      <c r="G583" s="106" t="s">
        <v>17</v>
      </c>
      <c r="H583" s="107"/>
      <c r="I583" s="106" t="s">
        <v>18</v>
      </c>
      <c r="J583" s="108" t="s">
        <v>19</v>
      </c>
      <c r="L583" s="109" t="s">
        <v>20</v>
      </c>
      <c r="M583" s="110" t="s">
        <v>21</v>
      </c>
      <c r="N583" s="111" t="s">
        <v>22</v>
      </c>
      <c r="P583" s="112"/>
      <c r="Q583" s="113" t="s">
        <v>23</v>
      </c>
      <c r="R583" s="114"/>
      <c r="S583" s="11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</row>
    <row r="584" ht="14.25" customHeight="1">
      <c r="A584" s="90"/>
      <c r="B584" s="6"/>
      <c r="C584" s="90"/>
      <c r="D584" s="116" t="s">
        <v>25</v>
      </c>
      <c r="E584" s="117" t="s">
        <v>26</v>
      </c>
      <c r="H584" s="107"/>
      <c r="N584" s="111" t="s">
        <v>27</v>
      </c>
      <c r="O584" s="111" t="s">
        <v>28</v>
      </c>
      <c r="P584" s="112" t="s">
        <v>29</v>
      </c>
      <c r="R584" s="118" t="s">
        <v>30</v>
      </c>
      <c r="S584" s="11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</row>
    <row r="585" ht="3.75" customHeight="1">
      <c r="A585" s="191"/>
      <c r="B585" s="6"/>
      <c r="C585" s="192"/>
      <c r="D585" s="203"/>
      <c r="E585" s="204"/>
      <c r="F585" s="205"/>
      <c r="G585" s="205"/>
      <c r="H585" s="206"/>
      <c r="I585" s="207"/>
      <c r="J585" s="208"/>
      <c r="K585" s="209"/>
      <c r="L585" s="210"/>
      <c r="M585" s="211"/>
      <c r="N585" s="47"/>
      <c r="O585" s="47"/>
      <c r="P585" s="122"/>
      <c r="Q585" s="304" t="str">
        <f t="shared" ref="Q585:Q607" si="17">IF(OR(ISBLANK(I585), ISBLANK(I450)), "", IF(I585 - I450 = 0, "", I585 - I450))</f>
        <v/>
      </c>
      <c r="R585" s="212"/>
      <c r="S585" s="157"/>
      <c r="T585" s="5"/>
      <c r="U585" s="5"/>
      <c r="V585" s="158"/>
      <c r="W585" s="158"/>
      <c r="X585" s="158"/>
      <c r="Y585" s="158"/>
      <c r="Z585" s="158"/>
      <c r="AA585" s="158"/>
      <c r="AB585" s="158"/>
      <c r="AC585" s="158"/>
      <c r="AD585" s="158"/>
      <c r="AE585" s="158"/>
      <c r="AF585" s="158"/>
      <c r="AG585" s="158"/>
    </row>
    <row r="586" ht="15.75" customHeight="1">
      <c r="A586" s="124"/>
      <c r="B586" s="6"/>
      <c r="C586" s="124"/>
      <c r="D586" s="159" t="s">
        <v>33</v>
      </c>
      <c r="E586" s="167"/>
      <c r="F586" s="127">
        <v>1.0</v>
      </c>
      <c r="G586" s="127">
        <v>2.0</v>
      </c>
      <c r="H586" s="195"/>
      <c r="I586" s="130">
        <v>300.0</v>
      </c>
      <c r="J586" s="151">
        <v>7.5</v>
      </c>
      <c r="K586" s="213"/>
      <c r="L586" s="133">
        <v>7.0</v>
      </c>
      <c r="M586" s="134">
        <f>I451</f>
        <v>290</v>
      </c>
      <c r="N586" s="135">
        <f>iferror(mround($P451*((VLOOKUP($J586,Sheet1!$D:$N,$G586+1,FALSE)-0.03)),2.5)," ")</f>
        <v>285</v>
      </c>
      <c r="O586" s="135">
        <f>iferror(mround($P451*((VLOOKUP($J586,Sheet1!$D:$N,$G586+1,FALSE)+0.02)),2.5)," ")</f>
        <v>300</v>
      </c>
      <c r="P586" s="112">
        <f>iferror(mround(I586/VLOOKUP(L586,Sheet1!$D$7:$N$16,G586+1,FALSE),2.5),"")</f>
        <v>347.5</v>
      </c>
      <c r="Q586" s="303">
        <f t="shared" si="17"/>
        <v>10</v>
      </c>
      <c r="R586" s="214"/>
      <c r="S586" s="11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</row>
    <row r="587" ht="3.75" customHeight="1">
      <c r="A587" s="124"/>
      <c r="B587" s="6"/>
      <c r="C587" s="124"/>
      <c r="D587" s="138"/>
      <c r="E587" s="215"/>
      <c r="F587" s="102"/>
      <c r="G587" s="102"/>
      <c r="H587" s="102"/>
      <c r="I587" s="102"/>
      <c r="J587" s="216"/>
      <c r="K587" s="217"/>
      <c r="L587" s="218"/>
      <c r="M587" s="144"/>
      <c r="N587" s="145"/>
      <c r="O587" s="145"/>
      <c r="P587" s="122"/>
      <c r="Q587" s="304" t="str">
        <f t="shared" si="17"/>
        <v/>
      </c>
      <c r="R587" s="214"/>
      <c r="S587" s="11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</row>
    <row r="588" ht="15.75" customHeight="1">
      <c r="A588" s="90"/>
      <c r="B588" s="6"/>
      <c r="C588" s="90"/>
      <c r="D588" s="159" t="s">
        <v>33</v>
      </c>
      <c r="E588" s="167"/>
      <c r="F588" s="127">
        <v>2.0</v>
      </c>
      <c r="G588" s="161">
        <v>5.0</v>
      </c>
      <c r="H588" s="195"/>
      <c r="I588" s="130">
        <v>270.0</v>
      </c>
      <c r="J588" s="151">
        <v>7.0</v>
      </c>
      <c r="K588" s="219"/>
      <c r="L588" s="133"/>
      <c r="M588" s="134">
        <f>I453</f>
        <v>260</v>
      </c>
      <c r="N588" s="135">
        <f>iferror(mround($P453*((VLOOKUP($J588,Sheet1!$D:$N,$G588+1,FALSE)-0.03)),2.5)," ")</f>
        <v>255</v>
      </c>
      <c r="O588" s="135">
        <f>iferror(mround($P453*((VLOOKUP($J588,Sheet1!$D:$N,$G588+1,FALSE)+0.02)),2.5)," ")</f>
        <v>272.5</v>
      </c>
      <c r="P588" s="112" t="str">
        <f>iferror(mround(I588/VLOOKUP(L588,Sheet1!$D$7:$N$16,G588+1,FALSE),2.5),"")</f>
        <v/>
      </c>
      <c r="Q588" s="303">
        <f t="shared" si="17"/>
        <v>10</v>
      </c>
      <c r="R588" s="214"/>
      <c r="S588" s="11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</row>
    <row r="589" ht="3.75" customHeight="1">
      <c r="A589" s="90"/>
      <c r="B589" s="6"/>
      <c r="C589" s="90"/>
      <c r="D589" s="138"/>
      <c r="E589" s="215"/>
      <c r="F589" s="102"/>
      <c r="G589" s="102"/>
      <c r="H589" s="102"/>
      <c r="I589" s="102"/>
      <c r="J589" s="156"/>
      <c r="K589" s="217"/>
      <c r="L589" s="218"/>
      <c r="M589" s="144"/>
      <c r="N589" s="145"/>
      <c r="O589" s="145"/>
      <c r="P589" s="122"/>
      <c r="Q589" s="304" t="str">
        <f t="shared" si="17"/>
        <v/>
      </c>
      <c r="R589" s="214"/>
      <c r="S589" s="11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</row>
    <row r="590" ht="15.75" customHeight="1">
      <c r="A590" s="90"/>
      <c r="B590" s="6"/>
      <c r="C590" s="90"/>
      <c r="D590" s="159" t="s">
        <v>44</v>
      </c>
      <c r="E590" s="167"/>
      <c r="F590" s="127">
        <v>3.0</v>
      </c>
      <c r="G590" s="169">
        <v>45577.0</v>
      </c>
      <c r="H590" s="195"/>
      <c r="I590" s="130"/>
      <c r="J590" s="151">
        <v>8.0</v>
      </c>
      <c r="K590" s="219"/>
      <c r="L590" s="133"/>
      <c r="M590" s="134">
        <f>I455</f>
        <v>60</v>
      </c>
      <c r="N590" s="135" t="str">
        <f>iferror(mround($P455*((VLOOKUP($J590,Sheet1!$D:$N,$G590+1,FALSE)-0.03)),2.5)," ")</f>
        <v> </v>
      </c>
      <c r="O590" s="135" t="str">
        <f>iferror(mround($P455*((VLOOKUP($J590,Sheet1!$D:$N,$G590+1,FALSE)+0.02)),2.5)," ")</f>
        <v> </v>
      </c>
      <c r="P590" s="112" t="str">
        <f>iferror(mround(I590/VLOOKUP(L590,Sheet1!$D$7:$N$16,G590+1,FALSE),2.5),"")</f>
        <v/>
      </c>
      <c r="Q590" s="303" t="str">
        <f t="shared" si="17"/>
        <v/>
      </c>
      <c r="R590" s="214"/>
      <c r="S590" s="11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</row>
    <row r="591" ht="3.75" customHeight="1">
      <c r="A591" s="90"/>
      <c r="B591" s="6"/>
      <c r="C591" s="90"/>
      <c r="D591" s="138"/>
      <c r="E591" s="215"/>
      <c r="F591" s="102"/>
      <c r="G591" s="102"/>
      <c r="H591" s="102"/>
      <c r="I591" s="102"/>
      <c r="J591" s="156"/>
      <c r="K591" s="217"/>
      <c r="L591" s="143"/>
      <c r="M591" s="144"/>
      <c r="N591" s="145"/>
      <c r="O591" s="145"/>
      <c r="P591" s="122"/>
      <c r="Q591" s="304" t="str">
        <f t="shared" si="17"/>
        <v/>
      </c>
      <c r="R591" s="214"/>
      <c r="S591" s="11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</row>
    <row r="592" ht="15.75" customHeight="1">
      <c r="A592" s="90"/>
      <c r="B592" s="6"/>
      <c r="C592" s="90"/>
      <c r="D592" s="159" t="s">
        <v>45</v>
      </c>
      <c r="E592" s="220"/>
      <c r="F592" s="127">
        <v>3.0</v>
      </c>
      <c r="G592" s="127" t="s">
        <v>41</v>
      </c>
      <c r="H592" s="195"/>
      <c r="I592" s="164"/>
      <c r="J592" s="151">
        <v>8.0</v>
      </c>
      <c r="K592" s="213"/>
      <c r="L592" s="133"/>
      <c r="M592" s="134" t="str">
        <f>I457</f>
        <v>8,8,8</v>
      </c>
      <c r="N592" s="135" t="str">
        <f>iferror(mround($P457*((VLOOKUP($J592,Sheet1!$D:$N,$G592+1,FALSE)-0.03)),2.5)," ")</f>
        <v> </v>
      </c>
      <c r="O592" s="135" t="str">
        <f>iferror(mround($P457*((VLOOKUP($J592,Sheet1!$D:$N,$G592+1,FALSE)+0.02)),2.5)," ")</f>
        <v> </v>
      </c>
      <c r="P592" s="112" t="str">
        <f>iferror(mround(I592/VLOOKUP(L592,Sheet1!$D$7:$N$16,G592+1,FALSE),2.5),"")</f>
        <v/>
      </c>
      <c r="Q592" s="303" t="str">
        <f t="shared" si="17"/>
        <v/>
      </c>
      <c r="R592" s="214"/>
      <c r="S592" s="11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</row>
    <row r="593" ht="3.75" customHeight="1">
      <c r="A593" s="90"/>
      <c r="B593" s="6"/>
      <c r="C593" s="90"/>
      <c r="D593" s="138"/>
      <c r="E593" s="215"/>
      <c r="F593" s="102"/>
      <c r="G593" s="102"/>
      <c r="H593" s="102"/>
      <c r="I593" s="102"/>
      <c r="J593" s="156"/>
      <c r="K593" s="217"/>
      <c r="L593" s="143"/>
      <c r="M593" s="144"/>
      <c r="N593" s="145"/>
      <c r="O593" s="145"/>
      <c r="P593" s="122"/>
      <c r="Q593" s="304" t="str">
        <f t="shared" si="17"/>
        <v/>
      </c>
      <c r="R593" s="214"/>
      <c r="S593" s="11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</row>
    <row r="594" ht="15.75" customHeight="1">
      <c r="A594" s="90"/>
      <c r="B594" s="6"/>
      <c r="C594" s="90"/>
      <c r="D594" s="159" t="s">
        <v>46</v>
      </c>
      <c r="E594" s="220"/>
      <c r="F594" s="127">
        <v>3.0</v>
      </c>
      <c r="G594" s="127" t="s">
        <v>16</v>
      </c>
      <c r="H594" s="195"/>
      <c r="I594" s="130"/>
      <c r="J594" s="151">
        <v>9.0</v>
      </c>
      <c r="K594" s="213"/>
      <c r="L594" s="133"/>
      <c r="M594" s="134" t="str">
        <f>I459</f>
        <v/>
      </c>
      <c r="N594" s="135" t="str">
        <f>iferror(mround($P459*((VLOOKUP($J594,Sheet1!$D:$N,$G594+1,FALSE)-0.03)),2.5)," ")</f>
        <v> </v>
      </c>
      <c r="O594" s="135" t="str">
        <f>iferror(mround($P459*((VLOOKUP($J594,Sheet1!$D:$N,$G594+1,FALSE)+0.02)),2.5)," ")</f>
        <v> </v>
      </c>
      <c r="P594" s="112" t="str">
        <f>iferror(mround(I594/VLOOKUP(L594,Sheet1!$D$7:$N$16,G594+1,FALSE),2.5),"")</f>
        <v/>
      </c>
      <c r="Q594" s="303" t="str">
        <f t="shared" si="17"/>
        <v/>
      </c>
      <c r="R594" s="214"/>
      <c r="S594" s="11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</row>
    <row r="595" ht="3.75" customHeight="1">
      <c r="A595" s="90"/>
      <c r="B595" s="6"/>
      <c r="C595" s="90"/>
      <c r="D595" s="138"/>
      <c r="E595" s="215"/>
      <c r="F595" s="102"/>
      <c r="G595" s="102"/>
      <c r="H595" s="102"/>
      <c r="I595" s="102"/>
      <c r="J595" s="156"/>
      <c r="K595" s="217"/>
      <c r="L595" s="143"/>
      <c r="M595" s="144"/>
      <c r="N595" s="145"/>
      <c r="O595" s="145"/>
      <c r="P595" s="122"/>
      <c r="Q595" s="304" t="str">
        <f t="shared" si="17"/>
        <v/>
      </c>
      <c r="R595" s="214"/>
      <c r="S595" s="11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</row>
    <row r="596" ht="15.75" customHeight="1">
      <c r="A596" s="90"/>
      <c r="B596" s="6"/>
      <c r="C596" s="90"/>
      <c r="D596" s="159" t="s">
        <v>47</v>
      </c>
      <c r="E596" s="220"/>
      <c r="F596" s="127">
        <v>3.0</v>
      </c>
      <c r="G596" s="221">
        <v>45641.0</v>
      </c>
      <c r="H596" s="195"/>
      <c r="I596" s="130"/>
      <c r="J596" s="151">
        <v>9.0</v>
      </c>
      <c r="K596" s="213"/>
      <c r="L596" s="133"/>
      <c r="M596" s="134" t="str">
        <f>I461</f>
        <v/>
      </c>
      <c r="N596" s="135" t="str">
        <f>iferror(mround($P461*((VLOOKUP($J596,Sheet1!$D:$N,$G596+1,FALSE)-0.03)),2.5)," ")</f>
        <v> </v>
      </c>
      <c r="O596" s="135" t="str">
        <f>iferror(mround($P461*((VLOOKUP($J596,Sheet1!$D:$N,$G596+1,FALSE)+0.02)),2.5)," ")</f>
        <v> </v>
      </c>
      <c r="P596" s="112" t="str">
        <f>iferror(mround(I596/VLOOKUP(L596,Sheet1!$D$7:$N$16,G596+1,FALSE),2.5),"")</f>
        <v/>
      </c>
      <c r="Q596" s="303" t="str">
        <f t="shared" si="17"/>
        <v/>
      </c>
      <c r="R596" s="214"/>
      <c r="S596" s="11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</row>
    <row r="597" ht="3.75" customHeight="1">
      <c r="A597" s="90"/>
      <c r="B597" s="6"/>
      <c r="C597" s="90"/>
      <c r="D597" s="138"/>
      <c r="E597" s="215"/>
      <c r="F597" s="102"/>
      <c r="G597" s="102"/>
      <c r="H597" s="102"/>
      <c r="I597" s="102"/>
      <c r="J597" s="156"/>
      <c r="K597" s="222"/>
      <c r="L597" s="143"/>
      <c r="M597" s="144"/>
      <c r="N597" s="145"/>
      <c r="O597" s="145"/>
      <c r="P597" s="122"/>
      <c r="Q597" s="304" t="str">
        <f t="shared" si="17"/>
        <v/>
      </c>
      <c r="R597" s="214"/>
      <c r="S597" s="11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</row>
    <row r="598" ht="18.0" hidden="1" customHeight="1">
      <c r="A598" s="90"/>
      <c r="B598" s="6"/>
      <c r="C598" s="90"/>
      <c r="D598" s="159" t="s">
        <v>48</v>
      </c>
      <c r="E598" s="220"/>
      <c r="F598" s="127">
        <v>3.0</v>
      </c>
      <c r="G598" s="221">
        <v>45942.0</v>
      </c>
      <c r="H598" s="195"/>
      <c r="I598" s="130"/>
      <c r="J598" s="151">
        <v>9.0</v>
      </c>
      <c r="K598" s="190"/>
      <c r="L598" s="183"/>
      <c r="M598" s="134" t="str">
        <f>I463</f>
        <v/>
      </c>
      <c r="N598" s="135" t="str">
        <f>iferror(mround($P463*((VLOOKUP($J598,Sheet1!$D:$N,$G598+1,FALSE)-0.03)),2.5)," ")</f>
        <v> </v>
      </c>
      <c r="O598" s="135" t="str">
        <f>iferror(mround($P463*((VLOOKUP($J598,Sheet1!$D:$N,$G598+1,FALSE)+0.02)),2.5)," ")</f>
        <v> </v>
      </c>
      <c r="P598" s="112" t="str">
        <f>iferror(mround(I598/VLOOKUP(L598,Sheet1!$D$7:$N$16,G598+1,FALSE),2.5),"")</f>
        <v/>
      </c>
      <c r="Q598" s="303" t="str">
        <f t="shared" si="17"/>
        <v/>
      </c>
      <c r="R598" s="214"/>
      <c r="S598" s="11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</row>
    <row r="599" ht="3.75" hidden="1" customHeight="1">
      <c r="A599" s="191"/>
      <c r="B599" s="6"/>
      <c r="C599" s="192"/>
      <c r="D599" s="138"/>
      <c r="E599" s="223"/>
      <c r="F599" s="194"/>
      <c r="G599" s="194"/>
      <c r="H599" s="155"/>
      <c r="I599" s="210"/>
      <c r="J599" s="216"/>
      <c r="K599" s="222"/>
      <c r="L599" s="143"/>
      <c r="M599" s="144"/>
      <c r="N599" s="145"/>
      <c r="O599" s="145"/>
      <c r="P599" s="122"/>
      <c r="Q599" s="304" t="str">
        <f t="shared" si="17"/>
        <v/>
      </c>
      <c r="R599" s="214"/>
      <c r="S599" s="157"/>
      <c r="T599" s="5"/>
      <c r="U599" s="5"/>
      <c r="V599" s="158"/>
      <c r="W599" s="158"/>
      <c r="X599" s="158"/>
      <c r="Y599" s="158"/>
      <c r="Z599" s="158"/>
      <c r="AA599" s="158"/>
      <c r="AB599" s="158"/>
      <c r="AC599" s="158"/>
      <c r="AD599" s="158"/>
      <c r="AE599" s="158"/>
      <c r="AF599" s="158"/>
      <c r="AG599" s="158"/>
    </row>
    <row r="600" ht="15.75" hidden="1" customHeight="1">
      <c r="A600" s="90"/>
      <c r="B600" s="6"/>
      <c r="C600" s="90"/>
      <c r="D600" s="185"/>
      <c r="E600" s="186"/>
      <c r="F600" s="187"/>
      <c r="G600" s="187"/>
      <c r="H600" s="195"/>
      <c r="I600" s="164"/>
      <c r="J600" s="189"/>
      <c r="K600" s="190"/>
      <c r="L600" s="183"/>
      <c r="M600" s="134" t="str">
        <f>I465</f>
        <v/>
      </c>
      <c r="N600" s="135" t="str">
        <f>iferror(mround($P465*((VLOOKUP($J600,Sheet1!$D:$N,$G600+1,FALSE)-0.03)),2.5)," ")</f>
        <v> </v>
      </c>
      <c r="O600" s="135" t="str">
        <f>iferror(mround($P465*((VLOOKUP($J600,Sheet1!$D:$N,$G600+1,FALSE)+0.02)),2.5)," ")</f>
        <v> </v>
      </c>
      <c r="P600" s="112" t="str">
        <f>iferror(mround(I600/VLOOKUP(L600,Sheet1!$D$7:$N$16,G600+1,FALSE),2.5),"")</f>
        <v/>
      </c>
      <c r="Q600" s="303" t="str">
        <f t="shared" si="17"/>
        <v/>
      </c>
      <c r="R600" s="214"/>
      <c r="S600" s="11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</row>
    <row r="601" ht="3.75" hidden="1" customHeight="1">
      <c r="A601" s="90"/>
      <c r="B601" s="6"/>
      <c r="C601" s="90"/>
      <c r="D601" s="138"/>
      <c r="E601" s="184"/>
      <c r="F601" s="102"/>
      <c r="G601" s="102"/>
      <c r="H601" s="102"/>
      <c r="I601" s="102"/>
      <c r="J601" s="156"/>
      <c r="K601" s="222"/>
      <c r="L601" s="143"/>
      <c r="M601" s="144"/>
      <c r="N601" s="145"/>
      <c r="O601" s="145"/>
      <c r="P601" s="122"/>
      <c r="Q601" s="304" t="str">
        <f t="shared" si="17"/>
        <v/>
      </c>
      <c r="R601" s="214"/>
      <c r="S601" s="11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</row>
    <row r="602" ht="15.75" hidden="1" customHeight="1">
      <c r="A602" s="90"/>
      <c r="B602" s="6"/>
      <c r="C602" s="90"/>
      <c r="D602" s="185"/>
      <c r="E602" s="224"/>
      <c r="F602" s="187"/>
      <c r="G602" s="187"/>
      <c r="H602" s="195"/>
      <c r="I602" s="164"/>
      <c r="J602" s="189"/>
      <c r="K602" s="190"/>
      <c r="L602" s="183"/>
      <c r="M602" s="134" t="str">
        <f>I467</f>
        <v/>
      </c>
      <c r="N602" s="135" t="str">
        <f>iferror(mround($P467*((VLOOKUP($J602,Sheet1!$D:$N,$G602+1,FALSE)-0.03)),2.5)," ")</f>
        <v> </v>
      </c>
      <c r="O602" s="135" t="str">
        <f>iferror(mround($P467*((VLOOKUP($J602,Sheet1!$D:$N,$G602+1,FALSE)+0.02)),2.5)," ")</f>
        <v> </v>
      </c>
      <c r="P602" s="112" t="str">
        <f>iferror(mround(I602/VLOOKUP(L602,Sheet1!$D$7:$N$16,G602+1,FALSE),2.5),"")</f>
        <v/>
      </c>
      <c r="Q602" s="303" t="str">
        <f t="shared" si="17"/>
        <v/>
      </c>
      <c r="R602" s="214"/>
      <c r="S602" s="11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</row>
    <row r="603" ht="3.75" hidden="1" customHeight="1">
      <c r="A603" s="191"/>
      <c r="B603" s="6"/>
      <c r="C603" s="192"/>
      <c r="D603" s="138"/>
      <c r="E603" s="193"/>
      <c r="F603" s="194"/>
      <c r="G603" s="194"/>
      <c r="H603" s="155"/>
      <c r="I603" s="210"/>
      <c r="J603" s="216"/>
      <c r="K603" s="222"/>
      <c r="L603" s="143"/>
      <c r="M603" s="144"/>
      <c r="N603" s="145"/>
      <c r="O603" s="145"/>
      <c r="P603" s="122"/>
      <c r="Q603" s="304" t="str">
        <f t="shared" si="17"/>
        <v/>
      </c>
      <c r="R603" s="214"/>
      <c r="S603" s="157"/>
      <c r="T603" s="5"/>
      <c r="U603" s="5"/>
      <c r="V603" s="158"/>
      <c r="W603" s="158"/>
      <c r="X603" s="158"/>
      <c r="Y603" s="158"/>
      <c r="Z603" s="158"/>
      <c r="AA603" s="158"/>
      <c r="AB603" s="158"/>
      <c r="AC603" s="158"/>
      <c r="AD603" s="158"/>
      <c r="AE603" s="158"/>
      <c r="AF603" s="158"/>
      <c r="AG603" s="158"/>
    </row>
    <row r="604" ht="15.75" hidden="1" customHeight="1">
      <c r="A604" s="90"/>
      <c r="B604" s="6"/>
      <c r="C604" s="90"/>
      <c r="D604" s="185"/>
      <c r="E604" s="186"/>
      <c r="F604" s="187"/>
      <c r="G604" s="187"/>
      <c r="H604" s="195"/>
      <c r="I604" s="164"/>
      <c r="J604" s="189"/>
      <c r="K604" s="190"/>
      <c r="L604" s="183"/>
      <c r="M604" s="134" t="str">
        <f>I469</f>
        <v/>
      </c>
      <c r="N604" s="135" t="str">
        <f>iferror(mround($P469*((VLOOKUP($J604,Sheet1!$D:$N,$G604+1,FALSE)-0.03)),2.5)," ")</f>
        <v> </v>
      </c>
      <c r="O604" s="135" t="str">
        <f>iferror(mround($P469*((VLOOKUP($J604,Sheet1!$D:$N,$G604+1,FALSE)+0.02)),2.5)," ")</f>
        <v> </v>
      </c>
      <c r="P604" s="112" t="str">
        <f>iferror(mround(I604/VLOOKUP(L604,Sheet1!$D$7:$N$16,G604+1,FALSE),2.5),"")</f>
        <v/>
      </c>
      <c r="Q604" s="303" t="str">
        <f t="shared" si="17"/>
        <v/>
      </c>
      <c r="R604" s="214"/>
      <c r="S604" s="11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</row>
    <row r="605" ht="3.75" hidden="1" customHeight="1">
      <c r="A605" s="90"/>
      <c r="B605" s="6"/>
      <c r="C605" s="90"/>
      <c r="D605" s="196"/>
      <c r="E605" s="184"/>
      <c r="F605" s="102"/>
      <c r="G605" s="102"/>
      <c r="H605" s="102"/>
      <c r="I605" s="102"/>
      <c r="J605" s="156"/>
      <c r="K605" s="222"/>
      <c r="L605" s="143"/>
      <c r="M605" s="144"/>
      <c r="N605" s="145"/>
      <c r="O605" s="145"/>
      <c r="P605" s="122"/>
      <c r="Q605" s="304" t="str">
        <f t="shared" si="17"/>
        <v/>
      </c>
      <c r="R605" s="214"/>
      <c r="S605" s="11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</row>
    <row r="606" ht="15.75" hidden="1" customHeight="1">
      <c r="A606" s="90"/>
      <c r="B606" s="6"/>
      <c r="C606" s="90"/>
      <c r="D606" s="197"/>
      <c r="E606" s="198"/>
      <c r="F606" s="199"/>
      <c r="G606" s="187"/>
      <c r="H606" s="195"/>
      <c r="I606" s="164"/>
      <c r="J606" s="189"/>
      <c r="K606" s="190"/>
      <c r="L606" s="183"/>
      <c r="M606" s="134" t="str">
        <f>I471</f>
        <v/>
      </c>
      <c r="N606" s="135" t="str">
        <f>iferror(mround($P471*((VLOOKUP($J606,Sheet1!$D:$N,$G606+1,FALSE)-0.03)),2.5)," ")</f>
        <v> </v>
      </c>
      <c r="O606" s="135" t="str">
        <f>iferror(mround($P471*((VLOOKUP($J606,Sheet1!$D:$N,$G606+1,FALSE)+0.02)),2.5)," ")</f>
        <v> </v>
      </c>
      <c r="P606" s="112" t="str">
        <f>iferror(mround(I606/VLOOKUP(L606,Sheet1!$D$7:$N$16,G606+1,FALSE),2.5),"")</f>
        <v/>
      </c>
      <c r="Q606" s="303" t="str">
        <f t="shared" si="17"/>
        <v/>
      </c>
      <c r="R606" s="214"/>
      <c r="S606" s="11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</row>
    <row r="607" ht="3.75" hidden="1" customHeight="1">
      <c r="A607" s="90"/>
      <c r="B607" s="6"/>
      <c r="C607" s="90"/>
      <c r="D607" s="90"/>
      <c r="E607" s="156"/>
      <c r="F607" s="102"/>
      <c r="G607" s="102"/>
      <c r="H607" s="102"/>
      <c r="I607" s="102"/>
      <c r="J607" s="156"/>
      <c r="K607" s="222"/>
      <c r="L607" s="201"/>
      <c r="M607" s="211"/>
      <c r="N607" s="47"/>
      <c r="O607" s="47"/>
      <c r="P607" s="122"/>
      <c r="Q607" s="304" t="str">
        <f t="shared" si="17"/>
        <v/>
      </c>
      <c r="R607" s="214"/>
      <c r="S607" s="11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</row>
    <row r="608" ht="30.75" customHeight="1">
      <c r="A608" s="90"/>
      <c r="B608" s="6"/>
      <c r="C608" s="90"/>
      <c r="D608" s="202" t="s">
        <v>49</v>
      </c>
      <c r="E608" s="105" t="s">
        <v>15</v>
      </c>
      <c r="F608" s="106" t="s">
        <v>16</v>
      </c>
      <c r="G608" s="106" t="s">
        <v>17</v>
      </c>
      <c r="H608" s="107"/>
      <c r="I608" s="106" t="s">
        <v>18</v>
      </c>
      <c r="J608" s="108" t="s">
        <v>19</v>
      </c>
      <c r="L608" s="109" t="s">
        <v>20</v>
      </c>
      <c r="M608" s="110" t="s">
        <v>21</v>
      </c>
      <c r="N608" s="111" t="s">
        <v>22</v>
      </c>
      <c r="P608" s="112"/>
      <c r="Q608" s="113" t="s">
        <v>23</v>
      </c>
      <c r="R608" s="114"/>
      <c r="S608" s="11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</row>
    <row r="609" ht="14.25" customHeight="1">
      <c r="A609" s="90"/>
      <c r="B609" s="6"/>
      <c r="C609" s="90"/>
      <c r="D609" s="116" t="s">
        <v>25</v>
      </c>
      <c r="E609" s="117" t="s">
        <v>26</v>
      </c>
      <c r="H609" s="107"/>
      <c r="N609" s="111" t="s">
        <v>27</v>
      </c>
      <c r="O609" s="111" t="s">
        <v>28</v>
      </c>
      <c r="P609" s="112" t="s">
        <v>29</v>
      </c>
      <c r="R609" s="118" t="s">
        <v>30</v>
      </c>
      <c r="S609" s="11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</row>
    <row r="610" ht="3.75" customHeight="1">
      <c r="A610" s="191"/>
      <c r="B610" s="6"/>
      <c r="C610" s="192"/>
      <c r="D610" s="203"/>
      <c r="E610" s="203"/>
      <c r="F610" s="205"/>
      <c r="G610" s="205"/>
      <c r="H610" s="205"/>
      <c r="I610" s="225"/>
      <c r="J610" s="226"/>
      <c r="K610" s="209"/>
      <c r="L610" s="210"/>
      <c r="M610" s="211"/>
      <c r="N610" s="47"/>
      <c r="O610" s="47"/>
      <c r="P610" s="122"/>
      <c r="Q610" s="304" t="str">
        <f t="shared" ref="Q610:Q630" si="18">IF(OR(ISBLANK(I610), ISBLANK(I475)), "", IF(I610 - I475 = 0, "", I610 - I475))</f>
        <v/>
      </c>
      <c r="R610" s="212"/>
      <c r="S610" s="157"/>
      <c r="T610" s="5"/>
      <c r="U610" s="5"/>
      <c r="V610" s="158"/>
      <c r="W610" s="158"/>
      <c r="X610" s="158"/>
      <c r="Y610" s="158"/>
      <c r="Z610" s="158"/>
      <c r="AA610" s="158"/>
      <c r="AB610" s="158"/>
      <c r="AC610" s="158"/>
      <c r="AD610" s="158"/>
      <c r="AE610" s="158"/>
      <c r="AF610" s="158"/>
      <c r="AG610" s="158"/>
    </row>
    <row r="611" ht="15.75" customHeight="1">
      <c r="A611" s="124"/>
      <c r="B611" s="6"/>
      <c r="C611" s="124"/>
      <c r="D611" s="125" t="s">
        <v>6</v>
      </c>
      <c r="E611" s="126"/>
      <c r="F611" s="127">
        <v>3.0</v>
      </c>
      <c r="G611" s="128">
        <v>45816.0</v>
      </c>
      <c r="H611" s="129"/>
      <c r="I611" s="130"/>
      <c r="J611" s="151">
        <v>5.0</v>
      </c>
      <c r="K611" s="219"/>
      <c r="L611" s="133"/>
      <c r="M611" s="134" t="str">
        <f>I476</f>
        <v>185. Then 205 last set</v>
      </c>
      <c r="N611" s="135" t="str">
        <f>iferror(mround($P476*((VLOOKUP($J611,Sheet1!$D:$N,$G611+1,FALSE)-0.03)),2.5)," ")</f>
        <v> </v>
      </c>
      <c r="O611" s="135" t="str">
        <f>iferror(mround($P476*((VLOOKUP($J611,Sheet1!$D:$N,$G611+1,FALSE)+0.02)),2.5)," ")</f>
        <v> </v>
      </c>
      <c r="P611" s="112" t="str">
        <f>iferror(mround(I611/VLOOKUP(L611,Sheet1!$D$7:$N$16,G611+1,FALSE),2.5),"")</f>
        <v/>
      </c>
      <c r="Q611" s="303" t="str">
        <f t="shared" si="18"/>
        <v/>
      </c>
      <c r="R611" s="214"/>
      <c r="S611" s="11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</row>
    <row r="612" ht="3.75" customHeight="1">
      <c r="A612" s="124"/>
      <c r="B612" s="6"/>
      <c r="C612" s="124"/>
      <c r="D612" s="138"/>
      <c r="E612" s="139"/>
      <c r="F612" s="140"/>
      <c r="G612" s="140"/>
      <c r="H612" s="140"/>
      <c r="I612" s="140"/>
      <c r="J612" s="141"/>
      <c r="K612" s="217"/>
      <c r="L612" s="218"/>
      <c r="M612" s="144"/>
      <c r="N612" s="145"/>
      <c r="O612" s="145"/>
      <c r="P612" s="122"/>
      <c r="Q612" s="304" t="str">
        <f t="shared" si="18"/>
        <v/>
      </c>
      <c r="R612" s="214"/>
      <c r="S612" s="11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</row>
    <row r="613" ht="15.75" customHeight="1">
      <c r="A613" s="90"/>
      <c r="B613" s="6"/>
      <c r="C613" s="90"/>
      <c r="D613" s="125" t="s">
        <v>10</v>
      </c>
      <c r="E613" s="126"/>
      <c r="F613" s="127">
        <v>3.0</v>
      </c>
      <c r="G613" s="128">
        <v>45879.0</v>
      </c>
      <c r="H613" s="129"/>
      <c r="I613" s="164"/>
      <c r="J613" s="151">
        <v>5.0</v>
      </c>
      <c r="K613" s="213"/>
      <c r="L613" s="133"/>
      <c r="M613" s="134" t="str">
        <f>I478</f>
        <v/>
      </c>
      <c r="N613" s="135" t="str">
        <f>iferror(mround($P478*((VLOOKUP($J613,Sheet1!$D:$N,$G613+1,FALSE)-0.03)),2.5)," ")</f>
        <v> </v>
      </c>
      <c r="O613" s="135" t="str">
        <f>iferror(mround($P478*((VLOOKUP($J613,Sheet1!$D:$N,$G613+1,FALSE)+0.02)),2.5)," ")</f>
        <v> </v>
      </c>
      <c r="P613" s="112" t="str">
        <f>iferror(mround(I613/VLOOKUP(L613,Sheet1!$D$7:$N$16,G613+1,FALSE),2.5),"")</f>
        <v/>
      </c>
      <c r="Q613" s="303" t="str">
        <f t="shared" si="18"/>
        <v/>
      </c>
      <c r="R613" s="214"/>
      <c r="S613" s="11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</row>
    <row r="614" ht="3.75" customHeight="1">
      <c r="A614" s="90"/>
      <c r="B614" s="6"/>
      <c r="C614" s="90"/>
      <c r="D614" s="138"/>
      <c r="E614" s="215"/>
      <c r="F614" s="102"/>
      <c r="G614" s="102"/>
      <c r="H614" s="102"/>
      <c r="I614" s="102"/>
      <c r="J614" s="156"/>
      <c r="K614" s="217"/>
      <c r="L614" s="218"/>
      <c r="M614" s="144"/>
      <c r="N614" s="145"/>
      <c r="O614" s="145"/>
      <c r="P614" s="122"/>
      <c r="Q614" s="304" t="str">
        <f t="shared" si="18"/>
        <v/>
      </c>
      <c r="R614" s="214"/>
      <c r="S614" s="11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</row>
    <row r="615" ht="15.75" hidden="1" customHeight="1">
      <c r="A615" s="90"/>
      <c r="B615" s="6"/>
      <c r="C615" s="90"/>
      <c r="D615" s="159"/>
      <c r="E615" s="160"/>
      <c r="F615" s="127"/>
      <c r="G615" s="161"/>
      <c r="H615" s="129"/>
      <c r="I615" s="130"/>
      <c r="J615" s="151"/>
      <c r="K615" s="219"/>
      <c r="L615" s="133"/>
      <c r="M615" s="134" t="str">
        <f>I480</f>
        <v/>
      </c>
      <c r="N615" s="135" t="str">
        <f>iferror(mround($P480*((VLOOKUP($J615,Sheet1!$D:$N,$G615+1,FALSE)-0.03)),2.5)," ")</f>
        <v> </v>
      </c>
      <c r="O615" s="135" t="str">
        <f>iferror(mround($P480*((VLOOKUP($J615,Sheet1!$D:$N,$G615+1,FALSE)+0.02)),2.5)," ")</f>
        <v> </v>
      </c>
      <c r="P615" s="112" t="str">
        <f>iferror(mround(I615/VLOOKUP(L615,Sheet1!$D$7:$N$16,G615+1,FALSE),2.5),"")</f>
        <v/>
      </c>
      <c r="Q615" s="303" t="str">
        <f t="shared" si="18"/>
        <v/>
      </c>
      <c r="R615" s="214"/>
      <c r="S615" s="11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</row>
    <row r="616" ht="3.75" hidden="1" customHeight="1">
      <c r="A616" s="90"/>
      <c r="B616" s="6"/>
      <c r="C616" s="90"/>
      <c r="D616" s="138"/>
      <c r="E616" s="154"/>
      <c r="F616" s="155"/>
      <c r="G616" s="102"/>
      <c r="H616" s="102"/>
      <c r="I616" s="102"/>
      <c r="J616" s="156"/>
      <c r="K616" s="217"/>
      <c r="L616" s="218"/>
      <c r="M616" s="144"/>
      <c r="N616" s="145"/>
      <c r="O616" s="145"/>
      <c r="P616" s="122"/>
      <c r="Q616" s="304" t="str">
        <f t="shared" si="18"/>
        <v/>
      </c>
      <c r="R616" s="214"/>
      <c r="S616" s="11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</row>
    <row r="617" ht="15.75" customHeight="1">
      <c r="A617" s="90"/>
      <c r="B617" s="6"/>
      <c r="C617" s="90"/>
      <c r="D617" s="159" t="s">
        <v>51</v>
      </c>
      <c r="E617" s="167" t="s">
        <v>52</v>
      </c>
      <c r="F617" s="127">
        <v>4.0</v>
      </c>
      <c r="G617" s="127">
        <v>3.0</v>
      </c>
      <c r="H617" s="195"/>
      <c r="I617" s="164"/>
      <c r="J617" s="151">
        <v>7.0</v>
      </c>
      <c r="K617" s="213"/>
      <c r="L617" s="133"/>
      <c r="M617" s="134">
        <f>I482</f>
        <v>255</v>
      </c>
      <c r="N617" s="135">
        <f>iferror(mround($P482*((VLOOKUP($J617,Sheet1!$D:$N,$G617+1,FALSE)-0.03)),2.5)," ")</f>
        <v>0</v>
      </c>
      <c r="O617" s="135">
        <f>iferror(mround($P482*((VLOOKUP($J617,Sheet1!$D:$N,$G617+1,FALSE)+0.02)),2.5)," ")</f>
        <v>0</v>
      </c>
      <c r="P617" s="112" t="str">
        <f>iferror(mround(I617/VLOOKUP(L617,Sheet1!$D$7:$N$16,G617+1,FALSE),2.5),"")</f>
        <v/>
      </c>
      <c r="Q617" s="303" t="str">
        <f t="shared" si="18"/>
        <v/>
      </c>
      <c r="R617" s="214"/>
      <c r="S617" s="11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</row>
    <row r="618" ht="3.75" customHeight="1">
      <c r="A618" s="90"/>
      <c r="B618" s="6"/>
      <c r="C618" s="90"/>
      <c r="D618" s="138"/>
      <c r="E618" s="215"/>
      <c r="F618" s="102"/>
      <c r="G618" s="102"/>
      <c r="H618" s="102"/>
      <c r="I618" s="102"/>
      <c r="J618" s="156"/>
      <c r="K618" s="217"/>
      <c r="L618" s="218"/>
      <c r="M618" s="144"/>
      <c r="N618" s="145"/>
      <c r="O618" s="145"/>
      <c r="P618" s="122"/>
      <c r="Q618" s="304" t="str">
        <f t="shared" si="18"/>
        <v/>
      </c>
      <c r="R618" s="214"/>
      <c r="S618" s="11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</row>
    <row r="619" ht="15.75" customHeight="1">
      <c r="A619" s="90"/>
      <c r="B619" s="6"/>
      <c r="C619" s="90"/>
      <c r="D619" s="159" t="s">
        <v>53</v>
      </c>
      <c r="E619" s="220"/>
      <c r="F619" s="127">
        <v>3.0</v>
      </c>
      <c r="G619" s="127" t="s">
        <v>16</v>
      </c>
      <c r="H619" s="195"/>
      <c r="I619" s="130"/>
      <c r="J619" s="151">
        <v>7.0</v>
      </c>
      <c r="K619" s="213"/>
      <c r="L619" s="133"/>
      <c r="M619" s="134" t="str">
        <f>I484</f>
        <v/>
      </c>
      <c r="N619" s="135" t="str">
        <f>iferror(mround($P484*((VLOOKUP($J619,Sheet1!$D:$N,$G619+1,FALSE)-0.03)),2.5)," ")</f>
        <v> </v>
      </c>
      <c r="O619" s="135" t="str">
        <f>iferror(mround($P484*((VLOOKUP($J619,Sheet1!$D:$N,$G619+1,FALSE)+0.02)),2.5)," ")</f>
        <v> </v>
      </c>
      <c r="P619" s="112" t="str">
        <f>iferror(mround(I619/VLOOKUP(L619,Sheet1!$D$7:$N$16,G619+1,FALSE),2.5),"")</f>
        <v/>
      </c>
      <c r="Q619" s="303" t="str">
        <f t="shared" si="18"/>
        <v/>
      </c>
      <c r="R619" s="214"/>
      <c r="S619" s="11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</row>
    <row r="620" ht="3.75" customHeight="1">
      <c r="A620" s="90"/>
      <c r="B620" s="6"/>
      <c r="C620" s="90"/>
      <c r="D620" s="138"/>
      <c r="E620" s="215"/>
      <c r="F620" s="102"/>
      <c r="G620" s="102"/>
      <c r="H620" s="102"/>
      <c r="I620" s="102"/>
      <c r="J620" s="156"/>
      <c r="K620" s="222"/>
      <c r="L620" s="218"/>
      <c r="M620" s="144"/>
      <c r="N620" s="145"/>
      <c r="O620" s="145"/>
      <c r="P620" s="122"/>
      <c r="Q620" s="304" t="str">
        <f t="shared" si="18"/>
        <v/>
      </c>
      <c r="R620" s="214"/>
      <c r="S620" s="11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</row>
    <row r="621" ht="15.75" customHeight="1">
      <c r="A621" s="90"/>
      <c r="B621" s="6"/>
      <c r="C621" s="90"/>
      <c r="D621" s="159" t="s">
        <v>54</v>
      </c>
      <c r="E621" s="227"/>
      <c r="F621" s="127">
        <v>3.0</v>
      </c>
      <c r="G621" s="221">
        <v>45577.0</v>
      </c>
      <c r="H621" s="195"/>
      <c r="I621" s="130"/>
      <c r="J621" s="228">
        <v>8.0</v>
      </c>
      <c r="K621" s="190"/>
      <c r="L621" s="183"/>
      <c r="M621" s="134" t="str">
        <f>I486</f>
        <v/>
      </c>
      <c r="N621" s="135" t="str">
        <f>iferror(mround($P486*((VLOOKUP($J621,Sheet1!$D:$N,$G621+1,FALSE)-0.03)),2.5)," ")</f>
        <v> </v>
      </c>
      <c r="O621" s="135" t="str">
        <f>iferror(mround($P486*((VLOOKUP($J621,Sheet1!$D:$N,$G621+1,FALSE)+0.02)),2.5)," ")</f>
        <v> </v>
      </c>
      <c r="P621" s="112" t="str">
        <f>iferror(mround(I621/VLOOKUP(L621,Sheet1!$D$7:$N$16,G621+1,FALSE),2.5),"")</f>
        <v/>
      </c>
      <c r="Q621" s="303" t="str">
        <f t="shared" si="18"/>
        <v/>
      </c>
      <c r="R621" s="214"/>
      <c r="S621" s="11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</row>
    <row r="622" ht="3.75" customHeight="1">
      <c r="A622" s="90"/>
      <c r="B622" s="6"/>
      <c r="C622" s="90"/>
      <c r="D622" s="138"/>
      <c r="E622" s="215"/>
      <c r="F622" s="102"/>
      <c r="G622" s="102"/>
      <c r="H622" s="102"/>
      <c r="I622" s="102"/>
      <c r="J622" s="216"/>
      <c r="K622" s="222"/>
      <c r="L622" s="218"/>
      <c r="M622" s="144"/>
      <c r="N622" s="145"/>
      <c r="O622" s="145"/>
      <c r="P622" s="122"/>
      <c r="Q622" s="304" t="str">
        <f t="shared" si="18"/>
        <v/>
      </c>
      <c r="R622" s="214"/>
      <c r="S622" s="11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</row>
    <row r="623" ht="15.75" hidden="1" customHeight="1">
      <c r="A623" s="90"/>
      <c r="B623" s="6"/>
      <c r="C623" s="90"/>
      <c r="D623" s="185"/>
      <c r="E623" s="220"/>
      <c r="F623" s="187"/>
      <c r="G623" s="229"/>
      <c r="H623" s="195"/>
      <c r="I623" s="164"/>
      <c r="J623" s="189"/>
      <c r="K623" s="190"/>
      <c r="L623" s="183"/>
      <c r="M623" s="134" t="str">
        <f>I488</f>
        <v/>
      </c>
      <c r="N623" s="135" t="str">
        <f>iferror(mround($P488*((VLOOKUP($J623,Sheet1!$D:$N,$G623+1,FALSE)-0.03)),2.5)," ")</f>
        <v> </v>
      </c>
      <c r="O623" s="135" t="str">
        <f>iferror(mround($P488*((VLOOKUP($J623,Sheet1!$D:$N,$G623+1,FALSE)+0.02)),2.5)," ")</f>
        <v> </v>
      </c>
      <c r="P623" s="112" t="str">
        <f>iferror(mround(I623/VLOOKUP(L623,Sheet1!$D$7:$N$16,G623+1,FALSE),2.5),"")</f>
        <v/>
      </c>
      <c r="Q623" s="303" t="str">
        <f t="shared" si="18"/>
        <v/>
      </c>
      <c r="R623" s="214"/>
      <c r="S623" s="11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</row>
    <row r="624" ht="3.75" hidden="1" customHeight="1">
      <c r="A624" s="191"/>
      <c r="B624" s="6"/>
      <c r="C624" s="192"/>
      <c r="D624" s="138"/>
      <c r="E624" s="184"/>
      <c r="F624" s="102"/>
      <c r="G624" s="102"/>
      <c r="H624" s="102"/>
      <c r="I624" s="102"/>
      <c r="J624" s="156"/>
      <c r="K624" s="222"/>
      <c r="L624" s="218"/>
      <c r="M624" s="144"/>
      <c r="N624" s="145"/>
      <c r="O624" s="145"/>
      <c r="P624" s="122"/>
      <c r="Q624" s="304" t="str">
        <f t="shared" si="18"/>
        <v/>
      </c>
      <c r="R624" s="214"/>
      <c r="S624" s="157"/>
      <c r="T624" s="5"/>
      <c r="U624" s="5"/>
      <c r="V624" s="158"/>
      <c r="W624" s="158"/>
      <c r="X624" s="158"/>
      <c r="Y624" s="158"/>
      <c r="Z624" s="158"/>
      <c r="AA624" s="158"/>
      <c r="AB624" s="158"/>
      <c r="AC624" s="158"/>
      <c r="AD624" s="158"/>
      <c r="AE624" s="158"/>
      <c r="AF624" s="158"/>
      <c r="AG624" s="158"/>
    </row>
    <row r="625" ht="15.75" hidden="1" customHeight="1">
      <c r="A625" s="90"/>
      <c r="B625" s="6"/>
      <c r="C625" s="90"/>
      <c r="D625" s="185"/>
      <c r="E625" s="224"/>
      <c r="F625" s="187"/>
      <c r="G625" s="187"/>
      <c r="H625" s="195"/>
      <c r="I625" s="164"/>
      <c r="J625" s="230"/>
      <c r="K625" s="190"/>
      <c r="L625" s="183"/>
      <c r="M625" s="134" t="str">
        <f>I490</f>
        <v/>
      </c>
      <c r="N625" s="135" t="str">
        <f>iferror(mround($P490*((VLOOKUP($J625,Sheet1!$D:$N,$G625+1,FALSE)-0.03)),2.5)," ")</f>
        <v> </v>
      </c>
      <c r="O625" s="135" t="str">
        <f>iferror(mround($P490*((VLOOKUP($J625,Sheet1!$D:$N,$G625+1,FALSE)+0.02)),2.5)," ")</f>
        <v> </v>
      </c>
      <c r="P625" s="112" t="str">
        <f>iferror(mround(I625/VLOOKUP(L625,Sheet1!$D$7:$N$16,G625+1,FALSE),2.5),"")</f>
        <v/>
      </c>
      <c r="Q625" s="303" t="str">
        <f t="shared" si="18"/>
        <v/>
      </c>
      <c r="R625" s="214"/>
      <c r="S625" s="11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</row>
    <row r="626" ht="3.75" hidden="1" customHeight="1">
      <c r="A626" s="90"/>
      <c r="B626" s="6"/>
      <c r="C626" s="90"/>
      <c r="D626" s="138"/>
      <c r="E626" s="184"/>
      <c r="F626" s="102"/>
      <c r="G626" s="102"/>
      <c r="H626" s="102"/>
      <c r="I626" s="102"/>
      <c r="J626" s="156"/>
      <c r="K626" s="222"/>
      <c r="L626" s="218"/>
      <c r="M626" s="144"/>
      <c r="N626" s="145"/>
      <c r="O626" s="145"/>
      <c r="P626" s="122"/>
      <c r="Q626" s="304" t="str">
        <f t="shared" si="18"/>
        <v/>
      </c>
      <c r="R626" s="214"/>
      <c r="S626" s="11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</row>
    <row r="627" ht="15.75" hidden="1" customHeight="1">
      <c r="A627" s="90"/>
      <c r="B627" s="6"/>
      <c r="C627" s="90"/>
      <c r="D627" s="231"/>
      <c r="E627" s="232"/>
      <c r="F627" s="187"/>
      <c r="G627" s="187"/>
      <c r="H627" s="195"/>
      <c r="I627" s="164"/>
      <c r="J627" s="230"/>
      <c r="K627" s="190"/>
      <c r="L627" s="183"/>
      <c r="M627" s="134" t="str">
        <f>I492</f>
        <v/>
      </c>
      <c r="N627" s="135" t="str">
        <f>iferror(mround($P492*((VLOOKUP($J627,Sheet1!$D:$N,$G627+1,FALSE)-0.03)),2.5)," ")</f>
        <v> </v>
      </c>
      <c r="O627" s="135" t="str">
        <f>iferror(mround($P492*((VLOOKUP($J627,Sheet1!$D:$N,$G627+1,FALSE)+0.02)),2.5)," ")</f>
        <v> </v>
      </c>
      <c r="P627" s="112" t="str">
        <f>iferror(mround(I627/VLOOKUP(L627,Sheet1!$D$7:$N$16,G627+1,FALSE),2.5),"")</f>
        <v/>
      </c>
      <c r="Q627" s="303" t="str">
        <f t="shared" si="18"/>
        <v/>
      </c>
      <c r="R627" s="214"/>
      <c r="S627" s="11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</row>
    <row r="628" ht="3.75" hidden="1" customHeight="1">
      <c r="A628" s="191"/>
      <c r="B628" s="6"/>
      <c r="C628" s="233"/>
      <c r="D628" s="234"/>
      <c r="E628" s="235"/>
      <c r="F628" s="236"/>
      <c r="G628" s="194"/>
      <c r="H628" s="155"/>
      <c r="I628" s="210"/>
      <c r="J628" s="216"/>
      <c r="K628" s="222"/>
      <c r="L628" s="218"/>
      <c r="M628" s="144"/>
      <c r="N628" s="145"/>
      <c r="O628" s="145"/>
      <c r="P628" s="122"/>
      <c r="Q628" s="304" t="str">
        <f t="shared" si="18"/>
        <v/>
      </c>
      <c r="R628" s="214"/>
      <c r="S628" s="157"/>
      <c r="T628" s="5"/>
      <c r="U628" s="5"/>
      <c r="V628" s="158"/>
      <c r="W628" s="158"/>
      <c r="X628" s="158"/>
      <c r="Y628" s="158"/>
      <c r="Z628" s="158"/>
      <c r="AA628" s="158"/>
      <c r="AB628" s="158"/>
      <c r="AC628" s="158"/>
      <c r="AD628" s="158"/>
      <c r="AE628" s="158"/>
      <c r="AF628" s="158"/>
      <c r="AG628" s="158"/>
    </row>
    <row r="629" ht="15.75" hidden="1" customHeight="1">
      <c r="A629" s="90"/>
      <c r="B629" s="6"/>
      <c r="C629" s="90"/>
      <c r="D629" s="197"/>
      <c r="E629" s="198"/>
      <c r="F629" s="199"/>
      <c r="G629" s="187"/>
      <c r="H629" s="195"/>
      <c r="I629" s="164"/>
      <c r="J629" s="189"/>
      <c r="K629" s="190"/>
      <c r="L629" s="183"/>
      <c r="M629" s="134" t="str">
        <f>I494</f>
        <v/>
      </c>
      <c r="N629" s="135" t="str">
        <f>iferror(mround($P494*((VLOOKUP($J629,Sheet1!$D:$N,$G629+1,FALSE)-0.03)),2.5)," ")</f>
        <v> </v>
      </c>
      <c r="O629" s="135" t="str">
        <f>iferror(mround($P494*((VLOOKUP($J629,Sheet1!$D:$N,$G629+1,FALSE)+0.02)),2.5)," ")</f>
        <v> </v>
      </c>
      <c r="P629" s="112" t="str">
        <f>iferror(mround(I629/VLOOKUP(L629,Sheet1!$D$7:$N$16,G629+1,FALSE),2.5),"")</f>
        <v/>
      </c>
      <c r="Q629" s="303" t="str">
        <f t="shared" si="18"/>
        <v/>
      </c>
      <c r="R629" s="214"/>
      <c r="S629" s="11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</row>
    <row r="630" ht="3.75" hidden="1" customHeight="1">
      <c r="A630" s="90"/>
      <c r="B630" s="6"/>
      <c r="C630" s="90"/>
      <c r="D630" s="90"/>
      <c r="E630" s="156"/>
      <c r="F630" s="102"/>
      <c r="G630" s="102"/>
      <c r="H630" s="102"/>
      <c r="I630" s="102"/>
      <c r="J630" s="156"/>
      <c r="K630" s="200"/>
      <c r="L630" s="201"/>
      <c r="M630" s="211"/>
      <c r="N630" s="47"/>
      <c r="O630" s="47"/>
      <c r="P630" s="122"/>
      <c r="Q630" s="304" t="str">
        <f t="shared" si="18"/>
        <v/>
      </c>
      <c r="R630" s="214"/>
      <c r="S630" s="11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</row>
    <row r="631" ht="30.0" hidden="1" customHeight="1">
      <c r="A631" s="90"/>
      <c r="B631" s="6"/>
      <c r="C631" s="90"/>
      <c r="D631" s="202" t="s">
        <v>55</v>
      </c>
      <c r="E631" s="105" t="s">
        <v>15</v>
      </c>
      <c r="F631" s="106" t="s">
        <v>16</v>
      </c>
      <c r="G631" s="106" t="s">
        <v>17</v>
      </c>
      <c r="H631" s="107"/>
      <c r="I631" s="106" t="s">
        <v>18</v>
      </c>
      <c r="J631" s="108" t="s">
        <v>19</v>
      </c>
      <c r="L631" s="109" t="s">
        <v>20</v>
      </c>
      <c r="M631" s="110" t="s">
        <v>21</v>
      </c>
      <c r="N631" s="111" t="s">
        <v>22</v>
      </c>
      <c r="P631" s="112"/>
      <c r="Q631" s="113" t="s">
        <v>23</v>
      </c>
      <c r="R631" s="114" t="s">
        <v>56</v>
      </c>
      <c r="S631" s="11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</row>
    <row r="632" ht="14.25" hidden="1" customHeight="1">
      <c r="A632" s="90"/>
      <c r="B632" s="6"/>
      <c r="C632" s="90"/>
      <c r="D632" s="116" t="s">
        <v>25</v>
      </c>
      <c r="E632" s="117" t="s">
        <v>26</v>
      </c>
      <c r="H632" s="107"/>
      <c r="N632" s="111" t="s">
        <v>27</v>
      </c>
      <c r="O632" s="111" t="s">
        <v>28</v>
      </c>
      <c r="P632" s="112" t="s">
        <v>29</v>
      </c>
      <c r="R632" s="118" t="s">
        <v>30</v>
      </c>
      <c r="S632" s="11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</row>
    <row r="633" ht="3.75" hidden="1" customHeight="1">
      <c r="A633" s="191"/>
      <c r="B633" s="6"/>
      <c r="C633" s="192"/>
      <c r="D633" s="203"/>
      <c r="E633" s="204"/>
      <c r="F633" s="205"/>
      <c r="G633" s="205"/>
      <c r="H633" s="205"/>
      <c r="I633" s="225"/>
      <c r="J633" s="237"/>
      <c r="K633" s="209"/>
      <c r="L633" s="238"/>
      <c r="M633" s="211"/>
      <c r="N633" s="47"/>
      <c r="O633" s="47"/>
      <c r="P633" s="122"/>
      <c r="Q633" s="304" t="str">
        <f t="shared" ref="Q633:Q653" si="19">IF(OR(ISBLANK(I633), ISBLANK(I498)), "", IF(I633 - I498 = 0, "", I633 - I498))</f>
        <v/>
      </c>
      <c r="R633" s="239"/>
      <c r="S633" s="157"/>
      <c r="T633" s="5"/>
      <c r="U633" s="5"/>
      <c r="V633" s="158"/>
      <c r="W633" s="158"/>
      <c r="X633" s="158"/>
      <c r="Y633" s="158"/>
      <c r="Z633" s="158"/>
      <c r="AA633" s="158"/>
      <c r="AB633" s="158"/>
      <c r="AC633" s="158"/>
      <c r="AD633" s="158"/>
      <c r="AE633" s="158"/>
      <c r="AF633" s="158"/>
      <c r="AG633" s="158"/>
    </row>
    <row r="634" ht="15.75" hidden="1" customHeight="1">
      <c r="A634" s="124"/>
      <c r="B634" s="6"/>
      <c r="C634" s="124"/>
      <c r="D634" s="125"/>
      <c r="E634" s="126"/>
      <c r="F634" s="127"/>
      <c r="G634" s="240"/>
      <c r="H634" s="129"/>
      <c r="I634" s="130"/>
      <c r="J634" s="151"/>
      <c r="K634" s="241"/>
      <c r="L634" s="130"/>
      <c r="M634" s="134" t="str">
        <f>I499</f>
        <v/>
      </c>
      <c r="N634" s="135" t="str">
        <f>iferror(mround($P499*((VLOOKUP($J634,Sheet1!$D:$N,$G634+1,FALSE)-0.03)),2.5)," ")</f>
        <v> </v>
      </c>
      <c r="O634" s="135" t="str">
        <f>iferror(mround($P499*((VLOOKUP($J634,Sheet1!$D:$N,$G634+1,FALSE)+0.02)),2.5)," ")</f>
        <v> </v>
      </c>
      <c r="P634" s="112" t="str">
        <f>iferror(mround(I634/VLOOKUP(L634,Sheet1!$D$7:$N$16,G634+1,FALSE),2.5),"")</f>
        <v/>
      </c>
      <c r="Q634" s="303" t="str">
        <f t="shared" si="19"/>
        <v/>
      </c>
      <c r="R634" s="242"/>
      <c r="S634" s="11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</row>
    <row r="635" ht="3.75" hidden="1" customHeight="1">
      <c r="A635" s="124"/>
      <c r="B635" s="6"/>
      <c r="C635" s="124"/>
      <c r="D635" s="138"/>
      <c r="E635" s="139"/>
      <c r="F635" s="140"/>
      <c r="G635" s="140"/>
      <c r="H635" s="140"/>
      <c r="I635" s="140"/>
      <c r="J635" s="141"/>
      <c r="K635" s="243"/>
      <c r="L635" s="210"/>
      <c r="M635" s="144"/>
      <c r="N635" s="145"/>
      <c r="O635" s="145"/>
      <c r="P635" s="122"/>
      <c r="Q635" s="304" t="str">
        <f t="shared" si="19"/>
        <v/>
      </c>
      <c r="R635" s="242"/>
      <c r="S635" s="11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</row>
    <row r="636" ht="15.0" hidden="1" customHeight="1">
      <c r="A636" s="124"/>
      <c r="B636" s="6"/>
      <c r="C636" s="124"/>
      <c r="D636" s="125"/>
      <c r="E636" s="126"/>
      <c r="F636" s="127"/>
      <c r="G636" s="240"/>
      <c r="H636" s="129"/>
      <c r="I636" s="164"/>
      <c r="J636" s="165"/>
      <c r="K636" s="241"/>
      <c r="L636" s="130"/>
      <c r="M636" s="134" t="str">
        <f>I501</f>
        <v/>
      </c>
      <c r="N636" s="135" t="str">
        <f>iferror(mround($P501*((VLOOKUP($J636,Sheet1!$D:$N,$G636+1,FALSE)-0.03)),2.5)," ")</f>
        <v> </v>
      </c>
      <c r="O636" s="135" t="str">
        <f>iferror(mround($P501*((VLOOKUP($J636,Sheet1!$D:$N,$G636+1,FALSE)+0.02)),2.5)," ")</f>
        <v> </v>
      </c>
      <c r="P636" s="112" t="str">
        <f>iferror(mround(I636/VLOOKUP(L636,Sheet1!$D$7:$N$16,G636+1,FALSE),2.5),"")</f>
        <v/>
      </c>
      <c r="Q636" s="303" t="str">
        <f t="shared" si="19"/>
        <v/>
      </c>
      <c r="R636" s="242"/>
      <c r="S636" s="11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</row>
    <row r="637" ht="3.75" hidden="1" customHeight="1">
      <c r="A637" s="124"/>
      <c r="B637" s="6"/>
      <c r="C637" s="124"/>
      <c r="D637" s="138"/>
      <c r="E637" s="215"/>
      <c r="F637" s="102"/>
      <c r="G637" s="102"/>
      <c r="H637" s="102"/>
      <c r="I637" s="102"/>
      <c r="J637" s="156"/>
      <c r="K637" s="243"/>
      <c r="L637" s="210"/>
      <c r="M637" s="144"/>
      <c r="N637" s="145"/>
      <c r="O637" s="145"/>
      <c r="P637" s="122"/>
      <c r="Q637" s="304" t="str">
        <f t="shared" si="19"/>
        <v/>
      </c>
      <c r="R637" s="242"/>
      <c r="S637" s="11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</row>
    <row r="638" ht="15.75" hidden="1" customHeight="1">
      <c r="A638" s="124"/>
      <c r="B638" s="6"/>
      <c r="C638" s="124"/>
      <c r="D638" s="159"/>
      <c r="E638" s="126"/>
      <c r="F638" s="127"/>
      <c r="G638" s="161"/>
      <c r="H638" s="129"/>
      <c r="I638" s="130"/>
      <c r="J638" s="151"/>
      <c r="K638" s="244"/>
      <c r="L638" s="130"/>
      <c r="M638" s="134" t="str">
        <f>I503</f>
        <v/>
      </c>
      <c r="N638" s="135" t="str">
        <f>iferror(mround($P503*((VLOOKUP($J638,Sheet1!$D:$N,$G638+1,FALSE)-0.03)),2.5)," ")</f>
        <v> </v>
      </c>
      <c r="O638" s="135" t="str">
        <f>iferror(mround($P503*((VLOOKUP($J638,Sheet1!$D:$N,$G638+1,FALSE)+0.02)),2.5)," ")</f>
        <v> </v>
      </c>
      <c r="P638" s="112" t="str">
        <f>iferror(mround(I638/VLOOKUP(L638,Sheet1!$D$7:$N$16,G638+1,FALSE),2.5),"")</f>
        <v/>
      </c>
      <c r="Q638" s="303" t="str">
        <f t="shared" si="19"/>
        <v/>
      </c>
      <c r="R638" s="242"/>
      <c r="S638" s="11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</row>
    <row r="639" ht="3.75" hidden="1" customHeight="1">
      <c r="A639" s="124"/>
      <c r="B639" s="6"/>
      <c r="C639" s="124"/>
      <c r="D639" s="138"/>
      <c r="E639" s="154"/>
      <c r="F639" s="155"/>
      <c r="G639" s="102"/>
      <c r="H639" s="102"/>
      <c r="I639" s="102"/>
      <c r="J639" s="156"/>
      <c r="K639" s="243"/>
      <c r="L639" s="210"/>
      <c r="M639" s="144"/>
      <c r="N639" s="145"/>
      <c r="O639" s="145"/>
      <c r="P639" s="122"/>
      <c r="Q639" s="304" t="str">
        <f t="shared" si="19"/>
        <v/>
      </c>
      <c r="R639" s="242"/>
      <c r="S639" s="11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</row>
    <row r="640" ht="15.75" hidden="1" customHeight="1">
      <c r="A640" s="124"/>
      <c r="B640" s="6"/>
      <c r="C640" s="124"/>
      <c r="D640" s="159"/>
      <c r="E640" s="126"/>
      <c r="F640" s="127"/>
      <c r="G640" s="161"/>
      <c r="H640" s="129"/>
      <c r="I640" s="130"/>
      <c r="J640" s="151"/>
      <c r="K640" s="241"/>
      <c r="L640" s="130"/>
      <c r="M640" s="134" t="str">
        <f>I505</f>
        <v/>
      </c>
      <c r="N640" s="135" t="str">
        <f>iferror(mround($P505*((VLOOKUP($J640,Sheet1!$D:$N,$G640+1,FALSE)-0.03)),2.5)," ")</f>
        <v> </v>
      </c>
      <c r="O640" s="135" t="str">
        <f>iferror(mround($P505*((VLOOKUP($J640,Sheet1!$D:$N,$G640+1,FALSE)+0.02)),2.5)," ")</f>
        <v> </v>
      </c>
      <c r="P640" s="112" t="str">
        <f>iferror(mround(I640/VLOOKUP(L640,Sheet1!$D$7:$N$16,G640+1,FALSE),2.5),"")</f>
        <v/>
      </c>
      <c r="Q640" s="303" t="str">
        <f t="shared" si="19"/>
        <v/>
      </c>
      <c r="R640" s="242"/>
      <c r="S640" s="11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</row>
    <row r="641" ht="3.75" hidden="1" customHeight="1">
      <c r="A641" s="90"/>
      <c r="B641" s="6"/>
      <c r="C641" s="90"/>
      <c r="D641" s="138"/>
      <c r="E641" s="245"/>
      <c r="F641" s="102"/>
      <c r="G641" s="102"/>
      <c r="H641" s="102"/>
      <c r="I641" s="102"/>
      <c r="J641" s="156"/>
      <c r="K641" s="243"/>
      <c r="L641" s="210"/>
      <c r="M641" s="144"/>
      <c r="N641" s="145"/>
      <c r="O641" s="145"/>
      <c r="P641" s="122"/>
      <c r="Q641" s="304" t="str">
        <f t="shared" si="19"/>
        <v/>
      </c>
      <c r="R641" s="242"/>
      <c r="S641" s="11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</row>
    <row r="642" ht="15.75" hidden="1" customHeight="1">
      <c r="A642" s="90"/>
      <c r="B642" s="6"/>
      <c r="C642" s="90"/>
      <c r="D642" s="159"/>
      <c r="E642" s="227"/>
      <c r="F642" s="127"/>
      <c r="G642" s="221"/>
      <c r="H642" s="195"/>
      <c r="I642" s="130"/>
      <c r="J642" s="228"/>
      <c r="K642" s="241"/>
      <c r="L642" s="130"/>
      <c r="M642" s="134" t="str">
        <f>I507</f>
        <v/>
      </c>
      <c r="N642" s="135" t="str">
        <f>iferror(mround($P507*((VLOOKUP($J642,Sheet1!$D:$N,$G642+1,FALSE)-0.03)),2.5)," ")</f>
        <v> </v>
      </c>
      <c r="O642" s="135" t="str">
        <f>iferror(mround($P507*((VLOOKUP($J642,Sheet1!$D:$N,$G642+1,FALSE)+0.02)),2.5)," ")</f>
        <v> </v>
      </c>
      <c r="P642" s="112" t="str">
        <f>iferror(mround(I642/VLOOKUP(L642,Sheet1!$D$7:$N$16,G642+1,FALSE),2.5),"")</f>
        <v/>
      </c>
      <c r="Q642" s="303" t="str">
        <f t="shared" si="19"/>
        <v/>
      </c>
      <c r="R642" s="242"/>
      <c r="S642" s="11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</row>
    <row r="643" ht="3.75" hidden="1" customHeight="1">
      <c r="A643" s="191"/>
      <c r="B643" s="6"/>
      <c r="C643" s="192"/>
      <c r="D643" s="138"/>
      <c r="E643" s="245"/>
      <c r="F643" s="102"/>
      <c r="G643" s="102"/>
      <c r="H643" s="102"/>
      <c r="I643" s="102"/>
      <c r="J643" s="156"/>
      <c r="K643" s="243"/>
      <c r="L643" s="210"/>
      <c r="M643" s="144"/>
      <c r="N643" s="145"/>
      <c r="O643" s="145"/>
      <c r="P643" s="122"/>
      <c r="Q643" s="304" t="str">
        <f t="shared" si="19"/>
        <v/>
      </c>
      <c r="R643" s="242"/>
      <c r="S643" s="157"/>
      <c r="T643" s="5"/>
      <c r="U643" s="5"/>
      <c r="V643" s="158"/>
      <c r="W643" s="158"/>
      <c r="X643" s="158"/>
      <c r="Y643" s="158"/>
      <c r="Z643" s="158"/>
      <c r="AA643" s="158"/>
      <c r="AB643" s="158"/>
      <c r="AC643" s="158"/>
      <c r="AD643" s="158"/>
      <c r="AE643" s="158"/>
      <c r="AF643" s="158"/>
      <c r="AG643" s="158"/>
    </row>
    <row r="644" ht="15.75" hidden="1" customHeight="1">
      <c r="A644" s="90"/>
      <c r="B644" s="6"/>
      <c r="C644" s="90"/>
      <c r="D644" s="159"/>
      <c r="E644" s="246"/>
      <c r="F644" s="127"/>
      <c r="G644" s="221"/>
      <c r="H644" s="195"/>
      <c r="I644" s="130"/>
      <c r="J644" s="228"/>
      <c r="K644" s="241"/>
      <c r="L644" s="130"/>
      <c r="M644" s="134" t="str">
        <f>I509</f>
        <v/>
      </c>
      <c r="N644" s="135" t="str">
        <f>iferror(mround($P509*((VLOOKUP($J644,Sheet1!$D:$N,$G644+1,FALSE)-0.03)),2.5)," ")</f>
        <v> </v>
      </c>
      <c r="O644" s="135" t="str">
        <f>iferror(mround($P509*((VLOOKUP($J644,Sheet1!$D:$N,$G644+1,FALSE)+0.02)),2.5)," ")</f>
        <v> </v>
      </c>
      <c r="P644" s="112" t="str">
        <f>iferror(mround(I644/VLOOKUP(L644,Sheet1!$D$7:$N$16,G644+1,FALSE),2.5),"")</f>
        <v/>
      </c>
      <c r="Q644" s="303" t="str">
        <f t="shared" si="19"/>
        <v/>
      </c>
      <c r="R644" s="242"/>
      <c r="S644" s="11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</row>
    <row r="645" ht="3.75" customHeight="1">
      <c r="A645" s="90"/>
      <c r="B645" s="6"/>
      <c r="C645" s="90"/>
      <c r="D645" s="138"/>
      <c r="E645" s="245"/>
      <c r="F645" s="102"/>
      <c r="G645" s="102"/>
      <c r="H645" s="102"/>
      <c r="I645" s="102"/>
      <c r="J645" s="156"/>
      <c r="K645" s="243"/>
      <c r="L645" s="210"/>
      <c r="M645" s="144"/>
      <c r="N645" s="145"/>
      <c r="O645" s="145"/>
      <c r="P645" s="122"/>
      <c r="Q645" s="304" t="str">
        <f t="shared" si="19"/>
        <v/>
      </c>
      <c r="R645" s="242"/>
      <c r="S645" s="11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</row>
    <row r="646" ht="15.75" hidden="1" customHeight="1">
      <c r="A646" s="90"/>
      <c r="B646" s="6"/>
      <c r="C646" s="90"/>
      <c r="D646" s="185"/>
      <c r="E646" s="227"/>
      <c r="F646" s="187"/>
      <c r="G646" s="229"/>
      <c r="H646" s="195"/>
      <c r="I646" s="247"/>
      <c r="J646" s="248"/>
      <c r="K646" s="241"/>
      <c r="L646" s="164"/>
      <c r="M646" s="134" t="str">
        <f>I511</f>
        <v/>
      </c>
      <c r="N646" s="135" t="str">
        <f>iferror(mround($P511*((VLOOKUP($J646,Sheet1!$D:$N,$G646+1,FALSE)-0.03)),2.5)," ")</f>
        <v> </v>
      </c>
      <c r="O646" s="135" t="str">
        <f>iferror(mround($P511*((VLOOKUP($J646,Sheet1!$D:$N,$G646+1,FALSE)+0.02)),2.5)," ")</f>
        <v> </v>
      </c>
      <c r="P646" s="112" t="str">
        <f>iferror(mround(I646/VLOOKUP(L646,Sheet1!$D$7:$N$16,G646+1,FALSE),2.5),"")</f>
        <v/>
      </c>
      <c r="Q646" s="303" t="str">
        <f t="shared" si="19"/>
        <v/>
      </c>
      <c r="R646" s="242"/>
      <c r="S646" s="11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</row>
    <row r="647" ht="3.75" hidden="1" customHeight="1">
      <c r="A647" s="90"/>
      <c r="B647" s="6"/>
      <c r="C647" s="90"/>
      <c r="D647" s="138"/>
      <c r="E647" s="215"/>
      <c r="F647" s="102"/>
      <c r="G647" s="102"/>
      <c r="H647" s="102"/>
      <c r="I647" s="102"/>
      <c r="J647" s="156"/>
      <c r="K647" s="243"/>
      <c r="L647" s="210"/>
      <c r="M647" s="144"/>
      <c r="N647" s="145"/>
      <c r="O647" s="145"/>
      <c r="P647" s="122"/>
      <c r="Q647" s="304" t="str">
        <f t="shared" si="19"/>
        <v/>
      </c>
      <c r="R647" s="242"/>
      <c r="S647" s="11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</row>
    <row r="648" ht="15.75" hidden="1" customHeight="1">
      <c r="A648" s="90"/>
      <c r="B648" s="6"/>
      <c r="C648" s="90"/>
      <c r="D648" s="185"/>
      <c r="E648" s="220"/>
      <c r="F648" s="187"/>
      <c r="G648" s="229"/>
      <c r="H648" s="195"/>
      <c r="I648" s="247"/>
      <c r="J648" s="248"/>
      <c r="K648" s="241"/>
      <c r="L648" s="164"/>
      <c r="M648" s="134" t="str">
        <f>I513</f>
        <v/>
      </c>
      <c r="N648" s="135" t="str">
        <f>iferror(mround($P513*((VLOOKUP($J648,Sheet1!$D:$N,$G648+1,FALSE)-0.03)),2.5)," ")</f>
        <v> </v>
      </c>
      <c r="O648" s="135" t="str">
        <f>iferror(mround($P513*((VLOOKUP($J648,Sheet1!$D:$N,$G648+1,FALSE)+0.02)),2.5)," ")</f>
        <v> </v>
      </c>
      <c r="P648" s="112" t="str">
        <f>iferror(mround(I648/VLOOKUP(L648,Sheet1!$D$7:$N$16,G648+1,FALSE),2.5),"")</f>
        <v/>
      </c>
      <c r="Q648" s="303" t="str">
        <f t="shared" si="19"/>
        <v/>
      </c>
      <c r="R648" s="242"/>
      <c r="S648" s="11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</row>
    <row r="649" ht="3.75" hidden="1" customHeight="1">
      <c r="A649" s="90"/>
      <c r="B649" s="6"/>
      <c r="C649" s="90"/>
      <c r="D649" s="196"/>
      <c r="E649" s="184"/>
      <c r="F649" s="102"/>
      <c r="G649" s="102"/>
      <c r="H649" s="102"/>
      <c r="I649" s="102"/>
      <c r="J649" s="156"/>
      <c r="K649" s="249"/>
      <c r="L649" s="210"/>
      <c r="M649" s="144"/>
      <c r="N649" s="145"/>
      <c r="O649" s="145"/>
      <c r="P649" s="122"/>
      <c r="Q649" s="304" t="str">
        <f t="shared" si="19"/>
        <v/>
      </c>
      <c r="R649" s="242"/>
      <c r="S649" s="11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</row>
    <row r="650" ht="15.75" hidden="1" customHeight="1">
      <c r="A650" s="90"/>
      <c r="B650" s="6"/>
      <c r="C650" s="90"/>
      <c r="D650" s="197"/>
      <c r="E650" s="250"/>
      <c r="F650" s="129"/>
      <c r="G650" s="199"/>
      <c r="H650" s="195"/>
      <c r="I650" s="247"/>
      <c r="J650" s="248"/>
      <c r="K650" s="251"/>
      <c r="L650" s="164"/>
      <c r="M650" s="134" t="str">
        <f>I515</f>
        <v/>
      </c>
      <c r="N650" s="135" t="str">
        <f>iferror(mround($P515*((VLOOKUP($J650,Sheet1!$D:$N,$G650+1,FALSE)-0.03)),2.5)," ")</f>
        <v> </v>
      </c>
      <c r="O650" s="135" t="str">
        <f>iferror(mround($P515*((VLOOKUP($J650,Sheet1!$D:$N,$G650+1,FALSE)+0.02)),2.5)," ")</f>
        <v> </v>
      </c>
      <c r="P650" s="112" t="str">
        <f>iferror(mround(I650/VLOOKUP(L650,Sheet1!$D$7:$N$16,G650+1,FALSE),2.5),"")</f>
        <v/>
      </c>
      <c r="Q650" s="303" t="str">
        <f t="shared" si="19"/>
        <v/>
      </c>
      <c r="R650" s="242"/>
      <c r="S650" s="11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</row>
    <row r="651" ht="3.75" hidden="1" customHeight="1">
      <c r="A651" s="90"/>
      <c r="B651" s="6"/>
      <c r="C651" s="90"/>
      <c r="D651" s="234"/>
      <c r="E651" s="184"/>
      <c r="F651" s="102"/>
      <c r="G651" s="102"/>
      <c r="H651" s="102"/>
      <c r="I651" s="102"/>
      <c r="J651" s="156"/>
      <c r="K651" s="249"/>
      <c r="L651" s="210"/>
      <c r="M651" s="144"/>
      <c r="N651" s="145"/>
      <c r="O651" s="145"/>
      <c r="P651" s="122"/>
      <c r="Q651" s="304" t="str">
        <f t="shared" si="19"/>
        <v/>
      </c>
      <c r="R651" s="242"/>
      <c r="S651" s="11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</row>
    <row r="652" ht="15.75" hidden="1" customHeight="1">
      <c r="A652" s="90"/>
      <c r="B652" s="6"/>
      <c r="C652" s="90"/>
      <c r="D652" s="197"/>
      <c r="E652" s="198"/>
      <c r="F652" s="129"/>
      <c r="G652" s="199"/>
      <c r="H652" s="195"/>
      <c r="I652" s="164"/>
      <c r="J652" s="248"/>
      <c r="K652" s="251"/>
      <c r="L652" s="164"/>
      <c r="M652" s="134" t="str">
        <f>I517</f>
        <v/>
      </c>
      <c r="N652" s="135" t="str">
        <f>iferror(mround($P517*((VLOOKUP($J652,Sheet1!$D:$N,$G652+1,FALSE)-0.03)),2.5)," ")</f>
        <v> </v>
      </c>
      <c r="O652" s="135" t="str">
        <f>iferror(mround($P517*((VLOOKUP($J652,Sheet1!$D:$N,$G652+1,FALSE)+0.02)),2.5)," ")</f>
        <v> </v>
      </c>
      <c r="P652" s="112" t="str">
        <f>iferror(mround(I652/VLOOKUP(L652,Sheet1!$D$7:$N$16,G652+1,FALSE),2.5),"")</f>
        <v/>
      </c>
      <c r="Q652" s="303" t="str">
        <f t="shared" si="19"/>
        <v/>
      </c>
      <c r="R652" s="242"/>
      <c r="S652" s="11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</row>
    <row r="653" ht="3.75" hidden="1" customHeight="1">
      <c r="A653" s="124"/>
      <c r="B653" s="6"/>
      <c r="C653" s="124"/>
      <c r="D653" s="252"/>
      <c r="E653" s="252"/>
      <c r="F653" s="102"/>
      <c r="G653" s="102"/>
      <c r="H653" s="102"/>
      <c r="I653" s="102"/>
      <c r="J653" s="156"/>
      <c r="K653" s="253"/>
      <c r="L653" s="201"/>
      <c r="M653" s="211"/>
      <c r="N653" s="47"/>
      <c r="O653" s="47"/>
      <c r="P653" s="122"/>
      <c r="Q653" s="304" t="str">
        <f t="shared" si="19"/>
        <v/>
      </c>
      <c r="R653" s="242"/>
      <c r="S653" s="11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</row>
    <row r="654" ht="30.75" hidden="1" customHeight="1">
      <c r="A654" s="90"/>
      <c r="B654" s="6"/>
      <c r="C654" s="90"/>
      <c r="D654" s="254" t="s">
        <v>57</v>
      </c>
      <c r="E654" s="255" t="s">
        <v>15</v>
      </c>
      <c r="F654" s="106" t="s">
        <v>16</v>
      </c>
      <c r="G654" s="106" t="s">
        <v>17</v>
      </c>
      <c r="H654" s="107"/>
      <c r="I654" s="106" t="s">
        <v>18</v>
      </c>
      <c r="J654" s="108" t="s">
        <v>19</v>
      </c>
      <c r="L654" s="109" t="s">
        <v>20</v>
      </c>
      <c r="M654" s="110" t="s">
        <v>21</v>
      </c>
      <c r="N654" s="111" t="s">
        <v>22</v>
      </c>
      <c r="P654" s="112"/>
      <c r="Q654" s="113" t="s">
        <v>23</v>
      </c>
      <c r="R654" s="256" t="s">
        <v>58</v>
      </c>
      <c r="S654" s="11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</row>
    <row r="655" ht="14.25" hidden="1" customHeight="1">
      <c r="A655" s="90"/>
      <c r="B655" s="6"/>
      <c r="C655" s="90"/>
      <c r="D655" s="257" t="s">
        <v>25</v>
      </c>
      <c r="E655" s="258" t="s">
        <v>26</v>
      </c>
      <c r="H655" s="107"/>
      <c r="N655" s="111" t="s">
        <v>27</v>
      </c>
      <c r="O655" s="111" t="s">
        <v>28</v>
      </c>
      <c r="P655" s="112" t="s">
        <v>29</v>
      </c>
      <c r="R655" s="118" t="s">
        <v>30</v>
      </c>
      <c r="S655" s="11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</row>
    <row r="656" ht="3.75" hidden="1" customHeight="1">
      <c r="A656" s="124"/>
      <c r="B656" s="6"/>
      <c r="C656" s="124"/>
      <c r="D656" s="252"/>
      <c r="E656" s="252"/>
      <c r="F656" s="102"/>
      <c r="G656" s="102"/>
      <c r="H656" s="102"/>
      <c r="I656" s="102"/>
      <c r="J656" s="156"/>
      <c r="K656" s="253"/>
      <c r="L656" s="201"/>
      <c r="M656" s="211"/>
      <c r="N656" s="47"/>
      <c r="O656" s="47"/>
      <c r="P656" s="122"/>
      <c r="Q656" s="304" t="str">
        <f t="shared" ref="Q656:Q679" si="20">IF(OR(ISBLANK(I656), ISBLANK(I521)), "", IF(I656 - I521 = 0, "", I656 - I521))</f>
        <v/>
      </c>
      <c r="R656" s="259"/>
      <c r="S656" s="11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</row>
    <row r="657" ht="14.25" hidden="1" customHeight="1">
      <c r="A657" s="124"/>
      <c r="B657" s="6"/>
      <c r="C657" s="124"/>
      <c r="D657" s="260"/>
      <c r="E657" s="126"/>
      <c r="F657" s="187"/>
      <c r="G657" s="229"/>
      <c r="H657" s="129"/>
      <c r="I657" s="164"/>
      <c r="J657" s="189"/>
      <c r="K657" s="251"/>
      <c r="L657" s="164"/>
      <c r="M657" s="134" t="str">
        <f>I524</f>
        <v/>
      </c>
      <c r="N657" s="135" t="str">
        <f>iferror(mround($P524*((VLOOKUP($J657,Sheet1!$D:$N,$G657+1,FALSE)-0.03)),2.5)," ")</f>
        <v> </v>
      </c>
      <c r="O657" s="135" t="str">
        <f>iferror(mround($P524*((VLOOKUP($J657,Sheet1!$D:$N,$G657+1,FALSE)+0.02)),2.5)," ")</f>
        <v> </v>
      </c>
      <c r="P657" s="56" t="str">
        <f>iferror(mround(I657/VLOOKUP(L657,Sheet1!$D$7:$N$16,G657+1,FALSE),2.5),"")</f>
        <v/>
      </c>
      <c r="Q657" s="303" t="str">
        <f t="shared" si="20"/>
        <v/>
      </c>
      <c r="S657" s="11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</row>
    <row r="658" ht="3.75" hidden="1" customHeight="1">
      <c r="A658" s="124"/>
      <c r="B658" s="6"/>
      <c r="C658" s="124"/>
      <c r="D658" s="138"/>
      <c r="E658" s="215"/>
      <c r="F658" s="102"/>
      <c r="G658" s="102"/>
      <c r="H658" s="102"/>
      <c r="I658" s="102"/>
      <c r="J658" s="156"/>
      <c r="K658" s="249"/>
      <c r="L658" s="210"/>
      <c r="M658" s="144"/>
      <c r="N658" s="145"/>
      <c r="O658" s="145"/>
      <c r="P658" s="122"/>
      <c r="Q658" s="304" t="str">
        <f t="shared" si="20"/>
        <v/>
      </c>
      <c r="S658" s="11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</row>
    <row r="659" ht="14.25" hidden="1" customHeight="1">
      <c r="A659" s="124"/>
      <c r="B659" s="6"/>
      <c r="C659" s="124"/>
      <c r="D659" s="185"/>
      <c r="E659" s="227"/>
      <c r="F659" s="187"/>
      <c r="G659" s="229"/>
      <c r="H659" s="195"/>
      <c r="I659" s="164"/>
      <c r="J659" s="248"/>
      <c r="K659" s="251"/>
      <c r="L659" s="164"/>
      <c r="M659" s="134" t="str">
        <f>I524</f>
        <v/>
      </c>
      <c r="N659" s="135" t="str">
        <f>iferror(mround($P524*((VLOOKUP($J659,Sheet1!$D:$N,$G659+1,FALSE)-0.03)),2.5)," ")</f>
        <v> </v>
      </c>
      <c r="O659" s="135" t="str">
        <f>iferror(mround($P524*((VLOOKUP($J659,Sheet1!$D:$N,$G659+1,FALSE)+0.02)),2.5)," ")</f>
        <v> </v>
      </c>
      <c r="P659" s="112" t="str">
        <f>iferror(mround(I659/VLOOKUP(L659,Sheet1!$D$7:$N$16,G659+1,FALSE),2.5),"")</f>
        <v/>
      </c>
      <c r="Q659" s="303" t="str">
        <f t="shared" si="20"/>
        <v/>
      </c>
      <c r="S659" s="11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</row>
    <row r="660" ht="3.75" hidden="1" customHeight="1">
      <c r="A660" s="124"/>
      <c r="B660" s="6"/>
      <c r="C660" s="124"/>
      <c r="D660" s="138"/>
      <c r="E660" s="245"/>
      <c r="F660" s="102"/>
      <c r="G660" s="102"/>
      <c r="H660" s="102"/>
      <c r="I660" s="102"/>
      <c r="J660" s="156"/>
      <c r="K660" s="249"/>
      <c r="L660" s="210"/>
      <c r="M660" s="144"/>
      <c r="N660" s="145"/>
      <c r="O660" s="145"/>
      <c r="P660" s="122"/>
      <c r="Q660" s="304" t="str">
        <f t="shared" si="20"/>
        <v/>
      </c>
      <c r="S660" s="11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</row>
    <row r="661" ht="14.25" hidden="1" customHeight="1">
      <c r="A661" s="124"/>
      <c r="B661" s="6"/>
      <c r="C661" s="124"/>
      <c r="D661" s="185"/>
      <c r="E661" s="227"/>
      <c r="F661" s="187"/>
      <c r="G661" s="229"/>
      <c r="H661" s="195"/>
      <c r="I661" s="164"/>
      <c r="J661" s="248"/>
      <c r="K661" s="251"/>
      <c r="L661" s="164"/>
      <c r="M661" s="134" t="str">
        <f>I526</f>
        <v/>
      </c>
      <c r="N661" s="135" t="str">
        <f>iferror(mround($P526*((VLOOKUP($J661,Sheet1!$D:$N,$G661+1,FALSE)-0.03)),2.5)," ")</f>
        <v> </v>
      </c>
      <c r="O661" s="135" t="str">
        <f>iferror(mround($P526*((VLOOKUP($J661,Sheet1!$D:$N,$G661+1,FALSE)+0.02)),2.5)," ")</f>
        <v> </v>
      </c>
      <c r="P661" s="112" t="str">
        <f>iferror(mround(I661/VLOOKUP(L661,Sheet1!$D$7:$N$16,G661+1,FALSE),2.5),"")</f>
        <v/>
      </c>
      <c r="Q661" s="303" t="str">
        <f t="shared" si="20"/>
        <v/>
      </c>
      <c r="S661" s="11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</row>
    <row r="662" ht="3.75" hidden="1" customHeight="1">
      <c r="A662" s="124"/>
      <c r="B662" s="6"/>
      <c r="C662" s="124"/>
      <c r="D662" s="138"/>
      <c r="E662" s="245"/>
      <c r="F662" s="102"/>
      <c r="G662" s="102"/>
      <c r="H662" s="102"/>
      <c r="I662" s="102"/>
      <c r="J662" s="156"/>
      <c r="K662" s="249"/>
      <c r="L662" s="210"/>
      <c r="M662" s="144"/>
      <c r="N662" s="145"/>
      <c r="O662" s="145"/>
      <c r="P662" s="122"/>
      <c r="Q662" s="304" t="str">
        <f t="shared" si="20"/>
        <v/>
      </c>
      <c r="S662" s="11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</row>
    <row r="663" ht="14.25" hidden="1" customHeight="1">
      <c r="A663" s="124"/>
      <c r="B663" s="6"/>
      <c r="C663" s="124"/>
      <c r="D663" s="185"/>
      <c r="E663" s="227"/>
      <c r="F663" s="187"/>
      <c r="G663" s="229"/>
      <c r="H663" s="195"/>
      <c r="I663" s="164"/>
      <c r="J663" s="248"/>
      <c r="K663" s="251"/>
      <c r="L663" s="164"/>
      <c r="M663" s="134"/>
      <c r="N663" s="135" t="str">
        <f>iferror(mround($P528*((VLOOKUP($J663,Sheet1!$D:$N,$G663+1,FALSE)-0.03)),2.5)," ")</f>
        <v> </v>
      </c>
      <c r="O663" s="135" t="str">
        <f>iferror(mround($P528*((VLOOKUP($J663,Sheet1!$D:$N,$G663+1,FALSE)+0.02)),2.5)," ")</f>
        <v> </v>
      </c>
      <c r="P663" s="112" t="str">
        <f>iferror(mround(I663/VLOOKUP(L663,Sheet1!$D$7:$N$16,G663+1,FALSE),2.5),"")</f>
        <v/>
      </c>
      <c r="Q663" s="303" t="str">
        <f t="shared" si="20"/>
        <v/>
      </c>
      <c r="S663" s="11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</row>
    <row r="664" ht="3.75" hidden="1" customHeight="1">
      <c r="A664" s="124"/>
      <c r="B664" s="6"/>
      <c r="C664" s="124"/>
      <c r="D664" s="138"/>
      <c r="E664" s="245"/>
      <c r="F664" s="102"/>
      <c r="G664" s="102"/>
      <c r="H664" s="102"/>
      <c r="I664" s="102"/>
      <c r="J664" s="156"/>
      <c r="K664" s="249"/>
      <c r="L664" s="210"/>
      <c r="M664" s="144"/>
      <c r="N664" s="145" t="str">
        <f>iferror(mround($P529*((VLOOKUP($J664,Sheet1!$D:$N,$G664+1,FALSE)-0.03)),2.5)," ")</f>
        <v> </v>
      </c>
      <c r="O664" s="145" t="str">
        <f>iferror(mround($P529*((VLOOKUP($J664,Sheet1!$D:$N,$G664+1,FALSE)+0.02)),2.5)," ")</f>
        <v> </v>
      </c>
      <c r="P664" s="122"/>
      <c r="Q664" s="304" t="str">
        <f t="shared" si="20"/>
        <v/>
      </c>
      <c r="S664" s="11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</row>
    <row r="665" ht="14.25" hidden="1" customHeight="1">
      <c r="A665" s="124"/>
      <c r="B665" s="6"/>
      <c r="C665" s="124"/>
      <c r="D665" s="185"/>
      <c r="E665" s="227"/>
      <c r="F665" s="187"/>
      <c r="G665" s="187"/>
      <c r="H665" s="195"/>
      <c r="I665" s="164"/>
      <c r="J665" s="248"/>
      <c r="K665" s="251"/>
      <c r="L665" s="164"/>
      <c r="M665" s="134" t="str">
        <f>I530</f>
        <v/>
      </c>
      <c r="N665" s="135" t="str">
        <f>iferror(mround($P530*((VLOOKUP($J665,Sheet1!$D:$N,$G665+1,FALSE)-0.03)),2.5)," ")</f>
        <v> </v>
      </c>
      <c r="O665" s="135" t="str">
        <f>iferror(mround($P530*((VLOOKUP($J665,Sheet1!$D:$N,$G665+1,FALSE)+0.02)),2.5)," ")</f>
        <v> </v>
      </c>
      <c r="P665" s="112" t="str">
        <f>iferror(mround(I665/VLOOKUP(L665,Sheet1!$D$7:$N$16,G665+1,FALSE),2.5),"")</f>
        <v/>
      </c>
      <c r="Q665" s="303" t="str">
        <f t="shared" si="20"/>
        <v/>
      </c>
      <c r="S665" s="11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</row>
    <row r="666" ht="3.75" hidden="1" customHeight="1">
      <c r="A666" s="261"/>
      <c r="B666" s="6"/>
      <c r="C666" s="262"/>
      <c r="D666" s="138"/>
      <c r="E666" s="245"/>
      <c r="F666" s="102"/>
      <c r="G666" s="102"/>
      <c r="H666" s="102"/>
      <c r="I666" s="102"/>
      <c r="J666" s="156"/>
      <c r="K666" s="249"/>
      <c r="L666" s="210"/>
      <c r="M666" s="144"/>
      <c r="N666" s="145"/>
      <c r="O666" s="145"/>
      <c r="P666" s="122"/>
      <c r="Q666" s="304" t="str">
        <f t="shared" si="20"/>
        <v/>
      </c>
      <c r="S666" s="157"/>
      <c r="T666" s="5"/>
      <c r="U666" s="5"/>
      <c r="V666" s="158"/>
      <c r="W666" s="158"/>
      <c r="X666" s="158"/>
      <c r="Y666" s="158"/>
      <c r="Z666" s="158"/>
      <c r="AA666" s="158"/>
      <c r="AB666" s="158"/>
      <c r="AC666" s="158"/>
      <c r="AD666" s="158"/>
      <c r="AE666" s="158"/>
      <c r="AF666" s="158"/>
      <c r="AG666" s="158"/>
    </row>
    <row r="667" ht="14.25" hidden="1" customHeight="1">
      <c r="A667" s="124"/>
      <c r="B667" s="6"/>
      <c r="C667" s="124"/>
      <c r="D667" s="185"/>
      <c r="E667" s="227"/>
      <c r="F667" s="187"/>
      <c r="G667" s="187"/>
      <c r="H667" s="195"/>
      <c r="I667" s="164"/>
      <c r="J667" s="248"/>
      <c r="K667" s="251"/>
      <c r="L667" s="164"/>
      <c r="M667" s="134" t="str">
        <f>I532</f>
        <v/>
      </c>
      <c r="N667" s="135" t="str">
        <f>iferror(mround($P532*((VLOOKUP($J667,Sheet1!$D:$N,$G667+1,FALSE)-0.03)),2.5)," ")</f>
        <v> </v>
      </c>
      <c r="O667" s="135" t="str">
        <f>iferror(mround($P532*((VLOOKUP($J667,Sheet1!$D:$N,$G667+1,FALSE)+0.02)),2.5)," ")</f>
        <v> </v>
      </c>
      <c r="P667" s="112" t="str">
        <f>iferror(mround(I667/VLOOKUP(L667,Sheet1!$D$7:$N$16,G667+1,FALSE),2.5),"")</f>
        <v/>
      </c>
      <c r="Q667" s="303" t="str">
        <f t="shared" si="20"/>
        <v/>
      </c>
      <c r="S667" s="11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</row>
    <row r="668" ht="3.75" hidden="1" customHeight="1">
      <c r="A668" s="261"/>
      <c r="B668" s="6"/>
      <c r="C668" s="262"/>
      <c r="D668" s="138"/>
      <c r="E668" s="252"/>
      <c r="F668" s="102"/>
      <c r="G668" s="102"/>
      <c r="H668" s="102"/>
      <c r="I668" s="102"/>
      <c r="J668" s="156"/>
      <c r="K668" s="249"/>
      <c r="L668" s="210"/>
      <c r="M668" s="144"/>
      <c r="N668" s="145"/>
      <c r="O668" s="145"/>
      <c r="P668" s="122"/>
      <c r="Q668" s="304" t="str">
        <f t="shared" si="20"/>
        <v/>
      </c>
      <c r="S668" s="157"/>
      <c r="T668" s="5"/>
      <c r="U668" s="5"/>
      <c r="V668" s="158"/>
      <c r="W668" s="158"/>
      <c r="X668" s="158"/>
      <c r="Y668" s="158"/>
      <c r="Z668" s="158"/>
      <c r="AA668" s="158"/>
      <c r="AB668" s="158"/>
      <c r="AC668" s="158"/>
      <c r="AD668" s="158"/>
      <c r="AE668" s="158"/>
      <c r="AF668" s="158"/>
      <c r="AG668" s="158"/>
    </row>
    <row r="669" ht="15.75" hidden="1" customHeight="1">
      <c r="A669" s="124"/>
      <c r="B669" s="6"/>
      <c r="C669" s="124"/>
      <c r="D669" s="185"/>
      <c r="E669" s="260"/>
      <c r="F669" s="187"/>
      <c r="G669" s="187"/>
      <c r="H669" s="195"/>
      <c r="I669" s="247"/>
      <c r="J669" s="248"/>
      <c r="K669" s="251"/>
      <c r="L669" s="164"/>
      <c r="M669" s="134"/>
      <c r="N669" s="135" t="str">
        <f>iferror(mround($P534*((VLOOKUP($J669,Sheet1!$D:$N,$G669+1,FALSE)-0.03)),2.5)," ")</f>
        <v> </v>
      </c>
      <c r="O669" s="135" t="str">
        <f>iferror(mround($P534*((VLOOKUP($J669,Sheet1!$D:$N,$G669+1,FALSE)+0.02)),2.5)," ")</f>
        <v> </v>
      </c>
      <c r="P669" s="112" t="str">
        <f>iferror(mround(I669/VLOOKUP(L669,Sheet1!$D$7:$N$16,G669+1,FALSE),2.5),"")</f>
        <v/>
      </c>
      <c r="Q669" s="303" t="str">
        <f t="shared" si="20"/>
        <v/>
      </c>
      <c r="S669" s="11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</row>
    <row r="670" ht="3.75" hidden="1" customHeight="1">
      <c r="A670" s="124"/>
      <c r="B670" s="6"/>
      <c r="C670" s="124"/>
      <c r="D670" s="263"/>
      <c r="E670" s="252"/>
      <c r="F670" s="102"/>
      <c r="G670" s="102"/>
      <c r="H670" s="102"/>
      <c r="I670" s="102"/>
      <c r="J670" s="156"/>
      <c r="K670" s="249"/>
      <c r="L670" s="210"/>
      <c r="M670" s="144"/>
      <c r="N670" s="145" t="str">
        <f>iferror(mround($P535*((VLOOKUP($J670,Sheet1!$D:$N,$G670+1,FALSE)-0.03)),2.5)," ")</f>
        <v> </v>
      </c>
      <c r="O670" s="145" t="str">
        <f>iferror(mround($P535*((VLOOKUP($J670,Sheet1!$D:$N,$G670+1,FALSE)+0.02)),2.5)," ")</f>
        <v> </v>
      </c>
      <c r="P670" s="122"/>
      <c r="Q670" s="304" t="str">
        <f t="shared" si="20"/>
        <v/>
      </c>
      <c r="S670" s="11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</row>
    <row r="671" ht="14.25" hidden="1" customHeight="1">
      <c r="A671" s="90"/>
      <c r="B671" s="6"/>
      <c r="C671" s="90"/>
      <c r="D671" s="185"/>
      <c r="E671" s="264"/>
      <c r="F671" s="187"/>
      <c r="G671" s="187"/>
      <c r="H671" s="195"/>
      <c r="I671" s="164"/>
      <c r="J671" s="248"/>
      <c r="K671" s="251"/>
      <c r="L671" s="164"/>
      <c r="M671" s="134" t="str">
        <f>I536</f>
        <v/>
      </c>
      <c r="N671" s="135" t="str">
        <f>iferror(mround($P536*((VLOOKUP($J671,Sheet1!$D:$N,$G671+1,FALSE)-0.03)),2.5)," ")</f>
        <v> </v>
      </c>
      <c r="O671" s="135" t="str">
        <f>iferror(mround($P536*((VLOOKUP($J671,Sheet1!$D:$N,$G671+1,FALSE)+0.02)),2.5)," ")</f>
        <v> </v>
      </c>
      <c r="P671" s="112" t="str">
        <f>iferror(mround(I671/VLOOKUP(L671,Sheet1!$D$7:$N$16,G671+1,FALSE),2.5),"")</f>
        <v/>
      </c>
      <c r="Q671" s="303" t="str">
        <f t="shared" si="20"/>
        <v/>
      </c>
      <c r="S671" s="11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</row>
    <row r="672" ht="3.75" hidden="1" customHeight="1">
      <c r="A672" s="261"/>
      <c r="B672" s="6"/>
      <c r="C672" s="262"/>
      <c r="D672" s="263"/>
      <c r="E672" s="263"/>
      <c r="F672" s="194"/>
      <c r="G672" s="194"/>
      <c r="H672" s="155"/>
      <c r="I672" s="210"/>
      <c r="J672" s="265"/>
      <c r="K672" s="249"/>
      <c r="L672" s="210"/>
      <c r="M672" s="144"/>
      <c r="N672" s="145"/>
      <c r="O672" s="145"/>
      <c r="P672" s="122"/>
      <c r="Q672" s="304" t="str">
        <f t="shared" si="20"/>
        <v/>
      </c>
      <c r="S672" s="157"/>
      <c r="T672" s="5"/>
      <c r="U672" s="5"/>
      <c r="V672" s="158"/>
      <c r="W672" s="158"/>
      <c r="X672" s="158"/>
      <c r="Y672" s="158"/>
      <c r="Z672" s="158"/>
      <c r="AA672" s="158"/>
      <c r="AB672" s="158"/>
      <c r="AC672" s="158"/>
      <c r="AD672" s="158"/>
      <c r="AE672" s="158"/>
      <c r="AF672" s="158"/>
      <c r="AG672" s="158"/>
    </row>
    <row r="673" ht="15.75" hidden="1" customHeight="1">
      <c r="A673" s="90"/>
      <c r="B673" s="6"/>
      <c r="C673" s="90"/>
      <c r="D673" s="185"/>
      <c r="E673" s="266"/>
      <c r="F673" s="187"/>
      <c r="G673" s="187"/>
      <c r="H673" s="195"/>
      <c r="I673" s="164"/>
      <c r="J673" s="248"/>
      <c r="K673" s="251"/>
      <c r="L673" s="164"/>
      <c r="M673" s="134"/>
      <c r="N673" s="135" t="str">
        <f>iferror(mround($P538*((VLOOKUP($J673,Sheet1!$D:$N,$G673+1,FALSE)-0.03)),2.5)," ")</f>
        <v> </v>
      </c>
      <c r="O673" s="135" t="str">
        <f>iferror(mround($P538*((VLOOKUP($J673,Sheet1!$D:$N,$G673+1,FALSE)+0.02)),2.5)," ")</f>
        <v> </v>
      </c>
      <c r="P673" s="112" t="str">
        <f>iferror(mround(I673/VLOOKUP(L673,Sheet1!$D$7:$N$16,G673+1,FALSE),2.5),"")</f>
        <v/>
      </c>
      <c r="Q673" s="303" t="str">
        <f t="shared" si="20"/>
        <v/>
      </c>
      <c r="S673" s="11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</row>
    <row r="674" ht="3.75" hidden="1" customHeight="1">
      <c r="A674" s="90"/>
      <c r="B674" s="6"/>
      <c r="C674" s="90"/>
      <c r="D674" s="138"/>
      <c r="E674" s="252"/>
      <c r="F674" s="102"/>
      <c r="G674" s="102"/>
      <c r="H674" s="102"/>
      <c r="I674" s="102"/>
      <c r="J674" s="156"/>
      <c r="K674" s="249"/>
      <c r="L674" s="210"/>
      <c r="M674" s="144"/>
      <c r="N674" s="145" t="str">
        <f>iferror(mround($P539*((VLOOKUP($J674,Sheet1!$D:$N,$G674+1,FALSE)-0.03)),2.5)," ")</f>
        <v> </v>
      </c>
      <c r="O674" s="145" t="str">
        <f>iferror(mround($P539*((VLOOKUP($J674,Sheet1!$D:$N,$G674+1,FALSE)+0.02)),2.5)," ")</f>
        <v> </v>
      </c>
      <c r="P674" s="122"/>
      <c r="Q674" s="304" t="str">
        <f t="shared" si="20"/>
        <v/>
      </c>
      <c r="S674" s="11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</row>
    <row r="675" ht="15.75" hidden="1" customHeight="1">
      <c r="A675" s="90"/>
      <c r="B675" s="6"/>
      <c r="C675" s="90"/>
      <c r="D675" s="185"/>
      <c r="E675" s="264"/>
      <c r="F675" s="187"/>
      <c r="G675" s="187"/>
      <c r="H675" s="195"/>
      <c r="I675" s="164"/>
      <c r="J675" s="248"/>
      <c r="K675" s="251"/>
      <c r="L675" s="164"/>
      <c r="M675" s="134" t="str">
        <f>I540</f>
        <v/>
      </c>
      <c r="N675" s="135" t="str">
        <f>iferror(mround($P540*((VLOOKUP($J675,Sheet1!$D:$N,$G675+1,FALSE)-0.03)),2.5)," ")</f>
        <v> </v>
      </c>
      <c r="O675" s="135" t="str">
        <f>iferror(mround($P540*((VLOOKUP($J675,Sheet1!$D:$N,$G675+1,FALSE)+0.02)),2.5)," ")</f>
        <v> </v>
      </c>
      <c r="P675" s="112" t="str">
        <f>iferror(mround(I675/VLOOKUP(L675,Sheet1!$D$7:$N$16,G675+1,FALSE),2.5),"")</f>
        <v/>
      </c>
      <c r="Q675" s="303" t="str">
        <f t="shared" si="20"/>
        <v/>
      </c>
      <c r="S675" s="11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</row>
    <row r="676" ht="3.75" hidden="1" customHeight="1">
      <c r="A676" s="191"/>
      <c r="B676" s="6"/>
      <c r="C676" s="192"/>
      <c r="D676" s="138"/>
      <c r="E676" s="252"/>
      <c r="F676" s="102"/>
      <c r="G676" s="102"/>
      <c r="H676" s="102"/>
      <c r="I676" s="102"/>
      <c r="J676" s="156"/>
      <c r="K676" s="249"/>
      <c r="L676" s="210"/>
      <c r="M676" s="144"/>
      <c r="N676" s="145"/>
      <c r="O676" s="145"/>
      <c r="P676" s="122"/>
      <c r="Q676" s="304" t="str">
        <f t="shared" si="20"/>
        <v/>
      </c>
      <c r="S676" s="157"/>
      <c r="T676" s="5"/>
      <c r="U676" s="5"/>
      <c r="V676" s="158"/>
      <c r="W676" s="158"/>
      <c r="X676" s="158"/>
      <c r="Y676" s="158"/>
      <c r="Z676" s="158"/>
      <c r="AA676" s="158"/>
      <c r="AB676" s="158"/>
      <c r="AC676" s="158"/>
      <c r="AD676" s="158"/>
      <c r="AE676" s="158"/>
      <c r="AF676" s="158"/>
      <c r="AG676" s="158"/>
    </row>
    <row r="677" ht="15.75" hidden="1" customHeight="1">
      <c r="A677" s="90"/>
      <c r="B677" s="6"/>
      <c r="C677" s="90"/>
      <c r="D677" s="185"/>
      <c r="E677" s="260"/>
      <c r="F677" s="187"/>
      <c r="G677" s="187"/>
      <c r="H677" s="195"/>
      <c r="I677" s="164"/>
      <c r="J677" s="248"/>
      <c r="K677" s="251"/>
      <c r="L677" s="164"/>
      <c r="M677" s="134" t="str">
        <f>I542</f>
        <v/>
      </c>
      <c r="N677" s="135" t="str">
        <f>iferror(mround($P542*((VLOOKUP($J677,Sheet1!$D:$N,$G677+1,FALSE)-0.03)),2.5)," ")</f>
        <v> </v>
      </c>
      <c r="O677" s="135" t="str">
        <f>iferror(mround($P542*((VLOOKUP($J677,Sheet1!$D:$N,$G677+1,FALSE)+0.02)),2.5)," ")</f>
        <v> </v>
      </c>
      <c r="P677" s="112" t="str">
        <f>iferror(mround(I677/VLOOKUP(L677,Sheet1!$D$7:$N$16,G677+1,FALSE),2.5),"")</f>
        <v/>
      </c>
      <c r="Q677" s="303" t="str">
        <f t="shared" si="20"/>
        <v/>
      </c>
      <c r="S677" s="11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</row>
    <row r="678" ht="3.75" hidden="1" customHeight="1">
      <c r="A678" s="90"/>
      <c r="B678" s="6"/>
      <c r="C678" s="90"/>
      <c r="D678" s="263"/>
      <c r="E678" s="252"/>
      <c r="F678" s="102"/>
      <c r="G678" s="102"/>
      <c r="H678" s="102"/>
      <c r="I678" s="102"/>
      <c r="J678" s="156"/>
      <c r="K678" s="249"/>
      <c r="L678" s="210"/>
      <c r="M678" s="144"/>
      <c r="N678" s="145"/>
      <c r="O678" s="145"/>
      <c r="P678" s="122"/>
      <c r="Q678" s="304" t="str">
        <f t="shared" si="20"/>
        <v/>
      </c>
      <c r="S678" s="11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</row>
    <row r="679" ht="15.75" hidden="1" customHeight="1">
      <c r="A679" s="90"/>
      <c r="B679" s="6"/>
      <c r="C679" s="90"/>
      <c r="D679" s="185"/>
      <c r="E679" s="266"/>
      <c r="F679" s="187"/>
      <c r="G679" s="187"/>
      <c r="H679" s="195"/>
      <c r="I679" s="164"/>
      <c r="J679" s="248"/>
      <c r="K679" s="251"/>
      <c r="L679" s="164"/>
      <c r="M679" s="134" t="str">
        <f>I544</f>
        <v/>
      </c>
      <c r="N679" s="135" t="str">
        <f>iferror(mround($P544*((VLOOKUP($J679,Sheet1!$D:$N,$G679+1,FALSE)-0.03)),2.5)," ")</f>
        <v> </v>
      </c>
      <c r="O679" s="135" t="str">
        <f>iferror(mround($P544*((VLOOKUP($J679,Sheet1!$D:$N,$G679+1,FALSE)+0.02)),2.5)," ")</f>
        <v> </v>
      </c>
      <c r="P679" s="112" t="str">
        <f>iferror(mround(I679/VLOOKUP(L679,Sheet1!$D$7:$N$16,G679+1,FALSE),2.5),"")</f>
        <v/>
      </c>
      <c r="Q679" s="303" t="str">
        <f t="shared" si="20"/>
        <v/>
      </c>
      <c r="S679" s="11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</row>
    <row r="680" ht="3.75" customHeight="1">
      <c r="A680" s="191"/>
      <c r="B680" s="6"/>
      <c r="C680" s="192"/>
      <c r="D680" s="192"/>
      <c r="E680" s="267"/>
      <c r="F680" s="194"/>
      <c r="G680" s="194"/>
      <c r="H680" s="155"/>
      <c r="I680" s="210"/>
      <c r="J680" s="268"/>
      <c r="K680" s="249"/>
      <c r="L680" s="269"/>
      <c r="M680" s="270"/>
      <c r="N680" s="269"/>
      <c r="O680" s="269"/>
      <c r="P680" s="271"/>
      <c r="Q680" s="272"/>
      <c r="R680" s="273"/>
      <c r="S680" s="157"/>
      <c r="T680" s="5"/>
      <c r="U680" s="5"/>
      <c r="V680" s="158"/>
      <c r="W680" s="158"/>
      <c r="X680" s="158"/>
      <c r="Y680" s="158"/>
      <c r="Z680" s="158"/>
      <c r="AA680" s="158"/>
      <c r="AB680" s="158"/>
      <c r="AC680" s="158"/>
      <c r="AD680" s="158"/>
      <c r="AE680" s="158"/>
      <c r="AF680" s="158"/>
      <c r="AG680" s="158"/>
    </row>
    <row r="681" ht="14.25" customHeight="1">
      <c r="A681" s="5"/>
      <c r="B681" s="6"/>
      <c r="C681" s="5"/>
      <c r="D681" s="274"/>
      <c r="E681" s="266"/>
      <c r="F681" s="187"/>
      <c r="G681" s="187"/>
      <c r="H681" s="195"/>
      <c r="I681" s="129"/>
      <c r="J681" s="275"/>
      <c r="K681" s="276"/>
      <c r="L681" s="187"/>
      <c r="M681" s="187"/>
      <c r="N681" s="187"/>
      <c r="O681" s="187"/>
      <c r="P681" s="277"/>
      <c r="Q681" s="278"/>
      <c r="R681" s="279"/>
      <c r="S681" s="11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</row>
    <row r="682" ht="14.25" customHeight="1">
      <c r="A682" s="5"/>
      <c r="B682" s="6"/>
      <c r="C682" s="5"/>
      <c r="D682" s="274" t="s">
        <v>59</v>
      </c>
      <c r="E682" s="266" t="s">
        <v>16</v>
      </c>
      <c r="F682" s="187" t="s">
        <v>17</v>
      </c>
      <c r="G682" s="187" t="s">
        <v>60</v>
      </c>
      <c r="H682" s="187"/>
      <c r="I682" s="280" t="s">
        <v>61</v>
      </c>
      <c r="J682" s="266" t="s">
        <v>62</v>
      </c>
      <c r="K682" s="274"/>
      <c r="L682" s="187"/>
      <c r="M682" s="285"/>
      <c r="N682" s="285"/>
      <c r="O682" s="285"/>
      <c r="P682" s="282"/>
      <c r="Q682" s="278"/>
      <c r="R682" s="157"/>
      <c r="S682" s="11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</row>
    <row r="683" ht="14.25" customHeight="1">
      <c r="A683" s="5"/>
      <c r="B683" s="6"/>
      <c r="C683" s="5"/>
      <c r="D683" s="274" t="s">
        <v>6</v>
      </c>
      <c r="E683" s="283">
        <f>IFERROR(__xludf.DUMMYFUNCTION("SUM(FILTER(F558:F682, ISNUMBER(SEARCH(""squat"", D558:D682))))"),6.0)</f>
        <v>6</v>
      </c>
      <c r="F683" s="284">
        <f>IFERROR(__xludf.DUMMYFUNCTION("SUMPRODUCT(FILTER(F558:F682 * G558:G682, ISNUMBER(SEARCH(""squat"", D558:D682))))"),275274.0)</f>
        <v>275274</v>
      </c>
      <c r="G683" s="135">
        <f>IFERROR(__xludf.DUMMYFUNCTION("ROUND(SUMPRODUCT(FILTER(F558:F682 * G558:G682 * I558:I682, ISNUMBER(SEARCH(""squat"", D558:D682)))), 0)"),2.825433E7)</f>
        <v>28254330</v>
      </c>
      <c r="H683" s="285"/>
      <c r="I683" s="135" t="str">
        <f>IFERROR(__xludf.DUMMYFUNCTION("ROUND(AVERAGE(FILTER(I558:I682, ISNUMBER(SEARCH(""squat"", D558:D682)), I558:I682 &lt;&gt; """")) / J683 * 100, 0)"),"#VALUE!")</f>
        <v>#VALUE!</v>
      </c>
      <c r="J683" s="283" t="str">
        <f>IFERROR(__xludf.DUMMYFUNCTION("IFERROR(MROUND(AVERAGE(FILTER(P558:P682, D558:D682 = ""comp squat"", P558:P682 &lt;&gt; """", P558:P682 &gt;= 0.9 * MAX(FILTER(P558:P682, D558:D682 = ""comp squat"", P558:P682 &lt;&gt; """")), P558:P682 &lt;= 1.1 * MAX(FILTER(P558:P682, D558:D682 = ""comp squat"", P558:P68"&amp;"2 &lt;&gt; """")))), 2.5), ""No valid data"")"),"No valid data")</f>
        <v>No valid data</v>
      </c>
      <c r="K683" s="286"/>
      <c r="L683" s="287" t="str">
        <f>MROUND(J683/2.2046,2.5)-$O$10</f>
        <v>#VALUE!</v>
      </c>
      <c r="M683" s="305"/>
      <c r="N683" s="305"/>
      <c r="O683" s="305"/>
      <c r="P683" s="282"/>
      <c r="Q683" s="278"/>
      <c r="R683" s="291"/>
      <c r="S683" s="11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</row>
    <row r="684" ht="3.0" customHeight="1">
      <c r="A684" s="5"/>
      <c r="B684" s="6"/>
      <c r="C684" s="5"/>
      <c r="D684" s="90"/>
      <c r="E684" s="156"/>
      <c r="F684" s="102"/>
      <c r="G684" s="145"/>
      <c r="H684" s="102"/>
      <c r="I684" s="145"/>
      <c r="J684" s="156"/>
      <c r="K684" s="286"/>
      <c r="L684" s="292"/>
      <c r="M684" s="284"/>
      <c r="N684" s="284"/>
      <c r="O684" s="305"/>
      <c r="P684" s="282"/>
      <c r="Q684" s="278"/>
      <c r="R684" s="115"/>
      <c r="S684" s="11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</row>
    <row r="685" ht="15.75" customHeight="1">
      <c r="A685" s="5"/>
      <c r="B685" s="6"/>
      <c r="C685" s="5"/>
      <c r="D685" s="274" t="s">
        <v>66</v>
      </c>
      <c r="E685" s="293">
        <f>IFERROR(__xludf.DUMMYFUNCTION("SUM(FILTER(F558:F682, ISNUMBER(SEARCH(""bench press"", D558:D682))))"),12.0)</f>
        <v>12</v>
      </c>
      <c r="F685" s="284">
        <f>IFERROR(__xludf.DUMMYFUNCTION("SUMPRODUCT(FILTER(F559:F683 * G559:G683, ISNUMBER(SEARCH(""bench press"", D559:D683))))"),51.0)</f>
        <v>51</v>
      </c>
      <c r="G685" s="135">
        <f>IFERROR(__xludf.DUMMYFUNCTION("ROUND(SUMPRODUCT(FILTER(F558:F682 * G558:G682 * I558:I682, ISNUMBER(SEARCH(""bench press"", D558:D682)))), 0)"),6875.0)</f>
        <v>6875</v>
      </c>
      <c r="H685" s="285"/>
      <c r="I685" s="135">
        <f>IFERROR(__xludf.DUMMYFUNCTION("ROUND(AVERAGE(FILTER(I558:I682, ISNUMBER(SEARCH(""bench press"", D558:D682)), I558:I682 &lt;&gt; """")) / J685 * 100, 0)"),76.0)</f>
        <v>76</v>
      </c>
      <c r="J685" s="293">
        <f>IFERROR(__xludf.DUMMYFUNCTION("IFERROR(MROUND(AVERAGE(FILTER(P558:P682, D558:D682 = ""comp bench press"", P558:P682 &lt;&gt; """", P558:P682 &gt;= 0.9 * MAX(FILTER(P558:P682, D558:D682 = ""comp bench press"", P558:P682 &lt;&gt; """")), P558:P682 &lt;= 1.1 * MAX(FILTER(P558:P682, D558:D682 = ""comp bench"&amp;" press"", P558:P682 &lt;&gt; """")))), 2.5), ""No valid data"")"),347.5)</f>
        <v>347.5</v>
      </c>
      <c r="K685" s="286"/>
      <c r="L685" s="294">
        <f>MROUND(J685/2.2046,2.5)-$O$11</f>
        <v>5</v>
      </c>
      <c r="M685" s="285"/>
      <c r="N685" s="285"/>
      <c r="O685" s="305"/>
      <c r="P685" s="282"/>
      <c r="Q685" s="278"/>
      <c r="R685" s="157"/>
      <c r="S685" s="11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</row>
    <row r="686" ht="3.0" customHeight="1">
      <c r="A686" s="5"/>
      <c r="B686" s="6"/>
      <c r="C686" s="5"/>
      <c r="D686" s="90"/>
      <c r="E686" s="156"/>
      <c r="F686" s="102"/>
      <c r="G686" s="145"/>
      <c r="H686" s="102"/>
      <c r="I686" s="145"/>
      <c r="J686" s="156"/>
      <c r="K686" s="286"/>
      <c r="L686" s="292"/>
      <c r="M686" s="285"/>
      <c r="N686" s="285"/>
      <c r="O686" s="284"/>
      <c r="P686" s="282"/>
      <c r="Q686" s="278"/>
      <c r="R686" s="157"/>
      <c r="S686" s="11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</row>
    <row r="687" ht="14.25" customHeight="1">
      <c r="A687" s="5"/>
      <c r="B687" s="6"/>
      <c r="C687" s="5"/>
      <c r="D687" s="274" t="s">
        <v>10</v>
      </c>
      <c r="E687" s="293">
        <f>IFERROR(__xludf.DUMMYFUNCTION("SUM(FILTER(F558:F682, ISNUMBER(SEARCH(""deadlift"", D558:D682))))"),6.0)</f>
        <v>6</v>
      </c>
      <c r="F687" s="284">
        <f>IFERROR(__xludf.DUMMYFUNCTION("SUMPRODUCT(FILTER(F558:F682 * G558:G682, ISNUMBER(SEARCH(""deadlift"", D558:D682))))"),275463.0)</f>
        <v>275463</v>
      </c>
      <c r="G687" s="135">
        <f>IFERROR(__xludf.DUMMYFUNCTION("ROUND(SUMPRODUCT(FILTER(F558:F682 * G558:G682 * I558:I682, ISNUMBER(SEARCH(""deadlift"", D558:D682)))), 0)"),8958690.0)</f>
        <v>8958690</v>
      </c>
      <c r="H687" s="285"/>
      <c r="I687" s="135" t="str">
        <f>IFERROR(__xludf.DUMMYFUNCTION("ROUND(AVERAGE(FILTER(I558:I682, ISNUMBER(SEARCH(""deadlift"", D558:D682)), I558:I682 &lt;&gt; """")) / J687 * 100, 0)"),"#VALUE!")</f>
        <v>#VALUE!</v>
      </c>
      <c r="J687" s="293" t="str">
        <f>IFERROR(__xludf.DUMMYFUNCTION("IFERROR(MROUND(AVERAGE(FILTER(P558:P682, D558:D682 = ""comp deadlift"", P558:P682 &lt;&gt; """", P558:P682 &gt;= 0.9 * MAX(FILTER(P558:P682, D558:D682 = ""comp deadlift"", P558:P682 &lt;&gt; """")), P558:P682 &lt;= 1.1 * MAX(FILTER(P558:P682, D558:D682 = ""comp deadlift"","&amp;" P558:P682 &lt;&gt; """")))), 2.5), ""No valid data"")"),"No valid data")</f>
        <v>No valid data</v>
      </c>
      <c r="K687" s="286"/>
      <c r="L687" s="294" t="str">
        <f>MROUND(J687/2.2046,2.5)-$O$12</f>
        <v>#VALUE!</v>
      </c>
      <c r="M687" s="285"/>
      <c r="N687" s="285"/>
      <c r="O687" s="285"/>
      <c r="P687" s="282"/>
      <c r="Q687" s="278"/>
      <c r="R687" s="157"/>
      <c r="S687" s="11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</row>
    <row r="688" ht="14.25" customHeight="1">
      <c r="A688" s="5"/>
      <c r="B688" s="6"/>
      <c r="C688" s="5"/>
      <c r="D688" s="274"/>
      <c r="E688" s="266"/>
      <c r="F688" s="187"/>
      <c r="G688" s="187"/>
      <c r="H688" s="187"/>
      <c r="I688" s="187"/>
      <c r="J688" s="295"/>
      <c r="K688" s="274"/>
      <c r="L688" s="187"/>
      <c r="M688" s="285"/>
      <c r="N688" s="285"/>
      <c r="O688" s="285"/>
      <c r="P688" s="282"/>
      <c r="Q688" s="278"/>
      <c r="R688" s="157"/>
      <c r="S688" s="11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</row>
    <row r="689" ht="14.25" customHeight="1">
      <c r="A689" s="5"/>
      <c r="B689" s="2"/>
      <c r="C689" s="5"/>
      <c r="D689" s="5"/>
      <c r="E689" s="75"/>
      <c r="F689" s="3"/>
      <c r="G689" s="3"/>
      <c r="H689" s="3"/>
      <c r="I689" s="3"/>
      <c r="J689" s="75"/>
      <c r="K689" s="5"/>
      <c r="L689" s="3"/>
      <c r="M689" s="47"/>
      <c r="N689" s="3"/>
      <c r="O689" s="3"/>
      <c r="P689" s="3"/>
      <c r="Q689" s="4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</row>
    <row r="690" ht="14.25" customHeight="1">
      <c r="A690" s="5"/>
      <c r="B690" s="2"/>
      <c r="C690" s="5"/>
      <c r="D690" s="5"/>
      <c r="E690" s="75"/>
      <c r="F690" s="3"/>
      <c r="G690" s="3"/>
      <c r="H690" s="3"/>
      <c r="I690" s="3"/>
      <c r="J690" s="75"/>
      <c r="K690" s="5"/>
      <c r="L690" s="3"/>
      <c r="M690" s="47"/>
      <c r="N690" s="3"/>
      <c r="O690" s="3"/>
      <c r="P690" s="3"/>
      <c r="Q690" s="4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</row>
  </sheetData>
  <mergeCells count="245">
    <mergeCell ref="G496:G497"/>
    <mergeCell ref="I496:I497"/>
    <mergeCell ref="J496:K497"/>
    <mergeCell ref="L496:L497"/>
    <mergeCell ref="M496:M497"/>
    <mergeCell ref="N496:O496"/>
    <mergeCell ref="Q496:Q497"/>
    <mergeCell ref="F496:F497"/>
    <mergeCell ref="F519:F520"/>
    <mergeCell ref="G519:G520"/>
    <mergeCell ref="I519:I520"/>
    <mergeCell ref="J519:K520"/>
    <mergeCell ref="L519:L520"/>
    <mergeCell ref="M519:M520"/>
    <mergeCell ref="L583:L584"/>
    <mergeCell ref="M583:M584"/>
    <mergeCell ref="L558:L559"/>
    <mergeCell ref="M558:M559"/>
    <mergeCell ref="N558:O558"/>
    <mergeCell ref="Q558:Q559"/>
    <mergeCell ref="R560:R582"/>
    <mergeCell ref="F583:F584"/>
    <mergeCell ref="G583:G584"/>
    <mergeCell ref="I583:I584"/>
    <mergeCell ref="J583:K584"/>
    <mergeCell ref="G608:G609"/>
    <mergeCell ref="I608:I609"/>
    <mergeCell ref="J608:K609"/>
    <mergeCell ref="L608:L609"/>
    <mergeCell ref="M608:M609"/>
    <mergeCell ref="R610:R630"/>
    <mergeCell ref="R633:R653"/>
    <mergeCell ref="R656:R679"/>
    <mergeCell ref="N583:O583"/>
    <mergeCell ref="Q583:Q584"/>
    <mergeCell ref="R585:R607"/>
    <mergeCell ref="N608:O608"/>
    <mergeCell ref="Q608:Q609"/>
    <mergeCell ref="N631:O631"/>
    <mergeCell ref="Q631:Q632"/>
    <mergeCell ref="F654:F655"/>
    <mergeCell ref="G654:G655"/>
    <mergeCell ref="I654:I655"/>
    <mergeCell ref="J654:K655"/>
    <mergeCell ref="L654:L655"/>
    <mergeCell ref="M654:M655"/>
    <mergeCell ref="N654:O654"/>
    <mergeCell ref="Q654:Q655"/>
    <mergeCell ref="F608:F609"/>
    <mergeCell ref="F631:F632"/>
    <mergeCell ref="G631:G632"/>
    <mergeCell ref="I631:I632"/>
    <mergeCell ref="J631:K632"/>
    <mergeCell ref="L631:L632"/>
    <mergeCell ref="M631:M632"/>
    <mergeCell ref="J423:K424"/>
    <mergeCell ref="L423:L424"/>
    <mergeCell ref="M423:M424"/>
    <mergeCell ref="N423:O423"/>
    <mergeCell ref="Q423:Q424"/>
    <mergeCell ref="F384:F385"/>
    <mergeCell ref="E420:F420"/>
    <mergeCell ref="J420:L420"/>
    <mergeCell ref="E421:F421"/>
    <mergeCell ref="F423:F424"/>
    <mergeCell ref="G423:G424"/>
    <mergeCell ref="I423:I424"/>
    <mergeCell ref="G448:G449"/>
    <mergeCell ref="I448:I449"/>
    <mergeCell ref="J448:K449"/>
    <mergeCell ref="L448:L449"/>
    <mergeCell ref="M448:M449"/>
    <mergeCell ref="N448:O448"/>
    <mergeCell ref="Q448:Q449"/>
    <mergeCell ref="N473:O473"/>
    <mergeCell ref="Q473:Q474"/>
    <mergeCell ref="F448:F449"/>
    <mergeCell ref="F473:F474"/>
    <mergeCell ref="G473:G474"/>
    <mergeCell ref="I473:I474"/>
    <mergeCell ref="J473:K474"/>
    <mergeCell ref="L473:L474"/>
    <mergeCell ref="M473:M474"/>
    <mergeCell ref="N519:O519"/>
    <mergeCell ref="Q519:Q520"/>
    <mergeCell ref="E555:F555"/>
    <mergeCell ref="J555:L555"/>
    <mergeCell ref="E556:F556"/>
    <mergeCell ref="F558:F559"/>
    <mergeCell ref="G558:G559"/>
    <mergeCell ref="I558:I559"/>
    <mergeCell ref="J558:K559"/>
    <mergeCell ref="F43:F44"/>
    <mergeCell ref="F68:F69"/>
    <mergeCell ref="G68:G69"/>
    <mergeCell ref="I68:I69"/>
    <mergeCell ref="J68:K69"/>
    <mergeCell ref="L68:L69"/>
    <mergeCell ref="F91:F92"/>
    <mergeCell ref="G91:G92"/>
    <mergeCell ref="I91:I92"/>
    <mergeCell ref="F114:F115"/>
    <mergeCell ref="G114:G115"/>
    <mergeCell ref="I114:I115"/>
    <mergeCell ref="J114:K115"/>
    <mergeCell ref="L114:L115"/>
    <mergeCell ref="I153:I154"/>
    <mergeCell ref="J153:K154"/>
    <mergeCell ref="N153:O153"/>
    <mergeCell ref="Q153:Q154"/>
    <mergeCell ref="M114:M115"/>
    <mergeCell ref="N114:O114"/>
    <mergeCell ref="Q114:Q115"/>
    <mergeCell ref="E150:F150"/>
    <mergeCell ref="J150:L150"/>
    <mergeCell ref="F153:F154"/>
    <mergeCell ref="G153:G154"/>
    <mergeCell ref="M178:M179"/>
    <mergeCell ref="N178:O178"/>
    <mergeCell ref="Q178:Q179"/>
    <mergeCell ref="L153:L154"/>
    <mergeCell ref="M153:M154"/>
    <mergeCell ref="F178:F179"/>
    <mergeCell ref="G178:G179"/>
    <mergeCell ref="I178:I179"/>
    <mergeCell ref="J178:K179"/>
    <mergeCell ref="L178:L179"/>
    <mergeCell ref="G203:G204"/>
    <mergeCell ref="I203:I204"/>
    <mergeCell ref="J203:K204"/>
    <mergeCell ref="L203:L204"/>
    <mergeCell ref="M203:M204"/>
    <mergeCell ref="N203:O203"/>
    <mergeCell ref="Q203:Q204"/>
    <mergeCell ref="F203:F204"/>
    <mergeCell ref="F226:F227"/>
    <mergeCell ref="G226:G227"/>
    <mergeCell ref="I226:I227"/>
    <mergeCell ref="J226:K227"/>
    <mergeCell ref="L226:L227"/>
    <mergeCell ref="M226:M227"/>
    <mergeCell ref="R45:R67"/>
    <mergeCell ref="R70:R90"/>
    <mergeCell ref="R93:R113"/>
    <mergeCell ref="R116:R139"/>
    <mergeCell ref="R155:R177"/>
    <mergeCell ref="R180:R202"/>
    <mergeCell ref="R205:R225"/>
    <mergeCell ref="R425:R447"/>
    <mergeCell ref="R450:R472"/>
    <mergeCell ref="R475:R495"/>
    <mergeCell ref="R498:R518"/>
    <mergeCell ref="R521:R544"/>
    <mergeCell ref="R228:R248"/>
    <mergeCell ref="R251:R274"/>
    <mergeCell ref="R290:R312"/>
    <mergeCell ref="R315:R337"/>
    <mergeCell ref="R340:R360"/>
    <mergeCell ref="R363:R383"/>
    <mergeCell ref="R386:R409"/>
    <mergeCell ref="E8:F8"/>
    <mergeCell ref="I8:K8"/>
    <mergeCell ref="N8:O8"/>
    <mergeCell ref="I10:J10"/>
    <mergeCell ref="R10:R11"/>
    <mergeCell ref="I11:L11"/>
    <mergeCell ref="J15:L15"/>
    <mergeCell ref="E15:F15"/>
    <mergeCell ref="E16:F16"/>
    <mergeCell ref="F18:F19"/>
    <mergeCell ref="G18:G19"/>
    <mergeCell ref="I18:I19"/>
    <mergeCell ref="J18:K19"/>
    <mergeCell ref="L18:L19"/>
    <mergeCell ref="G43:G44"/>
    <mergeCell ref="I43:I44"/>
    <mergeCell ref="J43:K44"/>
    <mergeCell ref="L43:L44"/>
    <mergeCell ref="M43:M44"/>
    <mergeCell ref="N43:O43"/>
    <mergeCell ref="Q43:Q44"/>
    <mergeCell ref="M18:M19"/>
    <mergeCell ref="N18:O18"/>
    <mergeCell ref="Q18:Q19"/>
    <mergeCell ref="R20:R42"/>
    <mergeCell ref="M68:M69"/>
    <mergeCell ref="N68:O68"/>
    <mergeCell ref="Q68:Q69"/>
    <mergeCell ref="J91:K92"/>
    <mergeCell ref="L91:L92"/>
    <mergeCell ref="M91:M92"/>
    <mergeCell ref="N91:O91"/>
    <mergeCell ref="Q91:Q92"/>
    <mergeCell ref="N226:O226"/>
    <mergeCell ref="Q226:Q227"/>
    <mergeCell ref="F249:F250"/>
    <mergeCell ref="G249:G250"/>
    <mergeCell ref="I249:I250"/>
    <mergeCell ref="J249:K250"/>
    <mergeCell ref="L249:L250"/>
    <mergeCell ref="Q249:Q250"/>
    <mergeCell ref="L288:L289"/>
    <mergeCell ref="M288:M289"/>
    <mergeCell ref="Q288:Q289"/>
    <mergeCell ref="M249:M250"/>
    <mergeCell ref="N249:O249"/>
    <mergeCell ref="E285:F285"/>
    <mergeCell ref="J285:L285"/>
    <mergeCell ref="E286:F286"/>
    <mergeCell ref="F288:F289"/>
    <mergeCell ref="G288:G289"/>
    <mergeCell ref="N288:O288"/>
    <mergeCell ref="M313:M314"/>
    <mergeCell ref="N313:O313"/>
    <mergeCell ref="Q313:Q314"/>
    <mergeCell ref="I288:I289"/>
    <mergeCell ref="J288:K289"/>
    <mergeCell ref="F313:F314"/>
    <mergeCell ref="G313:G314"/>
    <mergeCell ref="I313:I314"/>
    <mergeCell ref="J313:K314"/>
    <mergeCell ref="L313:L314"/>
    <mergeCell ref="G338:G339"/>
    <mergeCell ref="I338:I339"/>
    <mergeCell ref="J338:K339"/>
    <mergeCell ref="L338:L339"/>
    <mergeCell ref="M338:M339"/>
    <mergeCell ref="N338:O338"/>
    <mergeCell ref="Q338:Q339"/>
    <mergeCell ref="N361:O361"/>
    <mergeCell ref="Q361:Q362"/>
    <mergeCell ref="F338:F339"/>
    <mergeCell ref="F361:F362"/>
    <mergeCell ref="G361:G362"/>
    <mergeCell ref="I361:I362"/>
    <mergeCell ref="J361:K362"/>
    <mergeCell ref="L361:L362"/>
    <mergeCell ref="M361:M362"/>
    <mergeCell ref="G384:G385"/>
    <mergeCell ref="I384:I385"/>
    <mergeCell ref="J384:K385"/>
    <mergeCell ref="L384:L385"/>
    <mergeCell ref="M384:M385"/>
    <mergeCell ref="N384:O384"/>
    <mergeCell ref="Q384:Q385"/>
  </mergeCells>
  <conditionalFormatting sqref="Q20:Q42 Q45:Q67 Q70:Q90 Q93:Q113 Q116:Q139 Q155:Q274 Q290:Q409 Q425:Q544 Q560:Q679">
    <cfRule type="cellIs" dxfId="0" priority="1" operator="greaterThan">
      <formula>0</formula>
    </cfRule>
  </conditionalFormatting>
  <conditionalFormatting sqref="Q20:Q42 Q45:Q67 Q70:Q90 Q93:Q113 Q116:Q139 Q155:Q274 Q290:Q409 Q425:Q544 Q560:Q679">
    <cfRule type="cellIs" dxfId="1" priority="2" operator="lessThan">
      <formula>0</formula>
    </cfRule>
  </conditionalFormatting>
  <conditionalFormatting sqref="D1:D15 F9:F13 O10:O13 D17:D150 D152:D285 D287:D420 D422:D690">
    <cfRule type="containsText" dxfId="2" priority="3" operator="containsText" text="squat">
      <formula>NOT(ISERROR(SEARCH(("squat"),(D1))))</formula>
    </cfRule>
  </conditionalFormatting>
  <conditionalFormatting sqref="D1:D15 F9:F13 O10:O13 D17:D150 D152:D285 D287:D420 D422:D690">
    <cfRule type="containsText" dxfId="3" priority="4" operator="containsText" text="bench press">
      <formula>NOT(ISERROR(SEARCH(("bench press"),(D1))))</formula>
    </cfRule>
  </conditionalFormatting>
  <conditionalFormatting sqref="D1:D15 F9:F13 O10:O13 D17:D150 D152:D285 D287:D420 D422:D690">
    <cfRule type="containsText" dxfId="4" priority="5" operator="containsText" text="deadlift">
      <formula>NOT(ISERROR(SEARCH(("deadlift"),(D1))))</formula>
    </cfRule>
  </conditionalFormatting>
  <conditionalFormatting sqref="I1:I690">
    <cfRule type="expression" dxfId="5" priority="6">
      <formula>isformula(I1:I690)</formula>
    </cfRule>
  </conditionalFormatting>
  <conditionalFormatting sqref="L143:L147 L278:L282 L413:L417 L548:L552 L683:L687">
    <cfRule type="cellIs" dxfId="6" priority="7" operator="greaterThanOrEqual">
      <formula>0</formula>
    </cfRule>
  </conditionalFormatting>
  <conditionalFormatting sqref="L143:L147 L278:L282 L413:L417 L548:L552 L683:L687">
    <cfRule type="cellIs" dxfId="7" priority="8" operator="lessThan">
      <formula>0</formula>
    </cfRule>
  </conditionalFormatting>
  <dataValidations>
    <dataValidation type="list" allowBlank="1" showErrorMessage="1" sqref="E18 E43 E68 E91 E153 E178 E203 E226 E288 E313 E338 E361 E423 E448 E473 E496 E558 E583 E608 E631">
      <formula1>"day,Sun,Mon,Tues,Wed,Thurs,Fri,Sat"</formula1>
    </dataValidation>
    <dataValidation type="list" allowBlank="1" showErrorMessage="1" sqref="D19 D44 D69 D92 D115 D154 D179 D204 D227 D250 D289 D314 D339 D362 D385 D424 D449 D474 D497 D520 D559 D584 D609 D632 D655">
      <formula1>"motivation,5 (high),4,3,2,1 (low)"</formula1>
    </dataValidation>
    <dataValidation type="list" allowBlank="1" showErrorMessage="1" sqref="E19 E44 E69 E92 E115 E154 E179 E204 E227 E250 E289 E314 E339 E362 E385 E424 E449 E474 E497 E520 E559 E584 E609 E632 E655">
      <formula1>"fatigue,5 (high),4,3,2,1 (low)"</formula1>
    </dataValidation>
    <dataValidation type="list" allowBlank="1" showErrorMessage="1" sqref="E114 E249 E384 E519 E654">
      <formula1>"day,Sunday,Monday,Tuesday,Wednesday,Thursday,Friday,Saturday"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.0"/>
    <col customWidth="1" min="2" max="2" width="2.38"/>
    <col customWidth="1" min="3" max="3" width="1.0"/>
    <col customWidth="1" min="4" max="4" width="20.88"/>
    <col customWidth="1" min="5" max="5" width="8.25"/>
    <col customWidth="1" min="6" max="6" width="4.38"/>
    <col customWidth="1" min="7" max="7" width="4.88"/>
    <col customWidth="1" min="8" max="8" width="0.38"/>
    <col customWidth="1" min="9" max="9" width="5.38"/>
    <col customWidth="1" min="10" max="10" width="4.25"/>
    <col customWidth="1" min="11" max="11" width="8.13"/>
    <col customWidth="1" min="12" max="12" width="5.88"/>
    <col customWidth="1" min="13" max="13" width="5.13"/>
    <col customWidth="1" min="14" max="14" width="5.5"/>
    <col customWidth="1" min="15" max="15" width="4.63"/>
    <col customWidth="1" min="16" max="16" width="5.13"/>
    <col customWidth="1" min="17" max="17" width="4.75"/>
    <col customWidth="1" min="18" max="18" width="31.5"/>
    <col customWidth="1" min="19" max="33" width="9.0"/>
  </cols>
  <sheetData>
    <row r="1" ht="5.2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3"/>
      <c r="L1" s="3"/>
      <c r="M1" s="3"/>
      <c r="N1" s="3"/>
      <c r="O1" s="3"/>
      <c r="P1" s="3"/>
      <c r="Q1" s="4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ht="13.5" customHeight="1">
      <c r="A2" s="1"/>
      <c r="B2" s="6"/>
      <c r="C2" s="7"/>
      <c r="D2" s="7"/>
      <c r="E2" s="7"/>
      <c r="F2" s="7"/>
      <c r="G2" s="7"/>
      <c r="H2" s="7"/>
      <c r="I2" s="7"/>
      <c r="J2" s="7"/>
      <c r="K2" s="8"/>
      <c r="L2" s="8"/>
      <c r="M2" s="8"/>
      <c r="N2" s="8"/>
      <c r="O2" s="8"/>
      <c r="P2" s="8"/>
      <c r="Q2" s="9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1"/>
      <c r="AF2" s="11"/>
      <c r="AG2" s="11"/>
    </row>
    <row r="3" ht="5.25" customHeight="1">
      <c r="A3" s="12"/>
      <c r="B3" s="13"/>
      <c r="C3" s="12"/>
      <c r="D3" s="12"/>
      <c r="E3" s="12"/>
      <c r="F3" s="12"/>
      <c r="G3" s="12"/>
      <c r="H3" s="12"/>
      <c r="I3" s="12"/>
      <c r="J3" s="12"/>
      <c r="K3" s="3"/>
      <c r="L3" s="3"/>
      <c r="M3" s="3"/>
      <c r="N3" s="3"/>
      <c r="O3" s="3"/>
      <c r="P3" s="3"/>
      <c r="Q3" s="4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</row>
    <row r="4" ht="18.75" customHeight="1">
      <c r="A4" s="12"/>
      <c r="B4" s="13"/>
      <c r="C4" s="12"/>
      <c r="D4" s="14"/>
      <c r="E4" s="14"/>
      <c r="F4" s="14"/>
      <c r="G4" s="14"/>
      <c r="H4" s="14"/>
      <c r="I4" s="14"/>
      <c r="J4" s="14"/>
      <c r="K4" s="15"/>
      <c r="L4" s="15"/>
      <c r="M4" s="15"/>
      <c r="N4" s="15"/>
      <c r="O4" s="15"/>
      <c r="P4" s="15"/>
      <c r="Q4" s="16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8"/>
      <c r="AF4" s="18"/>
      <c r="AG4" s="18"/>
    </row>
    <row r="5" ht="3.75" customHeight="1">
      <c r="A5" s="12"/>
      <c r="B5" s="13"/>
      <c r="C5" s="12"/>
      <c r="D5" s="12"/>
      <c r="E5" s="12"/>
      <c r="F5" s="19"/>
      <c r="G5" s="19"/>
      <c r="H5" s="19"/>
      <c r="I5" s="19"/>
      <c r="J5" s="12"/>
      <c r="K5" s="3"/>
      <c r="L5" s="3"/>
      <c r="M5" s="3"/>
      <c r="N5" s="3"/>
      <c r="O5" s="3"/>
      <c r="P5" s="3"/>
      <c r="Q5" s="4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</row>
    <row r="6" ht="22.5" customHeight="1">
      <c r="A6" s="12"/>
      <c r="B6" s="13"/>
      <c r="C6" s="12"/>
      <c r="D6" s="20"/>
      <c r="E6" s="20"/>
      <c r="F6" s="21"/>
      <c r="G6" s="21"/>
      <c r="H6" s="21"/>
      <c r="I6" s="21"/>
      <c r="J6" s="20"/>
      <c r="K6" s="22"/>
      <c r="L6" s="22"/>
      <c r="M6" s="22"/>
      <c r="N6" s="22"/>
      <c r="O6" s="22"/>
      <c r="P6" s="22"/>
      <c r="Q6" s="23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5"/>
      <c r="AF6" s="25"/>
      <c r="AG6" s="25"/>
    </row>
    <row r="7" ht="5.25" customHeight="1">
      <c r="A7" s="26"/>
      <c r="B7" s="27"/>
      <c r="C7" s="28"/>
      <c r="D7" s="29"/>
      <c r="E7" s="29"/>
      <c r="F7" s="30"/>
      <c r="G7" s="30"/>
      <c r="H7" s="30"/>
      <c r="I7" s="30"/>
      <c r="J7" s="29"/>
      <c r="K7" s="31"/>
      <c r="L7" s="31"/>
      <c r="M7" s="31"/>
      <c r="N7" s="31"/>
      <c r="O7" s="31"/>
      <c r="P7" s="31"/>
      <c r="Q7" s="30"/>
      <c r="R7" s="32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ht="13.5" customHeight="1">
      <c r="A8" s="5"/>
      <c r="B8" s="6"/>
      <c r="C8" s="10"/>
      <c r="D8" s="34" t="s">
        <v>0</v>
      </c>
      <c r="E8" s="35" t="s">
        <v>1</v>
      </c>
      <c r="G8" s="36"/>
      <c r="H8" s="36"/>
      <c r="I8" s="36" t="s">
        <v>2</v>
      </c>
      <c r="J8" s="37"/>
      <c r="K8" s="37"/>
      <c r="L8" s="38"/>
      <c r="M8" s="38"/>
      <c r="N8" s="35" t="s">
        <v>3</v>
      </c>
      <c r="P8" s="38"/>
      <c r="Q8" s="39"/>
      <c r="R8" s="40" t="s">
        <v>4</v>
      </c>
      <c r="S8" s="10"/>
      <c r="T8" s="5"/>
      <c r="U8" s="5"/>
      <c r="V8" s="5"/>
      <c r="W8" s="5"/>
      <c r="X8" s="5"/>
      <c r="Y8" s="5"/>
      <c r="Z8" s="5"/>
      <c r="AA8" s="5"/>
      <c r="AB8" s="5"/>
      <c r="AC8" s="5"/>
      <c r="AD8" s="5"/>
    </row>
    <row r="9" ht="5.25" customHeight="1">
      <c r="A9" s="41"/>
      <c r="B9" s="42"/>
      <c r="C9" s="41"/>
      <c r="D9" s="43"/>
      <c r="E9" s="44"/>
      <c r="F9" s="45"/>
      <c r="G9" s="46"/>
      <c r="H9" s="46"/>
      <c r="I9" s="46"/>
      <c r="J9" s="46"/>
      <c r="K9" s="47"/>
      <c r="L9" s="47"/>
      <c r="M9" s="47"/>
      <c r="N9" s="47"/>
      <c r="O9" s="47"/>
      <c r="P9" s="47"/>
      <c r="Q9" s="48"/>
      <c r="R9" s="49"/>
    </row>
    <row r="10" ht="12.75" customHeight="1">
      <c r="A10" s="41"/>
      <c r="B10" s="42"/>
      <c r="C10" s="41"/>
      <c r="D10" s="50" t="s">
        <v>5</v>
      </c>
      <c r="E10" s="51" t="s">
        <v>6</v>
      </c>
      <c r="F10" s="52">
        <v>245.0</v>
      </c>
      <c r="G10" s="53"/>
      <c r="H10" s="53"/>
      <c r="I10" s="54"/>
      <c r="J10" s="55"/>
      <c r="K10" s="56"/>
      <c r="L10" s="56"/>
      <c r="M10" s="57"/>
      <c r="N10" s="51" t="s">
        <v>6</v>
      </c>
      <c r="O10" s="52">
        <v>242.5</v>
      </c>
      <c r="P10" s="57"/>
      <c r="Q10" s="58"/>
      <c r="R10" s="59" t="s">
        <v>7</v>
      </c>
      <c r="S10" s="60"/>
    </row>
    <row r="11" ht="12.75" customHeight="1">
      <c r="A11" s="41"/>
      <c r="B11" s="42"/>
      <c r="C11" s="41"/>
      <c r="D11" s="50" t="s">
        <v>8</v>
      </c>
      <c r="E11" s="61" t="s">
        <v>9</v>
      </c>
      <c r="F11" s="52">
        <v>160.0</v>
      </c>
      <c r="G11" s="57"/>
      <c r="H11" s="57"/>
      <c r="I11" s="62"/>
      <c r="J11" s="63"/>
      <c r="K11" s="63"/>
      <c r="L11" s="55"/>
      <c r="M11" s="57"/>
      <c r="N11" s="61" t="s">
        <v>9</v>
      </c>
      <c r="O11" s="52">
        <v>152.5</v>
      </c>
      <c r="P11" s="57"/>
      <c r="Q11" s="58"/>
      <c r="S11" s="60"/>
    </row>
    <row r="12" ht="12.75" customHeight="1">
      <c r="A12" s="41"/>
      <c r="B12" s="42"/>
      <c r="C12" s="41"/>
      <c r="D12" s="64"/>
      <c r="E12" s="65" t="s">
        <v>10</v>
      </c>
      <c r="F12" s="52">
        <v>270.0</v>
      </c>
      <c r="G12" s="57"/>
      <c r="H12" s="57"/>
      <c r="I12" s="66" t="str">
        <f>IF(I10 = "", "", INT((I10 - TODAY()) / 7) &amp; " weeks, " &amp; MOD(I10 - TODAY(), 7) &amp; " day(s) out")</f>
        <v/>
      </c>
      <c r="J12" s="67"/>
      <c r="K12" s="67"/>
      <c r="L12" s="67"/>
      <c r="M12" s="57"/>
      <c r="N12" s="65" t="s">
        <v>10</v>
      </c>
      <c r="O12" s="52">
        <v>265.0</v>
      </c>
      <c r="P12" s="57"/>
      <c r="Q12" s="58"/>
      <c r="R12" s="68"/>
      <c r="S12" s="60"/>
    </row>
    <row r="13" ht="12.75" customHeight="1">
      <c r="A13" s="69"/>
      <c r="B13" s="70"/>
      <c r="C13" s="69"/>
      <c r="D13" s="71"/>
      <c r="E13" s="72" t="s">
        <v>11</v>
      </c>
      <c r="F13" s="73">
        <f>SUM(F10:F12)</f>
        <v>675</v>
      </c>
      <c r="G13" s="57"/>
      <c r="H13" s="57"/>
      <c r="I13" s="57"/>
      <c r="J13" s="74"/>
      <c r="K13" s="57"/>
      <c r="L13" s="57"/>
      <c r="M13" s="57"/>
      <c r="N13" s="72" t="s">
        <v>11</v>
      </c>
      <c r="O13" s="73">
        <f>SUM(O10:O12)</f>
        <v>660</v>
      </c>
      <c r="P13" s="57"/>
      <c r="Q13" s="58"/>
      <c r="R13" s="68"/>
      <c r="S13" s="60"/>
    </row>
    <row r="14" ht="5.25" customHeight="1">
      <c r="A14" s="5"/>
      <c r="B14" s="2"/>
      <c r="C14" s="5"/>
      <c r="D14" s="5"/>
      <c r="E14" s="75"/>
      <c r="F14" s="3"/>
      <c r="G14" s="3"/>
      <c r="H14" s="3"/>
      <c r="I14" s="3"/>
      <c r="J14" s="75"/>
      <c r="K14" s="3"/>
      <c r="L14" s="3"/>
      <c r="M14" s="3"/>
      <c r="N14" s="3"/>
      <c r="O14" s="3"/>
      <c r="P14" s="3"/>
      <c r="Q14" s="4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</row>
    <row r="15" ht="18.75" customHeight="1">
      <c r="A15" s="76"/>
      <c r="B15" s="77"/>
      <c r="C15" s="78"/>
      <c r="D15" s="79" t="s">
        <v>12</v>
      </c>
      <c r="E15" s="80" t="s">
        <v>13</v>
      </c>
      <c r="G15" s="81"/>
      <c r="H15" s="81"/>
      <c r="I15" s="81"/>
      <c r="J15" s="82"/>
      <c r="K15" s="83"/>
      <c r="L15" s="83"/>
      <c r="M15" s="84"/>
      <c r="N15" s="84"/>
      <c r="O15" s="84"/>
      <c r="P15" s="85"/>
      <c r="Q15" s="86"/>
      <c r="R15" s="87"/>
      <c r="S15" s="88"/>
      <c r="T15" s="89"/>
      <c r="U15" s="89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</row>
    <row r="16" ht="18.75" customHeight="1">
      <c r="A16" s="90"/>
      <c r="B16" s="6"/>
      <c r="C16" s="91"/>
      <c r="D16" s="36">
        <v>1.0</v>
      </c>
      <c r="E16" s="36"/>
      <c r="F16" s="37"/>
      <c r="G16" s="81"/>
      <c r="H16" s="81"/>
      <c r="I16" s="81"/>
      <c r="J16" s="92"/>
      <c r="K16" s="93"/>
      <c r="L16" s="93"/>
      <c r="M16" s="93"/>
      <c r="N16" s="93"/>
      <c r="O16" s="93"/>
      <c r="P16" s="94"/>
      <c r="Q16" s="95"/>
      <c r="R16" s="96"/>
      <c r="S16" s="10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</row>
    <row r="17" ht="5.25" customHeight="1">
      <c r="A17" s="90"/>
      <c r="B17" s="6"/>
      <c r="C17" s="90"/>
      <c r="D17" s="97"/>
      <c r="E17" s="98"/>
      <c r="F17" s="99"/>
      <c r="G17" s="99"/>
      <c r="H17" s="99"/>
      <c r="I17" s="100"/>
      <c r="J17" s="101"/>
      <c r="K17" s="90"/>
      <c r="L17" s="102"/>
      <c r="M17" s="102"/>
      <c r="N17" s="102"/>
      <c r="O17" s="102"/>
      <c r="P17" s="103"/>
      <c r="Q17" s="4"/>
      <c r="R17" s="90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</row>
    <row r="18" ht="32.25" customHeight="1">
      <c r="A18" s="90"/>
      <c r="B18" s="6"/>
      <c r="C18" s="90"/>
      <c r="D18" s="104" t="s">
        <v>14</v>
      </c>
      <c r="E18" s="105" t="s">
        <v>75</v>
      </c>
      <c r="F18" s="106" t="s">
        <v>16</v>
      </c>
      <c r="G18" s="106" t="s">
        <v>17</v>
      </c>
      <c r="H18" s="107"/>
      <c r="I18" s="106" t="s">
        <v>18</v>
      </c>
      <c r="J18" s="108" t="s">
        <v>19</v>
      </c>
      <c r="L18" s="109" t="s">
        <v>20</v>
      </c>
      <c r="M18" s="110" t="s">
        <v>21</v>
      </c>
      <c r="N18" s="111" t="s">
        <v>22</v>
      </c>
      <c r="P18" s="112"/>
      <c r="Q18" s="113" t="s">
        <v>23</v>
      </c>
      <c r="R18" s="114" t="s">
        <v>24</v>
      </c>
      <c r="S18" s="11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</row>
    <row r="19" ht="14.25" customHeight="1">
      <c r="A19" s="90"/>
      <c r="B19" s="6"/>
      <c r="C19" s="90"/>
      <c r="D19" s="116" t="s">
        <v>102</v>
      </c>
      <c r="E19" s="117" t="s">
        <v>76</v>
      </c>
      <c r="H19" s="107"/>
      <c r="N19" s="111" t="s">
        <v>27</v>
      </c>
      <c r="O19" s="111" t="s">
        <v>28</v>
      </c>
      <c r="P19" s="112" t="s">
        <v>29</v>
      </c>
      <c r="R19" s="118" t="s">
        <v>30</v>
      </c>
      <c r="S19" s="11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</row>
    <row r="20" ht="3.75" customHeight="1">
      <c r="A20" s="90"/>
      <c r="B20" s="6"/>
      <c r="C20" s="90"/>
      <c r="D20" s="97"/>
      <c r="E20" s="119"/>
      <c r="F20" s="99"/>
      <c r="G20" s="99"/>
      <c r="H20" s="99"/>
      <c r="I20" s="100"/>
      <c r="J20" s="101"/>
      <c r="K20" s="120"/>
      <c r="L20" s="102"/>
      <c r="M20" s="121"/>
      <c r="N20" s="102"/>
      <c r="O20" s="102"/>
      <c r="P20" s="122"/>
      <c r="Q20" s="4"/>
      <c r="R20" s="123"/>
      <c r="S20" s="11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</row>
    <row r="21" ht="15.75" customHeight="1">
      <c r="A21" s="124"/>
      <c r="B21" s="6"/>
      <c r="C21" s="124"/>
      <c r="D21" s="125" t="s">
        <v>77</v>
      </c>
      <c r="E21" s="126"/>
      <c r="F21" s="127">
        <v>1.0</v>
      </c>
      <c r="G21" s="240">
        <v>6.0</v>
      </c>
      <c r="H21" s="129"/>
      <c r="I21" s="130">
        <v>375.0</v>
      </c>
      <c r="J21" s="151">
        <v>5.0</v>
      </c>
      <c r="K21" s="132"/>
      <c r="L21" s="133">
        <v>5.0</v>
      </c>
      <c r="M21" s="134"/>
      <c r="N21" s="135" t="str">
        <f>iferror(mround(#REF!*((VLOOKUP($J21,Sheet1!$D:$N,$G21+1,FALSE)-0.03)),2.5)," ")</f>
        <v> </v>
      </c>
      <c r="O21" s="135" t="str">
        <f>iferror(mround(#REF!*((VLOOKUP($J21,Sheet1!$D:$N,$G21+1,FALSE)+0.02)),2.5)," ")</f>
        <v> </v>
      </c>
      <c r="P21" s="56" t="str">
        <f>iferror(mround(I21/VLOOKUP(L21,Sheet1!$D$7:$N$16,G21+1,FALSE),2.5),"")</f>
        <v/>
      </c>
      <c r="Q21" s="136"/>
      <c r="S21" s="11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</row>
    <row r="22" ht="3.75" customHeight="1">
      <c r="A22" s="137"/>
      <c r="B22" s="70"/>
      <c r="C22" s="137"/>
      <c r="D22" s="138"/>
      <c r="E22" s="139"/>
      <c r="F22" s="140"/>
      <c r="G22" s="140"/>
      <c r="H22" s="140"/>
      <c r="I22" s="140"/>
      <c r="J22" s="141"/>
      <c r="K22" s="142"/>
      <c r="L22" s="143"/>
      <c r="M22" s="144"/>
      <c r="N22" s="145"/>
      <c r="O22" s="145"/>
      <c r="P22" s="122"/>
      <c r="Q22" s="146"/>
      <c r="S22" s="147"/>
      <c r="T22" s="148"/>
      <c r="U22" s="148"/>
      <c r="V22" s="148"/>
      <c r="W22" s="148"/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</row>
    <row r="23" ht="15.75" customHeight="1">
      <c r="A23" s="149"/>
      <c r="B23" s="150"/>
      <c r="C23" s="149"/>
      <c r="D23" s="125" t="s">
        <v>77</v>
      </c>
      <c r="E23" s="126"/>
      <c r="F23" s="127">
        <v>1.0</v>
      </c>
      <c r="G23" s="240">
        <v>6.0</v>
      </c>
      <c r="H23" s="129"/>
      <c r="I23" s="130">
        <v>397.0</v>
      </c>
      <c r="J23" s="151">
        <v>6.0</v>
      </c>
      <c r="K23" s="132"/>
      <c r="L23" s="133">
        <v>6.0</v>
      </c>
      <c r="M23" s="134"/>
      <c r="N23" s="135" t="str">
        <f>iferror(mround(#REF!*((VLOOKUP($J23,Sheet1!$D:$N,$G23+1,FALSE)-0.03)),2.5)," ")</f>
        <v> </v>
      </c>
      <c r="O23" s="135" t="str">
        <f>iferror(mround(#REF!*((VLOOKUP($J23,Sheet1!$D:$N,$G23+1,FALSE)+0.02)),2.5)," ")</f>
        <v> </v>
      </c>
      <c r="P23" s="56">
        <f>iferror(mround(I23/VLOOKUP(L23,Sheet1!$D$7:$N$16,G23+1,FALSE),2.5),"")</f>
        <v>537.5</v>
      </c>
      <c r="Q23" s="136"/>
      <c r="S23" s="11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</row>
    <row r="24" ht="3.75" customHeight="1">
      <c r="A24" s="152"/>
      <c r="B24" s="150"/>
      <c r="C24" s="153"/>
      <c r="D24" s="138"/>
      <c r="E24" s="154"/>
      <c r="F24" s="155"/>
      <c r="G24" s="102"/>
      <c r="H24" s="102"/>
      <c r="I24" s="102"/>
      <c r="J24" s="156"/>
      <c r="K24" s="142"/>
      <c r="L24" s="143"/>
      <c r="M24" s="144"/>
      <c r="N24" s="145"/>
      <c r="O24" s="145"/>
      <c r="P24" s="122"/>
      <c r="Q24" s="146"/>
      <c r="S24" s="157"/>
      <c r="T24" s="5"/>
      <c r="U24" s="5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</row>
    <row r="25" ht="15.75" customHeight="1">
      <c r="A25" s="149"/>
      <c r="B25" s="150"/>
      <c r="C25" s="149"/>
      <c r="D25" s="125" t="s">
        <v>77</v>
      </c>
      <c r="E25" s="126"/>
      <c r="F25" s="127">
        <v>1.0</v>
      </c>
      <c r="G25" s="161">
        <v>6.0</v>
      </c>
      <c r="H25" s="129"/>
      <c r="I25" s="130">
        <v>386.0</v>
      </c>
      <c r="J25" s="151" t="s">
        <v>78</v>
      </c>
      <c r="K25" s="132"/>
      <c r="L25" s="133">
        <v>6.0</v>
      </c>
      <c r="M25" s="134"/>
      <c r="N25" s="135" t="str">
        <f>iferror(mround(#REF!*((VLOOKUP($J25,Sheet1!$D:$N,$G25+1,FALSE)-0.03)),2.5)," ")</f>
        <v> </v>
      </c>
      <c r="O25" s="135" t="str">
        <f>iferror(mround(#REF!*((VLOOKUP($J25,Sheet1!$D:$N,$G25+1,FALSE)+0.02)),2.5)," ")</f>
        <v> </v>
      </c>
      <c r="P25" s="56">
        <f>iferror(mround(I25/VLOOKUP(L25,Sheet1!$D$7:$N$16,G25+1,FALSE),2.5),"")</f>
        <v>522.5</v>
      </c>
      <c r="Q25" s="136"/>
      <c r="S25" s="11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</row>
    <row r="26" ht="3.75" customHeight="1">
      <c r="A26" s="162"/>
      <c r="B26" s="163"/>
      <c r="C26" s="162"/>
      <c r="D26" s="138"/>
      <c r="E26" s="154"/>
      <c r="F26" s="155"/>
      <c r="G26" s="102"/>
      <c r="H26" s="102"/>
      <c r="I26" s="102"/>
      <c r="J26" s="156"/>
      <c r="K26" s="142"/>
      <c r="L26" s="143"/>
      <c r="M26" s="144"/>
      <c r="N26" s="145"/>
      <c r="O26" s="145"/>
      <c r="P26" s="122"/>
      <c r="Q26" s="146"/>
      <c r="S26" s="147"/>
      <c r="T26" s="148"/>
      <c r="U26" s="148"/>
      <c r="V26" s="148"/>
      <c r="W26" s="148"/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</row>
    <row r="27" ht="15.75" customHeight="1">
      <c r="A27" s="149"/>
      <c r="B27" s="150"/>
      <c r="C27" s="149"/>
      <c r="D27" s="159" t="s">
        <v>33</v>
      </c>
      <c r="E27" s="160" t="s">
        <v>34</v>
      </c>
      <c r="F27" s="127">
        <v>1.0</v>
      </c>
      <c r="G27" s="161">
        <v>5.0</v>
      </c>
      <c r="H27" s="129"/>
      <c r="I27" s="130">
        <v>253.0</v>
      </c>
      <c r="J27" s="151">
        <v>7.0</v>
      </c>
      <c r="K27" s="132"/>
      <c r="L27" s="133">
        <v>6.5</v>
      </c>
      <c r="M27" s="134"/>
      <c r="N27" s="135" t="str">
        <f>iferror(mround(#REF!*((VLOOKUP($J27,Sheet1!$D:$N,$G27+1,FALSE)-0.03)),2.5)," ")</f>
        <v> </v>
      </c>
      <c r="O27" s="135" t="str">
        <f>iferror(mround(#REF!*((VLOOKUP($J27,Sheet1!$D:$N,$G27+1,FALSE)+0.02)),2.5)," ")</f>
        <v> </v>
      </c>
      <c r="P27" s="56">
        <f>iferror(mround(I27/VLOOKUP(L27,Sheet1!$D$7:$N$16,G27+1,FALSE),2.5),"")</f>
        <v>325</v>
      </c>
      <c r="Q27" s="136"/>
      <c r="S27" s="11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</row>
    <row r="28" ht="3.75" customHeight="1">
      <c r="A28" s="162"/>
      <c r="B28" s="163"/>
      <c r="C28" s="162"/>
      <c r="D28" s="138"/>
      <c r="E28" s="139"/>
      <c r="F28" s="140"/>
      <c r="G28" s="140"/>
      <c r="H28" s="140"/>
      <c r="I28" s="140"/>
      <c r="J28" s="141"/>
      <c r="K28" s="142"/>
      <c r="L28" s="143"/>
      <c r="M28" s="144"/>
      <c r="N28" s="145"/>
      <c r="O28" s="145"/>
      <c r="P28" s="122"/>
      <c r="Q28" s="146"/>
      <c r="S28" s="147"/>
      <c r="T28" s="148"/>
      <c r="U28" s="148"/>
      <c r="V28" s="148"/>
      <c r="W28" s="148"/>
      <c r="X28" s="148"/>
      <c r="Y28" s="148"/>
      <c r="Z28" s="148"/>
      <c r="AA28" s="148"/>
      <c r="AB28" s="148"/>
      <c r="AC28" s="148"/>
      <c r="AD28" s="148"/>
      <c r="AE28" s="148"/>
      <c r="AF28" s="148"/>
      <c r="AG28" s="148"/>
    </row>
    <row r="29" ht="15.75" customHeight="1">
      <c r="A29" s="90"/>
      <c r="B29" s="6"/>
      <c r="C29" s="90"/>
      <c r="D29" s="159" t="s">
        <v>33</v>
      </c>
      <c r="E29" s="160" t="s">
        <v>34</v>
      </c>
      <c r="F29" s="127">
        <v>3.0</v>
      </c>
      <c r="G29" s="161">
        <v>5.0</v>
      </c>
      <c r="H29" s="129"/>
      <c r="I29" s="164">
        <f>MROUND(I27*(1+J29),5)</f>
        <v>230</v>
      </c>
      <c r="J29" s="165">
        <v>-0.1</v>
      </c>
      <c r="K29" s="132"/>
      <c r="L29" s="133">
        <v>5.0</v>
      </c>
      <c r="M29" s="134"/>
      <c r="N29" s="135" t="str">
        <f>iferror(mround(#REF!*((VLOOKUP($J29,Sheet1!$D:$N,$G29+1,FALSE)-0.03)),2.5)," ")</f>
        <v> </v>
      </c>
      <c r="O29" s="135" t="str">
        <f>iferror(mround(#REF!*((VLOOKUP($J29,Sheet1!$D:$N,$G29+1,FALSE)+0.02)),2.5)," ")</f>
        <v> </v>
      </c>
      <c r="P29" s="56" t="str">
        <f>iferror(mround(I29/VLOOKUP(L29,Sheet1!$D$7:$N$16,G29+1,FALSE),2.5),"")</f>
        <v/>
      </c>
      <c r="Q29" s="136"/>
      <c r="S29" s="11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</row>
    <row r="30" ht="3.75" customHeight="1">
      <c r="A30" s="168"/>
      <c r="B30" s="70"/>
      <c r="C30" s="168"/>
      <c r="D30" s="138"/>
      <c r="E30" s="139"/>
      <c r="F30" s="102"/>
      <c r="G30" s="102"/>
      <c r="H30" s="102"/>
      <c r="I30" s="102"/>
      <c r="J30" s="156"/>
      <c r="K30" s="142"/>
      <c r="L30" s="143"/>
      <c r="M30" s="144"/>
      <c r="N30" s="145"/>
      <c r="O30" s="145"/>
      <c r="P30" s="122"/>
      <c r="Q30" s="146"/>
      <c r="S30" s="147"/>
      <c r="T30" s="148"/>
      <c r="U30" s="148"/>
      <c r="V30" s="148"/>
      <c r="W30" s="148"/>
      <c r="X30" s="148"/>
      <c r="Y30" s="148"/>
      <c r="Z30" s="148"/>
      <c r="AA30" s="148"/>
      <c r="AB30" s="148"/>
      <c r="AC30" s="148"/>
      <c r="AD30" s="148"/>
      <c r="AE30" s="148"/>
      <c r="AF30" s="148"/>
      <c r="AG30" s="148"/>
    </row>
    <row r="31" ht="15.75" customHeight="1">
      <c r="A31" s="90"/>
      <c r="B31" s="6"/>
      <c r="C31" s="90"/>
      <c r="D31" s="166" t="s">
        <v>35</v>
      </c>
      <c r="E31" s="167" t="s">
        <v>79</v>
      </c>
      <c r="F31" s="127">
        <v>2.0</v>
      </c>
      <c r="G31" s="161">
        <v>7.0</v>
      </c>
      <c r="H31" s="129"/>
      <c r="I31" s="130">
        <v>248.0</v>
      </c>
      <c r="J31" s="151">
        <v>8.0</v>
      </c>
      <c r="K31" s="170" t="s">
        <v>80</v>
      </c>
      <c r="L31" s="133">
        <v>8.0</v>
      </c>
      <c r="M31" s="134"/>
      <c r="N31" s="135" t="str">
        <f>iferror(mround(#REF!*((VLOOKUP($J31,Sheet1!$D:$N,$G31+1,FALSE)-0.03)),2.5)," ")</f>
        <v> </v>
      </c>
      <c r="O31" s="135" t="str">
        <f>iferror(mround(#REF!*((VLOOKUP($J31,Sheet1!$D:$N,$G31+1,FALSE)+0.02)),2.5)," ")</f>
        <v> </v>
      </c>
      <c r="P31" s="56">
        <f>iferror(mround(I31/VLOOKUP(L31,Sheet1!$D$7:$N$16,G31+1,FALSE),2.5),"")</f>
        <v>325</v>
      </c>
      <c r="Q31" s="136"/>
      <c r="S31" s="11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</row>
    <row r="32" ht="3.75" customHeight="1">
      <c r="A32" s="90"/>
      <c r="B32" s="6"/>
      <c r="C32" s="90"/>
      <c r="D32" s="171"/>
      <c r="E32" s="172"/>
      <c r="F32" s="173"/>
      <c r="G32" s="173"/>
      <c r="H32" s="173"/>
      <c r="I32" s="173"/>
      <c r="J32" s="174"/>
      <c r="K32" s="142"/>
      <c r="L32" s="143"/>
      <c r="M32" s="144"/>
      <c r="N32" s="145"/>
      <c r="O32" s="145"/>
      <c r="P32" s="122"/>
      <c r="Q32" s="146"/>
      <c r="S32" s="11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</row>
    <row r="33" ht="15.75" customHeight="1">
      <c r="A33" s="90"/>
      <c r="B33" s="6"/>
      <c r="C33" s="90"/>
      <c r="D33" s="166" t="s">
        <v>37</v>
      </c>
      <c r="E33" s="160" t="s">
        <v>81</v>
      </c>
      <c r="F33" s="127">
        <v>3.0</v>
      </c>
      <c r="G33" s="169">
        <v>45577.0</v>
      </c>
      <c r="H33" s="129"/>
      <c r="I33" s="130">
        <v>295.0</v>
      </c>
      <c r="J33" s="151">
        <v>8.0</v>
      </c>
      <c r="K33" s="132"/>
      <c r="L33" s="133">
        <v>8.0</v>
      </c>
      <c r="M33" s="134"/>
      <c r="N33" s="135" t="str">
        <f>iferror(mround(#REF!*((VLOOKUP($J33,Sheet1!$D:$N,$G33+1,FALSE)-0.03)),2.5)," ")</f>
        <v> </v>
      </c>
      <c r="O33" s="135" t="str">
        <f>iferror(mround(#REF!*((VLOOKUP($J33,Sheet1!$D:$N,$G33+1,FALSE)+0.02)),2.5)," ")</f>
        <v> </v>
      </c>
      <c r="P33" s="56" t="str">
        <f>iferror(mround(I33/VLOOKUP(L33,Sheet1!$D$7:$N$16,G33+1,FALSE),2.5),"")</f>
        <v/>
      </c>
      <c r="Q33" s="136"/>
      <c r="S33" s="11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</row>
    <row r="34" ht="3.75" customHeight="1">
      <c r="A34" s="90"/>
      <c r="B34" s="6"/>
      <c r="C34" s="90"/>
      <c r="D34" s="171"/>
      <c r="E34" s="172"/>
      <c r="F34" s="173"/>
      <c r="G34" s="173"/>
      <c r="H34" s="173"/>
      <c r="I34" s="173"/>
      <c r="J34" s="174"/>
      <c r="K34" s="142"/>
      <c r="L34" s="143"/>
      <c r="M34" s="144"/>
      <c r="N34" s="145"/>
      <c r="O34" s="145"/>
      <c r="P34" s="122"/>
      <c r="Q34" s="146"/>
      <c r="S34" s="11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</row>
    <row r="35" ht="15.75" customHeight="1">
      <c r="A35" s="90"/>
      <c r="B35" s="6"/>
      <c r="C35" s="90"/>
      <c r="D35" s="175" t="s">
        <v>40</v>
      </c>
      <c r="E35" s="176"/>
      <c r="F35" s="177">
        <v>3.0</v>
      </c>
      <c r="G35" s="178" t="s">
        <v>41</v>
      </c>
      <c r="H35" s="179"/>
      <c r="I35" s="180"/>
      <c r="J35" s="181">
        <v>8.0</v>
      </c>
      <c r="K35" s="182"/>
      <c r="L35" s="183"/>
      <c r="M35" s="134"/>
      <c r="N35" s="135" t="str">
        <f>iferror(mround(#REF!*((VLOOKUP($J35,Sheet1!$D:$N,$G35+1,FALSE)-0.03)),2.5)," ")</f>
        <v> </v>
      </c>
      <c r="O35" s="135" t="str">
        <f>iferror(mround(#REF!*((VLOOKUP($J35,Sheet1!$D:$N,$G35+1,FALSE)+0.02)),2.5)," ")</f>
        <v> </v>
      </c>
      <c r="P35" s="56" t="str">
        <f>iferror(mround(I35/VLOOKUP(L35,Sheet1!$D$7:$N$16,G35+1,FALSE),2.5),"")</f>
        <v/>
      </c>
      <c r="Q35" s="136"/>
      <c r="S35" s="11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</row>
    <row r="36" ht="3.75" customHeight="1">
      <c r="A36" s="90"/>
      <c r="B36" s="6"/>
      <c r="C36" s="90"/>
      <c r="D36" s="138"/>
      <c r="E36" s="139"/>
      <c r="F36" s="102"/>
      <c r="G36" s="102"/>
      <c r="H36" s="102"/>
      <c r="I36" s="102"/>
      <c r="J36" s="156"/>
      <c r="K36" s="307"/>
      <c r="L36" s="143"/>
      <c r="M36" s="144"/>
      <c r="N36" s="145"/>
      <c r="O36" s="145"/>
      <c r="P36" s="122"/>
      <c r="Q36" s="146"/>
      <c r="S36" s="11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</row>
    <row r="37" ht="15.75" hidden="1" customHeight="1">
      <c r="A37" s="90"/>
      <c r="B37" s="6"/>
      <c r="C37" s="90"/>
      <c r="D37" s="185"/>
      <c r="E37" s="126"/>
      <c r="F37" s="187"/>
      <c r="G37" s="188"/>
      <c r="H37" s="129"/>
      <c r="I37" s="164"/>
      <c r="J37" s="189"/>
      <c r="K37" s="182"/>
      <c r="L37" s="183"/>
      <c r="M37" s="134"/>
      <c r="N37" s="135" t="str">
        <f>iferror(mround(#REF!*((VLOOKUP($J37,Sheet1!$D:$N,$G37+1,FALSE)-0.03)),2.5)," ")</f>
        <v> </v>
      </c>
      <c r="O37" s="135" t="str">
        <f>iferror(mround(#REF!*((VLOOKUP($J37,Sheet1!$D:$N,$G37+1,FALSE)+0.02)),2.5)," ")</f>
        <v> </v>
      </c>
      <c r="P37" s="56" t="str">
        <f>iferror(mround(I37/VLOOKUP(L37,Sheet1!$D$7:$N$16,G37+1,FALSE),2.5),"")</f>
        <v/>
      </c>
      <c r="Q37" s="136"/>
      <c r="S37" s="11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</row>
    <row r="38" ht="3.75" hidden="1" customHeight="1">
      <c r="A38" s="191"/>
      <c r="B38" s="6"/>
      <c r="C38" s="192"/>
      <c r="D38" s="138"/>
      <c r="E38" s="154"/>
      <c r="F38" s="194"/>
      <c r="G38" s="155"/>
      <c r="H38" s="102"/>
      <c r="I38" s="102"/>
      <c r="J38" s="156"/>
      <c r="K38" s="307"/>
      <c r="L38" s="143"/>
      <c r="M38" s="144"/>
      <c r="N38" s="145"/>
      <c r="O38" s="145"/>
      <c r="P38" s="122"/>
      <c r="Q38" s="146"/>
      <c r="S38" s="157"/>
      <c r="T38" s="5"/>
      <c r="U38" s="5"/>
      <c r="V38" s="158"/>
      <c r="W38" s="158"/>
      <c r="X38" s="158"/>
      <c r="Y38" s="158"/>
      <c r="Z38" s="158"/>
      <c r="AA38" s="158"/>
      <c r="AB38" s="158"/>
      <c r="AC38" s="158"/>
      <c r="AD38" s="158"/>
      <c r="AE38" s="158"/>
      <c r="AF38" s="158"/>
      <c r="AG38" s="158"/>
    </row>
    <row r="39" ht="15.75" hidden="1" customHeight="1">
      <c r="A39" s="90"/>
      <c r="B39" s="6"/>
      <c r="C39" s="90"/>
      <c r="D39" s="185"/>
      <c r="E39" s="126"/>
      <c r="F39" s="187"/>
      <c r="G39" s="195"/>
      <c r="H39" s="129"/>
      <c r="I39" s="164"/>
      <c r="J39" s="189"/>
      <c r="K39" s="182"/>
      <c r="L39" s="183"/>
      <c r="M39" s="134"/>
      <c r="N39" s="135" t="str">
        <f>iferror(mround(#REF!*((VLOOKUP($J39,Sheet1!$D:$N,$G39+1,FALSE)-0.03)),2.5)," ")</f>
        <v> </v>
      </c>
      <c r="O39" s="135" t="str">
        <f>iferror(mround(#REF!*((VLOOKUP($J39,Sheet1!$D:$N,$G39+1,FALSE)+0.02)),2.5)," ")</f>
        <v> </v>
      </c>
      <c r="P39" s="56" t="str">
        <f>iferror(mround(I39/VLOOKUP(L39,Sheet1!$D$7:$N$16,G39+1,FALSE),2.5),"")</f>
        <v/>
      </c>
      <c r="Q39" s="136"/>
      <c r="S39" s="11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</row>
    <row r="40" ht="3.75" hidden="1" customHeight="1">
      <c r="A40" s="90"/>
      <c r="B40" s="6"/>
      <c r="C40" s="90"/>
      <c r="D40" s="196"/>
      <c r="E40" s="139"/>
      <c r="F40" s="102"/>
      <c r="G40" s="102"/>
      <c r="H40" s="102"/>
      <c r="I40" s="102"/>
      <c r="J40" s="156"/>
      <c r="K40" s="307"/>
      <c r="L40" s="143"/>
      <c r="M40" s="144"/>
      <c r="N40" s="145"/>
      <c r="O40" s="145"/>
      <c r="P40" s="122"/>
      <c r="Q40" s="146"/>
      <c r="S40" s="11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</row>
    <row r="41" ht="15.75" hidden="1" customHeight="1">
      <c r="A41" s="90"/>
      <c r="B41" s="6"/>
      <c r="C41" s="90"/>
      <c r="D41" s="197"/>
      <c r="E41" s="308"/>
      <c r="F41" s="199"/>
      <c r="G41" s="195"/>
      <c r="H41" s="129"/>
      <c r="I41" s="164"/>
      <c r="J41" s="189"/>
      <c r="K41" s="182"/>
      <c r="L41" s="183"/>
      <c r="M41" s="134"/>
      <c r="N41" s="135" t="str">
        <f>iferror(mround(#REF!*((VLOOKUP($J41,Sheet1!$D:$N,$G41+1,FALSE)-0.03)),2.5)," ")</f>
        <v> </v>
      </c>
      <c r="O41" s="135" t="str">
        <f>iferror(mround(#REF!*((VLOOKUP($J41,Sheet1!$D:$N,$G41+1,FALSE)+0.02)),2.5)," ")</f>
        <v> </v>
      </c>
      <c r="P41" s="56" t="str">
        <f>iferror(mround(I41/VLOOKUP(L41,Sheet1!$D$7:$N$16,G41+1,FALSE),2.5),"")</f>
        <v/>
      </c>
      <c r="Q41" s="136"/>
      <c r="S41" s="11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</row>
    <row r="42" ht="3.75" customHeight="1">
      <c r="A42" s="90"/>
      <c r="B42" s="6"/>
      <c r="C42" s="90"/>
      <c r="D42" s="90"/>
      <c r="E42" s="309"/>
      <c r="F42" s="102"/>
      <c r="G42" s="102"/>
      <c r="H42" s="102"/>
      <c r="I42" s="102"/>
      <c r="J42" s="156"/>
      <c r="K42" s="200"/>
      <c r="L42" s="201"/>
      <c r="M42" s="144"/>
      <c r="N42" s="47"/>
      <c r="O42" s="47"/>
      <c r="P42" s="122"/>
      <c r="Q42" s="146"/>
      <c r="S42" s="11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</row>
    <row r="43" ht="30.0" customHeight="1">
      <c r="A43" s="90"/>
      <c r="B43" s="6"/>
      <c r="C43" s="90"/>
      <c r="D43" s="104" t="s">
        <v>42</v>
      </c>
      <c r="E43" s="105" t="s">
        <v>82</v>
      </c>
      <c r="F43" s="106" t="s">
        <v>16</v>
      </c>
      <c r="G43" s="106" t="s">
        <v>17</v>
      </c>
      <c r="H43" s="107"/>
      <c r="I43" s="106" t="s">
        <v>18</v>
      </c>
      <c r="J43" s="108" t="s">
        <v>19</v>
      </c>
      <c r="L43" s="109" t="s">
        <v>20</v>
      </c>
      <c r="M43" s="110" t="s">
        <v>21</v>
      </c>
      <c r="N43" s="111" t="s">
        <v>22</v>
      </c>
      <c r="P43" s="112"/>
      <c r="Q43" s="113" t="s">
        <v>23</v>
      </c>
      <c r="R43" s="114" t="s">
        <v>43</v>
      </c>
      <c r="S43" s="11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</row>
    <row r="44" ht="14.25" customHeight="1">
      <c r="A44" s="90"/>
      <c r="B44" s="6"/>
      <c r="C44" s="90"/>
      <c r="D44" s="116" t="s">
        <v>102</v>
      </c>
      <c r="E44" s="117">
        <v>2.0</v>
      </c>
      <c r="H44" s="107"/>
      <c r="N44" s="111" t="s">
        <v>27</v>
      </c>
      <c r="O44" s="111" t="s">
        <v>28</v>
      </c>
      <c r="P44" s="112" t="s">
        <v>29</v>
      </c>
      <c r="R44" s="118" t="s">
        <v>30</v>
      </c>
      <c r="S44" s="11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</row>
    <row r="45" ht="3.75" customHeight="1">
      <c r="A45" s="191"/>
      <c r="B45" s="6"/>
      <c r="C45" s="192"/>
      <c r="D45" s="310"/>
      <c r="E45" s="204"/>
      <c r="F45" s="205"/>
      <c r="G45" s="205"/>
      <c r="H45" s="206"/>
      <c r="I45" s="207"/>
      <c r="J45" s="208"/>
      <c r="K45" s="209"/>
      <c r="L45" s="210"/>
      <c r="M45" s="211"/>
      <c r="N45" s="47"/>
      <c r="O45" s="47"/>
      <c r="P45" s="122"/>
      <c r="Q45" s="146"/>
      <c r="R45" s="212"/>
      <c r="S45" s="157"/>
      <c r="T45" s="5"/>
      <c r="U45" s="5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</row>
    <row r="46" ht="15.75" customHeight="1">
      <c r="A46" s="124"/>
      <c r="B46" s="6"/>
      <c r="C46" s="124"/>
      <c r="D46" s="159" t="s">
        <v>83</v>
      </c>
      <c r="E46" s="167" t="s">
        <v>84</v>
      </c>
      <c r="F46" s="127">
        <v>3.0</v>
      </c>
      <c r="G46" s="127">
        <v>3.0</v>
      </c>
      <c r="H46" s="195"/>
      <c r="I46" s="130">
        <v>419.0</v>
      </c>
      <c r="J46" s="151">
        <v>6.0</v>
      </c>
      <c r="K46" s="213"/>
      <c r="L46" s="133">
        <v>6.0</v>
      </c>
      <c r="M46" s="134"/>
      <c r="N46" s="135"/>
      <c r="O46" s="135"/>
      <c r="P46" s="112">
        <f>iferror(mround(I46/VLOOKUP(L46,Sheet1!$D$7:$N$16,G46+1,FALSE),2.5),"")</f>
        <v>515</v>
      </c>
      <c r="Q46" s="136"/>
      <c r="R46" s="214"/>
      <c r="S46" s="11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</row>
    <row r="47" ht="3.75" customHeight="1">
      <c r="A47" s="124"/>
      <c r="B47" s="6"/>
      <c r="C47" s="124"/>
      <c r="D47" s="138"/>
      <c r="E47" s="215"/>
      <c r="F47" s="102"/>
      <c r="G47" s="102"/>
      <c r="H47" s="102"/>
      <c r="I47" s="102"/>
      <c r="J47" s="216"/>
      <c r="K47" s="217"/>
      <c r="L47" s="218"/>
      <c r="M47" s="144"/>
      <c r="N47" s="145"/>
      <c r="O47" s="145"/>
      <c r="P47" s="122"/>
      <c r="Q47" s="146"/>
      <c r="R47" s="214"/>
      <c r="S47" s="11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</row>
    <row r="48" ht="15.75" customHeight="1">
      <c r="A48" s="90"/>
      <c r="B48" s="6"/>
      <c r="C48" s="90"/>
      <c r="D48" s="159" t="s">
        <v>33</v>
      </c>
      <c r="E48" s="167"/>
      <c r="F48" s="127">
        <v>1.0</v>
      </c>
      <c r="G48" s="127">
        <v>2.0</v>
      </c>
      <c r="H48" s="195"/>
      <c r="I48" s="130">
        <v>303.0</v>
      </c>
      <c r="J48" s="151">
        <v>7.5</v>
      </c>
      <c r="K48" s="219" t="s">
        <v>85</v>
      </c>
      <c r="L48" s="133">
        <v>7.0</v>
      </c>
      <c r="M48" s="134"/>
      <c r="N48" s="135"/>
      <c r="O48" s="135"/>
      <c r="P48" s="112">
        <f>iferror(mround(I48/VLOOKUP(L48,Sheet1!$D$7:$N$16,G48+1,FALSE),2.5),"")</f>
        <v>350</v>
      </c>
      <c r="Q48" s="136"/>
      <c r="R48" s="214"/>
      <c r="S48" s="11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</row>
    <row r="49" ht="3.75" customHeight="1">
      <c r="A49" s="90"/>
      <c r="B49" s="6"/>
      <c r="C49" s="90"/>
      <c r="D49" s="138"/>
      <c r="E49" s="215"/>
      <c r="F49" s="102"/>
      <c r="G49" s="102"/>
      <c r="H49" s="102"/>
      <c r="I49" s="102"/>
      <c r="J49" s="216"/>
      <c r="K49" s="217"/>
      <c r="L49" s="218"/>
      <c r="M49" s="144"/>
      <c r="N49" s="145"/>
      <c r="O49" s="145"/>
      <c r="P49" s="122"/>
      <c r="Q49" s="146"/>
      <c r="R49" s="214"/>
      <c r="S49" s="11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</row>
    <row r="50" ht="15.75" customHeight="1">
      <c r="A50" s="90"/>
      <c r="B50" s="6"/>
      <c r="C50" s="90"/>
      <c r="D50" s="159" t="s">
        <v>33</v>
      </c>
      <c r="E50" s="167"/>
      <c r="F50" s="127">
        <v>3.0</v>
      </c>
      <c r="G50" s="161">
        <v>3.0</v>
      </c>
      <c r="H50" s="195"/>
      <c r="I50" s="164">
        <f>MROUND(I48*(1+J50),5)</f>
        <v>280</v>
      </c>
      <c r="J50" s="165">
        <v>-0.08</v>
      </c>
      <c r="K50" s="219"/>
      <c r="L50" s="133">
        <v>6.5</v>
      </c>
      <c r="M50" s="134"/>
      <c r="N50" s="135"/>
      <c r="O50" s="135"/>
      <c r="P50" s="112">
        <f>iferror(mround(I50/VLOOKUP(L50,Sheet1!$D$7:$N$16,G50+1,FALSE),2.5),"")</f>
        <v>337.5</v>
      </c>
      <c r="Q50" s="136"/>
      <c r="R50" s="214"/>
      <c r="S50" s="11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</row>
    <row r="51" ht="3.75" customHeight="1">
      <c r="A51" s="90"/>
      <c r="B51" s="6"/>
      <c r="C51" s="90"/>
      <c r="D51" s="138"/>
      <c r="E51" s="215"/>
      <c r="F51" s="102"/>
      <c r="G51" s="102"/>
      <c r="H51" s="102"/>
      <c r="I51" s="102"/>
      <c r="J51" s="156"/>
      <c r="K51" s="217"/>
      <c r="L51" s="143"/>
      <c r="M51" s="144"/>
      <c r="N51" s="145"/>
      <c r="O51" s="145"/>
      <c r="P51" s="122"/>
      <c r="Q51" s="146"/>
      <c r="R51" s="214"/>
      <c r="S51" s="11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</row>
    <row r="52" ht="15.75" customHeight="1">
      <c r="A52" s="90"/>
      <c r="B52" s="6"/>
      <c r="C52" s="90"/>
      <c r="D52" s="159" t="s">
        <v>86</v>
      </c>
      <c r="E52" s="167" t="s">
        <v>87</v>
      </c>
      <c r="F52" s="127">
        <v>3.0</v>
      </c>
      <c r="G52" s="169">
        <v>45577.0</v>
      </c>
      <c r="H52" s="195"/>
      <c r="I52" s="130">
        <v>110.0</v>
      </c>
      <c r="J52" s="151">
        <v>8.0</v>
      </c>
      <c r="K52" s="213"/>
      <c r="L52" s="133">
        <v>8.0</v>
      </c>
      <c r="M52" s="134"/>
      <c r="N52" s="135"/>
      <c r="O52" s="135"/>
      <c r="P52" s="112" t="str">
        <f>iferror(mround(I52/VLOOKUP(L52,Sheet1!$D$7:$N$16,G52+1,FALSE),2.5),"")</f>
        <v/>
      </c>
      <c r="Q52" s="136"/>
      <c r="R52" s="214"/>
      <c r="S52" s="11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</row>
    <row r="53" ht="3.75" customHeight="1">
      <c r="A53" s="90"/>
      <c r="B53" s="6"/>
      <c r="C53" s="90"/>
      <c r="D53" s="138"/>
      <c r="E53" s="215"/>
      <c r="F53" s="102"/>
      <c r="G53" s="102"/>
      <c r="H53" s="102"/>
      <c r="I53" s="102"/>
      <c r="J53" s="156"/>
      <c r="K53" s="217"/>
      <c r="L53" s="143"/>
      <c r="M53" s="144"/>
      <c r="N53" s="145"/>
      <c r="O53" s="145"/>
      <c r="P53" s="122"/>
      <c r="Q53" s="146"/>
      <c r="R53" s="214"/>
      <c r="S53" s="11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</row>
    <row r="54" ht="15.75" customHeight="1">
      <c r="A54" s="90"/>
      <c r="B54" s="6"/>
      <c r="C54" s="90"/>
      <c r="D54" s="159" t="s">
        <v>88</v>
      </c>
      <c r="E54" s="220"/>
      <c r="F54" s="127">
        <v>3.0</v>
      </c>
      <c r="G54" s="221">
        <v>45641.0</v>
      </c>
      <c r="H54" s="195"/>
      <c r="I54" s="130">
        <v>11.5</v>
      </c>
      <c r="J54" s="151">
        <v>9.0</v>
      </c>
      <c r="K54" s="213"/>
      <c r="L54" s="133">
        <v>9.0</v>
      </c>
      <c r="M54" s="134"/>
      <c r="N54" s="135"/>
      <c r="O54" s="135"/>
      <c r="P54" s="112" t="str">
        <f>iferror(mround(I54/VLOOKUP(L54,Sheet1!$D$7:$N$16,G54+1,FALSE),2.5),"")</f>
        <v/>
      </c>
      <c r="Q54" s="136"/>
      <c r="R54" s="214"/>
      <c r="S54" s="11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</row>
    <row r="55" ht="3.75" customHeight="1">
      <c r="A55" s="90"/>
      <c r="B55" s="6"/>
      <c r="C55" s="90"/>
      <c r="D55" s="138"/>
      <c r="E55" s="215"/>
      <c r="F55" s="102"/>
      <c r="G55" s="102"/>
      <c r="H55" s="102"/>
      <c r="I55" s="102"/>
      <c r="J55" s="156"/>
      <c r="K55" s="217"/>
      <c r="L55" s="143"/>
      <c r="M55" s="144"/>
      <c r="N55" s="145"/>
      <c r="O55" s="145"/>
      <c r="P55" s="122"/>
      <c r="Q55" s="146"/>
      <c r="R55" s="214"/>
      <c r="S55" s="11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</row>
    <row r="56" ht="15.75" customHeight="1">
      <c r="A56" s="90"/>
      <c r="B56" s="6"/>
      <c r="C56" s="90"/>
      <c r="D56" s="159" t="s">
        <v>47</v>
      </c>
      <c r="E56" s="220"/>
      <c r="F56" s="127">
        <v>3.0</v>
      </c>
      <c r="G56" s="221">
        <v>45641.0</v>
      </c>
      <c r="H56" s="195"/>
      <c r="I56" s="130">
        <v>65.0</v>
      </c>
      <c r="J56" s="151">
        <v>9.0</v>
      </c>
      <c r="K56" s="213"/>
      <c r="L56" s="133">
        <v>9.0</v>
      </c>
      <c r="M56" s="134"/>
      <c r="N56" s="135"/>
      <c r="O56" s="135"/>
      <c r="P56" s="112" t="str">
        <f>iferror(mround(I56/VLOOKUP(L56,Sheet1!$D$7:$N$16,G56+1,FALSE),2.5),"")</f>
        <v/>
      </c>
      <c r="Q56" s="136"/>
      <c r="R56" s="214"/>
      <c r="S56" s="11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</row>
    <row r="57" ht="3.75" customHeight="1">
      <c r="A57" s="90"/>
      <c r="B57" s="6"/>
      <c r="C57" s="90"/>
      <c r="D57" s="138"/>
      <c r="E57" s="215"/>
      <c r="F57" s="102"/>
      <c r="G57" s="102"/>
      <c r="H57" s="102"/>
      <c r="I57" s="102"/>
      <c r="J57" s="216"/>
      <c r="K57" s="217"/>
      <c r="L57" s="143"/>
      <c r="M57" s="144"/>
      <c r="N57" s="145"/>
      <c r="O57" s="145"/>
      <c r="P57" s="122"/>
      <c r="Q57" s="146"/>
      <c r="R57" s="214"/>
      <c r="S57" s="11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</row>
    <row r="58" ht="18.0" hidden="1" customHeight="1">
      <c r="A58" s="90"/>
      <c r="B58" s="6"/>
      <c r="C58" s="90"/>
      <c r="D58" s="185"/>
      <c r="E58" s="220"/>
      <c r="F58" s="187"/>
      <c r="G58" s="187"/>
      <c r="H58" s="195"/>
      <c r="I58" s="164"/>
      <c r="J58" s="189"/>
      <c r="K58" s="213"/>
      <c r="L58" s="183"/>
      <c r="M58" s="134"/>
      <c r="N58" s="135"/>
      <c r="O58" s="135"/>
      <c r="P58" s="112" t="str">
        <f>iferror(mround(I58/VLOOKUP(L58,Sheet1!$D$7:$N$16,G58+1,FALSE),2.5),"")</f>
        <v/>
      </c>
      <c r="Q58" s="136"/>
      <c r="R58" s="214"/>
      <c r="S58" s="11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</row>
    <row r="59" ht="3.75" hidden="1" customHeight="1">
      <c r="A59" s="191"/>
      <c r="B59" s="6"/>
      <c r="C59" s="192"/>
      <c r="D59" s="138"/>
      <c r="E59" s="311"/>
      <c r="F59" s="194"/>
      <c r="G59" s="194"/>
      <c r="H59" s="155"/>
      <c r="I59" s="210"/>
      <c r="J59" s="216"/>
      <c r="K59" s="217"/>
      <c r="L59" s="143"/>
      <c r="M59" s="144"/>
      <c r="N59" s="145"/>
      <c r="O59" s="145"/>
      <c r="P59" s="122"/>
      <c r="Q59" s="146"/>
      <c r="R59" s="214"/>
      <c r="S59" s="157"/>
      <c r="T59" s="5"/>
      <c r="U59" s="5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</row>
    <row r="60" ht="15.75" hidden="1" customHeight="1">
      <c r="A60" s="90"/>
      <c r="B60" s="6"/>
      <c r="C60" s="90"/>
      <c r="D60" s="185"/>
      <c r="E60" s="312"/>
      <c r="F60" s="187"/>
      <c r="G60" s="187"/>
      <c r="H60" s="195"/>
      <c r="I60" s="164"/>
      <c r="J60" s="189"/>
      <c r="K60" s="213"/>
      <c r="L60" s="183"/>
      <c r="M60" s="134"/>
      <c r="N60" s="135"/>
      <c r="O60" s="135"/>
      <c r="P60" s="112" t="str">
        <f>iferror(mround(I60/VLOOKUP(L60,Sheet1!$D$7:$N$16,G60+1,FALSE),2.5),"")</f>
        <v/>
      </c>
      <c r="Q60" s="136"/>
      <c r="R60" s="214"/>
      <c r="S60" s="11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</row>
    <row r="61" ht="3.75" hidden="1" customHeight="1">
      <c r="A61" s="90"/>
      <c r="B61" s="6"/>
      <c r="C61" s="90"/>
      <c r="D61" s="138"/>
      <c r="E61" s="215"/>
      <c r="F61" s="102"/>
      <c r="G61" s="102"/>
      <c r="H61" s="102"/>
      <c r="I61" s="102"/>
      <c r="J61" s="156"/>
      <c r="K61" s="217"/>
      <c r="L61" s="143"/>
      <c r="M61" s="144"/>
      <c r="N61" s="145"/>
      <c r="O61" s="145"/>
      <c r="P61" s="122"/>
      <c r="Q61" s="146"/>
      <c r="R61" s="214"/>
      <c r="S61" s="11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</row>
    <row r="62" ht="15.75" hidden="1" customHeight="1">
      <c r="A62" s="90"/>
      <c r="B62" s="6"/>
      <c r="C62" s="90"/>
      <c r="D62" s="185"/>
      <c r="E62" s="220"/>
      <c r="F62" s="187"/>
      <c r="G62" s="187"/>
      <c r="H62" s="195"/>
      <c r="I62" s="164"/>
      <c r="J62" s="189"/>
      <c r="K62" s="213"/>
      <c r="L62" s="183"/>
      <c r="M62" s="134"/>
      <c r="N62" s="135"/>
      <c r="O62" s="135"/>
      <c r="P62" s="112" t="str">
        <f>iferror(mround(I62/VLOOKUP(L62,Sheet1!$D$7:$N$16,G62+1,FALSE),2.5),"")</f>
        <v/>
      </c>
      <c r="Q62" s="136"/>
      <c r="R62" s="214"/>
      <c r="S62" s="11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</row>
    <row r="63" ht="3.75" hidden="1" customHeight="1">
      <c r="A63" s="191"/>
      <c r="B63" s="6"/>
      <c r="C63" s="192"/>
      <c r="D63" s="138"/>
      <c r="E63" s="313"/>
      <c r="F63" s="194"/>
      <c r="G63" s="194"/>
      <c r="H63" s="155"/>
      <c r="I63" s="210"/>
      <c r="J63" s="216"/>
      <c r="K63" s="217"/>
      <c r="L63" s="143"/>
      <c r="M63" s="144"/>
      <c r="N63" s="145"/>
      <c r="O63" s="145"/>
      <c r="P63" s="122"/>
      <c r="Q63" s="146"/>
      <c r="R63" s="214"/>
      <c r="S63" s="157"/>
      <c r="T63" s="5"/>
      <c r="U63" s="5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</row>
    <row r="64" ht="15.75" hidden="1" customHeight="1">
      <c r="A64" s="90"/>
      <c r="B64" s="6"/>
      <c r="C64" s="90"/>
      <c r="D64" s="185"/>
      <c r="E64" s="312"/>
      <c r="F64" s="187"/>
      <c r="G64" s="187"/>
      <c r="H64" s="195"/>
      <c r="I64" s="164"/>
      <c r="J64" s="189"/>
      <c r="K64" s="213"/>
      <c r="L64" s="183"/>
      <c r="M64" s="134"/>
      <c r="N64" s="135"/>
      <c r="O64" s="135"/>
      <c r="P64" s="112" t="str">
        <f>iferror(mround(I64/VLOOKUP(L64,Sheet1!$D$7:$N$16,G64+1,FALSE),2.5),"")</f>
        <v/>
      </c>
      <c r="Q64" s="136"/>
      <c r="R64" s="214"/>
      <c r="S64" s="11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</row>
    <row r="65" ht="3.75" hidden="1" customHeight="1">
      <c r="A65" s="90"/>
      <c r="B65" s="6"/>
      <c r="C65" s="90"/>
      <c r="D65" s="196"/>
      <c r="E65" s="215"/>
      <c r="F65" s="102"/>
      <c r="G65" s="102"/>
      <c r="H65" s="102"/>
      <c r="I65" s="102"/>
      <c r="J65" s="156"/>
      <c r="K65" s="217"/>
      <c r="L65" s="143"/>
      <c r="M65" s="144"/>
      <c r="N65" s="145"/>
      <c r="O65" s="145"/>
      <c r="P65" s="122"/>
      <c r="Q65" s="146"/>
      <c r="R65" s="214"/>
      <c r="S65" s="11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</row>
    <row r="66" ht="15.75" hidden="1" customHeight="1">
      <c r="A66" s="90"/>
      <c r="B66" s="6"/>
      <c r="C66" s="90"/>
      <c r="D66" s="197"/>
      <c r="E66" s="314"/>
      <c r="F66" s="199"/>
      <c r="G66" s="187"/>
      <c r="H66" s="195"/>
      <c r="I66" s="164"/>
      <c r="J66" s="189"/>
      <c r="K66" s="213"/>
      <c r="L66" s="183"/>
      <c r="M66" s="134"/>
      <c r="N66" s="135"/>
      <c r="O66" s="135"/>
      <c r="P66" s="112" t="str">
        <f>iferror(mround(I66/VLOOKUP(L66,Sheet1!$D$7:$N$16,G66+1,FALSE),2.5),"")</f>
        <v/>
      </c>
      <c r="Q66" s="136"/>
      <c r="R66" s="214"/>
      <c r="S66" s="11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</row>
    <row r="67" ht="3.75" hidden="1" customHeight="1">
      <c r="A67" s="90"/>
      <c r="B67" s="6"/>
      <c r="C67" s="90"/>
      <c r="D67" s="90"/>
      <c r="E67" s="120"/>
      <c r="F67" s="102"/>
      <c r="G67" s="102"/>
      <c r="H67" s="102"/>
      <c r="I67" s="102"/>
      <c r="J67" s="156"/>
      <c r="K67" s="315"/>
      <c r="L67" s="201"/>
      <c r="M67" s="211"/>
      <c r="N67" s="47"/>
      <c r="O67" s="47"/>
      <c r="P67" s="122"/>
      <c r="Q67" s="146"/>
      <c r="R67" s="214"/>
      <c r="S67" s="11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</row>
    <row r="68" ht="30.75" customHeight="1">
      <c r="A68" s="90"/>
      <c r="B68" s="6"/>
      <c r="C68" s="90"/>
      <c r="D68" s="104" t="s">
        <v>49</v>
      </c>
      <c r="E68" s="105" t="s">
        <v>89</v>
      </c>
      <c r="F68" s="106" t="s">
        <v>16</v>
      </c>
      <c r="G68" s="106" t="s">
        <v>17</v>
      </c>
      <c r="H68" s="107"/>
      <c r="I68" s="106" t="s">
        <v>18</v>
      </c>
      <c r="J68" s="108" t="s">
        <v>19</v>
      </c>
      <c r="L68" s="109" t="s">
        <v>20</v>
      </c>
      <c r="M68" s="110" t="s">
        <v>21</v>
      </c>
      <c r="N68" s="111" t="s">
        <v>22</v>
      </c>
      <c r="P68" s="112"/>
      <c r="Q68" s="113" t="s">
        <v>23</v>
      </c>
      <c r="R68" s="114" t="s">
        <v>50</v>
      </c>
      <c r="S68" s="11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</row>
    <row r="69" ht="14.25" customHeight="1">
      <c r="A69" s="90"/>
      <c r="B69" s="6"/>
      <c r="C69" s="90"/>
      <c r="D69" s="116">
        <v>4.0</v>
      </c>
      <c r="E69" s="117">
        <v>2.0</v>
      </c>
      <c r="H69" s="107"/>
      <c r="N69" s="111" t="s">
        <v>27</v>
      </c>
      <c r="O69" s="111" t="s">
        <v>28</v>
      </c>
      <c r="P69" s="112" t="s">
        <v>29</v>
      </c>
      <c r="R69" s="118" t="s">
        <v>30</v>
      </c>
      <c r="S69" s="11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</row>
    <row r="70" ht="3.75" customHeight="1">
      <c r="A70" s="191"/>
      <c r="B70" s="6"/>
      <c r="C70" s="192"/>
      <c r="D70" s="203"/>
      <c r="E70" s="203"/>
      <c r="F70" s="205"/>
      <c r="G70" s="205"/>
      <c r="H70" s="205"/>
      <c r="I70" s="225"/>
      <c r="J70" s="226"/>
      <c r="K70" s="316"/>
      <c r="L70" s="210"/>
      <c r="M70" s="211"/>
      <c r="N70" s="47"/>
      <c r="O70" s="47"/>
      <c r="P70" s="122"/>
      <c r="Q70" s="146"/>
      <c r="R70" s="212" t="s">
        <v>109</v>
      </c>
      <c r="S70" s="157"/>
      <c r="T70" s="5"/>
      <c r="U70" s="5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</row>
    <row r="71" ht="15.75" customHeight="1">
      <c r="A71" s="124"/>
      <c r="B71" s="6"/>
      <c r="C71" s="124"/>
      <c r="D71" s="125" t="s">
        <v>90</v>
      </c>
      <c r="E71" s="126"/>
      <c r="F71" s="127">
        <v>1.0</v>
      </c>
      <c r="G71" s="240">
        <v>4.0</v>
      </c>
      <c r="H71" s="129"/>
      <c r="I71" s="130">
        <v>408.0</v>
      </c>
      <c r="J71" s="151">
        <v>6.5</v>
      </c>
      <c r="K71" s="213"/>
      <c r="L71" s="133">
        <v>6.5</v>
      </c>
      <c r="M71" s="134"/>
      <c r="N71" s="135" t="str">
        <f>iferror(mround(#REF!*((VLOOKUP($J71,Sheet1!$D:$N,$G71+1,FALSE)-0.03)),2.5)," ")</f>
        <v> </v>
      </c>
      <c r="O71" s="135" t="str">
        <f>iferror(mround(#REF!*((VLOOKUP($J71,Sheet1!$D:$N,$G71+1,FALSE)+0.02)),2.5)," ")</f>
        <v> </v>
      </c>
      <c r="P71" s="112">
        <f>iferror(mround(I71/VLOOKUP(L71,Sheet1!$D$7:$N$16,G71+1,FALSE),2.5),"")</f>
        <v>507.5</v>
      </c>
      <c r="Q71" s="136"/>
      <c r="R71" s="214"/>
      <c r="S71" s="11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</row>
    <row r="72" ht="3.75" customHeight="1">
      <c r="A72" s="124"/>
      <c r="B72" s="6"/>
      <c r="C72" s="124"/>
      <c r="D72" s="138"/>
      <c r="E72" s="139"/>
      <c r="F72" s="140"/>
      <c r="G72" s="140"/>
      <c r="H72" s="140"/>
      <c r="I72" s="140"/>
      <c r="J72" s="141"/>
      <c r="K72" s="217"/>
      <c r="L72" s="218"/>
      <c r="M72" s="144"/>
      <c r="N72" s="145"/>
      <c r="O72" s="145"/>
      <c r="P72" s="122"/>
      <c r="Q72" s="146"/>
      <c r="R72" s="214"/>
      <c r="S72" s="11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</row>
    <row r="73" ht="15.75" customHeight="1">
      <c r="A73" s="90"/>
      <c r="B73" s="6"/>
      <c r="C73" s="90"/>
      <c r="D73" s="125" t="s">
        <v>77</v>
      </c>
      <c r="E73" s="126"/>
      <c r="F73" s="127">
        <v>3.0</v>
      </c>
      <c r="G73" s="240">
        <v>5.0</v>
      </c>
      <c r="H73" s="129"/>
      <c r="I73" s="164">
        <f>MROUND(I71*(1+J73),5)</f>
        <v>365</v>
      </c>
      <c r="J73" s="165">
        <v>-0.1</v>
      </c>
      <c r="K73" s="213"/>
      <c r="L73" s="133">
        <v>6.0</v>
      </c>
      <c r="M73" s="134"/>
      <c r="N73" s="135" t="str">
        <f>iferror(mround(#REF!*((VLOOKUP($J73,Sheet1!$D:$N,$G73+1,FALSE)-0.03)),2.5)," ")</f>
        <v> </v>
      </c>
      <c r="O73" s="135" t="str">
        <f>iferror(mround(#REF!*((VLOOKUP($J73,Sheet1!$D:$N,$G73+1,FALSE)+0.02)),2.5)," ")</f>
        <v> </v>
      </c>
      <c r="P73" s="112">
        <f>iferror(mround(I73/VLOOKUP(L73,Sheet1!$D$7:$N$16,G73+1,FALSE),2.5),"")</f>
        <v>477.5</v>
      </c>
      <c r="Q73" s="136"/>
      <c r="R73" s="214"/>
      <c r="S73" s="11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</row>
    <row r="74" ht="3.75" customHeight="1">
      <c r="A74" s="90"/>
      <c r="B74" s="6"/>
      <c r="C74" s="90"/>
      <c r="D74" s="138"/>
      <c r="E74" s="215"/>
      <c r="F74" s="102"/>
      <c r="G74" s="102"/>
      <c r="H74" s="102"/>
      <c r="I74" s="102"/>
      <c r="J74" s="156"/>
      <c r="K74" s="217"/>
      <c r="L74" s="218"/>
      <c r="M74" s="144"/>
      <c r="N74" s="145"/>
      <c r="O74" s="145"/>
      <c r="P74" s="122"/>
      <c r="Q74" s="146"/>
      <c r="R74" s="214"/>
      <c r="S74" s="11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</row>
    <row r="75" ht="15.75" customHeight="1">
      <c r="A75" s="90"/>
      <c r="B75" s="6"/>
      <c r="C75" s="90"/>
      <c r="D75" s="159" t="s">
        <v>33</v>
      </c>
      <c r="E75" s="160" t="s">
        <v>34</v>
      </c>
      <c r="F75" s="127">
        <v>3.0</v>
      </c>
      <c r="G75" s="161">
        <v>2.0</v>
      </c>
      <c r="H75" s="129"/>
      <c r="I75" s="130">
        <v>270.0</v>
      </c>
      <c r="J75" s="151">
        <v>7.0</v>
      </c>
      <c r="K75" s="219" t="s">
        <v>91</v>
      </c>
      <c r="L75" s="133">
        <v>7.0</v>
      </c>
      <c r="M75" s="134"/>
      <c r="N75" s="135" t="str">
        <f>iferror(mround(#REF!*((VLOOKUP($J75,Sheet1!$D:$N,$G75+1,FALSE)-0.03)),2.5)," ")</f>
        <v> </v>
      </c>
      <c r="O75" s="135" t="str">
        <f>iferror(mround(#REF!*((VLOOKUP($J75,Sheet1!$D:$N,$G75+1,FALSE)+0.02)),2.5)," ")</f>
        <v> </v>
      </c>
      <c r="P75" s="112">
        <f>iferror(mround(I75/VLOOKUP(L75,Sheet1!$D$7:$N$16,G75+1,FALSE),2.5),"")</f>
        <v>312.5</v>
      </c>
      <c r="Q75" s="136"/>
      <c r="R75" s="214"/>
      <c r="S75" s="11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</row>
    <row r="76" ht="3.75" customHeight="1">
      <c r="A76" s="90"/>
      <c r="B76" s="6"/>
      <c r="C76" s="90"/>
      <c r="D76" s="138"/>
      <c r="E76" s="154"/>
      <c r="F76" s="155"/>
      <c r="G76" s="102"/>
      <c r="H76" s="102"/>
      <c r="I76" s="102"/>
      <c r="J76" s="156"/>
      <c r="K76" s="217"/>
      <c r="L76" s="218"/>
      <c r="M76" s="144"/>
      <c r="N76" s="145"/>
      <c r="O76" s="145"/>
      <c r="P76" s="122"/>
      <c r="Q76" s="146"/>
      <c r="R76" s="214"/>
      <c r="S76" s="11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</row>
    <row r="77" ht="15.75" customHeight="1">
      <c r="A77" s="90"/>
      <c r="B77" s="6"/>
      <c r="C77" s="90"/>
      <c r="D77" s="159" t="s">
        <v>45</v>
      </c>
      <c r="E77" s="220"/>
      <c r="F77" s="127">
        <v>3.0</v>
      </c>
      <c r="G77" s="127" t="s">
        <v>41</v>
      </c>
      <c r="H77" s="195"/>
      <c r="I77" s="130"/>
      <c r="J77" s="151"/>
      <c r="K77" s="213"/>
      <c r="L77" s="133"/>
      <c r="M77" s="134"/>
      <c r="N77" s="135" t="str">
        <f>iferror(mround(#REF!*((VLOOKUP($J77,Sheet1!$D:$N,$G77+1,FALSE)-0.03)),2.5)," ")</f>
        <v> </v>
      </c>
      <c r="O77" s="135" t="str">
        <f>iferror(mround(#REF!*((VLOOKUP($J77,Sheet1!$D:$N,$G77+1,FALSE)+0.02)),2.5)," ")</f>
        <v> </v>
      </c>
      <c r="P77" s="112" t="str">
        <f>iferror(mround(I77/VLOOKUP(L77,Sheet1!$D$7:$N$16,G77+1,FALSE),2.5),"")</f>
        <v/>
      </c>
      <c r="Q77" s="136"/>
      <c r="R77" s="214"/>
      <c r="S77" s="11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</row>
    <row r="78" ht="3.75" customHeight="1">
      <c r="A78" s="90"/>
      <c r="B78" s="6"/>
      <c r="C78" s="90"/>
      <c r="D78" s="138"/>
      <c r="E78" s="215"/>
      <c r="F78" s="102"/>
      <c r="G78" s="102"/>
      <c r="H78" s="102"/>
      <c r="I78" s="102"/>
      <c r="J78" s="156"/>
      <c r="K78" s="217"/>
      <c r="L78" s="218"/>
      <c r="M78" s="144"/>
      <c r="N78" s="145"/>
      <c r="O78" s="145"/>
      <c r="P78" s="122"/>
      <c r="Q78" s="146"/>
      <c r="R78" s="214"/>
      <c r="S78" s="11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</row>
    <row r="79" ht="15.75" customHeight="1">
      <c r="A79" s="90"/>
      <c r="B79" s="6"/>
      <c r="C79" s="90"/>
      <c r="D79" s="159" t="s">
        <v>94</v>
      </c>
      <c r="E79" s="220"/>
      <c r="F79" s="127">
        <v>3.0</v>
      </c>
      <c r="G79" s="221">
        <v>45641.0</v>
      </c>
      <c r="H79" s="195"/>
      <c r="I79" s="130">
        <v>15.0</v>
      </c>
      <c r="J79" s="151">
        <v>9.0</v>
      </c>
      <c r="K79" s="213"/>
      <c r="L79" s="133">
        <v>9.0</v>
      </c>
      <c r="M79" s="134"/>
      <c r="N79" s="135" t="str">
        <f>iferror(mround(#REF!*((VLOOKUP($J79,Sheet1!$D:$N,$G79+1,FALSE)-0.03)),2.5)," ")</f>
        <v> </v>
      </c>
      <c r="O79" s="135" t="str">
        <f>iferror(mround(#REF!*((VLOOKUP($J79,Sheet1!$D:$N,$G79+1,FALSE)+0.02)),2.5)," ")</f>
        <v> </v>
      </c>
      <c r="P79" s="112" t="str">
        <f>iferror(mround(I79/VLOOKUP(L79,Sheet1!$D$7:$N$16,G79+1,FALSE),2.5),"")</f>
        <v/>
      </c>
      <c r="Q79" s="136"/>
      <c r="R79" s="214"/>
      <c r="S79" s="11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</row>
    <row r="80" ht="3.75" customHeight="1">
      <c r="A80" s="90"/>
      <c r="B80" s="6"/>
      <c r="C80" s="90"/>
      <c r="D80" s="138"/>
      <c r="E80" s="215"/>
      <c r="F80" s="102"/>
      <c r="G80" s="102"/>
      <c r="H80" s="102"/>
      <c r="I80" s="102"/>
      <c r="J80" s="156"/>
      <c r="K80" s="217"/>
      <c r="L80" s="218"/>
      <c r="M80" s="144"/>
      <c r="N80" s="145"/>
      <c r="O80" s="145"/>
      <c r="P80" s="122"/>
      <c r="Q80" s="146"/>
      <c r="R80" s="214"/>
      <c r="S80" s="11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</row>
    <row r="81" ht="15.75" hidden="1" customHeight="1">
      <c r="A81" s="90"/>
      <c r="B81" s="6"/>
      <c r="C81" s="90"/>
      <c r="D81" s="185"/>
      <c r="E81" s="220"/>
      <c r="F81" s="187"/>
      <c r="G81" s="229"/>
      <c r="H81" s="195"/>
      <c r="I81" s="164"/>
      <c r="J81" s="189"/>
      <c r="K81" s="213"/>
      <c r="L81" s="183"/>
      <c r="M81" s="134"/>
      <c r="N81" s="135" t="str">
        <f>iferror(mround(#REF!*((VLOOKUP($J81,Sheet1!$D:$N,$G81+1,FALSE)-0.03)),2.5)," ")</f>
        <v> </v>
      </c>
      <c r="O81" s="135" t="str">
        <f>iferror(mround(#REF!*((VLOOKUP($J81,Sheet1!$D:$N,$G81+1,FALSE)+0.02)),2.5)," ")</f>
        <v> </v>
      </c>
      <c r="P81" s="112" t="str">
        <f>iferror(mround(I81/VLOOKUP(L81,Sheet1!$D$7:$N$16,G81+1,FALSE),2.5),"")</f>
        <v/>
      </c>
      <c r="Q81" s="136"/>
      <c r="R81" s="214"/>
      <c r="S81" s="11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</row>
    <row r="82" ht="3.75" hidden="1" customHeight="1">
      <c r="A82" s="90"/>
      <c r="B82" s="6"/>
      <c r="C82" s="90"/>
      <c r="D82" s="138"/>
      <c r="E82" s="215"/>
      <c r="F82" s="102"/>
      <c r="G82" s="102"/>
      <c r="H82" s="102"/>
      <c r="I82" s="102"/>
      <c r="J82" s="216"/>
      <c r="K82" s="217"/>
      <c r="L82" s="218"/>
      <c r="M82" s="144"/>
      <c r="N82" s="145"/>
      <c r="O82" s="145"/>
      <c r="P82" s="122"/>
      <c r="Q82" s="146"/>
      <c r="R82" s="214"/>
      <c r="S82" s="11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</row>
    <row r="83" ht="15.75" hidden="1" customHeight="1">
      <c r="A83" s="90"/>
      <c r="B83" s="6"/>
      <c r="C83" s="90"/>
      <c r="D83" s="185"/>
      <c r="E83" s="220"/>
      <c r="F83" s="187"/>
      <c r="G83" s="229"/>
      <c r="H83" s="195"/>
      <c r="I83" s="164"/>
      <c r="J83" s="189"/>
      <c r="K83" s="213"/>
      <c r="L83" s="183"/>
      <c r="M83" s="134"/>
      <c r="N83" s="135" t="str">
        <f>iferror(mround(#REF!*((VLOOKUP($J83,Sheet1!$D:$N,$G83+1,FALSE)-0.03)),2.5)," ")</f>
        <v> </v>
      </c>
      <c r="O83" s="135" t="str">
        <f>iferror(mround(#REF!*((VLOOKUP($J83,Sheet1!$D:$N,$G83+1,FALSE)+0.02)),2.5)," ")</f>
        <v> </v>
      </c>
      <c r="P83" s="112" t="str">
        <f>iferror(mround(I83/VLOOKUP(L83,Sheet1!$D$7:$N$16,G83+1,FALSE),2.5),"")</f>
        <v/>
      </c>
      <c r="Q83" s="136"/>
      <c r="R83" s="214"/>
      <c r="S83" s="11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</row>
    <row r="84" ht="3.75" hidden="1" customHeight="1">
      <c r="A84" s="191"/>
      <c r="B84" s="6"/>
      <c r="C84" s="192"/>
      <c r="D84" s="138"/>
      <c r="E84" s="215"/>
      <c r="F84" s="102"/>
      <c r="G84" s="102"/>
      <c r="H84" s="102"/>
      <c r="I84" s="102"/>
      <c r="J84" s="156"/>
      <c r="K84" s="217"/>
      <c r="L84" s="218"/>
      <c r="M84" s="144"/>
      <c r="N84" s="145"/>
      <c r="O84" s="145"/>
      <c r="P84" s="122"/>
      <c r="Q84" s="146"/>
      <c r="R84" s="214"/>
      <c r="S84" s="157"/>
      <c r="T84" s="5"/>
      <c r="U84" s="5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</row>
    <row r="85" ht="15.75" hidden="1" customHeight="1">
      <c r="A85" s="90"/>
      <c r="B85" s="6"/>
      <c r="C85" s="90"/>
      <c r="D85" s="185"/>
      <c r="E85" s="220"/>
      <c r="F85" s="187"/>
      <c r="G85" s="187"/>
      <c r="H85" s="195"/>
      <c r="I85" s="164"/>
      <c r="J85" s="230"/>
      <c r="K85" s="213"/>
      <c r="L85" s="183"/>
      <c r="M85" s="134"/>
      <c r="N85" s="135" t="str">
        <f>iferror(mround(#REF!*((VLOOKUP($J85,Sheet1!$D:$N,$G85+1,FALSE)-0.03)),2.5)," ")</f>
        <v> </v>
      </c>
      <c r="O85" s="135" t="str">
        <f>iferror(mround(#REF!*((VLOOKUP($J85,Sheet1!$D:$N,$G85+1,FALSE)+0.02)),2.5)," ")</f>
        <v> </v>
      </c>
      <c r="P85" s="112" t="str">
        <f>iferror(mround(I85/VLOOKUP(L85,Sheet1!$D$7:$N$16,G85+1,FALSE),2.5),"")</f>
        <v/>
      </c>
      <c r="Q85" s="136"/>
      <c r="R85" s="214"/>
      <c r="S85" s="11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</row>
    <row r="86" ht="3.75" hidden="1" customHeight="1">
      <c r="A86" s="90"/>
      <c r="B86" s="6"/>
      <c r="C86" s="90"/>
      <c r="D86" s="138"/>
      <c r="E86" s="215"/>
      <c r="F86" s="102"/>
      <c r="G86" s="102"/>
      <c r="H86" s="102"/>
      <c r="I86" s="102"/>
      <c r="J86" s="156"/>
      <c r="K86" s="217"/>
      <c r="L86" s="218"/>
      <c r="M86" s="144"/>
      <c r="N86" s="145"/>
      <c r="O86" s="145"/>
      <c r="P86" s="122"/>
      <c r="Q86" s="146"/>
      <c r="R86" s="214"/>
      <c r="S86" s="11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</row>
    <row r="87" ht="15.75" hidden="1" customHeight="1">
      <c r="A87" s="90"/>
      <c r="B87" s="6"/>
      <c r="C87" s="90"/>
      <c r="D87" s="231"/>
      <c r="E87" s="317"/>
      <c r="F87" s="187"/>
      <c r="G87" s="187"/>
      <c r="H87" s="195"/>
      <c r="I87" s="164"/>
      <c r="J87" s="230"/>
      <c r="K87" s="213"/>
      <c r="L87" s="183"/>
      <c r="M87" s="134"/>
      <c r="N87" s="135" t="str">
        <f>iferror(mround(#REF!*((VLOOKUP($J87,Sheet1!$D:$N,$G87+1,FALSE)-0.03)),2.5)," ")</f>
        <v> </v>
      </c>
      <c r="O87" s="135" t="str">
        <f>iferror(mround(#REF!*((VLOOKUP($J87,Sheet1!$D:$N,$G87+1,FALSE)+0.02)),2.5)," ")</f>
        <v> </v>
      </c>
      <c r="P87" s="112" t="str">
        <f>iferror(mround(I87/VLOOKUP(L87,Sheet1!$D$7:$N$16,G87+1,FALSE),2.5),"")</f>
        <v/>
      </c>
      <c r="Q87" s="136"/>
      <c r="R87" s="214"/>
      <c r="S87" s="11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</row>
    <row r="88" ht="3.75" hidden="1" customHeight="1">
      <c r="A88" s="191"/>
      <c r="B88" s="6"/>
      <c r="C88" s="233"/>
      <c r="D88" s="234"/>
      <c r="E88" s="318"/>
      <c r="F88" s="236"/>
      <c r="G88" s="194"/>
      <c r="H88" s="155"/>
      <c r="I88" s="210"/>
      <c r="J88" s="216"/>
      <c r="K88" s="217"/>
      <c r="L88" s="218"/>
      <c r="M88" s="144"/>
      <c r="N88" s="145"/>
      <c r="O88" s="145"/>
      <c r="P88" s="122"/>
      <c r="Q88" s="146"/>
      <c r="R88" s="214"/>
      <c r="S88" s="157"/>
      <c r="T88" s="5"/>
      <c r="U88" s="5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</row>
    <row r="89" ht="15.75" hidden="1" customHeight="1">
      <c r="A89" s="90"/>
      <c r="B89" s="6"/>
      <c r="C89" s="90"/>
      <c r="D89" s="197"/>
      <c r="E89" s="314"/>
      <c r="F89" s="199"/>
      <c r="G89" s="187"/>
      <c r="H89" s="195"/>
      <c r="I89" s="164"/>
      <c r="J89" s="189"/>
      <c r="K89" s="213"/>
      <c r="L89" s="183"/>
      <c r="M89" s="134"/>
      <c r="N89" s="135" t="str">
        <f>iferror(mround(#REF!*((VLOOKUP($J89,Sheet1!$D:$N,$G89+1,FALSE)-0.03)),2.5)," ")</f>
        <v> </v>
      </c>
      <c r="O89" s="135" t="str">
        <f>iferror(mround(#REF!*((VLOOKUP($J89,Sheet1!$D:$N,$G89+1,FALSE)+0.02)),2.5)," ")</f>
        <v> </v>
      </c>
      <c r="P89" s="112" t="str">
        <f>iferror(mround(I89/VLOOKUP(L89,Sheet1!$D$7:$N$16,G89+1,FALSE),2.5),"")</f>
        <v/>
      </c>
      <c r="Q89" s="136"/>
      <c r="R89" s="214"/>
      <c r="S89" s="11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</row>
    <row r="90" ht="3.75" customHeight="1">
      <c r="A90" s="90"/>
      <c r="B90" s="6"/>
      <c r="C90" s="90"/>
      <c r="D90" s="90"/>
      <c r="E90" s="120"/>
      <c r="F90" s="102"/>
      <c r="G90" s="102"/>
      <c r="H90" s="102"/>
      <c r="I90" s="102"/>
      <c r="J90" s="156"/>
      <c r="K90" s="200"/>
      <c r="L90" s="201"/>
      <c r="M90" s="211"/>
      <c r="N90" s="47"/>
      <c r="O90" s="47"/>
      <c r="P90" s="122"/>
      <c r="Q90" s="146"/>
      <c r="R90" s="214"/>
      <c r="S90" s="11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</row>
    <row r="91" ht="30.0" customHeight="1">
      <c r="A91" s="90"/>
      <c r="B91" s="6"/>
      <c r="C91" s="90"/>
      <c r="D91" s="104" t="s">
        <v>55</v>
      </c>
      <c r="E91" s="105" t="s">
        <v>96</v>
      </c>
      <c r="F91" s="106" t="s">
        <v>16</v>
      </c>
      <c r="G91" s="106" t="s">
        <v>17</v>
      </c>
      <c r="H91" s="107"/>
      <c r="I91" s="106" t="s">
        <v>18</v>
      </c>
      <c r="J91" s="108" t="s">
        <v>19</v>
      </c>
      <c r="L91" s="109" t="s">
        <v>20</v>
      </c>
      <c r="M91" s="110" t="s">
        <v>21</v>
      </c>
      <c r="N91" s="111" t="s">
        <v>22</v>
      </c>
      <c r="P91" s="112"/>
      <c r="Q91" s="113" t="s">
        <v>23</v>
      </c>
      <c r="R91" s="114" t="s">
        <v>56</v>
      </c>
      <c r="S91" s="11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</row>
    <row r="92" ht="14.25" customHeight="1">
      <c r="A92" s="90"/>
      <c r="B92" s="6"/>
      <c r="C92" s="90"/>
      <c r="D92" s="116">
        <v>4.0</v>
      </c>
      <c r="E92" s="117">
        <v>2.0</v>
      </c>
      <c r="H92" s="107"/>
      <c r="N92" s="111" t="s">
        <v>27</v>
      </c>
      <c r="O92" s="111" t="s">
        <v>28</v>
      </c>
      <c r="P92" s="112" t="s">
        <v>29</v>
      </c>
      <c r="R92" s="118" t="s">
        <v>30</v>
      </c>
      <c r="S92" s="11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</row>
    <row r="93" ht="3.75" customHeight="1">
      <c r="A93" s="191"/>
      <c r="B93" s="6"/>
      <c r="C93" s="192"/>
      <c r="D93" s="310"/>
      <c r="E93" s="204"/>
      <c r="F93" s="205"/>
      <c r="G93" s="205"/>
      <c r="H93" s="205"/>
      <c r="I93" s="225"/>
      <c r="J93" s="319"/>
      <c r="K93" s="243"/>
      <c r="L93" s="238"/>
      <c r="M93" s="211"/>
      <c r="N93" s="47" t="str">
        <f>iferror(mround(#REF!*((VLOOKUP($J93,Sheet1!$D:$N,$G93+1,FALSE)-0.03)),2.5)," ")</f>
        <v> </v>
      </c>
      <c r="O93" s="47" t="str">
        <f>iferror(mround(#REF!*((VLOOKUP($J93,Sheet1!$D:$N,$G93+1,FALSE)+0.02)),2.5)," ")</f>
        <v> </v>
      </c>
      <c r="P93" s="122"/>
      <c r="Q93" s="146"/>
      <c r="R93" s="239" t="s">
        <v>110</v>
      </c>
      <c r="S93" s="157"/>
      <c r="T93" s="5"/>
      <c r="U93" s="5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</row>
    <row r="94" ht="15.75" customHeight="1">
      <c r="A94" s="124"/>
      <c r="B94" s="6"/>
      <c r="C94" s="124"/>
      <c r="D94" s="125" t="s">
        <v>97</v>
      </c>
      <c r="E94" s="126"/>
      <c r="F94" s="127">
        <v>1.0</v>
      </c>
      <c r="G94" s="240">
        <v>4.0</v>
      </c>
      <c r="H94" s="129"/>
      <c r="I94" s="130">
        <v>485.0</v>
      </c>
      <c r="J94" s="151">
        <v>6.0</v>
      </c>
      <c r="K94" s="241"/>
      <c r="L94" s="130">
        <v>6.0</v>
      </c>
      <c r="M94" s="134"/>
      <c r="N94" s="135" t="str">
        <f>iferror(mround(#REF!*((VLOOKUP($J94,Sheet1!$D:$N,$G94+1,FALSE)-0.03)),2.5)," ")</f>
        <v> </v>
      </c>
      <c r="O94" s="135" t="str">
        <f>iferror(mround(#REF!*((VLOOKUP($J94,Sheet1!$D:$N,$G94+1,FALSE)+0.02)),2.5)," ")</f>
        <v> </v>
      </c>
      <c r="P94" s="112">
        <f>iferror(mround(I94/VLOOKUP(L94,Sheet1!$D$7:$N$16,G94+1,FALSE),2.5),"")</f>
        <v>615</v>
      </c>
      <c r="Q94" s="136"/>
      <c r="R94" s="242"/>
      <c r="S94" s="11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</row>
    <row r="95" ht="3.75" customHeight="1">
      <c r="A95" s="124"/>
      <c r="B95" s="6"/>
      <c r="C95" s="124"/>
      <c r="D95" s="138"/>
      <c r="E95" s="139"/>
      <c r="F95" s="140"/>
      <c r="G95" s="140"/>
      <c r="H95" s="140"/>
      <c r="I95" s="140"/>
      <c r="J95" s="141"/>
      <c r="K95" s="243"/>
      <c r="L95" s="210"/>
      <c r="M95" s="144"/>
      <c r="N95" s="145" t="str">
        <f>iferror(mround(#REF!*((VLOOKUP($J95,Sheet1!$D:$N,$G95+1,FALSE)-0.03)),2.5)," ")</f>
        <v> </v>
      </c>
      <c r="O95" s="145" t="str">
        <f>iferror(mround(#REF!*((VLOOKUP($J95,Sheet1!$D:$N,$G95+1,FALSE)+0.02)),2.5)," ")</f>
        <v> </v>
      </c>
      <c r="P95" s="122"/>
      <c r="Q95" s="146"/>
      <c r="R95" s="242"/>
      <c r="S95" s="11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</row>
    <row r="96" ht="15.0" customHeight="1">
      <c r="A96" s="124"/>
      <c r="B96" s="6"/>
      <c r="C96" s="124"/>
      <c r="D96" s="125" t="s">
        <v>97</v>
      </c>
      <c r="E96" s="126"/>
      <c r="F96" s="127">
        <v>3.0</v>
      </c>
      <c r="G96" s="240">
        <v>4.0</v>
      </c>
      <c r="H96" s="129"/>
      <c r="I96" s="164">
        <f>MROUND(I94*(1+J96),5)</f>
        <v>435</v>
      </c>
      <c r="J96" s="165">
        <v>-0.1</v>
      </c>
      <c r="K96" s="241"/>
      <c r="L96" s="130">
        <v>5.5</v>
      </c>
      <c r="M96" s="134"/>
      <c r="N96" s="135" t="str">
        <f>iferror(mround(#REF!*((VLOOKUP($J96,Sheet1!$D:$N,$G96+1,FALSE)-0.03)),2.5)," ")</f>
        <v> </v>
      </c>
      <c r="O96" s="135" t="str">
        <f>iferror(mround(#REF!*((VLOOKUP($J96,Sheet1!$D:$N,$G96+1,FALSE)+0.02)),2.5)," ")</f>
        <v> </v>
      </c>
      <c r="P96" s="112" t="str">
        <f>iferror(mround(I96/VLOOKUP(L96,Sheet1!$D$7:$N$16,G96+1,FALSE),2.5),"")</f>
        <v/>
      </c>
      <c r="Q96" s="136"/>
      <c r="R96" s="242"/>
      <c r="S96" s="11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</row>
    <row r="97" ht="3.75" customHeight="1">
      <c r="A97" s="124"/>
      <c r="B97" s="6"/>
      <c r="C97" s="124"/>
      <c r="D97" s="138"/>
      <c r="E97" s="215"/>
      <c r="F97" s="102"/>
      <c r="G97" s="102"/>
      <c r="H97" s="102"/>
      <c r="I97" s="102"/>
      <c r="J97" s="156"/>
      <c r="K97" s="243"/>
      <c r="L97" s="210"/>
      <c r="M97" s="144"/>
      <c r="N97" s="145" t="str">
        <f>iferror(mround(#REF!*((VLOOKUP($J97,Sheet1!$D:$N,$G97+1,FALSE)-0.03)),2.5)," ")</f>
        <v> </v>
      </c>
      <c r="O97" s="145" t="str">
        <f>iferror(mround(#REF!*((VLOOKUP($J97,Sheet1!$D:$N,$G97+1,FALSE)+0.02)),2.5)," ")</f>
        <v> </v>
      </c>
      <c r="P97" s="122"/>
      <c r="Q97" s="146"/>
      <c r="R97" s="242"/>
      <c r="S97" s="11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</row>
    <row r="98" ht="15.75" customHeight="1">
      <c r="A98" s="124"/>
      <c r="B98" s="6"/>
      <c r="C98" s="124"/>
      <c r="D98" s="159" t="s">
        <v>33</v>
      </c>
      <c r="E98" s="126"/>
      <c r="F98" s="127">
        <v>2.0</v>
      </c>
      <c r="G98" s="161">
        <v>1.0</v>
      </c>
      <c r="H98" s="129"/>
      <c r="I98" s="130">
        <v>308.0</v>
      </c>
      <c r="J98" s="189">
        <v>6.0</v>
      </c>
      <c r="K98" s="244" t="s">
        <v>98</v>
      </c>
      <c r="L98" s="130">
        <v>6.0</v>
      </c>
      <c r="M98" s="134"/>
      <c r="N98" s="135" t="str">
        <f>iferror(mround(#REF!*((VLOOKUP($J98,Sheet1!$D:$N,$G98+1,FALSE)-0.03)),2.5)," ")</f>
        <v> </v>
      </c>
      <c r="O98" s="135" t="str">
        <f>iferror(mround(#REF!*((VLOOKUP($J98,Sheet1!$D:$N,$G98+1,FALSE)+0.02)),2.5)," ")</f>
        <v> </v>
      </c>
      <c r="P98" s="112">
        <f>iferror(mround(I98/VLOOKUP(L98,Sheet1!$D$7:$N$16,G98+1,FALSE),2.5),"")</f>
        <v>355</v>
      </c>
      <c r="Q98" s="136"/>
      <c r="R98" s="242"/>
      <c r="S98" s="11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</row>
    <row r="99" ht="3.75" customHeight="1">
      <c r="A99" s="124"/>
      <c r="B99" s="6"/>
      <c r="C99" s="124"/>
      <c r="D99" s="138"/>
      <c r="E99" s="154"/>
      <c r="F99" s="155"/>
      <c r="G99" s="102"/>
      <c r="H99" s="102"/>
      <c r="I99" s="102"/>
      <c r="J99" s="156"/>
      <c r="K99" s="243"/>
      <c r="L99" s="210"/>
      <c r="M99" s="144"/>
      <c r="N99" s="145" t="str">
        <f>iferror(mround(#REF!*((VLOOKUP($J99,Sheet1!$D:$N,$G99+1,FALSE)-0.03)),2.5)," ")</f>
        <v> </v>
      </c>
      <c r="O99" s="145" t="str">
        <f>iferror(mround(#REF!*((VLOOKUP($J99,Sheet1!$D:$N,$G99+1,FALSE)+0.02)),2.5)," ")</f>
        <v> </v>
      </c>
      <c r="P99" s="122"/>
      <c r="Q99" s="146"/>
      <c r="R99" s="242"/>
      <c r="S99" s="11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</row>
    <row r="100" ht="15.75" customHeight="1">
      <c r="A100" s="124"/>
      <c r="B100" s="6"/>
      <c r="C100" s="124"/>
      <c r="D100" s="159" t="s">
        <v>33</v>
      </c>
      <c r="E100" s="126"/>
      <c r="F100" s="127">
        <v>4.0</v>
      </c>
      <c r="G100" s="161">
        <v>4.0</v>
      </c>
      <c r="H100" s="129"/>
      <c r="I100" s="130">
        <v>265.0</v>
      </c>
      <c r="J100" s="151">
        <v>6.0</v>
      </c>
      <c r="K100" s="241" t="s">
        <v>91</v>
      </c>
      <c r="L100" s="130">
        <v>6.5</v>
      </c>
      <c r="M100" s="134"/>
      <c r="N100" s="135" t="str">
        <f>iferror(mround(#REF!*((VLOOKUP($J100,Sheet1!$D:$N,$G100+1,FALSE)-0.03)),2.5)," ")</f>
        <v> </v>
      </c>
      <c r="O100" s="135" t="str">
        <f>iferror(mround(#REF!*((VLOOKUP($J100,Sheet1!$D:$N,$G100+1,FALSE)+0.02)),2.5)," ")</f>
        <v> </v>
      </c>
      <c r="P100" s="112">
        <f>iferror(mround(I100/VLOOKUP(L100,Sheet1!$D$7:$N$16,G100+1,FALSE),2.5),"")</f>
        <v>330</v>
      </c>
      <c r="Q100" s="136"/>
      <c r="R100" s="242"/>
      <c r="S100" s="11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</row>
    <row r="101" ht="3.75" customHeight="1">
      <c r="A101" s="90"/>
      <c r="B101" s="6"/>
      <c r="C101" s="90"/>
      <c r="D101" s="138"/>
      <c r="E101" s="245"/>
      <c r="F101" s="102"/>
      <c r="G101" s="102"/>
      <c r="H101" s="102"/>
      <c r="I101" s="102"/>
      <c r="J101" s="156"/>
      <c r="K101" s="243"/>
      <c r="L101" s="210"/>
      <c r="M101" s="144"/>
      <c r="N101" s="145" t="str">
        <f>iferror(mround(#REF!*((VLOOKUP($J101,Sheet1!$D:$N,$G101+1,FALSE)-0.03)),2.5)," ")</f>
        <v> </v>
      </c>
      <c r="O101" s="145" t="str">
        <f>iferror(mround(#REF!*((VLOOKUP($J101,Sheet1!$D:$N,$G101+1,FALSE)+0.02)),2.5)," ")</f>
        <v> </v>
      </c>
      <c r="P101" s="122"/>
      <c r="Q101" s="146"/>
      <c r="R101" s="242"/>
      <c r="S101" s="11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</row>
    <row r="102" ht="15.75" customHeight="1">
      <c r="A102" s="90"/>
      <c r="B102" s="6"/>
      <c r="C102" s="90"/>
      <c r="D102" s="159" t="s">
        <v>54</v>
      </c>
      <c r="E102" s="227"/>
      <c r="F102" s="127">
        <v>3.0</v>
      </c>
      <c r="G102" s="221">
        <v>45577.0</v>
      </c>
      <c r="H102" s="195"/>
      <c r="I102" s="130">
        <v>120.0</v>
      </c>
      <c r="J102" s="228">
        <v>8.0</v>
      </c>
      <c r="K102" s="241"/>
      <c r="L102" s="130"/>
      <c r="M102" s="134"/>
      <c r="N102" s="135" t="str">
        <f>iferror(mround(#REF!*((VLOOKUP($J102,Sheet1!$D:$N,$G102+1,FALSE)-0.03)),2.5)," ")</f>
        <v> </v>
      </c>
      <c r="O102" s="135" t="str">
        <f>iferror(mround(#REF!*((VLOOKUP($J102,Sheet1!$D:$N,$G102+1,FALSE)+0.02)),2.5)," ")</f>
        <v> </v>
      </c>
      <c r="P102" s="112" t="str">
        <f>iferror(mround(I102/VLOOKUP(L102,Sheet1!$D$7:$N$16,G102+1,FALSE),2.5),"")</f>
        <v/>
      </c>
      <c r="Q102" s="136"/>
      <c r="R102" s="242"/>
      <c r="S102" s="11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</row>
    <row r="103" ht="3.75" customHeight="1">
      <c r="A103" s="191"/>
      <c r="B103" s="6"/>
      <c r="C103" s="192"/>
      <c r="D103" s="138"/>
      <c r="E103" s="245"/>
      <c r="F103" s="102"/>
      <c r="G103" s="102"/>
      <c r="H103" s="102"/>
      <c r="I103" s="102"/>
      <c r="J103" s="156"/>
      <c r="K103" s="243"/>
      <c r="L103" s="210"/>
      <c r="M103" s="144"/>
      <c r="N103" s="145" t="str">
        <f>iferror(mround(#REF!*((VLOOKUP($J103,Sheet1!$D:$N,$G103+1,FALSE)-0.03)),2.5)," ")</f>
        <v> </v>
      </c>
      <c r="O103" s="145" t="str">
        <f>iferror(mround(#REF!*((VLOOKUP($J103,Sheet1!$D:$N,$G103+1,FALSE)+0.02)),2.5)," ")</f>
        <v> </v>
      </c>
      <c r="P103" s="122"/>
      <c r="Q103" s="146"/>
      <c r="R103" s="242"/>
      <c r="S103" s="157"/>
      <c r="T103" s="5"/>
      <c r="U103" s="5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</row>
    <row r="104" ht="15.75" customHeight="1">
      <c r="A104" s="90"/>
      <c r="B104" s="6"/>
      <c r="C104" s="90"/>
      <c r="D104" s="159" t="s">
        <v>99</v>
      </c>
      <c r="E104" s="246" t="s">
        <v>100</v>
      </c>
      <c r="F104" s="127">
        <v>3.0</v>
      </c>
      <c r="G104" s="221">
        <v>45577.0</v>
      </c>
      <c r="H104" s="195"/>
      <c r="I104" s="130">
        <v>50.0</v>
      </c>
      <c r="J104" s="228">
        <v>9.0</v>
      </c>
      <c r="K104" s="241"/>
      <c r="L104" s="130"/>
      <c r="M104" s="134"/>
      <c r="N104" s="135" t="str">
        <f>iferror(mround(#REF!*((VLOOKUP($J104,Sheet1!$D:$N,$G104+1,FALSE)-0.03)),2.5)," ")</f>
        <v> </v>
      </c>
      <c r="O104" s="135" t="str">
        <f>iferror(mround(#REF!*((VLOOKUP($J104,Sheet1!$D:$N,$G104+1,FALSE)+0.02)),2.5)," ")</f>
        <v> </v>
      </c>
      <c r="P104" s="112" t="str">
        <f>iferror(mround(I104/VLOOKUP(L104,Sheet1!$D$7:$N$16,G104+1,FALSE),2.5),"")</f>
        <v/>
      </c>
      <c r="Q104" s="136"/>
      <c r="R104" s="242"/>
      <c r="S104" s="11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</row>
    <row r="105" ht="3.75" customHeight="1">
      <c r="A105" s="90"/>
      <c r="B105" s="6"/>
      <c r="C105" s="90"/>
      <c r="D105" s="138"/>
      <c r="E105" s="245"/>
      <c r="F105" s="102"/>
      <c r="G105" s="102"/>
      <c r="H105" s="102"/>
      <c r="I105" s="102"/>
      <c r="J105" s="156"/>
      <c r="K105" s="243"/>
      <c r="L105" s="210"/>
      <c r="M105" s="144"/>
      <c r="N105" s="145" t="str">
        <f>iferror(mround(#REF!*((VLOOKUP($J105,Sheet1!$D:$N,$G105+1,FALSE)-0.03)),2.5)," ")</f>
        <v> </v>
      </c>
      <c r="O105" s="145" t="str">
        <f>iferror(mround(#REF!*((VLOOKUP($J105,Sheet1!$D:$N,$G105+1,FALSE)+0.02)),2.5)," ")</f>
        <v> </v>
      </c>
      <c r="P105" s="122"/>
      <c r="Q105" s="146"/>
      <c r="R105" s="242"/>
      <c r="S105" s="11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</row>
    <row r="106" ht="15.75" hidden="1" customHeight="1">
      <c r="A106" s="90"/>
      <c r="B106" s="6"/>
      <c r="C106" s="90"/>
      <c r="D106" s="185"/>
      <c r="E106" s="227"/>
      <c r="F106" s="187"/>
      <c r="G106" s="229"/>
      <c r="H106" s="195"/>
      <c r="I106" s="247"/>
      <c r="J106" s="248"/>
      <c r="K106" s="241"/>
      <c r="L106" s="164"/>
      <c r="M106" s="134"/>
      <c r="N106" s="135" t="str">
        <f>iferror(mround(#REF!*((VLOOKUP($J106,Sheet1!$D:$N,$G106+1,FALSE)-0.03)),2.5)," ")</f>
        <v> </v>
      </c>
      <c r="O106" s="135" t="str">
        <f>iferror(mround(#REF!*((VLOOKUP($J106,Sheet1!$D:$N,$G106+1,FALSE)+0.02)),2.5)," ")</f>
        <v> </v>
      </c>
      <c r="P106" s="112" t="str">
        <f>iferror(mround(I106/VLOOKUP(L106,Sheet1!$D$7:$N$16,G106+1,FALSE),2.5),"")</f>
        <v/>
      </c>
      <c r="Q106" s="136"/>
      <c r="R106" s="242"/>
      <c r="S106" s="11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</row>
    <row r="107" ht="3.75" hidden="1" customHeight="1">
      <c r="A107" s="90"/>
      <c r="B107" s="6"/>
      <c r="C107" s="90"/>
      <c r="D107" s="138"/>
      <c r="E107" s="215"/>
      <c r="F107" s="102"/>
      <c r="G107" s="102"/>
      <c r="H107" s="102"/>
      <c r="I107" s="102"/>
      <c r="J107" s="156"/>
      <c r="K107" s="243"/>
      <c r="L107" s="210"/>
      <c r="M107" s="144"/>
      <c r="N107" s="145" t="str">
        <f>iferror(mround(#REF!*((VLOOKUP($J107,Sheet1!$D:$N,$G107+1,FALSE)-0.03)),2.5)," ")</f>
        <v> </v>
      </c>
      <c r="O107" s="145" t="str">
        <f>iferror(mround(#REF!*((VLOOKUP($J107,Sheet1!$D:$N,$G107+1,FALSE)+0.02)),2.5)," ")</f>
        <v> </v>
      </c>
      <c r="P107" s="122"/>
      <c r="Q107" s="146"/>
      <c r="R107" s="242"/>
      <c r="S107" s="11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</row>
    <row r="108" ht="15.75" hidden="1" customHeight="1">
      <c r="A108" s="90"/>
      <c r="B108" s="6"/>
      <c r="C108" s="90"/>
      <c r="D108" s="185"/>
      <c r="E108" s="220"/>
      <c r="F108" s="187"/>
      <c r="G108" s="229"/>
      <c r="H108" s="195"/>
      <c r="I108" s="247"/>
      <c r="J108" s="248"/>
      <c r="K108" s="241"/>
      <c r="L108" s="164"/>
      <c r="M108" s="134"/>
      <c r="N108" s="135" t="str">
        <f>iferror(mround(#REF!*((VLOOKUP($J108,Sheet1!$D:$N,$G108+1,FALSE)-0.03)),2.5)," ")</f>
        <v> </v>
      </c>
      <c r="O108" s="135" t="str">
        <f>iferror(mround(#REF!*((VLOOKUP($J108,Sheet1!$D:$N,$G108+1,FALSE)+0.02)),2.5)," ")</f>
        <v> </v>
      </c>
      <c r="P108" s="112" t="str">
        <f>iferror(mround(I108/VLOOKUP(L108,Sheet1!$D$7:$N$16,G108+1,FALSE),2.5),"")</f>
        <v/>
      </c>
      <c r="Q108" s="136"/>
      <c r="R108" s="242"/>
      <c r="S108" s="11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</row>
    <row r="109" ht="3.75" customHeight="1">
      <c r="A109" s="90"/>
      <c r="B109" s="6"/>
      <c r="C109" s="90"/>
      <c r="D109" s="196"/>
      <c r="E109" s="215"/>
      <c r="F109" s="102"/>
      <c r="G109" s="102"/>
      <c r="H109" s="102"/>
      <c r="I109" s="102"/>
      <c r="J109" s="156"/>
      <c r="K109" s="243"/>
      <c r="L109" s="210"/>
      <c r="M109" s="144"/>
      <c r="N109" s="145" t="str">
        <f>iferror(mround(#REF!*((VLOOKUP($J109,Sheet1!$D:$N,$G109+1,FALSE)-0.03)),2.5)," ")</f>
        <v> </v>
      </c>
      <c r="O109" s="145" t="str">
        <f>iferror(mround(#REF!*((VLOOKUP($J109,Sheet1!$D:$N,$G109+1,FALSE)+0.02)),2.5)," ")</f>
        <v> </v>
      </c>
      <c r="P109" s="122"/>
      <c r="Q109" s="146"/>
      <c r="R109" s="242"/>
      <c r="S109" s="11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</row>
    <row r="110" ht="15.75" hidden="1" customHeight="1">
      <c r="A110" s="90"/>
      <c r="B110" s="6"/>
      <c r="C110" s="90"/>
      <c r="D110" s="197"/>
      <c r="E110" s="320"/>
      <c r="F110" s="129"/>
      <c r="G110" s="199"/>
      <c r="H110" s="195"/>
      <c r="I110" s="247"/>
      <c r="J110" s="248"/>
      <c r="K110" s="241"/>
      <c r="L110" s="164"/>
      <c r="M110" s="134"/>
      <c r="N110" s="135" t="str">
        <f>iferror(mround(#REF!*((VLOOKUP($J110,Sheet1!$D:$N,$G110+1,FALSE)-0.03)),2.5)," ")</f>
        <v> </v>
      </c>
      <c r="O110" s="135" t="str">
        <f>iferror(mround(#REF!*((VLOOKUP($J110,Sheet1!$D:$N,$G110+1,FALSE)+0.02)),2.5)," ")</f>
        <v> </v>
      </c>
      <c r="P110" s="112" t="str">
        <f>iferror(mround(I110/VLOOKUP(L110,Sheet1!$D$7:$N$16,G110+1,FALSE),2.5),"")</f>
        <v/>
      </c>
      <c r="Q110" s="136"/>
      <c r="R110" s="242"/>
      <c r="S110" s="11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</row>
    <row r="111" ht="3.75" hidden="1" customHeight="1">
      <c r="A111" s="90"/>
      <c r="B111" s="6"/>
      <c r="C111" s="90"/>
      <c r="D111" s="234"/>
      <c r="E111" s="215"/>
      <c r="F111" s="102"/>
      <c r="G111" s="102"/>
      <c r="H111" s="102"/>
      <c r="I111" s="102"/>
      <c r="J111" s="156"/>
      <c r="K111" s="243"/>
      <c r="L111" s="210"/>
      <c r="M111" s="144"/>
      <c r="N111" s="145" t="str">
        <f>iferror(mround(#REF!*((VLOOKUP($J111,Sheet1!$D:$N,$G111+1,FALSE)-0.03)),2.5)," ")</f>
        <v> </v>
      </c>
      <c r="O111" s="145" t="str">
        <f>iferror(mround(#REF!*((VLOOKUP($J111,Sheet1!$D:$N,$G111+1,FALSE)+0.02)),2.5)," ")</f>
        <v> </v>
      </c>
      <c r="P111" s="122"/>
      <c r="Q111" s="146"/>
      <c r="R111" s="242"/>
      <c r="S111" s="11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</row>
    <row r="112" ht="15.75" hidden="1" customHeight="1">
      <c r="A112" s="90"/>
      <c r="B112" s="6"/>
      <c r="C112" s="90"/>
      <c r="D112" s="197"/>
      <c r="E112" s="314"/>
      <c r="F112" s="129"/>
      <c r="G112" s="199"/>
      <c r="H112" s="195"/>
      <c r="I112" s="164"/>
      <c r="J112" s="248"/>
      <c r="K112" s="241"/>
      <c r="L112" s="164"/>
      <c r="M112" s="134"/>
      <c r="N112" s="135" t="str">
        <f>iferror(mround(#REF!*((VLOOKUP($J112,Sheet1!$D:$N,$G112+1,FALSE)-0.03)),2.5)," ")</f>
        <v> </v>
      </c>
      <c r="O112" s="135" t="str">
        <f>iferror(mround(#REF!*((VLOOKUP($J112,Sheet1!$D:$N,$G112+1,FALSE)+0.02)),2.5)," ")</f>
        <v> </v>
      </c>
      <c r="P112" s="112" t="str">
        <f>iferror(mround(I112/VLOOKUP(L112,Sheet1!$D$7:$N$16,G112+1,FALSE),2.5),"")</f>
        <v/>
      </c>
      <c r="Q112" s="136"/>
      <c r="R112" s="242"/>
      <c r="S112" s="11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</row>
    <row r="113" ht="3.75" hidden="1" customHeight="1">
      <c r="A113" s="124"/>
      <c r="B113" s="6"/>
      <c r="C113" s="124"/>
      <c r="D113" s="252"/>
      <c r="E113" s="321"/>
      <c r="F113" s="102"/>
      <c r="G113" s="102"/>
      <c r="H113" s="102"/>
      <c r="I113" s="102"/>
      <c r="J113" s="156"/>
      <c r="K113" s="253"/>
      <c r="L113" s="201"/>
      <c r="M113" s="211" t="str">
        <f>#REF!</f>
        <v>#REF!</v>
      </c>
      <c r="N113" s="47" t="str">
        <f>iferror(mround(#REF!*((VLOOKUP($J113,Sheet1!$D:$N,$G113+1,FALSE)-0.03)),2.5)," ")</f>
        <v> </v>
      </c>
      <c r="O113" s="47" t="str">
        <f>iferror(mround(#REF!*((VLOOKUP($J113,Sheet1!$D:$N,$G113+1,FALSE)+0.02)),2.5)," ")</f>
        <v> </v>
      </c>
      <c r="P113" s="122"/>
      <c r="Q113" s="146"/>
      <c r="R113" s="242"/>
      <c r="S113" s="11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</row>
    <row r="114" ht="30.75" hidden="1" customHeight="1">
      <c r="A114" s="90"/>
      <c r="B114" s="6"/>
      <c r="C114" s="90"/>
      <c r="D114" s="322" t="s">
        <v>57</v>
      </c>
      <c r="E114" s="255" t="s">
        <v>15</v>
      </c>
      <c r="F114" s="106" t="s">
        <v>16</v>
      </c>
      <c r="G114" s="106" t="s">
        <v>17</v>
      </c>
      <c r="H114" s="107"/>
      <c r="I114" s="106" t="s">
        <v>18</v>
      </c>
      <c r="J114" s="108" t="s">
        <v>19</v>
      </c>
      <c r="L114" s="109" t="s">
        <v>20</v>
      </c>
      <c r="M114" s="110" t="s">
        <v>21</v>
      </c>
      <c r="N114" s="111" t="s">
        <v>22</v>
      </c>
      <c r="P114" s="112"/>
      <c r="Q114" s="113" t="s">
        <v>23</v>
      </c>
      <c r="R114" s="256" t="s">
        <v>58</v>
      </c>
      <c r="S114" s="11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</row>
    <row r="115" ht="14.25" hidden="1" customHeight="1">
      <c r="A115" s="90"/>
      <c r="B115" s="6"/>
      <c r="C115" s="90"/>
      <c r="D115" s="257" t="s">
        <v>25</v>
      </c>
      <c r="E115" s="258" t="s">
        <v>26</v>
      </c>
      <c r="H115" s="107"/>
      <c r="N115" s="111" t="s">
        <v>27</v>
      </c>
      <c r="O115" s="111" t="s">
        <v>28</v>
      </c>
      <c r="P115" s="112" t="s">
        <v>29</v>
      </c>
      <c r="R115" s="118" t="s">
        <v>30</v>
      </c>
      <c r="S115" s="11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</row>
    <row r="116" ht="3.75" hidden="1" customHeight="1">
      <c r="A116" s="124"/>
      <c r="B116" s="6"/>
      <c r="C116" s="124"/>
      <c r="D116" s="252"/>
      <c r="E116" s="321"/>
      <c r="F116" s="102"/>
      <c r="G116" s="102"/>
      <c r="H116" s="102"/>
      <c r="I116" s="102"/>
      <c r="J116" s="156"/>
      <c r="K116" s="200"/>
      <c r="L116" s="201"/>
      <c r="M116" s="211"/>
      <c r="N116" s="47"/>
      <c r="O116" s="47"/>
      <c r="P116" s="122"/>
      <c r="Q116" s="146"/>
      <c r="R116" s="259"/>
      <c r="S116" s="11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</row>
    <row r="117" ht="14.25" hidden="1" customHeight="1">
      <c r="A117" s="124"/>
      <c r="B117" s="6"/>
      <c r="C117" s="124"/>
      <c r="D117" s="260"/>
      <c r="E117" s="126"/>
      <c r="F117" s="187"/>
      <c r="G117" s="229"/>
      <c r="H117" s="129"/>
      <c r="I117" s="164"/>
      <c r="J117" s="189"/>
      <c r="K117" s="132"/>
      <c r="L117" s="164"/>
      <c r="M117" s="134"/>
      <c r="N117" s="135" t="str">
        <f>iferror(mround(#REF!*((VLOOKUP($J117,Sheet1!$D:$N,$G117+1,FALSE)-0.03)),2.5)," ")</f>
        <v> </v>
      </c>
      <c r="O117" s="135" t="str">
        <f>iferror(mround(#REF!*((VLOOKUP($J117,Sheet1!$D:$N,$G117+1,FALSE)+0.02)),2.5)," ")</f>
        <v> </v>
      </c>
      <c r="P117" s="56" t="str">
        <f>iferror(mround(I117/VLOOKUP(L117,Sheet1!$D$7:$N$16,G117+1,FALSE),2.5),"")</f>
        <v/>
      </c>
      <c r="Q117" s="136"/>
      <c r="S117" s="11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</row>
    <row r="118" ht="3.75" hidden="1" customHeight="1">
      <c r="A118" s="124"/>
      <c r="B118" s="6"/>
      <c r="C118" s="124"/>
      <c r="D118" s="138"/>
      <c r="E118" s="215"/>
      <c r="F118" s="102"/>
      <c r="G118" s="102"/>
      <c r="H118" s="102"/>
      <c r="I118" s="102"/>
      <c r="J118" s="156"/>
      <c r="K118" s="243"/>
      <c r="L118" s="210"/>
      <c r="M118" s="144"/>
      <c r="N118" s="145"/>
      <c r="O118" s="145"/>
      <c r="P118" s="122"/>
      <c r="Q118" s="146"/>
      <c r="S118" s="11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</row>
    <row r="119" ht="14.25" hidden="1" customHeight="1">
      <c r="A119" s="124"/>
      <c r="B119" s="6"/>
      <c r="C119" s="124"/>
      <c r="D119" s="185"/>
      <c r="E119" s="227"/>
      <c r="F119" s="187"/>
      <c r="G119" s="229"/>
      <c r="H119" s="195"/>
      <c r="I119" s="164"/>
      <c r="J119" s="248"/>
      <c r="K119" s="241"/>
      <c r="L119" s="164"/>
      <c r="M119" s="134"/>
      <c r="N119" s="135" t="str">
        <f>iferror(mround(#REF!*((VLOOKUP($J119,Sheet1!$D:$N,$G119+1,FALSE)-0.03)),2.5)," ")</f>
        <v> </v>
      </c>
      <c r="O119" s="135" t="str">
        <f>iferror(mround(#REF!*((VLOOKUP($J119,Sheet1!$D:$N,$G119+1,FALSE)+0.02)),2.5)," ")</f>
        <v> </v>
      </c>
      <c r="P119" s="112" t="str">
        <f>iferror(mround(I119/VLOOKUP(L119,Sheet1!$D$7:$N$16,G119+1,FALSE),2.5),"")</f>
        <v/>
      </c>
      <c r="Q119" s="136"/>
      <c r="S119" s="11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</row>
    <row r="120" ht="3.75" hidden="1" customHeight="1">
      <c r="A120" s="124"/>
      <c r="B120" s="6"/>
      <c r="C120" s="124"/>
      <c r="D120" s="138"/>
      <c r="E120" s="245"/>
      <c r="F120" s="102"/>
      <c r="G120" s="102"/>
      <c r="H120" s="102"/>
      <c r="I120" s="102"/>
      <c r="J120" s="156"/>
      <c r="K120" s="243"/>
      <c r="L120" s="210"/>
      <c r="M120" s="144"/>
      <c r="N120" s="145"/>
      <c r="O120" s="145"/>
      <c r="P120" s="122"/>
      <c r="Q120" s="146"/>
      <c r="S120" s="11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</row>
    <row r="121" ht="14.25" hidden="1" customHeight="1">
      <c r="A121" s="124"/>
      <c r="B121" s="6"/>
      <c r="C121" s="124"/>
      <c r="D121" s="185"/>
      <c r="E121" s="227"/>
      <c r="F121" s="187"/>
      <c r="G121" s="229"/>
      <c r="H121" s="195"/>
      <c r="I121" s="164"/>
      <c r="J121" s="248"/>
      <c r="K121" s="241"/>
      <c r="L121" s="164"/>
      <c r="M121" s="134"/>
      <c r="N121" s="135" t="str">
        <f>iferror(mround(#REF!*((VLOOKUP($J121,Sheet1!$D:$N,$G121+1,FALSE)-0.03)),2.5)," ")</f>
        <v> </v>
      </c>
      <c r="O121" s="135" t="str">
        <f>iferror(mround(#REF!*((VLOOKUP($J121,Sheet1!$D:$N,$G121+1,FALSE)+0.02)),2.5)," ")</f>
        <v> </v>
      </c>
      <c r="P121" s="112" t="str">
        <f>iferror(mround(I121/VLOOKUP(L121,Sheet1!$D$7:$N$16,G121+1,FALSE),2.5),"")</f>
        <v/>
      </c>
      <c r="Q121" s="136"/>
      <c r="S121" s="11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</row>
    <row r="122" ht="3.75" hidden="1" customHeight="1">
      <c r="A122" s="124"/>
      <c r="B122" s="6"/>
      <c r="C122" s="124"/>
      <c r="D122" s="138"/>
      <c r="E122" s="245"/>
      <c r="F122" s="102"/>
      <c r="G122" s="102"/>
      <c r="H122" s="102"/>
      <c r="I122" s="102"/>
      <c r="J122" s="156"/>
      <c r="K122" s="243"/>
      <c r="L122" s="210"/>
      <c r="M122" s="144"/>
      <c r="N122" s="145"/>
      <c r="O122" s="145"/>
      <c r="P122" s="122"/>
      <c r="Q122" s="146"/>
      <c r="S122" s="11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</row>
    <row r="123" ht="14.25" hidden="1" customHeight="1">
      <c r="A123" s="124"/>
      <c r="B123" s="6"/>
      <c r="C123" s="124"/>
      <c r="D123" s="185"/>
      <c r="E123" s="227"/>
      <c r="F123" s="187"/>
      <c r="G123" s="229"/>
      <c r="H123" s="195"/>
      <c r="I123" s="164"/>
      <c r="J123" s="248"/>
      <c r="K123" s="241"/>
      <c r="L123" s="164"/>
      <c r="M123" s="134"/>
      <c r="N123" s="135" t="str">
        <f>iferror(mround(#REF!*((VLOOKUP($J123,Sheet1!$D:$N,$G123+1,FALSE)-0.03)),2.5)," ")</f>
        <v> </v>
      </c>
      <c r="O123" s="135" t="str">
        <f>iferror(mround(#REF!*((VLOOKUP($J123,Sheet1!$D:$N,$G123+1,FALSE)+0.02)),2.5)," ")</f>
        <v> </v>
      </c>
      <c r="P123" s="112" t="str">
        <f>iferror(mround(I123/VLOOKUP(L123,Sheet1!$D$7:$N$16,G123+1,FALSE),2.5),"")</f>
        <v/>
      </c>
      <c r="Q123" s="136"/>
      <c r="S123" s="11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</row>
    <row r="124" ht="3.75" hidden="1" customHeight="1">
      <c r="A124" s="124"/>
      <c r="B124" s="6"/>
      <c r="C124" s="124"/>
      <c r="D124" s="138"/>
      <c r="E124" s="245"/>
      <c r="F124" s="102"/>
      <c r="G124" s="102"/>
      <c r="H124" s="102"/>
      <c r="I124" s="102"/>
      <c r="J124" s="156"/>
      <c r="K124" s="243"/>
      <c r="L124" s="210"/>
      <c r="M124" s="144"/>
      <c r="N124" s="145"/>
      <c r="O124" s="145"/>
      <c r="P124" s="122"/>
      <c r="Q124" s="146"/>
      <c r="S124" s="11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</row>
    <row r="125" ht="14.25" hidden="1" customHeight="1">
      <c r="A125" s="124"/>
      <c r="B125" s="6"/>
      <c r="C125" s="124"/>
      <c r="D125" s="185"/>
      <c r="E125" s="227"/>
      <c r="F125" s="187"/>
      <c r="G125" s="187"/>
      <c r="H125" s="195"/>
      <c r="I125" s="164"/>
      <c r="J125" s="248"/>
      <c r="K125" s="241"/>
      <c r="L125" s="164"/>
      <c r="M125" s="134"/>
      <c r="N125" s="135" t="str">
        <f>iferror(mround(#REF!*((VLOOKUP($J125,Sheet1!$D:$N,$G125+1,FALSE)-0.03)),2.5)," ")</f>
        <v> </v>
      </c>
      <c r="O125" s="135" t="str">
        <f>iferror(mround(#REF!*((VLOOKUP($J125,Sheet1!$D:$N,$G125+1,FALSE)+0.02)),2.5)," ")</f>
        <v> </v>
      </c>
      <c r="P125" s="112" t="str">
        <f>iferror(mround(I125/VLOOKUP(L125,Sheet1!$D$7:$N$16,G125+1,FALSE),2.5),"")</f>
        <v/>
      </c>
      <c r="Q125" s="136"/>
      <c r="S125" s="11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</row>
    <row r="126" ht="3.75" hidden="1" customHeight="1">
      <c r="A126" s="261"/>
      <c r="B126" s="6"/>
      <c r="C126" s="262"/>
      <c r="D126" s="138"/>
      <c r="E126" s="245"/>
      <c r="F126" s="102"/>
      <c r="G126" s="102"/>
      <c r="H126" s="102"/>
      <c r="I126" s="102"/>
      <c r="J126" s="156"/>
      <c r="K126" s="243"/>
      <c r="L126" s="210"/>
      <c r="M126" s="144"/>
      <c r="N126" s="145"/>
      <c r="O126" s="145"/>
      <c r="P126" s="122"/>
      <c r="Q126" s="146"/>
      <c r="S126" s="157"/>
      <c r="T126" s="5"/>
      <c r="U126" s="5"/>
      <c r="V126" s="158"/>
      <c r="W126" s="158"/>
      <c r="X126" s="158"/>
      <c r="Y126" s="158"/>
      <c r="Z126" s="158"/>
      <c r="AA126" s="158"/>
      <c r="AB126" s="158"/>
      <c r="AC126" s="158"/>
      <c r="AD126" s="158"/>
      <c r="AE126" s="158"/>
      <c r="AF126" s="158"/>
      <c r="AG126" s="158"/>
    </row>
    <row r="127" ht="14.25" hidden="1" customHeight="1">
      <c r="A127" s="124"/>
      <c r="B127" s="6"/>
      <c r="C127" s="124"/>
      <c r="D127" s="185"/>
      <c r="E127" s="227"/>
      <c r="F127" s="187"/>
      <c r="G127" s="187"/>
      <c r="H127" s="195"/>
      <c r="I127" s="164"/>
      <c r="J127" s="248"/>
      <c r="K127" s="241"/>
      <c r="L127" s="164"/>
      <c r="M127" s="134"/>
      <c r="N127" s="135" t="str">
        <f>iferror(mround(#REF!*((VLOOKUP($J127,Sheet1!$D:$N,$G127+1,FALSE)-0.03)),2.5)," ")</f>
        <v> </v>
      </c>
      <c r="O127" s="135" t="str">
        <f>iferror(mround(#REF!*((VLOOKUP($J127,Sheet1!$D:$N,$G127+1,FALSE)+0.02)),2.5)," ")</f>
        <v> </v>
      </c>
      <c r="P127" s="112" t="str">
        <f>iferror(mround(I127/VLOOKUP(L127,Sheet1!$D$7:$N$16,G127+1,FALSE),2.5),"")</f>
        <v/>
      </c>
      <c r="Q127" s="136"/>
      <c r="S127" s="11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</row>
    <row r="128" ht="3.75" hidden="1" customHeight="1">
      <c r="A128" s="261"/>
      <c r="B128" s="6"/>
      <c r="C128" s="262"/>
      <c r="D128" s="138"/>
      <c r="E128" s="245"/>
      <c r="F128" s="102"/>
      <c r="G128" s="102"/>
      <c r="H128" s="102"/>
      <c r="I128" s="102"/>
      <c r="J128" s="156"/>
      <c r="K128" s="243"/>
      <c r="L128" s="210"/>
      <c r="M128" s="144"/>
      <c r="N128" s="145"/>
      <c r="O128" s="145"/>
      <c r="P128" s="122"/>
      <c r="Q128" s="146"/>
      <c r="S128" s="157"/>
      <c r="T128" s="5"/>
      <c r="U128" s="5"/>
      <c r="V128" s="158"/>
      <c r="W128" s="158"/>
      <c r="X128" s="158"/>
      <c r="Y128" s="158"/>
      <c r="Z128" s="158"/>
      <c r="AA128" s="158"/>
      <c r="AB128" s="158"/>
      <c r="AC128" s="158"/>
      <c r="AD128" s="158"/>
      <c r="AE128" s="158"/>
      <c r="AF128" s="158"/>
      <c r="AG128" s="158"/>
    </row>
    <row r="129" ht="15.75" hidden="1" customHeight="1">
      <c r="A129" s="124"/>
      <c r="B129" s="6"/>
      <c r="C129" s="124"/>
      <c r="D129" s="185"/>
      <c r="E129" s="227"/>
      <c r="F129" s="187"/>
      <c r="G129" s="187"/>
      <c r="H129" s="195"/>
      <c r="I129" s="247"/>
      <c r="J129" s="248"/>
      <c r="K129" s="241"/>
      <c r="L129" s="164"/>
      <c r="M129" s="134"/>
      <c r="N129" s="135" t="str">
        <f>iferror(mround(#REF!*((VLOOKUP($J129,Sheet1!$D:$N,$G129+1,FALSE)-0.03)),2.5)," ")</f>
        <v> </v>
      </c>
      <c r="O129" s="135" t="str">
        <f>iferror(mround(#REF!*((VLOOKUP($J129,Sheet1!$D:$N,$G129+1,FALSE)+0.02)),2.5)," ")</f>
        <v> </v>
      </c>
      <c r="P129" s="112" t="str">
        <f>iferror(mround(I129/VLOOKUP(L129,Sheet1!$D$7:$N$16,G129+1,FALSE),2.5),"")</f>
        <v/>
      </c>
      <c r="Q129" s="136"/>
      <c r="S129" s="11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</row>
    <row r="130" ht="3.75" hidden="1" customHeight="1">
      <c r="A130" s="124"/>
      <c r="B130" s="6"/>
      <c r="C130" s="124"/>
      <c r="D130" s="263"/>
      <c r="E130" s="245"/>
      <c r="F130" s="102"/>
      <c r="G130" s="102"/>
      <c r="H130" s="102"/>
      <c r="I130" s="102"/>
      <c r="J130" s="156"/>
      <c r="K130" s="243"/>
      <c r="L130" s="210"/>
      <c r="M130" s="144"/>
      <c r="N130" s="145"/>
      <c r="O130" s="145"/>
      <c r="P130" s="122"/>
      <c r="Q130" s="146"/>
      <c r="S130" s="11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</row>
    <row r="131" ht="14.25" hidden="1" customHeight="1">
      <c r="A131" s="90"/>
      <c r="B131" s="6"/>
      <c r="C131" s="90"/>
      <c r="D131" s="185"/>
      <c r="E131" s="227"/>
      <c r="F131" s="187"/>
      <c r="G131" s="187"/>
      <c r="H131" s="195"/>
      <c r="I131" s="164"/>
      <c r="J131" s="248"/>
      <c r="K131" s="241"/>
      <c r="L131" s="164"/>
      <c r="M131" s="134"/>
      <c r="N131" s="135" t="str">
        <f>iferror(mround(#REF!*((VLOOKUP($J131,Sheet1!$D:$N,$G131+1,FALSE)-0.03)),2.5)," ")</f>
        <v> </v>
      </c>
      <c r="O131" s="135" t="str">
        <f>iferror(mround(#REF!*((VLOOKUP($J131,Sheet1!$D:$N,$G131+1,FALSE)+0.02)),2.5)," ")</f>
        <v> </v>
      </c>
      <c r="P131" s="112" t="str">
        <f>iferror(mround(I131/VLOOKUP(L131,Sheet1!$D$7:$N$16,G131+1,FALSE),2.5),"")</f>
        <v/>
      </c>
      <c r="Q131" s="136"/>
      <c r="S131" s="11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</row>
    <row r="132" ht="3.75" hidden="1" customHeight="1">
      <c r="A132" s="261"/>
      <c r="B132" s="6"/>
      <c r="C132" s="262"/>
      <c r="D132" s="263"/>
      <c r="E132" s="323"/>
      <c r="F132" s="194"/>
      <c r="G132" s="194"/>
      <c r="H132" s="155"/>
      <c r="I132" s="210"/>
      <c r="J132" s="265"/>
      <c r="K132" s="243"/>
      <c r="L132" s="210"/>
      <c r="M132" s="144"/>
      <c r="N132" s="145"/>
      <c r="O132" s="145"/>
      <c r="P132" s="122"/>
      <c r="Q132" s="146"/>
      <c r="S132" s="157"/>
      <c r="T132" s="5"/>
      <c r="U132" s="5"/>
      <c r="V132" s="158"/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</row>
    <row r="133" ht="15.75" hidden="1" customHeight="1">
      <c r="A133" s="90"/>
      <c r="B133" s="6"/>
      <c r="C133" s="90"/>
      <c r="D133" s="185"/>
      <c r="E133" s="324"/>
      <c r="F133" s="187"/>
      <c r="G133" s="187"/>
      <c r="H133" s="195"/>
      <c r="I133" s="164"/>
      <c r="J133" s="248"/>
      <c r="K133" s="241"/>
      <c r="L133" s="164"/>
      <c r="M133" s="134"/>
      <c r="N133" s="135" t="str">
        <f>iferror(mround(#REF!*((VLOOKUP($J133,Sheet1!$D:$N,$G133+1,FALSE)-0.03)),2.5)," ")</f>
        <v> </v>
      </c>
      <c r="O133" s="135" t="str">
        <f>iferror(mround(#REF!*((VLOOKUP($J133,Sheet1!$D:$N,$G133+1,FALSE)+0.02)),2.5)," ")</f>
        <v> </v>
      </c>
      <c r="P133" s="112" t="str">
        <f>iferror(mround(I133/VLOOKUP(L133,Sheet1!$D$7:$N$16,G133+1,FALSE),2.5),"")</f>
        <v/>
      </c>
      <c r="Q133" s="136"/>
      <c r="S133" s="11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</row>
    <row r="134" ht="3.75" hidden="1" customHeight="1">
      <c r="A134" s="90"/>
      <c r="B134" s="6"/>
      <c r="C134" s="90"/>
      <c r="D134" s="138"/>
      <c r="E134" s="245"/>
      <c r="F134" s="102"/>
      <c r="G134" s="102"/>
      <c r="H134" s="102"/>
      <c r="I134" s="102"/>
      <c r="J134" s="156"/>
      <c r="K134" s="243"/>
      <c r="L134" s="210"/>
      <c r="M134" s="144"/>
      <c r="N134" s="145"/>
      <c r="O134" s="145"/>
      <c r="P134" s="122"/>
      <c r="Q134" s="146"/>
      <c r="S134" s="11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</row>
    <row r="135" ht="15.75" hidden="1" customHeight="1">
      <c r="A135" s="90"/>
      <c r="B135" s="6"/>
      <c r="C135" s="90"/>
      <c r="D135" s="185"/>
      <c r="E135" s="227"/>
      <c r="F135" s="187"/>
      <c r="G135" s="187"/>
      <c r="H135" s="195"/>
      <c r="I135" s="164"/>
      <c r="J135" s="248"/>
      <c r="K135" s="241"/>
      <c r="L135" s="164"/>
      <c r="M135" s="134"/>
      <c r="N135" s="135" t="str">
        <f>iferror(mround(#REF!*((VLOOKUP($J135,Sheet1!$D:$N,$G135+1,FALSE)-0.03)),2.5)," ")</f>
        <v> </v>
      </c>
      <c r="O135" s="135" t="str">
        <f>iferror(mround(#REF!*((VLOOKUP($J135,Sheet1!$D:$N,$G135+1,FALSE)+0.02)),2.5)," ")</f>
        <v> </v>
      </c>
      <c r="P135" s="112" t="str">
        <f>iferror(mround(I135/VLOOKUP(L135,Sheet1!$D$7:$N$16,G135+1,FALSE),2.5),"")</f>
        <v/>
      </c>
      <c r="Q135" s="136"/>
      <c r="S135" s="11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</row>
    <row r="136" ht="3.75" hidden="1" customHeight="1">
      <c r="A136" s="191"/>
      <c r="B136" s="6"/>
      <c r="C136" s="192"/>
      <c r="D136" s="138"/>
      <c r="E136" s="245"/>
      <c r="F136" s="102"/>
      <c r="G136" s="102"/>
      <c r="H136" s="102"/>
      <c r="I136" s="102"/>
      <c r="J136" s="156"/>
      <c r="K136" s="243"/>
      <c r="L136" s="210"/>
      <c r="M136" s="144"/>
      <c r="N136" s="145"/>
      <c r="O136" s="145"/>
      <c r="P136" s="122"/>
      <c r="Q136" s="146"/>
      <c r="S136" s="157"/>
      <c r="T136" s="5"/>
      <c r="U136" s="5"/>
      <c r="V136" s="158"/>
      <c r="W136" s="158"/>
      <c r="X136" s="158"/>
      <c r="Y136" s="158"/>
      <c r="Z136" s="158"/>
      <c r="AA136" s="158"/>
      <c r="AB136" s="158"/>
      <c r="AC136" s="158"/>
      <c r="AD136" s="158"/>
      <c r="AE136" s="158"/>
      <c r="AF136" s="158"/>
      <c r="AG136" s="158"/>
    </row>
    <row r="137" ht="15.75" hidden="1" customHeight="1">
      <c r="A137" s="90"/>
      <c r="B137" s="6"/>
      <c r="C137" s="90"/>
      <c r="D137" s="185"/>
      <c r="E137" s="227"/>
      <c r="F137" s="187"/>
      <c r="G137" s="187"/>
      <c r="H137" s="195"/>
      <c r="I137" s="164"/>
      <c r="J137" s="248"/>
      <c r="K137" s="241"/>
      <c r="L137" s="164"/>
      <c r="M137" s="134"/>
      <c r="N137" s="135" t="str">
        <f>iferror(mround(#REF!*((VLOOKUP($J137,Sheet1!$D:$N,$G137+1,FALSE)-0.03)),2.5)," ")</f>
        <v> </v>
      </c>
      <c r="O137" s="135" t="str">
        <f>iferror(mround(#REF!*((VLOOKUP($J137,Sheet1!$D:$N,$G137+1,FALSE)+0.02)),2.5)," ")</f>
        <v> </v>
      </c>
      <c r="P137" s="112" t="str">
        <f>iferror(mround(I137/VLOOKUP(L137,Sheet1!$D$7:$N$16,G137+1,FALSE),2.5),"")</f>
        <v/>
      </c>
      <c r="Q137" s="136"/>
      <c r="S137" s="11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</row>
    <row r="138" ht="3.75" hidden="1" customHeight="1">
      <c r="A138" s="90"/>
      <c r="B138" s="6"/>
      <c r="C138" s="90"/>
      <c r="D138" s="263"/>
      <c r="E138" s="245"/>
      <c r="F138" s="102"/>
      <c r="G138" s="102"/>
      <c r="H138" s="102"/>
      <c r="I138" s="102"/>
      <c r="J138" s="156"/>
      <c r="K138" s="243"/>
      <c r="L138" s="210"/>
      <c r="M138" s="144"/>
      <c r="N138" s="145"/>
      <c r="O138" s="145"/>
      <c r="P138" s="122"/>
      <c r="Q138" s="146"/>
      <c r="S138" s="11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</row>
    <row r="139" ht="15.75" hidden="1" customHeight="1">
      <c r="A139" s="90"/>
      <c r="B139" s="6"/>
      <c r="C139" s="90"/>
      <c r="D139" s="185"/>
      <c r="E139" s="324"/>
      <c r="F139" s="187"/>
      <c r="G139" s="187"/>
      <c r="H139" s="195"/>
      <c r="I139" s="164"/>
      <c r="J139" s="248"/>
      <c r="K139" s="241"/>
      <c r="L139" s="164"/>
      <c r="M139" s="134"/>
      <c r="N139" s="135" t="str">
        <f>iferror(mround(#REF!*((VLOOKUP($J139,Sheet1!$D:$N,$G139+1,FALSE)-0.03)),2.5)," ")</f>
        <v> </v>
      </c>
      <c r="O139" s="135" t="str">
        <f>iferror(mround(#REF!*((VLOOKUP($J139,Sheet1!$D:$N,$G139+1,FALSE)+0.02)),2.5)," ")</f>
        <v> </v>
      </c>
      <c r="P139" s="112" t="str">
        <f>iferror(mround(I139/VLOOKUP(L139,Sheet1!$D$7:$N$16,G139+1,FALSE),2.5),"")</f>
        <v/>
      </c>
      <c r="Q139" s="136"/>
      <c r="S139" s="11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</row>
    <row r="140" ht="3.75" hidden="1" customHeight="1">
      <c r="A140" s="191"/>
      <c r="B140" s="6"/>
      <c r="C140" s="192"/>
      <c r="D140" s="192"/>
      <c r="E140" s="325"/>
      <c r="F140" s="194"/>
      <c r="G140" s="194"/>
      <c r="H140" s="155"/>
      <c r="I140" s="210"/>
      <c r="J140" s="268"/>
      <c r="K140" s="316"/>
      <c r="L140" s="269"/>
      <c r="M140" s="270"/>
      <c r="N140" s="269"/>
      <c r="O140" s="269"/>
      <c r="P140" s="271"/>
      <c r="Q140" s="272"/>
      <c r="R140" s="273"/>
      <c r="S140" s="157"/>
      <c r="T140" s="5"/>
      <c r="U140" s="5"/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</row>
    <row r="141" ht="14.25" customHeight="1">
      <c r="A141" s="5"/>
      <c r="B141" s="6"/>
      <c r="C141" s="5"/>
      <c r="D141" s="274"/>
      <c r="E141" s="266"/>
      <c r="F141" s="187"/>
      <c r="G141" s="187"/>
      <c r="H141" s="195"/>
      <c r="I141" s="129"/>
      <c r="J141" s="275"/>
      <c r="K141" s="276"/>
      <c r="L141" s="187"/>
      <c r="M141" s="187"/>
      <c r="N141" s="187"/>
      <c r="O141" s="187"/>
      <c r="P141" s="277"/>
      <c r="Q141" s="278"/>
      <c r="R141" s="279"/>
      <c r="S141" s="11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</row>
    <row r="142" ht="14.25" customHeight="1">
      <c r="A142" s="5"/>
      <c r="B142" s="6"/>
      <c r="C142" s="5"/>
      <c r="D142" s="274" t="s">
        <v>59</v>
      </c>
      <c r="E142" s="266" t="s">
        <v>16</v>
      </c>
      <c r="F142" s="187" t="s">
        <v>17</v>
      </c>
      <c r="G142" s="187" t="s">
        <v>60</v>
      </c>
      <c r="H142" s="187"/>
      <c r="I142" s="280" t="s">
        <v>61</v>
      </c>
      <c r="J142" s="266" t="s">
        <v>62</v>
      </c>
      <c r="K142" s="274"/>
      <c r="L142" s="187"/>
      <c r="M142" s="281" t="s">
        <v>63</v>
      </c>
      <c r="N142" s="281"/>
      <c r="O142" s="282"/>
      <c r="P142" s="282"/>
      <c r="Q142" s="278"/>
      <c r="R142" s="157"/>
      <c r="S142" s="11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</row>
    <row r="143" ht="14.25" customHeight="1">
      <c r="A143" s="5"/>
      <c r="B143" s="6"/>
      <c r="C143" s="5"/>
      <c r="D143" s="274" t="s">
        <v>6</v>
      </c>
      <c r="E143" s="283">
        <f>IFERROR(__xludf.DUMMYFUNCTION("SUM(FILTER(F18:F142, ISNUMBER(SEARCH(""squat"", D18:D142))))"),7.0)</f>
        <v>7</v>
      </c>
      <c r="F143" s="284">
        <f>IFERROR(__xludf.DUMMYFUNCTION("SUMPRODUCT(FILTER(F18:F142 * G18:G142, ISNUMBER(SEARCH(""squat"", D18:D142))))"),37.0)</f>
        <v>37</v>
      </c>
      <c r="G143" s="135">
        <f>IFERROR(__xludf.DUMMYFUNCTION("ROUND(SUMPRODUCT(FILTER(F18:F142 * G18:G142 * I18:I142, ISNUMBER(SEARCH(""squat"", D18:D142)))), 0)"),14055.0)</f>
        <v>14055</v>
      </c>
      <c r="H143" s="285"/>
      <c r="I143" s="135">
        <f>IFERROR(__xludf.DUMMYFUNCTION("ROUND(AVERAGE(FILTER(I18:I142, ISNUMBER(SEARCH(""squat"", D18:D142)), I18:I142 &lt;&gt; """")) / J143 * 100, 0)"),73.0)</f>
        <v>73</v>
      </c>
      <c r="J143" s="283">
        <f>IFERROR(__xludf.DUMMYFUNCTION("IFERROR(MROUND(AVERAGE(FILTER(P18:P142, D18:D142 = ""comp squat"", P18:P142 &lt;&gt; """", P18:P142 &gt;= 0.9 * MAX(FILTER(P18:P142, D18:D142 = ""comp squat"", P18:P142 &lt;&gt; """")), P18:P142 &lt;= 1.1 * MAX(FILTER(P18:P142, D18:D142 = ""comp squat"", P18:P142 &lt;&gt; """"))"&amp;")), 2.5), ""No valid data"")"),530.0)</f>
        <v>530</v>
      </c>
      <c r="K143" s="286"/>
      <c r="L143" s="287">
        <f>MROUND(J143/2.2046,2.5)-$O$10</f>
        <v>-2.5</v>
      </c>
      <c r="M143" s="288" t="s">
        <v>64</v>
      </c>
      <c r="N143" s="288">
        <v>1.0</v>
      </c>
      <c r="O143" s="289" t="s">
        <v>65</v>
      </c>
      <c r="P143" s="290">
        <v>1.0</v>
      </c>
      <c r="Q143" s="278"/>
      <c r="R143" s="291"/>
      <c r="S143" s="11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</row>
    <row r="144" ht="3.0" customHeight="1">
      <c r="A144" s="5"/>
      <c r="B144" s="6"/>
      <c r="C144" s="5"/>
      <c r="D144" s="90"/>
      <c r="E144" s="156"/>
      <c r="F144" s="102"/>
      <c r="G144" s="145"/>
      <c r="H144" s="102"/>
      <c r="I144" s="145"/>
      <c r="J144" s="156"/>
      <c r="K144" s="286"/>
      <c r="L144" s="292"/>
      <c r="M144" s="251"/>
      <c r="N144" s="251"/>
      <c r="O144" s="289"/>
      <c r="P144" s="282"/>
      <c r="Q144" s="278"/>
      <c r="R144" s="115"/>
      <c r="S144" s="11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</row>
    <row r="145" ht="15.75" customHeight="1">
      <c r="A145" s="5"/>
      <c r="B145" s="6"/>
      <c r="C145" s="5"/>
      <c r="D145" s="274" t="s">
        <v>66</v>
      </c>
      <c r="E145" s="293">
        <f>IFERROR(__xludf.DUMMYFUNCTION("SUM(FILTER(F18:F142, ISNUMBER(SEARCH(""bench press"", D18:D142))))"),19.0)</f>
        <v>19</v>
      </c>
      <c r="F145" s="284">
        <f>IFERROR(__xludf.DUMMYFUNCTION("SUMPRODUCT(FILTER(F19:F143 * G19:G143, ISNUMBER(SEARCH(""bench press"", D19:D143))))"),69.0)</f>
        <v>69</v>
      </c>
      <c r="G145" s="135">
        <f>IFERROR(__xludf.DUMMYFUNCTION("ROUND(SUMPRODUCT(FILTER(F18:F142 * G18:G142 * I18:I142, ISNUMBER(SEARCH(""bench press"", D18:D142)))), 0)"),17789.0)</f>
        <v>17789</v>
      </c>
      <c r="H145" s="285"/>
      <c r="I145" s="135">
        <f>IFERROR(__xludf.DUMMYFUNCTION("ROUND(AVERAGE(FILTER(I18:I142, ISNUMBER(SEARCH(""bench press"", D18:D142)), I18:I142 &lt;&gt; """")) / J145 * 100, 0)"),79.0)</f>
        <v>79</v>
      </c>
      <c r="J145" s="293">
        <f>IFERROR(__xludf.DUMMYFUNCTION("IFERROR(MROUND(AVERAGE(FILTER(P18:P142, D18:D142 = ""comp bench press"", P18:P142 &lt;&gt; """", P18:P142 &gt;= 0.9 * MAX(FILTER(P18:P142, D18:D142 = ""comp bench press"", P18:P142 &lt;&gt; """")), P18:P142 &lt;= 1.1 * MAX(FILTER(P18:P142, D18:D142 = ""comp bench press"", "&amp;"P18:P142 &lt;&gt; """")))), 2.5), ""No valid data"")"),340.0)</f>
        <v>340</v>
      </c>
      <c r="K145" s="286"/>
      <c r="L145" s="294">
        <f>MROUND(J145/2.2046,2.5)-$O$11</f>
        <v>2.5</v>
      </c>
      <c r="M145" s="282" t="s">
        <v>67</v>
      </c>
      <c r="N145" s="290">
        <v>3.0</v>
      </c>
      <c r="O145" s="288" t="s">
        <v>68</v>
      </c>
      <c r="P145" s="290">
        <v>1.0</v>
      </c>
      <c r="Q145" s="278"/>
      <c r="R145" s="157"/>
      <c r="S145" s="11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</row>
    <row r="146" ht="3.0" customHeight="1">
      <c r="A146" s="5"/>
      <c r="B146" s="6"/>
      <c r="C146" s="5"/>
      <c r="D146" s="90"/>
      <c r="E146" s="156"/>
      <c r="F146" s="102"/>
      <c r="G146" s="145"/>
      <c r="H146" s="102"/>
      <c r="I146" s="145"/>
      <c r="J146" s="156"/>
      <c r="K146" s="286"/>
      <c r="L146" s="292"/>
      <c r="M146" s="282"/>
      <c r="N146" s="282"/>
      <c r="O146" s="251"/>
      <c r="P146" s="282"/>
      <c r="Q146" s="278"/>
      <c r="R146" s="157"/>
      <c r="S146" s="11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</row>
    <row r="147" ht="14.25" customHeight="1">
      <c r="A147" s="5"/>
      <c r="B147" s="6"/>
      <c r="C147" s="5"/>
      <c r="D147" s="274" t="s">
        <v>10</v>
      </c>
      <c r="E147" s="293">
        <f>IFERROR(__xludf.DUMMYFUNCTION("SUM(FILTER(F18:F142, ISNUMBER(SEARCH(""deadlift"", D18:D142))))"),7.0)</f>
        <v>7</v>
      </c>
      <c r="F147" s="284">
        <f>IFERROR(__xludf.DUMMYFUNCTION("SUMPRODUCT(FILTER(F18:F142 * G18:G142, ISNUMBER(SEARCH(""deadlift"", D18:D142))))"),25.0)</f>
        <v>25</v>
      </c>
      <c r="G147" s="135">
        <f>IFERROR(__xludf.DUMMYFUNCTION("ROUND(SUMPRODUCT(FILTER(F18:F142 * G18:G142 * I18:I142, ISNUMBER(SEARCH(""deadlift"", D18:D142)))), 0)"),10931.0)</f>
        <v>10931</v>
      </c>
      <c r="H147" s="285"/>
      <c r="I147" s="135">
        <f>IFERROR(__xludf.DUMMYFUNCTION("ROUND(AVERAGE(FILTER(I18:I142, ISNUMBER(SEARCH(""deadlift"", D18:D142)), I18:I142 &lt;&gt; """")) / J147 * 100, 0)"),73.0)</f>
        <v>73</v>
      </c>
      <c r="J147" s="293">
        <f>IFERROR(__xludf.DUMMYFUNCTION("IFERROR(MROUND(AVERAGE(FILTER(P18:P142, D18:D142 = ""comp deadlift"", P18:P142 &lt;&gt; """", P18:P142 &gt;= 0.9 * MAX(FILTER(P18:P142, D18:D142 = ""comp deadlift"", P18:P142 &lt;&gt; """")), P18:P142 &lt;= 1.1 * MAX(FILTER(P18:P142, D18:D142 = ""comp deadlift"", P18:P142 "&amp;"&lt;&gt; """")))), 2.5), ""No valid data"")"),615.0)</f>
        <v>615</v>
      </c>
      <c r="K147" s="286"/>
      <c r="L147" s="294">
        <f>MROUND(J147/2.2046,2.5)-$O$12</f>
        <v>15</v>
      </c>
      <c r="M147" s="282" t="s">
        <v>69</v>
      </c>
      <c r="N147" s="290">
        <v>2.0</v>
      </c>
      <c r="O147" s="290" t="s">
        <v>70</v>
      </c>
      <c r="P147" s="290">
        <v>1.0</v>
      </c>
      <c r="Q147" s="278"/>
      <c r="R147" s="157"/>
      <c r="S147" s="11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</row>
    <row r="148" ht="14.25" customHeight="1">
      <c r="A148" s="5"/>
      <c r="B148" s="6"/>
      <c r="C148" s="5"/>
      <c r="D148" s="274"/>
      <c r="E148" s="266"/>
      <c r="F148" s="187"/>
      <c r="G148" s="187"/>
      <c r="H148" s="187"/>
      <c r="I148" s="187"/>
      <c r="J148" s="295"/>
      <c r="K148" s="274"/>
      <c r="L148" s="187"/>
      <c r="M148" s="282" t="s">
        <v>71</v>
      </c>
      <c r="N148" s="290">
        <v>1.0</v>
      </c>
      <c r="O148" s="282"/>
      <c r="P148" s="282"/>
      <c r="Q148" s="278"/>
      <c r="R148" s="157"/>
      <c r="S148" s="11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</row>
    <row r="149" ht="14.25" customHeight="1">
      <c r="A149" s="5"/>
      <c r="B149" s="2"/>
      <c r="C149" s="5"/>
      <c r="D149" s="5"/>
      <c r="E149" s="75"/>
      <c r="F149" s="3"/>
      <c r="G149" s="3"/>
      <c r="H149" s="3"/>
      <c r="I149" s="3"/>
      <c r="J149" s="75"/>
      <c r="K149" s="5"/>
      <c r="L149" s="3"/>
      <c r="M149" s="47"/>
      <c r="N149" s="3"/>
      <c r="O149" s="3"/>
      <c r="P149" s="3"/>
      <c r="Q149" s="4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</row>
    <row r="150" ht="18.75" customHeight="1">
      <c r="A150" s="90"/>
      <c r="B150" s="6"/>
      <c r="C150" s="91"/>
      <c r="D150" s="79" t="s">
        <v>72</v>
      </c>
      <c r="E150" s="80" t="s">
        <v>13</v>
      </c>
      <c r="G150" s="81"/>
      <c r="H150" s="81"/>
      <c r="I150" s="81"/>
      <c r="J150" s="82"/>
      <c r="K150" s="83"/>
      <c r="L150" s="83"/>
      <c r="M150" s="93"/>
      <c r="N150" s="93"/>
      <c r="O150" s="93"/>
      <c r="P150" s="296"/>
      <c r="Q150" s="297"/>
      <c r="R150" s="298"/>
      <c r="S150" s="10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</row>
    <row r="151" ht="18.75" customHeight="1">
      <c r="A151" s="90"/>
      <c r="B151" s="6"/>
      <c r="C151" s="91"/>
      <c r="D151" s="299">
        <f>D16+1</f>
        <v>2</v>
      </c>
      <c r="E151" s="300" t="str">
        <f>IF(E16 = "", "", E16 - 1)</f>
        <v/>
      </c>
      <c r="F151" s="36"/>
      <c r="G151" s="301"/>
      <c r="H151" s="301"/>
      <c r="I151" s="301"/>
      <c r="J151" s="92"/>
      <c r="K151" s="93"/>
      <c r="L151" s="93"/>
      <c r="M151" s="93"/>
      <c r="N151" s="93"/>
      <c r="O151" s="93"/>
      <c r="P151" s="94"/>
      <c r="Q151" s="95"/>
      <c r="R151" s="96"/>
      <c r="S151" s="10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</row>
    <row r="152" ht="5.25" customHeight="1">
      <c r="A152" s="90"/>
      <c r="B152" s="6"/>
      <c r="C152" s="90"/>
      <c r="D152" s="97"/>
      <c r="E152" s="98"/>
      <c r="F152" s="99"/>
      <c r="G152" s="99"/>
      <c r="H152" s="99"/>
      <c r="I152" s="100"/>
      <c r="J152" s="101"/>
      <c r="K152" s="90"/>
      <c r="L152" s="102"/>
      <c r="M152" s="102"/>
      <c r="N152" s="102"/>
      <c r="O152" s="102"/>
      <c r="P152" s="103"/>
      <c r="Q152" s="4"/>
      <c r="R152" s="90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</row>
    <row r="153" ht="30.75" customHeight="1">
      <c r="A153" s="90"/>
      <c r="B153" s="6"/>
      <c r="C153" s="90"/>
      <c r="D153" s="202" t="s">
        <v>73</v>
      </c>
      <c r="E153" s="105" t="s">
        <v>75</v>
      </c>
      <c r="F153" s="106" t="s">
        <v>16</v>
      </c>
      <c r="G153" s="106" t="s">
        <v>17</v>
      </c>
      <c r="H153" s="107"/>
      <c r="I153" s="106" t="s">
        <v>18</v>
      </c>
      <c r="J153" s="108" t="s">
        <v>19</v>
      </c>
      <c r="L153" s="109" t="s">
        <v>20</v>
      </c>
      <c r="M153" s="110" t="s">
        <v>21</v>
      </c>
      <c r="N153" s="111" t="s">
        <v>22</v>
      </c>
      <c r="P153" s="112"/>
      <c r="Q153" s="113" t="s">
        <v>23</v>
      </c>
      <c r="R153" s="114" t="s">
        <v>24</v>
      </c>
      <c r="S153" s="11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</row>
    <row r="154" ht="14.25" customHeight="1">
      <c r="A154" s="90"/>
      <c r="B154" s="6"/>
      <c r="C154" s="90"/>
      <c r="D154" s="116">
        <v>4.0</v>
      </c>
      <c r="E154" s="117">
        <v>2.0</v>
      </c>
      <c r="H154" s="107"/>
      <c r="N154" s="111" t="s">
        <v>27</v>
      </c>
      <c r="O154" s="111" t="s">
        <v>28</v>
      </c>
      <c r="P154" s="112" t="s">
        <v>29</v>
      </c>
      <c r="R154" s="118" t="s">
        <v>30</v>
      </c>
      <c r="S154" s="11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</row>
    <row r="155" ht="3.75" customHeight="1">
      <c r="A155" s="90"/>
      <c r="B155" s="6"/>
      <c r="C155" s="90"/>
      <c r="D155" s="97"/>
      <c r="E155" s="98"/>
      <c r="F155" s="99"/>
      <c r="G155" s="99"/>
      <c r="H155" s="99"/>
      <c r="I155" s="100"/>
      <c r="J155" s="302"/>
      <c r="K155" s="90"/>
      <c r="L155" s="102"/>
      <c r="M155" s="121"/>
      <c r="N155" s="102"/>
      <c r="O155" s="102"/>
      <c r="P155" s="122"/>
      <c r="Q155" s="4"/>
      <c r="R155" s="123"/>
      <c r="S155" s="11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</row>
    <row r="156" ht="15.75" customHeight="1">
      <c r="A156" s="124"/>
      <c r="B156" s="6"/>
      <c r="C156" s="124"/>
      <c r="D156" s="125" t="s">
        <v>77</v>
      </c>
      <c r="E156" s="126"/>
      <c r="F156" s="127">
        <v>1.0</v>
      </c>
      <c r="G156" s="240">
        <v>6.0</v>
      </c>
      <c r="H156" s="129"/>
      <c r="I156" s="130">
        <v>386.0</v>
      </c>
      <c r="J156" s="151">
        <v>5.0</v>
      </c>
      <c r="K156" s="132"/>
      <c r="L156" s="133">
        <v>5.0</v>
      </c>
      <c r="M156" s="134">
        <f>I21</f>
        <v>375</v>
      </c>
      <c r="N156" s="135">
        <f>iferror(mround($P21*((VLOOKUP($J156,Sheet1!$D:$N,$G156+1,FALSE)-0.03)),2.5)," ")</f>
        <v>0</v>
      </c>
      <c r="O156" s="135">
        <f>iferror(mround($P21*((VLOOKUP($J156,Sheet1!$D:$N,$G156+1,FALSE)+0.02)),2.5)," ")</f>
        <v>0</v>
      </c>
      <c r="P156" s="56" t="str">
        <f>iferror(mround(I156/VLOOKUP(L156,Sheet1!$D$7:$N$16,G156+1,FALSE),2.5),"")</f>
        <v/>
      </c>
      <c r="Q156" s="303">
        <f t="shared" ref="Q156:Q177" si="1">IF(OR(ISBLANK(I156), ISBLANK(I21)), "", IF(I156 - I21 = 0, "", I156 - I21))</f>
        <v>11</v>
      </c>
      <c r="S156" s="11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</row>
    <row r="157" ht="3.75" customHeight="1">
      <c r="A157" s="137"/>
      <c r="B157" s="70"/>
      <c r="C157" s="137"/>
      <c r="D157" s="138"/>
      <c r="E157" s="139"/>
      <c r="F157" s="140"/>
      <c r="G157" s="140"/>
      <c r="H157" s="140"/>
      <c r="I157" s="140"/>
      <c r="J157" s="141"/>
      <c r="K157" s="142"/>
      <c r="L157" s="143"/>
      <c r="M157" s="144"/>
      <c r="N157" s="145"/>
      <c r="O157" s="145"/>
      <c r="P157" s="122"/>
      <c r="Q157" s="304" t="str">
        <f t="shared" si="1"/>
        <v/>
      </c>
      <c r="S157" s="147"/>
      <c r="T157" s="148"/>
      <c r="U157" s="148"/>
      <c r="V157" s="148"/>
      <c r="W157" s="148"/>
      <c r="X157" s="148"/>
      <c r="Y157" s="148"/>
      <c r="Z157" s="148"/>
      <c r="AA157" s="148"/>
      <c r="AB157" s="148"/>
      <c r="AC157" s="148"/>
      <c r="AD157" s="148"/>
      <c r="AE157" s="148"/>
      <c r="AF157" s="148"/>
      <c r="AG157" s="148"/>
    </row>
    <row r="158" ht="15.75" customHeight="1">
      <c r="A158" s="149"/>
      <c r="B158" s="150"/>
      <c r="C158" s="149"/>
      <c r="D158" s="125" t="s">
        <v>77</v>
      </c>
      <c r="E158" s="126"/>
      <c r="F158" s="127">
        <v>1.0</v>
      </c>
      <c r="G158" s="240">
        <v>6.0</v>
      </c>
      <c r="H158" s="129"/>
      <c r="I158" s="130">
        <v>413.0</v>
      </c>
      <c r="J158" s="151">
        <v>6.5</v>
      </c>
      <c r="K158" s="132"/>
      <c r="L158" s="133">
        <v>6.5</v>
      </c>
      <c r="M158" s="134">
        <f>I23</f>
        <v>397</v>
      </c>
      <c r="N158" s="135">
        <f>iferror(mround($P23*((VLOOKUP($J158,Sheet1!$D:$N,$G158+1,FALSE)-0.03)),2.5)," ")</f>
        <v>387.5</v>
      </c>
      <c r="O158" s="135">
        <f>iferror(mround($P23*((VLOOKUP($J158,Sheet1!$D:$N,$G158+1,FALSE)+0.02)),2.5)," ")</f>
        <v>415</v>
      </c>
      <c r="P158" s="56">
        <f>iferror(mround(I158/VLOOKUP(L158,Sheet1!$D$7:$N$16,G158+1,FALSE),2.5),"")</f>
        <v>550</v>
      </c>
      <c r="Q158" s="303">
        <f t="shared" si="1"/>
        <v>16</v>
      </c>
      <c r="S158" s="11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</row>
    <row r="159" ht="3.75" customHeight="1">
      <c r="A159" s="152"/>
      <c r="B159" s="150"/>
      <c r="C159" s="153"/>
      <c r="D159" s="138"/>
      <c r="E159" s="154"/>
      <c r="F159" s="155"/>
      <c r="G159" s="102"/>
      <c r="H159" s="102"/>
      <c r="I159" s="102"/>
      <c r="J159" s="156"/>
      <c r="K159" s="142"/>
      <c r="L159" s="143"/>
      <c r="M159" s="144"/>
      <c r="N159" s="145"/>
      <c r="O159" s="145"/>
      <c r="P159" s="122"/>
      <c r="Q159" s="304" t="str">
        <f t="shared" si="1"/>
        <v/>
      </c>
      <c r="S159" s="157"/>
      <c r="T159" s="5"/>
      <c r="U159" s="5"/>
      <c r="V159" s="158"/>
      <c r="W159" s="158"/>
      <c r="X159" s="158"/>
      <c r="Y159" s="158"/>
      <c r="Z159" s="158"/>
      <c r="AA159" s="158"/>
      <c r="AB159" s="158"/>
      <c r="AC159" s="158"/>
      <c r="AD159" s="158"/>
      <c r="AE159" s="158"/>
      <c r="AF159" s="158"/>
      <c r="AG159" s="158"/>
    </row>
    <row r="160" ht="15.75" customHeight="1">
      <c r="A160" s="149"/>
      <c r="B160" s="150"/>
      <c r="C160" s="149"/>
      <c r="D160" s="125" t="s">
        <v>77</v>
      </c>
      <c r="E160" s="126"/>
      <c r="F160" s="127">
        <v>1.0</v>
      </c>
      <c r="G160" s="161">
        <v>6.0</v>
      </c>
      <c r="H160" s="129"/>
      <c r="I160" s="130">
        <v>391.0</v>
      </c>
      <c r="J160" s="151" t="s">
        <v>78</v>
      </c>
      <c r="K160" s="132"/>
      <c r="L160" s="133">
        <v>6.5</v>
      </c>
      <c r="M160" s="134">
        <f>I25</f>
        <v>386</v>
      </c>
      <c r="N160" s="135" t="str">
        <f>iferror(mround($P25*((VLOOKUP($J160,Sheet1!$D:$N,$G160+1,FALSE)-0.03)),2.5)," ")</f>
        <v> </v>
      </c>
      <c r="O160" s="135" t="str">
        <f>iferror(mround($P25*((VLOOKUP($J160,Sheet1!$D:$N,$G160+1,FALSE)+0.02)),2.5)," ")</f>
        <v> </v>
      </c>
      <c r="P160" s="56">
        <f>iferror(mround(I160/VLOOKUP(L160,Sheet1!$D$7:$N$16,G160+1,FALSE),2.5),"")</f>
        <v>520</v>
      </c>
      <c r="Q160" s="303">
        <f t="shared" si="1"/>
        <v>5</v>
      </c>
      <c r="S160" s="11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</row>
    <row r="161" ht="3.75" customHeight="1">
      <c r="A161" s="162"/>
      <c r="B161" s="163"/>
      <c r="C161" s="162"/>
      <c r="D161" s="138"/>
      <c r="E161" s="154"/>
      <c r="F161" s="155"/>
      <c r="G161" s="102"/>
      <c r="H161" s="102"/>
      <c r="I161" s="102"/>
      <c r="J161" s="156"/>
      <c r="K161" s="142"/>
      <c r="L161" s="143"/>
      <c r="M161" s="144"/>
      <c r="N161" s="145"/>
      <c r="O161" s="145"/>
      <c r="P161" s="122"/>
      <c r="Q161" s="304" t="str">
        <f t="shared" si="1"/>
        <v/>
      </c>
      <c r="S161" s="147"/>
      <c r="T161" s="148"/>
      <c r="U161" s="148"/>
      <c r="V161" s="148"/>
      <c r="W161" s="148"/>
      <c r="X161" s="148"/>
      <c r="Y161" s="148"/>
      <c r="Z161" s="148"/>
      <c r="AA161" s="148"/>
      <c r="AB161" s="148"/>
      <c r="AC161" s="148"/>
      <c r="AD161" s="148"/>
      <c r="AE161" s="148"/>
      <c r="AF161" s="148"/>
      <c r="AG161" s="148"/>
    </row>
    <row r="162" ht="15.75" customHeight="1">
      <c r="A162" s="149"/>
      <c r="B162" s="150"/>
      <c r="C162" s="149"/>
      <c r="D162" s="159" t="s">
        <v>33</v>
      </c>
      <c r="E162" s="160" t="s">
        <v>34</v>
      </c>
      <c r="F162" s="127">
        <v>1.0</v>
      </c>
      <c r="G162" s="161">
        <v>5.0</v>
      </c>
      <c r="H162" s="129"/>
      <c r="I162" s="130">
        <v>265.0</v>
      </c>
      <c r="J162" s="151">
        <v>7.0</v>
      </c>
      <c r="K162" s="132"/>
      <c r="L162" s="133">
        <v>7.0</v>
      </c>
      <c r="M162" s="134">
        <f>I27</f>
        <v>253</v>
      </c>
      <c r="N162" s="135">
        <f>iferror(mround($P27*((VLOOKUP($J162,Sheet1!$D:$N,$G162+1,FALSE)-0.03)),2.5)," ")</f>
        <v>247.5</v>
      </c>
      <c r="O162" s="135">
        <f>iferror(mround($P27*((VLOOKUP($J162,Sheet1!$D:$N,$G162+1,FALSE)+0.02)),2.5)," ")</f>
        <v>262.5</v>
      </c>
      <c r="P162" s="56">
        <f>iferror(mround(I162/VLOOKUP(L162,Sheet1!$D$7:$N$16,G162+1,FALSE),2.5),"")</f>
        <v>335</v>
      </c>
      <c r="Q162" s="303">
        <f t="shared" si="1"/>
        <v>12</v>
      </c>
      <c r="S162" s="11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</row>
    <row r="163" ht="3.75" customHeight="1">
      <c r="A163" s="162"/>
      <c r="B163" s="163"/>
      <c r="C163" s="162"/>
      <c r="D163" s="138"/>
      <c r="E163" s="139"/>
      <c r="F163" s="140"/>
      <c r="G163" s="140"/>
      <c r="H163" s="140"/>
      <c r="I163" s="140"/>
      <c r="J163" s="141"/>
      <c r="K163" s="142"/>
      <c r="L163" s="143"/>
      <c r="M163" s="144"/>
      <c r="N163" s="145"/>
      <c r="O163" s="145"/>
      <c r="P163" s="122"/>
      <c r="Q163" s="304" t="str">
        <f t="shared" si="1"/>
        <v/>
      </c>
      <c r="S163" s="147"/>
      <c r="T163" s="148"/>
      <c r="U163" s="148"/>
      <c r="V163" s="148"/>
      <c r="W163" s="148"/>
      <c r="X163" s="148"/>
      <c r="Y163" s="148"/>
      <c r="Z163" s="148"/>
      <c r="AA163" s="148"/>
      <c r="AB163" s="148"/>
      <c r="AC163" s="148"/>
      <c r="AD163" s="148"/>
      <c r="AE163" s="148"/>
      <c r="AF163" s="148"/>
      <c r="AG163" s="148"/>
    </row>
    <row r="164" ht="15.75" customHeight="1">
      <c r="A164" s="90"/>
      <c r="B164" s="6"/>
      <c r="C164" s="90"/>
      <c r="D164" s="159" t="s">
        <v>33</v>
      </c>
      <c r="E164" s="160" t="s">
        <v>34</v>
      </c>
      <c r="F164" s="127">
        <v>3.0</v>
      </c>
      <c r="G164" s="161">
        <v>5.0</v>
      </c>
      <c r="H164" s="129"/>
      <c r="I164" s="164">
        <f>MROUND(I162*(1+J164),5)</f>
        <v>240</v>
      </c>
      <c r="J164" s="165">
        <v>-0.1</v>
      </c>
      <c r="K164" s="132"/>
      <c r="L164" s="133">
        <v>5.5</v>
      </c>
      <c r="M164" s="134">
        <f>I29</f>
        <v>230</v>
      </c>
      <c r="N164" s="135" t="str">
        <f>iferror(mround($P29*((VLOOKUP($J164,Sheet1!$D:$N,$G164+1,FALSE)-0.03)),2.5)," ")</f>
        <v> </v>
      </c>
      <c r="O164" s="135" t="str">
        <f>iferror(mround($P29*((VLOOKUP($J164,Sheet1!$D:$N,$G164+1,FALSE)+0.02)),2.5)," ")</f>
        <v> </v>
      </c>
      <c r="P164" s="56" t="str">
        <f>iferror(mround(I164/VLOOKUP(L164,Sheet1!$D$7:$N$16,G164+1,FALSE),2.5),"")</f>
        <v/>
      </c>
      <c r="Q164" s="303">
        <f t="shared" si="1"/>
        <v>10</v>
      </c>
      <c r="S164" s="11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</row>
    <row r="165" ht="3.75" customHeight="1">
      <c r="A165" s="168"/>
      <c r="B165" s="70"/>
      <c r="C165" s="168"/>
      <c r="D165" s="138"/>
      <c r="E165" s="139"/>
      <c r="F165" s="102"/>
      <c r="G165" s="102"/>
      <c r="H165" s="102"/>
      <c r="I165" s="102"/>
      <c r="J165" s="156"/>
      <c r="K165" s="142"/>
      <c r="L165" s="143"/>
      <c r="M165" s="144"/>
      <c r="N165" s="145"/>
      <c r="O165" s="145"/>
      <c r="P165" s="122"/>
      <c r="Q165" s="304" t="str">
        <f t="shared" si="1"/>
        <v/>
      </c>
      <c r="S165" s="147"/>
      <c r="T165" s="148"/>
      <c r="U165" s="148"/>
      <c r="V165" s="148"/>
      <c r="W165" s="148"/>
      <c r="X165" s="148"/>
      <c r="Y165" s="148"/>
      <c r="Z165" s="148"/>
      <c r="AA165" s="148"/>
      <c r="AB165" s="148"/>
      <c r="AC165" s="148"/>
      <c r="AD165" s="148"/>
      <c r="AE165" s="148"/>
      <c r="AF165" s="148"/>
      <c r="AG165" s="148"/>
    </row>
    <row r="166" ht="15.75" customHeight="1">
      <c r="A166" s="90"/>
      <c r="B166" s="6"/>
      <c r="C166" s="90"/>
      <c r="D166" s="166" t="s">
        <v>35</v>
      </c>
      <c r="E166" s="167" t="s">
        <v>79</v>
      </c>
      <c r="F166" s="127">
        <v>2.0</v>
      </c>
      <c r="G166" s="161">
        <v>7.0</v>
      </c>
      <c r="H166" s="129"/>
      <c r="I166" s="130">
        <v>253.0</v>
      </c>
      <c r="J166" s="151">
        <v>8.0</v>
      </c>
      <c r="K166" s="170" t="s">
        <v>80</v>
      </c>
      <c r="L166" s="133"/>
      <c r="M166" s="134">
        <f>I31</f>
        <v>248</v>
      </c>
      <c r="N166" s="135">
        <f>iferror(mround($P31*((VLOOKUP($J166,Sheet1!$D:$N,$G166+1,FALSE)-0.03)),2.5)," ")</f>
        <v>240</v>
      </c>
      <c r="O166" s="135">
        <f>iferror(mround($P31*((VLOOKUP($J166,Sheet1!$D:$N,$G166+1,FALSE)+0.02)),2.5)," ")</f>
        <v>255</v>
      </c>
      <c r="P166" s="56" t="str">
        <f>iferror(mround(I166/VLOOKUP(L166,Sheet1!$D$7:$N$16,G166+1,FALSE),2.5),"")</f>
        <v/>
      </c>
      <c r="Q166" s="303">
        <f t="shared" si="1"/>
        <v>5</v>
      </c>
      <c r="S166" s="11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</row>
    <row r="167" ht="3.75" customHeight="1">
      <c r="A167" s="90"/>
      <c r="B167" s="6"/>
      <c r="C167" s="90"/>
      <c r="D167" s="171"/>
      <c r="E167" s="172"/>
      <c r="F167" s="173"/>
      <c r="G167" s="173"/>
      <c r="H167" s="173"/>
      <c r="I167" s="173"/>
      <c r="J167" s="174"/>
      <c r="K167" s="142"/>
      <c r="L167" s="143"/>
      <c r="M167" s="144"/>
      <c r="N167" s="145"/>
      <c r="O167" s="145"/>
      <c r="P167" s="122"/>
      <c r="Q167" s="304" t="str">
        <f t="shared" si="1"/>
        <v/>
      </c>
      <c r="S167" s="11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</row>
    <row r="168" ht="15.75" customHeight="1">
      <c r="A168" s="90"/>
      <c r="B168" s="6"/>
      <c r="C168" s="90"/>
      <c r="D168" s="166" t="s">
        <v>37</v>
      </c>
      <c r="E168" s="160" t="s">
        <v>81</v>
      </c>
      <c r="F168" s="127">
        <v>3.0</v>
      </c>
      <c r="G168" s="169">
        <v>45577.0</v>
      </c>
      <c r="H168" s="129"/>
      <c r="I168" s="130">
        <v>320.0</v>
      </c>
      <c r="J168" s="151">
        <v>8.0</v>
      </c>
      <c r="K168" s="132"/>
      <c r="L168" s="133"/>
      <c r="M168" s="134">
        <f>I33</f>
        <v>295</v>
      </c>
      <c r="N168" s="135" t="str">
        <f>iferror(mround($P33*((VLOOKUP($J168,Sheet1!$D:$N,$G168+1,FALSE)-0.03)),2.5)," ")</f>
        <v> </v>
      </c>
      <c r="O168" s="135" t="str">
        <f>iferror(mround($P33*((VLOOKUP($J168,Sheet1!$D:$N,$G168+1,FALSE)+0.02)),2.5)," ")</f>
        <v> </v>
      </c>
      <c r="P168" s="56" t="str">
        <f>iferror(mround(I168/VLOOKUP(L168,Sheet1!$D$7:$N$16,G168+1,FALSE),2.5),"")</f>
        <v/>
      </c>
      <c r="Q168" s="303">
        <f t="shared" si="1"/>
        <v>25</v>
      </c>
      <c r="S168" s="11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</row>
    <row r="169" ht="3.75" customHeight="1">
      <c r="A169" s="90"/>
      <c r="B169" s="6"/>
      <c r="C169" s="90"/>
      <c r="D169" s="171"/>
      <c r="E169" s="172"/>
      <c r="F169" s="173"/>
      <c r="G169" s="173"/>
      <c r="H169" s="173"/>
      <c r="I169" s="173"/>
      <c r="J169" s="174"/>
      <c r="K169" s="142"/>
      <c r="L169" s="143"/>
      <c r="M169" s="144"/>
      <c r="N169" s="145"/>
      <c r="O169" s="145"/>
      <c r="P169" s="122"/>
      <c r="Q169" s="304" t="str">
        <f t="shared" si="1"/>
        <v/>
      </c>
      <c r="S169" s="11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</row>
    <row r="170" ht="15.75" hidden="1" customHeight="1">
      <c r="A170" s="90"/>
      <c r="B170" s="6"/>
      <c r="C170" s="90"/>
      <c r="D170" s="175" t="s">
        <v>40</v>
      </c>
      <c r="E170" s="176"/>
      <c r="F170" s="177">
        <v>3.0</v>
      </c>
      <c r="G170" s="178" t="s">
        <v>41</v>
      </c>
      <c r="H170" s="179"/>
      <c r="I170" s="180"/>
      <c r="J170" s="181">
        <v>8.0</v>
      </c>
      <c r="K170" s="182"/>
      <c r="L170" s="183"/>
      <c r="M170" s="134" t="str">
        <f>I35</f>
        <v/>
      </c>
      <c r="N170" s="135" t="str">
        <f>iferror(mround($P35*((VLOOKUP($J170,Sheet1!$D:$N,$G170+1,FALSE)-0.03)),2.5)," ")</f>
        <v> </v>
      </c>
      <c r="O170" s="135" t="str">
        <f>iferror(mround($P35*((VLOOKUP($J170,Sheet1!$D:$N,$G170+1,FALSE)+0.02)),2.5)," ")</f>
        <v> </v>
      </c>
      <c r="P170" s="56" t="str">
        <f>iferror(mround(I170/VLOOKUP(L170,Sheet1!$D$7:$N$16,G170+1,FALSE),2.5),"")</f>
        <v/>
      </c>
      <c r="Q170" s="303" t="str">
        <f t="shared" si="1"/>
        <v/>
      </c>
      <c r="S170" s="11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</row>
    <row r="171" ht="3.75" hidden="1" customHeight="1">
      <c r="A171" s="90"/>
      <c r="B171" s="6"/>
      <c r="C171" s="90"/>
      <c r="D171" s="138"/>
      <c r="E171" s="184"/>
      <c r="F171" s="102"/>
      <c r="G171" s="102"/>
      <c r="H171" s="102"/>
      <c r="I171" s="102"/>
      <c r="J171" s="156"/>
      <c r="K171" s="103"/>
      <c r="L171" s="143"/>
      <c r="M171" s="144"/>
      <c r="N171" s="145"/>
      <c r="O171" s="145"/>
      <c r="P171" s="122"/>
      <c r="Q171" s="304" t="str">
        <f t="shared" si="1"/>
        <v/>
      </c>
      <c r="S171" s="11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</row>
    <row r="172" ht="15.75" hidden="1" customHeight="1">
      <c r="A172" s="90"/>
      <c r="B172" s="6"/>
      <c r="C172" s="90"/>
      <c r="D172" s="185"/>
      <c r="E172" s="186"/>
      <c r="F172" s="187"/>
      <c r="G172" s="188"/>
      <c r="H172" s="129"/>
      <c r="I172" s="164"/>
      <c r="J172" s="189"/>
      <c r="K172" s="190"/>
      <c r="L172" s="183"/>
      <c r="M172" s="134" t="str">
        <f>I37</f>
        <v/>
      </c>
      <c r="N172" s="135" t="str">
        <f>iferror(mround($P37*((VLOOKUP($J172,Sheet1!$D:$N,$G172+1,FALSE)-0.03)),2.5)," ")</f>
        <v> </v>
      </c>
      <c r="O172" s="135" t="str">
        <f>iferror(mround($P37*((VLOOKUP($J172,Sheet1!$D:$N,$G172+1,FALSE)+0.02)),2.5)," ")</f>
        <v> </v>
      </c>
      <c r="P172" s="56" t="str">
        <f>iferror(mround(I172/VLOOKUP(L172,Sheet1!$D$7:$N$16,G172+1,FALSE),2.5),"")</f>
        <v/>
      </c>
      <c r="Q172" s="303" t="str">
        <f t="shared" si="1"/>
        <v/>
      </c>
      <c r="S172" s="11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</row>
    <row r="173" ht="3.75" hidden="1" customHeight="1">
      <c r="A173" s="191"/>
      <c r="B173" s="6"/>
      <c r="C173" s="192"/>
      <c r="D173" s="138"/>
      <c r="E173" s="193"/>
      <c r="F173" s="194"/>
      <c r="G173" s="155"/>
      <c r="H173" s="102"/>
      <c r="I173" s="102"/>
      <c r="J173" s="156"/>
      <c r="K173" s="103"/>
      <c r="L173" s="143"/>
      <c r="M173" s="144"/>
      <c r="N173" s="145"/>
      <c r="O173" s="145"/>
      <c r="P173" s="122"/>
      <c r="Q173" s="304" t="str">
        <f t="shared" si="1"/>
        <v/>
      </c>
      <c r="S173" s="157"/>
      <c r="T173" s="5"/>
      <c r="U173" s="5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</row>
    <row r="174" ht="15.75" hidden="1" customHeight="1">
      <c r="A174" s="90"/>
      <c r="B174" s="6"/>
      <c r="C174" s="90"/>
      <c r="D174" s="185"/>
      <c r="E174" s="186"/>
      <c r="F174" s="187"/>
      <c r="G174" s="195"/>
      <c r="H174" s="129"/>
      <c r="I174" s="164"/>
      <c r="J174" s="189"/>
      <c r="K174" s="190"/>
      <c r="L174" s="183"/>
      <c r="M174" s="134" t="str">
        <f>I39</f>
        <v/>
      </c>
      <c r="N174" s="135" t="str">
        <f>iferror(mround($P39*((VLOOKUP($J174,Sheet1!$D:$N,$G174+1,FALSE)-0.03)),2.5)," ")</f>
        <v> </v>
      </c>
      <c r="O174" s="135" t="str">
        <f>iferror(mround($P39*((VLOOKUP($J174,Sheet1!$D:$N,$G174+1,FALSE)+0.02)),2.5)," ")</f>
        <v> </v>
      </c>
      <c r="P174" s="56" t="str">
        <f>iferror(mround(I174/VLOOKUP(L174,Sheet1!$D$7:$N$16,G174+1,FALSE),2.5),"")</f>
        <v/>
      </c>
      <c r="Q174" s="303" t="str">
        <f t="shared" si="1"/>
        <v/>
      </c>
      <c r="S174" s="11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</row>
    <row r="175" ht="3.75" hidden="1" customHeight="1">
      <c r="A175" s="90"/>
      <c r="B175" s="6"/>
      <c r="C175" s="90"/>
      <c r="D175" s="196"/>
      <c r="E175" s="184"/>
      <c r="F175" s="102"/>
      <c r="G175" s="102"/>
      <c r="H175" s="102"/>
      <c r="I175" s="102"/>
      <c r="J175" s="156"/>
      <c r="K175" s="103"/>
      <c r="L175" s="143"/>
      <c r="M175" s="144"/>
      <c r="N175" s="145"/>
      <c r="O175" s="145"/>
      <c r="P175" s="122"/>
      <c r="Q175" s="304" t="str">
        <f t="shared" si="1"/>
        <v/>
      </c>
      <c r="S175" s="11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</row>
    <row r="176" ht="15.75" hidden="1" customHeight="1">
      <c r="A176" s="90"/>
      <c r="B176" s="6"/>
      <c r="C176" s="90"/>
      <c r="D176" s="197"/>
      <c r="E176" s="198"/>
      <c r="F176" s="199"/>
      <c r="G176" s="195"/>
      <c r="H176" s="129"/>
      <c r="I176" s="164"/>
      <c r="J176" s="189"/>
      <c r="K176" s="190"/>
      <c r="L176" s="183"/>
      <c r="M176" s="134" t="str">
        <f>I41</f>
        <v/>
      </c>
      <c r="N176" s="135" t="str">
        <f>iferror(mround($P41*((VLOOKUP($J176,Sheet1!$D:$N,$G176+1,FALSE)-0.03)),2.5)," ")</f>
        <v> </v>
      </c>
      <c r="O176" s="135" t="str">
        <f>iferror(mround($P41*((VLOOKUP($J176,Sheet1!$D:$N,$G176+1,FALSE)+0.02)),2.5)," ")</f>
        <v> </v>
      </c>
      <c r="P176" s="56" t="str">
        <f>iferror(mround(I176/VLOOKUP(L176,Sheet1!$D$7:$N$16,G176+1,FALSE),2.5),"")</f>
        <v/>
      </c>
      <c r="Q176" s="303" t="str">
        <f t="shared" si="1"/>
        <v/>
      </c>
      <c r="S176" s="11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</row>
    <row r="177" ht="3.75" customHeight="1">
      <c r="A177" s="90"/>
      <c r="B177" s="6"/>
      <c r="C177" s="90"/>
      <c r="D177" s="90"/>
      <c r="E177" s="156"/>
      <c r="F177" s="102"/>
      <c r="G177" s="102"/>
      <c r="H177" s="102"/>
      <c r="I177" s="102"/>
      <c r="J177" s="156"/>
      <c r="K177" s="200"/>
      <c r="L177" s="201"/>
      <c r="M177" s="144"/>
      <c r="N177" s="47"/>
      <c r="O177" s="47"/>
      <c r="P177" s="122"/>
      <c r="Q177" s="304" t="str">
        <f t="shared" si="1"/>
        <v/>
      </c>
      <c r="S177" s="11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</row>
    <row r="178" ht="30.0" customHeight="1">
      <c r="A178" s="90"/>
      <c r="B178" s="6"/>
      <c r="C178" s="90"/>
      <c r="D178" s="202" t="s">
        <v>42</v>
      </c>
      <c r="E178" s="105" t="s">
        <v>82</v>
      </c>
      <c r="F178" s="106" t="s">
        <v>16</v>
      </c>
      <c r="G178" s="106" t="s">
        <v>17</v>
      </c>
      <c r="H178" s="107"/>
      <c r="I178" s="106" t="s">
        <v>18</v>
      </c>
      <c r="J178" s="108" t="s">
        <v>19</v>
      </c>
      <c r="L178" s="109" t="s">
        <v>20</v>
      </c>
      <c r="M178" s="110" t="s">
        <v>21</v>
      </c>
      <c r="N178" s="111" t="s">
        <v>22</v>
      </c>
      <c r="P178" s="112"/>
      <c r="Q178" s="113" t="s">
        <v>23</v>
      </c>
      <c r="R178" s="114" t="s">
        <v>43</v>
      </c>
      <c r="S178" s="11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</row>
    <row r="179" ht="14.25" customHeight="1">
      <c r="A179" s="90"/>
      <c r="B179" s="6"/>
      <c r="C179" s="90"/>
      <c r="D179" s="116">
        <v>4.0</v>
      </c>
      <c r="E179" s="117">
        <v>4.0</v>
      </c>
      <c r="H179" s="107"/>
      <c r="N179" s="111" t="s">
        <v>27</v>
      </c>
      <c r="O179" s="111" t="s">
        <v>28</v>
      </c>
      <c r="P179" s="112" t="s">
        <v>29</v>
      </c>
      <c r="R179" s="118" t="s">
        <v>30</v>
      </c>
      <c r="S179" s="11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</row>
    <row r="180" ht="3.75" customHeight="1">
      <c r="A180" s="191"/>
      <c r="B180" s="6"/>
      <c r="C180" s="192"/>
      <c r="D180" s="203"/>
      <c r="E180" s="204"/>
      <c r="F180" s="205"/>
      <c r="G180" s="205"/>
      <c r="H180" s="206"/>
      <c r="I180" s="207"/>
      <c r="J180" s="208"/>
      <c r="K180" s="209"/>
      <c r="L180" s="210"/>
      <c r="M180" s="211"/>
      <c r="N180" s="47"/>
      <c r="O180" s="47"/>
      <c r="P180" s="122"/>
      <c r="Q180" s="304" t="str">
        <f t="shared" ref="Q180:Q202" si="2">IF(OR(ISBLANK(I180), ISBLANK(I45)), "", IF(I180 - I45 = 0, "", I180 - I45))</f>
        <v/>
      </c>
      <c r="R180" s="212"/>
      <c r="S180" s="157"/>
      <c r="T180" s="5"/>
      <c r="U180" s="5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</row>
    <row r="181" ht="15.75" customHeight="1">
      <c r="A181" s="124"/>
      <c r="B181" s="6"/>
      <c r="C181" s="124"/>
      <c r="D181" s="159" t="s">
        <v>83</v>
      </c>
      <c r="E181" s="167" t="s">
        <v>84</v>
      </c>
      <c r="F181" s="127">
        <v>3.0</v>
      </c>
      <c r="G181" s="127">
        <v>3.0</v>
      </c>
      <c r="H181" s="195"/>
      <c r="I181" s="130">
        <v>430.0</v>
      </c>
      <c r="J181" s="151">
        <v>6.0</v>
      </c>
      <c r="K181" s="213"/>
      <c r="L181" s="133">
        <v>6.0</v>
      </c>
      <c r="M181" s="134">
        <f>I46</f>
        <v>419</v>
      </c>
      <c r="N181" s="135">
        <f>iferror(mround($P46*((VLOOKUP($J181,Sheet1!$D:$N,$G181+1,FALSE)-0.03)),2.5)," ")</f>
        <v>405</v>
      </c>
      <c r="O181" s="135">
        <f>iferror(mround($P46*((VLOOKUP($J181,Sheet1!$D:$N,$G181+1,FALSE)+0.02)),2.5)," ")</f>
        <v>430</v>
      </c>
      <c r="P181" s="112">
        <f>iferror(mround(I181/VLOOKUP(L181,Sheet1!$D$7:$N$16,G181+1,FALSE),2.5),"")</f>
        <v>527.5</v>
      </c>
      <c r="Q181" s="303">
        <f t="shared" si="2"/>
        <v>11</v>
      </c>
      <c r="R181" s="214"/>
      <c r="S181" s="11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</row>
    <row r="182" ht="3.75" customHeight="1">
      <c r="A182" s="124"/>
      <c r="B182" s="6"/>
      <c r="C182" s="124"/>
      <c r="D182" s="138"/>
      <c r="E182" s="215"/>
      <c r="F182" s="102"/>
      <c r="G182" s="102"/>
      <c r="H182" s="102"/>
      <c r="I182" s="102"/>
      <c r="J182" s="216"/>
      <c r="K182" s="217"/>
      <c r="L182" s="218"/>
      <c r="M182" s="144"/>
      <c r="N182" s="145"/>
      <c r="O182" s="145"/>
      <c r="P182" s="122"/>
      <c r="Q182" s="304" t="str">
        <f t="shared" si="2"/>
        <v/>
      </c>
      <c r="R182" s="214"/>
      <c r="S182" s="11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</row>
    <row r="183" ht="15.75" customHeight="1">
      <c r="A183" s="90"/>
      <c r="B183" s="6"/>
      <c r="C183" s="90"/>
      <c r="D183" s="159" t="s">
        <v>33</v>
      </c>
      <c r="E183" s="167"/>
      <c r="F183" s="127">
        <v>1.0</v>
      </c>
      <c r="G183" s="127">
        <v>2.0</v>
      </c>
      <c r="H183" s="195"/>
      <c r="I183" s="130">
        <v>314.0</v>
      </c>
      <c r="J183" s="151">
        <v>7.5</v>
      </c>
      <c r="K183" s="219" t="s">
        <v>85</v>
      </c>
      <c r="L183" s="133">
        <v>8.0</v>
      </c>
      <c r="M183" s="134">
        <f>I48</f>
        <v>303</v>
      </c>
      <c r="N183" s="135">
        <f>iferror(mround($P48*((VLOOKUP($J183,Sheet1!$D:$N,$G183+1,FALSE)-0.03)),2.5)," ")</f>
        <v>297.5</v>
      </c>
      <c r="O183" s="135">
        <f>iferror(mround($P48*((VLOOKUP($J183,Sheet1!$D:$N,$G183+1,FALSE)+0.02)),2.5)," ")</f>
        <v>315</v>
      </c>
      <c r="P183" s="112">
        <f>iferror(mround(I183/VLOOKUP(L183,Sheet1!$D$7:$N$16,G183+1,FALSE),2.5),"")</f>
        <v>352.5</v>
      </c>
      <c r="Q183" s="303">
        <f t="shared" si="2"/>
        <v>11</v>
      </c>
      <c r="R183" s="214"/>
      <c r="S183" s="11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</row>
    <row r="184" ht="3.75" customHeight="1">
      <c r="A184" s="90"/>
      <c r="B184" s="6"/>
      <c r="C184" s="90"/>
      <c r="D184" s="138"/>
      <c r="E184" s="215"/>
      <c r="F184" s="102"/>
      <c r="G184" s="102"/>
      <c r="H184" s="102"/>
      <c r="I184" s="102"/>
      <c r="J184" s="216"/>
      <c r="K184" s="217"/>
      <c r="L184" s="218"/>
      <c r="M184" s="144"/>
      <c r="N184" s="145"/>
      <c r="O184" s="145"/>
      <c r="P184" s="122"/>
      <c r="Q184" s="304" t="str">
        <f t="shared" si="2"/>
        <v/>
      </c>
      <c r="R184" s="214"/>
      <c r="S184" s="11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</row>
    <row r="185" ht="15.75" customHeight="1">
      <c r="A185" s="90"/>
      <c r="B185" s="6"/>
      <c r="C185" s="90"/>
      <c r="D185" s="159" t="s">
        <v>33</v>
      </c>
      <c r="E185" s="167"/>
      <c r="F185" s="127">
        <v>3.0</v>
      </c>
      <c r="G185" s="161">
        <v>3.0</v>
      </c>
      <c r="H185" s="195"/>
      <c r="I185" s="164">
        <f>MROUND(I183*(1+J185),5)</f>
        <v>290</v>
      </c>
      <c r="J185" s="165">
        <v>-0.08</v>
      </c>
      <c r="K185" s="219"/>
      <c r="L185" s="133">
        <v>8.0</v>
      </c>
      <c r="M185" s="134">
        <f>I50</f>
        <v>280</v>
      </c>
      <c r="N185" s="135" t="str">
        <f>iferror(mround($P50*((VLOOKUP($J185,Sheet1!$D:$N,$G185+1,FALSE)-0.03)),2.5)," ")</f>
        <v> </v>
      </c>
      <c r="O185" s="135" t="str">
        <f>iferror(mround($P50*((VLOOKUP($J185,Sheet1!$D:$N,$G185+1,FALSE)+0.02)),2.5)," ")</f>
        <v> </v>
      </c>
      <c r="P185" s="112">
        <f>iferror(mround(I185/VLOOKUP(L185,Sheet1!$D$7:$N$16,G185+1,FALSE),2.5),"")</f>
        <v>335</v>
      </c>
      <c r="Q185" s="303">
        <f t="shared" si="2"/>
        <v>10</v>
      </c>
      <c r="R185" s="214"/>
      <c r="S185" s="11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</row>
    <row r="186" ht="3.75" customHeight="1">
      <c r="A186" s="90"/>
      <c r="B186" s="6"/>
      <c r="C186" s="90"/>
      <c r="D186" s="138"/>
      <c r="E186" s="215"/>
      <c r="F186" s="102"/>
      <c r="G186" s="102"/>
      <c r="H186" s="102"/>
      <c r="I186" s="102"/>
      <c r="J186" s="156"/>
      <c r="K186" s="217"/>
      <c r="L186" s="143"/>
      <c r="M186" s="144"/>
      <c r="N186" s="145"/>
      <c r="O186" s="145"/>
      <c r="P186" s="122"/>
      <c r="Q186" s="304" t="str">
        <f t="shared" si="2"/>
        <v/>
      </c>
      <c r="R186" s="214"/>
      <c r="S186" s="11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</row>
    <row r="187" ht="15.75" customHeight="1">
      <c r="A187" s="90"/>
      <c r="B187" s="6"/>
      <c r="C187" s="90"/>
      <c r="D187" s="159" t="s">
        <v>86</v>
      </c>
      <c r="E187" s="167" t="s">
        <v>87</v>
      </c>
      <c r="F187" s="127">
        <v>3.0</v>
      </c>
      <c r="G187" s="169">
        <v>45577.0</v>
      </c>
      <c r="H187" s="195"/>
      <c r="I187" s="130">
        <v>120.0</v>
      </c>
      <c r="J187" s="151">
        <v>8.0</v>
      </c>
      <c r="K187" s="213"/>
      <c r="L187" s="133">
        <v>8.0</v>
      </c>
      <c r="M187" s="134">
        <f>I52</f>
        <v>110</v>
      </c>
      <c r="N187" s="135" t="str">
        <f>iferror(mround($P52*((VLOOKUP($J187,Sheet1!$D:$N,$G187+1,FALSE)-0.03)),2.5)," ")</f>
        <v> </v>
      </c>
      <c r="O187" s="135" t="str">
        <f>iferror(mround($P52*((VLOOKUP($J187,Sheet1!$D:$N,$G187+1,FALSE)+0.02)),2.5)," ")</f>
        <v> </v>
      </c>
      <c r="P187" s="112" t="str">
        <f>iferror(mround(I187/VLOOKUP(L187,Sheet1!$D$7:$N$16,G187+1,FALSE),2.5),"")</f>
        <v/>
      </c>
      <c r="Q187" s="303">
        <f t="shared" si="2"/>
        <v>10</v>
      </c>
      <c r="R187" s="214"/>
      <c r="S187" s="11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</row>
    <row r="188" ht="3.75" customHeight="1">
      <c r="A188" s="90"/>
      <c r="B188" s="6"/>
      <c r="C188" s="90"/>
      <c r="D188" s="138"/>
      <c r="E188" s="215"/>
      <c r="F188" s="102"/>
      <c r="G188" s="102"/>
      <c r="H188" s="102"/>
      <c r="I188" s="102"/>
      <c r="J188" s="156"/>
      <c r="K188" s="217"/>
      <c r="L188" s="143"/>
      <c r="M188" s="144"/>
      <c r="N188" s="145"/>
      <c r="O188" s="145"/>
      <c r="P188" s="122"/>
      <c r="Q188" s="304" t="str">
        <f t="shared" si="2"/>
        <v/>
      </c>
      <c r="R188" s="214"/>
      <c r="S188" s="11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</row>
    <row r="189" ht="15.75" customHeight="1">
      <c r="A189" s="90"/>
      <c r="B189" s="6"/>
      <c r="C189" s="90"/>
      <c r="D189" s="159" t="s">
        <v>88</v>
      </c>
      <c r="E189" s="220"/>
      <c r="F189" s="127">
        <v>3.0</v>
      </c>
      <c r="G189" s="221">
        <v>45641.0</v>
      </c>
      <c r="H189" s="195"/>
      <c r="I189" s="130">
        <v>12.5</v>
      </c>
      <c r="J189" s="151">
        <v>9.0</v>
      </c>
      <c r="K189" s="213"/>
      <c r="L189" s="133">
        <v>9.0</v>
      </c>
      <c r="M189" s="134">
        <f>I54</f>
        <v>11.5</v>
      </c>
      <c r="N189" s="135" t="str">
        <f>iferror(mround($P54*((VLOOKUP($J189,Sheet1!$D:$N,$G189+1,FALSE)-0.03)),2.5)," ")</f>
        <v> </v>
      </c>
      <c r="O189" s="135" t="str">
        <f>iferror(mround($P54*((VLOOKUP($J189,Sheet1!$D:$N,$G189+1,FALSE)+0.02)),2.5)," ")</f>
        <v> </v>
      </c>
      <c r="P189" s="112" t="str">
        <f>iferror(mround(I189/VLOOKUP(L189,Sheet1!$D$7:$N$16,G189+1,FALSE),2.5),"")</f>
        <v/>
      </c>
      <c r="Q189" s="303">
        <f t="shared" si="2"/>
        <v>1</v>
      </c>
      <c r="R189" s="214"/>
      <c r="S189" s="11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</row>
    <row r="190" ht="3.75" customHeight="1">
      <c r="A190" s="90"/>
      <c r="B190" s="6"/>
      <c r="C190" s="90"/>
      <c r="D190" s="138"/>
      <c r="E190" s="215"/>
      <c r="F190" s="102"/>
      <c r="G190" s="102"/>
      <c r="H190" s="102"/>
      <c r="I190" s="102"/>
      <c r="J190" s="156"/>
      <c r="K190" s="217"/>
      <c r="L190" s="143"/>
      <c r="M190" s="144"/>
      <c r="N190" s="145"/>
      <c r="O190" s="145"/>
      <c r="P190" s="122"/>
      <c r="Q190" s="304" t="str">
        <f t="shared" si="2"/>
        <v/>
      </c>
      <c r="R190" s="214"/>
      <c r="S190" s="11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</row>
    <row r="191" ht="15.75" customHeight="1">
      <c r="A191" s="90"/>
      <c r="B191" s="6"/>
      <c r="C191" s="90"/>
      <c r="D191" s="159" t="s">
        <v>47</v>
      </c>
      <c r="E191" s="220"/>
      <c r="F191" s="127">
        <v>3.0</v>
      </c>
      <c r="G191" s="221">
        <v>45641.0</v>
      </c>
      <c r="H191" s="195"/>
      <c r="I191" s="130">
        <v>70.0</v>
      </c>
      <c r="J191" s="151">
        <v>9.0</v>
      </c>
      <c r="K191" s="213"/>
      <c r="L191" s="183"/>
      <c r="M191" s="134">
        <f>I56</f>
        <v>65</v>
      </c>
      <c r="N191" s="135" t="str">
        <f>iferror(mround($P56*((VLOOKUP($J191,Sheet1!$D:$N,$G191+1,FALSE)-0.03)),2.5)," ")</f>
        <v> </v>
      </c>
      <c r="O191" s="135" t="str">
        <f>iferror(mround($P56*((VLOOKUP($J191,Sheet1!$D:$N,$G191+1,FALSE)+0.02)),2.5)," ")</f>
        <v> </v>
      </c>
      <c r="P191" s="112" t="str">
        <f>iferror(mround(I191/VLOOKUP(L191,Sheet1!$D$7:$N$16,G191+1,FALSE),2.5),"")</f>
        <v/>
      </c>
      <c r="Q191" s="303">
        <f t="shared" si="2"/>
        <v>5</v>
      </c>
      <c r="R191" s="214"/>
      <c r="S191" s="11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</row>
    <row r="192" ht="3.75" customHeight="1">
      <c r="A192" s="90"/>
      <c r="B192" s="6"/>
      <c r="C192" s="90"/>
      <c r="D192" s="138"/>
      <c r="E192" s="326"/>
      <c r="F192" s="102"/>
      <c r="G192" s="102"/>
      <c r="H192" s="102"/>
      <c r="I192" s="102"/>
      <c r="J192" s="216"/>
      <c r="K192" s="222"/>
      <c r="L192" s="143"/>
      <c r="M192" s="144"/>
      <c r="N192" s="145"/>
      <c r="O192" s="145"/>
      <c r="P192" s="122"/>
      <c r="Q192" s="304" t="str">
        <f t="shared" si="2"/>
        <v/>
      </c>
      <c r="R192" s="214"/>
      <c r="S192" s="11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</row>
    <row r="193" ht="18.0" hidden="1" customHeight="1">
      <c r="A193" s="90"/>
      <c r="B193" s="6"/>
      <c r="C193" s="90"/>
      <c r="D193" s="185"/>
      <c r="E193" s="327"/>
      <c r="F193" s="187"/>
      <c r="G193" s="187"/>
      <c r="H193" s="195"/>
      <c r="I193" s="164"/>
      <c r="J193" s="189"/>
      <c r="K193" s="190"/>
      <c r="L193" s="183"/>
      <c r="M193" s="134" t="str">
        <f>I58</f>
        <v/>
      </c>
      <c r="N193" s="135" t="str">
        <f>iferror(mround($P58*((VLOOKUP($J193,Sheet1!$D:$N,$G193+1,FALSE)-0.03)),2.5)," ")</f>
        <v> </v>
      </c>
      <c r="O193" s="135" t="str">
        <f>iferror(mround($P58*((VLOOKUP($J193,Sheet1!$D:$N,$G193+1,FALSE)+0.02)),2.5)," ")</f>
        <v> </v>
      </c>
      <c r="P193" s="112" t="str">
        <f>iferror(mround(I193/VLOOKUP(L193,Sheet1!$D$7:$N$16,G193+1,FALSE),2.5),"")</f>
        <v/>
      </c>
      <c r="Q193" s="303" t="str">
        <f t="shared" si="2"/>
        <v/>
      </c>
      <c r="R193" s="214"/>
      <c r="S193" s="11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</row>
    <row r="194" ht="3.75" hidden="1" customHeight="1">
      <c r="A194" s="191"/>
      <c r="B194" s="6"/>
      <c r="C194" s="192"/>
      <c r="D194" s="138"/>
      <c r="E194" s="223"/>
      <c r="F194" s="194"/>
      <c r="G194" s="194"/>
      <c r="H194" s="155"/>
      <c r="I194" s="210"/>
      <c r="J194" s="216"/>
      <c r="K194" s="222"/>
      <c r="L194" s="143"/>
      <c r="M194" s="144"/>
      <c r="N194" s="145"/>
      <c r="O194" s="145"/>
      <c r="P194" s="122"/>
      <c r="Q194" s="304" t="str">
        <f t="shared" si="2"/>
        <v/>
      </c>
      <c r="R194" s="214"/>
      <c r="S194" s="157"/>
      <c r="T194" s="5"/>
      <c r="U194" s="5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</row>
    <row r="195" ht="15.75" hidden="1" customHeight="1">
      <c r="A195" s="90"/>
      <c r="B195" s="6"/>
      <c r="C195" s="90"/>
      <c r="D195" s="185"/>
      <c r="E195" s="186"/>
      <c r="F195" s="187"/>
      <c r="G195" s="187"/>
      <c r="H195" s="195"/>
      <c r="I195" s="164"/>
      <c r="J195" s="189"/>
      <c r="K195" s="190"/>
      <c r="L195" s="183"/>
      <c r="M195" s="134" t="str">
        <f>I60</f>
        <v/>
      </c>
      <c r="N195" s="135" t="str">
        <f>iferror(mround($P60*((VLOOKUP($J195,Sheet1!$D:$N,$G195+1,FALSE)-0.03)),2.5)," ")</f>
        <v> </v>
      </c>
      <c r="O195" s="135" t="str">
        <f>iferror(mround($P60*((VLOOKUP($J195,Sheet1!$D:$N,$G195+1,FALSE)+0.02)),2.5)," ")</f>
        <v> </v>
      </c>
      <c r="P195" s="112" t="str">
        <f>iferror(mround(I195/VLOOKUP(L195,Sheet1!$D$7:$N$16,G195+1,FALSE),2.5),"")</f>
        <v/>
      </c>
      <c r="Q195" s="303" t="str">
        <f t="shared" si="2"/>
        <v/>
      </c>
      <c r="R195" s="214"/>
      <c r="S195" s="11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</row>
    <row r="196" ht="3.75" hidden="1" customHeight="1">
      <c r="A196" s="90"/>
      <c r="B196" s="6"/>
      <c r="C196" s="90"/>
      <c r="D196" s="138"/>
      <c r="E196" s="184"/>
      <c r="F196" s="102"/>
      <c r="G196" s="102"/>
      <c r="H196" s="102"/>
      <c r="I196" s="102"/>
      <c r="J196" s="156"/>
      <c r="K196" s="222"/>
      <c r="L196" s="143"/>
      <c r="M196" s="144"/>
      <c r="N196" s="145"/>
      <c r="O196" s="145"/>
      <c r="P196" s="122"/>
      <c r="Q196" s="304" t="str">
        <f t="shared" si="2"/>
        <v/>
      </c>
      <c r="R196" s="214"/>
      <c r="S196" s="11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</row>
    <row r="197" ht="15.75" hidden="1" customHeight="1">
      <c r="A197" s="90"/>
      <c r="B197" s="6"/>
      <c r="C197" s="90"/>
      <c r="D197" s="185"/>
      <c r="E197" s="224"/>
      <c r="F197" s="187"/>
      <c r="G197" s="187"/>
      <c r="H197" s="195"/>
      <c r="I197" s="164"/>
      <c r="J197" s="189"/>
      <c r="K197" s="190"/>
      <c r="L197" s="183"/>
      <c r="M197" s="134" t="str">
        <f>I62</f>
        <v/>
      </c>
      <c r="N197" s="135" t="str">
        <f>iferror(mround($P62*((VLOOKUP($J197,Sheet1!$D:$N,$G197+1,FALSE)-0.03)),2.5)," ")</f>
        <v> </v>
      </c>
      <c r="O197" s="135" t="str">
        <f>iferror(mround($P62*((VLOOKUP($J197,Sheet1!$D:$N,$G197+1,FALSE)+0.02)),2.5)," ")</f>
        <v> </v>
      </c>
      <c r="P197" s="112" t="str">
        <f>iferror(mround(I197/VLOOKUP(L197,Sheet1!$D$7:$N$16,G197+1,FALSE),2.5),"")</f>
        <v/>
      </c>
      <c r="Q197" s="303" t="str">
        <f t="shared" si="2"/>
        <v/>
      </c>
      <c r="R197" s="214"/>
      <c r="S197" s="11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</row>
    <row r="198" ht="3.75" hidden="1" customHeight="1">
      <c r="A198" s="191"/>
      <c r="B198" s="6"/>
      <c r="C198" s="192"/>
      <c r="D198" s="138"/>
      <c r="E198" s="193"/>
      <c r="F198" s="194"/>
      <c r="G198" s="194"/>
      <c r="H198" s="155"/>
      <c r="I198" s="210"/>
      <c r="J198" s="216"/>
      <c r="K198" s="222"/>
      <c r="L198" s="143"/>
      <c r="M198" s="144"/>
      <c r="N198" s="145"/>
      <c r="O198" s="145"/>
      <c r="P198" s="122"/>
      <c r="Q198" s="304" t="str">
        <f t="shared" si="2"/>
        <v/>
      </c>
      <c r="R198" s="214"/>
      <c r="S198" s="157"/>
      <c r="T198" s="5"/>
      <c r="U198" s="5"/>
      <c r="V198" s="158"/>
      <c r="W198" s="158"/>
      <c r="X198" s="158"/>
      <c r="Y198" s="158"/>
      <c r="Z198" s="158"/>
      <c r="AA198" s="158"/>
      <c r="AB198" s="158"/>
      <c r="AC198" s="158"/>
      <c r="AD198" s="158"/>
      <c r="AE198" s="158"/>
      <c r="AF198" s="158"/>
      <c r="AG198" s="158"/>
    </row>
    <row r="199" ht="15.75" hidden="1" customHeight="1">
      <c r="A199" s="90"/>
      <c r="B199" s="6"/>
      <c r="C199" s="90"/>
      <c r="D199" s="185"/>
      <c r="E199" s="186"/>
      <c r="F199" s="187"/>
      <c r="G199" s="187"/>
      <c r="H199" s="195"/>
      <c r="I199" s="164"/>
      <c r="J199" s="189"/>
      <c r="K199" s="190"/>
      <c r="L199" s="183"/>
      <c r="M199" s="134" t="str">
        <f>I64</f>
        <v/>
      </c>
      <c r="N199" s="135" t="str">
        <f>iferror(mround($P64*((VLOOKUP($J199,Sheet1!$D:$N,$G199+1,FALSE)-0.03)),2.5)," ")</f>
        <v> </v>
      </c>
      <c r="O199" s="135" t="str">
        <f>iferror(mround($P64*((VLOOKUP($J199,Sheet1!$D:$N,$G199+1,FALSE)+0.02)),2.5)," ")</f>
        <v> </v>
      </c>
      <c r="P199" s="112" t="str">
        <f>iferror(mround(I199/VLOOKUP(L199,Sheet1!$D$7:$N$16,G199+1,FALSE),2.5),"")</f>
        <v/>
      </c>
      <c r="Q199" s="303" t="str">
        <f t="shared" si="2"/>
        <v/>
      </c>
      <c r="R199" s="214"/>
      <c r="S199" s="11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</row>
    <row r="200" ht="3.75" hidden="1" customHeight="1">
      <c r="A200" s="90"/>
      <c r="B200" s="6"/>
      <c r="C200" s="90"/>
      <c r="D200" s="196"/>
      <c r="E200" s="184"/>
      <c r="F200" s="102"/>
      <c r="G200" s="102"/>
      <c r="H200" s="102"/>
      <c r="I200" s="102"/>
      <c r="J200" s="156"/>
      <c r="K200" s="222"/>
      <c r="L200" s="143"/>
      <c r="M200" s="144"/>
      <c r="N200" s="145"/>
      <c r="O200" s="145"/>
      <c r="P200" s="122"/>
      <c r="Q200" s="304" t="str">
        <f t="shared" si="2"/>
        <v/>
      </c>
      <c r="R200" s="214"/>
      <c r="S200" s="11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</row>
    <row r="201" ht="15.75" hidden="1" customHeight="1">
      <c r="A201" s="90"/>
      <c r="B201" s="6"/>
      <c r="C201" s="90"/>
      <c r="D201" s="197"/>
      <c r="E201" s="198"/>
      <c r="F201" s="199"/>
      <c r="G201" s="187"/>
      <c r="H201" s="195"/>
      <c r="I201" s="164"/>
      <c r="J201" s="189"/>
      <c r="K201" s="190"/>
      <c r="L201" s="183"/>
      <c r="M201" s="134" t="str">
        <f>I66</f>
        <v/>
      </c>
      <c r="N201" s="135" t="str">
        <f>iferror(mround($P66*((VLOOKUP($J201,Sheet1!$D:$N,$G201+1,FALSE)-0.03)),2.5)," ")</f>
        <v> </v>
      </c>
      <c r="O201" s="135" t="str">
        <f>iferror(mround($P66*((VLOOKUP($J201,Sheet1!$D:$N,$G201+1,FALSE)+0.02)),2.5)," ")</f>
        <v> </v>
      </c>
      <c r="P201" s="112" t="str">
        <f>iferror(mround(I201/VLOOKUP(L201,Sheet1!$D$7:$N$16,G201+1,FALSE),2.5),"")</f>
        <v/>
      </c>
      <c r="Q201" s="303" t="str">
        <f t="shared" si="2"/>
        <v/>
      </c>
      <c r="R201" s="214"/>
      <c r="S201" s="11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</row>
    <row r="202" ht="3.75" customHeight="1">
      <c r="A202" s="90"/>
      <c r="B202" s="6"/>
      <c r="C202" s="90"/>
      <c r="D202" s="90"/>
      <c r="E202" s="156"/>
      <c r="F202" s="102"/>
      <c r="G202" s="102"/>
      <c r="H202" s="102"/>
      <c r="I202" s="102"/>
      <c r="J202" s="156"/>
      <c r="K202" s="222"/>
      <c r="L202" s="201"/>
      <c r="M202" s="211"/>
      <c r="N202" s="47"/>
      <c r="O202" s="47"/>
      <c r="P202" s="122"/>
      <c r="Q202" s="304" t="str">
        <f t="shared" si="2"/>
        <v/>
      </c>
      <c r="R202" s="214"/>
      <c r="S202" s="11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</row>
    <row r="203" ht="30.75" customHeight="1">
      <c r="A203" s="90"/>
      <c r="B203" s="6"/>
      <c r="C203" s="90"/>
      <c r="D203" s="202" t="s">
        <v>49</v>
      </c>
      <c r="E203" s="105" t="s">
        <v>89</v>
      </c>
      <c r="F203" s="106" t="s">
        <v>16</v>
      </c>
      <c r="G203" s="106" t="s">
        <v>17</v>
      </c>
      <c r="H203" s="107"/>
      <c r="I203" s="106" t="s">
        <v>18</v>
      </c>
      <c r="J203" s="108" t="s">
        <v>19</v>
      </c>
      <c r="L203" s="109" t="s">
        <v>20</v>
      </c>
      <c r="M203" s="110" t="s">
        <v>21</v>
      </c>
      <c r="N203" s="111" t="s">
        <v>22</v>
      </c>
      <c r="P203" s="112"/>
      <c r="Q203" s="113" t="s">
        <v>23</v>
      </c>
      <c r="R203" s="114" t="s">
        <v>50</v>
      </c>
      <c r="S203" s="11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</row>
    <row r="204" ht="14.25" customHeight="1">
      <c r="A204" s="90"/>
      <c r="B204" s="6"/>
      <c r="C204" s="90"/>
      <c r="D204" s="116">
        <v>4.0</v>
      </c>
      <c r="E204" s="117">
        <v>3.0</v>
      </c>
      <c r="H204" s="107"/>
      <c r="N204" s="111" t="s">
        <v>27</v>
      </c>
      <c r="O204" s="111" t="s">
        <v>28</v>
      </c>
      <c r="P204" s="112" t="s">
        <v>29</v>
      </c>
      <c r="R204" s="118" t="s">
        <v>30</v>
      </c>
      <c r="S204" s="11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</row>
    <row r="205" ht="3.75" customHeight="1">
      <c r="A205" s="191"/>
      <c r="B205" s="6"/>
      <c r="C205" s="192"/>
      <c r="D205" s="203"/>
      <c r="E205" s="203"/>
      <c r="F205" s="205"/>
      <c r="G205" s="205"/>
      <c r="H205" s="205"/>
      <c r="I205" s="225"/>
      <c r="J205" s="226"/>
      <c r="K205" s="209"/>
      <c r="L205" s="210"/>
      <c r="M205" s="211"/>
      <c r="N205" s="47"/>
      <c r="O205" s="47"/>
      <c r="P205" s="122"/>
      <c r="Q205" s="304" t="str">
        <f t="shared" ref="Q205:Q225" si="3">IF(OR(ISBLANK(I205), ISBLANK(I70)), "", IF(I205 - I70 = 0, "", I205 - I70))</f>
        <v/>
      </c>
      <c r="R205" s="212"/>
      <c r="S205" s="157"/>
      <c r="T205" s="5"/>
      <c r="U205" s="5"/>
      <c r="V205" s="158"/>
      <c r="W205" s="158"/>
      <c r="X205" s="158"/>
      <c r="Y205" s="158"/>
      <c r="Z205" s="158"/>
      <c r="AA205" s="158"/>
      <c r="AB205" s="158"/>
      <c r="AC205" s="158"/>
      <c r="AD205" s="158"/>
      <c r="AE205" s="158"/>
      <c r="AF205" s="158"/>
      <c r="AG205" s="158"/>
    </row>
    <row r="206" ht="15.75" customHeight="1">
      <c r="A206" s="124"/>
      <c r="B206" s="6"/>
      <c r="C206" s="124"/>
      <c r="D206" s="125" t="s">
        <v>90</v>
      </c>
      <c r="E206" s="126"/>
      <c r="F206" s="127">
        <v>1.0</v>
      </c>
      <c r="G206" s="240">
        <v>4.0</v>
      </c>
      <c r="H206" s="129"/>
      <c r="I206" s="130">
        <v>424.0</v>
      </c>
      <c r="J206" s="151">
        <v>7.0</v>
      </c>
      <c r="K206" s="213"/>
      <c r="L206" s="133">
        <v>7.5</v>
      </c>
      <c r="M206" s="134">
        <f>I71</f>
        <v>408</v>
      </c>
      <c r="N206" s="135">
        <f>iferror(mround($P71*((VLOOKUP($J206,Sheet1!$D:$N,$G206+1,FALSE)-0.03)),2.5)," ")</f>
        <v>397.5</v>
      </c>
      <c r="O206" s="135">
        <f>iferror(mround($P71*((VLOOKUP($J206,Sheet1!$D:$N,$G206+1,FALSE)+0.02)),2.5)," ")</f>
        <v>425</v>
      </c>
      <c r="P206" s="112">
        <f>iferror(mround(I206/VLOOKUP(L206,Sheet1!$D$7:$N$16,G206+1,FALSE),2.5),"")</f>
        <v>512.5</v>
      </c>
      <c r="Q206" s="303">
        <f t="shared" si="3"/>
        <v>16</v>
      </c>
      <c r="R206" s="214"/>
      <c r="S206" s="11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</row>
    <row r="207" ht="3.75" customHeight="1">
      <c r="A207" s="124"/>
      <c r="B207" s="6"/>
      <c r="C207" s="124"/>
      <c r="D207" s="138"/>
      <c r="E207" s="139"/>
      <c r="F207" s="140"/>
      <c r="G207" s="140"/>
      <c r="H207" s="140"/>
      <c r="I207" s="140"/>
      <c r="J207" s="141"/>
      <c r="K207" s="217"/>
      <c r="L207" s="218"/>
      <c r="M207" s="144"/>
      <c r="N207" s="145"/>
      <c r="O207" s="145"/>
      <c r="P207" s="122"/>
      <c r="Q207" s="304" t="str">
        <f t="shared" si="3"/>
        <v/>
      </c>
      <c r="R207" s="214"/>
      <c r="S207" s="11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</row>
    <row r="208" ht="15.75" customHeight="1">
      <c r="A208" s="90"/>
      <c r="B208" s="6"/>
      <c r="C208" s="90"/>
      <c r="D208" s="125" t="s">
        <v>77</v>
      </c>
      <c r="E208" s="126"/>
      <c r="F208" s="127">
        <v>4.0</v>
      </c>
      <c r="G208" s="240">
        <v>5.0</v>
      </c>
      <c r="H208" s="129"/>
      <c r="I208" s="164">
        <f>MROUND(I206*(1+J208),5)</f>
        <v>375</v>
      </c>
      <c r="J208" s="165">
        <v>-0.12</v>
      </c>
      <c r="K208" s="213"/>
      <c r="L208" s="133">
        <v>6.0</v>
      </c>
      <c r="M208" s="134">
        <f>I73</f>
        <v>365</v>
      </c>
      <c r="N208" s="135" t="str">
        <f>iferror(mround($P73*((VLOOKUP($J208,Sheet1!$D:$N,$G208+1,FALSE)-0.03)),2.5)," ")</f>
        <v> </v>
      </c>
      <c r="O208" s="135" t="str">
        <f>iferror(mround($P73*((VLOOKUP($J208,Sheet1!$D:$N,$G208+1,FALSE)+0.02)),2.5)," ")</f>
        <v> </v>
      </c>
      <c r="P208" s="112">
        <f>iferror(mround(I208/VLOOKUP(L208,Sheet1!$D$7:$N$16,G208+1,FALSE),2.5),"")</f>
        <v>490</v>
      </c>
      <c r="Q208" s="303">
        <f t="shared" si="3"/>
        <v>10</v>
      </c>
      <c r="R208" s="214"/>
      <c r="S208" s="11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</row>
    <row r="209" ht="3.75" customHeight="1">
      <c r="A209" s="90"/>
      <c r="B209" s="6"/>
      <c r="C209" s="90"/>
      <c r="D209" s="138"/>
      <c r="E209" s="215"/>
      <c r="F209" s="102"/>
      <c r="G209" s="102"/>
      <c r="H209" s="102"/>
      <c r="I209" s="102"/>
      <c r="J209" s="156"/>
      <c r="K209" s="217"/>
      <c r="L209" s="218"/>
      <c r="M209" s="144"/>
      <c r="N209" s="145"/>
      <c r="O209" s="145"/>
      <c r="P209" s="122"/>
      <c r="Q209" s="304" t="str">
        <f t="shared" si="3"/>
        <v/>
      </c>
      <c r="R209" s="214"/>
      <c r="S209" s="11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</row>
    <row r="210" ht="15.75" customHeight="1">
      <c r="A210" s="90"/>
      <c r="B210" s="6"/>
      <c r="C210" s="90"/>
      <c r="D210" s="159" t="s">
        <v>33</v>
      </c>
      <c r="E210" s="160" t="s">
        <v>34</v>
      </c>
      <c r="F210" s="127">
        <v>3.0</v>
      </c>
      <c r="G210" s="161">
        <v>2.0</v>
      </c>
      <c r="H210" s="129"/>
      <c r="I210" s="130">
        <v>275.0</v>
      </c>
      <c r="J210" s="151">
        <v>7.0</v>
      </c>
      <c r="K210" s="219" t="s">
        <v>91</v>
      </c>
      <c r="L210" s="133">
        <v>7.0</v>
      </c>
      <c r="M210" s="134">
        <f>I75</f>
        <v>270</v>
      </c>
      <c r="N210" s="135">
        <f>iferror(mround($P75*((VLOOKUP($J210,Sheet1!$D:$N,$G210+1,FALSE)-0.03)),2.5)," ")</f>
        <v>260</v>
      </c>
      <c r="O210" s="135">
        <f>iferror(mround($P75*((VLOOKUP($J210,Sheet1!$D:$N,$G210+1,FALSE)+0.02)),2.5)," ")</f>
        <v>277.5</v>
      </c>
      <c r="P210" s="112">
        <f>iferror(mround(I210/VLOOKUP(L210,Sheet1!$D$7:$N$16,G210+1,FALSE),2.5),"")</f>
        <v>317.5</v>
      </c>
      <c r="Q210" s="303">
        <f t="shared" si="3"/>
        <v>5</v>
      </c>
      <c r="R210" s="214"/>
      <c r="S210" s="11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</row>
    <row r="211" ht="3.75" customHeight="1">
      <c r="A211" s="90"/>
      <c r="B211" s="6"/>
      <c r="C211" s="90"/>
      <c r="D211" s="138"/>
      <c r="E211" s="154"/>
      <c r="F211" s="155"/>
      <c r="G211" s="102"/>
      <c r="H211" s="102"/>
      <c r="I211" s="102"/>
      <c r="J211" s="156"/>
      <c r="K211" s="217"/>
      <c r="L211" s="218"/>
      <c r="M211" s="144"/>
      <c r="N211" s="145"/>
      <c r="O211" s="145"/>
      <c r="P211" s="122"/>
      <c r="Q211" s="304" t="str">
        <f t="shared" si="3"/>
        <v/>
      </c>
      <c r="R211" s="214"/>
      <c r="S211" s="11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</row>
    <row r="212" ht="15.75" customHeight="1">
      <c r="A212" s="90"/>
      <c r="B212" s="6"/>
      <c r="C212" s="90"/>
      <c r="D212" s="159" t="s">
        <v>45</v>
      </c>
      <c r="E212" s="220"/>
      <c r="F212" s="127">
        <v>3.0</v>
      </c>
      <c r="G212" s="127" t="s">
        <v>41</v>
      </c>
      <c r="H212" s="195"/>
      <c r="I212" s="164"/>
      <c r="J212" s="151"/>
      <c r="K212" s="213"/>
      <c r="L212" s="183"/>
      <c r="M212" s="134" t="str">
        <f>I77</f>
        <v/>
      </c>
      <c r="N212" s="135" t="str">
        <f>iferror(mround($P77*((VLOOKUP($J212,Sheet1!$D:$N,$G212+1,FALSE)-0.03)),2.5)," ")</f>
        <v> </v>
      </c>
      <c r="O212" s="135" t="str">
        <f>iferror(mround($P77*((VLOOKUP($J212,Sheet1!$D:$N,$G212+1,FALSE)+0.02)),2.5)," ")</f>
        <v> </v>
      </c>
      <c r="P212" s="112" t="str">
        <f>iferror(mround(I212/VLOOKUP(L212,Sheet1!$D$7:$N$16,G212+1,FALSE),2.5),"")</f>
        <v/>
      </c>
      <c r="Q212" s="303" t="str">
        <f t="shared" si="3"/>
        <v/>
      </c>
      <c r="R212" s="214"/>
      <c r="S212" s="11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</row>
    <row r="213" ht="3.75" customHeight="1">
      <c r="A213" s="90"/>
      <c r="B213" s="6"/>
      <c r="C213" s="90"/>
      <c r="D213" s="138"/>
      <c r="E213" s="215"/>
      <c r="F213" s="102"/>
      <c r="G213" s="102"/>
      <c r="H213" s="102"/>
      <c r="I213" s="102"/>
      <c r="J213" s="156"/>
      <c r="K213" s="217"/>
      <c r="L213" s="218"/>
      <c r="M213" s="144"/>
      <c r="N213" s="145"/>
      <c r="O213" s="145"/>
      <c r="P213" s="122"/>
      <c r="Q213" s="304" t="str">
        <f t="shared" si="3"/>
        <v/>
      </c>
      <c r="R213" s="214"/>
      <c r="S213" s="11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</row>
    <row r="214" ht="15.75" customHeight="1">
      <c r="A214" s="90"/>
      <c r="B214" s="6"/>
      <c r="C214" s="90"/>
      <c r="D214" s="159" t="s">
        <v>94</v>
      </c>
      <c r="E214" s="220"/>
      <c r="F214" s="127">
        <v>3.0</v>
      </c>
      <c r="G214" s="221">
        <v>45641.0</v>
      </c>
      <c r="H214" s="195"/>
      <c r="I214" s="130">
        <v>20.0</v>
      </c>
      <c r="J214" s="151">
        <v>9.0</v>
      </c>
      <c r="K214" s="213"/>
      <c r="L214" s="133">
        <v>9.0</v>
      </c>
      <c r="M214" s="134">
        <f>I79</f>
        <v>15</v>
      </c>
      <c r="N214" s="135" t="str">
        <f>iferror(mround($P79*((VLOOKUP($J214,Sheet1!$D:$N,$G214+1,FALSE)-0.03)),2.5)," ")</f>
        <v> </v>
      </c>
      <c r="O214" s="135" t="str">
        <f>iferror(mround($P79*((VLOOKUP($J214,Sheet1!$D:$N,$G214+1,FALSE)+0.02)),2.5)," ")</f>
        <v> </v>
      </c>
      <c r="P214" s="112" t="str">
        <f>iferror(mround(I214/VLOOKUP(L214,Sheet1!$D$7:$N$16,G214+1,FALSE),2.5),"")</f>
        <v/>
      </c>
      <c r="Q214" s="303">
        <f t="shared" si="3"/>
        <v>5</v>
      </c>
      <c r="R214" s="214"/>
      <c r="S214" s="11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</row>
    <row r="215" ht="3.75" customHeight="1">
      <c r="A215" s="90"/>
      <c r="B215" s="6"/>
      <c r="C215" s="90"/>
      <c r="D215" s="138"/>
      <c r="E215" s="215"/>
      <c r="F215" s="102"/>
      <c r="G215" s="102"/>
      <c r="H215" s="102"/>
      <c r="I215" s="102"/>
      <c r="J215" s="156"/>
      <c r="K215" s="222"/>
      <c r="L215" s="218"/>
      <c r="M215" s="144"/>
      <c r="N215" s="145"/>
      <c r="O215" s="145"/>
      <c r="P215" s="122"/>
      <c r="Q215" s="304" t="str">
        <f t="shared" si="3"/>
        <v/>
      </c>
      <c r="R215" s="214"/>
      <c r="S215" s="11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</row>
    <row r="216" ht="15.75" hidden="1" customHeight="1">
      <c r="A216" s="90"/>
      <c r="B216" s="6"/>
      <c r="C216" s="90"/>
      <c r="D216" s="185"/>
      <c r="E216" s="220"/>
      <c r="F216" s="187"/>
      <c r="G216" s="229"/>
      <c r="H216" s="195"/>
      <c r="I216" s="164"/>
      <c r="J216" s="189"/>
      <c r="K216" s="190"/>
      <c r="L216" s="183"/>
      <c r="M216" s="134" t="str">
        <f>I81</f>
        <v/>
      </c>
      <c r="N216" s="135" t="str">
        <f>iferror(mround($P81*((VLOOKUP($J216,Sheet1!$D:$N,$G216+1,FALSE)-0.03)),2.5)," ")</f>
        <v> </v>
      </c>
      <c r="O216" s="135" t="str">
        <f>iferror(mround($P81*((VLOOKUP($J216,Sheet1!$D:$N,$G216+1,FALSE)+0.02)),2.5)," ")</f>
        <v> </v>
      </c>
      <c r="P216" s="112" t="str">
        <f>iferror(mround(I216/VLOOKUP(L216,Sheet1!$D$7:$N$16,G216+1,FALSE),2.5),"")</f>
        <v/>
      </c>
      <c r="Q216" s="303" t="str">
        <f t="shared" si="3"/>
        <v/>
      </c>
      <c r="R216" s="214"/>
      <c r="S216" s="11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</row>
    <row r="217" ht="3.75" hidden="1" customHeight="1">
      <c r="A217" s="90"/>
      <c r="B217" s="6"/>
      <c r="C217" s="90"/>
      <c r="D217" s="138"/>
      <c r="E217" s="215"/>
      <c r="F217" s="102"/>
      <c r="G217" s="102"/>
      <c r="H217" s="102"/>
      <c r="I217" s="102"/>
      <c r="J217" s="216"/>
      <c r="K217" s="222"/>
      <c r="L217" s="218"/>
      <c r="M217" s="144"/>
      <c r="N217" s="145"/>
      <c r="O217" s="145"/>
      <c r="P217" s="122"/>
      <c r="Q217" s="304" t="str">
        <f t="shared" si="3"/>
        <v/>
      </c>
      <c r="R217" s="214"/>
      <c r="S217" s="11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</row>
    <row r="218" ht="15.75" hidden="1" customHeight="1">
      <c r="A218" s="90"/>
      <c r="B218" s="6"/>
      <c r="C218" s="90"/>
      <c r="D218" s="185"/>
      <c r="E218" s="220"/>
      <c r="F218" s="187"/>
      <c r="G218" s="229"/>
      <c r="H218" s="195"/>
      <c r="I218" s="164"/>
      <c r="J218" s="189"/>
      <c r="K218" s="190"/>
      <c r="L218" s="183"/>
      <c r="M218" s="134" t="str">
        <f>I83</f>
        <v/>
      </c>
      <c r="N218" s="135" t="str">
        <f>iferror(mround($P83*((VLOOKUP($J218,Sheet1!$D:$N,$G218+1,FALSE)-0.03)),2.5)," ")</f>
        <v> </v>
      </c>
      <c r="O218" s="135" t="str">
        <f>iferror(mround($P83*((VLOOKUP($J218,Sheet1!$D:$N,$G218+1,FALSE)+0.02)),2.5)," ")</f>
        <v> </v>
      </c>
      <c r="P218" s="112" t="str">
        <f>iferror(mround(I218/VLOOKUP(L218,Sheet1!$D$7:$N$16,G218+1,FALSE),2.5),"")</f>
        <v/>
      </c>
      <c r="Q218" s="303" t="str">
        <f t="shared" si="3"/>
        <v/>
      </c>
      <c r="R218" s="214"/>
      <c r="S218" s="11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</row>
    <row r="219" ht="3.75" hidden="1" customHeight="1">
      <c r="A219" s="191"/>
      <c r="B219" s="6"/>
      <c r="C219" s="192"/>
      <c r="D219" s="138"/>
      <c r="E219" s="184"/>
      <c r="F219" s="102"/>
      <c r="G219" s="102"/>
      <c r="H219" s="102"/>
      <c r="I219" s="102"/>
      <c r="J219" s="156"/>
      <c r="K219" s="222"/>
      <c r="L219" s="218"/>
      <c r="M219" s="144"/>
      <c r="N219" s="145"/>
      <c r="O219" s="145"/>
      <c r="P219" s="122"/>
      <c r="Q219" s="304" t="str">
        <f t="shared" si="3"/>
        <v/>
      </c>
      <c r="R219" s="214"/>
      <c r="S219" s="157"/>
      <c r="T219" s="5"/>
      <c r="U219" s="5"/>
      <c r="V219" s="158"/>
      <c r="W219" s="158"/>
      <c r="X219" s="158"/>
      <c r="Y219" s="158"/>
      <c r="Z219" s="158"/>
      <c r="AA219" s="158"/>
      <c r="AB219" s="158"/>
      <c r="AC219" s="158"/>
      <c r="AD219" s="158"/>
      <c r="AE219" s="158"/>
      <c r="AF219" s="158"/>
      <c r="AG219" s="158"/>
    </row>
    <row r="220" ht="15.75" hidden="1" customHeight="1">
      <c r="A220" s="90"/>
      <c r="B220" s="6"/>
      <c r="C220" s="90"/>
      <c r="D220" s="185"/>
      <c r="E220" s="224"/>
      <c r="F220" s="187"/>
      <c r="G220" s="187"/>
      <c r="H220" s="195"/>
      <c r="I220" s="164"/>
      <c r="J220" s="230"/>
      <c r="K220" s="190"/>
      <c r="L220" s="183"/>
      <c r="M220" s="134" t="str">
        <f>I85</f>
        <v/>
      </c>
      <c r="N220" s="135" t="str">
        <f>iferror(mround($P85*((VLOOKUP($J220,Sheet1!$D:$N,$G220+1,FALSE)-0.03)),2.5)," ")</f>
        <v> </v>
      </c>
      <c r="O220" s="135" t="str">
        <f>iferror(mround($P85*((VLOOKUP($J220,Sheet1!$D:$N,$G220+1,FALSE)+0.02)),2.5)," ")</f>
        <v> </v>
      </c>
      <c r="P220" s="112" t="str">
        <f>iferror(mround(I220/VLOOKUP(L220,Sheet1!$D$7:$N$16,G220+1,FALSE),2.5),"")</f>
        <v/>
      </c>
      <c r="Q220" s="303" t="str">
        <f t="shared" si="3"/>
        <v/>
      </c>
      <c r="R220" s="214"/>
      <c r="S220" s="11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</row>
    <row r="221" ht="3.75" hidden="1" customHeight="1">
      <c r="A221" s="90"/>
      <c r="B221" s="6"/>
      <c r="C221" s="90"/>
      <c r="D221" s="138"/>
      <c r="E221" s="184"/>
      <c r="F221" s="102"/>
      <c r="G221" s="102"/>
      <c r="H221" s="102"/>
      <c r="I221" s="102"/>
      <c r="J221" s="156"/>
      <c r="K221" s="222"/>
      <c r="L221" s="218"/>
      <c r="M221" s="144"/>
      <c r="N221" s="145"/>
      <c r="O221" s="145"/>
      <c r="P221" s="122"/>
      <c r="Q221" s="304" t="str">
        <f t="shared" si="3"/>
        <v/>
      </c>
      <c r="R221" s="214"/>
      <c r="S221" s="11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</row>
    <row r="222" ht="15.75" hidden="1" customHeight="1">
      <c r="A222" s="90"/>
      <c r="B222" s="6"/>
      <c r="C222" s="90"/>
      <c r="D222" s="231"/>
      <c r="E222" s="232"/>
      <c r="F222" s="187"/>
      <c r="G222" s="187"/>
      <c r="H222" s="195"/>
      <c r="I222" s="164"/>
      <c r="J222" s="230"/>
      <c r="K222" s="190"/>
      <c r="L222" s="183"/>
      <c r="M222" s="134" t="str">
        <f>I87</f>
        <v/>
      </c>
      <c r="N222" s="135" t="str">
        <f>iferror(mround($P87*((VLOOKUP($J222,Sheet1!$D:$N,$G222+1,FALSE)-0.03)),2.5)," ")</f>
        <v> </v>
      </c>
      <c r="O222" s="135" t="str">
        <f>iferror(mround($P87*((VLOOKUP($J222,Sheet1!$D:$N,$G222+1,FALSE)+0.02)),2.5)," ")</f>
        <v> </v>
      </c>
      <c r="P222" s="112" t="str">
        <f>iferror(mround(I222/VLOOKUP(L222,Sheet1!$D$7:$N$16,G222+1,FALSE),2.5),"")</f>
        <v/>
      </c>
      <c r="Q222" s="303" t="str">
        <f t="shared" si="3"/>
        <v/>
      </c>
      <c r="R222" s="214"/>
      <c r="S222" s="11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</row>
    <row r="223" ht="3.75" hidden="1" customHeight="1">
      <c r="A223" s="191"/>
      <c r="B223" s="6"/>
      <c r="C223" s="233"/>
      <c r="D223" s="234"/>
      <c r="E223" s="235"/>
      <c r="F223" s="236"/>
      <c r="G223" s="194"/>
      <c r="H223" s="155"/>
      <c r="I223" s="210"/>
      <c r="J223" s="216"/>
      <c r="K223" s="222"/>
      <c r="L223" s="218"/>
      <c r="M223" s="144"/>
      <c r="N223" s="145"/>
      <c r="O223" s="145"/>
      <c r="P223" s="122"/>
      <c r="Q223" s="304" t="str">
        <f t="shared" si="3"/>
        <v/>
      </c>
      <c r="R223" s="214"/>
      <c r="S223" s="157"/>
      <c r="T223" s="5"/>
      <c r="U223" s="5"/>
      <c r="V223" s="158"/>
      <c r="W223" s="158"/>
      <c r="X223" s="158"/>
      <c r="Y223" s="158"/>
      <c r="Z223" s="158"/>
      <c r="AA223" s="158"/>
      <c r="AB223" s="158"/>
      <c r="AC223" s="158"/>
      <c r="AD223" s="158"/>
      <c r="AE223" s="158"/>
      <c r="AF223" s="158"/>
      <c r="AG223" s="158"/>
    </row>
    <row r="224" ht="15.75" hidden="1" customHeight="1">
      <c r="A224" s="90"/>
      <c r="B224" s="6"/>
      <c r="C224" s="90"/>
      <c r="D224" s="197"/>
      <c r="E224" s="198"/>
      <c r="F224" s="199"/>
      <c r="G224" s="187"/>
      <c r="H224" s="195"/>
      <c r="I224" s="164"/>
      <c r="J224" s="189"/>
      <c r="K224" s="190"/>
      <c r="L224" s="183"/>
      <c r="M224" s="134" t="str">
        <f>I89</f>
        <v/>
      </c>
      <c r="N224" s="135" t="str">
        <f>iferror(mround($P89*((VLOOKUP($J224,Sheet1!$D:$N,$G224+1,FALSE)-0.03)),2.5)," ")</f>
        <v> </v>
      </c>
      <c r="O224" s="135" t="str">
        <f>iferror(mround($P89*((VLOOKUP($J224,Sheet1!$D:$N,$G224+1,FALSE)+0.02)),2.5)," ")</f>
        <v> </v>
      </c>
      <c r="P224" s="112" t="str">
        <f>iferror(mround(I224/VLOOKUP(L224,Sheet1!$D$7:$N$16,G224+1,FALSE),2.5),"")</f>
        <v/>
      </c>
      <c r="Q224" s="303" t="str">
        <f t="shared" si="3"/>
        <v/>
      </c>
      <c r="R224" s="214"/>
      <c r="S224" s="11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</row>
    <row r="225" ht="3.75" customHeight="1">
      <c r="A225" s="90"/>
      <c r="B225" s="6"/>
      <c r="C225" s="90"/>
      <c r="D225" s="90"/>
      <c r="E225" s="156"/>
      <c r="F225" s="102"/>
      <c r="G225" s="102"/>
      <c r="H225" s="102"/>
      <c r="I225" s="102"/>
      <c r="J225" s="156"/>
      <c r="K225" s="200"/>
      <c r="L225" s="201"/>
      <c r="M225" s="211"/>
      <c r="N225" s="47"/>
      <c r="O225" s="47"/>
      <c r="P225" s="122"/>
      <c r="Q225" s="304" t="str">
        <f t="shared" si="3"/>
        <v/>
      </c>
      <c r="R225" s="214"/>
      <c r="S225" s="11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</row>
    <row r="226" ht="30.0" customHeight="1">
      <c r="A226" s="90"/>
      <c r="B226" s="6"/>
      <c r="C226" s="90"/>
      <c r="D226" s="202" t="s">
        <v>55</v>
      </c>
      <c r="E226" s="105" t="s">
        <v>106</v>
      </c>
      <c r="F226" s="106" t="s">
        <v>16</v>
      </c>
      <c r="G226" s="106" t="s">
        <v>17</v>
      </c>
      <c r="H226" s="107"/>
      <c r="I226" s="106" t="s">
        <v>18</v>
      </c>
      <c r="J226" s="108" t="s">
        <v>19</v>
      </c>
      <c r="L226" s="109" t="s">
        <v>20</v>
      </c>
      <c r="M226" s="110" t="s">
        <v>21</v>
      </c>
      <c r="N226" s="111" t="s">
        <v>22</v>
      </c>
      <c r="P226" s="112"/>
      <c r="Q226" s="113" t="s">
        <v>23</v>
      </c>
      <c r="R226" s="114" t="s">
        <v>56</v>
      </c>
      <c r="S226" s="11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</row>
    <row r="227" ht="14.25" customHeight="1">
      <c r="A227" s="90"/>
      <c r="B227" s="6"/>
      <c r="C227" s="90"/>
      <c r="D227" s="116">
        <v>3.0</v>
      </c>
      <c r="E227" s="117">
        <v>3.0</v>
      </c>
      <c r="H227" s="107"/>
      <c r="N227" s="111" t="s">
        <v>27</v>
      </c>
      <c r="O227" s="111" t="s">
        <v>28</v>
      </c>
      <c r="P227" s="112" t="s">
        <v>29</v>
      </c>
      <c r="R227" s="118" t="s">
        <v>30</v>
      </c>
      <c r="S227" s="11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</row>
    <row r="228" ht="3.75" customHeight="1">
      <c r="A228" s="191"/>
      <c r="B228" s="6"/>
      <c r="C228" s="192"/>
      <c r="D228" s="203"/>
      <c r="E228" s="204"/>
      <c r="F228" s="205"/>
      <c r="G228" s="205"/>
      <c r="H228" s="205"/>
      <c r="I228" s="225"/>
      <c r="J228" s="237"/>
      <c r="K228" s="209"/>
      <c r="L228" s="238"/>
      <c r="M228" s="211"/>
      <c r="N228" s="47"/>
      <c r="O228" s="47"/>
      <c r="P228" s="122"/>
      <c r="Q228" s="304" t="str">
        <f t="shared" ref="Q228:Q248" si="4">IF(OR(ISBLANK(I228), ISBLANK(I93)), "", IF(I228 - I93 = 0, "", I228 - I93))</f>
        <v/>
      </c>
      <c r="R228" s="239"/>
      <c r="S228" s="157"/>
      <c r="T228" s="5"/>
      <c r="U228" s="5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</row>
    <row r="229" ht="15.75" customHeight="1">
      <c r="A229" s="124"/>
      <c r="B229" s="6"/>
      <c r="C229" s="124"/>
      <c r="D229" s="125" t="s">
        <v>97</v>
      </c>
      <c r="E229" s="126"/>
      <c r="F229" s="127">
        <v>1.0</v>
      </c>
      <c r="G229" s="240">
        <v>4.0</v>
      </c>
      <c r="H229" s="129"/>
      <c r="I229" s="130">
        <v>513.0</v>
      </c>
      <c r="J229" s="151">
        <v>6.5</v>
      </c>
      <c r="K229" s="241"/>
      <c r="L229" s="130">
        <v>6.5</v>
      </c>
      <c r="M229" s="134">
        <f>I94</f>
        <v>485</v>
      </c>
      <c r="N229" s="135">
        <f>iferror(mround($P94*((VLOOKUP($J229,Sheet1!$D:$N,$G229+1,FALSE)-0.03)),2.5)," ")</f>
        <v>475</v>
      </c>
      <c r="O229" s="135">
        <f>iferror(mround($P94*((VLOOKUP($J229,Sheet1!$D:$N,$G229+1,FALSE)+0.02)),2.5)," ")</f>
        <v>505</v>
      </c>
      <c r="P229" s="112">
        <f>iferror(mround(I229/VLOOKUP(L229,Sheet1!$D$7:$N$16,G229+1,FALSE),2.5),"")</f>
        <v>640</v>
      </c>
      <c r="Q229" s="303">
        <f t="shared" si="4"/>
        <v>28</v>
      </c>
      <c r="R229" s="242"/>
      <c r="S229" s="11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</row>
    <row r="230" ht="3.75" customHeight="1">
      <c r="A230" s="124"/>
      <c r="B230" s="6"/>
      <c r="C230" s="124"/>
      <c r="D230" s="138"/>
      <c r="E230" s="139"/>
      <c r="F230" s="140"/>
      <c r="G230" s="140"/>
      <c r="H230" s="140"/>
      <c r="I230" s="140"/>
      <c r="J230" s="141"/>
      <c r="K230" s="243"/>
      <c r="L230" s="210"/>
      <c r="M230" s="144"/>
      <c r="N230" s="145"/>
      <c r="O230" s="145"/>
      <c r="P230" s="122"/>
      <c r="Q230" s="304" t="str">
        <f t="shared" si="4"/>
        <v/>
      </c>
      <c r="R230" s="242"/>
      <c r="S230" s="11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</row>
    <row r="231" ht="15.0" customHeight="1">
      <c r="A231" s="124"/>
      <c r="B231" s="6"/>
      <c r="C231" s="124"/>
      <c r="D231" s="125" t="s">
        <v>97</v>
      </c>
      <c r="E231" s="126"/>
      <c r="F231" s="127">
        <v>3.0</v>
      </c>
      <c r="G231" s="240">
        <v>4.0</v>
      </c>
      <c r="H231" s="129"/>
      <c r="I231" s="164">
        <f>MROUND(I229*(1+J231),5)</f>
        <v>460</v>
      </c>
      <c r="J231" s="165">
        <v>-0.1</v>
      </c>
      <c r="K231" s="241"/>
      <c r="L231" s="130">
        <v>6.0</v>
      </c>
      <c r="M231" s="134">
        <f>I96</f>
        <v>435</v>
      </c>
      <c r="N231" s="135" t="str">
        <f>iferror(mround($P96*((VLOOKUP($J231,Sheet1!$D:$N,$G231+1,FALSE)-0.03)),2.5)," ")</f>
        <v> </v>
      </c>
      <c r="O231" s="135" t="str">
        <f>iferror(mround($P96*((VLOOKUP($J231,Sheet1!$D:$N,$G231+1,FALSE)+0.02)),2.5)," ")</f>
        <v> </v>
      </c>
      <c r="P231" s="112">
        <f>iferror(mround(I231/VLOOKUP(L231,Sheet1!$D$7:$N$16,G231+1,FALSE),2.5),"")</f>
        <v>582.5</v>
      </c>
      <c r="Q231" s="303">
        <f t="shared" si="4"/>
        <v>25</v>
      </c>
      <c r="R231" s="242"/>
      <c r="S231" s="11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</row>
    <row r="232" ht="3.75" customHeight="1">
      <c r="A232" s="124"/>
      <c r="B232" s="6"/>
      <c r="C232" s="124"/>
      <c r="D232" s="138"/>
      <c r="E232" s="215"/>
      <c r="F232" s="102"/>
      <c r="G232" s="102"/>
      <c r="H232" s="102"/>
      <c r="I232" s="102"/>
      <c r="J232" s="156"/>
      <c r="K232" s="243"/>
      <c r="L232" s="210"/>
      <c r="M232" s="144"/>
      <c r="N232" s="145"/>
      <c r="O232" s="145"/>
      <c r="P232" s="122"/>
      <c r="Q232" s="304" t="str">
        <f t="shared" si="4"/>
        <v/>
      </c>
      <c r="R232" s="242"/>
      <c r="S232" s="11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</row>
    <row r="233" ht="15.75" customHeight="1">
      <c r="A233" s="124"/>
      <c r="B233" s="6"/>
      <c r="C233" s="124"/>
      <c r="D233" s="159" t="s">
        <v>33</v>
      </c>
      <c r="E233" s="126"/>
      <c r="F233" s="127">
        <v>2.0</v>
      </c>
      <c r="G233" s="161">
        <v>1.0</v>
      </c>
      <c r="H233" s="129"/>
      <c r="I233" s="130">
        <v>320.0</v>
      </c>
      <c r="J233" s="151">
        <v>7.0</v>
      </c>
      <c r="K233" s="244" t="s">
        <v>98</v>
      </c>
      <c r="L233" s="130">
        <v>7.0</v>
      </c>
      <c r="M233" s="134">
        <f>I98</f>
        <v>308</v>
      </c>
      <c r="N233" s="135">
        <f>iferror(mround($P98*((VLOOKUP($J233,Sheet1!$D:$N,$G233+1,FALSE)-0.03)),2.5)," ")</f>
        <v>305</v>
      </c>
      <c r="O233" s="135">
        <f>iferror(mround($P98*((VLOOKUP($J233,Sheet1!$D:$N,$G233+1,FALSE)+0.02)),2.5)," ")</f>
        <v>322.5</v>
      </c>
      <c r="P233" s="112">
        <f>iferror(mround(I233/VLOOKUP(L233,Sheet1!$D$7:$N$16,G233+1,FALSE),2.5),"")</f>
        <v>360</v>
      </c>
      <c r="Q233" s="303">
        <f t="shared" si="4"/>
        <v>12</v>
      </c>
      <c r="R233" s="242"/>
      <c r="S233" s="11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</row>
    <row r="234" ht="3.75" customHeight="1">
      <c r="A234" s="124"/>
      <c r="B234" s="6"/>
      <c r="C234" s="124"/>
      <c r="D234" s="138"/>
      <c r="E234" s="154"/>
      <c r="F234" s="155"/>
      <c r="G234" s="102"/>
      <c r="H234" s="102"/>
      <c r="I234" s="102"/>
      <c r="J234" s="156"/>
      <c r="K234" s="243"/>
      <c r="L234" s="210"/>
      <c r="M234" s="144"/>
      <c r="N234" s="145"/>
      <c r="O234" s="145"/>
      <c r="P234" s="122"/>
      <c r="Q234" s="304" t="str">
        <f t="shared" si="4"/>
        <v/>
      </c>
      <c r="R234" s="242"/>
      <c r="S234" s="11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</row>
    <row r="235" ht="15.75" customHeight="1">
      <c r="A235" s="124"/>
      <c r="B235" s="6"/>
      <c r="C235" s="124"/>
      <c r="D235" s="159" t="s">
        <v>33</v>
      </c>
      <c r="E235" s="126"/>
      <c r="F235" s="127">
        <v>4.0</v>
      </c>
      <c r="G235" s="161">
        <v>4.0</v>
      </c>
      <c r="H235" s="129"/>
      <c r="I235" s="130">
        <v>270.0</v>
      </c>
      <c r="J235" s="151">
        <v>6.5</v>
      </c>
      <c r="K235" s="241" t="s">
        <v>91</v>
      </c>
      <c r="L235" s="130">
        <v>6.5</v>
      </c>
      <c r="M235" s="134">
        <f>I100</f>
        <v>265</v>
      </c>
      <c r="N235" s="135">
        <f>iferror(mround($P100*((VLOOKUP($J235,Sheet1!$D:$N,$G235+1,FALSE)-0.03)),2.5)," ")</f>
        <v>255</v>
      </c>
      <c r="O235" s="135">
        <f>iferror(mround($P100*((VLOOKUP($J235,Sheet1!$D:$N,$G235+1,FALSE)+0.02)),2.5)," ")</f>
        <v>272.5</v>
      </c>
      <c r="P235" s="112">
        <f>iferror(mround(I235/VLOOKUP(L235,Sheet1!$D$7:$N$16,G235+1,FALSE),2.5),"")</f>
        <v>337.5</v>
      </c>
      <c r="Q235" s="303">
        <f t="shared" si="4"/>
        <v>5</v>
      </c>
      <c r="R235" s="242"/>
      <c r="S235" s="11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</row>
    <row r="236" ht="3.75" customHeight="1">
      <c r="A236" s="90"/>
      <c r="B236" s="6"/>
      <c r="C236" s="90"/>
      <c r="D236" s="138"/>
      <c r="E236" s="245"/>
      <c r="F236" s="102"/>
      <c r="G236" s="102"/>
      <c r="H236" s="102"/>
      <c r="I236" s="102"/>
      <c r="J236" s="156"/>
      <c r="K236" s="243"/>
      <c r="L236" s="210"/>
      <c r="M236" s="144"/>
      <c r="N236" s="145"/>
      <c r="O236" s="145"/>
      <c r="P236" s="122"/>
      <c r="Q236" s="304" t="str">
        <f t="shared" si="4"/>
        <v/>
      </c>
      <c r="R236" s="242"/>
      <c r="S236" s="11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</row>
    <row r="237" ht="15.75" customHeight="1">
      <c r="A237" s="90"/>
      <c r="B237" s="6"/>
      <c r="C237" s="90"/>
      <c r="D237" s="159" t="s">
        <v>54</v>
      </c>
      <c r="E237" s="227"/>
      <c r="F237" s="127">
        <v>3.0</v>
      </c>
      <c r="G237" s="221">
        <v>45577.0</v>
      </c>
      <c r="H237" s="195"/>
      <c r="I237" s="130">
        <v>130.0</v>
      </c>
      <c r="J237" s="228">
        <v>8.0</v>
      </c>
      <c r="K237" s="241"/>
      <c r="L237" s="130">
        <v>8.0</v>
      </c>
      <c r="M237" s="134">
        <f>I102</f>
        <v>120</v>
      </c>
      <c r="N237" s="135" t="str">
        <f>iferror(mround($P102*((VLOOKUP($J237,Sheet1!$D:$N,$G237+1,FALSE)-0.03)),2.5)," ")</f>
        <v> </v>
      </c>
      <c r="O237" s="135" t="str">
        <f>iferror(mround($P102*((VLOOKUP($J237,Sheet1!$D:$N,$G237+1,FALSE)+0.02)),2.5)," ")</f>
        <v> </v>
      </c>
      <c r="P237" s="112" t="str">
        <f>iferror(mround(I237/VLOOKUP(L237,Sheet1!$D$7:$N$16,G237+1,FALSE),2.5),"")</f>
        <v/>
      </c>
      <c r="Q237" s="303">
        <f t="shared" si="4"/>
        <v>10</v>
      </c>
      <c r="R237" s="242"/>
      <c r="S237" s="11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</row>
    <row r="238" ht="3.75" customHeight="1">
      <c r="A238" s="191"/>
      <c r="B238" s="6"/>
      <c r="C238" s="192"/>
      <c r="D238" s="138"/>
      <c r="E238" s="245"/>
      <c r="F238" s="102"/>
      <c r="G238" s="102"/>
      <c r="H238" s="102"/>
      <c r="I238" s="102"/>
      <c r="J238" s="156"/>
      <c r="K238" s="243"/>
      <c r="L238" s="210"/>
      <c r="M238" s="144"/>
      <c r="N238" s="145"/>
      <c r="O238" s="145"/>
      <c r="P238" s="122"/>
      <c r="Q238" s="304" t="str">
        <f t="shared" si="4"/>
        <v/>
      </c>
      <c r="R238" s="242"/>
      <c r="S238" s="157"/>
      <c r="T238" s="5"/>
      <c r="U238" s="5"/>
      <c r="V238" s="158"/>
      <c r="W238" s="158"/>
      <c r="X238" s="158"/>
      <c r="Y238" s="158"/>
      <c r="Z238" s="158"/>
      <c r="AA238" s="158"/>
      <c r="AB238" s="158"/>
      <c r="AC238" s="158"/>
      <c r="AD238" s="158"/>
      <c r="AE238" s="158"/>
      <c r="AF238" s="158"/>
      <c r="AG238" s="158"/>
    </row>
    <row r="239" ht="15.75" customHeight="1">
      <c r="A239" s="90"/>
      <c r="B239" s="6"/>
      <c r="C239" s="90"/>
      <c r="D239" s="159" t="s">
        <v>99</v>
      </c>
      <c r="E239" s="246" t="s">
        <v>100</v>
      </c>
      <c r="F239" s="127">
        <v>3.0</v>
      </c>
      <c r="G239" s="221">
        <v>45577.0</v>
      </c>
      <c r="H239" s="195"/>
      <c r="I239" s="130">
        <v>55.0</v>
      </c>
      <c r="J239" s="228">
        <v>9.0</v>
      </c>
      <c r="K239" s="241"/>
      <c r="L239" s="130">
        <v>10.0</v>
      </c>
      <c r="M239" s="134">
        <f>I104</f>
        <v>50</v>
      </c>
      <c r="N239" s="135" t="str">
        <f>iferror(mround($P104*((VLOOKUP($J239,Sheet1!$D:$N,$G239+1,FALSE)-0.03)),2.5)," ")</f>
        <v> </v>
      </c>
      <c r="O239" s="135" t="str">
        <f>iferror(mround($P104*((VLOOKUP($J239,Sheet1!$D:$N,$G239+1,FALSE)+0.02)),2.5)," ")</f>
        <v> </v>
      </c>
      <c r="P239" s="112" t="str">
        <f>iferror(mround(I239/VLOOKUP(L239,Sheet1!$D$7:$N$16,G239+1,FALSE),2.5),"")</f>
        <v/>
      </c>
      <c r="Q239" s="303">
        <f t="shared" si="4"/>
        <v>5</v>
      </c>
      <c r="R239" s="242"/>
      <c r="S239" s="11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</row>
    <row r="240" ht="3.75" customHeight="1">
      <c r="A240" s="90"/>
      <c r="B240" s="6"/>
      <c r="C240" s="90"/>
      <c r="D240" s="138"/>
      <c r="E240" s="245"/>
      <c r="F240" s="102"/>
      <c r="G240" s="102"/>
      <c r="H240" s="102"/>
      <c r="I240" s="102"/>
      <c r="J240" s="156"/>
      <c r="K240" s="243"/>
      <c r="L240" s="210"/>
      <c r="M240" s="144"/>
      <c r="N240" s="145"/>
      <c r="O240" s="145"/>
      <c r="P240" s="122"/>
      <c r="Q240" s="304" t="str">
        <f t="shared" si="4"/>
        <v/>
      </c>
      <c r="R240" s="242"/>
      <c r="S240" s="11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</row>
    <row r="241" ht="15.75" hidden="1" customHeight="1">
      <c r="A241" s="90"/>
      <c r="B241" s="6"/>
      <c r="C241" s="90"/>
      <c r="D241" s="185"/>
      <c r="E241" s="227"/>
      <c r="F241" s="187"/>
      <c r="G241" s="229"/>
      <c r="H241" s="195"/>
      <c r="I241" s="247"/>
      <c r="J241" s="248"/>
      <c r="K241" s="241"/>
      <c r="L241" s="164"/>
      <c r="M241" s="134" t="str">
        <f>I106</f>
        <v/>
      </c>
      <c r="N241" s="135" t="str">
        <f>iferror(mround($P106*((VLOOKUP($J241,Sheet1!$D:$N,$G241+1,FALSE)-0.03)),2.5)," ")</f>
        <v> </v>
      </c>
      <c r="O241" s="135" t="str">
        <f>iferror(mround($P106*((VLOOKUP($J241,Sheet1!$D:$N,$G241+1,FALSE)+0.02)),2.5)," ")</f>
        <v> </v>
      </c>
      <c r="P241" s="112" t="str">
        <f>iferror(mround(I241/VLOOKUP(L241,Sheet1!$D$7:$N$16,G241+1,FALSE),2.5),"")</f>
        <v/>
      </c>
      <c r="Q241" s="303" t="str">
        <f t="shared" si="4"/>
        <v/>
      </c>
      <c r="R241" s="242"/>
      <c r="S241" s="11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</row>
    <row r="242" ht="3.75" hidden="1" customHeight="1">
      <c r="A242" s="90"/>
      <c r="B242" s="6"/>
      <c r="C242" s="90"/>
      <c r="D242" s="138"/>
      <c r="E242" s="215"/>
      <c r="F242" s="102"/>
      <c r="G242" s="102"/>
      <c r="H242" s="102"/>
      <c r="I242" s="102"/>
      <c r="J242" s="156"/>
      <c r="K242" s="243"/>
      <c r="L242" s="210"/>
      <c r="M242" s="144"/>
      <c r="N242" s="145"/>
      <c r="O242" s="145"/>
      <c r="P242" s="122"/>
      <c r="Q242" s="304" t="str">
        <f t="shared" si="4"/>
        <v/>
      </c>
      <c r="R242" s="242"/>
      <c r="S242" s="11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</row>
    <row r="243" ht="15.75" hidden="1" customHeight="1">
      <c r="A243" s="90"/>
      <c r="B243" s="6"/>
      <c r="C243" s="90"/>
      <c r="D243" s="185"/>
      <c r="E243" s="220"/>
      <c r="F243" s="187"/>
      <c r="G243" s="229"/>
      <c r="H243" s="195"/>
      <c r="I243" s="247"/>
      <c r="J243" s="248"/>
      <c r="K243" s="241"/>
      <c r="L243" s="164"/>
      <c r="M243" s="134" t="str">
        <f>I108</f>
        <v/>
      </c>
      <c r="N243" s="135" t="str">
        <f>iferror(mround($P108*((VLOOKUP($J243,Sheet1!$D:$N,$G243+1,FALSE)-0.03)),2.5)," ")</f>
        <v> </v>
      </c>
      <c r="O243" s="135" t="str">
        <f>iferror(mround($P108*((VLOOKUP($J243,Sheet1!$D:$N,$G243+1,FALSE)+0.02)),2.5)," ")</f>
        <v> </v>
      </c>
      <c r="P243" s="112" t="str">
        <f>iferror(mround(I243/VLOOKUP(L243,Sheet1!$D$7:$N$16,G243+1,FALSE),2.5),"")</f>
        <v/>
      </c>
      <c r="Q243" s="303" t="str">
        <f t="shared" si="4"/>
        <v/>
      </c>
      <c r="R243" s="242"/>
      <c r="S243" s="11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</row>
    <row r="244" ht="3.75" hidden="1" customHeight="1">
      <c r="A244" s="90"/>
      <c r="B244" s="6"/>
      <c r="C244" s="90"/>
      <c r="D244" s="196"/>
      <c r="E244" s="184"/>
      <c r="F244" s="102"/>
      <c r="G244" s="102"/>
      <c r="H244" s="102"/>
      <c r="I244" s="102"/>
      <c r="J244" s="156"/>
      <c r="K244" s="249"/>
      <c r="L244" s="210"/>
      <c r="M244" s="144"/>
      <c r="N244" s="145"/>
      <c r="O244" s="145"/>
      <c r="P244" s="122"/>
      <c r="Q244" s="304" t="str">
        <f t="shared" si="4"/>
        <v/>
      </c>
      <c r="R244" s="242"/>
      <c r="S244" s="11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</row>
    <row r="245" ht="15.75" hidden="1" customHeight="1">
      <c r="A245" s="90"/>
      <c r="B245" s="6"/>
      <c r="C245" s="90"/>
      <c r="D245" s="197"/>
      <c r="E245" s="250"/>
      <c r="F245" s="129"/>
      <c r="G245" s="199"/>
      <c r="H245" s="195"/>
      <c r="I245" s="247"/>
      <c r="J245" s="248"/>
      <c r="K245" s="251"/>
      <c r="L245" s="164"/>
      <c r="M245" s="134" t="str">
        <f>I110</f>
        <v/>
      </c>
      <c r="N245" s="135" t="str">
        <f>iferror(mround($P110*((VLOOKUP($J245,Sheet1!$D:$N,$G245+1,FALSE)-0.03)),2.5)," ")</f>
        <v> </v>
      </c>
      <c r="O245" s="135" t="str">
        <f>iferror(mround($P110*((VLOOKUP($J245,Sheet1!$D:$N,$G245+1,FALSE)+0.02)),2.5)," ")</f>
        <v> </v>
      </c>
      <c r="P245" s="112" t="str">
        <f>iferror(mround(I245/VLOOKUP(L245,Sheet1!$D$7:$N$16,G245+1,FALSE),2.5),"")</f>
        <v/>
      </c>
      <c r="Q245" s="303" t="str">
        <f t="shared" si="4"/>
        <v/>
      </c>
      <c r="R245" s="242"/>
      <c r="S245" s="11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</row>
    <row r="246" ht="3.75" hidden="1" customHeight="1">
      <c r="A246" s="90"/>
      <c r="B246" s="6"/>
      <c r="C246" s="90"/>
      <c r="D246" s="234"/>
      <c r="E246" s="184"/>
      <c r="F246" s="102"/>
      <c r="G246" s="102"/>
      <c r="H246" s="102"/>
      <c r="I246" s="102"/>
      <c r="J246" s="156"/>
      <c r="K246" s="249"/>
      <c r="L246" s="210"/>
      <c r="M246" s="144"/>
      <c r="N246" s="145"/>
      <c r="O246" s="145"/>
      <c r="P246" s="122"/>
      <c r="Q246" s="304" t="str">
        <f t="shared" si="4"/>
        <v/>
      </c>
      <c r="R246" s="242"/>
      <c r="S246" s="11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</row>
    <row r="247" ht="15.75" hidden="1" customHeight="1">
      <c r="A247" s="90"/>
      <c r="B247" s="6"/>
      <c r="C247" s="90"/>
      <c r="D247" s="197"/>
      <c r="E247" s="198"/>
      <c r="F247" s="129"/>
      <c r="G247" s="199"/>
      <c r="H247" s="195"/>
      <c r="I247" s="164"/>
      <c r="J247" s="248"/>
      <c r="K247" s="251"/>
      <c r="L247" s="164"/>
      <c r="M247" s="134" t="str">
        <f>I112</f>
        <v/>
      </c>
      <c r="N247" s="135" t="str">
        <f>iferror(mround($P112*((VLOOKUP($J247,Sheet1!$D:$N,$G247+1,FALSE)-0.03)),2.5)," ")</f>
        <v> </v>
      </c>
      <c r="O247" s="135" t="str">
        <f>iferror(mround($P112*((VLOOKUP($J247,Sheet1!$D:$N,$G247+1,FALSE)+0.02)),2.5)," ")</f>
        <v> </v>
      </c>
      <c r="P247" s="112" t="str">
        <f>iferror(mround(I247/VLOOKUP(L247,Sheet1!$D$7:$N$16,G247+1,FALSE),2.5),"")</f>
        <v/>
      </c>
      <c r="Q247" s="303" t="str">
        <f t="shared" si="4"/>
        <v/>
      </c>
      <c r="R247" s="242"/>
      <c r="S247" s="11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</row>
    <row r="248" ht="3.75" hidden="1" customHeight="1">
      <c r="A248" s="124"/>
      <c r="B248" s="6"/>
      <c r="C248" s="124"/>
      <c r="D248" s="252"/>
      <c r="E248" s="252"/>
      <c r="F248" s="102"/>
      <c r="G248" s="102"/>
      <c r="H248" s="102"/>
      <c r="I248" s="102"/>
      <c r="J248" s="156"/>
      <c r="K248" s="253"/>
      <c r="L248" s="201"/>
      <c r="M248" s="211"/>
      <c r="N248" s="47"/>
      <c r="O248" s="47"/>
      <c r="P248" s="122"/>
      <c r="Q248" s="304" t="str">
        <f t="shared" si="4"/>
        <v/>
      </c>
      <c r="R248" s="242"/>
      <c r="S248" s="11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</row>
    <row r="249" ht="30.75" hidden="1" customHeight="1">
      <c r="A249" s="90"/>
      <c r="B249" s="6"/>
      <c r="C249" s="90"/>
      <c r="D249" s="254" t="s">
        <v>57</v>
      </c>
      <c r="E249" s="255" t="s">
        <v>15</v>
      </c>
      <c r="F249" s="106" t="s">
        <v>16</v>
      </c>
      <c r="G249" s="106" t="s">
        <v>17</v>
      </c>
      <c r="H249" s="107"/>
      <c r="I249" s="106" t="s">
        <v>18</v>
      </c>
      <c r="J249" s="108" t="s">
        <v>19</v>
      </c>
      <c r="L249" s="109" t="s">
        <v>20</v>
      </c>
      <c r="M249" s="110" t="s">
        <v>21</v>
      </c>
      <c r="N249" s="111" t="s">
        <v>22</v>
      </c>
      <c r="P249" s="112"/>
      <c r="Q249" s="113" t="s">
        <v>23</v>
      </c>
      <c r="R249" s="256" t="s">
        <v>58</v>
      </c>
      <c r="S249" s="11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</row>
    <row r="250" ht="14.25" hidden="1" customHeight="1">
      <c r="A250" s="90"/>
      <c r="B250" s="6"/>
      <c r="C250" s="90"/>
      <c r="D250" s="257" t="s">
        <v>25</v>
      </c>
      <c r="E250" s="258" t="s">
        <v>26</v>
      </c>
      <c r="H250" s="107"/>
      <c r="N250" s="111" t="s">
        <v>27</v>
      </c>
      <c r="O250" s="111" t="s">
        <v>28</v>
      </c>
      <c r="P250" s="112" t="s">
        <v>29</v>
      </c>
      <c r="R250" s="118" t="s">
        <v>30</v>
      </c>
      <c r="S250" s="11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</row>
    <row r="251" ht="3.75" hidden="1" customHeight="1">
      <c r="A251" s="124"/>
      <c r="B251" s="6"/>
      <c r="C251" s="124"/>
      <c r="D251" s="252"/>
      <c r="E251" s="252"/>
      <c r="F251" s="102"/>
      <c r="G251" s="102"/>
      <c r="H251" s="102"/>
      <c r="I251" s="102"/>
      <c r="J251" s="156"/>
      <c r="K251" s="253"/>
      <c r="L251" s="201"/>
      <c r="M251" s="211"/>
      <c r="N251" s="47"/>
      <c r="O251" s="47"/>
      <c r="P251" s="122"/>
      <c r="Q251" s="304" t="str">
        <f t="shared" ref="Q251:Q274" si="5">IF(OR(ISBLANK(I251), ISBLANK(I116)), "", IF(I251 - I116 = 0, "", I251 - I116))</f>
        <v/>
      </c>
      <c r="R251" s="259"/>
      <c r="S251" s="11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</row>
    <row r="252" ht="14.25" hidden="1" customHeight="1">
      <c r="A252" s="124"/>
      <c r="B252" s="6"/>
      <c r="C252" s="124"/>
      <c r="D252" s="260"/>
      <c r="E252" s="126"/>
      <c r="F252" s="187"/>
      <c r="G252" s="229"/>
      <c r="H252" s="129"/>
      <c r="I252" s="164"/>
      <c r="J252" s="189"/>
      <c r="K252" s="251"/>
      <c r="L252" s="164"/>
      <c r="M252" s="134" t="str">
        <f>I119</f>
        <v/>
      </c>
      <c r="N252" s="135" t="str">
        <f>iferror(mround($P119*((VLOOKUP($J252,Sheet1!$D:$N,$G252+1,FALSE)-0.03)),2.5)," ")</f>
        <v> </v>
      </c>
      <c r="O252" s="135" t="str">
        <f>iferror(mround($P119*((VLOOKUP($J252,Sheet1!$D:$N,$G252+1,FALSE)+0.02)),2.5)," ")</f>
        <v> </v>
      </c>
      <c r="P252" s="56" t="str">
        <f>iferror(mround(I252/VLOOKUP(L252,Sheet1!$D$7:$N$16,G252+1,FALSE),2.5),"")</f>
        <v/>
      </c>
      <c r="Q252" s="303" t="str">
        <f t="shared" si="5"/>
        <v/>
      </c>
      <c r="S252" s="11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</row>
    <row r="253" ht="3.75" hidden="1" customHeight="1">
      <c r="A253" s="124"/>
      <c r="B253" s="6"/>
      <c r="C253" s="124"/>
      <c r="D253" s="138"/>
      <c r="E253" s="215"/>
      <c r="F253" s="102"/>
      <c r="G253" s="102"/>
      <c r="H253" s="102"/>
      <c r="I253" s="102"/>
      <c r="J253" s="156"/>
      <c r="K253" s="249"/>
      <c r="L253" s="210"/>
      <c r="M253" s="144"/>
      <c r="N253" s="145"/>
      <c r="O253" s="145"/>
      <c r="P253" s="122"/>
      <c r="Q253" s="304" t="str">
        <f t="shared" si="5"/>
        <v/>
      </c>
      <c r="S253" s="11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</row>
    <row r="254" ht="14.25" hidden="1" customHeight="1">
      <c r="A254" s="124"/>
      <c r="B254" s="6"/>
      <c r="C254" s="124"/>
      <c r="D254" s="185"/>
      <c r="E254" s="227"/>
      <c r="F254" s="187"/>
      <c r="G254" s="229"/>
      <c r="H254" s="195"/>
      <c r="I254" s="164"/>
      <c r="J254" s="248"/>
      <c r="K254" s="251"/>
      <c r="L254" s="164"/>
      <c r="M254" s="134" t="str">
        <f>I119</f>
        <v/>
      </c>
      <c r="N254" s="135" t="str">
        <f>iferror(mround($P119*((VLOOKUP($J254,Sheet1!$D:$N,$G254+1,FALSE)-0.03)),2.5)," ")</f>
        <v> </v>
      </c>
      <c r="O254" s="135" t="str">
        <f>iferror(mround($P119*((VLOOKUP($J254,Sheet1!$D:$N,$G254+1,FALSE)+0.02)),2.5)," ")</f>
        <v> </v>
      </c>
      <c r="P254" s="112" t="str">
        <f>iferror(mround(I254/VLOOKUP(L254,Sheet1!$D$7:$N$16,G254+1,FALSE),2.5),"")</f>
        <v/>
      </c>
      <c r="Q254" s="303" t="str">
        <f t="shared" si="5"/>
        <v/>
      </c>
      <c r="S254" s="11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</row>
    <row r="255" ht="3.75" hidden="1" customHeight="1">
      <c r="A255" s="124"/>
      <c r="B255" s="6"/>
      <c r="C255" s="124"/>
      <c r="D255" s="138"/>
      <c r="E255" s="245"/>
      <c r="F255" s="102"/>
      <c r="G255" s="102"/>
      <c r="H255" s="102"/>
      <c r="I255" s="102"/>
      <c r="J255" s="156"/>
      <c r="K255" s="249"/>
      <c r="L255" s="210"/>
      <c r="M255" s="144"/>
      <c r="N255" s="145"/>
      <c r="O255" s="145"/>
      <c r="P255" s="122"/>
      <c r="Q255" s="304" t="str">
        <f t="shared" si="5"/>
        <v/>
      </c>
      <c r="S255" s="11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</row>
    <row r="256" ht="14.25" hidden="1" customHeight="1">
      <c r="A256" s="124"/>
      <c r="B256" s="6"/>
      <c r="C256" s="124"/>
      <c r="D256" s="185"/>
      <c r="E256" s="227"/>
      <c r="F256" s="187"/>
      <c r="G256" s="229"/>
      <c r="H256" s="195"/>
      <c r="I256" s="164"/>
      <c r="J256" s="248"/>
      <c r="K256" s="251"/>
      <c r="L256" s="164"/>
      <c r="M256" s="134" t="str">
        <f>I121</f>
        <v/>
      </c>
      <c r="N256" s="135" t="str">
        <f>iferror(mround($P121*((VLOOKUP($J256,Sheet1!$D:$N,$G256+1,FALSE)-0.03)),2.5)," ")</f>
        <v> </v>
      </c>
      <c r="O256" s="135" t="str">
        <f>iferror(mround($P121*((VLOOKUP($J256,Sheet1!$D:$N,$G256+1,FALSE)+0.02)),2.5)," ")</f>
        <v> </v>
      </c>
      <c r="P256" s="112" t="str">
        <f>iferror(mround(I256/VLOOKUP(L256,Sheet1!$D$7:$N$16,G256+1,FALSE),2.5),"")</f>
        <v/>
      </c>
      <c r="Q256" s="303" t="str">
        <f t="shared" si="5"/>
        <v/>
      </c>
      <c r="S256" s="11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</row>
    <row r="257" ht="3.75" hidden="1" customHeight="1">
      <c r="A257" s="124"/>
      <c r="B257" s="6"/>
      <c r="C257" s="124"/>
      <c r="D257" s="138"/>
      <c r="E257" s="245"/>
      <c r="F257" s="102"/>
      <c r="G257" s="102"/>
      <c r="H257" s="102"/>
      <c r="I257" s="102"/>
      <c r="J257" s="156"/>
      <c r="K257" s="249"/>
      <c r="L257" s="210"/>
      <c r="M257" s="144"/>
      <c r="N257" s="145"/>
      <c r="O257" s="145"/>
      <c r="P257" s="122"/>
      <c r="Q257" s="304" t="str">
        <f t="shared" si="5"/>
        <v/>
      </c>
      <c r="S257" s="11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</row>
    <row r="258" ht="14.25" hidden="1" customHeight="1">
      <c r="A258" s="124"/>
      <c r="B258" s="6"/>
      <c r="C258" s="124"/>
      <c r="D258" s="185"/>
      <c r="E258" s="227"/>
      <c r="F258" s="187"/>
      <c r="G258" s="229"/>
      <c r="H258" s="195"/>
      <c r="I258" s="164"/>
      <c r="J258" s="248"/>
      <c r="K258" s="251"/>
      <c r="L258" s="164"/>
      <c r="M258" s="134"/>
      <c r="N258" s="135" t="str">
        <f>iferror(mround($P123*((VLOOKUP($J258,Sheet1!$D:$N,$G258+1,FALSE)-0.03)),2.5)," ")</f>
        <v> </v>
      </c>
      <c r="O258" s="135" t="str">
        <f>iferror(mround($P123*((VLOOKUP($J258,Sheet1!$D:$N,$G258+1,FALSE)+0.02)),2.5)," ")</f>
        <v> </v>
      </c>
      <c r="P258" s="112" t="str">
        <f>iferror(mround(I258/VLOOKUP(L258,Sheet1!$D$7:$N$16,G258+1,FALSE),2.5),"")</f>
        <v/>
      </c>
      <c r="Q258" s="303" t="str">
        <f t="shared" si="5"/>
        <v/>
      </c>
      <c r="S258" s="11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</row>
    <row r="259" ht="3.75" hidden="1" customHeight="1">
      <c r="A259" s="124"/>
      <c r="B259" s="6"/>
      <c r="C259" s="124"/>
      <c r="D259" s="138"/>
      <c r="E259" s="245"/>
      <c r="F259" s="102"/>
      <c r="G259" s="102"/>
      <c r="H259" s="102"/>
      <c r="I259" s="102"/>
      <c r="J259" s="156"/>
      <c r="K259" s="249"/>
      <c r="L259" s="210"/>
      <c r="M259" s="144"/>
      <c r="N259" s="145" t="str">
        <f>iferror(mround($P124*((VLOOKUP($J259,Sheet1!$D:$N,$G259+1,FALSE)-0.03)),2.5)," ")</f>
        <v> </v>
      </c>
      <c r="O259" s="145" t="str">
        <f>iferror(mround($P124*((VLOOKUP($J259,Sheet1!$D:$N,$G259+1,FALSE)+0.02)),2.5)," ")</f>
        <v> </v>
      </c>
      <c r="P259" s="122"/>
      <c r="Q259" s="304" t="str">
        <f t="shared" si="5"/>
        <v/>
      </c>
      <c r="S259" s="11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</row>
    <row r="260" ht="14.25" hidden="1" customHeight="1">
      <c r="A260" s="124"/>
      <c r="B260" s="6"/>
      <c r="C260" s="124"/>
      <c r="D260" s="185"/>
      <c r="E260" s="227"/>
      <c r="F260" s="187"/>
      <c r="G260" s="187"/>
      <c r="H260" s="195"/>
      <c r="I260" s="164"/>
      <c r="J260" s="248"/>
      <c r="K260" s="251"/>
      <c r="L260" s="164"/>
      <c r="M260" s="134" t="str">
        <f>I125</f>
        <v/>
      </c>
      <c r="N260" s="135" t="str">
        <f>iferror(mround($P125*((VLOOKUP($J260,Sheet1!$D:$N,$G260+1,FALSE)-0.03)),2.5)," ")</f>
        <v> </v>
      </c>
      <c r="O260" s="135" t="str">
        <f>iferror(mround($P125*((VLOOKUP($J260,Sheet1!$D:$N,$G260+1,FALSE)+0.02)),2.5)," ")</f>
        <v> </v>
      </c>
      <c r="P260" s="112" t="str">
        <f>iferror(mround(I260/VLOOKUP(L260,Sheet1!$D$7:$N$16,G260+1,FALSE),2.5),"")</f>
        <v/>
      </c>
      <c r="Q260" s="303" t="str">
        <f t="shared" si="5"/>
        <v/>
      </c>
      <c r="S260" s="11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</row>
    <row r="261" ht="3.75" hidden="1" customHeight="1">
      <c r="A261" s="261"/>
      <c r="B261" s="6"/>
      <c r="C261" s="262"/>
      <c r="D261" s="138"/>
      <c r="E261" s="245"/>
      <c r="F261" s="102"/>
      <c r="G261" s="102"/>
      <c r="H261" s="102"/>
      <c r="I261" s="102"/>
      <c r="J261" s="156"/>
      <c r="K261" s="249"/>
      <c r="L261" s="210"/>
      <c r="M261" s="144"/>
      <c r="N261" s="145"/>
      <c r="O261" s="145"/>
      <c r="P261" s="122"/>
      <c r="Q261" s="304" t="str">
        <f t="shared" si="5"/>
        <v/>
      </c>
      <c r="S261" s="157"/>
      <c r="T261" s="5"/>
      <c r="U261" s="5"/>
      <c r="V261" s="158"/>
      <c r="W261" s="158"/>
      <c r="X261" s="158"/>
      <c r="Y261" s="158"/>
      <c r="Z261" s="158"/>
      <c r="AA261" s="158"/>
      <c r="AB261" s="158"/>
      <c r="AC261" s="158"/>
      <c r="AD261" s="158"/>
      <c r="AE261" s="158"/>
      <c r="AF261" s="158"/>
      <c r="AG261" s="158"/>
    </row>
    <row r="262" ht="14.25" hidden="1" customHeight="1">
      <c r="A262" s="124"/>
      <c r="B262" s="6"/>
      <c r="C262" s="124"/>
      <c r="D262" s="185"/>
      <c r="E262" s="227"/>
      <c r="F262" s="187"/>
      <c r="G262" s="187"/>
      <c r="H262" s="195"/>
      <c r="I262" s="164"/>
      <c r="J262" s="248"/>
      <c r="K262" s="251"/>
      <c r="L262" s="164"/>
      <c r="M262" s="134" t="str">
        <f>I127</f>
        <v/>
      </c>
      <c r="N262" s="135" t="str">
        <f>iferror(mround($P127*((VLOOKUP($J262,Sheet1!$D:$N,$G262+1,FALSE)-0.03)),2.5)," ")</f>
        <v> </v>
      </c>
      <c r="O262" s="135" t="str">
        <f>iferror(mround($P127*((VLOOKUP($J262,Sheet1!$D:$N,$G262+1,FALSE)+0.02)),2.5)," ")</f>
        <v> </v>
      </c>
      <c r="P262" s="112" t="str">
        <f>iferror(mround(I262/VLOOKUP(L262,Sheet1!$D$7:$N$16,G262+1,FALSE),2.5),"")</f>
        <v/>
      </c>
      <c r="Q262" s="303" t="str">
        <f t="shared" si="5"/>
        <v/>
      </c>
      <c r="S262" s="11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</row>
    <row r="263" ht="3.75" hidden="1" customHeight="1">
      <c r="A263" s="261"/>
      <c r="B263" s="6"/>
      <c r="C263" s="262"/>
      <c r="D263" s="138"/>
      <c r="E263" s="252"/>
      <c r="F263" s="102"/>
      <c r="G263" s="102"/>
      <c r="H263" s="102"/>
      <c r="I263" s="102"/>
      <c r="J263" s="156"/>
      <c r="K263" s="249"/>
      <c r="L263" s="210"/>
      <c r="M263" s="144"/>
      <c r="N263" s="145"/>
      <c r="O263" s="145"/>
      <c r="P263" s="122"/>
      <c r="Q263" s="304" t="str">
        <f t="shared" si="5"/>
        <v/>
      </c>
      <c r="S263" s="157"/>
      <c r="T263" s="5"/>
      <c r="U263" s="5"/>
      <c r="V263" s="158"/>
      <c r="W263" s="158"/>
      <c r="X263" s="158"/>
      <c r="Y263" s="158"/>
      <c r="Z263" s="158"/>
      <c r="AA263" s="158"/>
      <c r="AB263" s="158"/>
      <c r="AC263" s="158"/>
      <c r="AD263" s="158"/>
      <c r="AE263" s="158"/>
      <c r="AF263" s="158"/>
      <c r="AG263" s="158"/>
    </row>
    <row r="264" ht="15.75" hidden="1" customHeight="1">
      <c r="A264" s="124"/>
      <c r="B264" s="6"/>
      <c r="C264" s="124"/>
      <c r="D264" s="185"/>
      <c r="E264" s="260"/>
      <c r="F264" s="187"/>
      <c r="G264" s="187"/>
      <c r="H264" s="195"/>
      <c r="I264" s="247"/>
      <c r="J264" s="248"/>
      <c r="K264" s="251"/>
      <c r="L264" s="164"/>
      <c r="M264" s="134"/>
      <c r="N264" s="135" t="str">
        <f>iferror(mround($P129*((VLOOKUP($J264,Sheet1!$D:$N,$G264+1,FALSE)-0.03)),2.5)," ")</f>
        <v> </v>
      </c>
      <c r="O264" s="135" t="str">
        <f>iferror(mround($P129*((VLOOKUP($J264,Sheet1!$D:$N,$G264+1,FALSE)+0.02)),2.5)," ")</f>
        <v> </v>
      </c>
      <c r="P264" s="112" t="str">
        <f>iferror(mround(I264/VLOOKUP(L264,Sheet1!$D$7:$N$16,G264+1,FALSE),2.5),"")</f>
        <v/>
      </c>
      <c r="Q264" s="303" t="str">
        <f t="shared" si="5"/>
        <v/>
      </c>
      <c r="S264" s="11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</row>
    <row r="265" ht="3.75" hidden="1" customHeight="1">
      <c r="A265" s="124"/>
      <c r="B265" s="6"/>
      <c r="C265" s="124"/>
      <c r="D265" s="263"/>
      <c r="E265" s="252"/>
      <c r="F265" s="102"/>
      <c r="G265" s="102"/>
      <c r="H265" s="102"/>
      <c r="I265" s="102"/>
      <c r="J265" s="156"/>
      <c r="K265" s="249"/>
      <c r="L265" s="210"/>
      <c r="M265" s="144"/>
      <c r="N265" s="145" t="str">
        <f>iferror(mround($P130*((VLOOKUP($J265,Sheet1!$D:$N,$G265+1,FALSE)-0.03)),2.5)," ")</f>
        <v> </v>
      </c>
      <c r="O265" s="145" t="str">
        <f>iferror(mround($P130*((VLOOKUP($J265,Sheet1!$D:$N,$G265+1,FALSE)+0.02)),2.5)," ")</f>
        <v> </v>
      </c>
      <c r="P265" s="122"/>
      <c r="Q265" s="304" t="str">
        <f t="shared" si="5"/>
        <v/>
      </c>
      <c r="S265" s="11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</row>
    <row r="266" ht="14.25" hidden="1" customHeight="1">
      <c r="A266" s="90"/>
      <c r="B266" s="6"/>
      <c r="C266" s="90"/>
      <c r="D266" s="185"/>
      <c r="E266" s="264"/>
      <c r="F266" s="187"/>
      <c r="G266" s="187"/>
      <c r="H266" s="195"/>
      <c r="I266" s="164"/>
      <c r="J266" s="248"/>
      <c r="K266" s="251"/>
      <c r="L266" s="164"/>
      <c r="M266" s="134" t="str">
        <f>I131</f>
        <v/>
      </c>
      <c r="N266" s="135" t="str">
        <f>iferror(mround($P131*((VLOOKUP($J266,Sheet1!$D:$N,$G266+1,FALSE)-0.03)),2.5)," ")</f>
        <v> </v>
      </c>
      <c r="O266" s="135" t="str">
        <f>iferror(mround($P131*((VLOOKUP($J266,Sheet1!$D:$N,$G266+1,FALSE)+0.02)),2.5)," ")</f>
        <v> </v>
      </c>
      <c r="P266" s="112" t="str">
        <f>iferror(mround(I266/VLOOKUP(L266,Sheet1!$D$7:$N$16,G266+1,FALSE),2.5),"")</f>
        <v/>
      </c>
      <c r="Q266" s="303" t="str">
        <f t="shared" si="5"/>
        <v/>
      </c>
      <c r="S266" s="11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</row>
    <row r="267" ht="3.75" hidden="1" customHeight="1">
      <c r="A267" s="261"/>
      <c r="B267" s="6"/>
      <c r="C267" s="262"/>
      <c r="D267" s="263"/>
      <c r="E267" s="263"/>
      <c r="F267" s="194"/>
      <c r="G267" s="194"/>
      <c r="H267" s="155"/>
      <c r="I267" s="210"/>
      <c r="J267" s="265"/>
      <c r="K267" s="249"/>
      <c r="L267" s="210"/>
      <c r="M267" s="144"/>
      <c r="N267" s="145"/>
      <c r="O267" s="145"/>
      <c r="P267" s="122"/>
      <c r="Q267" s="304" t="str">
        <f t="shared" si="5"/>
        <v/>
      </c>
      <c r="S267" s="157"/>
      <c r="T267" s="5"/>
      <c r="U267" s="5"/>
      <c r="V267" s="158"/>
      <c r="W267" s="158"/>
      <c r="X267" s="158"/>
      <c r="Y267" s="158"/>
      <c r="Z267" s="158"/>
      <c r="AA267" s="158"/>
      <c r="AB267" s="158"/>
      <c r="AC267" s="158"/>
      <c r="AD267" s="158"/>
      <c r="AE267" s="158"/>
      <c r="AF267" s="158"/>
      <c r="AG267" s="158"/>
    </row>
    <row r="268" ht="15.75" hidden="1" customHeight="1">
      <c r="A268" s="90"/>
      <c r="B268" s="6"/>
      <c r="C268" s="90"/>
      <c r="D268" s="185"/>
      <c r="E268" s="266"/>
      <c r="F268" s="187"/>
      <c r="G268" s="187"/>
      <c r="H268" s="195"/>
      <c r="I268" s="164"/>
      <c r="J268" s="248"/>
      <c r="K268" s="251"/>
      <c r="L268" s="164"/>
      <c r="M268" s="134"/>
      <c r="N268" s="135" t="str">
        <f>iferror(mround($P133*((VLOOKUP($J268,Sheet1!$D:$N,$G268+1,FALSE)-0.03)),2.5)," ")</f>
        <v> </v>
      </c>
      <c r="O268" s="135" t="str">
        <f>iferror(mround($P133*((VLOOKUP($J268,Sheet1!$D:$N,$G268+1,FALSE)+0.02)),2.5)," ")</f>
        <v> </v>
      </c>
      <c r="P268" s="112" t="str">
        <f>iferror(mround(I268/VLOOKUP(L268,Sheet1!$D$7:$N$16,G268+1,FALSE),2.5),"")</f>
        <v/>
      </c>
      <c r="Q268" s="303" t="str">
        <f t="shared" si="5"/>
        <v/>
      </c>
      <c r="S268" s="11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</row>
    <row r="269" ht="3.75" hidden="1" customHeight="1">
      <c r="A269" s="90"/>
      <c r="B269" s="6"/>
      <c r="C269" s="90"/>
      <c r="D269" s="138"/>
      <c r="E269" s="252"/>
      <c r="F269" s="102"/>
      <c r="G269" s="102"/>
      <c r="H269" s="102"/>
      <c r="I269" s="102"/>
      <c r="J269" s="156"/>
      <c r="K269" s="249"/>
      <c r="L269" s="210"/>
      <c r="M269" s="144"/>
      <c r="N269" s="145" t="str">
        <f>iferror(mround($P134*((VLOOKUP($J269,Sheet1!$D:$N,$G269+1,FALSE)-0.03)),2.5)," ")</f>
        <v> </v>
      </c>
      <c r="O269" s="145" t="str">
        <f>iferror(mround($P134*((VLOOKUP($J269,Sheet1!$D:$N,$G269+1,FALSE)+0.02)),2.5)," ")</f>
        <v> </v>
      </c>
      <c r="P269" s="122"/>
      <c r="Q269" s="304" t="str">
        <f t="shared" si="5"/>
        <v/>
      </c>
      <c r="S269" s="11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</row>
    <row r="270" ht="15.75" hidden="1" customHeight="1">
      <c r="A270" s="90"/>
      <c r="B270" s="6"/>
      <c r="C270" s="90"/>
      <c r="D270" s="185"/>
      <c r="E270" s="264"/>
      <c r="F270" s="187"/>
      <c r="G270" s="187"/>
      <c r="H270" s="195"/>
      <c r="I270" s="164"/>
      <c r="J270" s="248"/>
      <c r="K270" s="251"/>
      <c r="L270" s="164"/>
      <c r="M270" s="134" t="str">
        <f>I135</f>
        <v/>
      </c>
      <c r="N270" s="135" t="str">
        <f>iferror(mround($P135*((VLOOKUP($J270,Sheet1!$D:$N,$G270+1,FALSE)-0.03)),2.5)," ")</f>
        <v> </v>
      </c>
      <c r="O270" s="135" t="str">
        <f>iferror(mround($P135*((VLOOKUP($J270,Sheet1!$D:$N,$G270+1,FALSE)+0.02)),2.5)," ")</f>
        <v> </v>
      </c>
      <c r="P270" s="112" t="str">
        <f>iferror(mround(I270/VLOOKUP(L270,Sheet1!$D$7:$N$16,G270+1,FALSE),2.5),"")</f>
        <v/>
      </c>
      <c r="Q270" s="303" t="str">
        <f t="shared" si="5"/>
        <v/>
      </c>
      <c r="S270" s="11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</row>
    <row r="271" ht="3.75" hidden="1" customHeight="1">
      <c r="A271" s="191"/>
      <c r="B271" s="6"/>
      <c r="C271" s="192"/>
      <c r="D271" s="138"/>
      <c r="E271" s="252"/>
      <c r="F271" s="102"/>
      <c r="G271" s="102"/>
      <c r="H271" s="102"/>
      <c r="I271" s="102"/>
      <c r="J271" s="156"/>
      <c r="K271" s="249"/>
      <c r="L271" s="210"/>
      <c r="M271" s="144"/>
      <c r="N271" s="145"/>
      <c r="O271" s="145"/>
      <c r="P271" s="122"/>
      <c r="Q271" s="304" t="str">
        <f t="shared" si="5"/>
        <v/>
      </c>
      <c r="S271" s="157"/>
      <c r="T271" s="5"/>
      <c r="U271" s="5"/>
      <c r="V271" s="158"/>
      <c r="W271" s="158"/>
      <c r="X271" s="158"/>
      <c r="Y271" s="158"/>
      <c r="Z271" s="158"/>
      <c r="AA271" s="158"/>
      <c r="AB271" s="158"/>
      <c r="AC271" s="158"/>
      <c r="AD271" s="158"/>
      <c r="AE271" s="158"/>
      <c r="AF271" s="158"/>
      <c r="AG271" s="158"/>
    </row>
    <row r="272" ht="15.75" hidden="1" customHeight="1">
      <c r="A272" s="90"/>
      <c r="B272" s="6"/>
      <c r="C272" s="90"/>
      <c r="D272" s="185"/>
      <c r="E272" s="260"/>
      <c r="F272" s="187"/>
      <c r="G272" s="187"/>
      <c r="H272" s="195"/>
      <c r="I272" s="164"/>
      <c r="J272" s="248"/>
      <c r="K272" s="251"/>
      <c r="L272" s="164"/>
      <c r="M272" s="134" t="str">
        <f>I137</f>
        <v/>
      </c>
      <c r="N272" s="135" t="str">
        <f>iferror(mround($P137*((VLOOKUP($J272,Sheet1!$D:$N,$G272+1,FALSE)-0.03)),2.5)," ")</f>
        <v> </v>
      </c>
      <c r="O272" s="135" t="str">
        <f>iferror(mround($P137*((VLOOKUP($J272,Sheet1!$D:$N,$G272+1,FALSE)+0.02)),2.5)," ")</f>
        <v> </v>
      </c>
      <c r="P272" s="112" t="str">
        <f>iferror(mround(I272/VLOOKUP(L272,Sheet1!$D$7:$N$16,G272+1,FALSE),2.5),"")</f>
        <v/>
      </c>
      <c r="Q272" s="303" t="str">
        <f t="shared" si="5"/>
        <v/>
      </c>
      <c r="S272" s="11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</row>
    <row r="273" ht="3.75" hidden="1" customHeight="1">
      <c r="A273" s="90"/>
      <c r="B273" s="6"/>
      <c r="C273" s="90"/>
      <c r="D273" s="263"/>
      <c r="E273" s="252"/>
      <c r="F273" s="102"/>
      <c r="G273" s="102"/>
      <c r="H273" s="102"/>
      <c r="I273" s="102"/>
      <c r="J273" s="156"/>
      <c r="K273" s="249"/>
      <c r="L273" s="210"/>
      <c r="M273" s="144"/>
      <c r="N273" s="145"/>
      <c r="O273" s="145"/>
      <c r="P273" s="122"/>
      <c r="Q273" s="304" t="str">
        <f t="shared" si="5"/>
        <v/>
      </c>
      <c r="S273" s="11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</row>
    <row r="274" ht="15.75" hidden="1" customHeight="1">
      <c r="A274" s="90"/>
      <c r="B274" s="6"/>
      <c r="C274" s="90"/>
      <c r="D274" s="185"/>
      <c r="E274" s="266"/>
      <c r="F274" s="187"/>
      <c r="G274" s="187"/>
      <c r="H274" s="195"/>
      <c r="I274" s="164"/>
      <c r="J274" s="248"/>
      <c r="K274" s="251"/>
      <c r="L274" s="164"/>
      <c r="M274" s="134" t="str">
        <f>I139</f>
        <v/>
      </c>
      <c r="N274" s="135" t="str">
        <f>iferror(mround($P139*((VLOOKUP($J274,Sheet1!$D:$N,$G274+1,FALSE)-0.03)),2.5)," ")</f>
        <v> </v>
      </c>
      <c r="O274" s="135" t="str">
        <f>iferror(mround($P139*((VLOOKUP($J274,Sheet1!$D:$N,$G274+1,FALSE)+0.02)),2.5)," ")</f>
        <v> </v>
      </c>
      <c r="P274" s="112" t="str">
        <f>iferror(mround(I274/VLOOKUP(L274,Sheet1!$D$7:$N$16,G274+1,FALSE),2.5),"")</f>
        <v/>
      </c>
      <c r="Q274" s="303" t="str">
        <f t="shared" si="5"/>
        <v/>
      </c>
      <c r="S274" s="11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</row>
    <row r="275" ht="3.75" customHeight="1">
      <c r="A275" s="191"/>
      <c r="B275" s="6"/>
      <c r="C275" s="192"/>
      <c r="D275" s="192"/>
      <c r="E275" s="267"/>
      <c r="F275" s="194"/>
      <c r="G275" s="194"/>
      <c r="H275" s="155"/>
      <c r="I275" s="210"/>
      <c r="J275" s="268"/>
      <c r="K275" s="249"/>
      <c r="L275" s="269"/>
      <c r="M275" s="270"/>
      <c r="N275" s="269"/>
      <c r="O275" s="269"/>
      <c r="P275" s="271"/>
      <c r="Q275" s="272"/>
      <c r="R275" s="273"/>
      <c r="S275" s="157"/>
      <c r="T275" s="5"/>
      <c r="U275" s="5"/>
      <c r="V275" s="158"/>
      <c r="W275" s="158"/>
      <c r="X275" s="158"/>
      <c r="Y275" s="158"/>
      <c r="Z275" s="158"/>
      <c r="AA275" s="158"/>
      <c r="AB275" s="158"/>
      <c r="AC275" s="158"/>
      <c r="AD275" s="158"/>
      <c r="AE275" s="158"/>
      <c r="AF275" s="158"/>
      <c r="AG275" s="158"/>
    </row>
    <row r="276" ht="14.25" customHeight="1">
      <c r="A276" s="5"/>
      <c r="B276" s="6"/>
      <c r="C276" s="5"/>
      <c r="D276" s="274"/>
      <c r="E276" s="266"/>
      <c r="F276" s="187"/>
      <c r="G276" s="187"/>
      <c r="H276" s="195"/>
      <c r="I276" s="129"/>
      <c r="J276" s="275"/>
      <c r="K276" s="276"/>
      <c r="L276" s="187"/>
      <c r="M276" s="187"/>
      <c r="N276" s="187"/>
      <c r="O276" s="187"/>
      <c r="P276" s="277"/>
      <c r="Q276" s="278"/>
      <c r="R276" s="279"/>
      <c r="S276" s="11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</row>
    <row r="277" ht="14.25" customHeight="1">
      <c r="A277" s="5"/>
      <c r="B277" s="6"/>
      <c r="C277" s="5"/>
      <c r="D277" s="274" t="s">
        <v>59</v>
      </c>
      <c r="E277" s="266" t="s">
        <v>16</v>
      </c>
      <c r="F277" s="187" t="s">
        <v>17</v>
      </c>
      <c r="G277" s="187" t="s">
        <v>60</v>
      </c>
      <c r="H277" s="187"/>
      <c r="I277" s="280" t="s">
        <v>61</v>
      </c>
      <c r="J277" s="266" t="s">
        <v>62</v>
      </c>
      <c r="K277" s="274"/>
      <c r="L277" s="187"/>
      <c r="M277" s="285"/>
      <c r="N277" s="285"/>
      <c r="O277" s="285"/>
      <c r="P277" s="282"/>
      <c r="Q277" s="278"/>
      <c r="R277" s="157"/>
      <c r="S277" s="11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</row>
    <row r="278" ht="14.25" customHeight="1">
      <c r="A278" s="5"/>
      <c r="B278" s="6"/>
      <c r="C278" s="5"/>
      <c r="D278" s="274" t="s">
        <v>6</v>
      </c>
      <c r="E278" s="283">
        <f>IFERROR(__xludf.DUMMYFUNCTION("SUM(FILTER(F153:F277, ISNUMBER(SEARCH(""squat"", D153:D277))))"),8.0)</f>
        <v>8</v>
      </c>
      <c r="F278" s="284">
        <f>IFERROR(__xludf.DUMMYFUNCTION("SUMPRODUCT(FILTER(F153:F277 * G153:G277, ISNUMBER(SEARCH(""squat"", D153:D277))))"),42.0)</f>
        <v>42</v>
      </c>
      <c r="G278" s="135">
        <f>IFERROR(__xludf.DUMMYFUNCTION("ROUND(SUMPRODUCT(FILTER(F153:F277 * G153:G277 * I153:I277, ISNUMBER(SEARCH(""squat"", D153:D277)))), 0)"),16336.0)</f>
        <v>16336</v>
      </c>
      <c r="H278" s="285"/>
      <c r="I278" s="135">
        <f>IFERROR(__xludf.DUMMYFUNCTION("ROUND(AVERAGE(FILTER(I153:I277, ISNUMBER(SEARCH(""squat"", D153:D277)), I153:I277 &lt;&gt; """")) / J278 * 100, 0)"),74.0)</f>
        <v>74</v>
      </c>
      <c r="J278" s="283">
        <f>IFERROR(__xludf.DUMMYFUNCTION("IFERROR(MROUND(AVERAGE(FILTER(P153:P277, D153:D277 = ""comp squat"", P153:P277 &lt;&gt; """", P153:P277 &gt;= 0.9 * MAX(FILTER(P153:P277, D153:D277 = ""comp squat"", P153:P277 &lt;&gt; """")), P153:P277 &lt;= 1.1 * MAX(FILTER(P153:P277, D153:D277 = ""comp squat"", P153:P27"&amp;"7 &lt;&gt; """")))), 2.5), ""No valid data"")"),535.0)</f>
        <v>535</v>
      </c>
      <c r="K278" s="286"/>
      <c r="L278" s="287">
        <f>MROUND(J278/2.2046,2.5)-$O$10</f>
        <v>0</v>
      </c>
      <c r="M278" s="305"/>
      <c r="N278" s="305"/>
      <c r="O278" s="305"/>
      <c r="P278" s="282"/>
      <c r="Q278" s="278"/>
      <c r="R278" s="291"/>
      <c r="S278" s="11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</row>
    <row r="279" ht="3.0" customHeight="1">
      <c r="A279" s="5"/>
      <c r="B279" s="6"/>
      <c r="C279" s="5"/>
      <c r="D279" s="90"/>
      <c r="E279" s="156"/>
      <c r="F279" s="102"/>
      <c r="G279" s="145"/>
      <c r="H279" s="102"/>
      <c r="I279" s="145"/>
      <c r="J279" s="156"/>
      <c r="K279" s="286"/>
      <c r="L279" s="292"/>
      <c r="M279" s="284"/>
      <c r="N279" s="284"/>
      <c r="O279" s="305"/>
      <c r="P279" s="282"/>
      <c r="Q279" s="278"/>
      <c r="R279" s="115"/>
      <c r="S279" s="11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</row>
    <row r="280" ht="15.75" customHeight="1">
      <c r="A280" s="5"/>
      <c r="B280" s="6"/>
      <c r="C280" s="5"/>
      <c r="D280" s="274" t="s">
        <v>66</v>
      </c>
      <c r="E280" s="293">
        <f>IFERROR(__xludf.DUMMYFUNCTION("SUM(FILTER(F153:F277, ISNUMBER(SEARCH(""bench press"", D153:D277))))"),19.0)</f>
        <v>19</v>
      </c>
      <c r="F280" s="284">
        <f>IFERROR(__xludf.DUMMYFUNCTION("SUMPRODUCT(FILTER(F154:F278 * G154:G278, ISNUMBER(SEARCH(""bench press"", D154:D278))))"),69.0)</f>
        <v>69</v>
      </c>
      <c r="G280" s="135">
        <f>IFERROR(__xludf.DUMMYFUNCTION("ROUND(SUMPRODUCT(FILTER(F153:F277 * G153:G277 * I153:I277, ISNUMBER(SEARCH(""bench press"", D153:D277)))), 0)"),18315.0)</f>
        <v>18315</v>
      </c>
      <c r="H280" s="285"/>
      <c r="I280" s="135">
        <f>IFERROR(__xludf.DUMMYFUNCTION("ROUND(AVERAGE(FILTER(I153:I277, ISNUMBER(SEARCH(""bench press"", D153:D277)), I153:I277 &lt;&gt; """")) / J280 * 100, 0)"),81.0)</f>
        <v>81</v>
      </c>
      <c r="J280" s="293">
        <f>IFERROR(__xludf.DUMMYFUNCTION("IFERROR(MROUND(AVERAGE(FILTER(P153:P277, D153:D277 = ""comp bench press"", P153:P277 &lt;&gt; """", P153:P277 &gt;= 0.9 * MAX(FILTER(P153:P277, D153:D277 = ""comp bench press"", P153:P277 &lt;&gt; """")), P153:P277 &lt;= 1.1 * MAX(FILTER(P153:P277, D153:D277 = ""comp bench"&amp;" press"", P153:P277 &lt;&gt; """")))), 2.5), ""No valid data"")"),345.0)</f>
        <v>345</v>
      </c>
      <c r="K280" s="286"/>
      <c r="L280" s="294">
        <f>MROUND(J280/2.2046,2.5)-$O$11</f>
        <v>5</v>
      </c>
      <c r="M280" s="285"/>
      <c r="N280" s="285"/>
      <c r="O280" s="305"/>
      <c r="P280" s="282"/>
      <c r="Q280" s="278"/>
      <c r="R280" s="157"/>
      <c r="S280" s="11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</row>
    <row r="281" ht="3.0" customHeight="1">
      <c r="A281" s="5"/>
      <c r="B281" s="6"/>
      <c r="C281" s="5"/>
      <c r="D281" s="90"/>
      <c r="E281" s="156"/>
      <c r="F281" s="102"/>
      <c r="G281" s="145"/>
      <c r="H281" s="102"/>
      <c r="I281" s="145"/>
      <c r="J281" s="156"/>
      <c r="K281" s="286"/>
      <c r="L281" s="292"/>
      <c r="M281" s="285"/>
      <c r="N281" s="285"/>
      <c r="O281" s="284"/>
      <c r="P281" s="282"/>
      <c r="Q281" s="278"/>
      <c r="R281" s="157"/>
      <c r="S281" s="11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</row>
    <row r="282" ht="14.25" customHeight="1">
      <c r="A282" s="5"/>
      <c r="B282" s="6"/>
      <c r="C282" s="5"/>
      <c r="D282" s="274" t="s">
        <v>10</v>
      </c>
      <c r="E282" s="293">
        <f>IFERROR(__xludf.DUMMYFUNCTION("SUM(FILTER(F153:F277, ISNUMBER(SEARCH(""deadlift"", D153:D277))))"),7.0)</f>
        <v>7</v>
      </c>
      <c r="F282" s="284">
        <f>IFERROR(__xludf.DUMMYFUNCTION("SUMPRODUCT(FILTER(F153:F277 * G153:G277, ISNUMBER(SEARCH(""deadlift"", D153:D277))))"),25.0)</f>
        <v>25</v>
      </c>
      <c r="G282" s="135">
        <f>IFERROR(__xludf.DUMMYFUNCTION("ROUND(SUMPRODUCT(FILTER(F153:F277 * G153:G277 * I153:I277, ISNUMBER(SEARCH(""deadlift"", D153:D277)))), 0)"),11442.0)</f>
        <v>11442</v>
      </c>
      <c r="H282" s="285"/>
      <c r="I282" s="135">
        <f>IFERROR(__xludf.DUMMYFUNCTION("ROUND(AVERAGE(FILTER(I153:I277, ISNUMBER(SEARCH(""deadlift"", D153:D277)), I153:I277 &lt;&gt; """")) / J282 * 100, 0)"),76.0)</f>
        <v>76</v>
      </c>
      <c r="J282" s="293">
        <f>IFERROR(__xludf.DUMMYFUNCTION("IFERROR(MROUND(AVERAGE(FILTER(P153:P277, D153:D277 = ""comp deadlift"", P153:P277 &lt;&gt; """", P153:P277 &gt;= 0.9 * MAX(FILTER(P153:P277, D153:D277 = ""comp deadlift"", P153:P277 &lt;&gt; """")), P153:P277 &lt;= 1.1 * MAX(FILTER(P153:P277, D153:D277 = ""comp deadlift"","&amp;" P153:P277 &lt;&gt; """")))), 2.5), ""No valid data"")"),612.5)</f>
        <v>612.5</v>
      </c>
      <c r="K282" s="286"/>
      <c r="L282" s="294">
        <f>MROUND(J282/2.2046,2.5)-$O$12</f>
        <v>12.5</v>
      </c>
      <c r="M282" s="285"/>
      <c r="N282" s="285"/>
      <c r="O282" s="285"/>
      <c r="P282" s="282"/>
      <c r="Q282" s="278"/>
      <c r="R282" s="157"/>
      <c r="S282" s="11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</row>
    <row r="283" ht="14.25" customHeight="1">
      <c r="A283" s="5"/>
      <c r="B283" s="6"/>
      <c r="C283" s="5"/>
      <c r="D283" s="274"/>
      <c r="E283" s="266"/>
      <c r="F283" s="187"/>
      <c r="G283" s="187"/>
      <c r="H283" s="187"/>
      <c r="I283" s="187"/>
      <c r="J283" s="295"/>
      <c r="K283" s="274"/>
      <c r="L283" s="187"/>
      <c r="M283" s="285"/>
      <c r="N283" s="285"/>
      <c r="O283" s="285"/>
      <c r="P283" s="282"/>
      <c r="Q283" s="278"/>
      <c r="R283" s="157"/>
      <c r="S283" s="11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</row>
    <row r="284" ht="14.25" customHeight="1">
      <c r="A284" s="5"/>
      <c r="B284" s="2"/>
      <c r="C284" s="5"/>
      <c r="D284" s="5"/>
      <c r="E284" s="75"/>
      <c r="F284" s="3"/>
      <c r="G284" s="3"/>
      <c r="H284" s="3"/>
      <c r="I284" s="3"/>
      <c r="J284" s="75"/>
      <c r="K284" s="5"/>
      <c r="L284" s="3"/>
      <c r="M284" s="47"/>
      <c r="N284" s="3"/>
      <c r="O284" s="3"/>
      <c r="P284" s="3"/>
      <c r="Q284" s="4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</row>
    <row r="285" ht="18.75" customHeight="1">
      <c r="A285" s="90"/>
      <c r="B285" s="6"/>
      <c r="C285" s="91"/>
      <c r="D285" s="79" t="s">
        <v>72</v>
      </c>
      <c r="E285" s="80" t="s">
        <v>13</v>
      </c>
      <c r="G285" s="81"/>
      <c r="H285" s="81"/>
      <c r="I285" s="81"/>
      <c r="J285" s="82"/>
      <c r="K285" s="83"/>
      <c r="L285" s="83"/>
      <c r="M285" s="93"/>
      <c r="N285" s="93"/>
      <c r="O285" s="93"/>
      <c r="P285" s="296"/>
      <c r="Q285" s="297"/>
      <c r="R285" s="298"/>
      <c r="S285" s="10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</row>
    <row r="286" ht="18.75" customHeight="1">
      <c r="A286" s="90"/>
      <c r="B286" s="6"/>
      <c r="C286" s="91"/>
      <c r="D286" s="299">
        <f>D151+1</f>
        <v>3</v>
      </c>
      <c r="E286" s="300" t="str">
        <f>IF(E151 = "", "", E151 - 1)</f>
        <v/>
      </c>
      <c r="G286" s="301"/>
      <c r="H286" s="301"/>
      <c r="I286" s="301"/>
      <c r="J286" s="92"/>
      <c r="K286" s="93"/>
      <c r="L286" s="93"/>
      <c r="M286" s="93"/>
      <c r="N286" s="93"/>
      <c r="O286" s="93"/>
      <c r="P286" s="94"/>
      <c r="Q286" s="95"/>
      <c r="R286" s="96"/>
      <c r="S286" s="10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</row>
    <row r="287" ht="5.25" customHeight="1">
      <c r="A287" s="90"/>
      <c r="B287" s="6"/>
      <c r="C287" s="90"/>
      <c r="D287" s="97"/>
      <c r="E287" s="98"/>
      <c r="F287" s="99"/>
      <c r="G287" s="99"/>
      <c r="H287" s="99"/>
      <c r="I287" s="100"/>
      <c r="J287" s="101"/>
      <c r="K287" s="90"/>
      <c r="L287" s="102"/>
      <c r="M287" s="102"/>
      <c r="N287" s="102"/>
      <c r="O287" s="102"/>
      <c r="P287" s="103"/>
      <c r="Q287" s="4"/>
      <c r="R287" s="90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</row>
    <row r="288" ht="30.75" customHeight="1">
      <c r="A288" s="90"/>
      <c r="B288" s="6"/>
      <c r="C288" s="90"/>
      <c r="D288" s="202" t="s">
        <v>73</v>
      </c>
      <c r="E288" s="105" t="s">
        <v>75</v>
      </c>
      <c r="F288" s="106" t="s">
        <v>16</v>
      </c>
      <c r="G288" s="106" t="s">
        <v>17</v>
      </c>
      <c r="H288" s="107"/>
      <c r="I288" s="106" t="s">
        <v>18</v>
      </c>
      <c r="J288" s="108" t="s">
        <v>19</v>
      </c>
      <c r="L288" s="109" t="s">
        <v>20</v>
      </c>
      <c r="M288" s="110" t="s">
        <v>21</v>
      </c>
      <c r="N288" s="111" t="s">
        <v>22</v>
      </c>
      <c r="P288" s="112"/>
      <c r="Q288" s="113" t="s">
        <v>23</v>
      </c>
      <c r="R288" s="114" t="s">
        <v>24</v>
      </c>
      <c r="S288" s="11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</row>
    <row r="289" ht="14.25" customHeight="1">
      <c r="A289" s="90"/>
      <c r="B289" s="6"/>
      <c r="C289" s="90"/>
      <c r="D289" s="116">
        <v>3.0</v>
      </c>
      <c r="E289" s="117">
        <v>2.0</v>
      </c>
      <c r="H289" s="107"/>
      <c r="N289" s="111" t="s">
        <v>27</v>
      </c>
      <c r="O289" s="111" t="s">
        <v>28</v>
      </c>
      <c r="P289" s="112" t="s">
        <v>29</v>
      </c>
      <c r="R289" s="118" t="s">
        <v>30</v>
      </c>
      <c r="S289" s="11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</row>
    <row r="290" ht="3.75" customHeight="1">
      <c r="A290" s="90"/>
      <c r="B290" s="6"/>
      <c r="C290" s="90"/>
      <c r="D290" s="97"/>
      <c r="E290" s="98"/>
      <c r="F290" s="99"/>
      <c r="G290" s="99"/>
      <c r="H290" s="99"/>
      <c r="I290" s="100"/>
      <c r="J290" s="302"/>
      <c r="K290" s="90"/>
      <c r="L290" s="102"/>
      <c r="M290" s="121"/>
      <c r="N290" s="102"/>
      <c r="O290" s="102"/>
      <c r="P290" s="122"/>
      <c r="Q290" s="4"/>
      <c r="R290" s="123"/>
      <c r="S290" s="11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</row>
    <row r="291" ht="15.75" customHeight="1">
      <c r="A291" s="124"/>
      <c r="B291" s="6"/>
      <c r="C291" s="124"/>
      <c r="D291" s="125" t="s">
        <v>77</v>
      </c>
      <c r="E291" s="126"/>
      <c r="F291" s="127">
        <v>1.0</v>
      </c>
      <c r="G291" s="240">
        <v>6.0</v>
      </c>
      <c r="H291" s="129"/>
      <c r="I291" s="130">
        <v>402.0</v>
      </c>
      <c r="J291" s="151">
        <v>6.0</v>
      </c>
      <c r="K291" s="132"/>
      <c r="L291" s="133">
        <v>6.0</v>
      </c>
      <c r="M291" s="134">
        <f>I156</f>
        <v>386</v>
      </c>
      <c r="N291" s="135">
        <f>iferror(mround($P156*((VLOOKUP($J291,Sheet1!$D:$N,$G291+1,FALSE)-0.03)),2.5)," ")</f>
        <v>0</v>
      </c>
      <c r="O291" s="135">
        <f>iferror(mround($P156*((VLOOKUP($J291,Sheet1!$D:$N,$G291+1,FALSE)+0.02)),2.5)," ")</f>
        <v>0</v>
      </c>
      <c r="P291" s="56">
        <f>iferror(mround(I291/VLOOKUP(L291,Sheet1!$D$7:$N$16,G291+1,FALSE),2.5),"")</f>
        <v>542.5</v>
      </c>
      <c r="Q291" s="303">
        <f t="shared" ref="Q291:Q312" si="6">IF(OR(ISBLANK(I291), ISBLANK(I156)), "", IF(I291 - I156 = 0, "", I291 - I156))</f>
        <v>16</v>
      </c>
      <c r="S291" s="11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</row>
    <row r="292" ht="3.75" customHeight="1">
      <c r="A292" s="137"/>
      <c r="B292" s="70"/>
      <c r="C292" s="137"/>
      <c r="D292" s="138"/>
      <c r="E292" s="139"/>
      <c r="F292" s="140"/>
      <c r="G292" s="140"/>
      <c r="H292" s="140"/>
      <c r="I292" s="140"/>
      <c r="J292" s="141"/>
      <c r="K292" s="142"/>
      <c r="L292" s="143"/>
      <c r="M292" s="144"/>
      <c r="N292" s="145"/>
      <c r="O292" s="145"/>
      <c r="P292" s="122"/>
      <c r="Q292" s="304" t="str">
        <f t="shared" si="6"/>
        <v/>
      </c>
      <c r="S292" s="147"/>
      <c r="T292" s="148"/>
      <c r="U292" s="148"/>
      <c r="V292" s="148"/>
      <c r="W292" s="148"/>
      <c r="X292" s="148"/>
      <c r="Y292" s="148"/>
      <c r="Z292" s="148"/>
      <c r="AA292" s="148"/>
      <c r="AB292" s="148"/>
      <c r="AC292" s="148"/>
      <c r="AD292" s="148"/>
      <c r="AE292" s="148"/>
      <c r="AF292" s="148"/>
      <c r="AG292" s="148"/>
    </row>
    <row r="293" ht="15.75" customHeight="1">
      <c r="A293" s="149"/>
      <c r="B293" s="150"/>
      <c r="C293" s="149"/>
      <c r="D293" s="125" t="s">
        <v>77</v>
      </c>
      <c r="E293" s="126"/>
      <c r="F293" s="127">
        <v>1.0</v>
      </c>
      <c r="G293" s="240">
        <v>6.0</v>
      </c>
      <c r="H293" s="129"/>
      <c r="I293" s="130">
        <v>430.0</v>
      </c>
      <c r="J293" s="151">
        <v>7.0</v>
      </c>
      <c r="K293" s="132"/>
      <c r="L293" s="133">
        <v>7.0</v>
      </c>
      <c r="M293" s="134">
        <f>I158</f>
        <v>413</v>
      </c>
      <c r="N293" s="135">
        <f>iferror(mround($P158*((VLOOKUP($J293,Sheet1!$D:$N,$G293+1,FALSE)-0.03)),2.5)," ")</f>
        <v>405</v>
      </c>
      <c r="O293" s="135">
        <f>iferror(mround($P158*((VLOOKUP($J293,Sheet1!$D:$N,$G293+1,FALSE)+0.02)),2.5)," ")</f>
        <v>432.5</v>
      </c>
      <c r="P293" s="56">
        <f>iferror(mround(I293/VLOOKUP(L293,Sheet1!$D$7:$N$16,G293+1,FALSE),2.5),"")</f>
        <v>562.5</v>
      </c>
      <c r="Q293" s="303">
        <f t="shared" si="6"/>
        <v>17</v>
      </c>
      <c r="S293" s="11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</row>
    <row r="294" ht="3.75" customHeight="1">
      <c r="A294" s="152"/>
      <c r="B294" s="150"/>
      <c r="C294" s="153"/>
      <c r="D294" s="138"/>
      <c r="E294" s="154"/>
      <c r="F294" s="155"/>
      <c r="G294" s="102"/>
      <c r="H294" s="102"/>
      <c r="I294" s="102"/>
      <c r="J294" s="156"/>
      <c r="K294" s="142"/>
      <c r="L294" s="143"/>
      <c r="M294" s="144"/>
      <c r="N294" s="145"/>
      <c r="O294" s="145"/>
      <c r="P294" s="122"/>
      <c r="Q294" s="304" t="str">
        <f t="shared" si="6"/>
        <v/>
      </c>
      <c r="S294" s="157"/>
      <c r="T294" s="5"/>
      <c r="U294" s="5"/>
      <c r="V294" s="158"/>
      <c r="W294" s="158"/>
      <c r="X294" s="158"/>
      <c r="Y294" s="158"/>
      <c r="Z294" s="158"/>
      <c r="AA294" s="158"/>
      <c r="AB294" s="158"/>
      <c r="AC294" s="158"/>
      <c r="AD294" s="158"/>
      <c r="AE294" s="158"/>
      <c r="AF294" s="158"/>
      <c r="AG294" s="158"/>
    </row>
    <row r="295" ht="15.75" customHeight="1">
      <c r="A295" s="149"/>
      <c r="B295" s="150"/>
      <c r="C295" s="149"/>
      <c r="D295" s="125" t="s">
        <v>77</v>
      </c>
      <c r="E295" s="126"/>
      <c r="F295" s="127">
        <v>1.0</v>
      </c>
      <c r="G295" s="161">
        <v>6.0</v>
      </c>
      <c r="H295" s="129"/>
      <c r="I295" s="164">
        <f>MROUND(I293*(1+J295),5)</f>
        <v>385</v>
      </c>
      <c r="J295" s="165">
        <v>-0.1</v>
      </c>
      <c r="K295" s="132"/>
      <c r="L295" s="133">
        <v>6.0</v>
      </c>
      <c r="M295" s="134">
        <f>I160</f>
        <v>391</v>
      </c>
      <c r="N295" s="135" t="str">
        <f>iferror(mround($P160*((VLOOKUP($J295,Sheet1!$D:$N,$G295+1,FALSE)-0.03)),2.5)," ")</f>
        <v> </v>
      </c>
      <c r="O295" s="135" t="str">
        <f>iferror(mround($P160*((VLOOKUP($J295,Sheet1!$D:$N,$G295+1,FALSE)+0.02)),2.5)," ")</f>
        <v> </v>
      </c>
      <c r="P295" s="56">
        <f>iferror(mround(I295/VLOOKUP(L295,Sheet1!$D$7:$N$16,G295+1,FALSE),2.5),"")</f>
        <v>520</v>
      </c>
      <c r="Q295" s="303">
        <f t="shared" si="6"/>
        <v>-6</v>
      </c>
      <c r="S295" s="11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</row>
    <row r="296" ht="3.75" customHeight="1">
      <c r="A296" s="162"/>
      <c r="B296" s="163"/>
      <c r="C296" s="162"/>
      <c r="D296" s="138"/>
      <c r="E296" s="154"/>
      <c r="F296" s="155"/>
      <c r="G296" s="102"/>
      <c r="H296" s="102"/>
      <c r="I296" s="102"/>
      <c r="J296" s="156"/>
      <c r="K296" s="142"/>
      <c r="L296" s="143"/>
      <c r="M296" s="144"/>
      <c r="N296" s="145"/>
      <c r="O296" s="145"/>
      <c r="P296" s="122"/>
      <c r="Q296" s="304" t="str">
        <f t="shared" si="6"/>
        <v/>
      </c>
      <c r="S296" s="147"/>
      <c r="T296" s="148"/>
      <c r="U296" s="148"/>
      <c r="V296" s="148"/>
      <c r="W296" s="148"/>
      <c r="X296" s="148"/>
      <c r="Y296" s="148"/>
      <c r="Z296" s="148"/>
      <c r="AA296" s="148"/>
      <c r="AB296" s="148"/>
      <c r="AC296" s="148"/>
      <c r="AD296" s="148"/>
      <c r="AE296" s="148"/>
      <c r="AF296" s="148"/>
      <c r="AG296" s="148"/>
    </row>
    <row r="297" ht="15.75" customHeight="1">
      <c r="A297" s="149"/>
      <c r="B297" s="150"/>
      <c r="C297" s="149"/>
      <c r="D297" s="159" t="s">
        <v>33</v>
      </c>
      <c r="E297" s="160" t="s">
        <v>34</v>
      </c>
      <c r="F297" s="127">
        <v>1.0</v>
      </c>
      <c r="G297" s="161">
        <v>5.0</v>
      </c>
      <c r="H297" s="129"/>
      <c r="I297" s="130">
        <v>275.0</v>
      </c>
      <c r="J297" s="151">
        <v>7.5</v>
      </c>
      <c r="K297" s="132"/>
      <c r="L297" s="133">
        <v>7.5</v>
      </c>
      <c r="M297" s="134">
        <f>I162</f>
        <v>265</v>
      </c>
      <c r="N297" s="135">
        <f>iferror(mround($P162*((VLOOKUP($J297,Sheet1!$D:$N,$G297+1,FALSE)-0.03)),2.5)," ")</f>
        <v>260</v>
      </c>
      <c r="O297" s="135">
        <f>iferror(mround($P162*((VLOOKUP($J297,Sheet1!$D:$N,$G297+1,FALSE)+0.02)),2.5)," ")</f>
        <v>275</v>
      </c>
      <c r="P297" s="56">
        <f>iferror(mround(I297/VLOOKUP(L297,Sheet1!$D$7:$N$16,G297+1,FALSE),2.5),"")</f>
        <v>342.5</v>
      </c>
      <c r="Q297" s="303">
        <f t="shared" si="6"/>
        <v>10</v>
      </c>
      <c r="S297" s="11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</row>
    <row r="298" ht="3.75" customHeight="1">
      <c r="A298" s="162"/>
      <c r="B298" s="163"/>
      <c r="C298" s="162"/>
      <c r="D298" s="138"/>
      <c r="E298" s="139"/>
      <c r="F298" s="140"/>
      <c r="G298" s="140"/>
      <c r="H298" s="140"/>
      <c r="I298" s="140"/>
      <c r="J298" s="141"/>
      <c r="K298" s="142"/>
      <c r="L298" s="143"/>
      <c r="M298" s="144"/>
      <c r="N298" s="145"/>
      <c r="O298" s="145"/>
      <c r="P298" s="122"/>
      <c r="Q298" s="304" t="str">
        <f t="shared" si="6"/>
        <v/>
      </c>
      <c r="S298" s="147"/>
      <c r="T298" s="148"/>
      <c r="U298" s="148"/>
      <c r="V298" s="148"/>
      <c r="W298" s="148"/>
      <c r="X298" s="148"/>
      <c r="Y298" s="148"/>
      <c r="Z298" s="148"/>
      <c r="AA298" s="148"/>
      <c r="AB298" s="148"/>
      <c r="AC298" s="148"/>
      <c r="AD298" s="148"/>
      <c r="AE298" s="148"/>
      <c r="AF298" s="148"/>
      <c r="AG298" s="148"/>
    </row>
    <row r="299" ht="15.75" customHeight="1">
      <c r="A299" s="90"/>
      <c r="B299" s="6"/>
      <c r="C299" s="90"/>
      <c r="D299" s="159" t="s">
        <v>33</v>
      </c>
      <c r="E299" s="160" t="s">
        <v>34</v>
      </c>
      <c r="F299" s="127">
        <v>3.0</v>
      </c>
      <c r="G299" s="161">
        <v>5.0</v>
      </c>
      <c r="H299" s="129"/>
      <c r="I299" s="164">
        <f>MROUND(I297*(1+J299),5)</f>
        <v>250</v>
      </c>
      <c r="J299" s="165">
        <v>-0.1</v>
      </c>
      <c r="K299" s="132"/>
      <c r="L299" s="133">
        <v>6.5</v>
      </c>
      <c r="M299" s="134">
        <f>I164</f>
        <v>240</v>
      </c>
      <c r="N299" s="135" t="str">
        <f>iferror(mround($P164*((VLOOKUP($J299,Sheet1!$D:$N,$G299+1,FALSE)-0.03)),2.5)," ")</f>
        <v> </v>
      </c>
      <c r="O299" s="135" t="str">
        <f>iferror(mround($P164*((VLOOKUP($J299,Sheet1!$D:$N,$G299+1,FALSE)+0.02)),2.5)," ")</f>
        <v> </v>
      </c>
      <c r="P299" s="56">
        <f>iferror(mround(I299/VLOOKUP(L299,Sheet1!$D$7:$N$16,G299+1,FALSE),2.5),"")</f>
        <v>322.5</v>
      </c>
      <c r="Q299" s="303">
        <f t="shared" si="6"/>
        <v>10</v>
      </c>
      <c r="S299" s="11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</row>
    <row r="300" ht="3.75" customHeight="1">
      <c r="A300" s="168"/>
      <c r="B300" s="70"/>
      <c r="C300" s="168"/>
      <c r="D300" s="138"/>
      <c r="E300" s="139"/>
      <c r="F300" s="102"/>
      <c r="G300" s="102"/>
      <c r="H300" s="102"/>
      <c r="I300" s="102"/>
      <c r="J300" s="156"/>
      <c r="K300" s="142"/>
      <c r="L300" s="143"/>
      <c r="M300" s="144"/>
      <c r="N300" s="145"/>
      <c r="O300" s="145"/>
      <c r="P300" s="122"/>
      <c r="Q300" s="304" t="str">
        <f t="shared" si="6"/>
        <v/>
      </c>
      <c r="S300" s="147"/>
      <c r="T300" s="148"/>
      <c r="U300" s="148"/>
      <c r="V300" s="148"/>
      <c r="W300" s="148"/>
      <c r="X300" s="148"/>
      <c r="Y300" s="148"/>
      <c r="Z300" s="148"/>
      <c r="AA300" s="148"/>
      <c r="AB300" s="148"/>
      <c r="AC300" s="148"/>
      <c r="AD300" s="148"/>
      <c r="AE300" s="148"/>
      <c r="AF300" s="148"/>
      <c r="AG300" s="148"/>
    </row>
    <row r="301" ht="15.75" customHeight="1">
      <c r="A301" s="90"/>
      <c r="B301" s="6"/>
      <c r="C301" s="90"/>
      <c r="D301" s="166" t="s">
        <v>35</v>
      </c>
      <c r="E301" s="167" t="s">
        <v>79</v>
      </c>
      <c r="F301" s="127">
        <v>2.0</v>
      </c>
      <c r="G301" s="161">
        <v>7.0</v>
      </c>
      <c r="H301" s="129"/>
      <c r="I301" s="130">
        <v>259.0</v>
      </c>
      <c r="J301" s="151">
        <v>8.0</v>
      </c>
      <c r="K301" s="170" t="s">
        <v>80</v>
      </c>
      <c r="L301" s="133">
        <v>9.0</v>
      </c>
      <c r="M301" s="134">
        <f>I166</f>
        <v>253</v>
      </c>
      <c r="N301" s="135">
        <f>iferror(mround($P166*((VLOOKUP($J301,Sheet1!$D:$N,$G301+1,FALSE)-0.03)),2.5)," ")</f>
        <v>0</v>
      </c>
      <c r="O301" s="135">
        <f>iferror(mround($P166*((VLOOKUP($J301,Sheet1!$D:$N,$G301+1,FALSE)+0.02)),2.5)," ")</f>
        <v>0</v>
      </c>
      <c r="P301" s="56">
        <f>iferror(mround(I301/VLOOKUP(L301,Sheet1!$D$7:$N$16,G301+1,FALSE),2.5),"")</f>
        <v>327.5</v>
      </c>
      <c r="Q301" s="303">
        <f t="shared" si="6"/>
        <v>6</v>
      </c>
      <c r="S301" s="11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</row>
    <row r="302" ht="3.75" customHeight="1">
      <c r="A302" s="90"/>
      <c r="B302" s="6"/>
      <c r="C302" s="90"/>
      <c r="D302" s="171"/>
      <c r="E302" s="172"/>
      <c r="F302" s="173"/>
      <c r="G302" s="173"/>
      <c r="H302" s="173"/>
      <c r="I302" s="173"/>
      <c r="J302" s="174"/>
      <c r="K302" s="142"/>
      <c r="L302" s="143"/>
      <c r="M302" s="144"/>
      <c r="N302" s="145"/>
      <c r="O302" s="145"/>
      <c r="P302" s="122"/>
      <c r="Q302" s="304" t="str">
        <f t="shared" si="6"/>
        <v/>
      </c>
      <c r="S302" s="11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</row>
    <row r="303" ht="15.75" customHeight="1">
      <c r="A303" s="90"/>
      <c r="B303" s="6"/>
      <c r="C303" s="90"/>
      <c r="D303" s="166" t="s">
        <v>37</v>
      </c>
      <c r="E303" s="160" t="s">
        <v>81</v>
      </c>
      <c r="F303" s="127">
        <v>3.0</v>
      </c>
      <c r="G303" s="169">
        <v>45577.0</v>
      </c>
      <c r="H303" s="129"/>
      <c r="I303" s="130">
        <v>340.0</v>
      </c>
      <c r="J303" s="151">
        <v>8.0</v>
      </c>
      <c r="K303" s="132"/>
      <c r="L303" s="133">
        <v>8.0</v>
      </c>
      <c r="M303" s="134">
        <f>I168</f>
        <v>320</v>
      </c>
      <c r="N303" s="135" t="str">
        <f>iferror(mround($P168*((VLOOKUP($J303,Sheet1!$D:$N,$G303+1,FALSE)-0.03)),2.5)," ")</f>
        <v> </v>
      </c>
      <c r="O303" s="135" t="str">
        <f>iferror(mround($P168*((VLOOKUP($J303,Sheet1!$D:$N,$G303+1,FALSE)+0.02)),2.5)," ")</f>
        <v> </v>
      </c>
      <c r="P303" s="56" t="str">
        <f>iferror(mround(I303/VLOOKUP(L303,Sheet1!$D$7:$N$16,G303+1,FALSE),2.5),"")</f>
        <v/>
      </c>
      <c r="Q303" s="303">
        <f t="shared" si="6"/>
        <v>20</v>
      </c>
      <c r="S303" s="11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</row>
    <row r="304" ht="3.75" customHeight="1">
      <c r="A304" s="90"/>
      <c r="B304" s="6"/>
      <c r="C304" s="90"/>
      <c r="D304" s="171"/>
      <c r="E304" s="172"/>
      <c r="F304" s="173"/>
      <c r="G304" s="173"/>
      <c r="H304" s="173"/>
      <c r="I304" s="173"/>
      <c r="J304" s="174"/>
      <c r="K304" s="142"/>
      <c r="L304" s="143"/>
      <c r="M304" s="144"/>
      <c r="N304" s="145"/>
      <c r="O304" s="145"/>
      <c r="P304" s="122"/>
      <c r="Q304" s="304" t="str">
        <f t="shared" si="6"/>
        <v/>
      </c>
      <c r="S304" s="11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</row>
    <row r="305" ht="15.75" hidden="1" customHeight="1">
      <c r="A305" s="90"/>
      <c r="B305" s="6"/>
      <c r="C305" s="90"/>
      <c r="D305" s="175" t="s">
        <v>40</v>
      </c>
      <c r="E305" s="176"/>
      <c r="F305" s="177">
        <v>3.0</v>
      </c>
      <c r="G305" s="178" t="s">
        <v>41</v>
      </c>
      <c r="H305" s="179"/>
      <c r="I305" s="180"/>
      <c r="J305" s="181">
        <v>8.0</v>
      </c>
      <c r="K305" s="182"/>
      <c r="L305" s="183"/>
      <c r="M305" s="134" t="str">
        <f>I170</f>
        <v/>
      </c>
      <c r="N305" s="135" t="str">
        <f>iferror(mround($P170*((VLOOKUP($J305,Sheet1!$D:$N,$G305+1,FALSE)-0.03)),2.5)," ")</f>
        <v> </v>
      </c>
      <c r="O305" s="135" t="str">
        <f>iferror(mround($P170*((VLOOKUP($J305,Sheet1!$D:$N,$G305+1,FALSE)+0.02)),2.5)," ")</f>
        <v> </v>
      </c>
      <c r="P305" s="56" t="str">
        <f>iferror(mround(I305/VLOOKUP(L305,Sheet1!$D$7:$N$16,G305+1,FALSE),2.5),"")</f>
        <v/>
      </c>
      <c r="Q305" s="303" t="str">
        <f t="shared" si="6"/>
        <v/>
      </c>
      <c r="S305" s="11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</row>
    <row r="306" ht="3.75" hidden="1" customHeight="1">
      <c r="A306" s="90"/>
      <c r="B306" s="6"/>
      <c r="C306" s="90"/>
      <c r="D306" s="138"/>
      <c r="E306" s="184"/>
      <c r="F306" s="102"/>
      <c r="G306" s="102"/>
      <c r="H306" s="102"/>
      <c r="I306" s="102"/>
      <c r="J306" s="156"/>
      <c r="K306" s="103"/>
      <c r="L306" s="143"/>
      <c r="M306" s="144"/>
      <c r="N306" s="145"/>
      <c r="O306" s="145"/>
      <c r="P306" s="122"/>
      <c r="Q306" s="304" t="str">
        <f t="shared" si="6"/>
        <v/>
      </c>
      <c r="S306" s="11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</row>
    <row r="307" ht="15.75" hidden="1" customHeight="1">
      <c r="A307" s="90"/>
      <c r="B307" s="6"/>
      <c r="C307" s="90"/>
      <c r="D307" s="185"/>
      <c r="E307" s="186"/>
      <c r="F307" s="187"/>
      <c r="G307" s="188"/>
      <c r="H307" s="129"/>
      <c r="I307" s="164"/>
      <c r="J307" s="189"/>
      <c r="K307" s="190"/>
      <c r="L307" s="183"/>
      <c r="M307" s="134" t="str">
        <f>I172</f>
        <v/>
      </c>
      <c r="N307" s="135" t="str">
        <f>iferror(mround($P172*((VLOOKUP($J307,Sheet1!$D:$N,$G307+1,FALSE)-0.03)),2.5)," ")</f>
        <v> </v>
      </c>
      <c r="O307" s="135" t="str">
        <f>iferror(mround($P172*((VLOOKUP($J307,Sheet1!$D:$N,$G307+1,FALSE)+0.02)),2.5)," ")</f>
        <v> </v>
      </c>
      <c r="P307" s="56" t="str">
        <f>iferror(mround(I307/VLOOKUP(L307,Sheet1!$D$7:$N$16,G307+1,FALSE),2.5),"")</f>
        <v/>
      </c>
      <c r="Q307" s="303" t="str">
        <f t="shared" si="6"/>
        <v/>
      </c>
      <c r="S307" s="11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</row>
    <row r="308" ht="3.75" hidden="1" customHeight="1">
      <c r="A308" s="191"/>
      <c r="B308" s="6"/>
      <c r="C308" s="192"/>
      <c r="D308" s="138"/>
      <c r="E308" s="193"/>
      <c r="F308" s="194"/>
      <c r="G308" s="155"/>
      <c r="H308" s="102"/>
      <c r="I308" s="102"/>
      <c r="J308" s="156"/>
      <c r="K308" s="103"/>
      <c r="L308" s="143"/>
      <c r="M308" s="144"/>
      <c r="N308" s="145"/>
      <c r="O308" s="145"/>
      <c r="P308" s="122"/>
      <c r="Q308" s="304" t="str">
        <f t="shared" si="6"/>
        <v/>
      </c>
      <c r="S308" s="157"/>
      <c r="T308" s="5"/>
      <c r="U308" s="5"/>
      <c r="V308" s="158"/>
      <c r="W308" s="158"/>
      <c r="X308" s="158"/>
      <c r="Y308" s="158"/>
      <c r="Z308" s="158"/>
      <c r="AA308" s="158"/>
      <c r="AB308" s="158"/>
      <c r="AC308" s="158"/>
      <c r="AD308" s="158"/>
      <c r="AE308" s="158"/>
      <c r="AF308" s="158"/>
      <c r="AG308" s="158"/>
    </row>
    <row r="309" ht="15.75" hidden="1" customHeight="1">
      <c r="A309" s="90"/>
      <c r="B309" s="6"/>
      <c r="C309" s="90"/>
      <c r="D309" s="185"/>
      <c r="E309" s="186"/>
      <c r="F309" s="187"/>
      <c r="G309" s="195"/>
      <c r="H309" s="129"/>
      <c r="I309" s="164"/>
      <c r="J309" s="189"/>
      <c r="K309" s="190"/>
      <c r="L309" s="183"/>
      <c r="M309" s="134" t="str">
        <f>I174</f>
        <v/>
      </c>
      <c r="N309" s="135" t="str">
        <f>iferror(mround($P174*((VLOOKUP($J309,Sheet1!$D:$N,$G309+1,FALSE)-0.03)),2.5)," ")</f>
        <v> </v>
      </c>
      <c r="O309" s="135" t="str">
        <f>iferror(mround($P174*((VLOOKUP($J309,Sheet1!$D:$N,$G309+1,FALSE)+0.02)),2.5)," ")</f>
        <v> </v>
      </c>
      <c r="P309" s="56" t="str">
        <f>iferror(mround(I309/VLOOKUP(L309,Sheet1!$D$7:$N$16,G309+1,FALSE),2.5),"")</f>
        <v/>
      </c>
      <c r="Q309" s="303" t="str">
        <f t="shared" si="6"/>
        <v/>
      </c>
      <c r="S309" s="11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</row>
    <row r="310" ht="3.75" hidden="1" customHeight="1">
      <c r="A310" s="90"/>
      <c r="B310" s="6"/>
      <c r="C310" s="90"/>
      <c r="D310" s="196"/>
      <c r="E310" s="184"/>
      <c r="F310" s="102"/>
      <c r="G310" s="102"/>
      <c r="H310" s="102"/>
      <c r="I310" s="102"/>
      <c r="J310" s="156"/>
      <c r="K310" s="103"/>
      <c r="L310" s="143"/>
      <c r="M310" s="144"/>
      <c r="N310" s="145"/>
      <c r="O310" s="145"/>
      <c r="P310" s="122"/>
      <c r="Q310" s="304" t="str">
        <f t="shared" si="6"/>
        <v/>
      </c>
      <c r="S310" s="11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</row>
    <row r="311" ht="15.75" hidden="1" customHeight="1">
      <c r="A311" s="90"/>
      <c r="B311" s="6"/>
      <c r="C311" s="90"/>
      <c r="D311" s="197"/>
      <c r="E311" s="198"/>
      <c r="F311" s="199"/>
      <c r="G311" s="195"/>
      <c r="H311" s="129"/>
      <c r="I311" s="164"/>
      <c r="J311" s="189"/>
      <c r="K311" s="190"/>
      <c r="L311" s="183"/>
      <c r="M311" s="134" t="str">
        <f>I176</f>
        <v/>
      </c>
      <c r="N311" s="135" t="str">
        <f>iferror(mround($P176*((VLOOKUP($J311,Sheet1!$D:$N,$G311+1,FALSE)-0.03)),2.5)," ")</f>
        <v> </v>
      </c>
      <c r="O311" s="135" t="str">
        <f>iferror(mround($P176*((VLOOKUP($J311,Sheet1!$D:$N,$G311+1,FALSE)+0.02)),2.5)," ")</f>
        <v> </v>
      </c>
      <c r="P311" s="56" t="str">
        <f>iferror(mround(I311/VLOOKUP(L311,Sheet1!$D$7:$N$16,G311+1,FALSE),2.5),"")</f>
        <v/>
      </c>
      <c r="Q311" s="303" t="str">
        <f t="shared" si="6"/>
        <v/>
      </c>
      <c r="S311" s="11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</row>
    <row r="312" ht="3.75" customHeight="1">
      <c r="A312" s="90"/>
      <c r="B312" s="6"/>
      <c r="C312" s="90"/>
      <c r="D312" s="90"/>
      <c r="E312" s="156"/>
      <c r="F312" s="102"/>
      <c r="G312" s="102"/>
      <c r="H312" s="102"/>
      <c r="I312" s="102"/>
      <c r="J312" s="156"/>
      <c r="K312" s="200"/>
      <c r="L312" s="201"/>
      <c r="M312" s="144"/>
      <c r="N312" s="47"/>
      <c r="O312" s="47"/>
      <c r="P312" s="122"/>
      <c r="Q312" s="304" t="str">
        <f t="shared" si="6"/>
        <v/>
      </c>
      <c r="S312" s="11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</row>
    <row r="313" ht="30.0" customHeight="1">
      <c r="A313" s="90"/>
      <c r="B313" s="6"/>
      <c r="C313" s="90"/>
      <c r="D313" s="202" t="s">
        <v>42</v>
      </c>
      <c r="E313" s="105" t="s">
        <v>82</v>
      </c>
      <c r="F313" s="106" t="s">
        <v>16</v>
      </c>
      <c r="G313" s="106" t="s">
        <v>17</v>
      </c>
      <c r="H313" s="107"/>
      <c r="I313" s="106" t="s">
        <v>18</v>
      </c>
      <c r="J313" s="108" t="s">
        <v>19</v>
      </c>
      <c r="L313" s="109" t="s">
        <v>20</v>
      </c>
      <c r="M313" s="110" t="s">
        <v>21</v>
      </c>
      <c r="N313" s="111" t="s">
        <v>22</v>
      </c>
      <c r="P313" s="112"/>
      <c r="Q313" s="113" t="s">
        <v>23</v>
      </c>
      <c r="R313" s="114" t="s">
        <v>43</v>
      </c>
      <c r="S313" s="11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</row>
    <row r="314" ht="14.25" customHeight="1">
      <c r="A314" s="90"/>
      <c r="B314" s="6"/>
      <c r="C314" s="90"/>
      <c r="D314" s="116">
        <v>3.0</v>
      </c>
      <c r="E314" s="117">
        <v>2.0</v>
      </c>
      <c r="H314" s="107"/>
      <c r="N314" s="111" t="s">
        <v>27</v>
      </c>
      <c r="O314" s="111" t="s">
        <v>28</v>
      </c>
      <c r="P314" s="112" t="s">
        <v>29</v>
      </c>
      <c r="R314" s="118" t="s">
        <v>30</v>
      </c>
      <c r="S314" s="11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</row>
    <row r="315" ht="3.75" customHeight="1">
      <c r="A315" s="191"/>
      <c r="B315" s="6"/>
      <c r="C315" s="192"/>
      <c r="D315" s="203"/>
      <c r="E315" s="204"/>
      <c r="F315" s="205"/>
      <c r="G315" s="205"/>
      <c r="H315" s="206"/>
      <c r="I315" s="207"/>
      <c r="J315" s="208"/>
      <c r="K315" s="209"/>
      <c r="L315" s="210"/>
      <c r="M315" s="211"/>
      <c r="N315" s="47"/>
      <c r="O315" s="47"/>
      <c r="P315" s="122"/>
      <c r="Q315" s="304" t="str">
        <f t="shared" ref="Q315:Q337" si="7">IF(OR(ISBLANK(I315), ISBLANK(I180)), "", IF(I315 - I180 = 0, "", I315 - I180))</f>
        <v/>
      </c>
      <c r="R315" s="212"/>
      <c r="S315" s="157"/>
      <c r="T315" s="5"/>
      <c r="U315" s="5"/>
      <c r="V315" s="158"/>
      <c r="W315" s="158"/>
      <c r="X315" s="158"/>
      <c r="Y315" s="158"/>
      <c r="Z315" s="158"/>
      <c r="AA315" s="158"/>
      <c r="AB315" s="158"/>
      <c r="AC315" s="158"/>
      <c r="AD315" s="158"/>
      <c r="AE315" s="158"/>
      <c r="AF315" s="158"/>
      <c r="AG315" s="158"/>
    </row>
    <row r="316" ht="15.75" customHeight="1">
      <c r="A316" s="124"/>
      <c r="B316" s="6"/>
      <c r="C316" s="124"/>
      <c r="D316" s="159" t="s">
        <v>83</v>
      </c>
      <c r="E316" s="167" t="s">
        <v>84</v>
      </c>
      <c r="F316" s="127">
        <v>3.0</v>
      </c>
      <c r="G316" s="127">
        <v>3.0</v>
      </c>
      <c r="H316" s="195"/>
      <c r="I316" s="130">
        <v>441.0</v>
      </c>
      <c r="J316" s="151">
        <v>6.0</v>
      </c>
      <c r="K316" s="213"/>
      <c r="L316" s="133">
        <v>6.0</v>
      </c>
      <c r="M316" s="134">
        <f>I181</f>
        <v>430</v>
      </c>
      <c r="N316" s="135">
        <f>iferror(mround($P181*((VLOOKUP($J316,Sheet1!$D:$N,$G316+1,FALSE)-0.03)),2.5)," ")</f>
        <v>415</v>
      </c>
      <c r="O316" s="135">
        <f>iferror(mround($P181*((VLOOKUP($J316,Sheet1!$D:$N,$G316+1,FALSE)+0.02)),2.5)," ")</f>
        <v>440</v>
      </c>
      <c r="P316" s="112">
        <f>iferror(mround(I316/VLOOKUP(L316,Sheet1!$D$7:$N$16,G316+1,FALSE),2.5),"")</f>
        <v>540</v>
      </c>
      <c r="Q316" s="303">
        <f t="shared" si="7"/>
        <v>11</v>
      </c>
      <c r="R316" s="214"/>
      <c r="S316" s="11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</row>
    <row r="317" ht="3.75" customHeight="1">
      <c r="A317" s="124"/>
      <c r="B317" s="6"/>
      <c r="C317" s="124"/>
      <c r="D317" s="138"/>
      <c r="E317" s="215"/>
      <c r="F317" s="102"/>
      <c r="G317" s="102"/>
      <c r="H317" s="102"/>
      <c r="I317" s="102"/>
      <c r="J317" s="216"/>
      <c r="K317" s="217"/>
      <c r="L317" s="218"/>
      <c r="M317" s="144"/>
      <c r="N317" s="145"/>
      <c r="O317" s="145"/>
      <c r="P317" s="122"/>
      <c r="Q317" s="304" t="str">
        <f t="shared" si="7"/>
        <v/>
      </c>
      <c r="R317" s="214"/>
      <c r="S317" s="11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</row>
    <row r="318" ht="15.75" customHeight="1">
      <c r="A318" s="90"/>
      <c r="B318" s="6"/>
      <c r="C318" s="90"/>
      <c r="D318" s="159" t="s">
        <v>33</v>
      </c>
      <c r="E318" s="167"/>
      <c r="F318" s="127">
        <v>1.0</v>
      </c>
      <c r="G318" s="127">
        <v>2.0</v>
      </c>
      <c r="H318" s="195"/>
      <c r="I318" s="130">
        <v>320.0</v>
      </c>
      <c r="J318" s="151">
        <v>8.0</v>
      </c>
      <c r="K318" s="219" t="s">
        <v>85</v>
      </c>
      <c r="L318" s="133">
        <v>8.0</v>
      </c>
      <c r="M318" s="134">
        <f>I183</f>
        <v>314</v>
      </c>
      <c r="N318" s="135">
        <f>iferror(mround($P183*((VLOOKUP($J318,Sheet1!$D:$N,$G318+1,FALSE)-0.03)),2.5)," ")</f>
        <v>302.5</v>
      </c>
      <c r="O318" s="135">
        <f>iferror(mround($P183*((VLOOKUP($J318,Sheet1!$D:$N,$G318+1,FALSE)+0.02)),2.5)," ")</f>
        <v>320</v>
      </c>
      <c r="P318" s="112">
        <f>iferror(mround(I318/VLOOKUP(L318,Sheet1!$D$7:$N$16,G318+1,FALSE),2.5),"")</f>
        <v>360</v>
      </c>
      <c r="Q318" s="303">
        <f t="shared" si="7"/>
        <v>6</v>
      </c>
      <c r="R318" s="214"/>
      <c r="S318" s="11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</row>
    <row r="319" ht="3.75" customHeight="1">
      <c r="A319" s="90"/>
      <c r="B319" s="6"/>
      <c r="C319" s="90"/>
      <c r="D319" s="138"/>
      <c r="E319" s="215"/>
      <c r="F319" s="102"/>
      <c r="G319" s="102"/>
      <c r="H319" s="102"/>
      <c r="I319" s="102"/>
      <c r="J319" s="216"/>
      <c r="K319" s="217"/>
      <c r="L319" s="218"/>
      <c r="M319" s="144"/>
      <c r="N319" s="145"/>
      <c r="O319" s="145"/>
      <c r="P319" s="122"/>
      <c r="Q319" s="304" t="str">
        <f t="shared" si="7"/>
        <v/>
      </c>
      <c r="R319" s="214"/>
      <c r="S319" s="11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</row>
    <row r="320" ht="15.75" customHeight="1">
      <c r="A320" s="90"/>
      <c r="B320" s="6"/>
      <c r="C320" s="90"/>
      <c r="D320" s="159" t="s">
        <v>33</v>
      </c>
      <c r="E320" s="167"/>
      <c r="F320" s="127">
        <v>3.0</v>
      </c>
      <c r="G320" s="161">
        <v>3.0</v>
      </c>
      <c r="H320" s="195"/>
      <c r="I320" s="164">
        <f>MROUND(I318*(1+J320),5)</f>
        <v>295</v>
      </c>
      <c r="J320" s="165">
        <v>-0.08</v>
      </c>
      <c r="K320" s="219"/>
      <c r="L320" s="133">
        <v>8.0</v>
      </c>
      <c r="M320" s="134">
        <f>I185</f>
        <v>290</v>
      </c>
      <c r="N320" s="135" t="str">
        <f>iferror(mround($P185*((VLOOKUP($J320,Sheet1!$D:$N,$G320+1,FALSE)-0.03)),2.5)," ")</f>
        <v> </v>
      </c>
      <c r="O320" s="135" t="str">
        <f>iferror(mround($P185*((VLOOKUP($J320,Sheet1!$D:$N,$G320+1,FALSE)+0.02)),2.5)," ")</f>
        <v> </v>
      </c>
      <c r="P320" s="112">
        <f>iferror(mround(I320/VLOOKUP(L320,Sheet1!$D$7:$N$16,G320+1,FALSE),2.5),"")</f>
        <v>340</v>
      </c>
      <c r="Q320" s="303">
        <f t="shared" si="7"/>
        <v>5</v>
      </c>
      <c r="R320" s="214"/>
      <c r="S320" s="11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</row>
    <row r="321" ht="3.75" customHeight="1">
      <c r="A321" s="90"/>
      <c r="B321" s="6"/>
      <c r="C321" s="90"/>
      <c r="D321" s="138"/>
      <c r="E321" s="215"/>
      <c r="F321" s="102"/>
      <c r="G321" s="102"/>
      <c r="H321" s="102"/>
      <c r="I321" s="102"/>
      <c r="J321" s="156"/>
      <c r="K321" s="217"/>
      <c r="L321" s="143"/>
      <c r="M321" s="144"/>
      <c r="N321" s="145"/>
      <c r="O321" s="145"/>
      <c r="P321" s="122"/>
      <c r="Q321" s="304" t="str">
        <f t="shared" si="7"/>
        <v/>
      </c>
      <c r="R321" s="214"/>
      <c r="S321" s="11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</row>
    <row r="322" ht="15.75" customHeight="1">
      <c r="A322" s="90"/>
      <c r="B322" s="6"/>
      <c r="C322" s="90"/>
      <c r="D322" s="159" t="s">
        <v>86</v>
      </c>
      <c r="E322" s="167" t="s">
        <v>87</v>
      </c>
      <c r="F322" s="127">
        <v>3.0</v>
      </c>
      <c r="G322" s="169">
        <v>45577.0</v>
      </c>
      <c r="H322" s="195"/>
      <c r="I322" s="130">
        <v>130.0</v>
      </c>
      <c r="J322" s="151">
        <v>8.0</v>
      </c>
      <c r="K322" s="213"/>
      <c r="L322" s="133">
        <v>8.0</v>
      </c>
      <c r="M322" s="134">
        <f>I187</f>
        <v>120</v>
      </c>
      <c r="N322" s="135" t="str">
        <f>iferror(mround($P187*((VLOOKUP($J322,Sheet1!$D:$N,$G322+1,FALSE)-0.03)),2.5)," ")</f>
        <v> </v>
      </c>
      <c r="O322" s="135" t="str">
        <f>iferror(mround($P187*((VLOOKUP($J322,Sheet1!$D:$N,$G322+1,FALSE)+0.02)),2.5)," ")</f>
        <v> </v>
      </c>
      <c r="P322" s="112" t="str">
        <f>iferror(mround(I322/VLOOKUP(L322,Sheet1!$D$7:$N$16,G322+1,FALSE),2.5),"")</f>
        <v/>
      </c>
      <c r="Q322" s="303">
        <f t="shared" si="7"/>
        <v>10</v>
      </c>
      <c r="R322" s="214"/>
      <c r="S322" s="11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</row>
    <row r="323" ht="3.75" customHeight="1">
      <c r="A323" s="90"/>
      <c r="B323" s="6"/>
      <c r="C323" s="90"/>
      <c r="D323" s="138"/>
      <c r="E323" s="215"/>
      <c r="F323" s="102"/>
      <c r="G323" s="102"/>
      <c r="H323" s="102"/>
      <c r="I323" s="102"/>
      <c r="J323" s="156"/>
      <c r="K323" s="217"/>
      <c r="L323" s="143"/>
      <c r="M323" s="144"/>
      <c r="N323" s="145"/>
      <c r="O323" s="145"/>
      <c r="P323" s="122"/>
      <c r="Q323" s="304" t="str">
        <f t="shared" si="7"/>
        <v/>
      </c>
      <c r="R323" s="214"/>
      <c r="S323" s="11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</row>
    <row r="324" ht="15.75" customHeight="1">
      <c r="A324" s="90"/>
      <c r="B324" s="6"/>
      <c r="C324" s="90"/>
      <c r="D324" s="159" t="s">
        <v>88</v>
      </c>
      <c r="E324" s="220"/>
      <c r="F324" s="127">
        <v>3.0</v>
      </c>
      <c r="G324" s="221">
        <v>45641.0</v>
      </c>
      <c r="H324" s="195"/>
      <c r="I324" s="130">
        <v>13.75</v>
      </c>
      <c r="J324" s="151">
        <v>9.0</v>
      </c>
      <c r="K324" s="213"/>
      <c r="L324" s="133">
        <v>10.0</v>
      </c>
      <c r="M324" s="134">
        <f>I189</f>
        <v>12.5</v>
      </c>
      <c r="N324" s="135" t="str">
        <f>iferror(mround($P189*((VLOOKUP($J324,Sheet1!$D:$N,$G324+1,FALSE)-0.03)),2.5)," ")</f>
        <v> </v>
      </c>
      <c r="O324" s="135" t="str">
        <f>iferror(mround($P189*((VLOOKUP($J324,Sheet1!$D:$N,$G324+1,FALSE)+0.02)),2.5)," ")</f>
        <v> </v>
      </c>
      <c r="P324" s="112" t="str">
        <f>iferror(mround(I324/VLOOKUP(L324,Sheet1!$D$7:$N$16,G324+1,FALSE),2.5),"")</f>
        <v/>
      </c>
      <c r="Q324" s="303">
        <f t="shared" si="7"/>
        <v>1.25</v>
      </c>
      <c r="R324" s="214"/>
      <c r="S324" s="11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</row>
    <row r="325" ht="3.75" customHeight="1">
      <c r="A325" s="90"/>
      <c r="B325" s="6"/>
      <c r="C325" s="90"/>
      <c r="D325" s="138"/>
      <c r="E325" s="215"/>
      <c r="F325" s="102"/>
      <c r="G325" s="102"/>
      <c r="H325" s="102"/>
      <c r="I325" s="102"/>
      <c r="J325" s="156"/>
      <c r="K325" s="217"/>
      <c r="L325" s="143"/>
      <c r="M325" s="144"/>
      <c r="N325" s="145"/>
      <c r="O325" s="145"/>
      <c r="P325" s="122"/>
      <c r="Q325" s="304" t="str">
        <f t="shared" si="7"/>
        <v/>
      </c>
      <c r="R325" s="214"/>
      <c r="S325" s="11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</row>
    <row r="326" ht="15.75" customHeight="1">
      <c r="A326" s="90"/>
      <c r="B326" s="6"/>
      <c r="C326" s="90"/>
      <c r="D326" s="159" t="s">
        <v>47</v>
      </c>
      <c r="E326" s="220"/>
      <c r="F326" s="127">
        <v>3.0</v>
      </c>
      <c r="G326" s="221">
        <v>45641.0</v>
      </c>
      <c r="H326" s="195"/>
      <c r="I326" s="130">
        <v>75.0</v>
      </c>
      <c r="J326" s="151">
        <v>9.0</v>
      </c>
      <c r="K326" s="213"/>
      <c r="L326" s="133">
        <v>9.0</v>
      </c>
      <c r="M326" s="134">
        <f>I191</f>
        <v>70</v>
      </c>
      <c r="N326" s="135" t="str">
        <f>iferror(mround($P191*((VLOOKUP($J326,Sheet1!$D:$N,$G326+1,FALSE)-0.03)),2.5)," ")</f>
        <v> </v>
      </c>
      <c r="O326" s="135" t="str">
        <f>iferror(mround($P191*((VLOOKUP($J326,Sheet1!$D:$N,$G326+1,FALSE)+0.02)),2.5)," ")</f>
        <v> </v>
      </c>
      <c r="P326" s="112" t="str">
        <f>iferror(mround(I326/VLOOKUP(L326,Sheet1!$D$7:$N$16,G326+1,FALSE),2.5),"")</f>
        <v/>
      </c>
      <c r="Q326" s="303">
        <f t="shared" si="7"/>
        <v>5</v>
      </c>
      <c r="R326" s="214"/>
      <c r="S326" s="11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</row>
    <row r="327" ht="3.75" customHeight="1">
      <c r="A327" s="90"/>
      <c r="B327" s="6"/>
      <c r="C327" s="90"/>
      <c r="D327" s="138"/>
      <c r="E327" s="326"/>
      <c r="F327" s="102"/>
      <c r="G327" s="102"/>
      <c r="H327" s="102"/>
      <c r="I327" s="102"/>
      <c r="J327" s="216"/>
      <c r="K327" s="222"/>
      <c r="L327" s="143"/>
      <c r="M327" s="144"/>
      <c r="N327" s="145"/>
      <c r="O327" s="145"/>
      <c r="P327" s="122"/>
      <c r="Q327" s="304" t="str">
        <f t="shared" si="7"/>
        <v/>
      </c>
      <c r="R327" s="214"/>
      <c r="S327" s="11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</row>
    <row r="328" ht="18.0" hidden="1" customHeight="1">
      <c r="A328" s="90"/>
      <c r="B328" s="6"/>
      <c r="C328" s="90"/>
      <c r="D328" s="185"/>
      <c r="E328" s="327"/>
      <c r="F328" s="187"/>
      <c r="G328" s="187"/>
      <c r="H328" s="195"/>
      <c r="I328" s="164"/>
      <c r="J328" s="189"/>
      <c r="K328" s="190"/>
      <c r="L328" s="183"/>
      <c r="M328" s="134" t="str">
        <f>I193</f>
        <v/>
      </c>
      <c r="N328" s="135" t="str">
        <f>iferror(mround($P193*((VLOOKUP($J328,Sheet1!$D:$N,$G328+1,FALSE)-0.03)),2.5)," ")</f>
        <v> </v>
      </c>
      <c r="O328" s="135" t="str">
        <f>iferror(mround($P193*((VLOOKUP($J328,Sheet1!$D:$N,$G328+1,FALSE)+0.02)),2.5)," ")</f>
        <v> </v>
      </c>
      <c r="P328" s="112" t="str">
        <f>iferror(mround(I328/VLOOKUP(L328,Sheet1!$D$7:$N$16,G328+1,FALSE),2.5),"")</f>
        <v/>
      </c>
      <c r="Q328" s="303" t="str">
        <f t="shared" si="7"/>
        <v/>
      </c>
      <c r="R328" s="214"/>
      <c r="S328" s="11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</row>
    <row r="329" ht="3.75" hidden="1" customHeight="1">
      <c r="A329" s="191"/>
      <c r="B329" s="6"/>
      <c r="C329" s="192"/>
      <c r="D329" s="138"/>
      <c r="E329" s="223"/>
      <c r="F329" s="194"/>
      <c r="G329" s="194"/>
      <c r="H329" s="155"/>
      <c r="I329" s="210"/>
      <c r="J329" s="216"/>
      <c r="K329" s="222"/>
      <c r="L329" s="143"/>
      <c r="M329" s="144"/>
      <c r="N329" s="145"/>
      <c r="O329" s="145"/>
      <c r="P329" s="122"/>
      <c r="Q329" s="304" t="str">
        <f t="shared" si="7"/>
        <v/>
      </c>
      <c r="R329" s="214"/>
      <c r="S329" s="157"/>
      <c r="T329" s="5"/>
      <c r="U329" s="5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</row>
    <row r="330" ht="15.75" hidden="1" customHeight="1">
      <c r="A330" s="90"/>
      <c r="B330" s="6"/>
      <c r="C330" s="90"/>
      <c r="D330" s="185"/>
      <c r="E330" s="186"/>
      <c r="F330" s="187"/>
      <c r="G330" s="187"/>
      <c r="H330" s="195"/>
      <c r="I330" s="164"/>
      <c r="J330" s="189"/>
      <c r="K330" s="190"/>
      <c r="L330" s="183"/>
      <c r="M330" s="134" t="str">
        <f>I195</f>
        <v/>
      </c>
      <c r="N330" s="135" t="str">
        <f>iferror(mround($P195*((VLOOKUP($J330,Sheet1!$D:$N,$G330+1,FALSE)-0.03)),2.5)," ")</f>
        <v> </v>
      </c>
      <c r="O330" s="135" t="str">
        <f>iferror(mround($P195*((VLOOKUP($J330,Sheet1!$D:$N,$G330+1,FALSE)+0.02)),2.5)," ")</f>
        <v> </v>
      </c>
      <c r="P330" s="112" t="str">
        <f>iferror(mround(I330/VLOOKUP(L330,Sheet1!$D$7:$N$16,G330+1,FALSE),2.5),"")</f>
        <v/>
      </c>
      <c r="Q330" s="303" t="str">
        <f t="shared" si="7"/>
        <v/>
      </c>
      <c r="R330" s="214"/>
      <c r="S330" s="11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</row>
    <row r="331" ht="3.75" hidden="1" customHeight="1">
      <c r="A331" s="90"/>
      <c r="B331" s="6"/>
      <c r="C331" s="90"/>
      <c r="D331" s="138"/>
      <c r="E331" s="184"/>
      <c r="F331" s="102"/>
      <c r="G331" s="102"/>
      <c r="H331" s="102"/>
      <c r="I331" s="102"/>
      <c r="J331" s="156"/>
      <c r="K331" s="222"/>
      <c r="L331" s="143"/>
      <c r="M331" s="144"/>
      <c r="N331" s="145"/>
      <c r="O331" s="145"/>
      <c r="P331" s="122"/>
      <c r="Q331" s="304" t="str">
        <f t="shared" si="7"/>
        <v/>
      </c>
      <c r="R331" s="214"/>
      <c r="S331" s="11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</row>
    <row r="332" ht="15.75" hidden="1" customHeight="1">
      <c r="A332" s="90"/>
      <c r="B332" s="6"/>
      <c r="C332" s="90"/>
      <c r="D332" s="185"/>
      <c r="E332" s="224"/>
      <c r="F332" s="187"/>
      <c r="G332" s="187"/>
      <c r="H332" s="195"/>
      <c r="I332" s="164"/>
      <c r="J332" s="189"/>
      <c r="K332" s="190"/>
      <c r="L332" s="183"/>
      <c r="M332" s="134" t="str">
        <f>I197</f>
        <v/>
      </c>
      <c r="N332" s="135" t="str">
        <f>iferror(mround($P197*((VLOOKUP($J332,Sheet1!$D:$N,$G332+1,FALSE)-0.03)),2.5)," ")</f>
        <v> </v>
      </c>
      <c r="O332" s="135" t="str">
        <f>iferror(mround($P197*((VLOOKUP($J332,Sheet1!$D:$N,$G332+1,FALSE)+0.02)),2.5)," ")</f>
        <v> </v>
      </c>
      <c r="P332" s="112" t="str">
        <f>iferror(mround(I332/VLOOKUP(L332,Sheet1!$D$7:$N$16,G332+1,FALSE),2.5),"")</f>
        <v/>
      </c>
      <c r="Q332" s="303" t="str">
        <f t="shared" si="7"/>
        <v/>
      </c>
      <c r="R332" s="214"/>
      <c r="S332" s="11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</row>
    <row r="333" ht="3.75" hidden="1" customHeight="1">
      <c r="A333" s="191"/>
      <c r="B333" s="6"/>
      <c r="C333" s="192"/>
      <c r="D333" s="138"/>
      <c r="E333" s="193"/>
      <c r="F333" s="194"/>
      <c r="G333" s="194"/>
      <c r="H333" s="155"/>
      <c r="I333" s="210"/>
      <c r="J333" s="216"/>
      <c r="K333" s="222"/>
      <c r="L333" s="143"/>
      <c r="M333" s="144"/>
      <c r="N333" s="145"/>
      <c r="O333" s="145"/>
      <c r="P333" s="122"/>
      <c r="Q333" s="304" t="str">
        <f t="shared" si="7"/>
        <v/>
      </c>
      <c r="R333" s="214"/>
      <c r="S333" s="157"/>
      <c r="T333" s="5"/>
      <c r="U333" s="5"/>
      <c r="V333" s="158"/>
      <c r="W333" s="158"/>
      <c r="X333" s="158"/>
      <c r="Y333" s="158"/>
      <c r="Z333" s="158"/>
      <c r="AA333" s="158"/>
      <c r="AB333" s="158"/>
      <c r="AC333" s="158"/>
      <c r="AD333" s="158"/>
      <c r="AE333" s="158"/>
      <c r="AF333" s="158"/>
      <c r="AG333" s="158"/>
    </row>
    <row r="334" ht="15.75" hidden="1" customHeight="1">
      <c r="A334" s="90"/>
      <c r="B334" s="6"/>
      <c r="C334" s="90"/>
      <c r="D334" s="185"/>
      <c r="E334" s="186"/>
      <c r="F334" s="187"/>
      <c r="G334" s="187"/>
      <c r="H334" s="195"/>
      <c r="I334" s="164"/>
      <c r="J334" s="189"/>
      <c r="K334" s="190"/>
      <c r="L334" s="183"/>
      <c r="M334" s="134" t="str">
        <f>I199</f>
        <v/>
      </c>
      <c r="N334" s="135" t="str">
        <f>iferror(mround($P199*((VLOOKUP($J334,Sheet1!$D:$N,$G334+1,FALSE)-0.03)),2.5)," ")</f>
        <v> </v>
      </c>
      <c r="O334" s="135" t="str">
        <f>iferror(mround($P199*((VLOOKUP($J334,Sheet1!$D:$N,$G334+1,FALSE)+0.02)),2.5)," ")</f>
        <v> </v>
      </c>
      <c r="P334" s="112" t="str">
        <f>iferror(mround(I334/VLOOKUP(L334,Sheet1!$D$7:$N$16,G334+1,FALSE),2.5),"")</f>
        <v/>
      </c>
      <c r="Q334" s="303" t="str">
        <f t="shared" si="7"/>
        <v/>
      </c>
      <c r="R334" s="214"/>
      <c r="S334" s="11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</row>
    <row r="335" ht="3.75" hidden="1" customHeight="1">
      <c r="A335" s="90"/>
      <c r="B335" s="6"/>
      <c r="C335" s="90"/>
      <c r="D335" s="196"/>
      <c r="E335" s="184"/>
      <c r="F335" s="102"/>
      <c r="G335" s="102"/>
      <c r="H335" s="102"/>
      <c r="I335" s="102"/>
      <c r="J335" s="156"/>
      <c r="K335" s="222"/>
      <c r="L335" s="143"/>
      <c r="M335" s="144"/>
      <c r="N335" s="145"/>
      <c r="O335" s="145"/>
      <c r="P335" s="122"/>
      <c r="Q335" s="304" t="str">
        <f t="shared" si="7"/>
        <v/>
      </c>
      <c r="R335" s="214"/>
      <c r="S335" s="11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</row>
    <row r="336" ht="15.75" hidden="1" customHeight="1">
      <c r="A336" s="90"/>
      <c r="B336" s="6"/>
      <c r="C336" s="90"/>
      <c r="D336" s="197"/>
      <c r="E336" s="198"/>
      <c r="F336" s="199"/>
      <c r="G336" s="187"/>
      <c r="H336" s="195"/>
      <c r="I336" s="164"/>
      <c r="J336" s="189"/>
      <c r="K336" s="190"/>
      <c r="L336" s="183"/>
      <c r="M336" s="134" t="str">
        <f>I201</f>
        <v/>
      </c>
      <c r="N336" s="135" t="str">
        <f>iferror(mround($P201*((VLOOKUP($J336,Sheet1!$D:$N,$G336+1,FALSE)-0.03)),2.5)," ")</f>
        <v> </v>
      </c>
      <c r="O336" s="135" t="str">
        <f>iferror(mround($P201*((VLOOKUP($J336,Sheet1!$D:$N,$G336+1,FALSE)+0.02)),2.5)," ")</f>
        <v> </v>
      </c>
      <c r="P336" s="112" t="str">
        <f>iferror(mround(I336/VLOOKUP(L336,Sheet1!$D$7:$N$16,G336+1,FALSE),2.5),"")</f>
        <v/>
      </c>
      <c r="Q336" s="303" t="str">
        <f t="shared" si="7"/>
        <v/>
      </c>
      <c r="R336" s="214"/>
      <c r="S336" s="11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</row>
    <row r="337" ht="3.75" hidden="1" customHeight="1">
      <c r="A337" s="90"/>
      <c r="B337" s="6"/>
      <c r="C337" s="90"/>
      <c r="D337" s="90"/>
      <c r="E337" s="156"/>
      <c r="F337" s="102"/>
      <c r="G337" s="102"/>
      <c r="H337" s="102"/>
      <c r="I337" s="102"/>
      <c r="J337" s="156"/>
      <c r="K337" s="222"/>
      <c r="L337" s="201"/>
      <c r="M337" s="211"/>
      <c r="N337" s="47"/>
      <c r="O337" s="47"/>
      <c r="P337" s="122"/>
      <c r="Q337" s="304" t="str">
        <f t="shared" si="7"/>
        <v/>
      </c>
      <c r="R337" s="214"/>
      <c r="S337" s="11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</row>
    <row r="338" ht="30.75" customHeight="1">
      <c r="A338" s="90"/>
      <c r="B338" s="6"/>
      <c r="C338" s="90"/>
      <c r="D338" s="202" t="s">
        <v>49</v>
      </c>
      <c r="E338" s="105" t="s">
        <v>89</v>
      </c>
      <c r="F338" s="106" t="s">
        <v>16</v>
      </c>
      <c r="G338" s="106" t="s">
        <v>17</v>
      </c>
      <c r="H338" s="107"/>
      <c r="I338" s="106" t="s">
        <v>18</v>
      </c>
      <c r="J338" s="108" t="s">
        <v>19</v>
      </c>
      <c r="L338" s="109" t="s">
        <v>20</v>
      </c>
      <c r="M338" s="110" t="s">
        <v>21</v>
      </c>
      <c r="N338" s="111" t="s">
        <v>22</v>
      </c>
      <c r="P338" s="112"/>
      <c r="Q338" s="113" t="s">
        <v>23</v>
      </c>
      <c r="R338" s="114" t="s">
        <v>50</v>
      </c>
      <c r="S338" s="11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</row>
    <row r="339" ht="14.25" customHeight="1">
      <c r="A339" s="90"/>
      <c r="B339" s="6"/>
      <c r="C339" s="90"/>
      <c r="D339" s="116">
        <v>3.0</v>
      </c>
      <c r="E339" s="117">
        <v>3.0</v>
      </c>
      <c r="H339" s="107"/>
      <c r="N339" s="111" t="s">
        <v>27</v>
      </c>
      <c r="O339" s="111" t="s">
        <v>28</v>
      </c>
      <c r="P339" s="112" t="s">
        <v>29</v>
      </c>
      <c r="R339" s="118" t="s">
        <v>30</v>
      </c>
      <c r="S339" s="11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</row>
    <row r="340" ht="3.75" customHeight="1">
      <c r="A340" s="191"/>
      <c r="B340" s="6"/>
      <c r="C340" s="192"/>
      <c r="D340" s="203"/>
      <c r="E340" s="203"/>
      <c r="F340" s="205"/>
      <c r="G340" s="205"/>
      <c r="H340" s="205"/>
      <c r="I340" s="225"/>
      <c r="J340" s="226"/>
      <c r="K340" s="209"/>
      <c r="L340" s="210"/>
      <c r="M340" s="211"/>
      <c r="N340" s="47"/>
      <c r="O340" s="47"/>
      <c r="P340" s="122"/>
      <c r="Q340" s="304" t="str">
        <f t="shared" ref="Q340:Q360" si="8">IF(OR(ISBLANK(I340), ISBLANK(I205)), "", IF(I340 - I205 = 0, "", I340 - I205))</f>
        <v/>
      </c>
      <c r="R340" s="212"/>
      <c r="S340" s="157"/>
      <c r="T340" s="5"/>
      <c r="U340" s="5"/>
      <c r="V340" s="158"/>
      <c r="W340" s="158"/>
      <c r="X340" s="158"/>
      <c r="Y340" s="158"/>
      <c r="Z340" s="158"/>
      <c r="AA340" s="158"/>
      <c r="AB340" s="158"/>
      <c r="AC340" s="158"/>
      <c r="AD340" s="158"/>
      <c r="AE340" s="158"/>
      <c r="AF340" s="158"/>
      <c r="AG340" s="158"/>
    </row>
    <row r="341" ht="15.75" customHeight="1">
      <c r="A341" s="124"/>
      <c r="B341" s="6"/>
      <c r="C341" s="124"/>
      <c r="D341" s="125" t="s">
        <v>90</v>
      </c>
      <c r="E341" s="126"/>
      <c r="F341" s="127">
        <v>1.0</v>
      </c>
      <c r="G341" s="329">
        <v>3.0</v>
      </c>
      <c r="H341" s="129"/>
      <c r="I341" s="130">
        <v>441.0</v>
      </c>
      <c r="J341" s="151">
        <v>7.5</v>
      </c>
      <c r="K341" s="219"/>
      <c r="L341" s="133">
        <v>8.0</v>
      </c>
      <c r="M341" s="134">
        <f>I206</f>
        <v>424</v>
      </c>
      <c r="N341" s="135">
        <f>iferror(mround($P206*((VLOOKUP($J341,Sheet1!$D:$N,$G341+1,FALSE)-0.03)),2.5)," ")</f>
        <v>422.5</v>
      </c>
      <c r="O341" s="135">
        <f>iferror(mround($P206*((VLOOKUP($J341,Sheet1!$D:$N,$G341+1,FALSE)+0.02)),2.5)," ")</f>
        <v>447.5</v>
      </c>
      <c r="P341" s="112">
        <f>iferror(mround(I341/VLOOKUP(L341,Sheet1!$D$7:$N$16,G341+1,FALSE),2.5),"")</f>
        <v>510</v>
      </c>
      <c r="Q341" s="303">
        <f t="shared" si="8"/>
        <v>17</v>
      </c>
      <c r="R341" s="214"/>
      <c r="S341" s="11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</row>
    <row r="342" ht="3.75" customHeight="1">
      <c r="A342" s="124"/>
      <c r="B342" s="6"/>
      <c r="C342" s="124"/>
      <c r="D342" s="138"/>
      <c r="E342" s="139"/>
      <c r="F342" s="140"/>
      <c r="G342" s="140"/>
      <c r="H342" s="140"/>
      <c r="I342" s="140"/>
      <c r="J342" s="141"/>
      <c r="K342" s="217"/>
      <c r="L342" s="218"/>
      <c r="M342" s="144"/>
      <c r="N342" s="145"/>
      <c r="O342" s="145"/>
      <c r="P342" s="122"/>
      <c r="Q342" s="304" t="str">
        <f t="shared" si="8"/>
        <v/>
      </c>
      <c r="R342" s="214"/>
      <c r="S342" s="11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</row>
    <row r="343" ht="15.75" customHeight="1">
      <c r="A343" s="90"/>
      <c r="B343" s="6"/>
      <c r="C343" s="90"/>
      <c r="D343" s="125" t="s">
        <v>77</v>
      </c>
      <c r="E343" s="126"/>
      <c r="F343" s="127">
        <v>4.0</v>
      </c>
      <c r="G343" s="240">
        <v>5.0</v>
      </c>
      <c r="H343" s="129"/>
      <c r="I343" s="130">
        <v>380.0</v>
      </c>
      <c r="J343" s="165"/>
      <c r="K343" s="213"/>
      <c r="L343" s="133">
        <v>7.0</v>
      </c>
      <c r="M343" s="134">
        <f>I208</f>
        <v>375</v>
      </c>
      <c r="N343" s="135" t="str">
        <f>iferror(mround($P208*((VLOOKUP($J343,Sheet1!$D:$N,$G343+1,FALSE)-0.03)),2.5)," ")</f>
        <v> </v>
      </c>
      <c r="O343" s="135" t="str">
        <f>iferror(mround($P208*((VLOOKUP($J343,Sheet1!$D:$N,$G343+1,FALSE)+0.02)),2.5)," ")</f>
        <v> </v>
      </c>
      <c r="P343" s="112">
        <f>iferror(mround(I343/VLOOKUP(L343,Sheet1!$D$7:$N$16,G343+1,FALSE),2.5),"")</f>
        <v>480</v>
      </c>
      <c r="Q343" s="303">
        <f t="shared" si="8"/>
        <v>5</v>
      </c>
      <c r="R343" s="214"/>
      <c r="S343" s="11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</row>
    <row r="344" ht="3.75" customHeight="1">
      <c r="A344" s="90"/>
      <c r="B344" s="6"/>
      <c r="C344" s="90"/>
      <c r="D344" s="138"/>
      <c r="E344" s="215"/>
      <c r="F344" s="102"/>
      <c r="G344" s="102"/>
      <c r="H344" s="102"/>
      <c r="I344" s="102"/>
      <c r="J344" s="156"/>
      <c r="K344" s="217"/>
      <c r="L344" s="218"/>
      <c r="M344" s="144"/>
      <c r="N344" s="145"/>
      <c r="O344" s="145"/>
      <c r="P344" s="122"/>
      <c r="Q344" s="304" t="str">
        <f t="shared" si="8"/>
        <v/>
      </c>
      <c r="R344" s="214"/>
      <c r="S344" s="11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</row>
    <row r="345" ht="15.75" customHeight="1">
      <c r="A345" s="90"/>
      <c r="B345" s="6"/>
      <c r="C345" s="90"/>
      <c r="D345" s="159" t="s">
        <v>33</v>
      </c>
      <c r="E345" s="160" t="s">
        <v>34</v>
      </c>
      <c r="F345" s="127">
        <v>3.0</v>
      </c>
      <c r="G345" s="161">
        <v>2.0</v>
      </c>
      <c r="H345" s="129"/>
      <c r="I345" s="130">
        <v>281.0</v>
      </c>
      <c r="J345" s="151">
        <v>7.0</v>
      </c>
      <c r="K345" s="219" t="s">
        <v>91</v>
      </c>
      <c r="L345" s="133"/>
      <c r="M345" s="134">
        <f>I210</f>
        <v>275</v>
      </c>
      <c r="N345" s="135">
        <f>iferror(mround($P210*((VLOOKUP($J345,Sheet1!$D:$N,$G345+1,FALSE)-0.03)),2.5)," ")</f>
        <v>265</v>
      </c>
      <c r="O345" s="135">
        <f>iferror(mround($P210*((VLOOKUP($J345,Sheet1!$D:$N,$G345+1,FALSE)+0.02)),2.5)," ")</f>
        <v>280</v>
      </c>
      <c r="P345" s="112" t="str">
        <f>iferror(mround(I345/VLOOKUP(L345,Sheet1!$D$7:$N$16,G345+1,FALSE),2.5),"")</f>
        <v/>
      </c>
      <c r="Q345" s="303">
        <f t="shared" si="8"/>
        <v>6</v>
      </c>
      <c r="R345" s="214"/>
      <c r="S345" s="11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</row>
    <row r="346" ht="3.75" customHeight="1">
      <c r="A346" s="90"/>
      <c r="B346" s="6"/>
      <c r="C346" s="90"/>
      <c r="D346" s="138"/>
      <c r="E346" s="154"/>
      <c r="F346" s="155"/>
      <c r="G346" s="102"/>
      <c r="H346" s="102"/>
      <c r="I346" s="102"/>
      <c r="J346" s="156"/>
      <c r="K346" s="217"/>
      <c r="L346" s="218"/>
      <c r="M346" s="144"/>
      <c r="N346" s="145"/>
      <c r="O346" s="145"/>
      <c r="P346" s="122"/>
      <c r="Q346" s="304" t="str">
        <f t="shared" si="8"/>
        <v/>
      </c>
      <c r="R346" s="214"/>
      <c r="S346" s="11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</row>
    <row r="347" ht="15.75" customHeight="1">
      <c r="A347" s="90"/>
      <c r="B347" s="6"/>
      <c r="C347" s="90"/>
      <c r="D347" s="159" t="s">
        <v>45</v>
      </c>
      <c r="E347" s="220"/>
      <c r="F347" s="127">
        <v>3.0</v>
      </c>
      <c r="G347" s="127" t="s">
        <v>41</v>
      </c>
      <c r="H347" s="195"/>
      <c r="I347" s="164"/>
      <c r="J347" s="151"/>
      <c r="K347" s="213"/>
      <c r="L347" s="133"/>
      <c r="M347" s="134" t="str">
        <f>I212</f>
        <v/>
      </c>
      <c r="N347" s="135" t="str">
        <f>iferror(mround($P212*((VLOOKUP($J347,Sheet1!$D:$N,$G347+1,FALSE)-0.03)),2.5)," ")</f>
        <v> </v>
      </c>
      <c r="O347" s="135" t="str">
        <f>iferror(mround($P212*((VLOOKUP($J347,Sheet1!$D:$N,$G347+1,FALSE)+0.02)),2.5)," ")</f>
        <v> </v>
      </c>
      <c r="P347" s="112" t="str">
        <f>iferror(mround(I347/VLOOKUP(L347,Sheet1!$D$7:$N$16,G347+1,FALSE),2.5),"")</f>
        <v/>
      </c>
      <c r="Q347" s="303" t="str">
        <f t="shared" si="8"/>
        <v/>
      </c>
      <c r="R347" s="214"/>
      <c r="S347" s="11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</row>
    <row r="348" ht="3.75" customHeight="1">
      <c r="A348" s="90"/>
      <c r="B348" s="6"/>
      <c r="C348" s="90"/>
      <c r="D348" s="138"/>
      <c r="E348" s="215"/>
      <c r="F348" s="102"/>
      <c r="G348" s="102"/>
      <c r="H348" s="102"/>
      <c r="I348" s="102"/>
      <c r="J348" s="156"/>
      <c r="K348" s="217"/>
      <c r="L348" s="218"/>
      <c r="M348" s="144"/>
      <c r="N348" s="145"/>
      <c r="O348" s="145"/>
      <c r="P348" s="122"/>
      <c r="Q348" s="304" t="str">
        <f t="shared" si="8"/>
        <v/>
      </c>
      <c r="R348" s="214"/>
      <c r="S348" s="11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</row>
    <row r="349" ht="15.75" customHeight="1">
      <c r="A349" s="90"/>
      <c r="B349" s="6"/>
      <c r="C349" s="90"/>
      <c r="D349" s="159" t="s">
        <v>94</v>
      </c>
      <c r="E349" s="220"/>
      <c r="F349" s="127">
        <v>3.0</v>
      </c>
      <c r="G349" s="221">
        <v>45641.0</v>
      </c>
      <c r="H349" s="195"/>
      <c r="I349" s="130"/>
      <c r="J349" s="151">
        <v>9.0</v>
      </c>
      <c r="K349" s="213"/>
      <c r="L349" s="133"/>
      <c r="M349" s="134">
        <f>I214</f>
        <v>20</v>
      </c>
      <c r="N349" s="135" t="str">
        <f>iferror(mround($P214*((VLOOKUP($J349,Sheet1!$D:$N,$G349+1,FALSE)-0.03)),2.5)," ")</f>
        <v> </v>
      </c>
      <c r="O349" s="135" t="str">
        <f>iferror(mround($P214*((VLOOKUP($J349,Sheet1!$D:$N,$G349+1,FALSE)+0.02)),2.5)," ")</f>
        <v> </v>
      </c>
      <c r="P349" s="112" t="str">
        <f>iferror(mround(I349/VLOOKUP(L349,Sheet1!$D$7:$N$16,G349+1,FALSE),2.5),"")</f>
        <v/>
      </c>
      <c r="Q349" s="303" t="str">
        <f t="shared" si="8"/>
        <v/>
      </c>
      <c r="R349" s="214"/>
      <c r="S349" s="11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</row>
    <row r="350" ht="3.75" customHeight="1">
      <c r="A350" s="90"/>
      <c r="B350" s="6"/>
      <c r="C350" s="90"/>
      <c r="D350" s="138"/>
      <c r="E350" s="215"/>
      <c r="F350" s="102"/>
      <c r="G350" s="102"/>
      <c r="H350" s="102"/>
      <c r="I350" s="102"/>
      <c r="J350" s="156"/>
      <c r="K350" s="222"/>
      <c r="L350" s="218"/>
      <c r="M350" s="144"/>
      <c r="N350" s="145"/>
      <c r="O350" s="145"/>
      <c r="P350" s="122"/>
      <c r="Q350" s="304" t="str">
        <f t="shared" si="8"/>
        <v/>
      </c>
      <c r="R350" s="214"/>
      <c r="S350" s="11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</row>
    <row r="351" ht="15.75" hidden="1" customHeight="1">
      <c r="A351" s="90"/>
      <c r="B351" s="6"/>
      <c r="C351" s="90"/>
      <c r="D351" s="185"/>
      <c r="E351" s="220"/>
      <c r="F351" s="187"/>
      <c r="G351" s="229"/>
      <c r="H351" s="195"/>
      <c r="I351" s="164"/>
      <c r="J351" s="189"/>
      <c r="K351" s="190"/>
      <c r="L351" s="183"/>
      <c r="M351" s="134" t="str">
        <f>I216</f>
        <v/>
      </c>
      <c r="N351" s="135" t="str">
        <f>iferror(mround($P216*((VLOOKUP($J351,Sheet1!$D:$N,$G351+1,FALSE)-0.03)),2.5)," ")</f>
        <v> </v>
      </c>
      <c r="O351" s="135" t="str">
        <f>iferror(mround($P216*((VLOOKUP($J351,Sheet1!$D:$N,$G351+1,FALSE)+0.02)),2.5)," ")</f>
        <v> </v>
      </c>
      <c r="P351" s="112" t="str">
        <f>iferror(mround(I351/VLOOKUP(L351,Sheet1!$D$7:$N$16,G351+1,FALSE),2.5),"")</f>
        <v/>
      </c>
      <c r="Q351" s="303" t="str">
        <f t="shared" si="8"/>
        <v/>
      </c>
      <c r="R351" s="214"/>
      <c r="S351" s="11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</row>
    <row r="352" ht="3.75" hidden="1" customHeight="1">
      <c r="A352" s="90"/>
      <c r="B352" s="6"/>
      <c r="C352" s="90"/>
      <c r="D352" s="138"/>
      <c r="E352" s="215"/>
      <c r="F352" s="102"/>
      <c r="G352" s="102"/>
      <c r="H352" s="102"/>
      <c r="I352" s="102"/>
      <c r="J352" s="216"/>
      <c r="K352" s="222"/>
      <c r="L352" s="218"/>
      <c r="M352" s="144"/>
      <c r="N352" s="145"/>
      <c r="O352" s="145"/>
      <c r="P352" s="122"/>
      <c r="Q352" s="304" t="str">
        <f t="shared" si="8"/>
        <v/>
      </c>
      <c r="R352" s="214"/>
      <c r="S352" s="11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</row>
    <row r="353" ht="15.75" hidden="1" customHeight="1">
      <c r="A353" s="90"/>
      <c r="B353" s="6"/>
      <c r="C353" s="90"/>
      <c r="D353" s="185"/>
      <c r="E353" s="220"/>
      <c r="F353" s="187"/>
      <c r="G353" s="229"/>
      <c r="H353" s="195"/>
      <c r="I353" s="164"/>
      <c r="J353" s="189"/>
      <c r="K353" s="190"/>
      <c r="L353" s="183"/>
      <c r="M353" s="134" t="str">
        <f>I218</f>
        <v/>
      </c>
      <c r="N353" s="135" t="str">
        <f>iferror(mround($P218*((VLOOKUP($J353,Sheet1!$D:$N,$G353+1,FALSE)-0.03)),2.5)," ")</f>
        <v> </v>
      </c>
      <c r="O353" s="135" t="str">
        <f>iferror(mround($P218*((VLOOKUP($J353,Sheet1!$D:$N,$G353+1,FALSE)+0.02)),2.5)," ")</f>
        <v> </v>
      </c>
      <c r="P353" s="112" t="str">
        <f>iferror(mround(I353/VLOOKUP(L353,Sheet1!$D$7:$N$16,G353+1,FALSE),2.5),"")</f>
        <v/>
      </c>
      <c r="Q353" s="303" t="str">
        <f t="shared" si="8"/>
        <v/>
      </c>
      <c r="R353" s="214"/>
      <c r="S353" s="11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</row>
    <row r="354" ht="3.75" hidden="1" customHeight="1">
      <c r="A354" s="191"/>
      <c r="B354" s="6"/>
      <c r="C354" s="192"/>
      <c r="D354" s="138"/>
      <c r="E354" s="184"/>
      <c r="F354" s="102"/>
      <c r="G354" s="102"/>
      <c r="H354" s="102"/>
      <c r="I354" s="102"/>
      <c r="J354" s="156"/>
      <c r="K354" s="222"/>
      <c r="L354" s="218"/>
      <c r="M354" s="144"/>
      <c r="N354" s="145"/>
      <c r="O354" s="145"/>
      <c r="P354" s="122"/>
      <c r="Q354" s="304" t="str">
        <f t="shared" si="8"/>
        <v/>
      </c>
      <c r="R354" s="214"/>
      <c r="S354" s="157"/>
      <c r="T354" s="5"/>
      <c r="U354" s="5"/>
      <c r="V354" s="158"/>
      <c r="W354" s="158"/>
      <c r="X354" s="158"/>
      <c r="Y354" s="158"/>
      <c r="Z354" s="158"/>
      <c r="AA354" s="158"/>
      <c r="AB354" s="158"/>
      <c r="AC354" s="158"/>
      <c r="AD354" s="158"/>
      <c r="AE354" s="158"/>
      <c r="AF354" s="158"/>
      <c r="AG354" s="158"/>
    </row>
    <row r="355" ht="15.75" hidden="1" customHeight="1">
      <c r="A355" s="90"/>
      <c r="B355" s="6"/>
      <c r="C355" s="90"/>
      <c r="D355" s="185"/>
      <c r="E355" s="224"/>
      <c r="F355" s="187"/>
      <c r="G355" s="187"/>
      <c r="H355" s="195"/>
      <c r="I355" s="164"/>
      <c r="J355" s="230"/>
      <c r="K355" s="190"/>
      <c r="L355" s="183"/>
      <c r="M355" s="134" t="str">
        <f>I220</f>
        <v/>
      </c>
      <c r="N355" s="135" t="str">
        <f>iferror(mround($P220*((VLOOKUP($J355,Sheet1!$D:$N,$G355+1,FALSE)-0.03)),2.5)," ")</f>
        <v> </v>
      </c>
      <c r="O355" s="135" t="str">
        <f>iferror(mround($P220*((VLOOKUP($J355,Sheet1!$D:$N,$G355+1,FALSE)+0.02)),2.5)," ")</f>
        <v> </v>
      </c>
      <c r="P355" s="112" t="str">
        <f>iferror(mround(I355/VLOOKUP(L355,Sheet1!$D$7:$N$16,G355+1,FALSE),2.5),"")</f>
        <v/>
      </c>
      <c r="Q355" s="303" t="str">
        <f t="shared" si="8"/>
        <v/>
      </c>
      <c r="R355" s="214"/>
      <c r="S355" s="11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</row>
    <row r="356" ht="3.75" hidden="1" customHeight="1">
      <c r="A356" s="90"/>
      <c r="B356" s="6"/>
      <c r="C356" s="90"/>
      <c r="D356" s="138"/>
      <c r="E356" s="184"/>
      <c r="F356" s="102"/>
      <c r="G356" s="102"/>
      <c r="H356" s="102"/>
      <c r="I356" s="102"/>
      <c r="J356" s="156"/>
      <c r="K356" s="222"/>
      <c r="L356" s="218"/>
      <c r="M356" s="144"/>
      <c r="N356" s="145"/>
      <c r="O356" s="145"/>
      <c r="P356" s="122"/>
      <c r="Q356" s="304" t="str">
        <f t="shared" si="8"/>
        <v/>
      </c>
      <c r="R356" s="214"/>
      <c r="S356" s="11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</row>
    <row r="357" ht="15.75" hidden="1" customHeight="1">
      <c r="A357" s="90"/>
      <c r="B357" s="6"/>
      <c r="C357" s="90"/>
      <c r="D357" s="231"/>
      <c r="E357" s="232"/>
      <c r="F357" s="187"/>
      <c r="G357" s="187"/>
      <c r="H357" s="195"/>
      <c r="I357" s="164"/>
      <c r="J357" s="230"/>
      <c r="K357" s="190"/>
      <c r="L357" s="183"/>
      <c r="M357" s="134" t="str">
        <f>I222</f>
        <v/>
      </c>
      <c r="N357" s="135" t="str">
        <f>iferror(mround($P222*((VLOOKUP($J357,Sheet1!$D:$N,$G357+1,FALSE)-0.03)),2.5)," ")</f>
        <v> </v>
      </c>
      <c r="O357" s="135" t="str">
        <f>iferror(mround($P222*((VLOOKUP($J357,Sheet1!$D:$N,$G357+1,FALSE)+0.02)),2.5)," ")</f>
        <v> </v>
      </c>
      <c r="P357" s="112" t="str">
        <f>iferror(mround(I357/VLOOKUP(L357,Sheet1!$D$7:$N$16,G357+1,FALSE),2.5),"")</f>
        <v/>
      </c>
      <c r="Q357" s="303" t="str">
        <f t="shared" si="8"/>
        <v/>
      </c>
      <c r="R357" s="214"/>
      <c r="S357" s="11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</row>
    <row r="358" ht="3.75" hidden="1" customHeight="1">
      <c r="A358" s="191"/>
      <c r="B358" s="6"/>
      <c r="C358" s="233"/>
      <c r="D358" s="234"/>
      <c r="E358" s="235"/>
      <c r="F358" s="236"/>
      <c r="G358" s="194"/>
      <c r="H358" s="155"/>
      <c r="I358" s="210"/>
      <c r="J358" s="216"/>
      <c r="K358" s="222"/>
      <c r="L358" s="218"/>
      <c r="M358" s="144"/>
      <c r="N358" s="145"/>
      <c r="O358" s="145"/>
      <c r="P358" s="122"/>
      <c r="Q358" s="304" t="str">
        <f t="shared" si="8"/>
        <v/>
      </c>
      <c r="R358" s="214"/>
      <c r="S358" s="157"/>
      <c r="T358" s="5"/>
      <c r="U358" s="5"/>
      <c r="V358" s="158"/>
      <c r="W358" s="158"/>
      <c r="X358" s="158"/>
      <c r="Y358" s="158"/>
      <c r="Z358" s="158"/>
      <c r="AA358" s="158"/>
      <c r="AB358" s="158"/>
      <c r="AC358" s="158"/>
      <c r="AD358" s="158"/>
      <c r="AE358" s="158"/>
      <c r="AF358" s="158"/>
      <c r="AG358" s="158"/>
    </row>
    <row r="359" ht="15.75" hidden="1" customHeight="1">
      <c r="A359" s="90"/>
      <c r="B359" s="6"/>
      <c r="C359" s="90"/>
      <c r="D359" s="197"/>
      <c r="E359" s="198"/>
      <c r="F359" s="199"/>
      <c r="G359" s="187"/>
      <c r="H359" s="195"/>
      <c r="I359" s="164"/>
      <c r="J359" s="189"/>
      <c r="K359" s="190"/>
      <c r="L359" s="183"/>
      <c r="M359" s="134" t="str">
        <f>I224</f>
        <v/>
      </c>
      <c r="N359" s="135" t="str">
        <f>iferror(mround($P224*((VLOOKUP($J359,Sheet1!$D:$N,$G359+1,FALSE)-0.03)),2.5)," ")</f>
        <v> </v>
      </c>
      <c r="O359" s="135" t="str">
        <f>iferror(mround($P224*((VLOOKUP($J359,Sheet1!$D:$N,$G359+1,FALSE)+0.02)),2.5)," ")</f>
        <v> </v>
      </c>
      <c r="P359" s="112" t="str">
        <f>iferror(mround(I359/VLOOKUP(L359,Sheet1!$D$7:$N$16,G359+1,FALSE),2.5),"")</f>
        <v/>
      </c>
      <c r="Q359" s="303" t="str">
        <f t="shared" si="8"/>
        <v/>
      </c>
      <c r="R359" s="214"/>
      <c r="S359" s="11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</row>
    <row r="360" ht="3.75" customHeight="1">
      <c r="A360" s="90"/>
      <c r="B360" s="6"/>
      <c r="C360" s="90"/>
      <c r="D360" s="90"/>
      <c r="E360" s="156"/>
      <c r="F360" s="102"/>
      <c r="G360" s="102"/>
      <c r="H360" s="102"/>
      <c r="I360" s="102"/>
      <c r="J360" s="156"/>
      <c r="K360" s="200"/>
      <c r="L360" s="201"/>
      <c r="M360" s="211"/>
      <c r="N360" s="47"/>
      <c r="O360" s="47"/>
      <c r="P360" s="122"/>
      <c r="Q360" s="304" t="str">
        <f t="shared" si="8"/>
        <v/>
      </c>
      <c r="R360" s="214"/>
      <c r="S360" s="11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</row>
    <row r="361" ht="30.0" customHeight="1">
      <c r="A361" s="90"/>
      <c r="B361" s="6"/>
      <c r="C361" s="90"/>
      <c r="D361" s="202" t="s">
        <v>55</v>
      </c>
      <c r="E361" s="105" t="s">
        <v>15</v>
      </c>
      <c r="F361" s="106" t="s">
        <v>16</v>
      </c>
      <c r="G361" s="106" t="s">
        <v>17</v>
      </c>
      <c r="H361" s="107"/>
      <c r="I361" s="106" t="s">
        <v>18</v>
      </c>
      <c r="J361" s="108" t="s">
        <v>19</v>
      </c>
      <c r="L361" s="109" t="s">
        <v>20</v>
      </c>
      <c r="M361" s="110" t="s">
        <v>21</v>
      </c>
      <c r="N361" s="111" t="s">
        <v>22</v>
      </c>
      <c r="P361" s="112"/>
      <c r="Q361" s="113" t="s">
        <v>23</v>
      </c>
      <c r="R361" s="114" t="s">
        <v>56</v>
      </c>
      <c r="S361" s="11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</row>
    <row r="362" ht="14.25" customHeight="1">
      <c r="A362" s="90"/>
      <c r="B362" s="6"/>
      <c r="C362" s="90"/>
      <c r="D362" s="116" t="s">
        <v>25</v>
      </c>
      <c r="E362" s="117" t="s">
        <v>26</v>
      </c>
      <c r="H362" s="107"/>
      <c r="N362" s="111" t="s">
        <v>27</v>
      </c>
      <c r="O362" s="111" t="s">
        <v>28</v>
      </c>
      <c r="P362" s="112" t="s">
        <v>29</v>
      </c>
      <c r="R362" s="118" t="s">
        <v>30</v>
      </c>
      <c r="S362" s="11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</row>
    <row r="363" ht="3.75" customHeight="1">
      <c r="A363" s="191"/>
      <c r="B363" s="6"/>
      <c r="C363" s="192"/>
      <c r="D363" s="203"/>
      <c r="E363" s="204"/>
      <c r="F363" s="205"/>
      <c r="G363" s="205"/>
      <c r="H363" s="205"/>
      <c r="I363" s="225"/>
      <c r="J363" s="237"/>
      <c r="K363" s="209"/>
      <c r="L363" s="238"/>
      <c r="M363" s="211"/>
      <c r="N363" s="47"/>
      <c r="O363" s="47"/>
      <c r="P363" s="122"/>
      <c r="Q363" s="304" t="str">
        <f t="shared" ref="Q363:Q383" si="9">IF(OR(ISBLANK(I363), ISBLANK(I228)), "", IF(I363 - I228 = 0, "", I363 - I228))</f>
        <v/>
      </c>
      <c r="R363" s="239"/>
      <c r="S363" s="157"/>
      <c r="T363" s="5"/>
      <c r="U363" s="5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</row>
    <row r="364" ht="15.75" customHeight="1">
      <c r="A364" s="124"/>
      <c r="B364" s="6"/>
      <c r="C364" s="124"/>
      <c r="D364" s="125" t="s">
        <v>97</v>
      </c>
      <c r="E364" s="126"/>
      <c r="F364" s="127">
        <v>1.0</v>
      </c>
      <c r="G364" s="240">
        <v>4.0</v>
      </c>
      <c r="H364" s="129"/>
      <c r="I364" s="130"/>
      <c r="J364" s="151">
        <v>7.0</v>
      </c>
      <c r="K364" s="241"/>
      <c r="L364" s="130"/>
      <c r="M364" s="134">
        <f>I229</f>
        <v>513</v>
      </c>
      <c r="N364" s="135">
        <f>iferror(mround($P229*((VLOOKUP($J364,Sheet1!$D:$N,$G364+1,FALSE)-0.03)),2.5)," ")</f>
        <v>502.5</v>
      </c>
      <c r="O364" s="135">
        <f>iferror(mround($P229*((VLOOKUP($J364,Sheet1!$D:$N,$G364+1,FALSE)+0.02)),2.5)," ")</f>
        <v>535</v>
      </c>
      <c r="P364" s="112" t="str">
        <f>iferror(mround(I364/VLOOKUP(L364,Sheet1!$D$7:$N$16,G364+1,FALSE),2.5),"")</f>
        <v/>
      </c>
      <c r="Q364" s="303" t="str">
        <f t="shared" si="9"/>
        <v/>
      </c>
      <c r="R364" s="242"/>
      <c r="S364" s="11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</row>
    <row r="365" ht="3.75" customHeight="1">
      <c r="A365" s="124"/>
      <c r="B365" s="6"/>
      <c r="C365" s="124"/>
      <c r="D365" s="138"/>
      <c r="E365" s="139"/>
      <c r="F365" s="140"/>
      <c r="G365" s="140"/>
      <c r="H365" s="140"/>
      <c r="I365" s="140"/>
      <c r="J365" s="141"/>
      <c r="K365" s="243"/>
      <c r="L365" s="210"/>
      <c r="M365" s="144"/>
      <c r="N365" s="145"/>
      <c r="O365" s="145"/>
      <c r="P365" s="122"/>
      <c r="Q365" s="304" t="str">
        <f t="shared" si="9"/>
        <v/>
      </c>
      <c r="R365" s="242"/>
      <c r="S365" s="11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</row>
    <row r="366" ht="15.0" customHeight="1">
      <c r="A366" s="124"/>
      <c r="B366" s="6"/>
      <c r="C366" s="124"/>
      <c r="D366" s="125" t="s">
        <v>97</v>
      </c>
      <c r="E366" s="126"/>
      <c r="F366" s="127">
        <v>3.0</v>
      </c>
      <c r="G366" s="240">
        <v>4.0</v>
      </c>
      <c r="H366" s="129"/>
      <c r="I366" s="130">
        <v>450.0</v>
      </c>
      <c r="J366" s="151"/>
      <c r="K366" s="241"/>
      <c r="L366" s="130"/>
      <c r="M366" s="134">
        <f>I231</f>
        <v>460</v>
      </c>
      <c r="N366" s="135" t="str">
        <f>iferror(mround($P231*((VLOOKUP($J366,Sheet1!$D:$N,$G366+1,FALSE)-0.03)),2.5)," ")</f>
        <v> </v>
      </c>
      <c r="O366" s="135" t="str">
        <f>iferror(mround($P231*((VLOOKUP($J366,Sheet1!$D:$N,$G366+1,FALSE)+0.02)),2.5)," ")</f>
        <v> </v>
      </c>
      <c r="P366" s="112" t="str">
        <f>iferror(mround(I366/VLOOKUP(L366,Sheet1!$D$7:$N$16,G366+1,FALSE),2.5),"")</f>
        <v/>
      </c>
      <c r="Q366" s="303">
        <f t="shared" si="9"/>
        <v>-10</v>
      </c>
      <c r="R366" s="242"/>
      <c r="S366" s="11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</row>
    <row r="367" ht="3.75" customHeight="1">
      <c r="A367" s="124"/>
      <c r="B367" s="6"/>
      <c r="C367" s="124"/>
      <c r="D367" s="138"/>
      <c r="E367" s="215"/>
      <c r="F367" s="102"/>
      <c r="G367" s="102"/>
      <c r="H367" s="102"/>
      <c r="I367" s="102"/>
      <c r="J367" s="156"/>
      <c r="K367" s="243"/>
      <c r="L367" s="210"/>
      <c r="M367" s="144"/>
      <c r="N367" s="145"/>
      <c r="O367" s="145"/>
      <c r="P367" s="122"/>
      <c r="Q367" s="304" t="str">
        <f t="shared" si="9"/>
        <v/>
      </c>
      <c r="R367" s="242"/>
      <c r="S367" s="11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</row>
    <row r="368" ht="15.75" customHeight="1">
      <c r="A368" s="124"/>
      <c r="B368" s="6"/>
      <c r="C368" s="124"/>
      <c r="D368" s="159" t="s">
        <v>33</v>
      </c>
      <c r="E368" s="126"/>
      <c r="F368" s="127">
        <v>2.0</v>
      </c>
      <c r="G368" s="161">
        <v>1.0</v>
      </c>
      <c r="H368" s="129"/>
      <c r="I368" s="130"/>
      <c r="J368" s="151">
        <v>8.0</v>
      </c>
      <c r="K368" s="244" t="s">
        <v>98</v>
      </c>
      <c r="L368" s="130"/>
      <c r="M368" s="134">
        <f>I233</f>
        <v>320</v>
      </c>
      <c r="N368" s="135">
        <f>iferror(mround($P233*((VLOOKUP($J368,Sheet1!$D:$N,$G368+1,FALSE)-0.03)),2.5)," ")</f>
        <v>322.5</v>
      </c>
      <c r="O368" s="135">
        <f>iferror(mround($P233*((VLOOKUP($J368,Sheet1!$D:$N,$G368+1,FALSE)+0.02)),2.5)," ")</f>
        <v>340</v>
      </c>
      <c r="P368" s="112" t="str">
        <f>iferror(mround(I368/VLOOKUP(L368,Sheet1!$D$7:$N$16,G368+1,FALSE),2.5),"")</f>
        <v/>
      </c>
      <c r="Q368" s="303" t="str">
        <f t="shared" si="9"/>
        <v/>
      </c>
      <c r="R368" s="242"/>
      <c r="S368" s="11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</row>
    <row r="369" ht="3.75" customHeight="1">
      <c r="A369" s="124"/>
      <c r="B369" s="6"/>
      <c r="C369" s="124"/>
      <c r="D369" s="138"/>
      <c r="E369" s="154"/>
      <c r="F369" s="155"/>
      <c r="G369" s="102"/>
      <c r="H369" s="102"/>
      <c r="I369" s="102"/>
      <c r="J369" s="156"/>
      <c r="K369" s="243"/>
      <c r="L369" s="210"/>
      <c r="M369" s="144"/>
      <c r="N369" s="145"/>
      <c r="O369" s="145"/>
      <c r="P369" s="122"/>
      <c r="Q369" s="304" t="str">
        <f t="shared" si="9"/>
        <v/>
      </c>
      <c r="R369" s="242"/>
      <c r="S369" s="11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</row>
    <row r="370" ht="15.75" customHeight="1">
      <c r="A370" s="124"/>
      <c r="B370" s="6"/>
      <c r="C370" s="124"/>
      <c r="D370" s="159" t="s">
        <v>33</v>
      </c>
      <c r="E370" s="126"/>
      <c r="F370" s="127">
        <v>4.0</v>
      </c>
      <c r="G370" s="161">
        <v>4.0</v>
      </c>
      <c r="H370" s="129"/>
      <c r="I370" s="130"/>
      <c r="J370" s="151">
        <v>7.5</v>
      </c>
      <c r="K370" s="241" t="s">
        <v>91</v>
      </c>
      <c r="L370" s="130"/>
      <c r="M370" s="134">
        <f>I235</f>
        <v>270</v>
      </c>
      <c r="N370" s="135">
        <f>iferror(mround($P235*((VLOOKUP($J370,Sheet1!$D:$N,$G370+1,FALSE)-0.03)),2.5)," ")</f>
        <v>270</v>
      </c>
      <c r="O370" s="135">
        <f>iferror(mround($P235*((VLOOKUP($J370,Sheet1!$D:$N,$G370+1,FALSE)+0.02)),2.5)," ")</f>
        <v>285</v>
      </c>
      <c r="P370" s="112" t="str">
        <f>iferror(mround(I370/VLOOKUP(L370,Sheet1!$D$7:$N$16,G370+1,FALSE),2.5),"")</f>
        <v/>
      </c>
      <c r="Q370" s="303" t="str">
        <f t="shared" si="9"/>
        <v/>
      </c>
      <c r="R370" s="242"/>
      <c r="S370" s="11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</row>
    <row r="371" ht="3.75" customHeight="1">
      <c r="A371" s="90"/>
      <c r="B371" s="6"/>
      <c r="C371" s="90"/>
      <c r="D371" s="138"/>
      <c r="E371" s="245"/>
      <c r="F371" s="102"/>
      <c r="G371" s="102"/>
      <c r="H371" s="102"/>
      <c r="I371" s="102"/>
      <c r="J371" s="156"/>
      <c r="K371" s="243"/>
      <c r="L371" s="210"/>
      <c r="M371" s="144"/>
      <c r="N371" s="145"/>
      <c r="O371" s="145"/>
      <c r="P371" s="122"/>
      <c r="Q371" s="304" t="str">
        <f t="shared" si="9"/>
        <v/>
      </c>
      <c r="R371" s="242"/>
      <c r="S371" s="11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</row>
    <row r="372" ht="15.75" customHeight="1">
      <c r="A372" s="90"/>
      <c r="B372" s="6"/>
      <c r="C372" s="90"/>
      <c r="D372" s="159" t="s">
        <v>54</v>
      </c>
      <c r="E372" s="227"/>
      <c r="F372" s="127">
        <v>3.0</v>
      </c>
      <c r="G372" s="221">
        <v>45577.0</v>
      </c>
      <c r="H372" s="195"/>
      <c r="I372" s="130"/>
      <c r="J372" s="228">
        <v>8.0</v>
      </c>
      <c r="K372" s="241"/>
      <c r="L372" s="130"/>
      <c r="M372" s="134">
        <f>I237</f>
        <v>130</v>
      </c>
      <c r="N372" s="135" t="str">
        <f>iferror(mround($P237*((VLOOKUP($J372,Sheet1!$D:$N,$G372+1,FALSE)-0.03)),2.5)," ")</f>
        <v> </v>
      </c>
      <c r="O372" s="135" t="str">
        <f>iferror(mround($P237*((VLOOKUP($J372,Sheet1!$D:$N,$G372+1,FALSE)+0.02)),2.5)," ")</f>
        <v> </v>
      </c>
      <c r="P372" s="112" t="str">
        <f>iferror(mround(I372/VLOOKUP(L372,Sheet1!$D$7:$N$16,G372+1,FALSE),2.5),"")</f>
        <v/>
      </c>
      <c r="Q372" s="303" t="str">
        <f t="shared" si="9"/>
        <v/>
      </c>
      <c r="R372" s="242"/>
      <c r="S372" s="11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</row>
    <row r="373" ht="3.75" customHeight="1">
      <c r="A373" s="191"/>
      <c r="B373" s="6"/>
      <c r="C373" s="192"/>
      <c r="D373" s="138"/>
      <c r="E373" s="245"/>
      <c r="F373" s="102"/>
      <c r="G373" s="102"/>
      <c r="H373" s="102"/>
      <c r="I373" s="102"/>
      <c r="J373" s="156"/>
      <c r="K373" s="243"/>
      <c r="L373" s="210"/>
      <c r="M373" s="144"/>
      <c r="N373" s="145"/>
      <c r="O373" s="145"/>
      <c r="P373" s="122"/>
      <c r="Q373" s="304" t="str">
        <f t="shared" si="9"/>
        <v/>
      </c>
      <c r="R373" s="242"/>
      <c r="S373" s="157"/>
      <c r="T373" s="5"/>
      <c r="U373" s="5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</row>
    <row r="374" ht="15.75" customHeight="1">
      <c r="A374" s="90"/>
      <c r="B374" s="6"/>
      <c r="C374" s="90"/>
      <c r="D374" s="159" t="s">
        <v>99</v>
      </c>
      <c r="E374" s="246" t="s">
        <v>100</v>
      </c>
      <c r="F374" s="127">
        <v>3.0</v>
      </c>
      <c r="G374" s="221">
        <v>45577.0</v>
      </c>
      <c r="H374" s="195"/>
      <c r="I374" s="130"/>
      <c r="J374" s="228">
        <v>9.0</v>
      </c>
      <c r="K374" s="241"/>
      <c r="L374" s="130"/>
      <c r="M374" s="134">
        <f>I239</f>
        <v>55</v>
      </c>
      <c r="N374" s="135" t="str">
        <f>iferror(mround($P239*((VLOOKUP($J374,Sheet1!$D:$N,$G374+1,FALSE)-0.03)),2.5)," ")</f>
        <v> </v>
      </c>
      <c r="O374" s="135" t="str">
        <f>iferror(mround($P239*((VLOOKUP($J374,Sheet1!$D:$N,$G374+1,FALSE)+0.02)),2.5)," ")</f>
        <v> </v>
      </c>
      <c r="P374" s="112" t="str">
        <f>iferror(mround(I374/VLOOKUP(L374,Sheet1!$D$7:$N$16,G374+1,FALSE),2.5),"")</f>
        <v/>
      </c>
      <c r="Q374" s="303" t="str">
        <f t="shared" si="9"/>
        <v/>
      </c>
      <c r="R374" s="242"/>
      <c r="S374" s="11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</row>
    <row r="375" ht="3.75" customHeight="1">
      <c r="A375" s="90"/>
      <c r="B375" s="6"/>
      <c r="C375" s="90"/>
      <c r="D375" s="138"/>
      <c r="E375" s="245"/>
      <c r="F375" s="102"/>
      <c r="G375" s="102"/>
      <c r="H375" s="102"/>
      <c r="I375" s="102"/>
      <c r="J375" s="156"/>
      <c r="K375" s="243"/>
      <c r="L375" s="210"/>
      <c r="M375" s="144"/>
      <c r="N375" s="145"/>
      <c r="O375" s="145"/>
      <c r="P375" s="122"/>
      <c r="Q375" s="304" t="str">
        <f t="shared" si="9"/>
        <v/>
      </c>
      <c r="R375" s="242"/>
      <c r="S375" s="11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</row>
    <row r="376" ht="15.75" hidden="1" customHeight="1">
      <c r="A376" s="90"/>
      <c r="B376" s="6"/>
      <c r="C376" s="90"/>
      <c r="D376" s="185"/>
      <c r="E376" s="227"/>
      <c r="F376" s="187"/>
      <c r="G376" s="229"/>
      <c r="H376" s="195"/>
      <c r="I376" s="247"/>
      <c r="J376" s="248"/>
      <c r="K376" s="241"/>
      <c r="L376" s="164"/>
      <c r="M376" s="134" t="str">
        <f>I241</f>
        <v/>
      </c>
      <c r="N376" s="135" t="str">
        <f>iferror(mround($P241*((VLOOKUP($J376,Sheet1!$D:$N,$G376+1,FALSE)-0.03)),2.5)," ")</f>
        <v> </v>
      </c>
      <c r="O376" s="135" t="str">
        <f>iferror(mround($P241*((VLOOKUP($J376,Sheet1!$D:$N,$G376+1,FALSE)+0.02)),2.5)," ")</f>
        <v> </v>
      </c>
      <c r="P376" s="112" t="str">
        <f>iferror(mround(I376/VLOOKUP(L376,Sheet1!$D$7:$N$16,G376+1,FALSE),2.5),"")</f>
        <v/>
      </c>
      <c r="Q376" s="303" t="str">
        <f t="shared" si="9"/>
        <v/>
      </c>
      <c r="R376" s="242"/>
      <c r="S376" s="11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</row>
    <row r="377" ht="3.75" hidden="1" customHeight="1">
      <c r="A377" s="90"/>
      <c r="B377" s="6"/>
      <c r="C377" s="90"/>
      <c r="D377" s="138"/>
      <c r="E377" s="215"/>
      <c r="F377" s="102"/>
      <c r="G377" s="102"/>
      <c r="H377" s="102"/>
      <c r="I377" s="102"/>
      <c r="J377" s="156"/>
      <c r="K377" s="243"/>
      <c r="L377" s="210"/>
      <c r="M377" s="144"/>
      <c r="N377" s="145"/>
      <c r="O377" s="145"/>
      <c r="P377" s="122"/>
      <c r="Q377" s="304" t="str">
        <f t="shared" si="9"/>
        <v/>
      </c>
      <c r="R377" s="242"/>
      <c r="S377" s="11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</row>
    <row r="378" ht="15.75" hidden="1" customHeight="1">
      <c r="A378" s="90"/>
      <c r="B378" s="6"/>
      <c r="C378" s="90"/>
      <c r="D378" s="185"/>
      <c r="E378" s="220"/>
      <c r="F378" s="187"/>
      <c r="G378" s="229"/>
      <c r="H378" s="195"/>
      <c r="I378" s="247"/>
      <c r="J378" s="248"/>
      <c r="K378" s="241"/>
      <c r="L378" s="164"/>
      <c r="M378" s="134" t="str">
        <f>I243</f>
        <v/>
      </c>
      <c r="N378" s="135" t="str">
        <f>iferror(mround($P243*((VLOOKUP($J378,Sheet1!$D:$N,$G378+1,FALSE)-0.03)),2.5)," ")</f>
        <v> </v>
      </c>
      <c r="O378" s="135" t="str">
        <f>iferror(mround($P243*((VLOOKUP($J378,Sheet1!$D:$N,$G378+1,FALSE)+0.02)),2.5)," ")</f>
        <v> </v>
      </c>
      <c r="P378" s="112" t="str">
        <f>iferror(mround(I378/VLOOKUP(L378,Sheet1!$D$7:$N$16,G378+1,FALSE),2.5),"")</f>
        <v/>
      </c>
      <c r="Q378" s="303" t="str">
        <f t="shared" si="9"/>
        <v/>
      </c>
      <c r="R378" s="242"/>
      <c r="S378" s="11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</row>
    <row r="379" ht="3.75" hidden="1" customHeight="1">
      <c r="A379" s="90"/>
      <c r="B379" s="6"/>
      <c r="C379" s="90"/>
      <c r="D379" s="196"/>
      <c r="E379" s="184"/>
      <c r="F379" s="102"/>
      <c r="G379" s="102"/>
      <c r="H379" s="102"/>
      <c r="I379" s="102"/>
      <c r="J379" s="156"/>
      <c r="K379" s="249"/>
      <c r="L379" s="210"/>
      <c r="M379" s="144"/>
      <c r="N379" s="145"/>
      <c r="O379" s="145"/>
      <c r="P379" s="122"/>
      <c r="Q379" s="304" t="str">
        <f t="shared" si="9"/>
        <v/>
      </c>
      <c r="R379" s="242"/>
      <c r="S379" s="11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</row>
    <row r="380" ht="15.75" hidden="1" customHeight="1">
      <c r="A380" s="90"/>
      <c r="B380" s="6"/>
      <c r="C380" s="90"/>
      <c r="D380" s="197"/>
      <c r="E380" s="250"/>
      <c r="F380" s="129"/>
      <c r="G380" s="199"/>
      <c r="H380" s="195"/>
      <c r="I380" s="247"/>
      <c r="J380" s="248"/>
      <c r="K380" s="251"/>
      <c r="L380" s="164"/>
      <c r="M380" s="134" t="str">
        <f>I245</f>
        <v/>
      </c>
      <c r="N380" s="135" t="str">
        <f>iferror(mround($P245*((VLOOKUP($J380,Sheet1!$D:$N,$G380+1,FALSE)-0.03)),2.5)," ")</f>
        <v> </v>
      </c>
      <c r="O380" s="135" t="str">
        <f>iferror(mround($P245*((VLOOKUP($J380,Sheet1!$D:$N,$G380+1,FALSE)+0.02)),2.5)," ")</f>
        <v> </v>
      </c>
      <c r="P380" s="112" t="str">
        <f>iferror(mround(I380/VLOOKUP(L380,Sheet1!$D$7:$N$16,G380+1,FALSE),2.5),"")</f>
        <v/>
      </c>
      <c r="Q380" s="303" t="str">
        <f t="shared" si="9"/>
        <v/>
      </c>
      <c r="R380" s="242"/>
      <c r="S380" s="11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</row>
    <row r="381" ht="3.75" hidden="1" customHeight="1">
      <c r="A381" s="90"/>
      <c r="B381" s="6"/>
      <c r="C381" s="90"/>
      <c r="D381" s="234"/>
      <c r="E381" s="184"/>
      <c r="F381" s="102"/>
      <c r="G381" s="102"/>
      <c r="H381" s="102"/>
      <c r="I381" s="102"/>
      <c r="J381" s="156"/>
      <c r="K381" s="249"/>
      <c r="L381" s="210"/>
      <c r="M381" s="144"/>
      <c r="N381" s="145"/>
      <c r="O381" s="145"/>
      <c r="P381" s="122"/>
      <c r="Q381" s="304" t="str">
        <f t="shared" si="9"/>
        <v/>
      </c>
      <c r="R381" s="242"/>
      <c r="S381" s="11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</row>
    <row r="382" ht="15.75" hidden="1" customHeight="1">
      <c r="A382" s="90"/>
      <c r="B382" s="6"/>
      <c r="C382" s="90"/>
      <c r="D382" s="197"/>
      <c r="E382" s="198"/>
      <c r="F382" s="129"/>
      <c r="G382" s="199"/>
      <c r="H382" s="195"/>
      <c r="I382" s="164"/>
      <c r="J382" s="248"/>
      <c r="K382" s="251"/>
      <c r="L382" s="164"/>
      <c r="M382" s="134" t="str">
        <f>I247</f>
        <v/>
      </c>
      <c r="N382" s="135" t="str">
        <f>iferror(mround($P247*((VLOOKUP($J382,Sheet1!$D:$N,$G382+1,FALSE)-0.03)),2.5)," ")</f>
        <v> </v>
      </c>
      <c r="O382" s="135" t="str">
        <f>iferror(mround($P247*((VLOOKUP($J382,Sheet1!$D:$N,$G382+1,FALSE)+0.02)),2.5)," ")</f>
        <v> </v>
      </c>
      <c r="P382" s="112" t="str">
        <f>iferror(mround(I382/VLOOKUP(L382,Sheet1!$D$7:$N$16,G382+1,FALSE),2.5),"")</f>
        <v/>
      </c>
      <c r="Q382" s="303" t="str">
        <f t="shared" si="9"/>
        <v/>
      </c>
      <c r="R382" s="242"/>
      <c r="S382" s="11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</row>
    <row r="383" ht="3.75" hidden="1" customHeight="1">
      <c r="A383" s="124"/>
      <c r="B383" s="6"/>
      <c r="C383" s="124"/>
      <c r="D383" s="252"/>
      <c r="E383" s="252"/>
      <c r="F383" s="102"/>
      <c r="G383" s="102"/>
      <c r="H383" s="102"/>
      <c r="I383" s="102"/>
      <c r="J383" s="156"/>
      <c r="K383" s="253"/>
      <c r="L383" s="201"/>
      <c r="M383" s="211"/>
      <c r="N383" s="47"/>
      <c r="O383" s="47"/>
      <c r="P383" s="122"/>
      <c r="Q383" s="304" t="str">
        <f t="shared" si="9"/>
        <v/>
      </c>
      <c r="R383" s="242"/>
      <c r="S383" s="11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</row>
    <row r="384" ht="30.75" hidden="1" customHeight="1">
      <c r="A384" s="90"/>
      <c r="B384" s="6"/>
      <c r="C384" s="90"/>
      <c r="D384" s="254" t="s">
        <v>57</v>
      </c>
      <c r="E384" s="255" t="s">
        <v>15</v>
      </c>
      <c r="F384" s="106" t="s">
        <v>16</v>
      </c>
      <c r="G384" s="106" t="s">
        <v>17</v>
      </c>
      <c r="H384" s="107"/>
      <c r="I384" s="106" t="s">
        <v>18</v>
      </c>
      <c r="J384" s="108" t="s">
        <v>19</v>
      </c>
      <c r="L384" s="109" t="s">
        <v>20</v>
      </c>
      <c r="M384" s="110" t="s">
        <v>21</v>
      </c>
      <c r="N384" s="111" t="s">
        <v>22</v>
      </c>
      <c r="P384" s="112"/>
      <c r="Q384" s="113" t="s">
        <v>23</v>
      </c>
      <c r="R384" s="256" t="s">
        <v>58</v>
      </c>
      <c r="S384" s="11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</row>
    <row r="385" ht="14.25" hidden="1" customHeight="1">
      <c r="A385" s="90"/>
      <c r="B385" s="6"/>
      <c r="C385" s="90"/>
      <c r="D385" s="257" t="s">
        <v>25</v>
      </c>
      <c r="E385" s="258" t="s">
        <v>26</v>
      </c>
      <c r="H385" s="107"/>
      <c r="N385" s="111" t="s">
        <v>27</v>
      </c>
      <c r="O385" s="111" t="s">
        <v>28</v>
      </c>
      <c r="P385" s="112" t="s">
        <v>29</v>
      </c>
      <c r="R385" s="118" t="s">
        <v>30</v>
      </c>
      <c r="S385" s="11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</row>
    <row r="386" ht="3.75" hidden="1" customHeight="1">
      <c r="A386" s="124"/>
      <c r="B386" s="6"/>
      <c r="C386" s="124"/>
      <c r="D386" s="252"/>
      <c r="E386" s="252"/>
      <c r="F386" s="102"/>
      <c r="G386" s="102"/>
      <c r="H386" s="102"/>
      <c r="I386" s="102"/>
      <c r="J386" s="156"/>
      <c r="K386" s="253"/>
      <c r="L386" s="201"/>
      <c r="M386" s="211"/>
      <c r="N386" s="47"/>
      <c r="O386" s="47"/>
      <c r="P386" s="122"/>
      <c r="Q386" s="304" t="str">
        <f t="shared" ref="Q386:Q409" si="10">IF(OR(ISBLANK(I386), ISBLANK(I251)), "", IF(I386 - I251 = 0, "", I386 - I251))</f>
        <v/>
      </c>
      <c r="R386" s="259"/>
      <c r="S386" s="11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</row>
    <row r="387" ht="14.25" hidden="1" customHeight="1">
      <c r="A387" s="124"/>
      <c r="B387" s="6"/>
      <c r="C387" s="124"/>
      <c r="D387" s="260"/>
      <c r="E387" s="126"/>
      <c r="F387" s="187"/>
      <c r="G387" s="229"/>
      <c r="H387" s="129"/>
      <c r="I387" s="164"/>
      <c r="J387" s="189"/>
      <c r="K387" s="251"/>
      <c r="L387" s="164"/>
      <c r="M387" s="134" t="str">
        <f>I254</f>
        <v/>
      </c>
      <c r="N387" s="135" t="str">
        <f>iferror(mround($P254*((VLOOKUP($J387,Sheet1!$D:$N,$G387+1,FALSE)-0.03)),2.5)," ")</f>
        <v> </v>
      </c>
      <c r="O387" s="135" t="str">
        <f>iferror(mround($P254*((VLOOKUP($J387,Sheet1!$D:$N,$G387+1,FALSE)+0.02)),2.5)," ")</f>
        <v> </v>
      </c>
      <c r="P387" s="56" t="str">
        <f>iferror(mround(I387/VLOOKUP(L387,Sheet1!$D$7:$N$16,G387+1,FALSE),2.5),"")</f>
        <v/>
      </c>
      <c r="Q387" s="303" t="str">
        <f t="shared" si="10"/>
        <v/>
      </c>
      <c r="S387" s="11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</row>
    <row r="388" ht="3.75" hidden="1" customHeight="1">
      <c r="A388" s="124"/>
      <c r="B388" s="6"/>
      <c r="C388" s="124"/>
      <c r="D388" s="138"/>
      <c r="E388" s="215"/>
      <c r="F388" s="102"/>
      <c r="G388" s="102"/>
      <c r="H388" s="102"/>
      <c r="I388" s="102"/>
      <c r="J388" s="156"/>
      <c r="K388" s="249"/>
      <c r="L388" s="210"/>
      <c r="M388" s="144"/>
      <c r="N388" s="145"/>
      <c r="O388" s="145"/>
      <c r="P388" s="122"/>
      <c r="Q388" s="304" t="str">
        <f t="shared" si="10"/>
        <v/>
      </c>
      <c r="S388" s="11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</row>
    <row r="389" ht="14.25" hidden="1" customHeight="1">
      <c r="A389" s="124"/>
      <c r="B389" s="6"/>
      <c r="C389" s="124"/>
      <c r="D389" s="185"/>
      <c r="E389" s="227"/>
      <c r="F389" s="187"/>
      <c r="G389" s="229"/>
      <c r="H389" s="195"/>
      <c r="I389" s="164"/>
      <c r="J389" s="248"/>
      <c r="K389" s="251"/>
      <c r="L389" s="164"/>
      <c r="M389" s="134" t="str">
        <f>I254</f>
        <v/>
      </c>
      <c r="N389" s="135" t="str">
        <f>iferror(mround($P254*((VLOOKUP($J389,Sheet1!$D:$N,$G389+1,FALSE)-0.03)),2.5)," ")</f>
        <v> </v>
      </c>
      <c r="O389" s="135" t="str">
        <f>iferror(mround($P254*((VLOOKUP($J389,Sheet1!$D:$N,$G389+1,FALSE)+0.02)),2.5)," ")</f>
        <v> </v>
      </c>
      <c r="P389" s="112" t="str">
        <f>iferror(mround(I389/VLOOKUP(L389,Sheet1!$D$7:$N$16,G389+1,FALSE),2.5),"")</f>
        <v/>
      </c>
      <c r="Q389" s="303" t="str">
        <f t="shared" si="10"/>
        <v/>
      </c>
      <c r="S389" s="11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</row>
    <row r="390" ht="3.75" hidden="1" customHeight="1">
      <c r="A390" s="124"/>
      <c r="B390" s="6"/>
      <c r="C390" s="124"/>
      <c r="D390" s="138"/>
      <c r="E390" s="245"/>
      <c r="F390" s="102"/>
      <c r="G390" s="102"/>
      <c r="H390" s="102"/>
      <c r="I390" s="102"/>
      <c r="J390" s="156"/>
      <c r="K390" s="249"/>
      <c r="L390" s="210"/>
      <c r="M390" s="144"/>
      <c r="N390" s="145"/>
      <c r="O390" s="145"/>
      <c r="P390" s="122"/>
      <c r="Q390" s="304" t="str">
        <f t="shared" si="10"/>
        <v/>
      </c>
      <c r="S390" s="11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</row>
    <row r="391" ht="14.25" hidden="1" customHeight="1">
      <c r="A391" s="124"/>
      <c r="B391" s="6"/>
      <c r="C391" s="124"/>
      <c r="D391" s="185"/>
      <c r="E391" s="227"/>
      <c r="F391" s="187"/>
      <c r="G391" s="229"/>
      <c r="H391" s="195"/>
      <c r="I391" s="164"/>
      <c r="J391" s="248"/>
      <c r="K391" s="251"/>
      <c r="L391" s="164"/>
      <c r="M391" s="134" t="str">
        <f>I256</f>
        <v/>
      </c>
      <c r="N391" s="135" t="str">
        <f>iferror(mround($P256*((VLOOKUP($J391,Sheet1!$D:$N,$G391+1,FALSE)-0.03)),2.5)," ")</f>
        <v> </v>
      </c>
      <c r="O391" s="135" t="str">
        <f>iferror(mround($P256*((VLOOKUP($J391,Sheet1!$D:$N,$G391+1,FALSE)+0.02)),2.5)," ")</f>
        <v> </v>
      </c>
      <c r="P391" s="112" t="str">
        <f>iferror(mround(I391/VLOOKUP(L391,Sheet1!$D$7:$N$16,G391+1,FALSE),2.5),"")</f>
        <v/>
      </c>
      <c r="Q391" s="303" t="str">
        <f t="shared" si="10"/>
        <v/>
      </c>
      <c r="S391" s="11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</row>
    <row r="392" ht="3.75" hidden="1" customHeight="1">
      <c r="A392" s="124"/>
      <c r="B392" s="6"/>
      <c r="C392" s="124"/>
      <c r="D392" s="138"/>
      <c r="E392" s="245"/>
      <c r="F392" s="102"/>
      <c r="G392" s="102"/>
      <c r="H392" s="102"/>
      <c r="I392" s="102"/>
      <c r="J392" s="156"/>
      <c r="K392" s="249"/>
      <c r="L392" s="210"/>
      <c r="M392" s="144"/>
      <c r="N392" s="145"/>
      <c r="O392" s="145"/>
      <c r="P392" s="122"/>
      <c r="Q392" s="304" t="str">
        <f t="shared" si="10"/>
        <v/>
      </c>
      <c r="S392" s="11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</row>
    <row r="393" ht="14.25" hidden="1" customHeight="1">
      <c r="A393" s="124"/>
      <c r="B393" s="6"/>
      <c r="C393" s="124"/>
      <c r="D393" s="185"/>
      <c r="E393" s="227"/>
      <c r="F393" s="187"/>
      <c r="G393" s="229"/>
      <c r="H393" s="195"/>
      <c r="I393" s="164"/>
      <c r="J393" s="248"/>
      <c r="K393" s="251"/>
      <c r="L393" s="164"/>
      <c r="M393" s="134"/>
      <c r="N393" s="135" t="str">
        <f>iferror(mround($P258*((VLOOKUP($J393,Sheet1!$D:$N,$G393+1,FALSE)-0.03)),2.5)," ")</f>
        <v> </v>
      </c>
      <c r="O393" s="135" t="str">
        <f>iferror(mround($P258*((VLOOKUP($J393,Sheet1!$D:$N,$G393+1,FALSE)+0.02)),2.5)," ")</f>
        <v> </v>
      </c>
      <c r="P393" s="112" t="str">
        <f>iferror(mround(I393/VLOOKUP(L393,Sheet1!$D$7:$N$16,G393+1,FALSE),2.5),"")</f>
        <v/>
      </c>
      <c r="Q393" s="303" t="str">
        <f t="shared" si="10"/>
        <v/>
      </c>
      <c r="S393" s="11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</row>
    <row r="394" ht="3.75" hidden="1" customHeight="1">
      <c r="A394" s="124"/>
      <c r="B394" s="6"/>
      <c r="C394" s="124"/>
      <c r="D394" s="138"/>
      <c r="E394" s="245"/>
      <c r="F394" s="102"/>
      <c r="G394" s="102"/>
      <c r="H394" s="102"/>
      <c r="I394" s="102"/>
      <c r="J394" s="156"/>
      <c r="K394" s="249"/>
      <c r="L394" s="210"/>
      <c r="M394" s="144"/>
      <c r="N394" s="145" t="str">
        <f>iferror(mround($P259*((VLOOKUP($J394,Sheet1!$D:$N,$G394+1,FALSE)-0.03)),2.5)," ")</f>
        <v> </v>
      </c>
      <c r="O394" s="145" t="str">
        <f>iferror(mround($P259*((VLOOKUP($J394,Sheet1!$D:$N,$G394+1,FALSE)+0.02)),2.5)," ")</f>
        <v> </v>
      </c>
      <c r="P394" s="122"/>
      <c r="Q394" s="304" t="str">
        <f t="shared" si="10"/>
        <v/>
      </c>
      <c r="S394" s="11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</row>
    <row r="395" ht="14.25" hidden="1" customHeight="1">
      <c r="A395" s="124"/>
      <c r="B395" s="6"/>
      <c r="C395" s="124"/>
      <c r="D395" s="185"/>
      <c r="E395" s="227"/>
      <c r="F395" s="187"/>
      <c r="G395" s="187"/>
      <c r="H395" s="195"/>
      <c r="I395" s="164"/>
      <c r="J395" s="248"/>
      <c r="K395" s="251"/>
      <c r="L395" s="164"/>
      <c r="M395" s="134" t="str">
        <f>I260</f>
        <v/>
      </c>
      <c r="N395" s="135" t="str">
        <f>iferror(mround($P260*((VLOOKUP($J395,Sheet1!$D:$N,$G395+1,FALSE)-0.03)),2.5)," ")</f>
        <v> </v>
      </c>
      <c r="O395" s="135" t="str">
        <f>iferror(mround($P260*((VLOOKUP($J395,Sheet1!$D:$N,$G395+1,FALSE)+0.02)),2.5)," ")</f>
        <v> </v>
      </c>
      <c r="P395" s="112" t="str">
        <f>iferror(mround(I395/VLOOKUP(L395,Sheet1!$D$7:$N$16,G395+1,FALSE),2.5),"")</f>
        <v/>
      </c>
      <c r="Q395" s="303" t="str">
        <f t="shared" si="10"/>
        <v/>
      </c>
      <c r="S395" s="11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</row>
    <row r="396" ht="3.75" hidden="1" customHeight="1">
      <c r="A396" s="261"/>
      <c r="B396" s="6"/>
      <c r="C396" s="262"/>
      <c r="D396" s="138"/>
      <c r="E396" s="245"/>
      <c r="F396" s="102"/>
      <c r="G396" s="102"/>
      <c r="H396" s="102"/>
      <c r="I396" s="102"/>
      <c r="J396" s="156"/>
      <c r="K396" s="249"/>
      <c r="L396" s="210"/>
      <c r="M396" s="144"/>
      <c r="N396" s="145"/>
      <c r="O396" s="145"/>
      <c r="P396" s="122"/>
      <c r="Q396" s="304" t="str">
        <f t="shared" si="10"/>
        <v/>
      </c>
      <c r="S396" s="157"/>
      <c r="T396" s="5"/>
      <c r="U396" s="5"/>
      <c r="V396" s="158"/>
      <c r="W396" s="158"/>
      <c r="X396" s="158"/>
      <c r="Y396" s="158"/>
      <c r="Z396" s="158"/>
      <c r="AA396" s="158"/>
      <c r="AB396" s="158"/>
      <c r="AC396" s="158"/>
      <c r="AD396" s="158"/>
      <c r="AE396" s="158"/>
      <c r="AF396" s="158"/>
      <c r="AG396" s="158"/>
    </row>
    <row r="397" ht="14.25" hidden="1" customHeight="1">
      <c r="A397" s="124"/>
      <c r="B397" s="6"/>
      <c r="C397" s="124"/>
      <c r="D397" s="185"/>
      <c r="E397" s="227"/>
      <c r="F397" s="187"/>
      <c r="G397" s="187"/>
      <c r="H397" s="195"/>
      <c r="I397" s="164"/>
      <c r="J397" s="248"/>
      <c r="K397" s="251"/>
      <c r="L397" s="164"/>
      <c r="M397" s="134" t="str">
        <f>I262</f>
        <v/>
      </c>
      <c r="N397" s="135" t="str">
        <f>iferror(mround($P262*((VLOOKUP($J397,Sheet1!$D:$N,$G397+1,FALSE)-0.03)),2.5)," ")</f>
        <v> </v>
      </c>
      <c r="O397" s="135" t="str">
        <f>iferror(mround($P262*((VLOOKUP($J397,Sheet1!$D:$N,$G397+1,FALSE)+0.02)),2.5)," ")</f>
        <v> </v>
      </c>
      <c r="P397" s="112" t="str">
        <f>iferror(mround(I397/VLOOKUP(L397,Sheet1!$D$7:$N$16,G397+1,FALSE),2.5),"")</f>
        <v/>
      </c>
      <c r="Q397" s="303" t="str">
        <f t="shared" si="10"/>
        <v/>
      </c>
      <c r="S397" s="11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</row>
    <row r="398" ht="3.75" hidden="1" customHeight="1">
      <c r="A398" s="261"/>
      <c r="B398" s="6"/>
      <c r="C398" s="262"/>
      <c r="D398" s="138"/>
      <c r="E398" s="252"/>
      <c r="F398" s="102"/>
      <c r="G398" s="102"/>
      <c r="H398" s="102"/>
      <c r="I398" s="102"/>
      <c r="J398" s="156"/>
      <c r="K398" s="249"/>
      <c r="L398" s="210"/>
      <c r="M398" s="144"/>
      <c r="N398" s="145"/>
      <c r="O398" s="145"/>
      <c r="P398" s="122"/>
      <c r="Q398" s="304" t="str">
        <f t="shared" si="10"/>
        <v/>
      </c>
      <c r="S398" s="157"/>
      <c r="T398" s="5"/>
      <c r="U398" s="5"/>
      <c r="V398" s="158"/>
      <c r="W398" s="158"/>
      <c r="X398" s="158"/>
      <c r="Y398" s="158"/>
      <c r="Z398" s="158"/>
      <c r="AA398" s="158"/>
      <c r="AB398" s="158"/>
      <c r="AC398" s="158"/>
      <c r="AD398" s="158"/>
      <c r="AE398" s="158"/>
      <c r="AF398" s="158"/>
      <c r="AG398" s="158"/>
    </row>
    <row r="399" ht="15.75" hidden="1" customHeight="1">
      <c r="A399" s="124"/>
      <c r="B399" s="6"/>
      <c r="C399" s="124"/>
      <c r="D399" s="185"/>
      <c r="E399" s="260"/>
      <c r="F399" s="187"/>
      <c r="G399" s="187"/>
      <c r="H399" s="195"/>
      <c r="I399" s="247"/>
      <c r="J399" s="248"/>
      <c r="K399" s="251"/>
      <c r="L399" s="164"/>
      <c r="M399" s="134"/>
      <c r="N399" s="135" t="str">
        <f>iferror(mround($P264*((VLOOKUP($J399,Sheet1!$D:$N,$G399+1,FALSE)-0.03)),2.5)," ")</f>
        <v> </v>
      </c>
      <c r="O399" s="135" t="str">
        <f>iferror(mround($P264*((VLOOKUP($J399,Sheet1!$D:$N,$G399+1,FALSE)+0.02)),2.5)," ")</f>
        <v> </v>
      </c>
      <c r="P399" s="112" t="str">
        <f>iferror(mround(I399/VLOOKUP(L399,Sheet1!$D$7:$N$16,G399+1,FALSE),2.5),"")</f>
        <v/>
      </c>
      <c r="Q399" s="303" t="str">
        <f t="shared" si="10"/>
        <v/>
      </c>
      <c r="S399" s="11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</row>
    <row r="400" ht="3.75" hidden="1" customHeight="1">
      <c r="A400" s="124"/>
      <c r="B400" s="6"/>
      <c r="C400" s="124"/>
      <c r="D400" s="263"/>
      <c r="E400" s="252"/>
      <c r="F400" s="102"/>
      <c r="G400" s="102"/>
      <c r="H400" s="102"/>
      <c r="I400" s="102"/>
      <c r="J400" s="156"/>
      <c r="K400" s="249"/>
      <c r="L400" s="210"/>
      <c r="M400" s="144"/>
      <c r="N400" s="145" t="str">
        <f>iferror(mround($P265*((VLOOKUP($J400,Sheet1!$D:$N,$G400+1,FALSE)-0.03)),2.5)," ")</f>
        <v> </v>
      </c>
      <c r="O400" s="145" t="str">
        <f>iferror(mround($P265*((VLOOKUP($J400,Sheet1!$D:$N,$G400+1,FALSE)+0.02)),2.5)," ")</f>
        <v> </v>
      </c>
      <c r="P400" s="122"/>
      <c r="Q400" s="304" t="str">
        <f t="shared" si="10"/>
        <v/>
      </c>
      <c r="S400" s="11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</row>
    <row r="401" ht="14.25" hidden="1" customHeight="1">
      <c r="A401" s="90"/>
      <c r="B401" s="6"/>
      <c r="C401" s="90"/>
      <c r="D401" s="185"/>
      <c r="E401" s="264"/>
      <c r="F401" s="187"/>
      <c r="G401" s="187"/>
      <c r="H401" s="195"/>
      <c r="I401" s="164"/>
      <c r="J401" s="248"/>
      <c r="K401" s="251"/>
      <c r="L401" s="164"/>
      <c r="M401" s="134" t="str">
        <f>I266</f>
        <v/>
      </c>
      <c r="N401" s="135" t="str">
        <f>iferror(mround($P266*((VLOOKUP($J401,Sheet1!$D:$N,$G401+1,FALSE)-0.03)),2.5)," ")</f>
        <v> </v>
      </c>
      <c r="O401" s="135" t="str">
        <f>iferror(mround($P266*((VLOOKUP($J401,Sheet1!$D:$N,$G401+1,FALSE)+0.02)),2.5)," ")</f>
        <v> </v>
      </c>
      <c r="P401" s="112" t="str">
        <f>iferror(mround(I401/VLOOKUP(L401,Sheet1!$D$7:$N$16,G401+1,FALSE),2.5),"")</f>
        <v/>
      </c>
      <c r="Q401" s="303" t="str">
        <f t="shared" si="10"/>
        <v/>
      </c>
      <c r="S401" s="11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</row>
    <row r="402" ht="3.75" hidden="1" customHeight="1">
      <c r="A402" s="261"/>
      <c r="B402" s="6"/>
      <c r="C402" s="262"/>
      <c r="D402" s="263"/>
      <c r="E402" s="263"/>
      <c r="F402" s="194"/>
      <c r="G402" s="194"/>
      <c r="H402" s="155"/>
      <c r="I402" s="210"/>
      <c r="J402" s="265"/>
      <c r="K402" s="249"/>
      <c r="L402" s="210"/>
      <c r="M402" s="144"/>
      <c r="N402" s="145"/>
      <c r="O402" s="145"/>
      <c r="P402" s="122"/>
      <c r="Q402" s="304" t="str">
        <f t="shared" si="10"/>
        <v/>
      </c>
      <c r="S402" s="157"/>
      <c r="T402" s="5"/>
      <c r="U402" s="5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/>
      <c r="AF402" s="158"/>
      <c r="AG402" s="158"/>
    </row>
    <row r="403" ht="15.75" hidden="1" customHeight="1">
      <c r="A403" s="90"/>
      <c r="B403" s="6"/>
      <c r="C403" s="90"/>
      <c r="D403" s="185"/>
      <c r="E403" s="266"/>
      <c r="F403" s="187"/>
      <c r="G403" s="187"/>
      <c r="H403" s="195"/>
      <c r="I403" s="164"/>
      <c r="J403" s="248"/>
      <c r="K403" s="251"/>
      <c r="L403" s="164"/>
      <c r="M403" s="134"/>
      <c r="N403" s="135" t="str">
        <f>iferror(mround($P268*((VLOOKUP($J403,Sheet1!$D:$N,$G403+1,FALSE)-0.03)),2.5)," ")</f>
        <v> </v>
      </c>
      <c r="O403" s="135" t="str">
        <f>iferror(mround($P268*((VLOOKUP($J403,Sheet1!$D:$N,$G403+1,FALSE)+0.02)),2.5)," ")</f>
        <v> </v>
      </c>
      <c r="P403" s="112" t="str">
        <f>iferror(mround(I403/VLOOKUP(L403,Sheet1!$D$7:$N$16,G403+1,FALSE),2.5),"")</f>
        <v/>
      </c>
      <c r="Q403" s="303" t="str">
        <f t="shared" si="10"/>
        <v/>
      </c>
      <c r="S403" s="11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</row>
    <row r="404" ht="3.75" hidden="1" customHeight="1">
      <c r="A404" s="90"/>
      <c r="B404" s="6"/>
      <c r="C404" s="90"/>
      <c r="D404" s="138"/>
      <c r="E404" s="252"/>
      <c r="F404" s="102"/>
      <c r="G404" s="102"/>
      <c r="H404" s="102"/>
      <c r="I404" s="102"/>
      <c r="J404" s="156"/>
      <c r="K404" s="249"/>
      <c r="L404" s="210"/>
      <c r="M404" s="144"/>
      <c r="N404" s="145" t="str">
        <f>iferror(mround($P269*((VLOOKUP($J404,Sheet1!$D:$N,$G404+1,FALSE)-0.03)),2.5)," ")</f>
        <v> </v>
      </c>
      <c r="O404" s="145" t="str">
        <f>iferror(mround($P269*((VLOOKUP($J404,Sheet1!$D:$N,$G404+1,FALSE)+0.02)),2.5)," ")</f>
        <v> </v>
      </c>
      <c r="P404" s="122"/>
      <c r="Q404" s="304" t="str">
        <f t="shared" si="10"/>
        <v/>
      </c>
      <c r="S404" s="11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</row>
    <row r="405" ht="15.75" hidden="1" customHeight="1">
      <c r="A405" s="90"/>
      <c r="B405" s="6"/>
      <c r="C405" s="90"/>
      <c r="D405" s="185"/>
      <c r="E405" s="264"/>
      <c r="F405" s="187"/>
      <c r="G405" s="187"/>
      <c r="H405" s="195"/>
      <c r="I405" s="164"/>
      <c r="J405" s="248"/>
      <c r="K405" s="251"/>
      <c r="L405" s="164"/>
      <c r="M405" s="134" t="str">
        <f>I270</f>
        <v/>
      </c>
      <c r="N405" s="135" t="str">
        <f>iferror(mround($P270*((VLOOKUP($J405,Sheet1!$D:$N,$G405+1,FALSE)-0.03)),2.5)," ")</f>
        <v> </v>
      </c>
      <c r="O405" s="135" t="str">
        <f>iferror(mround($P270*((VLOOKUP($J405,Sheet1!$D:$N,$G405+1,FALSE)+0.02)),2.5)," ")</f>
        <v> </v>
      </c>
      <c r="P405" s="112" t="str">
        <f>iferror(mround(I405/VLOOKUP(L405,Sheet1!$D$7:$N$16,G405+1,FALSE),2.5),"")</f>
        <v/>
      </c>
      <c r="Q405" s="303" t="str">
        <f t="shared" si="10"/>
        <v/>
      </c>
      <c r="S405" s="11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</row>
    <row r="406" ht="3.75" hidden="1" customHeight="1">
      <c r="A406" s="191"/>
      <c r="B406" s="6"/>
      <c r="C406" s="192"/>
      <c r="D406" s="138"/>
      <c r="E406" s="252"/>
      <c r="F406" s="102"/>
      <c r="G406" s="102"/>
      <c r="H406" s="102"/>
      <c r="I406" s="102"/>
      <c r="J406" s="156"/>
      <c r="K406" s="249"/>
      <c r="L406" s="210"/>
      <c r="M406" s="144"/>
      <c r="N406" s="145"/>
      <c r="O406" s="145"/>
      <c r="P406" s="122"/>
      <c r="Q406" s="304" t="str">
        <f t="shared" si="10"/>
        <v/>
      </c>
      <c r="S406" s="157"/>
      <c r="T406" s="5"/>
      <c r="U406" s="5"/>
      <c r="V406" s="158"/>
      <c r="W406" s="158"/>
      <c r="X406" s="158"/>
      <c r="Y406" s="158"/>
      <c r="Z406" s="158"/>
      <c r="AA406" s="158"/>
      <c r="AB406" s="158"/>
      <c r="AC406" s="158"/>
      <c r="AD406" s="158"/>
      <c r="AE406" s="158"/>
      <c r="AF406" s="158"/>
      <c r="AG406" s="158"/>
    </row>
    <row r="407" ht="15.75" hidden="1" customHeight="1">
      <c r="A407" s="90"/>
      <c r="B407" s="6"/>
      <c r="C407" s="90"/>
      <c r="D407" s="185"/>
      <c r="E407" s="260"/>
      <c r="F407" s="187"/>
      <c r="G407" s="187"/>
      <c r="H407" s="195"/>
      <c r="I407" s="164"/>
      <c r="J407" s="248"/>
      <c r="K407" s="251"/>
      <c r="L407" s="164"/>
      <c r="M407" s="134" t="str">
        <f>I272</f>
        <v/>
      </c>
      <c r="N407" s="135" t="str">
        <f>iferror(mround($P272*((VLOOKUP($J407,Sheet1!$D:$N,$G407+1,FALSE)-0.03)),2.5)," ")</f>
        <v> </v>
      </c>
      <c r="O407" s="135" t="str">
        <f>iferror(mround($P272*((VLOOKUP($J407,Sheet1!$D:$N,$G407+1,FALSE)+0.02)),2.5)," ")</f>
        <v> </v>
      </c>
      <c r="P407" s="112" t="str">
        <f>iferror(mround(I407/VLOOKUP(L407,Sheet1!$D$7:$N$16,G407+1,FALSE),2.5),"")</f>
        <v/>
      </c>
      <c r="Q407" s="303" t="str">
        <f t="shared" si="10"/>
        <v/>
      </c>
      <c r="S407" s="11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</row>
    <row r="408" ht="3.75" hidden="1" customHeight="1">
      <c r="A408" s="90"/>
      <c r="B408" s="6"/>
      <c r="C408" s="90"/>
      <c r="D408" s="263"/>
      <c r="E408" s="252"/>
      <c r="F408" s="102"/>
      <c r="G408" s="102"/>
      <c r="H408" s="102"/>
      <c r="I408" s="102"/>
      <c r="J408" s="156"/>
      <c r="K408" s="249"/>
      <c r="L408" s="210"/>
      <c r="M408" s="144"/>
      <c r="N408" s="145"/>
      <c r="O408" s="145"/>
      <c r="P408" s="122"/>
      <c r="Q408" s="304" t="str">
        <f t="shared" si="10"/>
        <v/>
      </c>
      <c r="S408" s="11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</row>
    <row r="409" ht="15.75" hidden="1" customHeight="1">
      <c r="A409" s="90"/>
      <c r="B409" s="6"/>
      <c r="C409" s="90"/>
      <c r="D409" s="185"/>
      <c r="E409" s="266"/>
      <c r="F409" s="187"/>
      <c r="G409" s="187"/>
      <c r="H409" s="195"/>
      <c r="I409" s="164"/>
      <c r="J409" s="248"/>
      <c r="K409" s="251"/>
      <c r="L409" s="164"/>
      <c r="M409" s="134" t="str">
        <f>I274</f>
        <v/>
      </c>
      <c r="N409" s="135" t="str">
        <f>iferror(mround($P274*((VLOOKUP($J409,Sheet1!$D:$N,$G409+1,FALSE)-0.03)),2.5)," ")</f>
        <v> </v>
      </c>
      <c r="O409" s="135" t="str">
        <f>iferror(mround($P274*((VLOOKUP($J409,Sheet1!$D:$N,$G409+1,FALSE)+0.02)),2.5)," ")</f>
        <v> </v>
      </c>
      <c r="P409" s="112" t="str">
        <f>iferror(mround(I409/VLOOKUP(L409,Sheet1!$D$7:$N$16,G409+1,FALSE),2.5),"")</f>
        <v/>
      </c>
      <c r="Q409" s="303" t="str">
        <f t="shared" si="10"/>
        <v/>
      </c>
      <c r="S409" s="11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</row>
    <row r="410" ht="3.75" customHeight="1">
      <c r="A410" s="191"/>
      <c r="B410" s="6"/>
      <c r="C410" s="192"/>
      <c r="D410" s="192"/>
      <c r="E410" s="267"/>
      <c r="F410" s="194"/>
      <c r="G410" s="194"/>
      <c r="H410" s="155"/>
      <c r="I410" s="210"/>
      <c r="J410" s="268"/>
      <c r="K410" s="249"/>
      <c r="L410" s="269"/>
      <c r="M410" s="270"/>
      <c r="N410" s="269"/>
      <c r="O410" s="269"/>
      <c r="P410" s="271"/>
      <c r="Q410" s="272"/>
      <c r="R410" s="273"/>
      <c r="S410" s="157"/>
      <c r="T410" s="5"/>
      <c r="U410" s="5"/>
      <c r="V410" s="158"/>
      <c r="W410" s="158"/>
      <c r="X410" s="158"/>
      <c r="Y410" s="158"/>
      <c r="Z410" s="158"/>
      <c r="AA410" s="158"/>
      <c r="AB410" s="158"/>
      <c r="AC410" s="158"/>
      <c r="AD410" s="158"/>
      <c r="AE410" s="158"/>
      <c r="AF410" s="158"/>
      <c r="AG410" s="158"/>
    </row>
    <row r="411" ht="14.25" customHeight="1">
      <c r="A411" s="5"/>
      <c r="B411" s="6"/>
      <c r="C411" s="5"/>
      <c r="D411" s="274"/>
      <c r="E411" s="266"/>
      <c r="F411" s="187"/>
      <c r="G411" s="187"/>
      <c r="H411" s="195"/>
      <c r="I411" s="129"/>
      <c r="J411" s="275"/>
      <c r="K411" s="276"/>
      <c r="L411" s="187"/>
      <c r="M411" s="187"/>
      <c r="N411" s="187"/>
      <c r="O411" s="187"/>
      <c r="P411" s="277"/>
      <c r="Q411" s="278"/>
      <c r="R411" s="279"/>
      <c r="S411" s="11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</row>
    <row r="412" ht="14.25" customHeight="1">
      <c r="A412" s="5"/>
      <c r="B412" s="6"/>
      <c r="C412" s="5"/>
      <c r="D412" s="274" t="s">
        <v>59</v>
      </c>
      <c r="E412" s="266" t="s">
        <v>16</v>
      </c>
      <c r="F412" s="187" t="s">
        <v>17</v>
      </c>
      <c r="G412" s="187" t="s">
        <v>60</v>
      </c>
      <c r="H412" s="187"/>
      <c r="I412" s="280" t="s">
        <v>61</v>
      </c>
      <c r="J412" s="266" t="s">
        <v>62</v>
      </c>
      <c r="K412" s="274"/>
      <c r="L412" s="187"/>
      <c r="M412" s="285"/>
      <c r="N412" s="285"/>
      <c r="O412" s="285"/>
      <c r="P412" s="282"/>
      <c r="Q412" s="278"/>
      <c r="R412" s="157"/>
      <c r="S412" s="11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</row>
    <row r="413" ht="14.25" customHeight="1">
      <c r="A413" s="5"/>
      <c r="B413" s="6"/>
      <c r="C413" s="5"/>
      <c r="D413" s="274" t="s">
        <v>6</v>
      </c>
      <c r="E413" s="283">
        <f>IFERROR(__xludf.DUMMYFUNCTION("SUM(FILTER(F288:F412, ISNUMBER(SEARCH(""squat"", D288:D412))))"),8.0)</f>
        <v>8</v>
      </c>
      <c r="F413" s="284">
        <f>IFERROR(__xludf.DUMMYFUNCTION("SUMPRODUCT(FILTER(F288:F412 * G288:G412, ISNUMBER(SEARCH(""squat"", D288:D412))))"),41.0)</f>
        <v>41</v>
      </c>
      <c r="G413" s="135">
        <f>IFERROR(__xludf.DUMMYFUNCTION("ROUND(SUMPRODUCT(FILTER(F288:F412 * G288:G412 * I288:I412, ISNUMBER(SEARCH(""squat"", D288:D412)))), 0)"),16225.0)</f>
        <v>16225</v>
      </c>
      <c r="H413" s="285"/>
      <c r="I413" s="135">
        <f>IFERROR(__xludf.DUMMYFUNCTION("ROUND(AVERAGE(FILTER(I288:I412, ISNUMBER(SEARCH(""squat"", D288:D412)), I288:I412 &lt;&gt; """")) / J413 * 100, 0)"),75.0)</f>
        <v>75</v>
      </c>
      <c r="J413" s="283">
        <f>IFERROR(__xludf.DUMMYFUNCTION("IFERROR(MROUND(AVERAGE(FILTER(P288:P412, D288:D412 = ""comp squat"", P288:P412 &lt;&gt; """", P288:P412 &gt;= 0.9 * MAX(FILTER(P288:P412, D288:D412 = ""comp squat"", P288:P412 &lt;&gt; """")), P288:P412 &lt;= 1.1 * MAX(FILTER(P288:P412, D288:D412 = ""comp squat"", P288:P41"&amp;"2 &lt;&gt; """")))), 2.5), ""No valid data"")"),542.5)</f>
        <v>542.5</v>
      </c>
      <c r="K413" s="286"/>
      <c r="L413" s="287">
        <f>MROUND(J413/2.2046,2.5)-$O$10</f>
        <v>2.5</v>
      </c>
      <c r="M413" s="305"/>
      <c r="N413" s="305"/>
      <c r="O413" s="305"/>
      <c r="P413" s="282"/>
      <c r="Q413" s="278"/>
      <c r="R413" s="291"/>
      <c r="S413" s="11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</row>
    <row r="414" ht="3.0" customHeight="1">
      <c r="A414" s="5"/>
      <c r="B414" s="6"/>
      <c r="C414" s="5"/>
      <c r="D414" s="90"/>
      <c r="E414" s="156"/>
      <c r="F414" s="102"/>
      <c r="G414" s="145"/>
      <c r="H414" s="102"/>
      <c r="I414" s="145"/>
      <c r="J414" s="156"/>
      <c r="K414" s="286"/>
      <c r="L414" s="292"/>
      <c r="M414" s="284"/>
      <c r="N414" s="284"/>
      <c r="O414" s="305"/>
      <c r="P414" s="282"/>
      <c r="Q414" s="278"/>
      <c r="R414" s="115"/>
      <c r="S414" s="11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</row>
    <row r="415" ht="15.75" customHeight="1">
      <c r="A415" s="5"/>
      <c r="B415" s="6"/>
      <c r="C415" s="5"/>
      <c r="D415" s="274" t="s">
        <v>66</v>
      </c>
      <c r="E415" s="293">
        <f>IFERROR(__xludf.DUMMYFUNCTION("SUM(FILTER(F288:F412, ISNUMBER(SEARCH(""bench press"", D288:D412))))"),19.0)</f>
        <v>19</v>
      </c>
      <c r="F415" s="284">
        <f>IFERROR(__xludf.DUMMYFUNCTION("SUMPRODUCT(FILTER(F289:F413 * G289:G413, ISNUMBER(SEARCH(""bench press"", D289:D413))))"),69.0)</f>
        <v>69</v>
      </c>
      <c r="G415" s="135">
        <f>IFERROR(__xludf.DUMMYFUNCTION("ROUND(SUMPRODUCT(FILTER(F288:F412 * G288:G412 * I288:I412, ISNUMBER(SEARCH(""bench press"", D288:D412)))), 0)"),13732.0)</f>
        <v>13732</v>
      </c>
      <c r="H415" s="285"/>
      <c r="I415" s="135">
        <f>IFERROR(__xludf.DUMMYFUNCTION("ROUND(AVERAGE(FILTER(I288:I412, ISNUMBER(SEARCH(""bench press"", D288:D412)), I288:I412 &lt;&gt; """")) / J415 * 100, 0)"),81.0)</f>
        <v>81</v>
      </c>
      <c r="J415" s="293">
        <f>IFERROR(__xludf.DUMMYFUNCTION("IFERROR(MROUND(AVERAGE(FILTER(P288:P412, D288:D412 = ""comp bench press"", P288:P412 &lt;&gt; """", P288:P412 &gt;= 0.9 * MAX(FILTER(P288:P412, D288:D412 = ""comp bench press"", P288:P412 &lt;&gt; """")), P288:P412 &lt;= 1.1 * MAX(FILTER(P288:P412, D288:D412 = ""comp bench"&amp;" press"", P288:P412 &lt;&gt; """")))), 2.5), ""No valid data"")"),347.5)</f>
        <v>347.5</v>
      </c>
      <c r="K415" s="286"/>
      <c r="L415" s="294">
        <f>MROUND(J415/2.2046,2.5)-$O$11</f>
        <v>5</v>
      </c>
      <c r="M415" s="285"/>
      <c r="N415" s="285"/>
      <c r="O415" s="305"/>
      <c r="P415" s="282"/>
      <c r="Q415" s="278"/>
      <c r="R415" s="157"/>
      <c r="S415" s="11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</row>
    <row r="416" ht="3.0" customHeight="1">
      <c r="A416" s="5"/>
      <c r="B416" s="6"/>
      <c r="C416" s="5"/>
      <c r="D416" s="90"/>
      <c r="E416" s="156"/>
      <c r="F416" s="102"/>
      <c r="G416" s="145"/>
      <c r="H416" s="102"/>
      <c r="I416" s="145"/>
      <c r="J416" s="156"/>
      <c r="K416" s="286"/>
      <c r="L416" s="292"/>
      <c r="M416" s="285"/>
      <c r="N416" s="285"/>
      <c r="O416" s="284"/>
      <c r="P416" s="282"/>
      <c r="Q416" s="278"/>
      <c r="R416" s="157"/>
      <c r="S416" s="11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</row>
    <row r="417" ht="14.25" customHeight="1">
      <c r="A417" s="5"/>
      <c r="B417" s="6"/>
      <c r="C417" s="5"/>
      <c r="D417" s="274" t="s">
        <v>10</v>
      </c>
      <c r="E417" s="293">
        <f>IFERROR(__xludf.DUMMYFUNCTION("SUM(FILTER(F288:F412, ISNUMBER(SEARCH(""deadlift"", D288:D412))))"),7.0)</f>
        <v>7</v>
      </c>
      <c r="F417" s="284">
        <f>IFERROR(__xludf.DUMMYFUNCTION("SUMPRODUCT(FILTER(F288:F412 * G288:G412, ISNUMBER(SEARCH(""deadlift"", D288:D412))))"),25.0)</f>
        <v>25</v>
      </c>
      <c r="G417" s="135">
        <f>IFERROR(__xludf.DUMMYFUNCTION("ROUND(SUMPRODUCT(FILTER(F288:F412 * G288:G412 * I288:I412, ISNUMBER(SEARCH(""deadlift"", D288:D412)))), 0)"),9369.0)</f>
        <v>9369</v>
      </c>
      <c r="H417" s="285"/>
      <c r="I417" s="135" t="str">
        <f>IFERROR(__xludf.DUMMYFUNCTION("ROUND(AVERAGE(FILTER(I288:I412, ISNUMBER(SEARCH(""deadlift"", D288:D412)), I288:I412 &lt;&gt; """")) / J417 * 100, 0)"),"#VALUE!")</f>
        <v>#VALUE!</v>
      </c>
      <c r="J417" s="293" t="str">
        <f>IFERROR(__xludf.DUMMYFUNCTION("IFERROR(MROUND(AVERAGE(FILTER(P288:P412, D288:D412 = ""comp deadlift"", P288:P412 &lt;&gt; """", P288:P412 &gt;= 0.9 * MAX(FILTER(P288:P412, D288:D412 = ""comp deadlift"", P288:P412 &lt;&gt; """")), P288:P412 &lt;= 1.1 * MAX(FILTER(P288:P412, D288:D412 = ""comp deadlift"","&amp;" P288:P412 &lt;&gt; """")))), 2.5), ""No valid data"")"),"No valid data")</f>
        <v>No valid data</v>
      </c>
      <c r="K417" s="286"/>
      <c r="L417" s="294" t="str">
        <f>MROUND(J417/2.2046,2.5)-$O$12</f>
        <v>#VALUE!</v>
      </c>
      <c r="M417" s="285"/>
      <c r="N417" s="285"/>
      <c r="O417" s="285"/>
      <c r="P417" s="282"/>
      <c r="Q417" s="278"/>
      <c r="R417" s="157"/>
      <c r="S417" s="11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</row>
    <row r="418" ht="14.25" customHeight="1">
      <c r="A418" s="5"/>
      <c r="B418" s="6"/>
      <c r="C418" s="5"/>
      <c r="D418" s="274"/>
      <c r="E418" s="266"/>
      <c r="F418" s="187"/>
      <c r="G418" s="187"/>
      <c r="H418" s="187"/>
      <c r="I418" s="187"/>
      <c r="J418" s="295"/>
      <c r="K418" s="274"/>
      <c r="L418" s="187"/>
      <c r="M418" s="285"/>
      <c r="N418" s="285"/>
      <c r="O418" s="285"/>
      <c r="P418" s="282"/>
      <c r="Q418" s="278"/>
      <c r="R418" s="157"/>
      <c r="S418" s="11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</row>
    <row r="419" ht="14.25" customHeight="1">
      <c r="A419" s="5"/>
      <c r="B419" s="2"/>
      <c r="C419" s="5"/>
      <c r="D419" s="5"/>
      <c r="E419" s="75"/>
      <c r="F419" s="3"/>
      <c r="G419" s="3"/>
      <c r="H419" s="3"/>
      <c r="I419" s="3"/>
      <c r="J419" s="75"/>
      <c r="K419" s="5"/>
      <c r="L419" s="3"/>
      <c r="M419" s="47"/>
      <c r="N419" s="3"/>
      <c r="O419" s="3"/>
      <c r="P419" s="3"/>
      <c r="Q419" s="4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</row>
    <row r="420" ht="18.75" customHeight="1">
      <c r="A420" s="90"/>
      <c r="B420" s="6"/>
      <c r="C420" s="91"/>
      <c r="D420" s="79" t="s">
        <v>72</v>
      </c>
      <c r="E420" s="80" t="s">
        <v>13</v>
      </c>
      <c r="G420" s="81"/>
      <c r="H420" s="81"/>
      <c r="I420" s="81"/>
      <c r="J420" s="82"/>
      <c r="K420" s="83"/>
      <c r="L420" s="83"/>
      <c r="M420" s="93"/>
      <c r="N420" s="93"/>
      <c r="O420" s="93"/>
      <c r="P420" s="296"/>
      <c r="Q420" s="297"/>
      <c r="R420" s="298"/>
      <c r="S420" s="10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</row>
    <row r="421" ht="18.75" customHeight="1">
      <c r="A421" s="90"/>
      <c r="B421" s="6"/>
      <c r="C421" s="91"/>
      <c r="D421" s="299">
        <f>D286+1</f>
        <v>4</v>
      </c>
      <c r="E421" s="300" t="str">
        <f>IF(E286 = "", "", E286 - 1)</f>
        <v/>
      </c>
      <c r="G421" s="301"/>
      <c r="H421" s="301"/>
      <c r="I421" s="301"/>
      <c r="J421" s="92"/>
      <c r="K421" s="93"/>
      <c r="L421" s="93"/>
      <c r="M421" s="93"/>
      <c r="N421" s="93"/>
      <c r="O421" s="93"/>
      <c r="P421" s="94"/>
      <c r="Q421" s="95"/>
      <c r="R421" s="96"/>
      <c r="S421" s="10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</row>
    <row r="422" ht="5.25" customHeight="1">
      <c r="A422" s="90"/>
      <c r="B422" s="6"/>
      <c r="C422" s="90"/>
      <c r="D422" s="97"/>
      <c r="E422" s="98"/>
      <c r="F422" s="99"/>
      <c r="G422" s="99"/>
      <c r="H422" s="99"/>
      <c r="I422" s="100"/>
      <c r="J422" s="101"/>
      <c r="K422" s="90"/>
      <c r="L422" s="102"/>
      <c r="M422" s="102"/>
      <c r="N422" s="102"/>
      <c r="O422" s="102"/>
      <c r="P422" s="103"/>
      <c r="Q422" s="4"/>
      <c r="R422" s="90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</row>
    <row r="423" ht="30.75" customHeight="1">
      <c r="A423" s="90"/>
      <c r="B423" s="6"/>
      <c r="C423" s="90"/>
      <c r="D423" s="202" t="s">
        <v>73</v>
      </c>
      <c r="E423" s="105" t="s">
        <v>15</v>
      </c>
      <c r="F423" s="106" t="s">
        <v>16</v>
      </c>
      <c r="G423" s="106" t="s">
        <v>17</v>
      </c>
      <c r="H423" s="107"/>
      <c r="I423" s="106" t="s">
        <v>18</v>
      </c>
      <c r="J423" s="108" t="s">
        <v>19</v>
      </c>
      <c r="L423" s="109" t="s">
        <v>20</v>
      </c>
      <c r="M423" s="110" t="s">
        <v>21</v>
      </c>
      <c r="N423" s="111" t="s">
        <v>22</v>
      </c>
      <c r="P423" s="112"/>
      <c r="Q423" s="113" t="s">
        <v>23</v>
      </c>
      <c r="R423" s="114" t="s">
        <v>24</v>
      </c>
      <c r="S423" s="11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</row>
    <row r="424" ht="14.25" customHeight="1">
      <c r="A424" s="90"/>
      <c r="B424" s="6"/>
      <c r="C424" s="90"/>
      <c r="D424" s="116" t="s">
        <v>25</v>
      </c>
      <c r="E424" s="117" t="s">
        <v>26</v>
      </c>
      <c r="H424" s="107"/>
      <c r="N424" s="111" t="s">
        <v>27</v>
      </c>
      <c r="O424" s="111" t="s">
        <v>28</v>
      </c>
      <c r="P424" s="112" t="s">
        <v>29</v>
      </c>
      <c r="R424" s="118" t="s">
        <v>30</v>
      </c>
      <c r="S424" s="11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</row>
    <row r="425" ht="3.75" customHeight="1">
      <c r="A425" s="90"/>
      <c r="B425" s="6"/>
      <c r="C425" s="90"/>
      <c r="D425" s="97"/>
      <c r="E425" s="98"/>
      <c r="F425" s="99"/>
      <c r="G425" s="99"/>
      <c r="H425" s="99"/>
      <c r="I425" s="100"/>
      <c r="J425" s="302"/>
      <c r="K425" s="90"/>
      <c r="L425" s="102"/>
      <c r="M425" s="121"/>
      <c r="N425" s="102"/>
      <c r="O425" s="102"/>
      <c r="P425" s="122"/>
      <c r="Q425" s="4"/>
      <c r="R425" s="123"/>
      <c r="S425" s="11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</row>
    <row r="426" ht="15.75" customHeight="1">
      <c r="A426" s="124"/>
      <c r="B426" s="6"/>
      <c r="C426" s="124"/>
      <c r="D426" s="125" t="s">
        <v>77</v>
      </c>
      <c r="E426" s="126"/>
      <c r="F426" s="127">
        <v>1.0</v>
      </c>
      <c r="G426" s="240">
        <v>6.0</v>
      </c>
      <c r="H426" s="129"/>
      <c r="I426" s="130"/>
      <c r="J426" s="151">
        <v>7.0</v>
      </c>
      <c r="K426" s="132"/>
      <c r="L426" s="133"/>
      <c r="M426" s="134">
        <f>I291</f>
        <v>402</v>
      </c>
      <c r="N426" s="135">
        <f>iferror(mround($P291*((VLOOKUP($J426,Sheet1!$D:$N,$G426+1,FALSE)-0.03)),2.5)," ")</f>
        <v>397.5</v>
      </c>
      <c r="O426" s="135">
        <f>iferror(mround($P291*((VLOOKUP($J426,Sheet1!$D:$N,$G426+1,FALSE)+0.02)),2.5)," ")</f>
        <v>425</v>
      </c>
      <c r="P426" s="56" t="str">
        <f>iferror(mround(I426/VLOOKUP(L426,Sheet1!$D$7:$N$16,G426+1,FALSE),2.5),"")</f>
        <v/>
      </c>
      <c r="Q426" s="303" t="str">
        <f t="shared" ref="Q426:Q447" si="11">IF(OR(ISBLANK(I426), ISBLANK(I291)), "", IF(I426 - I291 = 0, "", I426 - I291))</f>
        <v/>
      </c>
      <c r="S426" s="11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</row>
    <row r="427" ht="3.75" customHeight="1">
      <c r="A427" s="137"/>
      <c r="B427" s="70"/>
      <c r="C427" s="137"/>
      <c r="D427" s="138"/>
      <c r="E427" s="139"/>
      <c r="F427" s="140"/>
      <c r="G427" s="140"/>
      <c r="H427" s="140"/>
      <c r="I427" s="330"/>
      <c r="J427" s="141"/>
      <c r="K427" s="142"/>
      <c r="L427" s="143"/>
      <c r="M427" s="144"/>
      <c r="N427" s="145"/>
      <c r="O427" s="145"/>
      <c r="P427" s="122"/>
      <c r="Q427" s="304" t="str">
        <f t="shared" si="11"/>
        <v/>
      </c>
      <c r="S427" s="147"/>
      <c r="T427" s="148"/>
      <c r="U427" s="148"/>
      <c r="V427" s="148"/>
      <c r="W427" s="148"/>
      <c r="X427" s="148"/>
      <c r="Y427" s="148"/>
      <c r="Z427" s="148"/>
      <c r="AA427" s="148"/>
      <c r="AB427" s="148"/>
      <c r="AC427" s="148"/>
      <c r="AD427" s="148"/>
      <c r="AE427" s="148"/>
      <c r="AF427" s="148"/>
      <c r="AG427" s="148"/>
    </row>
    <row r="428" ht="15.75" customHeight="1">
      <c r="A428" s="149"/>
      <c r="B428" s="150"/>
      <c r="C428" s="149"/>
      <c r="D428" s="125" t="s">
        <v>77</v>
      </c>
      <c r="E428" s="126"/>
      <c r="F428" s="127">
        <v>1.0</v>
      </c>
      <c r="G428" s="240">
        <v>6.0</v>
      </c>
      <c r="H428" s="129"/>
      <c r="I428" s="130"/>
      <c r="J428" s="151">
        <v>8.0</v>
      </c>
      <c r="K428" s="132"/>
      <c r="L428" s="133"/>
      <c r="M428" s="134">
        <f>I293</f>
        <v>430</v>
      </c>
      <c r="N428" s="135">
        <f>iferror(mround($P293*((VLOOKUP($J428,Sheet1!$D:$N,$G428+1,FALSE)-0.03)),2.5)," ")</f>
        <v>427.5</v>
      </c>
      <c r="O428" s="135">
        <f>iferror(mround($P293*((VLOOKUP($J428,Sheet1!$D:$N,$G428+1,FALSE)+0.02)),2.5)," ")</f>
        <v>455</v>
      </c>
      <c r="P428" s="56" t="str">
        <f>iferror(mround(I428/VLOOKUP(L428,Sheet1!$D$7:$N$16,G428+1,FALSE),2.5),"")</f>
        <v/>
      </c>
      <c r="Q428" s="303" t="str">
        <f t="shared" si="11"/>
        <v/>
      </c>
      <c r="S428" s="11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</row>
    <row r="429" ht="3.75" customHeight="1">
      <c r="A429" s="152"/>
      <c r="B429" s="150"/>
      <c r="C429" s="153"/>
      <c r="D429" s="138"/>
      <c r="E429" s="154"/>
      <c r="F429" s="155"/>
      <c r="G429" s="102"/>
      <c r="H429" s="102"/>
      <c r="I429" s="102"/>
      <c r="J429" s="156"/>
      <c r="K429" s="142"/>
      <c r="L429" s="143"/>
      <c r="M429" s="144"/>
      <c r="N429" s="145"/>
      <c r="O429" s="145"/>
      <c r="P429" s="122"/>
      <c r="Q429" s="304" t="str">
        <f t="shared" si="11"/>
        <v/>
      </c>
      <c r="S429" s="157"/>
      <c r="T429" s="5"/>
      <c r="U429" s="5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</row>
    <row r="430" ht="15.75" customHeight="1">
      <c r="A430" s="149"/>
      <c r="B430" s="150"/>
      <c r="C430" s="149"/>
      <c r="D430" s="125" t="s">
        <v>77</v>
      </c>
      <c r="E430" s="126"/>
      <c r="F430" s="127">
        <v>1.0</v>
      </c>
      <c r="G430" s="161">
        <v>6.0</v>
      </c>
      <c r="H430" s="129"/>
      <c r="I430" s="164">
        <f>MROUND(I428*(1+J430),5)</f>
        <v>0</v>
      </c>
      <c r="J430" s="165">
        <v>-0.05</v>
      </c>
      <c r="K430" s="132"/>
      <c r="L430" s="133"/>
      <c r="M430" s="134">
        <f>I295</f>
        <v>385</v>
      </c>
      <c r="N430" s="135" t="str">
        <f>iferror(mround($P295*((VLOOKUP($J430,Sheet1!$D:$N,$G430+1,FALSE)-0.03)),2.5)," ")</f>
        <v> </v>
      </c>
      <c r="O430" s="135" t="str">
        <f>iferror(mround($P295*((VLOOKUP($J430,Sheet1!$D:$N,$G430+1,FALSE)+0.02)),2.5)," ")</f>
        <v> </v>
      </c>
      <c r="P430" s="56" t="str">
        <f>iferror(mround(I430/VLOOKUP(L430,Sheet1!$D$7:$N$16,G430+1,FALSE),2.5),"")</f>
        <v/>
      </c>
      <c r="Q430" s="303">
        <f t="shared" si="11"/>
        <v>-385</v>
      </c>
      <c r="S430" s="11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</row>
    <row r="431" ht="3.75" customHeight="1">
      <c r="A431" s="162"/>
      <c r="B431" s="163"/>
      <c r="C431" s="162"/>
      <c r="D431" s="138"/>
      <c r="E431" s="154"/>
      <c r="F431" s="155"/>
      <c r="G431" s="102"/>
      <c r="H431" s="102"/>
      <c r="I431" s="102"/>
      <c r="J431" s="156"/>
      <c r="K431" s="142"/>
      <c r="L431" s="143"/>
      <c r="M431" s="144"/>
      <c r="N431" s="145"/>
      <c r="O431" s="145"/>
      <c r="P431" s="122"/>
      <c r="Q431" s="304" t="str">
        <f t="shared" si="11"/>
        <v/>
      </c>
      <c r="S431" s="147"/>
      <c r="T431" s="148"/>
      <c r="U431" s="148"/>
      <c r="V431" s="148"/>
      <c r="W431" s="148"/>
      <c r="X431" s="148"/>
      <c r="Y431" s="148"/>
      <c r="Z431" s="148"/>
      <c r="AA431" s="148"/>
      <c r="AB431" s="148"/>
      <c r="AC431" s="148"/>
      <c r="AD431" s="148"/>
      <c r="AE431" s="148"/>
      <c r="AF431" s="148"/>
      <c r="AG431" s="148"/>
    </row>
    <row r="432" ht="15.75" customHeight="1">
      <c r="A432" s="149"/>
      <c r="B432" s="150"/>
      <c r="C432" s="149"/>
      <c r="D432" s="159" t="s">
        <v>33</v>
      </c>
      <c r="E432" s="160" t="s">
        <v>34</v>
      </c>
      <c r="F432" s="127">
        <v>1.0</v>
      </c>
      <c r="G432" s="161">
        <v>5.0</v>
      </c>
      <c r="H432" s="129"/>
      <c r="I432" s="130"/>
      <c r="J432" s="151">
        <v>8.0</v>
      </c>
      <c r="K432" s="132"/>
      <c r="L432" s="133"/>
      <c r="M432" s="134">
        <f>I297</f>
        <v>275</v>
      </c>
      <c r="N432" s="135">
        <f>iferror(mround($P297*((VLOOKUP($J432,Sheet1!$D:$N,$G432+1,FALSE)-0.03)),2.5)," ")</f>
        <v>270</v>
      </c>
      <c r="O432" s="135">
        <f>iferror(mround($P297*((VLOOKUP($J432,Sheet1!$D:$N,$G432+1,FALSE)+0.02)),2.5)," ")</f>
        <v>285</v>
      </c>
      <c r="P432" s="56" t="str">
        <f>iferror(mround(I432/VLOOKUP(L432,Sheet1!$D$7:$N$16,G432+1,FALSE),2.5),"")</f>
        <v/>
      </c>
      <c r="Q432" s="303" t="str">
        <f t="shared" si="11"/>
        <v/>
      </c>
      <c r="S432" s="11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</row>
    <row r="433" ht="3.75" customHeight="1">
      <c r="A433" s="162"/>
      <c r="B433" s="163"/>
      <c r="C433" s="162"/>
      <c r="D433" s="138"/>
      <c r="E433" s="139"/>
      <c r="F433" s="140"/>
      <c r="G433" s="140"/>
      <c r="H433" s="140"/>
      <c r="I433" s="140"/>
      <c r="J433" s="141"/>
      <c r="K433" s="142"/>
      <c r="L433" s="143"/>
      <c r="M433" s="144"/>
      <c r="N433" s="145"/>
      <c r="O433" s="145"/>
      <c r="P433" s="122"/>
      <c r="Q433" s="304" t="str">
        <f t="shared" si="11"/>
        <v/>
      </c>
      <c r="S433" s="147"/>
      <c r="T433" s="148"/>
      <c r="U433" s="148"/>
      <c r="V433" s="148"/>
      <c r="W433" s="148"/>
      <c r="X433" s="148"/>
      <c r="Y433" s="148"/>
      <c r="Z433" s="148"/>
      <c r="AA433" s="148"/>
      <c r="AB433" s="148"/>
      <c r="AC433" s="148"/>
      <c r="AD433" s="148"/>
      <c r="AE433" s="148"/>
      <c r="AF433" s="148"/>
      <c r="AG433" s="148"/>
    </row>
    <row r="434" ht="15.75" customHeight="1">
      <c r="A434" s="90"/>
      <c r="B434" s="6"/>
      <c r="C434" s="90"/>
      <c r="D434" s="159" t="s">
        <v>33</v>
      </c>
      <c r="E434" s="160" t="s">
        <v>34</v>
      </c>
      <c r="F434" s="127">
        <v>3.0</v>
      </c>
      <c r="G434" s="161">
        <v>5.0</v>
      </c>
      <c r="H434" s="129"/>
      <c r="I434" s="164">
        <f>MROUND(I432*(1+J434),5)</f>
        <v>0</v>
      </c>
      <c r="J434" s="165">
        <v>-0.1</v>
      </c>
      <c r="K434" s="132"/>
      <c r="L434" s="133"/>
      <c r="M434" s="134">
        <f>I299</f>
        <v>250</v>
      </c>
      <c r="N434" s="135" t="str">
        <f>iferror(mround($P299*((VLOOKUP($J434,Sheet1!$D:$N,$G434+1,FALSE)-0.03)),2.5)," ")</f>
        <v> </v>
      </c>
      <c r="O434" s="135" t="str">
        <f>iferror(mround($P299*((VLOOKUP($J434,Sheet1!$D:$N,$G434+1,FALSE)+0.02)),2.5)," ")</f>
        <v> </v>
      </c>
      <c r="P434" s="56" t="str">
        <f>iferror(mround(I434/VLOOKUP(L434,Sheet1!$D$7:$N$16,G434+1,FALSE),2.5),"")</f>
        <v/>
      </c>
      <c r="Q434" s="303">
        <f t="shared" si="11"/>
        <v>-250</v>
      </c>
      <c r="S434" s="11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</row>
    <row r="435" ht="3.75" customHeight="1">
      <c r="A435" s="168"/>
      <c r="B435" s="70"/>
      <c r="C435" s="168"/>
      <c r="D435" s="138"/>
      <c r="E435" s="139"/>
      <c r="F435" s="102"/>
      <c r="G435" s="102"/>
      <c r="H435" s="102"/>
      <c r="I435" s="102"/>
      <c r="J435" s="156"/>
      <c r="K435" s="142"/>
      <c r="L435" s="143"/>
      <c r="M435" s="144"/>
      <c r="N435" s="145"/>
      <c r="O435" s="145"/>
      <c r="P435" s="122"/>
      <c r="Q435" s="304" t="str">
        <f t="shared" si="11"/>
        <v/>
      </c>
      <c r="S435" s="147"/>
      <c r="T435" s="148"/>
      <c r="U435" s="148"/>
      <c r="V435" s="148"/>
      <c r="W435" s="148"/>
      <c r="X435" s="148"/>
      <c r="Y435" s="148"/>
      <c r="Z435" s="148"/>
      <c r="AA435" s="148"/>
      <c r="AB435" s="148"/>
      <c r="AC435" s="148"/>
      <c r="AD435" s="148"/>
      <c r="AE435" s="148"/>
      <c r="AF435" s="148"/>
      <c r="AG435" s="148"/>
    </row>
    <row r="436" ht="15.75" customHeight="1">
      <c r="A436" s="90"/>
      <c r="B436" s="6"/>
      <c r="C436" s="90"/>
      <c r="D436" s="166" t="s">
        <v>35</v>
      </c>
      <c r="E436" s="167" t="s">
        <v>79</v>
      </c>
      <c r="F436" s="127">
        <v>2.0</v>
      </c>
      <c r="G436" s="161">
        <v>7.0</v>
      </c>
      <c r="H436" s="129"/>
      <c r="I436" s="130"/>
      <c r="J436" s="151">
        <v>8.0</v>
      </c>
      <c r="K436" s="170" t="s">
        <v>80</v>
      </c>
      <c r="L436" s="133"/>
      <c r="M436" s="134">
        <f>I301</f>
        <v>259</v>
      </c>
      <c r="N436" s="135">
        <f>iferror(mround($P301*((VLOOKUP($J436,Sheet1!$D:$N,$G436+1,FALSE)-0.03)),2.5)," ")</f>
        <v>240</v>
      </c>
      <c r="O436" s="135">
        <f>iferror(mround($P301*((VLOOKUP($J436,Sheet1!$D:$N,$G436+1,FALSE)+0.02)),2.5)," ")</f>
        <v>257.5</v>
      </c>
      <c r="P436" s="56" t="str">
        <f>iferror(mround(I436/VLOOKUP(L436,Sheet1!$D$7:$N$16,G436+1,FALSE),2.5),"")</f>
        <v/>
      </c>
      <c r="Q436" s="303" t="str">
        <f t="shared" si="11"/>
        <v/>
      </c>
      <c r="S436" s="11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</row>
    <row r="437" ht="3.75" customHeight="1">
      <c r="A437" s="90"/>
      <c r="B437" s="6"/>
      <c r="C437" s="90"/>
      <c r="D437" s="171"/>
      <c r="E437" s="172"/>
      <c r="F437" s="173"/>
      <c r="G437" s="173"/>
      <c r="H437" s="173"/>
      <c r="I437" s="173"/>
      <c r="J437" s="174"/>
      <c r="K437" s="142"/>
      <c r="L437" s="143"/>
      <c r="M437" s="144"/>
      <c r="N437" s="145"/>
      <c r="O437" s="145"/>
      <c r="P437" s="122"/>
      <c r="Q437" s="304" t="str">
        <f t="shared" si="11"/>
        <v/>
      </c>
      <c r="S437" s="11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</row>
    <row r="438" ht="15.75" customHeight="1">
      <c r="A438" s="90"/>
      <c r="B438" s="6"/>
      <c r="C438" s="90"/>
      <c r="D438" s="166" t="s">
        <v>37</v>
      </c>
      <c r="E438" s="160" t="s">
        <v>81</v>
      </c>
      <c r="F438" s="127">
        <v>3.0</v>
      </c>
      <c r="G438" s="169">
        <v>45577.0</v>
      </c>
      <c r="H438" s="129"/>
      <c r="I438" s="130"/>
      <c r="J438" s="151">
        <v>8.0</v>
      </c>
      <c r="K438" s="132"/>
      <c r="L438" s="133"/>
      <c r="M438" s="134">
        <f>I303</f>
        <v>340</v>
      </c>
      <c r="N438" s="135" t="str">
        <f>iferror(mround($P303*((VLOOKUP($J438,Sheet1!$D:$N,$G438+1,FALSE)-0.03)),2.5)," ")</f>
        <v> </v>
      </c>
      <c r="O438" s="135" t="str">
        <f>iferror(mround($P303*((VLOOKUP($J438,Sheet1!$D:$N,$G438+1,FALSE)+0.02)),2.5)," ")</f>
        <v> </v>
      </c>
      <c r="P438" s="56" t="str">
        <f>iferror(mround(I438/VLOOKUP(L438,Sheet1!$D$7:$N$16,G438+1,FALSE),2.5),"")</f>
        <v/>
      </c>
      <c r="Q438" s="303" t="str">
        <f t="shared" si="11"/>
        <v/>
      </c>
      <c r="S438" s="11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</row>
    <row r="439" ht="3.75" customHeight="1">
      <c r="A439" s="90"/>
      <c r="B439" s="6"/>
      <c r="C439" s="90"/>
      <c r="D439" s="171"/>
      <c r="E439" s="172"/>
      <c r="F439" s="173"/>
      <c r="G439" s="173"/>
      <c r="H439" s="173"/>
      <c r="I439" s="173"/>
      <c r="J439" s="174"/>
      <c r="K439" s="142"/>
      <c r="L439" s="143"/>
      <c r="M439" s="144"/>
      <c r="N439" s="145"/>
      <c r="O439" s="145"/>
      <c r="P439" s="122"/>
      <c r="Q439" s="304" t="str">
        <f t="shared" si="11"/>
        <v/>
      </c>
      <c r="S439" s="11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</row>
    <row r="440" ht="15.75" hidden="1" customHeight="1">
      <c r="A440" s="90"/>
      <c r="B440" s="6"/>
      <c r="C440" s="90"/>
      <c r="D440" s="175" t="s">
        <v>40</v>
      </c>
      <c r="E440" s="176"/>
      <c r="F440" s="177">
        <v>3.0</v>
      </c>
      <c r="G440" s="178" t="s">
        <v>41</v>
      </c>
      <c r="H440" s="179"/>
      <c r="I440" s="180"/>
      <c r="J440" s="181">
        <v>8.0</v>
      </c>
      <c r="K440" s="182"/>
      <c r="L440" s="183"/>
      <c r="M440" s="134" t="str">
        <f>I305</f>
        <v/>
      </c>
      <c r="N440" s="135" t="str">
        <f>iferror(mround($P305*((VLOOKUP($J440,Sheet1!$D:$N,$G440+1,FALSE)-0.03)),2.5)," ")</f>
        <v> </v>
      </c>
      <c r="O440" s="135" t="str">
        <f>iferror(mround($P305*((VLOOKUP($J440,Sheet1!$D:$N,$G440+1,FALSE)+0.02)),2.5)," ")</f>
        <v> </v>
      </c>
      <c r="P440" s="56" t="str">
        <f>iferror(mround(I440/VLOOKUP(L440,Sheet1!$D$7:$N$16,G440+1,FALSE),2.5),"")</f>
        <v/>
      </c>
      <c r="Q440" s="303" t="str">
        <f t="shared" si="11"/>
        <v/>
      </c>
      <c r="S440" s="11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</row>
    <row r="441" ht="3.75" hidden="1" customHeight="1">
      <c r="A441" s="90"/>
      <c r="B441" s="6"/>
      <c r="C441" s="90"/>
      <c r="D441" s="138"/>
      <c r="E441" s="184"/>
      <c r="F441" s="102"/>
      <c r="G441" s="102"/>
      <c r="H441" s="102"/>
      <c r="I441" s="102"/>
      <c r="J441" s="156"/>
      <c r="K441" s="103"/>
      <c r="L441" s="143"/>
      <c r="M441" s="144"/>
      <c r="N441" s="145"/>
      <c r="O441" s="145"/>
      <c r="P441" s="122"/>
      <c r="Q441" s="304" t="str">
        <f t="shared" si="11"/>
        <v/>
      </c>
      <c r="S441" s="11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</row>
    <row r="442" ht="15.75" hidden="1" customHeight="1">
      <c r="A442" s="90"/>
      <c r="B442" s="6"/>
      <c r="C442" s="90"/>
      <c r="D442" s="185"/>
      <c r="E442" s="186"/>
      <c r="F442" s="187"/>
      <c r="G442" s="188"/>
      <c r="H442" s="129"/>
      <c r="I442" s="164"/>
      <c r="J442" s="189"/>
      <c r="K442" s="190"/>
      <c r="L442" s="183"/>
      <c r="M442" s="134" t="str">
        <f>I307</f>
        <v/>
      </c>
      <c r="N442" s="135" t="str">
        <f>iferror(mround($P307*((VLOOKUP($J442,Sheet1!$D:$N,$G442+1,FALSE)-0.03)),2.5)," ")</f>
        <v> </v>
      </c>
      <c r="O442" s="135" t="str">
        <f>iferror(mround($P307*((VLOOKUP($J442,Sheet1!$D:$N,$G442+1,FALSE)+0.02)),2.5)," ")</f>
        <v> </v>
      </c>
      <c r="P442" s="56" t="str">
        <f>iferror(mround(I442/VLOOKUP(L442,Sheet1!$D$7:$N$16,G442+1,FALSE),2.5),"")</f>
        <v/>
      </c>
      <c r="Q442" s="303" t="str">
        <f t="shared" si="11"/>
        <v/>
      </c>
      <c r="S442" s="11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</row>
    <row r="443" ht="3.75" hidden="1" customHeight="1">
      <c r="A443" s="191"/>
      <c r="B443" s="6"/>
      <c r="C443" s="192"/>
      <c r="D443" s="138"/>
      <c r="E443" s="193"/>
      <c r="F443" s="194"/>
      <c r="G443" s="155"/>
      <c r="H443" s="102"/>
      <c r="I443" s="102"/>
      <c r="J443" s="156"/>
      <c r="K443" s="103"/>
      <c r="L443" s="143"/>
      <c r="M443" s="144"/>
      <c r="N443" s="145"/>
      <c r="O443" s="145"/>
      <c r="P443" s="122"/>
      <c r="Q443" s="304" t="str">
        <f t="shared" si="11"/>
        <v/>
      </c>
      <c r="S443" s="157"/>
      <c r="T443" s="5"/>
      <c r="U443" s="5"/>
      <c r="V443" s="158"/>
      <c r="W443" s="158"/>
      <c r="X443" s="158"/>
      <c r="Y443" s="158"/>
      <c r="Z443" s="158"/>
      <c r="AA443" s="158"/>
      <c r="AB443" s="158"/>
      <c r="AC443" s="158"/>
      <c r="AD443" s="158"/>
      <c r="AE443" s="158"/>
      <c r="AF443" s="158"/>
      <c r="AG443" s="158"/>
    </row>
    <row r="444" ht="15.75" hidden="1" customHeight="1">
      <c r="A444" s="90"/>
      <c r="B444" s="6"/>
      <c r="C444" s="90"/>
      <c r="D444" s="185"/>
      <c r="E444" s="186"/>
      <c r="F444" s="187"/>
      <c r="G444" s="195"/>
      <c r="H444" s="129"/>
      <c r="I444" s="164"/>
      <c r="J444" s="189"/>
      <c r="K444" s="190"/>
      <c r="L444" s="183"/>
      <c r="M444" s="134" t="str">
        <f>I309</f>
        <v/>
      </c>
      <c r="N444" s="135" t="str">
        <f>iferror(mround($P309*((VLOOKUP($J444,Sheet1!$D:$N,$G444+1,FALSE)-0.03)),2.5)," ")</f>
        <v> </v>
      </c>
      <c r="O444" s="135" t="str">
        <f>iferror(mround($P309*((VLOOKUP($J444,Sheet1!$D:$N,$G444+1,FALSE)+0.02)),2.5)," ")</f>
        <v> </v>
      </c>
      <c r="P444" s="56" t="str">
        <f>iferror(mround(I444/VLOOKUP(L444,Sheet1!$D$7:$N$16,G444+1,FALSE),2.5),"")</f>
        <v/>
      </c>
      <c r="Q444" s="303" t="str">
        <f t="shared" si="11"/>
        <v/>
      </c>
      <c r="S444" s="11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</row>
    <row r="445" ht="3.75" hidden="1" customHeight="1">
      <c r="A445" s="90"/>
      <c r="B445" s="6"/>
      <c r="C445" s="90"/>
      <c r="D445" s="196"/>
      <c r="E445" s="184"/>
      <c r="F445" s="102"/>
      <c r="G445" s="102"/>
      <c r="H445" s="102"/>
      <c r="I445" s="102"/>
      <c r="J445" s="156"/>
      <c r="K445" s="103"/>
      <c r="L445" s="143"/>
      <c r="M445" s="144"/>
      <c r="N445" s="145"/>
      <c r="O445" s="145"/>
      <c r="P445" s="122"/>
      <c r="Q445" s="304" t="str">
        <f t="shared" si="11"/>
        <v/>
      </c>
      <c r="S445" s="11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</row>
    <row r="446" ht="15.75" hidden="1" customHeight="1">
      <c r="A446" s="90"/>
      <c r="B446" s="6"/>
      <c r="C446" s="90"/>
      <c r="D446" s="197"/>
      <c r="E446" s="198"/>
      <c r="F446" s="199"/>
      <c r="G446" s="195"/>
      <c r="H446" s="129"/>
      <c r="I446" s="164"/>
      <c r="J446" s="189"/>
      <c r="K446" s="190"/>
      <c r="L446" s="183"/>
      <c r="M446" s="134" t="str">
        <f>I311</f>
        <v/>
      </c>
      <c r="N446" s="135" t="str">
        <f>iferror(mround($P311*((VLOOKUP($J446,Sheet1!$D:$N,$G446+1,FALSE)-0.03)),2.5)," ")</f>
        <v> </v>
      </c>
      <c r="O446" s="135" t="str">
        <f>iferror(mround($P311*((VLOOKUP($J446,Sheet1!$D:$N,$G446+1,FALSE)+0.02)),2.5)," ")</f>
        <v> </v>
      </c>
      <c r="P446" s="56" t="str">
        <f>iferror(mround(I446/VLOOKUP(L446,Sheet1!$D$7:$N$16,G446+1,FALSE),2.5),"")</f>
        <v/>
      </c>
      <c r="Q446" s="303" t="str">
        <f t="shared" si="11"/>
        <v/>
      </c>
      <c r="S446" s="11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</row>
    <row r="447" ht="3.75" customHeight="1">
      <c r="A447" s="90"/>
      <c r="B447" s="6"/>
      <c r="C447" s="90"/>
      <c r="D447" s="90"/>
      <c r="E447" s="156"/>
      <c r="F447" s="102"/>
      <c r="G447" s="102"/>
      <c r="H447" s="102"/>
      <c r="I447" s="102"/>
      <c r="J447" s="156"/>
      <c r="K447" s="200"/>
      <c r="L447" s="201"/>
      <c r="M447" s="144"/>
      <c r="N447" s="47"/>
      <c r="O447" s="47"/>
      <c r="P447" s="122"/>
      <c r="Q447" s="304" t="str">
        <f t="shared" si="11"/>
        <v/>
      </c>
      <c r="S447" s="11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</row>
    <row r="448" ht="30.0" customHeight="1">
      <c r="A448" s="90"/>
      <c r="B448" s="6"/>
      <c r="C448" s="90"/>
      <c r="D448" s="202" t="s">
        <v>42</v>
      </c>
      <c r="E448" s="105" t="s">
        <v>15</v>
      </c>
      <c r="F448" s="106" t="s">
        <v>16</v>
      </c>
      <c r="G448" s="106" t="s">
        <v>17</v>
      </c>
      <c r="H448" s="107"/>
      <c r="I448" s="106" t="s">
        <v>18</v>
      </c>
      <c r="J448" s="108" t="s">
        <v>19</v>
      </c>
      <c r="L448" s="109" t="s">
        <v>20</v>
      </c>
      <c r="M448" s="110" t="s">
        <v>21</v>
      </c>
      <c r="N448" s="111" t="s">
        <v>22</v>
      </c>
      <c r="P448" s="112"/>
      <c r="Q448" s="113" t="s">
        <v>23</v>
      </c>
      <c r="R448" s="114" t="s">
        <v>43</v>
      </c>
      <c r="S448" s="11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</row>
    <row r="449" ht="14.25" customHeight="1">
      <c r="A449" s="90"/>
      <c r="B449" s="6"/>
      <c r="C449" s="90"/>
      <c r="D449" s="257" t="s">
        <v>25</v>
      </c>
      <c r="E449" s="117" t="s">
        <v>26</v>
      </c>
      <c r="H449" s="107"/>
      <c r="N449" s="111" t="s">
        <v>27</v>
      </c>
      <c r="O449" s="111" t="s">
        <v>28</v>
      </c>
      <c r="P449" s="112" t="s">
        <v>29</v>
      </c>
      <c r="R449" s="118" t="s">
        <v>30</v>
      </c>
      <c r="S449" s="11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</row>
    <row r="450" ht="3.75" customHeight="1">
      <c r="A450" s="191"/>
      <c r="B450" s="6"/>
      <c r="C450" s="192"/>
      <c r="D450" s="203"/>
      <c r="E450" s="204"/>
      <c r="F450" s="205"/>
      <c r="G450" s="205"/>
      <c r="H450" s="206"/>
      <c r="I450" s="207"/>
      <c r="J450" s="208"/>
      <c r="K450" s="209"/>
      <c r="L450" s="210"/>
      <c r="M450" s="211"/>
      <c r="N450" s="47"/>
      <c r="O450" s="47"/>
      <c r="P450" s="122"/>
      <c r="Q450" s="304" t="str">
        <f t="shared" ref="Q450:Q472" si="12">IF(OR(ISBLANK(I450), ISBLANK(I315)), "", IF(I450 - I315 = 0, "", I450 - I315))</f>
        <v/>
      </c>
      <c r="R450" s="212"/>
      <c r="S450" s="157"/>
      <c r="T450" s="5"/>
      <c r="U450" s="5"/>
      <c r="V450" s="158"/>
      <c r="W450" s="158"/>
      <c r="X450" s="158"/>
      <c r="Y450" s="158"/>
      <c r="Z450" s="158"/>
      <c r="AA450" s="158"/>
      <c r="AB450" s="158"/>
      <c r="AC450" s="158"/>
      <c r="AD450" s="158"/>
      <c r="AE450" s="158"/>
      <c r="AF450" s="158"/>
      <c r="AG450" s="158"/>
    </row>
    <row r="451" ht="15.75" customHeight="1">
      <c r="A451" s="124"/>
      <c r="B451" s="6"/>
      <c r="C451" s="124"/>
      <c r="D451" s="159" t="s">
        <v>83</v>
      </c>
      <c r="E451" s="167" t="s">
        <v>84</v>
      </c>
      <c r="F451" s="127">
        <v>3.0</v>
      </c>
      <c r="G451" s="127">
        <v>3.0</v>
      </c>
      <c r="H451" s="195"/>
      <c r="I451" s="130"/>
      <c r="J451" s="151">
        <v>6.0</v>
      </c>
      <c r="K451" s="213"/>
      <c r="L451" s="133"/>
      <c r="M451" s="134">
        <f>I316</f>
        <v>441</v>
      </c>
      <c r="N451" s="135">
        <f>iferror(mround($P316*((VLOOKUP($J451,Sheet1!$D:$N,$G451+1,FALSE)-0.03)),2.5)," ")</f>
        <v>425</v>
      </c>
      <c r="O451" s="135">
        <f>iferror(mround($P316*((VLOOKUP($J451,Sheet1!$D:$N,$G451+1,FALSE)+0.02)),2.5)," ")</f>
        <v>450</v>
      </c>
      <c r="P451" s="112" t="str">
        <f>iferror(mround(I451/VLOOKUP(L451,Sheet1!$D$7:$N$16,G451+1,FALSE),2.5),"")</f>
        <v/>
      </c>
      <c r="Q451" s="303" t="str">
        <f t="shared" si="12"/>
        <v/>
      </c>
      <c r="R451" s="214"/>
      <c r="S451" s="11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</row>
    <row r="452" ht="3.75" customHeight="1">
      <c r="A452" s="124"/>
      <c r="B452" s="6"/>
      <c r="C452" s="124"/>
      <c r="D452" s="138"/>
      <c r="E452" s="215"/>
      <c r="F452" s="102"/>
      <c r="G452" s="102"/>
      <c r="H452" s="102"/>
      <c r="I452" s="102"/>
      <c r="J452" s="216"/>
      <c r="K452" s="217"/>
      <c r="L452" s="218"/>
      <c r="M452" s="144"/>
      <c r="N452" s="145"/>
      <c r="O452" s="145"/>
      <c r="P452" s="122"/>
      <c r="Q452" s="304" t="str">
        <f t="shared" si="12"/>
        <v/>
      </c>
      <c r="R452" s="214"/>
      <c r="S452" s="11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</row>
    <row r="453" ht="15.75" customHeight="1">
      <c r="A453" s="90"/>
      <c r="B453" s="6"/>
      <c r="C453" s="90"/>
      <c r="D453" s="159" t="s">
        <v>33</v>
      </c>
      <c r="E453" s="167"/>
      <c r="F453" s="127">
        <v>1.0</v>
      </c>
      <c r="G453" s="127">
        <v>2.0</v>
      </c>
      <c r="H453" s="195"/>
      <c r="I453" s="130"/>
      <c r="J453" s="151">
        <v>8.5</v>
      </c>
      <c r="K453" s="219" t="s">
        <v>85</v>
      </c>
      <c r="L453" s="133"/>
      <c r="M453" s="134">
        <f>I318</f>
        <v>320</v>
      </c>
      <c r="N453" s="135">
        <f>iferror(mround($P318*((VLOOKUP($J453,Sheet1!$D:$N,$G453+1,FALSE)-0.03)),2.5)," ")</f>
        <v>315</v>
      </c>
      <c r="O453" s="135">
        <f>iferror(mround($P318*((VLOOKUP($J453,Sheet1!$D:$N,$G453+1,FALSE)+0.02)),2.5)," ")</f>
        <v>335</v>
      </c>
      <c r="P453" s="112" t="str">
        <f>iferror(mround(I453/VLOOKUP(L453,Sheet1!$D$7:$N$16,G453+1,FALSE),2.5),"")</f>
        <v/>
      </c>
      <c r="Q453" s="303" t="str">
        <f t="shared" si="12"/>
        <v/>
      </c>
      <c r="R453" s="214"/>
      <c r="S453" s="11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</row>
    <row r="454" ht="3.75" customHeight="1">
      <c r="A454" s="90"/>
      <c r="B454" s="6"/>
      <c r="C454" s="90"/>
      <c r="D454" s="138"/>
      <c r="E454" s="215"/>
      <c r="F454" s="102"/>
      <c r="G454" s="102"/>
      <c r="H454" s="102"/>
      <c r="I454" s="102"/>
      <c r="J454" s="216"/>
      <c r="K454" s="217"/>
      <c r="L454" s="218"/>
      <c r="M454" s="144"/>
      <c r="N454" s="145"/>
      <c r="O454" s="145"/>
      <c r="P454" s="122"/>
      <c r="Q454" s="304" t="str">
        <f t="shared" si="12"/>
        <v/>
      </c>
      <c r="R454" s="214"/>
      <c r="S454" s="11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</row>
    <row r="455" ht="15.75" customHeight="1">
      <c r="A455" s="90"/>
      <c r="B455" s="6"/>
      <c r="C455" s="90"/>
      <c r="D455" s="159" t="s">
        <v>33</v>
      </c>
      <c r="E455" s="167"/>
      <c r="F455" s="127">
        <v>3.0</v>
      </c>
      <c r="G455" s="161">
        <v>3.0</v>
      </c>
      <c r="H455" s="195"/>
      <c r="I455" s="164">
        <f>MROUND(I453*(1+J455),5)</f>
        <v>0</v>
      </c>
      <c r="J455" s="165">
        <v>-0.08</v>
      </c>
      <c r="K455" s="219"/>
      <c r="L455" s="133"/>
      <c r="M455" s="134">
        <f>I320</f>
        <v>295</v>
      </c>
      <c r="N455" s="135" t="str">
        <f>iferror(mround($P320*((VLOOKUP($J455,Sheet1!$D:$N,$G455+1,FALSE)-0.03)),2.5)," ")</f>
        <v> </v>
      </c>
      <c r="O455" s="135" t="str">
        <f>iferror(mround($P320*((VLOOKUP($J455,Sheet1!$D:$N,$G455+1,FALSE)+0.02)),2.5)," ")</f>
        <v> </v>
      </c>
      <c r="P455" s="112" t="str">
        <f>iferror(mround(I455/VLOOKUP(L455,Sheet1!$D$7:$N$16,G455+1,FALSE),2.5),"")</f>
        <v/>
      </c>
      <c r="Q455" s="303">
        <f t="shared" si="12"/>
        <v>-295</v>
      </c>
      <c r="R455" s="214"/>
      <c r="S455" s="11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</row>
    <row r="456" ht="3.75" customHeight="1">
      <c r="A456" s="90"/>
      <c r="B456" s="6"/>
      <c r="C456" s="90"/>
      <c r="D456" s="138"/>
      <c r="E456" s="215"/>
      <c r="F456" s="102"/>
      <c r="G456" s="102"/>
      <c r="H456" s="102"/>
      <c r="I456" s="102"/>
      <c r="J456" s="156"/>
      <c r="K456" s="217"/>
      <c r="L456" s="143"/>
      <c r="M456" s="144"/>
      <c r="N456" s="145"/>
      <c r="O456" s="145"/>
      <c r="P456" s="122"/>
      <c r="Q456" s="304" t="str">
        <f t="shared" si="12"/>
        <v/>
      </c>
      <c r="R456" s="214"/>
      <c r="S456" s="11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</row>
    <row r="457" ht="15.75" customHeight="1">
      <c r="A457" s="90"/>
      <c r="B457" s="6"/>
      <c r="C457" s="90"/>
      <c r="D457" s="159" t="s">
        <v>86</v>
      </c>
      <c r="E457" s="167" t="s">
        <v>87</v>
      </c>
      <c r="F457" s="127">
        <v>3.0</v>
      </c>
      <c r="G457" s="169">
        <v>45577.0</v>
      </c>
      <c r="H457" s="195"/>
      <c r="I457" s="164"/>
      <c r="J457" s="151">
        <v>8.0</v>
      </c>
      <c r="K457" s="213"/>
      <c r="L457" s="133"/>
      <c r="M457" s="134">
        <f>I322</f>
        <v>130</v>
      </c>
      <c r="N457" s="135" t="str">
        <f>iferror(mround($P322*((VLOOKUP($J457,Sheet1!$D:$N,$G457+1,FALSE)-0.03)),2.5)," ")</f>
        <v> </v>
      </c>
      <c r="O457" s="135" t="str">
        <f>iferror(mround($P322*((VLOOKUP($J457,Sheet1!$D:$N,$G457+1,FALSE)+0.02)),2.5)," ")</f>
        <v> </v>
      </c>
      <c r="P457" s="112" t="str">
        <f>iferror(mround(I457/VLOOKUP(L457,Sheet1!$D$7:$N$16,G457+1,FALSE),2.5),"")</f>
        <v/>
      </c>
      <c r="Q457" s="303" t="str">
        <f t="shared" si="12"/>
        <v/>
      </c>
      <c r="R457" s="214"/>
      <c r="S457" s="11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</row>
    <row r="458" ht="3.75" customHeight="1">
      <c r="A458" s="90"/>
      <c r="B458" s="6"/>
      <c r="C458" s="90"/>
      <c r="D458" s="138"/>
      <c r="E458" s="215"/>
      <c r="F458" s="102"/>
      <c r="G458" s="102"/>
      <c r="H458" s="102"/>
      <c r="I458" s="102"/>
      <c r="J458" s="156"/>
      <c r="K458" s="217"/>
      <c r="L458" s="143"/>
      <c r="M458" s="144"/>
      <c r="N458" s="145"/>
      <c r="O458" s="145"/>
      <c r="P458" s="122"/>
      <c r="Q458" s="304" t="str">
        <f t="shared" si="12"/>
        <v/>
      </c>
      <c r="R458" s="214"/>
      <c r="S458" s="11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</row>
    <row r="459" ht="15.75" customHeight="1">
      <c r="A459" s="90"/>
      <c r="B459" s="6"/>
      <c r="C459" s="90"/>
      <c r="D459" s="159" t="s">
        <v>88</v>
      </c>
      <c r="E459" s="220"/>
      <c r="F459" s="127">
        <v>3.0</v>
      </c>
      <c r="G459" s="221">
        <v>45641.0</v>
      </c>
      <c r="H459" s="195"/>
      <c r="I459" s="130"/>
      <c r="J459" s="151">
        <v>9.0</v>
      </c>
      <c r="K459" s="213"/>
      <c r="L459" s="133"/>
      <c r="M459" s="134">
        <f>I324</f>
        <v>13.75</v>
      </c>
      <c r="N459" s="135" t="str">
        <f>iferror(mround($P324*((VLOOKUP($J459,Sheet1!$D:$N,$G459+1,FALSE)-0.03)),2.5)," ")</f>
        <v> </v>
      </c>
      <c r="O459" s="135" t="str">
        <f>iferror(mround($P324*((VLOOKUP($J459,Sheet1!$D:$N,$G459+1,FALSE)+0.02)),2.5)," ")</f>
        <v> </v>
      </c>
      <c r="P459" s="112" t="str">
        <f>iferror(mround(I459/VLOOKUP(L459,Sheet1!$D$7:$N$16,G459+1,FALSE),2.5),"")</f>
        <v/>
      </c>
      <c r="Q459" s="303" t="str">
        <f t="shared" si="12"/>
        <v/>
      </c>
      <c r="R459" s="214"/>
      <c r="S459" s="11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</row>
    <row r="460" ht="3.75" customHeight="1">
      <c r="A460" s="90"/>
      <c r="B460" s="6"/>
      <c r="C460" s="90"/>
      <c r="D460" s="138"/>
      <c r="E460" s="215"/>
      <c r="F460" s="102"/>
      <c r="G460" s="102"/>
      <c r="H460" s="102"/>
      <c r="I460" s="102"/>
      <c r="J460" s="156"/>
      <c r="K460" s="217"/>
      <c r="L460" s="143"/>
      <c r="M460" s="144"/>
      <c r="N460" s="145"/>
      <c r="O460" s="145"/>
      <c r="P460" s="122"/>
      <c r="Q460" s="304" t="str">
        <f t="shared" si="12"/>
        <v/>
      </c>
      <c r="R460" s="214"/>
      <c r="S460" s="11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</row>
    <row r="461" ht="15.75" customHeight="1">
      <c r="A461" s="90"/>
      <c r="B461" s="6"/>
      <c r="C461" s="90"/>
      <c r="D461" s="159" t="s">
        <v>47</v>
      </c>
      <c r="E461" s="220"/>
      <c r="F461" s="127">
        <v>3.0</v>
      </c>
      <c r="G461" s="221">
        <v>45641.0</v>
      </c>
      <c r="H461" s="195"/>
      <c r="I461" s="130"/>
      <c r="J461" s="151">
        <v>9.0</v>
      </c>
      <c r="K461" s="213"/>
      <c r="L461" s="183"/>
      <c r="M461" s="134">
        <f>I326</f>
        <v>75</v>
      </c>
      <c r="N461" s="135" t="str">
        <f>iferror(mround($P326*((VLOOKUP($J461,Sheet1!$D:$N,$G461+1,FALSE)-0.03)),2.5)," ")</f>
        <v> </v>
      </c>
      <c r="O461" s="135" t="str">
        <f>iferror(mround($P326*((VLOOKUP($J461,Sheet1!$D:$N,$G461+1,FALSE)+0.02)),2.5)," ")</f>
        <v> </v>
      </c>
      <c r="P461" s="112" t="str">
        <f>iferror(mround(I461/VLOOKUP(L461,Sheet1!$D$7:$N$16,G461+1,FALSE),2.5),"")</f>
        <v/>
      </c>
      <c r="Q461" s="303" t="str">
        <f t="shared" si="12"/>
        <v/>
      </c>
      <c r="R461" s="214"/>
      <c r="S461" s="11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</row>
    <row r="462" ht="3.75" customHeight="1">
      <c r="A462" s="90"/>
      <c r="B462" s="6"/>
      <c r="C462" s="90"/>
      <c r="D462" s="138"/>
      <c r="E462" s="326"/>
      <c r="F462" s="102"/>
      <c r="G462" s="102"/>
      <c r="H462" s="102"/>
      <c r="I462" s="102"/>
      <c r="J462" s="216"/>
      <c r="K462" s="222"/>
      <c r="L462" s="143"/>
      <c r="M462" s="144"/>
      <c r="N462" s="145"/>
      <c r="O462" s="145"/>
      <c r="P462" s="122"/>
      <c r="Q462" s="304" t="str">
        <f t="shared" si="12"/>
        <v/>
      </c>
      <c r="R462" s="214"/>
      <c r="S462" s="11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</row>
    <row r="463" ht="18.0" hidden="1" customHeight="1">
      <c r="A463" s="90"/>
      <c r="B463" s="6"/>
      <c r="C463" s="90"/>
      <c r="D463" s="185"/>
      <c r="E463" s="327"/>
      <c r="F463" s="187"/>
      <c r="G463" s="187"/>
      <c r="H463" s="195"/>
      <c r="I463" s="164"/>
      <c r="J463" s="189"/>
      <c r="K463" s="190"/>
      <c r="L463" s="183"/>
      <c r="M463" s="134" t="str">
        <f>I328</f>
        <v/>
      </c>
      <c r="N463" s="135" t="str">
        <f>iferror(mround($P328*((VLOOKUP($J463,Sheet1!$D:$N,$G463+1,FALSE)-0.03)),2.5)," ")</f>
        <v> </v>
      </c>
      <c r="O463" s="135" t="str">
        <f>iferror(mround($P328*((VLOOKUP($J463,Sheet1!$D:$N,$G463+1,FALSE)+0.02)),2.5)," ")</f>
        <v> </v>
      </c>
      <c r="P463" s="112" t="str">
        <f>iferror(mround(I463/VLOOKUP(L463,Sheet1!$D$7:$N$16,G463+1,FALSE),2.5),"")</f>
        <v/>
      </c>
      <c r="Q463" s="303" t="str">
        <f t="shared" si="12"/>
        <v/>
      </c>
      <c r="R463" s="214"/>
      <c r="S463" s="11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</row>
    <row r="464" ht="3.75" hidden="1" customHeight="1">
      <c r="A464" s="191"/>
      <c r="B464" s="6"/>
      <c r="C464" s="192"/>
      <c r="D464" s="138"/>
      <c r="E464" s="223"/>
      <c r="F464" s="194"/>
      <c r="G464" s="194"/>
      <c r="H464" s="155"/>
      <c r="I464" s="210"/>
      <c r="J464" s="216"/>
      <c r="K464" s="222"/>
      <c r="L464" s="143"/>
      <c r="M464" s="144"/>
      <c r="N464" s="145"/>
      <c r="O464" s="145"/>
      <c r="P464" s="122"/>
      <c r="Q464" s="304" t="str">
        <f t="shared" si="12"/>
        <v/>
      </c>
      <c r="R464" s="214"/>
      <c r="S464" s="157"/>
      <c r="T464" s="5"/>
      <c r="U464" s="5"/>
      <c r="V464" s="158"/>
      <c r="W464" s="158"/>
      <c r="X464" s="158"/>
      <c r="Y464" s="158"/>
      <c r="Z464" s="158"/>
      <c r="AA464" s="158"/>
      <c r="AB464" s="158"/>
      <c r="AC464" s="158"/>
      <c r="AD464" s="158"/>
      <c r="AE464" s="158"/>
      <c r="AF464" s="158"/>
      <c r="AG464" s="158"/>
    </row>
    <row r="465" ht="15.75" hidden="1" customHeight="1">
      <c r="A465" s="90"/>
      <c r="B465" s="6"/>
      <c r="C465" s="90"/>
      <c r="D465" s="185"/>
      <c r="E465" s="186"/>
      <c r="F465" s="187"/>
      <c r="G465" s="187"/>
      <c r="H465" s="195"/>
      <c r="I465" s="164"/>
      <c r="J465" s="189"/>
      <c r="K465" s="190"/>
      <c r="L465" s="183"/>
      <c r="M465" s="134" t="str">
        <f>I330</f>
        <v/>
      </c>
      <c r="N465" s="135" t="str">
        <f>iferror(mround($P330*((VLOOKUP($J465,Sheet1!$D:$N,$G465+1,FALSE)-0.03)),2.5)," ")</f>
        <v> </v>
      </c>
      <c r="O465" s="135" t="str">
        <f>iferror(mround($P330*((VLOOKUP($J465,Sheet1!$D:$N,$G465+1,FALSE)+0.02)),2.5)," ")</f>
        <v> </v>
      </c>
      <c r="P465" s="112" t="str">
        <f>iferror(mround(I465/VLOOKUP(L465,Sheet1!$D$7:$N$16,G465+1,FALSE),2.5),"")</f>
        <v/>
      </c>
      <c r="Q465" s="303" t="str">
        <f t="shared" si="12"/>
        <v/>
      </c>
      <c r="R465" s="214"/>
      <c r="S465" s="11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</row>
    <row r="466" ht="3.75" hidden="1" customHeight="1">
      <c r="A466" s="90"/>
      <c r="B466" s="6"/>
      <c r="C466" s="90"/>
      <c r="D466" s="138"/>
      <c r="E466" s="184"/>
      <c r="F466" s="102"/>
      <c r="G466" s="102"/>
      <c r="H466" s="102"/>
      <c r="I466" s="102"/>
      <c r="J466" s="156"/>
      <c r="K466" s="222"/>
      <c r="L466" s="143"/>
      <c r="M466" s="144"/>
      <c r="N466" s="145"/>
      <c r="O466" s="145"/>
      <c r="P466" s="122"/>
      <c r="Q466" s="304" t="str">
        <f t="shared" si="12"/>
        <v/>
      </c>
      <c r="R466" s="214"/>
      <c r="S466" s="11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</row>
    <row r="467" ht="15.75" hidden="1" customHeight="1">
      <c r="A467" s="90"/>
      <c r="B467" s="6"/>
      <c r="C467" s="90"/>
      <c r="D467" s="185"/>
      <c r="E467" s="224"/>
      <c r="F467" s="187"/>
      <c r="G467" s="187"/>
      <c r="H467" s="195"/>
      <c r="I467" s="164"/>
      <c r="J467" s="189"/>
      <c r="K467" s="190"/>
      <c r="L467" s="183"/>
      <c r="M467" s="134" t="str">
        <f>I332</f>
        <v/>
      </c>
      <c r="N467" s="135" t="str">
        <f>iferror(mround($P332*((VLOOKUP($J467,Sheet1!$D:$N,$G467+1,FALSE)-0.03)),2.5)," ")</f>
        <v> </v>
      </c>
      <c r="O467" s="135" t="str">
        <f>iferror(mround($P332*((VLOOKUP($J467,Sheet1!$D:$N,$G467+1,FALSE)+0.02)),2.5)," ")</f>
        <v> </v>
      </c>
      <c r="P467" s="112" t="str">
        <f>iferror(mround(I467/VLOOKUP(L467,Sheet1!$D$7:$N$16,G467+1,FALSE),2.5),"")</f>
        <v/>
      </c>
      <c r="Q467" s="303" t="str">
        <f t="shared" si="12"/>
        <v/>
      </c>
      <c r="R467" s="214"/>
      <c r="S467" s="11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</row>
    <row r="468" ht="3.75" hidden="1" customHeight="1">
      <c r="A468" s="191"/>
      <c r="B468" s="6"/>
      <c r="C468" s="192"/>
      <c r="D468" s="138"/>
      <c r="E468" s="193"/>
      <c r="F468" s="194"/>
      <c r="G468" s="194"/>
      <c r="H468" s="155"/>
      <c r="I468" s="210"/>
      <c r="J468" s="216"/>
      <c r="K468" s="222"/>
      <c r="L468" s="143"/>
      <c r="M468" s="144"/>
      <c r="N468" s="145"/>
      <c r="O468" s="145"/>
      <c r="P468" s="122"/>
      <c r="Q468" s="304" t="str">
        <f t="shared" si="12"/>
        <v/>
      </c>
      <c r="R468" s="214"/>
      <c r="S468" s="157"/>
      <c r="T468" s="5"/>
      <c r="U468" s="5"/>
      <c r="V468" s="158"/>
      <c r="W468" s="158"/>
      <c r="X468" s="158"/>
      <c r="Y468" s="158"/>
      <c r="Z468" s="158"/>
      <c r="AA468" s="158"/>
      <c r="AB468" s="158"/>
      <c r="AC468" s="158"/>
      <c r="AD468" s="158"/>
      <c r="AE468" s="158"/>
      <c r="AF468" s="158"/>
      <c r="AG468" s="158"/>
    </row>
    <row r="469" ht="15.75" hidden="1" customHeight="1">
      <c r="A469" s="90"/>
      <c r="B469" s="6"/>
      <c r="C469" s="90"/>
      <c r="D469" s="185"/>
      <c r="E469" s="186"/>
      <c r="F469" s="187"/>
      <c r="G469" s="187"/>
      <c r="H469" s="195"/>
      <c r="I469" s="164"/>
      <c r="J469" s="189"/>
      <c r="K469" s="190"/>
      <c r="L469" s="183"/>
      <c r="M469" s="134" t="str">
        <f>I334</f>
        <v/>
      </c>
      <c r="N469" s="135" t="str">
        <f>iferror(mround($P334*((VLOOKUP($J469,Sheet1!$D:$N,$G469+1,FALSE)-0.03)),2.5)," ")</f>
        <v> </v>
      </c>
      <c r="O469" s="135" t="str">
        <f>iferror(mround($P334*((VLOOKUP($J469,Sheet1!$D:$N,$G469+1,FALSE)+0.02)),2.5)," ")</f>
        <v> </v>
      </c>
      <c r="P469" s="112" t="str">
        <f>iferror(mround(I469/VLOOKUP(L469,Sheet1!$D$7:$N$16,G469+1,FALSE),2.5),"")</f>
        <v/>
      </c>
      <c r="Q469" s="303" t="str">
        <f t="shared" si="12"/>
        <v/>
      </c>
      <c r="R469" s="214"/>
      <c r="S469" s="11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</row>
    <row r="470" ht="3.75" hidden="1" customHeight="1">
      <c r="A470" s="90"/>
      <c r="B470" s="6"/>
      <c r="C470" s="90"/>
      <c r="D470" s="196"/>
      <c r="E470" s="184"/>
      <c r="F470" s="102"/>
      <c r="G470" s="102"/>
      <c r="H470" s="102"/>
      <c r="I470" s="102"/>
      <c r="J470" s="156"/>
      <c r="K470" s="222"/>
      <c r="L470" s="143"/>
      <c r="M470" s="144"/>
      <c r="N470" s="145"/>
      <c r="O470" s="145"/>
      <c r="P470" s="122"/>
      <c r="Q470" s="304" t="str">
        <f t="shared" si="12"/>
        <v/>
      </c>
      <c r="R470" s="214"/>
      <c r="S470" s="11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</row>
    <row r="471" ht="15.75" hidden="1" customHeight="1">
      <c r="A471" s="90"/>
      <c r="B471" s="6"/>
      <c r="C471" s="90"/>
      <c r="D471" s="197"/>
      <c r="E471" s="198"/>
      <c r="F471" s="199"/>
      <c r="G471" s="187"/>
      <c r="H471" s="195"/>
      <c r="I471" s="164"/>
      <c r="J471" s="189"/>
      <c r="K471" s="190"/>
      <c r="L471" s="183"/>
      <c r="M471" s="134" t="str">
        <f>I336</f>
        <v/>
      </c>
      <c r="N471" s="135" t="str">
        <f>iferror(mround($P336*((VLOOKUP($J471,Sheet1!$D:$N,$G471+1,FALSE)-0.03)),2.5)," ")</f>
        <v> </v>
      </c>
      <c r="O471" s="135" t="str">
        <f>iferror(mround($P336*((VLOOKUP($J471,Sheet1!$D:$N,$G471+1,FALSE)+0.02)),2.5)," ")</f>
        <v> </v>
      </c>
      <c r="P471" s="112" t="str">
        <f>iferror(mround(I471/VLOOKUP(L471,Sheet1!$D$7:$N$16,G471+1,FALSE),2.5),"")</f>
        <v/>
      </c>
      <c r="Q471" s="303" t="str">
        <f t="shared" si="12"/>
        <v/>
      </c>
      <c r="R471" s="214"/>
      <c r="S471" s="11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</row>
    <row r="472" ht="3.75" hidden="1" customHeight="1">
      <c r="A472" s="90"/>
      <c r="B472" s="6"/>
      <c r="C472" s="90"/>
      <c r="D472" s="90"/>
      <c r="E472" s="156"/>
      <c r="F472" s="102"/>
      <c r="G472" s="102"/>
      <c r="H472" s="102"/>
      <c r="I472" s="102"/>
      <c r="J472" s="156"/>
      <c r="K472" s="222"/>
      <c r="L472" s="201"/>
      <c r="M472" s="211"/>
      <c r="N472" s="47"/>
      <c r="O472" s="47"/>
      <c r="P472" s="122"/>
      <c r="Q472" s="304" t="str">
        <f t="shared" si="12"/>
        <v/>
      </c>
      <c r="R472" s="214"/>
      <c r="S472" s="11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</row>
    <row r="473" ht="30.75" customHeight="1">
      <c r="A473" s="90"/>
      <c r="B473" s="6"/>
      <c r="C473" s="90"/>
      <c r="D473" s="331" t="s">
        <v>111</v>
      </c>
      <c r="E473" s="105" t="s">
        <v>89</v>
      </c>
      <c r="F473" s="106" t="s">
        <v>16</v>
      </c>
      <c r="G473" s="106" t="s">
        <v>17</v>
      </c>
      <c r="H473" s="107"/>
      <c r="I473" s="106" t="s">
        <v>18</v>
      </c>
      <c r="J473" s="108" t="s">
        <v>19</v>
      </c>
      <c r="L473" s="109" t="s">
        <v>20</v>
      </c>
      <c r="M473" s="110" t="s">
        <v>21</v>
      </c>
      <c r="N473" s="111" t="s">
        <v>22</v>
      </c>
      <c r="P473" s="112"/>
      <c r="Q473" s="113" t="s">
        <v>23</v>
      </c>
      <c r="R473" s="114" t="s">
        <v>50</v>
      </c>
      <c r="S473" s="11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</row>
    <row r="474" ht="14.25" customHeight="1">
      <c r="A474" s="90"/>
      <c r="B474" s="6"/>
      <c r="C474" s="90"/>
      <c r="D474" s="116">
        <v>3.0</v>
      </c>
      <c r="E474" s="117" t="s">
        <v>76</v>
      </c>
      <c r="H474" s="107"/>
      <c r="N474" s="111" t="s">
        <v>27</v>
      </c>
      <c r="O474" s="111" t="s">
        <v>28</v>
      </c>
      <c r="P474" s="112" t="s">
        <v>29</v>
      </c>
      <c r="R474" s="118" t="s">
        <v>30</v>
      </c>
      <c r="S474" s="11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</row>
    <row r="475" ht="3.75" customHeight="1">
      <c r="A475" s="191"/>
      <c r="B475" s="6"/>
      <c r="C475" s="192"/>
      <c r="D475" s="203"/>
      <c r="E475" s="203"/>
      <c r="F475" s="205"/>
      <c r="G475" s="205"/>
      <c r="H475" s="205"/>
      <c r="I475" s="225"/>
      <c r="J475" s="226"/>
      <c r="K475" s="209"/>
      <c r="L475" s="210"/>
      <c r="M475" s="211"/>
      <c r="N475" s="47"/>
      <c r="O475" s="47"/>
      <c r="P475" s="122"/>
      <c r="Q475" s="304" t="str">
        <f t="shared" ref="Q475:Q495" si="13">IF(OR(ISBLANK(I475), ISBLANK(I340)), "", IF(I475 - I340 = 0, "", I475 - I340))</f>
        <v/>
      </c>
      <c r="R475" s="212"/>
      <c r="S475" s="157"/>
      <c r="T475" s="5"/>
      <c r="U475" s="5"/>
      <c r="V475" s="158"/>
      <c r="W475" s="158"/>
      <c r="X475" s="158"/>
      <c r="Y475" s="158"/>
      <c r="Z475" s="158"/>
      <c r="AA475" s="158"/>
      <c r="AB475" s="158"/>
      <c r="AC475" s="158"/>
      <c r="AD475" s="158"/>
      <c r="AE475" s="158"/>
      <c r="AF475" s="158"/>
      <c r="AG475" s="158"/>
    </row>
    <row r="476" ht="15.75" customHeight="1">
      <c r="A476" s="124"/>
      <c r="B476" s="6"/>
      <c r="C476" s="124"/>
      <c r="D476" s="125" t="s">
        <v>90</v>
      </c>
      <c r="E476" s="126"/>
      <c r="F476" s="127">
        <v>1.0</v>
      </c>
      <c r="G476" s="332">
        <v>3.0</v>
      </c>
      <c r="H476" s="129"/>
      <c r="I476" s="130">
        <v>350.0</v>
      </c>
      <c r="J476" s="151">
        <v>6.0</v>
      </c>
      <c r="K476" s="213"/>
      <c r="L476" s="133">
        <v>5.0</v>
      </c>
      <c r="M476" s="134">
        <f>I341</f>
        <v>441</v>
      </c>
      <c r="N476" s="135">
        <f>iferror(mround($P341*((VLOOKUP($J476,Sheet1!$D:$N,$G476+1,FALSE)-0.03)),2.5)," ")</f>
        <v>400</v>
      </c>
      <c r="O476" s="135">
        <f>iferror(mround($P341*((VLOOKUP($J476,Sheet1!$D:$N,$G476+1,FALSE)+0.02)),2.5)," ")</f>
        <v>425</v>
      </c>
      <c r="P476" s="112" t="str">
        <f>iferror(mround(I476/VLOOKUP(L476,Sheet1!$D$7:$N$16,G476+1,FALSE),2.5),"")</f>
        <v/>
      </c>
      <c r="Q476" s="303">
        <f t="shared" si="13"/>
        <v>-91</v>
      </c>
      <c r="R476" s="214"/>
      <c r="S476" s="11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</row>
    <row r="477" ht="3.75" customHeight="1">
      <c r="A477" s="124"/>
      <c r="B477" s="6"/>
      <c r="C477" s="124"/>
      <c r="D477" s="138"/>
      <c r="E477" s="139"/>
      <c r="F477" s="140"/>
      <c r="G477" s="140"/>
      <c r="H477" s="140"/>
      <c r="I477" s="140"/>
      <c r="J477" s="141"/>
      <c r="K477" s="217"/>
      <c r="L477" s="218"/>
      <c r="M477" s="144"/>
      <c r="N477" s="145"/>
      <c r="O477" s="145"/>
      <c r="P477" s="122"/>
      <c r="Q477" s="304" t="str">
        <f t="shared" si="13"/>
        <v/>
      </c>
      <c r="R477" s="214"/>
      <c r="S477" s="11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</row>
    <row r="478" ht="15.75" customHeight="1">
      <c r="A478" s="90"/>
      <c r="B478" s="6"/>
      <c r="C478" s="90"/>
      <c r="D478" s="125" t="s">
        <v>77</v>
      </c>
      <c r="E478" s="126"/>
      <c r="F478" s="127">
        <v>2.0</v>
      </c>
      <c r="G478" s="240">
        <v>5.0</v>
      </c>
      <c r="H478" s="129"/>
      <c r="I478" s="164">
        <f>MROUND(I476*(1+J478),5)</f>
        <v>300</v>
      </c>
      <c r="J478" s="165">
        <v>-0.15</v>
      </c>
      <c r="K478" s="213"/>
      <c r="L478" s="133">
        <v>3.0</v>
      </c>
      <c r="M478" s="134">
        <f>I343</f>
        <v>380</v>
      </c>
      <c r="N478" s="135" t="str">
        <f>iferror(mround($P343*((VLOOKUP($J478,Sheet1!$D:$N,$G478+1,FALSE)-0.03)),2.5)," ")</f>
        <v> </v>
      </c>
      <c r="O478" s="135" t="str">
        <f>iferror(mround($P343*((VLOOKUP($J478,Sheet1!$D:$N,$G478+1,FALSE)+0.02)),2.5)," ")</f>
        <v> </v>
      </c>
      <c r="P478" s="112" t="str">
        <f>iferror(mround(I478/VLOOKUP(L478,Sheet1!$D$7:$N$16,G478+1,FALSE),2.5),"")</f>
        <v/>
      </c>
      <c r="Q478" s="303">
        <f t="shared" si="13"/>
        <v>-80</v>
      </c>
      <c r="R478" s="214"/>
      <c r="S478" s="11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</row>
    <row r="479" ht="3.75" customHeight="1">
      <c r="A479" s="90"/>
      <c r="B479" s="6"/>
      <c r="C479" s="90"/>
      <c r="D479" s="138"/>
      <c r="E479" s="215"/>
      <c r="F479" s="102"/>
      <c r="G479" s="102"/>
      <c r="H479" s="102"/>
      <c r="I479" s="102"/>
      <c r="J479" s="156"/>
      <c r="K479" s="217"/>
      <c r="L479" s="218"/>
      <c r="M479" s="144"/>
      <c r="N479" s="145"/>
      <c r="O479" s="145"/>
      <c r="P479" s="122"/>
      <c r="Q479" s="304" t="str">
        <f t="shared" si="13"/>
        <v/>
      </c>
      <c r="R479" s="214"/>
      <c r="S479" s="11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</row>
    <row r="480" ht="15.75" customHeight="1">
      <c r="A480" s="90"/>
      <c r="B480" s="6"/>
      <c r="C480" s="90"/>
      <c r="D480" s="159" t="s">
        <v>33</v>
      </c>
      <c r="E480" s="160" t="s">
        <v>34</v>
      </c>
      <c r="F480" s="127">
        <v>3.0</v>
      </c>
      <c r="G480" s="161">
        <v>2.0</v>
      </c>
      <c r="H480" s="129"/>
      <c r="I480" s="130">
        <v>265.0</v>
      </c>
      <c r="J480" s="151">
        <v>7.0</v>
      </c>
      <c r="K480" s="219" t="s">
        <v>91</v>
      </c>
      <c r="L480" s="133">
        <v>6.0</v>
      </c>
      <c r="M480" s="134">
        <f>I345</f>
        <v>281</v>
      </c>
      <c r="N480" s="135">
        <f>iferror(mround($P345*((VLOOKUP($J480,Sheet1!$D:$N,$G480+1,FALSE)-0.03)),2.5)," ")</f>
        <v>0</v>
      </c>
      <c r="O480" s="135">
        <f>iferror(mround($P345*((VLOOKUP($J480,Sheet1!$D:$N,$G480+1,FALSE)+0.02)),2.5)," ")</f>
        <v>0</v>
      </c>
      <c r="P480" s="112">
        <f>iferror(mround(I480/VLOOKUP(L480,Sheet1!$D$7:$N$16,G480+1,FALSE),2.5),"")</f>
        <v>315</v>
      </c>
      <c r="Q480" s="303">
        <f t="shared" si="13"/>
        <v>-16</v>
      </c>
      <c r="R480" s="214"/>
      <c r="S480" s="11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</row>
    <row r="481" ht="3.75" customHeight="1">
      <c r="A481" s="90"/>
      <c r="B481" s="6"/>
      <c r="C481" s="90"/>
      <c r="D481" s="138"/>
      <c r="E481" s="154"/>
      <c r="F481" s="155"/>
      <c r="G481" s="102"/>
      <c r="H481" s="102"/>
      <c r="I481" s="102"/>
      <c r="J481" s="156"/>
      <c r="K481" s="217"/>
      <c r="L481" s="218"/>
      <c r="M481" s="144"/>
      <c r="N481" s="145"/>
      <c r="O481" s="145"/>
      <c r="P481" s="122"/>
      <c r="Q481" s="304" t="str">
        <f t="shared" si="13"/>
        <v/>
      </c>
      <c r="R481" s="214"/>
      <c r="S481" s="11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</row>
    <row r="482" ht="15.75" customHeight="1">
      <c r="A482" s="90"/>
      <c r="B482" s="6"/>
      <c r="C482" s="90"/>
      <c r="D482" s="159" t="s">
        <v>45</v>
      </c>
      <c r="E482" s="220"/>
      <c r="F482" s="127">
        <v>3.0</v>
      </c>
      <c r="G482" s="127" t="s">
        <v>41</v>
      </c>
      <c r="H482" s="195"/>
      <c r="I482" s="130">
        <v>120.0</v>
      </c>
      <c r="J482" s="151">
        <v>8.0</v>
      </c>
      <c r="K482" s="213"/>
      <c r="L482" s="183"/>
      <c r="M482" s="134" t="str">
        <f>I347</f>
        <v/>
      </c>
      <c r="N482" s="135" t="str">
        <f>iferror(mround($P347*((VLOOKUP($J482,Sheet1!$D:$N,$G482+1,FALSE)-0.03)),2.5)," ")</f>
        <v> </v>
      </c>
      <c r="O482" s="135" t="str">
        <f>iferror(mround($P347*((VLOOKUP($J482,Sheet1!$D:$N,$G482+1,FALSE)+0.02)),2.5)," ")</f>
        <v> </v>
      </c>
      <c r="P482" s="112" t="str">
        <f>iferror(mround(I482/VLOOKUP(L482,Sheet1!$D$7:$N$16,G482+1,FALSE),2.5),"")</f>
        <v/>
      </c>
      <c r="Q482" s="303" t="str">
        <f t="shared" si="13"/>
        <v/>
      </c>
      <c r="R482" s="214"/>
      <c r="S482" s="11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</row>
    <row r="483" ht="3.75" customHeight="1">
      <c r="A483" s="90"/>
      <c r="B483" s="6"/>
      <c r="C483" s="90"/>
      <c r="D483" s="138"/>
      <c r="E483" s="215"/>
      <c r="F483" s="102"/>
      <c r="G483" s="102"/>
      <c r="H483" s="102"/>
      <c r="I483" s="102"/>
      <c r="J483" s="156"/>
      <c r="K483" s="217"/>
      <c r="L483" s="218"/>
      <c r="M483" s="144"/>
      <c r="N483" s="145"/>
      <c r="O483" s="145"/>
      <c r="P483" s="122"/>
      <c r="Q483" s="304" t="str">
        <f t="shared" si="13"/>
        <v/>
      </c>
      <c r="R483" s="214"/>
      <c r="S483" s="11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</row>
    <row r="484" ht="15.75" customHeight="1">
      <c r="A484" s="90"/>
      <c r="B484" s="6"/>
      <c r="C484" s="90"/>
      <c r="D484" s="159" t="s">
        <v>94</v>
      </c>
      <c r="E484" s="220"/>
      <c r="F484" s="127">
        <v>3.0</v>
      </c>
      <c r="G484" s="221">
        <v>45641.0</v>
      </c>
      <c r="H484" s="195"/>
      <c r="I484" s="130">
        <v>20.0</v>
      </c>
      <c r="J484" s="151">
        <v>9.0</v>
      </c>
      <c r="K484" s="213"/>
      <c r="L484" s="183"/>
      <c r="M484" s="134" t="str">
        <f>I349</f>
        <v/>
      </c>
      <c r="N484" s="135" t="str">
        <f>iferror(mround($P349*((VLOOKUP($J484,Sheet1!$D:$N,$G484+1,FALSE)-0.03)),2.5)," ")</f>
        <v> </v>
      </c>
      <c r="O484" s="135" t="str">
        <f>iferror(mround($P349*((VLOOKUP($J484,Sheet1!$D:$N,$G484+1,FALSE)+0.02)),2.5)," ")</f>
        <v> </v>
      </c>
      <c r="P484" s="112" t="str">
        <f>iferror(mround(I484/VLOOKUP(L484,Sheet1!$D$7:$N$16,G484+1,FALSE),2.5),"")</f>
        <v/>
      </c>
      <c r="Q484" s="303" t="str">
        <f t="shared" si="13"/>
        <v/>
      </c>
      <c r="R484" s="214"/>
      <c r="S484" s="11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</row>
    <row r="485" ht="3.75" customHeight="1">
      <c r="A485" s="90"/>
      <c r="B485" s="6"/>
      <c r="C485" s="90"/>
      <c r="D485" s="138"/>
      <c r="E485" s="215"/>
      <c r="F485" s="102"/>
      <c r="G485" s="102"/>
      <c r="H485" s="102"/>
      <c r="I485" s="102"/>
      <c r="J485" s="156"/>
      <c r="K485" s="222"/>
      <c r="L485" s="218"/>
      <c r="M485" s="144"/>
      <c r="N485" s="145"/>
      <c r="O485" s="145"/>
      <c r="P485" s="122"/>
      <c r="Q485" s="304" t="str">
        <f t="shared" si="13"/>
        <v/>
      </c>
      <c r="R485" s="214"/>
      <c r="S485" s="11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</row>
    <row r="486" ht="15.75" hidden="1" customHeight="1">
      <c r="A486" s="90"/>
      <c r="B486" s="6"/>
      <c r="C486" s="90"/>
      <c r="D486" s="185"/>
      <c r="E486" s="220"/>
      <c r="F486" s="187"/>
      <c r="G486" s="229"/>
      <c r="H486" s="195"/>
      <c r="I486" s="164"/>
      <c r="J486" s="189"/>
      <c r="K486" s="190"/>
      <c r="L486" s="183"/>
      <c r="M486" s="134" t="str">
        <f>I351</f>
        <v/>
      </c>
      <c r="N486" s="135" t="str">
        <f>iferror(mround($P351*((VLOOKUP($J486,Sheet1!$D:$N,$G486+1,FALSE)-0.03)),2.5)," ")</f>
        <v> </v>
      </c>
      <c r="O486" s="135" t="str">
        <f>iferror(mround($P351*((VLOOKUP($J486,Sheet1!$D:$N,$G486+1,FALSE)+0.02)),2.5)," ")</f>
        <v> </v>
      </c>
      <c r="P486" s="112" t="str">
        <f>iferror(mround(I486/VLOOKUP(L486,Sheet1!$D$7:$N$16,G486+1,FALSE),2.5),"")</f>
        <v/>
      </c>
      <c r="Q486" s="303" t="str">
        <f t="shared" si="13"/>
        <v/>
      </c>
      <c r="R486" s="214"/>
      <c r="S486" s="11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</row>
    <row r="487" ht="3.75" hidden="1" customHeight="1">
      <c r="A487" s="90"/>
      <c r="B487" s="6"/>
      <c r="C487" s="90"/>
      <c r="D487" s="138"/>
      <c r="E487" s="215"/>
      <c r="F487" s="102"/>
      <c r="G487" s="102"/>
      <c r="H487" s="102"/>
      <c r="I487" s="102"/>
      <c r="J487" s="216"/>
      <c r="K487" s="222"/>
      <c r="L487" s="218"/>
      <c r="M487" s="144"/>
      <c r="N487" s="145"/>
      <c r="O487" s="145"/>
      <c r="P487" s="122"/>
      <c r="Q487" s="304" t="str">
        <f t="shared" si="13"/>
        <v/>
      </c>
      <c r="R487" s="214"/>
      <c r="S487" s="11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</row>
    <row r="488" ht="15.75" hidden="1" customHeight="1">
      <c r="A488" s="90"/>
      <c r="B488" s="6"/>
      <c r="C488" s="90"/>
      <c r="D488" s="185"/>
      <c r="E488" s="220"/>
      <c r="F488" s="187"/>
      <c r="G488" s="229"/>
      <c r="H488" s="195"/>
      <c r="I488" s="164"/>
      <c r="J488" s="189"/>
      <c r="K488" s="190"/>
      <c r="L488" s="183"/>
      <c r="M488" s="134" t="str">
        <f>I353</f>
        <v/>
      </c>
      <c r="N488" s="135" t="str">
        <f>iferror(mround($P353*((VLOOKUP($J488,Sheet1!$D:$N,$G488+1,FALSE)-0.03)),2.5)," ")</f>
        <v> </v>
      </c>
      <c r="O488" s="135" t="str">
        <f>iferror(mround($P353*((VLOOKUP($J488,Sheet1!$D:$N,$G488+1,FALSE)+0.02)),2.5)," ")</f>
        <v> </v>
      </c>
      <c r="P488" s="112" t="str">
        <f>iferror(mround(I488/VLOOKUP(L488,Sheet1!$D$7:$N$16,G488+1,FALSE),2.5),"")</f>
        <v/>
      </c>
      <c r="Q488" s="303" t="str">
        <f t="shared" si="13"/>
        <v/>
      </c>
      <c r="R488" s="214"/>
      <c r="S488" s="11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</row>
    <row r="489" ht="3.75" hidden="1" customHeight="1">
      <c r="A489" s="191"/>
      <c r="B489" s="6"/>
      <c r="C489" s="192"/>
      <c r="D489" s="138"/>
      <c r="E489" s="184"/>
      <c r="F489" s="102"/>
      <c r="G489" s="102"/>
      <c r="H489" s="102"/>
      <c r="I489" s="102"/>
      <c r="J489" s="156"/>
      <c r="K489" s="222"/>
      <c r="L489" s="218"/>
      <c r="M489" s="144"/>
      <c r="N489" s="145"/>
      <c r="O489" s="145"/>
      <c r="P489" s="122"/>
      <c r="Q489" s="304" t="str">
        <f t="shared" si="13"/>
        <v/>
      </c>
      <c r="R489" s="214"/>
      <c r="S489" s="157"/>
      <c r="T489" s="5"/>
      <c r="U489" s="5"/>
      <c r="V489" s="158"/>
      <c r="W489" s="158"/>
      <c r="X489" s="158"/>
      <c r="Y489" s="158"/>
      <c r="Z489" s="158"/>
      <c r="AA489" s="158"/>
      <c r="AB489" s="158"/>
      <c r="AC489" s="158"/>
      <c r="AD489" s="158"/>
      <c r="AE489" s="158"/>
      <c r="AF489" s="158"/>
      <c r="AG489" s="158"/>
    </row>
    <row r="490" ht="15.75" hidden="1" customHeight="1">
      <c r="A490" s="90"/>
      <c r="B490" s="6"/>
      <c r="C490" s="90"/>
      <c r="D490" s="185"/>
      <c r="E490" s="224"/>
      <c r="F490" s="187"/>
      <c r="G490" s="187"/>
      <c r="H490" s="195"/>
      <c r="I490" s="164"/>
      <c r="J490" s="230"/>
      <c r="K490" s="190"/>
      <c r="L490" s="183"/>
      <c r="M490" s="134" t="str">
        <f>I355</f>
        <v/>
      </c>
      <c r="N490" s="135" t="str">
        <f>iferror(mround($P355*((VLOOKUP($J490,Sheet1!$D:$N,$G490+1,FALSE)-0.03)),2.5)," ")</f>
        <v> </v>
      </c>
      <c r="O490" s="135" t="str">
        <f>iferror(mround($P355*((VLOOKUP($J490,Sheet1!$D:$N,$G490+1,FALSE)+0.02)),2.5)," ")</f>
        <v> </v>
      </c>
      <c r="P490" s="112" t="str">
        <f>iferror(mround(I490/VLOOKUP(L490,Sheet1!$D$7:$N$16,G490+1,FALSE),2.5),"")</f>
        <v/>
      </c>
      <c r="Q490" s="303" t="str">
        <f t="shared" si="13"/>
        <v/>
      </c>
      <c r="R490" s="214"/>
      <c r="S490" s="11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</row>
    <row r="491" ht="3.75" hidden="1" customHeight="1">
      <c r="A491" s="90"/>
      <c r="B491" s="6"/>
      <c r="C491" s="90"/>
      <c r="D491" s="138"/>
      <c r="E491" s="184"/>
      <c r="F491" s="102"/>
      <c r="G491" s="102"/>
      <c r="H491" s="102"/>
      <c r="I491" s="102"/>
      <c r="J491" s="156"/>
      <c r="K491" s="222"/>
      <c r="L491" s="218"/>
      <c r="M491" s="144"/>
      <c r="N491" s="145"/>
      <c r="O491" s="145"/>
      <c r="P491" s="122"/>
      <c r="Q491" s="304" t="str">
        <f t="shared" si="13"/>
        <v/>
      </c>
      <c r="R491" s="214"/>
      <c r="S491" s="11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</row>
    <row r="492" ht="15.75" hidden="1" customHeight="1">
      <c r="A492" s="90"/>
      <c r="B492" s="6"/>
      <c r="C492" s="90"/>
      <c r="D492" s="231"/>
      <c r="E492" s="232"/>
      <c r="F492" s="187"/>
      <c r="G492" s="187"/>
      <c r="H492" s="195"/>
      <c r="I492" s="164"/>
      <c r="J492" s="230"/>
      <c r="K492" s="190"/>
      <c r="L492" s="183"/>
      <c r="M492" s="134" t="str">
        <f>I357</f>
        <v/>
      </c>
      <c r="N492" s="135" t="str">
        <f>iferror(mround($P357*((VLOOKUP($J492,Sheet1!$D:$N,$G492+1,FALSE)-0.03)),2.5)," ")</f>
        <v> </v>
      </c>
      <c r="O492" s="135" t="str">
        <f>iferror(mround($P357*((VLOOKUP($J492,Sheet1!$D:$N,$G492+1,FALSE)+0.02)),2.5)," ")</f>
        <v> </v>
      </c>
      <c r="P492" s="112" t="str">
        <f>iferror(mround(I492/VLOOKUP(L492,Sheet1!$D$7:$N$16,G492+1,FALSE),2.5),"")</f>
        <v/>
      </c>
      <c r="Q492" s="303" t="str">
        <f t="shared" si="13"/>
        <v/>
      </c>
      <c r="R492" s="214"/>
      <c r="S492" s="11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</row>
    <row r="493" ht="3.75" hidden="1" customHeight="1">
      <c r="A493" s="191"/>
      <c r="B493" s="6"/>
      <c r="C493" s="233"/>
      <c r="D493" s="234"/>
      <c r="E493" s="235"/>
      <c r="F493" s="236"/>
      <c r="G493" s="194"/>
      <c r="H493" s="155"/>
      <c r="I493" s="210"/>
      <c r="J493" s="216"/>
      <c r="K493" s="222"/>
      <c r="L493" s="218"/>
      <c r="M493" s="144"/>
      <c r="N493" s="145"/>
      <c r="O493" s="145"/>
      <c r="P493" s="122"/>
      <c r="Q493" s="304" t="str">
        <f t="shared" si="13"/>
        <v/>
      </c>
      <c r="R493" s="214"/>
      <c r="S493" s="157"/>
      <c r="T493" s="5"/>
      <c r="U493" s="5"/>
      <c r="V493" s="158"/>
      <c r="W493" s="158"/>
      <c r="X493" s="158"/>
      <c r="Y493" s="158"/>
      <c r="Z493" s="158"/>
      <c r="AA493" s="158"/>
      <c r="AB493" s="158"/>
      <c r="AC493" s="158"/>
      <c r="AD493" s="158"/>
      <c r="AE493" s="158"/>
      <c r="AF493" s="158"/>
      <c r="AG493" s="158"/>
    </row>
    <row r="494" ht="15.75" hidden="1" customHeight="1">
      <c r="A494" s="90"/>
      <c r="B494" s="6"/>
      <c r="C494" s="90"/>
      <c r="D494" s="197"/>
      <c r="E494" s="198"/>
      <c r="F494" s="199"/>
      <c r="G494" s="187"/>
      <c r="H494" s="195"/>
      <c r="I494" s="164"/>
      <c r="J494" s="189"/>
      <c r="K494" s="190"/>
      <c r="L494" s="183"/>
      <c r="M494" s="134" t="str">
        <f>I359</f>
        <v/>
      </c>
      <c r="N494" s="135" t="str">
        <f>iferror(mround($P359*((VLOOKUP($J494,Sheet1!$D:$N,$G494+1,FALSE)-0.03)),2.5)," ")</f>
        <v> </v>
      </c>
      <c r="O494" s="135" t="str">
        <f>iferror(mround($P359*((VLOOKUP($J494,Sheet1!$D:$N,$G494+1,FALSE)+0.02)),2.5)," ")</f>
        <v> </v>
      </c>
      <c r="P494" s="112" t="str">
        <f>iferror(mround(I494/VLOOKUP(L494,Sheet1!$D$7:$N$16,G494+1,FALSE),2.5),"")</f>
        <v/>
      </c>
      <c r="Q494" s="303" t="str">
        <f t="shared" si="13"/>
        <v/>
      </c>
      <c r="R494" s="214"/>
      <c r="S494" s="11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</row>
    <row r="495" ht="3.75" customHeight="1">
      <c r="A495" s="90"/>
      <c r="B495" s="6"/>
      <c r="C495" s="90"/>
      <c r="D495" s="90"/>
      <c r="E495" s="156"/>
      <c r="F495" s="102"/>
      <c r="G495" s="102"/>
      <c r="H495" s="102"/>
      <c r="I495" s="102"/>
      <c r="J495" s="156"/>
      <c r="K495" s="200"/>
      <c r="L495" s="201"/>
      <c r="M495" s="211"/>
      <c r="N495" s="47"/>
      <c r="O495" s="47"/>
      <c r="P495" s="122"/>
      <c r="Q495" s="304" t="str">
        <f t="shared" si="13"/>
        <v/>
      </c>
      <c r="R495" s="214"/>
      <c r="S495" s="11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</row>
    <row r="496" ht="30.0" customHeight="1">
      <c r="A496" s="90"/>
      <c r="B496" s="6"/>
      <c r="C496" s="90"/>
      <c r="D496" s="331" t="s">
        <v>112</v>
      </c>
      <c r="E496" s="105" t="s">
        <v>15</v>
      </c>
      <c r="F496" s="106" t="s">
        <v>16</v>
      </c>
      <c r="G496" s="106" t="s">
        <v>17</v>
      </c>
      <c r="H496" s="107"/>
      <c r="I496" s="106" t="s">
        <v>18</v>
      </c>
      <c r="J496" s="108" t="s">
        <v>19</v>
      </c>
      <c r="L496" s="109" t="s">
        <v>20</v>
      </c>
      <c r="M496" s="110" t="s">
        <v>21</v>
      </c>
      <c r="N496" s="111" t="s">
        <v>22</v>
      </c>
      <c r="P496" s="112"/>
      <c r="Q496" s="113" t="s">
        <v>23</v>
      </c>
      <c r="R496" s="114" t="s">
        <v>56</v>
      </c>
      <c r="S496" s="11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</row>
    <row r="497" ht="14.25" customHeight="1">
      <c r="A497" s="90"/>
      <c r="B497" s="6"/>
      <c r="C497" s="90"/>
      <c r="D497" s="257" t="s">
        <v>25</v>
      </c>
      <c r="E497" s="117" t="s">
        <v>76</v>
      </c>
      <c r="H497" s="107"/>
      <c r="N497" s="111" t="s">
        <v>27</v>
      </c>
      <c r="O497" s="111" t="s">
        <v>28</v>
      </c>
      <c r="P497" s="112" t="s">
        <v>29</v>
      </c>
      <c r="R497" s="118" t="s">
        <v>30</v>
      </c>
      <c r="S497" s="11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</row>
    <row r="498" ht="3.75" customHeight="1">
      <c r="A498" s="191"/>
      <c r="B498" s="6"/>
      <c r="C498" s="192"/>
      <c r="D498" s="203"/>
      <c r="E498" s="204"/>
      <c r="F498" s="205"/>
      <c r="G498" s="205"/>
      <c r="H498" s="205"/>
      <c r="I498" s="225"/>
      <c r="J498" s="237"/>
      <c r="K498" s="209"/>
      <c r="L498" s="238"/>
      <c r="M498" s="211"/>
      <c r="N498" s="47"/>
      <c r="O498" s="47"/>
      <c r="P498" s="122"/>
      <c r="Q498" s="304" t="str">
        <f t="shared" ref="Q498:Q518" si="14">IF(OR(ISBLANK(I498), ISBLANK(I363)), "", IF(I498 - I363 = 0, "", I498 - I363))</f>
        <v/>
      </c>
      <c r="R498" s="239"/>
      <c r="S498" s="157"/>
      <c r="T498" s="5"/>
      <c r="U498" s="5"/>
      <c r="V498" s="158"/>
      <c r="W498" s="158"/>
      <c r="X498" s="158"/>
      <c r="Y498" s="158"/>
      <c r="Z498" s="158"/>
      <c r="AA498" s="158"/>
      <c r="AB498" s="158"/>
      <c r="AC498" s="158"/>
      <c r="AD498" s="158"/>
      <c r="AE498" s="158"/>
      <c r="AF498" s="158"/>
      <c r="AG498" s="158"/>
    </row>
    <row r="499" ht="15.75" customHeight="1">
      <c r="A499" s="124"/>
      <c r="B499" s="6"/>
      <c r="C499" s="124"/>
      <c r="D499" s="125" t="s">
        <v>97</v>
      </c>
      <c r="E499" s="126"/>
      <c r="F499" s="127">
        <v>1.0</v>
      </c>
      <c r="G499" s="332">
        <v>3.0</v>
      </c>
      <c r="H499" s="129"/>
      <c r="I499" s="130">
        <v>419.0</v>
      </c>
      <c r="J499" s="151">
        <v>6.5</v>
      </c>
      <c r="K499" s="241"/>
      <c r="L499" s="130">
        <v>5.0</v>
      </c>
      <c r="M499" s="134" t="str">
        <f>I364</f>
        <v/>
      </c>
      <c r="N499" s="135">
        <f>iferror(mround($P364*((VLOOKUP($J499,Sheet1!$D:$N,$G499+1,FALSE)-0.03)),2.5)," ")</f>
        <v>0</v>
      </c>
      <c r="O499" s="135">
        <f>iferror(mround($P364*((VLOOKUP($J499,Sheet1!$D:$N,$G499+1,FALSE)+0.02)),2.5)," ")</f>
        <v>0</v>
      </c>
      <c r="P499" s="112" t="str">
        <f>iferror(mround(I499/VLOOKUP(L499,Sheet1!$D$7:$N$16,G499+1,FALSE),2.5),"")</f>
        <v/>
      </c>
      <c r="Q499" s="303" t="str">
        <f t="shared" si="14"/>
        <v/>
      </c>
      <c r="R499" s="242"/>
      <c r="S499" s="11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</row>
    <row r="500" ht="3.75" customHeight="1">
      <c r="A500" s="124"/>
      <c r="B500" s="6"/>
      <c r="C500" s="124"/>
      <c r="D500" s="138"/>
      <c r="E500" s="139"/>
      <c r="F500" s="140"/>
      <c r="G500" s="140"/>
      <c r="H500" s="140"/>
      <c r="I500" s="140"/>
      <c r="J500" s="141"/>
      <c r="K500" s="243"/>
      <c r="L500" s="210"/>
      <c r="M500" s="144"/>
      <c r="N500" s="145"/>
      <c r="O500" s="145"/>
      <c r="P500" s="122"/>
      <c r="Q500" s="304" t="str">
        <f t="shared" si="14"/>
        <v/>
      </c>
      <c r="R500" s="242"/>
      <c r="S500" s="11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</row>
    <row r="501" ht="15.0" customHeight="1">
      <c r="A501" s="124"/>
      <c r="B501" s="6"/>
      <c r="C501" s="124"/>
      <c r="D501" s="125" t="s">
        <v>97</v>
      </c>
      <c r="E501" s="126"/>
      <c r="F501" s="127">
        <v>2.0</v>
      </c>
      <c r="G501" s="240">
        <v>4.0</v>
      </c>
      <c r="H501" s="129"/>
      <c r="I501" s="164">
        <f>MROUND(I499*(1+J501),5)</f>
        <v>355</v>
      </c>
      <c r="J501" s="165">
        <v>-0.15</v>
      </c>
      <c r="K501" s="241"/>
      <c r="L501" s="130"/>
      <c r="M501" s="134">
        <f>I366</f>
        <v>450</v>
      </c>
      <c r="N501" s="135" t="str">
        <f>iferror(mround($P366*((VLOOKUP($J501,Sheet1!$D:$N,$G501+1,FALSE)-0.03)),2.5)," ")</f>
        <v> </v>
      </c>
      <c r="O501" s="135" t="str">
        <f>iferror(mround($P366*((VLOOKUP($J501,Sheet1!$D:$N,$G501+1,FALSE)+0.02)),2.5)," ")</f>
        <v> </v>
      </c>
      <c r="P501" s="112" t="str">
        <f>iferror(mround(I501/VLOOKUP(L501,Sheet1!$D$7:$N$16,G501+1,FALSE),2.5),"")</f>
        <v/>
      </c>
      <c r="Q501" s="303">
        <f t="shared" si="14"/>
        <v>-95</v>
      </c>
      <c r="R501" s="242"/>
      <c r="S501" s="11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</row>
    <row r="502" ht="3.75" customHeight="1">
      <c r="A502" s="124"/>
      <c r="B502" s="6"/>
      <c r="C502" s="124"/>
      <c r="D502" s="138"/>
      <c r="E502" s="215"/>
      <c r="F502" s="102"/>
      <c r="G502" s="102"/>
      <c r="H502" s="102"/>
      <c r="I502" s="102"/>
      <c r="J502" s="156"/>
      <c r="K502" s="243"/>
      <c r="L502" s="210"/>
      <c r="M502" s="144"/>
      <c r="N502" s="145"/>
      <c r="O502" s="145"/>
      <c r="P502" s="122"/>
      <c r="Q502" s="304" t="str">
        <f t="shared" si="14"/>
        <v/>
      </c>
      <c r="R502" s="242"/>
      <c r="S502" s="11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</row>
    <row r="503" ht="15.75" customHeight="1">
      <c r="A503" s="124"/>
      <c r="B503" s="6"/>
      <c r="C503" s="124"/>
      <c r="D503" s="159" t="s">
        <v>33</v>
      </c>
      <c r="E503" s="126"/>
      <c r="F503" s="127">
        <v>1.0</v>
      </c>
      <c r="G503" s="161">
        <v>1.0</v>
      </c>
      <c r="H503" s="129"/>
      <c r="I503" s="130">
        <v>315.0</v>
      </c>
      <c r="J503" s="151">
        <v>8.5</v>
      </c>
      <c r="K503" s="244"/>
      <c r="L503" s="130">
        <v>7.0</v>
      </c>
      <c r="M503" s="134" t="str">
        <f>I368</f>
        <v/>
      </c>
      <c r="N503" s="135">
        <f>iferror(mround($P368*((VLOOKUP($J503,Sheet1!$D:$N,$G503+1,FALSE)-0.03)),2.5)," ")</f>
        <v>0</v>
      </c>
      <c r="O503" s="135">
        <f>iferror(mround($P368*((VLOOKUP($J503,Sheet1!$D:$N,$G503+1,FALSE)+0.02)),2.5)," ")</f>
        <v>0</v>
      </c>
      <c r="P503" s="112">
        <f>iferror(mround(I503/VLOOKUP(L503,Sheet1!$D$7:$N$16,G503+1,FALSE),2.5),"")</f>
        <v>355</v>
      </c>
      <c r="Q503" s="303" t="str">
        <f t="shared" si="14"/>
        <v/>
      </c>
      <c r="R503" s="242"/>
      <c r="S503" s="11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</row>
    <row r="504" ht="3.75" customHeight="1">
      <c r="A504" s="124"/>
      <c r="B504" s="6"/>
      <c r="C504" s="124"/>
      <c r="D504" s="138"/>
      <c r="E504" s="154"/>
      <c r="F504" s="155"/>
      <c r="G504" s="102"/>
      <c r="H504" s="102"/>
      <c r="I504" s="102"/>
      <c r="J504" s="156"/>
      <c r="K504" s="243"/>
      <c r="L504" s="210"/>
      <c r="M504" s="144"/>
      <c r="N504" s="145"/>
      <c r="O504" s="145"/>
      <c r="P504" s="122"/>
      <c r="Q504" s="304" t="str">
        <f t="shared" si="14"/>
        <v/>
      </c>
      <c r="R504" s="242"/>
      <c r="S504" s="11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</row>
    <row r="505" ht="15.75" customHeight="1">
      <c r="A505" s="124"/>
      <c r="B505" s="6"/>
      <c r="C505" s="124"/>
      <c r="D505" s="159" t="s">
        <v>33</v>
      </c>
      <c r="E505" s="126"/>
      <c r="F505" s="127">
        <v>4.0</v>
      </c>
      <c r="G505" s="161">
        <v>4.0</v>
      </c>
      <c r="H505" s="129"/>
      <c r="I505" s="130">
        <v>275.0</v>
      </c>
      <c r="J505" s="151">
        <v>7.5</v>
      </c>
      <c r="K505" s="241" t="s">
        <v>91</v>
      </c>
      <c r="L505" s="164"/>
      <c r="M505" s="134" t="str">
        <f>I370</f>
        <v/>
      </c>
      <c r="N505" s="135">
        <f>iferror(mround($P370*((VLOOKUP($J505,Sheet1!$D:$N,$G505+1,FALSE)-0.03)),2.5)," ")</f>
        <v>0</v>
      </c>
      <c r="O505" s="135">
        <f>iferror(mround($P370*((VLOOKUP($J505,Sheet1!$D:$N,$G505+1,FALSE)+0.02)),2.5)," ")</f>
        <v>0</v>
      </c>
      <c r="P505" s="112" t="str">
        <f>iferror(mround(I505/VLOOKUP(L505,Sheet1!$D$7:$N$16,G505+1,FALSE),2.5),"")</f>
        <v/>
      </c>
      <c r="Q505" s="303" t="str">
        <f t="shared" si="14"/>
        <v/>
      </c>
      <c r="R505" s="242"/>
      <c r="S505" s="11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</row>
    <row r="506" ht="3.75" customHeight="1">
      <c r="A506" s="90"/>
      <c r="B506" s="6"/>
      <c r="C506" s="90"/>
      <c r="D506" s="138"/>
      <c r="E506" s="245"/>
      <c r="F506" s="102"/>
      <c r="G506" s="102"/>
      <c r="H506" s="102"/>
      <c r="I506" s="102"/>
      <c r="J506" s="156"/>
      <c r="K506" s="243"/>
      <c r="L506" s="210"/>
      <c r="M506" s="144"/>
      <c r="N506" s="145"/>
      <c r="O506" s="145"/>
      <c r="P506" s="122"/>
      <c r="Q506" s="304" t="str">
        <f t="shared" si="14"/>
        <v/>
      </c>
      <c r="R506" s="242"/>
      <c r="S506" s="11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</row>
    <row r="507" ht="15.75" customHeight="1">
      <c r="A507" s="90"/>
      <c r="B507" s="6"/>
      <c r="C507" s="90"/>
      <c r="D507" s="159" t="s">
        <v>54</v>
      </c>
      <c r="E507" s="227"/>
      <c r="F507" s="127">
        <v>3.0</v>
      </c>
      <c r="G507" s="221">
        <v>45577.0</v>
      </c>
      <c r="H507" s="195"/>
      <c r="I507" s="164"/>
      <c r="J507" s="228">
        <v>8.0</v>
      </c>
      <c r="K507" s="241"/>
      <c r="L507" s="164"/>
      <c r="M507" s="134" t="str">
        <f>I372</f>
        <v/>
      </c>
      <c r="N507" s="135" t="str">
        <f>iferror(mround($P372*((VLOOKUP($J507,Sheet1!$D:$N,$G507+1,FALSE)-0.03)),2.5)," ")</f>
        <v> </v>
      </c>
      <c r="O507" s="135" t="str">
        <f>iferror(mround($P372*((VLOOKUP($J507,Sheet1!$D:$N,$G507+1,FALSE)+0.02)),2.5)," ")</f>
        <v> </v>
      </c>
      <c r="P507" s="112" t="str">
        <f>iferror(mround(I507/VLOOKUP(L507,Sheet1!$D$7:$N$16,G507+1,FALSE),2.5),"")</f>
        <v/>
      </c>
      <c r="Q507" s="303" t="str">
        <f t="shared" si="14"/>
        <v/>
      </c>
      <c r="R507" s="242"/>
      <c r="S507" s="11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</row>
    <row r="508" ht="3.75" customHeight="1">
      <c r="A508" s="191"/>
      <c r="B508" s="6"/>
      <c r="C508" s="192"/>
      <c r="D508" s="138"/>
      <c r="E508" s="245"/>
      <c r="F508" s="102"/>
      <c r="G508" s="102"/>
      <c r="H508" s="102"/>
      <c r="I508" s="102"/>
      <c r="J508" s="156"/>
      <c r="K508" s="243"/>
      <c r="L508" s="210"/>
      <c r="M508" s="144"/>
      <c r="N508" s="145"/>
      <c r="O508" s="145"/>
      <c r="P508" s="122"/>
      <c r="Q508" s="304" t="str">
        <f t="shared" si="14"/>
        <v/>
      </c>
      <c r="R508" s="242"/>
      <c r="S508" s="157"/>
      <c r="T508" s="5"/>
      <c r="U508" s="5"/>
      <c r="V508" s="158"/>
      <c r="W508" s="158"/>
      <c r="X508" s="158"/>
      <c r="Y508" s="158"/>
      <c r="Z508" s="158"/>
      <c r="AA508" s="158"/>
      <c r="AB508" s="158"/>
      <c r="AC508" s="158"/>
      <c r="AD508" s="158"/>
      <c r="AE508" s="158"/>
      <c r="AF508" s="158"/>
      <c r="AG508" s="158"/>
    </row>
    <row r="509" ht="15.75" customHeight="1">
      <c r="A509" s="90"/>
      <c r="B509" s="6"/>
      <c r="C509" s="90"/>
      <c r="D509" s="159" t="s">
        <v>99</v>
      </c>
      <c r="E509" s="246" t="s">
        <v>100</v>
      </c>
      <c r="F509" s="127">
        <v>3.0</v>
      </c>
      <c r="G509" s="221">
        <v>45577.0</v>
      </c>
      <c r="H509" s="195"/>
      <c r="I509" s="164"/>
      <c r="J509" s="228">
        <v>9.0</v>
      </c>
      <c r="K509" s="241"/>
      <c r="L509" s="164"/>
      <c r="M509" s="134" t="str">
        <f>I374</f>
        <v/>
      </c>
      <c r="N509" s="135" t="str">
        <f>iferror(mround($P374*((VLOOKUP($J509,Sheet1!$D:$N,$G509+1,FALSE)-0.03)),2.5)," ")</f>
        <v> </v>
      </c>
      <c r="O509" s="135" t="str">
        <f>iferror(mround($P374*((VLOOKUP($J509,Sheet1!$D:$N,$G509+1,FALSE)+0.02)),2.5)," ")</f>
        <v> </v>
      </c>
      <c r="P509" s="112" t="str">
        <f>iferror(mround(I509/VLOOKUP(L509,Sheet1!$D$7:$N$16,G509+1,FALSE),2.5),"")</f>
        <v/>
      </c>
      <c r="Q509" s="303" t="str">
        <f t="shared" si="14"/>
        <v/>
      </c>
      <c r="R509" s="242"/>
      <c r="S509" s="11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</row>
    <row r="510" ht="3.75" customHeight="1">
      <c r="A510" s="90"/>
      <c r="B510" s="6"/>
      <c r="C510" s="90"/>
      <c r="D510" s="138"/>
      <c r="E510" s="245"/>
      <c r="F510" s="102"/>
      <c r="G510" s="102"/>
      <c r="H510" s="102"/>
      <c r="I510" s="102"/>
      <c r="J510" s="156"/>
      <c r="K510" s="243"/>
      <c r="L510" s="210"/>
      <c r="M510" s="144"/>
      <c r="N510" s="145"/>
      <c r="O510" s="145"/>
      <c r="P510" s="122"/>
      <c r="Q510" s="304" t="str">
        <f t="shared" si="14"/>
        <v/>
      </c>
      <c r="R510" s="242"/>
      <c r="S510" s="11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</row>
    <row r="511" ht="15.75" hidden="1" customHeight="1">
      <c r="A511" s="90"/>
      <c r="B511" s="6"/>
      <c r="C511" s="90"/>
      <c r="D511" s="185"/>
      <c r="E511" s="227"/>
      <c r="F511" s="187"/>
      <c r="G511" s="229"/>
      <c r="H511" s="195"/>
      <c r="I511" s="247"/>
      <c r="J511" s="248"/>
      <c r="K511" s="241"/>
      <c r="L511" s="164"/>
      <c r="M511" s="134" t="str">
        <f>I376</f>
        <v/>
      </c>
      <c r="N511" s="135" t="str">
        <f>iferror(mround($P376*((VLOOKUP($J511,Sheet1!$D:$N,$G511+1,FALSE)-0.03)),2.5)," ")</f>
        <v> </v>
      </c>
      <c r="O511" s="135" t="str">
        <f>iferror(mround($P376*((VLOOKUP($J511,Sheet1!$D:$N,$G511+1,FALSE)+0.02)),2.5)," ")</f>
        <v> </v>
      </c>
      <c r="P511" s="112" t="str">
        <f>iferror(mround(I511/VLOOKUP(L511,Sheet1!$D$7:$N$16,G511+1,FALSE),2.5),"")</f>
        <v/>
      </c>
      <c r="Q511" s="303" t="str">
        <f t="shared" si="14"/>
        <v/>
      </c>
      <c r="R511" s="242"/>
      <c r="S511" s="11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</row>
    <row r="512" ht="3.75" hidden="1" customHeight="1">
      <c r="A512" s="90"/>
      <c r="B512" s="6"/>
      <c r="C512" s="90"/>
      <c r="D512" s="138"/>
      <c r="E512" s="215"/>
      <c r="F512" s="102"/>
      <c r="G512" s="102"/>
      <c r="H512" s="102"/>
      <c r="I512" s="102"/>
      <c r="J512" s="156"/>
      <c r="K512" s="243"/>
      <c r="L512" s="210"/>
      <c r="M512" s="144"/>
      <c r="N512" s="145"/>
      <c r="O512" s="145"/>
      <c r="P512" s="122"/>
      <c r="Q512" s="304" t="str">
        <f t="shared" si="14"/>
        <v/>
      </c>
      <c r="R512" s="242"/>
      <c r="S512" s="11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</row>
    <row r="513" ht="15.75" hidden="1" customHeight="1">
      <c r="A513" s="90"/>
      <c r="B513" s="6"/>
      <c r="C513" s="90"/>
      <c r="D513" s="185"/>
      <c r="E513" s="220"/>
      <c r="F513" s="187"/>
      <c r="G513" s="229"/>
      <c r="H513" s="195"/>
      <c r="I513" s="247"/>
      <c r="J513" s="248"/>
      <c r="K513" s="241"/>
      <c r="L513" s="164"/>
      <c r="M513" s="134" t="str">
        <f>I378</f>
        <v/>
      </c>
      <c r="N513" s="135" t="str">
        <f>iferror(mround($P378*((VLOOKUP($J513,Sheet1!$D:$N,$G513+1,FALSE)-0.03)),2.5)," ")</f>
        <v> </v>
      </c>
      <c r="O513" s="135" t="str">
        <f>iferror(mround($P378*((VLOOKUP($J513,Sheet1!$D:$N,$G513+1,FALSE)+0.02)),2.5)," ")</f>
        <v> </v>
      </c>
      <c r="P513" s="112" t="str">
        <f>iferror(mround(I513/VLOOKUP(L513,Sheet1!$D$7:$N$16,G513+1,FALSE),2.5),"")</f>
        <v/>
      </c>
      <c r="Q513" s="303" t="str">
        <f t="shared" si="14"/>
        <v/>
      </c>
      <c r="R513" s="242"/>
      <c r="S513" s="11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</row>
    <row r="514" ht="3.75" hidden="1" customHeight="1">
      <c r="A514" s="90"/>
      <c r="B514" s="6"/>
      <c r="C514" s="90"/>
      <c r="D514" s="196"/>
      <c r="E514" s="184"/>
      <c r="F514" s="102"/>
      <c r="G514" s="102"/>
      <c r="H514" s="102"/>
      <c r="I514" s="102"/>
      <c r="J514" s="156"/>
      <c r="K514" s="249"/>
      <c r="L514" s="210"/>
      <c r="M514" s="144"/>
      <c r="N514" s="145"/>
      <c r="O514" s="145"/>
      <c r="P514" s="122"/>
      <c r="Q514" s="304" t="str">
        <f t="shared" si="14"/>
        <v/>
      </c>
      <c r="R514" s="242"/>
      <c r="S514" s="11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</row>
    <row r="515" ht="15.75" hidden="1" customHeight="1">
      <c r="A515" s="90"/>
      <c r="B515" s="6"/>
      <c r="C515" s="90"/>
      <c r="D515" s="197"/>
      <c r="E515" s="250"/>
      <c r="F515" s="129"/>
      <c r="G515" s="199"/>
      <c r="H515" s="195"/>
      <c r="I515" s="247"/>
      <c r="J515" s="248"/>
      <c r="K515" s="251"/>
      <c r="L515" s="164"/>
      <c r="M515" s="134" t="str">
        <f>I380</f>
        <v/>
      </c>
      <c r="N515" s="135" t="str">
        <f>iferror(mround($P380*((VLOOKUP($J515,Sheet1!$D:$N,$G515+1,FALSE)-0.03)),2.5)," ")</f>
        <v> </v>
      </c>
      <c r="O515" s="135" t="str">
        <f>iferror(mround($P380*((VLOOKUP($J515,Sheet1!$D:$N,$G515+1,FALSE)+0.02)),2.5)," ")</f>
        <v> </v>
      </c>
      <c r="P515" s="112" t="str">
        <f>iferror(mround(I515/VLOOKUP(L515,Sheet1!$D$7:$N$16,G515+1,FALSE),2.5),"")</f>
        <v/>
      </c>
      <c r="Q515" s="303" t="str">
        <f t="shared" si="14"/>
        <v/>
      </c>
      <c r="R515" s="242"/>
      <c r="S515" s="11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</row>
    <row r="516" ht="3.75" hidden="1" customHeight="1">
      <c r="A516" s="90"/>
      <c r="B516" s="6"/>
      <c r="C516" s="90"/>
      <c r="D516" s="234"/>
      <c r="E516" s="184"/>
      <c r="F516" s="102"/>
      <c r="G516" s="102"/>
      <c r="H516" s="102"/>
      <c r="I516" s="102"/>
      <c r="J516" s="156"/>
      <c r="K516" s="249"/>
      <c r="L516" s="210"/>
      <c r="M516" s="144"/>
      <c r="N516" s="145"/>
      <c r="O516" s="145"/>
      <c r="P516" s="122"/>
      <c r="Q516" s="304" t="str">
        <f t="shared" si="14"/>
        <v/>
      </c>
      <c r="R516" s="242"/>
      <c r="S516" s="11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</row>
    <row r="517" ht="15.75" hidden="1" customHeight="1">
      <c r="A517" s="90"/>
      <c r="B517" s="6"/>
      <c r="C517" s="90"/>
      <c r="D517" s="197"/>
      <c r="E517" s="198"/>
      <c r="F517" s="129"/>
      <c r="G517" s="199"/>
      <c r="H517" s="195"/>
      <c r="I517" s="164"/>
      <c r="J517" s="248"/>
      <c r="K517" s="251"/>
      <c r="L517" s="164"/>
      <c r="M517" s="134" t="str">
        <f>I382</f>
        <v/>
      </c>
      <c r="N517" s="135" t="str">
        <f>iferror(mround($P382*((VLOOKUP($J517,Sheet1!$D:$N,$G517+1,FALSE)-0.03)),2.5)," ")</f>
        <v> </v>
      </c>
      <c r="O517" s="135" t="str">
        <f>iferror(mround($P382*((VLOOKUP($J517,Sheet1!$D:$N,$G517+1,FALSE)+0.02)),2.5)," ")</f>
        <v> </v>
      </c>
      <c r="P517" s="112" t="str">
        <f>iferror(mround(I517/VLOOKUP(L517,Sheet1!$D$7:$N$16,G517+1,FALSE),2.5),"")</f>
        <v/>
      </c>
      <c r="Q517" s="303" t="str">
        <f t="shared" si="14"/>
        <v/>
      </c>
      <c r="R517" s="242"/>
      <c r="S517" s="11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</row>
    <row r="518" ht="3.75" hidden="1" customHeight="1">
      <c r="A518" s="124"/>
      <c r="B518" s="6"/>
      <c r="C518" s="124"/>
      <c r="D518" s="252"/>
      <c r="E518" s="252"/>
      <c r="F518" s="102"/>
      <c r="G518" s="102"/>
      <c r="H518" s="102"/>
      <c r="I518" s="102"/>
      <c r="J518" s="156"/>
      <c r="K518" s="253"/>
      <c r="L518" s="201"/>
      <c r="M518" s="211"/>
      <c r="N518" s="47"/>
      <c r="O518" s="47"/>
      <c r="P518" s="122"/>
      <c r="Q518" s="304" t="str">
        <f t="shared" si="14"/>
        <v/>
      </c>
      <c r="R518" s="242"/>
      <c r="S518" s="11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</row>
    <row r="519" ht="30.75" hidden="1" customHeight="1">
      <c r="A519" s="90"/>
      <c r="B519" s="6"/>
      <c r="C519" s="90"/>
      <c r="D519" s="254" t="s">
        <v>57</v>
      </c>
      <c r="E519" s="255" t="s">
        <v>15</v>
      </c>
      <c r="F519" s="106" t="s">
        <v>16</v>
      </c>
      <c r="G519" s="106" t="s">
        <v>17</v>
      </c>
      <c r="H519" s="107"/>
      <c r="I519" s="106" t="s">
        <v>18</v>
      </c>
      <c r="J519" s="108" t="s">
        <v>19</v>
      </c>
      <c r="L519" s="109" t="s">
        <v>20</v>
      </c>
      <c r="M519" s="110" t="s">
        <v>21</v>
      </c>
      <c r="N519" s="111" t="s">
        <v>22</v>
      </c>
      <c r="P519" s="112"/>
      <c r="Q519" s="113" t="s">
        <v>23</v>
      </c>
      <c r="R519" s="256" t="s">
        <v>58</v>
      </c>
      <c r="S519" s="11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</row>
    <row r="520" ht="14.25" hidden="1" customHeight="1">
      <c r="A520" s="90"/>
      <c r="B520" s="6"/>
      <c r="C520" s="90"/>
      <c r="D520" s="257" t="s">
        <v>25</v>
      </c>
      <c r="E520" s="258" t="s">
        <v>26</v>
      </c>
      <c r="H520" s="107"/>
      <c r="N520" s="111" t="s">
        <v>27</v>
      </c>
      <c r="O520" s="111" t="s">
        <v>28</v>
      </c>
      <c r="P520" s="112" t="s">
        <v>29</v>
      </c>
      <c r="R520" s="118" t="s">
        <v>30</v>
      </c>
      <c r="S520" s="11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</row>
    <row r="521" ht="3.75" hidden="1" customHeight="1">
      <c r="A521" s="124"/>
      <c r="B521" s="6"/>
      <c r="C521" s="124"/>
      <c r="D521" s="252"/>
      <c r="E521" s="252"/>
      <c r="F521" s="102"/>
      <c r="G521" s="102"/>
      <c r="H521" s="102"/>
      <c r="I521" s="102"/>
      <c r="J521" s="156"/>
      <c r="K521" s="253"/>
      <c r="L521" s="201"/>
      <c r="M521" s="211"/>
      <c r="N521" s="47"/>
      <c r="O521" s="47"/>
      <c r="P521" s="122"/>
      <c r="Q521" s="304" t="str">
        <f t="shared" ref="Q521:Q544" si="15">IF(OR(ISBLANK(I521), ISBLANK(I386)), "", IF(I521 - I386 = 0, "", I521 - I386))</f>
        <v/>
      </c>
      <c r="R521" s="259"/>
      <c r="S521" s="11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</row>
    <row r="522" ht="14.25" hidden="1" customHeight="1">
      <c r="A522" s="124"/>
      <c r="B522" s="6"/>
      <c r="C522" s="124"/>
      <c r="D522" s="260"/>
      <c r="E522" s="126"/>
      <c r="F522" s="187"/>
      <c r="G522" s="229"/>
      <c r="H522" s="129"/>
      <c r="I522" s="164"/>
      <c r="J522" s="189"/>
      <c r="K522" s="251"/>
      <c r="L522" s="164"/>
      <c r="M522" s="134" t="str">
        <f>I389</f>
        <v/>
      </c>
      <c r="N522" s="135" t="str">
        <f>iferror(mround($P389*((VLOOKUP($J522,Sheet1!$D:$N,$G522+1,FALSE)-0.03)),2.5)," ")</f>
        <v> </v>
      </c>
      <c r="O522" s="135" t="str">
        <f>iferror(mround($P389*((VLOOKUP($J522,Sheet1!$D:$N,$G522+1,FALSE)+0.02)),2.5)," ")</f>
        <v> </v>
      </c>
      <c r="P522" s="56" t="str">
        <f>iferror(mround(I522/VLOOKUP(L522,Sheet1!$D$7:$N$16,G522+1,FALSE),2.5),"")</f>
        <v/>
      </c>
      <c r="Q522" s="303" t="str">
        <f t="shared" si="15"/>
        <v/>
      </c>
      <c r="S522" s="11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</row>
    <row r="523" ht="3.75" hidden="1" customHeight="1">
      <c r="A523" s="124"/>
      <c r="B523" s="6"/>
      <c r="C523" s="124"/>
      <c r="D523" s="138"/>
      <c r="E523" s="215"/>
      <c r="F523" s="102"/>
      <c r="G523" s="102"/>
      <c r="H523" s="102"/>
      <c r="I523" s="102"/>
      <c r="J523" s="156"/>
      <c r="K523" s="249"/>
      <c r="L523" s="210"/>
      <c r="M523" s="144"/>
      <c r="N523" s="145"/>
      <c r="O523" s="145"/>
      <c r="P523" s="122"/>
      <c r="Q523" s="304" t="str">
        <f t="shared" si="15"/>
        <v/>
      </c>
      <c r="S523" s="11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</row>
    <row r="524" ht="14.25" hidden="1" customHeight="1">
      <c r="A524" s="124"/>
      <c r="B524" s="6"/>
      <c r="C524" s="124"/>
      <c r="D524" s="185"/>
      <c r="E524" s="227"/>
      <c r="F524" s="187"/>
      <c r="G524" s="229"/>
      <c r="H524" s="195"/>
      <c r="I524" s="164"/>
      <c r="J524" s="248"/>
      <c r="K524" s="251"/>
      <c r="L524" s="164"/>
      <c r="M524" s="134" t="str">
        <f>I389</f>
        <v/>
      </c>
      <c r="N524" s="135" t="str">
        <f>iferror(mround($P389*((VLOOKUP($J524,Sheet1!$D:$N,$G524+1,FALSE)-0.03)),2.5)," ")</f>
        <v> </v>
      </c>
      <c r="O524" s="135" t="str">
        <f>iferror(mround($P389*((VLOOKUP($J524,Sheet1!$D:$N,$G524+1,FALSE)+0.02)),2.5)," ")</f>
        <v> </v>
      </c>
      <c r="P524" s="112" t="str">
        <f>iferror(mround(I524/VLOOKUP(L524,Sheet1!$D$7:$N$16,G524+1,FALSE),2.5),"")</f>
        <v/>
      </c>
      <c r="Q524" s="303" t="str">
        <f t="shared" si="15"/>
        <v/>
      </c>
      <c r="S524" s="11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</row>
    <row r="525" ht="3.75" hidden="1" customHeight="1">
      <c r="A525" s="124"/>
      <c r="B525" s="6"/>
      <c r="C525" s="124"/>
      <c r="D525" s="138"/>
      <c r="E525" s="245"/>
      <c r="F525" s="102"/>
      <c r="G525" s="102"/>
      <c r="H525" s="102"/>
      <c r="I525" s="102"/>
      <c r="J525" s="156"/>
      <c r="K525" s="249"/>
      <c r="L525" s="210"/>
      <c r="M525" s="144"/>
      <c r="N525" s="145"/>
      <c r="O525" s="145"/>
      <c r="P525" s="122"/>
      <c r="Q525" s="304" t="str">
        <f t="shared" si="15"/>
        <v/>
      </c>
      <c r="S525" s="11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</row>
    <row r="526" ht="14.25" hidden="1" customHeight="1">
      <c r="A526" s="124"/>
      <c r="B526" s="6"/>
      <c r="C526" s="124"/>
      <c r="D526" s="185"/>
      <c r="E526" s="227"/>
      <c r="F526" s="187"/>
      <c r="G526" s="229"/>
      <c r="H526" s="195"/>
      <c r="I526" s="164"/>
      <c r="J526" s="248"/>
      <c r="K526" s="251"/>
      <c r="L526" s="164"/>
      <c r="M526" s="134" t="str">
        <f>I391</f>
        <v/>
      </c>
      <c r="N526" s="135" t="str">
        <f>iferror(mround($P391*((VLOOKUP($J526,Sheet1!$D:$N,$G526+1,FALSE)-0.03)),2.5)," ")</f>
        <v> </v>
      </c>
      <c r="O526" s="135" t="str">
        <f>iferror(mround($P391*((VLOOKUP($J526,Sheet1!$D:$N,$G526+1,FALSE)+0.02)),2.5)," ")</f>
        <v> </v>
      </c>
      <c r="P526" s="112" t="str">
        <f>iferror(mround(I526/VLOOKUP(L526,Sheet1!$D$7:$N$16,G526+1,FALSE),2.5),"")</f>
        <v/>
      </c>
      <c r="Q526" s="303" t="str">
        <f t="shared" si="15"/>
        <v/>
      </c>
      <c r="S526" s="11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</row>
    <row r="527" ht="3.75" hidden="1" customHeight="1">
      <c r="A527" s="124"/>
      <c r="B527" s="6"/>
      <c r="C527" s="124"/>
      <c r="D527" s="138"/>
      <c r="E527" s="245"/>
      <c r="F527" s="102"/>
      <c r="G527" s="102"/>
      <c r="H527" s="102"/>
      <c r="I527" s="102"/>
      <c r="J527" s="156"/>
      <c r="K527" s="249"/>
      <c r="L527" s="210"/>
      <c r="M527" s="144"/>
      <c r="N527" s="145"/>
      <c r="O527" s="145"/>
      <c r="P527" s="122"/>
      <c r="Q527" s="304" t="str">
        <f t="shared" si="15"/>
        <v/>
      </c>
      <c r="S527" s="11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</row>
    <row r="528" ht="14.25" hidden="1" customHeight="1">
      <c r="A528" s="124"/>
      <c r="B528" s="6"/>
      <c r="C528" s="124"/>
      <c r="D528" s="185"/>
      <c r="E528" s="227"/>
      <c r="F528" s="187"/>
      <c r="G528" s="229"/>
      <c r="H528" s="195"/>
      <c r="I528" s="164"/>
      <c r="J528" s="248"/>
      <c r="K528" s="251"/>
      <c r="L528" s="164"/>
      <c r="M528" s="134"/>
      <c r="N528" s="135" t="str">
        <f>iferror(mround($P393*((VLOOKUP($J528,Sheet1!$D:$N,$G528+1,FALSE)-0.03)),2.5)," ")</f>
        <v> </v>
      </c>
      <c r="O528" s="135" t="str">
        <f>iferror(mround($P393*((VLOOKUP($J528,Sheet1!$D:$N,$G528+1,FALSE)+0.02)),2.5)," ")</f>
        <v> </v>
      </c>
      <c r="P528" s="112" t="str">
        <f>iferror(mround(I528/VLOOKUP(L528,Sheet1!$D$7:$N$16,G528+1,FALSE),2.5),"")</f>
        <v/>
      </c>
      <c r="Q528" s="303" t="str">
        <f t="shared" si="15"/>
        <v/>
      </c>
      <c r="S528" s="11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</row>
    <row r="529" ht="3.75" hidden="1" customHeight="1">
      <c r="A529" s="124"/>
      <c r="B529" s="6"/>
      <c r="C529" s="124"/>
      <c r="D529" s="138"/>
      <c r="E529" s="245"/>
      <c r="F529" s="102"/>
      <c r="G529" s="102"/>
      <c r="H529" s="102"/>
      <c r="I529" s="102"/>
      <c r="J529" s="156"/>
      <c r="K529" s="249"/>
      <c r="L529" s="210"/>
      <c r="M529" s="144"/>
      <c r="N529" s="145" t="str">
        <f>iferror(mround($P394*((VLOOKUP($J529,Sheet1!$D:$N,$G529+1,FALSE)-0.03)),2.5)," ")</f>
        <v> </v>
      </c>
      <c r="O529" s="145" t="str">
        <f>iferror(mround($P394*((VLOOKUP($J529,Sheet1!$D:$N,$G529+1,FALSE)+0.02)),2.5)," ")</f>
        <v> </v>
      </c>
      <c r="P529" s="122"/>
      <c r="Q529" s="304" t="str">
        <f t="shared" si="15"/>
        <v/>
      </c>
      <c r="S529" s="11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</row>
    <row r="530" ht="14.25" hidden="1" customHeight="1">
      <c r="A530" s="124"/>
      <c r="B530" s="6"/>
      <c r="C530" s="124"/>
      <c r="D530" s="185"/>
      <c r="E530" s="227"/>
      <c r="F530" s="187"/>
      <c r="G530" s="187"/>
      <c r="H530" s="195"/>
      <c r="I530" s="164"/>
      <c r="J530" s="248"/>
      <c r="K530" s="251"/>
      <c r="L530" s="164"/>
      <c r="M530" s="134" t="str">
        <f>I395</f>
        <v/>
      </c>
      <c r="N530" s="135" t="str">
        <f>iferror(mround($P395*((VLOOKUP($J530,Sheet1!$D:$N,$G530+1,FALSE)-0.03)),2.5)," ")</f>
        <v> </v>
      </c>
      <c r="O530" s="135" t="str">
        <f>iferror(mround($P395*((VLOOKUP($J530,Sheet1!$D:$N,$G530+1,FALSE)+0.02)),2.5)," ")</f>
        <v> </v>
      </c>
      <c r="P530" s="112" t="str">
        <f>iferror(mround(I530/VLOOKUP(L530,Sheet1!$D$7:$N$16,G530+1,FALSE),2.5),"")</f>
        <v/>
      </c>
      <c r="Q530" s="303" t="str">
        <f t="shared" si="15"/>
        <v/>
      </c>
      <c r="S530" s="11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</row>
    <row r="531" ht="3.75" hidden="1" customHeight="1">
      <c r="A531" s="261"/>
      <c r="B531" s="6"/>
      <c r="C531" s="262"/>
      <c r="D531" s="138"/>
      <c r="E531" s="245"/>
      <c r="F531" s="102"/>
      <c r="G531" s="102"/>
      <c r="H531" s="102"/>
      <c r="I531" s="102"/>
      <c r="J531" s="156"/>
      <c r="K531" s="249"/>
      <c r="L531" s="210"/>
      <c r="M531" s="144"/>
      <c r="N531" s="145"/>
      <c r="O531" s="145"/>
      <c r="P531" s="122"/>
      <c r="Q531" s="304" t="str">
        <f t="shared" si="15"/>
        <v/>
      </c>
      <c r="S531" s="157"/>
      <c r="T531" s="5"/>
      <c r="U531" s="5"/>
      <c r="V531" s="158"/>
      <c r="W531" s="158"/>
      <c r="X531" s="158"/>
      <c r="Y531" s="158"/>
      <c r="Z531" s="158"/>
      <c r="AA531" s="158"/>
      <c r="AB531" s="158"/>
      <c r="AC531" s="158"/>
      <c r="AD531" s="158"/>
      <c r="AE531" s="158"/>
      <c r="AF531" s="158"/>
      <c r="AG531" s="158"/>
    </row>
    <row r="532" ht="14.25" hidden="1" customHeight="1">
      <c r="A532" s="124"/>
      <c r="B532" s="6"/>
      <c r="C532" s="124"/>
      <c r="D532" s="185"/>
      <c r="E532" s="227"/>
      <c r="F532" s="187"/>
      <c r="G532" s="187"/>
      <c r="H532" s="195"/>
      <c r="I532" s="164"/>
      <c r="J532" s="248"/>
      <c r="K532" s="251"/>
      <c r="L532" s="164"/>
      <c r="M532" s="134" t="str">
        <f>I397</f>
        <v/>
      </c>
      <c r="N532" s="135" t="str">
        <f>iferror(mround($P397*((VLOOKUP($J532,Sheet1!$D:$N,$G532+1,FALSE)-0.03)),2.5)," ")</f>
        <v> </v>
      </c>
      <c r="O532" s="135" t="str">
        <f>iferror(mround($P397*((VLOOKUP($J532,Sheet1!$D:$N,$G532+1,FALSE)+0.02)),2.5)," ")</f>
        <v> </v>
      </c>
      <c r="P532" s="112" t="str">
        <f>iferror(mround(I532/VLOOKUP(L532,Sheet1!$D$7:$N$16,G532+1,FALSE),2.5),"")</f>
        <v/>
      </c>
      <c r="Q532" s="303" t="str">
        <f t="shared" si="15"/>
        <v/>
      </c>
      <c r="S532" s="11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</row>
    <row r="533" ht="3.75" hidden="1" customHeight="1">
      <c r="A533" s="261"/>
      <c r="B533" s="6"/>
      <c r="C533" s="262"/>
      <c r="D533" s="138"/>
      <c r="E533" s="252"/>
      <c r="F533" s="102"/>
      <c r="G533" s="102"/>
      <c r="H533" s="102"/>
      <c r="I533" s="102"/>
      <c r="J533" s="156"/>
      <c r="K533" s="249"/>
      <c r="L533" s="210"/>
      <c r="M533" s="144"/>
      <c r="N533" s="145"/>
      <c r="O533" s="145"/>
      <c r="P533" s="122"/>
      <c r="Q533" s="304" t="str">
        <f t="shared" si="15"/>
        <v/>
      </c>
      <c r="S533" s="157"/>
      <c r="T533" s="5"/>
      <c r="U533" s="5"/>
      <c r="V533" s="158"/>
      <c r="W533" s="158"/>
      <c r="X533" s="158"/>
      <c r="Y533" s="158"/>
      <c r="Z533" s="158"/>
      <c r="AA533" s="158"/>
      <c r="AB533" s="158"/>
      <c r="AC533" s="158"/>
      <c r="AD533" s="158"/>
      <c r="AE533" s="158"/>
      <c r="AF533" s="158"/>
      <c r="AG533" s="158"/>
    </row>
    <row r="534" ht="15.75" hidden="1" customHeight="1">
      <c r="A534" s="124"/>
      <c r="B534" s="6"/>
      <c r="C534" s="124"/>
      <c r="D534" s="185"/>
      <c r="E534" s="260"/>
      <c r="F534" s="187"/>
      <c r="G534" s="187"/>
      <c r="H534" s="195"/>
      <c r="I534" s="247"/>
      <c r="J534" s="248"/>
      <c r="K534" s="251"/>
      <c r="L534" s="164"/>
      <c r="M534" s="134"/>
      <c r="N534" s="135" t="str">
        <f>iferror(mround($P399*((VLOOKUP($J534,Sheet1!$D:$N,$G534+1,FALSE)-0.03)),2.5)," ")</f>
        <v> </v>
      </c>
      <c r="O534" s="135" t="str">
        <f>iferror(mround($P399*((VLOOKUP($J534,Sheet1!$D:$N,$G534+1,FALSE)+0.02)),2.5)," ")</f>
        <v> </v>
      </c>
      <c r="P534" s="112" t="str">
        <f>iferror(mround(I534/VLOOKUP(L534,Sheet1!$D$7:$N$16,G534+1,FALSE),2.5),"")</f>
        <v/>
      </c>
      <c r="Q534" s="303" t="str">
        <f t="shared" si="15"/>
        <v/>
      </c>
      <c r="S534" s="11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</row>
    <row r="535" ht="3.75" hidden="1" customHeight="1">
      <c r="A535" s="124"/>
      <c r="B535" s="6"/>
      <c r="C535" s="124"/>
      <c r="D535" s="263"/>
      <c r="E535" s="252"/>
      <c r="F535" s="102"/>
      <c r="G535" s="102"/>
      <c r="H535" s="102"/>
      <c r="I535" s="102"/>
      <c r="J535" s="156"/>
      <c r="K535" s="249"/>
      <c r="L535" s="210"/>
      <c r="M535" s="144"/>
      <c r="N535" s="145" t="str">
        <f>iferror(mround($P400*((VLOOKUP($J535,Sheet1!$D:$N,$G535+1,FALSE)-0.03)),2.5)," ")</f>
        <v> </v>
      </c>
      <c r="O535" s="145" t="str">
        <f>iferror(mround($P400*((VLOOKUP($J535,Sheet1!$D:$N,$G535+1,FALSE)+0.02)),2.5)," ")</f>
        <v> </v>
      </c>
      <c r="P535" s="122"/>
      <c r="Q535" s="304" t="str">
        <f t="shared" si="15"/>
        <v/>
      </c>
      <c r="S535" s="11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</row>
    <row r="536" ht="14.25" hidden="1" customHeight="1">
      <c r="A536" s="90"/>
      <c r="B536" s="6"/>
      <c r="C536" s="90"/>
      <c r="D536" s="185"/>
      <c r="E536" s="264"/>
      <c r="F536" s="187"/>
      <c r="G536" s="187"/>
      <c r="H536" s="195"/>
      <c r="I536" s="164"/>
      <c r="J536" s="248"/>
      <c r="K536" s="251"/>
      <c r="L536" s="164"/>
      <c r="M536" s="134" t="str">
        <f>I401</f>
        <v/>
      </c>
      <c r="N536" s="135" t="str">
        <f>iferror(mround($P401*((VLOOKUP($J536,Sheet1!$D:$N,$G536+1,FALSE)-0.03)),2.5)," ")</f>
        <v> </v>
      </c>
      <c r="O536" s="135" t="str">
        <f>iferror(mround($P401*((VLOOKUP($J536,Sheet1!$D:$N,$G536+1,FALSE)+0.02)),2.5)," ")</f>
        <v> </v>
      </c>
      <c r="P536" s="112" t="str">
        <f>iferror(mround(I536/VLOOKUP(L536,Sheet1!$D$7:$N$16,G536+1,FALSE),2.5),"")</f>
        <v/>
      </c>
      <c r="Q536" s="303" t="str">
        <f t="shared" si="15"/>
        <v/>
      </c>
      <c r="S536" s="11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</row>
    <row r="537" ht="3.75" hidden="1" customHeight="1">
      <c r="A537" s="261"/>
      <c r="B537" s="6"/>
      <c r="C537" s="262"/>
      <c r="D537" s="263"/>
      <c r="E537" s="263"/>
      <c r="F537" s="194"/>
      <c r="G537" s="194"/>
      <c r="H537" s="155"/>
      <c r="I537" s="210"/>
      <c r="J537" s="265"/>
      <c r="K537" s="249"/>
      <c r="L537" s="210"/>
      <c r="M537" s="144"/>
      <c r="N537" s="145"/>
      <c r="O537" s="145"/>
      <c r="P537" s="122"/>
      <c r="Q537" s="304" t="str">
        <f t="shared" si="15"/>
        <v/>
      </c>
      <c r="S537" s="157"/>
      <c r="T537" s="5"/>
      <c r="U537" s="5"/>
      <c r="V537" s="158"/>
      <c r="W537" s="158"/>
      <c r="X537" s="158"/>
      <c r="Y537" s="158"/>
      <c r="Z537" s="158"/>
      <c r="AA537" s="158"/>
      <c r="AB537" s="158"/>
      <c r="AC537" s="158"/>
      <c r="AD537" s="158"/>
      <c r="AE537" s="158"/>
      <c r="AF537" s="158"/>
      <c r="AG537" s="158"/>
    </row>
    <row r="538" ht="15.75" hidden="1" customHeight="1">
      <c r="A538" s="90"/>
      <c r="B538" s="6"/>
      <c r="C538" s="90"/>
      <c r="D538" s="185"/>
      <c r="E538" s="266"/>
      <c r="F538" s="187"/>
      <c r="G538" s="187"/>
      <c r="H538" s="195"/>
      <c r="I538" s="164"/>
      <c r="J538" s="248"/>
      <c r="K538" s="251"/>
      <c r="L538" s="164"/>
      <c r="M538" s="134"/>
      <c r="N538" s="135" t="str">
        <f>iferror(mround($P403*((VLOOKUP($J538,Sheet1!$D:$N,$G538+1,FALSE)-0.03)),2.5)," ")</f>
        <v> </v>
      </c>
      <c r="O538" s="135" t="str">
        <f>iferror(mround($P403*((VLOOKUP($J538,Sheet1!$D:$N,$G538+1,FALSE)+0.02)),2.5)," ")</f>
        <v> </v>
      </c>
      <c r="P538" s="112" t="str">
        <f>iferror(mround(I538/VLOOKUP(L538,Sheet1!$D$7:$N$16,G538+1,FALSE),2.5),"")</f>
        <v/>
      </c>
      <c r="Q538" s="303" t="str">
        <f t="shared" si="15"/>
        <v/>
      </c>
      <c r="S538" s="11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</row>
    <row r="539" ht="3.75" hidden="1" customHeight="1">
      <c r="A539" s="90"/>
      <c r="B539" s="6"/>
      <c r="C539" s="90"/>
      <c r="D539" s="138"/>
      <c r="E539" s="252"/>
      <c r="F539" s="102"/>
      <c r="G539" s="102"/>
      <c r="H539" s="102"/>
      <c r="I539" s="102"/>
      <c r="J539" s="156"/>
      <c r="K539" s="249"/>
      <c r="L539" s="210"/>
      <c r="M539" s="144"/>
      <c r="N539" s="145" t="str">
        <f>iferror(mround($P404*((VLOOKUP($J539,Sheet1!$D:$N,$G539+1,FALSE)-0.03)),2.5)," ")</f>
        <v> </v>
      </c>
      <c r="O539" s="145" t="str">
        <f>iferror(mround($P404*((VLOOKUP($J539,Sheet1!$D:$N,$G539+1,FALSE)+0.02)),2.5)," ")</f>
        <v> </v>
      </c>
      <c r="P539" s="122"/>
      <c r="Q539" s="304" t="str">
        <f t="shared" si="15"/>
        <v/>
      </c>
      <c r="S539" s="11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</row>
    <row r="540" ht="15.75" hidden="1" customHeight="1">
      <c r="A540" s="90"/>
      <c r="B540" s="6"/>
      <c r="C540" s="90"/>
      <c r="D540" s="185"/>
      <c r="E540" s="264"/>
      <c r="F540" s="187"/>
      <c r="G540" s="187"/>
      <c r="H540" s="195"/>
      <c r="I540" s="164"/>
      <c r="J540" s="248"/>
      <c r="K540" s="251"/>
      <c r="L540" s="164"/>
      <c r="M540" s="134" t="str">
        <f>I405</f>
        <v/>
      </c>
      <c r="N540" s="135" t="str">
        <f>iferror(mround($P405*((VLOOKUP($J540,Sheet1!$D:$N,$G540+1,FALSE)-0.03)),2.5)," ")</f>
        <v> </v>
      </c>
      <c r="O540" s="135" t="str">
        <f>iferror(mround($P405*((VLOOKUP($J540,Sheet1!$D:$N,$G540+1,FALSE)+0.02)),2.5)," ")</f>
        <v> </v>
      </c>
      <c r="P540" s="112" t="str">
        <f>iferror(mround(I540/VLOOKUP(L540,Sheet1!$D$7:$N$16,G540+1,FALSE),2.5),"")</f>
        <v/>
      </c>
      <c r="Q540" s="303" t="str">
        <f t="shared" si="15"/>
        <v/>
      </c>
      <c r="S540" s="11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</row>
    <row r="541" ht="3.75" hidden="1" customHeight="1">
      <c r="A541" s="191"/>
      <c r="B541" s="6"/>
      <c r="C541" s="192"/>
      <c r="D541" s="138"/>
      <c r="E541" s="252"/>
      <c r="F541" s="102"/>
      <c r="G541" s="102"/>
      <c r="H541" s="102"/>
      <c r="I541" s="102"/>
      <c r="J541" s="156"/>
      <c r="K541" s="249"/>
      <c r="L541" s="210"/>
      <c r="M541" s="144"/>
      <c r="N541" s="145"/>
      <c r="O541" s="145"/>
      <c r="P541" s="122"/>
      <c r="Q541" s="304" t="str">
        <f t="shared" si="15"/>
        <v/>
      </c>
      <c r="S541" s="157"/>
      <c r="T541" s="5"/>
      <c r="U541" s="5"/>
      <c r="V541" s="158"/>
      <c r="W541" s="158"/>
      <c r="X541" s="158"/>
      <c r="Y541" s="158"/>
      <c r="Z541" s="158"/>
      <c r="AA541" s="158"/>
      <c r="AB541" s="158"/>
      <c r="AC541" s="158"/>
      <c r="AD541" s="158"/>
      <c r="AE541" s="158"/>
      <c r="AF541" s="158"/>
      <c r="AG541" s="158"/>
    </row>
    <row r="542" ht="15.75" hidden="1" customHeight="1">
      <c r="A542" s="90"/>
      <c r="B542" s="6"/>
      <c r="C542" s="90"/>
      <c r="D542" s="185"/>
      <c r="E542" s="260"/>
      <c r="F542" s="187"/>
      <c r="G542" s="187"/>
      <c r="H542" s="195"/>
      <c r="I542" s="164"/>
      <c r="J542" s="248"/>
      <c r="K542" s="251"/>
      <c r="L542" s="164"/>
      <c r="M542" s="134" t="str">
        <f>I407</f>
        <v/>
      </c>
      <c r="N542" s="135" t="str">
        <f>iferror(mround($P407*((VLOOKUP($J542,Sheet1!$D:$N,$G542+1,FALSE)-0.03)),2.5)," ")</f>
        <v> </v>
      </c>
      <c r="O542" s="135" t="str">
        <f>iferror(mround($P407*((VLOOKUP($J542,Sheet1!$D:$N,$G542+1,FALSE)+0.02)),2.5)," ")</f>
        <v> </v>
      </c>
      <c r="P542" s="112" t="str">
        <f>iferror(mround(I542/VLOOKUP(L542,Sheet1!$D$7:$N$16,G542+1,FALSE),2.5),"")</f>
        <v/>
      </c>
      <c r="Q542" s="303" t="str">
        <f t="shared" si="15"/>
        <v/>
      </c>
      <c r="S542" s="11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</row>
    <row r="543" ht="3.75" hidden="1" customHeight="1">
      <c r="A543" s="90"/>
      <c r="B543" s="6"/>
      <c r="C543" s="90"/>
      <c r="D543" s="263"/>
      <c r="E543" s="252"/>
      <c r="F543" s="102"/>
      <c r="G543" s="102"/>
      <c r="H543" s="102"/>
      <c r="I543" s="102"/>
      <c r="J543" s="156"/>
      <c r="K543" s="249"/>
      <c r="L543" s="210"/>
      <c r="M543" s="144"/>
      <c r="N543" s="145"/>
      <c r="O543" s="145"/>
      <c r="P543" s="122"/>
      <c r="Q543" s="304" t="str">
        <f t="shared" si="15"/>
        <v/>
      </c>
      <c r="S543" s="11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</row>
    <row r="544" ht="15.75" hidden="1" customHeight="1">
      <c r="A544" s="90"/>
      <c r="B544" s="6"/>
      <c r="C544" s="90"/>
      <c r="D544" s="185"/>
      <c r="E544" s="266"/>
      <c r="F544" s="187"/>
      <c r="G544" s="187"/>
      <c r="H544" s="195"/>
      <c r="I544" s="164"/>
      <c r="J544" s="248"/>
      <c r="K544" s="251"/>
      <c r="L544" s="164"/>
      <c r="M544" s="134" t="str">
        <f>I409</f>
        <v/>
      </c>
      <c r="N544" s="135" t="str">
        <f>iferror(mround($P409*((VLOOKUP($J544,Sheet1!$D:$N,$G544+1,FALSE)-0.03)),2.5)," ")</f>
        <v> </v>
      </c>
      <c r="O544" s="135" t="str">
        <f>iferror(mround($P409*((VLOOKUP($J544,Sheet1!$D:$N,$G544+1,FALSE)+0.02)),2.5)," ")</f>
        <v> </v>
      </c>
      <c r="P544" s="112" t="str">
        <f>iferror(mround(I544/VLOOKUP(L544,Sheet1!$D$7:$N$16,G544+1,FALSE),2.5),"")</f>
        <v/>
      </c>
      <c r="Q544" s="303" t="str">
        <f t="shared" si="15"/>
        <v/>
      </c>
      <c r="S544" s="11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</row>
    <row r="545" ht="3.75" customHeight="1">
      <c r="A545" s="191"/>
      <c r="B545" s="6"/>
      <c r="C545" s="192"/>
      <c r="D545" s="192"/>
      <c r="E545" s="267"/>
      <c r="F545" s="194"/>
      <c r="G545" s="194"/>
      <c r="H545" s="155"/>
      <c r="I545" s="210"/>
      <c r="J545" s="268"/>
      <c r="K545" s="249"/>
      <c r="L545" s="269"/>
      <c r="M545" s="270"/>
      <c r="N545" s="269"/>
      <c r="O545" s="269"/>
      <c r="P545" s="271"/>
      <c r="Q545" s="272"/>
      <c r="R545" s="273"/>
      <c r="S545" s="157"/>
      <c r="T545" s="5"/>
      <c r="U545" s="5"/>
      <c r="V545" s="158"/>
      <c r="W545" s="158"/>
      <c r="X545" s="158"/>
      <c r="Y545" s="158"/>
      <c r="Z545" s="158"/>
      <c r="AA545" s="158"/>
      <c r="AB545" s="158"/>
      <c r="AC545" s="158"/>
      <c r="AD545" s="158"/>
      <c r="AE545" s="158"/>
      <c r="AF545" s="158"/>
      <c r="AG545" s="158"/>
    </row>
    <row r="546" ht="14.25" customHeight="1">
      <c r="A546" s="5"/>
      <c r="B546" s="6"/>
      <c r="C546" s="5"/>
      <c r="D546" s="333" t="s">
        <v>113</v>
      </c>
      <c r="E546" s="266"/>
      <c r="F546" s="187"/>
      <c r="G546" s="187"/>
      <c r="H546" s="195"/>
      <c r="I546" s="129"/>
      <c r="J546" s="275"/>
      <c r="K546" s="276"/>
      <c r="L546" s="187"/>
      <c r="M546" s="187"/>
      <c r="N546" s="187"/>
      <c r="O546" s="187"/>
      <c r="P546" s="277"/>
      <c r="Q546" s="278"/>
      <c r="R546" s="279"/>
      <c r="S546" s="11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</row>
    <row r="547" ht="14.25" customHeight="1">
      <c r="A547" s="5"/>
      <c r="B547" s="6"/>
      <c r="C547" s="5"/>
      <c r="D547" s="274" t="s">
        <v>59</v>
      </c>
      <c r="E547" s="266" t="s">
        <v>16</v>
      </c>
      <c r="F547" s="187" t="s">
        <v>17</v>
      </c>
      <c r="G547" s="187" t="s">
        <v>60</v>
      </c>
      <c r="H547" s="187"/>
      <c r="I547" s="280" t="s">
        <v>61</v>
      </c>
      <c r="J547" s="266" t="s">
        <v>62</v>
      </c>
      <c r="K547" s="274"/>
      <c r="L547" s="187"/>
      <c r="M547" s="285"/>
      <c r="N547" s="285"/>
      <c r="O547" s="285"/>
      <c r="P547" s="282"/>
      <c r="Q547" s="278"/>
      <c r="R547" s="157"/>
      <c r="S547" s="11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</row>
    <row r="548" ht="14.25" customHeight="1">
      <c r="A548" s="5"/>
      <c r="B548" s="6"/>
      <c r="C548" s="5"/>
      <c r="D548" s="274" t="s">
        <v>6</v>
      </c>
      <c r="E548" s="283">
        <f>IFERROR(__xludf.DUMMYFUNCTION("SUM(FILTER(F423:F547, ISNUMBER(SEARCH(""squat"", D423:D547))))"),6.0)</f>
        <v>6</v>
      </c>
      <c r="F548" s="284">
        <f>IFERROR(__xludf.DUMMYFUNCTION("SUMPRODUCT(FILTER(F423:F547 * G423:G547, ISNUMBER(SEARCH(""squat"", D423:D547))))"),31.0)</f>
        <v>31</v>
      </c>
      <c r="G548" s="135">
        <f>IFERROR(__xludf.DUMMYFUNCTION("ROUND(SUMPRODUCT(FILTER(F423:F547 * G423:G547 * I423:I547, ISNUMBER(SEARCH(""squat"", D423:D547)))), 0)"),4050.0)</f>
        <v>4050</v>
      </c>
      <c r="H548" s="285"/>
      <c r="I548" s="135" t="str">
        <f>IFERROR(__xludf.DUMMYFUNCTION("ROUND(AVERAGE(FILTER(I423:I547, ISNUMBER(SEARCH(""squat"", D423:D547)), I423:I547 &lt;&gt; """")) / J548 * 100, 0)"),"#VALUE!")</f>
        <v>#VALUE!</v>
      </c>
      <c r="J548" s="283" t="str">
        <f>IFERROR(__xludf.DUMMYFUNCTION("IFERROR(MROUND(AVERAGE(FILTER(P423:P547, D423:D547 = ""comp squat"", P423:P547 &lt;&gt; """", P423:P547 &gt;= 0.9 * MAX(FILTER(P423:P547, D423:D547 = ""comp squat"", P423:P547 &lt;&gt; """")), P423:P547 &lt;= 1.1 * MAX(FILTER(P423:P547, D423:D547 = ""comp squat"", P423:P54"&amp;"7 &lt;&gt; """")))), 2.5), ""No valid data"")"),"No valid data")</f>
        <v>No valid data</v>
      </c>
      <c r="K548" s="286"/>
      <c r="L548" s="287" t="str">
        <f>MROUND(J548/2.2046,2.5)-$O$10</f>
        <v>#VALUE!</v>
      </c>
      <c r="M548" s="305"/>
      <c r="N548" s="305"/>
      <c r="O548" s="305"/>
      <c r="P548" s="282"/>
      <c r="Q548" s="278"/>
      <c r="R548" s="291"/>
      <c r="S548" s="11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</row>
    <row r="549" ht="3.0" customHeight="1">
      <c r="A549" s="5"/>
      <c r="B549" s="6"/>
      <c r="C549" s="5"/>
      <c r="D549" s="90"/>
      <c r="E549" s="156"/>
      <c r="F549" s="102"/>
      <c r="G549" s="145"/>
      <c r="H549" s="102"/>
      <c r="I549" s="145"/>
      <c r="J549" s="156"/>
      <c r="K549" s="286"/>
      <c r="L549" s="292"/>
      <c r="M549" s="284"/>
      <c r="N549" s="284"/>
      <c r="O549" s="305"/>
      <c r="P549" s="282"/>
      <c r="Q549" s="278"/>
      <c r="R549" s="115"/>
      <c r="S549" s="11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</row>
    <row r="550" ht="15.75" customHeight="1">
      <c r="A550" s="5"/>
      <c r="B550" s="6"/>
      <c r="C550" s="5"/>
      <c r="D550" s="274" t="s">
        <v>66</v>
      </c>
      <c r="E550" s="293">
        <f>IFERROR(__xludf.DUMMYFUNCTION("SUM(FILTER(F423:F547, ISNUMBER(SEARCH(""bench press"", D423:D547))))"),18.0)</f>
        <v>18</v>
      </c>
      <c r="F550" s="284">
        <f>IFERROR(__xludf.DUMMYFUNCTION("SUMPRODUCT(FILTER(F424:F548 * G424:G548, ISNUMBER(SEARCH(""bench press"", D424:D548))))"),68.0)</f>
        <v>68</v>
      </c>
      <c r="G550" s="135">
        <f>IFERROR(__xludf.DUMMYFUNCTION("ROUND(SUMPRODUCT(FILTER(F423:F547 * G423:G547 * I423:I547, ISNUMBER(SEARCH(""bench press"", D423:D547)))), 0)"),6305.0)</f>
        <v>6305</v>
      </c>
      <c r="H550" s="285"/>
      <c r="I550" s="135">
        <f>IFERROR(__xludf.DUMMYFUNCTION("ROUND(AVERAGE(FILTER(I423:I547, ISNUMBER(SEARCH(""bench press"", D423:D547)), I423:I547 &lt;&gt; """")) / J550 * 100, 0)"),48.0)</f>
        <v>48</v>
      </c>
      <c r="J550" s="293">
        <f>IFERROR(__xludf.DUMMYFUNCTION("IFERROR(MROUND(AVERAGE(FILTER(P423:P547, D423:D547 = ""comp bench press"", P423:P547 &lt;&gt; """", P423:P547 &gt;= 0.9 * MAX(FILTER(P423:P547, D423:D547 = ""comp bench press"", P423:P547 &lt;&gt; """")), P423:P547 &lt;= 1.1 * MAX(FILTER(P423:P547, D423:D547 = ""comp bench"&amp;" press"", P423:P547 &lt;&gt; """")))), 2.5), ""No valid data"")"),355.0)</f>
        <v>355</v>
      </c>
      <c r="K550" s="286"/>
      <c r="L550" s="294">
        <f>MROUND(J550/2.2046,2.5)-$O$11</f>
        <v>7.5</v>
      </c>
      <c r="M550" s="285"/>
      <c r="N550" s="285"/>
      <c r="O550" s="305"/>
      <c r="P550" s="282"/>
      <c r="Q550" s="278"/>
      <c r="R550" s="157"/>
      <c r="S550" s="11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</row>
    <row r="551" ht="3.0" customHeight="1">
      <c r="A551" s="5"/>
      <c r="B551" s="6"/>
      <c r="C551" s="5"/>
      <c r="D551" s="90"/>
      <c r="E551" s="156"/>
      <c r="F551" s="102"/>
      <c r="G551" s="145"/>
      <c r="H551" s="102"/>
      <c r="I551" s="145"/>
      <c r="J551" s="156"/>
      <c r="K551" s="286"/>
      <c r="L551" s="292"/>
      <c r="M551" s="285"/>
      <c r="N551" s="285"/>
      <c r="O551" s="284"/>
      <c r="P551" s="282"/>
      <c r="Q551" s="278"/>
      <c r="R551" s="157"/>
      <c r="S551" s="11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</row>
    <row r="552" ht="14.25" customHeight="1">
      <c r="A552" s="5"/>
      <c r="B552" s="6"/>
      <c r="C552" s="5"/>
      <c r="D552" s="274" t="s">
        <v>10</v>
      </c>
      <c r="E552" s="293">
        <f>IFERROR(__xludf.DUMMYFUNCTION("SUM(FILTER(F423:F547, ISNUMBER(SEARCH(""deadlift"", D423:D547))))"),6.0)</f>
        <v>6</v>
      </c>
      <c r="F552" s="284">
        <f>IFERROR(__xludf.DUMMYFUNCTION("SUMPRODUCT(FILTER(F423:F547 * G423:G547, ISNUMBER(SEARCH(""deadlift"", D423:D547))))"),20.0)</f>
        <v>20</v>
      </c>
      <c r="G552" s="135">
        <f>IFERROR(__xludf.DUMMYFUNCTION("ROUND(SUMPRODUCT(FILTER(F423:F547 * G423:G547 * I423:I547, ISNUMBER(SEARCH(""deadlift"", D423:D547)))), 0)"),4097.0)</f>
        <v>4097</v>
      </c>
      <c r="H552" s="285"/>
      <c r="I552" s="135" t="str">
        <f>IFERROR(__xludf.DUMMYFUNCTION("ROUND(AVERAGE(FILTER(I423:I547, ISNUMBER(SEARCH(""deadlift"", D423:D547)), I423:I547 &lt;&gt; """")) / J552 * 100, 0)"),"#VALUE!")</f>
        <v>#VALUE!</v>
      </c>
      <c r="J552" s="293" t="str">
        <f>IFERROR(__xludf.DUMMYFUNCTION("IFERROR(MROUND(AVERAGE(FILTER(P423:P547, D423:D547 = ""comp deadlift"", P423:P547 &lt;&gt; """", P423:P547 &gt;= 0.9 * MAX(FILTER(P423:P547, D423:D547 = ""comp deadlift"", P423:P547 &lt;&gt; """")), P423:P547 &lt;= 1.1 * MAX(FILTER(P423:P547, D423:D547 = ""comp deadlift"","&amp;" P423:P547 &lt;&gt; """")))), 2.5), ""No valid data"")"),"No valid data")</f>
        <v>No valid data</v>
      </c>
      <c r="K552" s="286"/>
      <c r="L552" s="294" t="str">
        <f>MROUND(J552/2.2046,2.5)-$O$12</f>
        <v>#VALUE!</v>
      </c>
      <c r="M552" s="285"/>
      <c r="N552" s="285"/>
      <c r="O552" s="285"/>
      <c r="P552" s="282"/>
      <c r="Q552" s="278"/>
      <c r="R552" s="157"/>
      <c r="S552" s="11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</row>
    <row r="553" ht="14.25" customHeight="1">
      <c r="A553" s="5"/>
      <c r="B553" s="6"/>
      <c r="C553" s="5"/>
      <c r="D553" s="274"/>
      <c r="E553" s="266"/>
      <c r="F553" s="187"/>
      <c r="G553" s="187"/>
      <c r="H553" s="187"/>
      <c r="I553" s="187"/>
      <c r="J553" s="295"/>
      <c r="K553" s="274"/>
      <c r="L553" s="187"/>
      <c r="M553" s="285"/>
      <c r="N553" s="285"/>
      <c r="O553" s="285"/>
      <c r="P553" s="282"/>
      <c r="Q553" s="278"/>
      <c r="R553" s="157"/>
      <c r="S553" s="11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</row>
    <row r="554" ht="14.25" customHeight="1">
      <c r="A554" s="5"/>
      <c r="B554" s="2"/>
      <c r="C554" s="5"/>
      <c r="D554" s="5"/>
      <c r="E554" s="75"/>
      <c r="F554" s="3"/>
      <c r="G554" s="3"/>
      <c r="H554" s="3"/>
      <c r="I554" s="3"/>
      <c r="J554" s="75"/>
      <c r="K554" s="5"/>
      <c r="L554" s="3"/>
      <c r="M554" s="47"/>
      <c r="N554" s="3"/>
      <c r="O554" s="3"/>
      <c r="P554" s="3"/>
      <c r="Q554" s="4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</row>
    <row r="555" ht="18.75" customHeight="1">
      <c r="A555" s="90"/>
      <c r="B555" s="6"/>
      <c r="C555" s="91"/>
      <c r="D555" s="79" t="s">
        <v>72</v>
      </c>
      <c r="E555" s="80" t="s">
        <v>13</v>
      </c>
      <c r="G555" s="81"/>
      <c r="H555" s="81"/>
      <c r="I555" s="81"/>
      <c r="J555" s="82"/>
      <c r="K555" s="83"/>
      <c r="L555" s="83"/>
      <c r="M555" s="93"/>
      <c r="N555" s="93"/>
      <c r="O555" s="93"/>
      <c r="P555" s="296"/>
      <c r="Q555" s="297"/>
      <c r="R555" s="298"/>
      <c r="S555" s="10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</row>
    <row r="556" ht="18.75" customHeight="1">
      <c r="A556" s="90"/>
      <c r="B556" s="6"/>
      <c r="C556" s="91"/>
      <c r="D556" s="299" t="s">
        <v>74</v>
      </c>
      <c r="E556" s="300" t="str">
        <f>IF(E421 = "", "", E421 - 1)</f>
        <v/>
      </c>
      <c r="G556" s="301"/>
      <c r="H556" s="301"/>
      <c r="I556" s="301"/>
      <c r="J556" s="92"/>
      <c r="K556" s="93"/>
      <c r="L556" s="93"/>
      <c r="M556" s="93"/>
      <c r="N556" s="93"/>
      <c r="O556" s="93"/>
      <c r="P556" s="94"/>
      <c r="Q556" s="95"/>
      <c r="R556" s="96"/>
      <c r="S556" s="10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</row>
    <row r="557" ht="5.25" customHeight="1">
      <c r="A557" s="90"/>
      <c r="B557" s="6"/>
      <c r="C557" s="90"/>
      <c r="D557" s="97"/>
      <c r="E557" s="98"/>
      <c r="F557" s="99"/>
      <c r="G557" s="99"/>
      <c r="H557" s="99"/>
      <c r="I557" s="100"/>
      <c r="J557" s="101"/>
      <c r="K557" s="90"/>
      <c r="L557" s="102"/>
      <c r="M557" s="102"/>
      <c r="N557" s="102"/>
      <c r="O557" s="102"/>
      <c r="P557" s="103"/>
      <c r="Q557" s="4"/>
      <c r="R557" s="90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</row>
    <row r="558" ht="30.75" customHeight="1">
      <c r="A558" s="90"/>
      <c r="B558" s="6"/>
      <c r="C558" s="90"/>
      <c r="D558" s="202" t="s">
        <v>73</v>
      </c>
      <c r="E558" s="105" t="s">
        <v>75</v>
      </c>
      <c r="F558" s="106" t="s">
        <v>16</v>
      </c>
      <c r="G558" s="106" t="s">
        <v>17</v>
      </c>
      <c r="H558" s="107"/>
      <c r="I558" s="106" t="s">
        <v>18</v>
      </c>
      <c r="J558" s="108" t="s">
        <v>19</v>
      </c>
      <c r="L558" s="109" t="s">
        <v>20</v>
      </c>
      <c r="M558" s="110" t="s">
        <v>21</v>
      </c>
      <c r="N558" s="111" t="s">
        <v>22</v>
      </c>
      <c r="P558" s="112"/>
      <c r="Q558" s="113" t="s">
        <v>23</v>
      </c>
      <c r="R558" s="114" t="s">
        <v>24</v>
      </c>
      <c r="S558" s="11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</row>
    <row r="559" ht="14.25" customHeight="1">
      <c r="A559" s="90"/>
      <c r="B559" s="6"/>
      <c r="C559" s="90"/>
      <c r="D559" s="116" t="s">
        <v>25</v>
      </c>
      <c r="E559" s="117" t="s">
        <v>76</v>
      </c>
      <c r="H559" s="107"/>
      <c r="N559" s="111" t="s">
        <v>27</v>
      </c>
      <c r="O559" s="111" t="s">
        <v>28</v>
      </c>
      <c r="P559" s="112" t="s">
        <v>29</v>
      </c>
      <c r="R559" s="118" t="s">
        <v>30</v>
      </c>
      <c r="S559" s="11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</row>
    <row r="560" ht="3.75" customHeight="1">
      <c r="A560" s="90"/>
      <c r="B560" s="6"/>
      <c r="C560" s="90"/>
      <c r="D560" s="97"/>
      <c r="E560" s="98"/>
      <c r="F560" s="99"/>
      <c r="G560" s="99"/>
      <c r="H560" s="99"/>
      <c r="I560" s="100"/>
      <c r="J560" s="302"/>
      <c r="K560" s="90"/>
      <c r="L560" s="102"/>
      <c r="M560" s="121"/>
      <c r="N560" s="102"/>
      <c r="O560" s="102"/>
      <c r="P560" s="122"/>
      <c r="Q560" s="4"/>
      <c r="R560" s="123"/>
      <c r="S560" s="11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</row>
    <row r="561" ht="15.75" customHeight="1">
      <c r="A561" s="124"/>
      <c r="B561" s="6"/>
      <c r="C561" s="124"/>
      <c r="D561" s="125" t="s">
        <v>77</v>
      </c>
      <c r="E561" s="126"/>
      <c r="F561" s="127">
        <v>1.0</v>
      </c>
      <c r="G561" s="240">
        <v>6.0</v>
      </c>
      <c r="H561" s="129"/>
      <c r="I561" s="130">
        <v>335.0</v>
      </c>
      <c r="J561" s="151">
        <v>5.0</v>
      </c>
      <c r="K561" s="132"/>
      <c r="L561" s="133">
        <v>4.0</v>
      </c>
      <c r="M561" s="134" t="str">
        <f>I426</f>
        <v/>
      </c>
      <c r="N561" s="135">
        <f>iferror(mround($P426*((VLOOKUP($J561,Sheet1!$D:$N,$G561+1,FALSE)-0.03)),2.5)," ")</f>
        <v>0</v>
      </c>
      <c r="O561" s="135">
        <f>iferror(mround($P426*((VLOOKUP($J561,Sheet1!$D:$N,$G561+1,FALSE)+0.02)),2.5)," ")</f>
        <v>0</v>
      </c>
      <c r="P561" s="56" t="str">
        <f>iferror(mround(I561/VLOOKUP(L561,Sheet1!$D$7:$N$16,G561+1,FALSE),2.5),"")</f>
        <v/>
      </c>
      <c r="Q561" s="303" t="str">
        <f t="shared" ref="Q561:Q582" si="16">IF(OR(ISBLANK(I561), ISBLANK(I426)), "", IF(I561 - I426 = 0, "", I561 - I426))</f>
        <v/>
      </c>
      <c r="S561" s="11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</row>
    <row r="562" ht="3.75" customHeight="1">
      <c r="A562" s="137"/>
      <c r="B562" s="70"/>
      <c r="C562" s="137"/>
      <c r="D562" s="138"/>
      <c r="E562" s="139"/>
      <c r="F562" s="140"/>
      <c r="G562" s="140"/>
      <c r="H562" s="140"/>
      <c r="I562" s="140"/>
      <c r="J562" s="141"/>
      <c r="K562" s="142"/>
      <c r="L562" s="143"/>
      <c r="M562" s="144"/>
      <c r="N562" s="145"/>
      <c r="O562" s="145"/>
      <c r="P562" s="122"/>
      <c r="Q562" s="304" t="str">
        <f t="shared" si="16"/>
        <v/>
      </c>
      <c r="S562" s="147"/>
      <c r="T562" s="148"/>
      <c r="U562" s="148"/>
      <c r="V562" s="148"/>
      <c r="W562" s="148"/>
      <c r="X562" s="148"/>
      <c r="Y562" s="148"/>
      <c r="Z562" s="148"/>
      <c r="AA562" s="148"/>
      <c r="AB562" s="148"/>
      <c r="AC562" s="148"/>
      <c r="AD562" s="148"/>
      <c r="AE562" s="148"/>
      <c r="AF562" s="148"/>
      <c r="AG562" s="148"/>
    </row>
    <row r="563" ht="15.75" customHeight="1">
      <c r="A563" s="149"/>
      <c r="B563" s="150"/>
      <c r="C563" s="149"/>
      <c r="D563" s="125" t="s">
        <v>77</v>
      </c>
      <c r="E563" s="126"/>
      <c r="F563" s="127">
        <v>1.0</v>
      </c>
      <c r="G563" s="240">
        <v>6.0</v>
      </c>
      <c r="H563" s="129"/>
      <c r="I563" s="130">
        <v>360.0</v>
      </c>
      <c r="J563" s="151">
        <v>6.0</v>
      </c>
      <c r="K563" s="132"/>
      <c r="L563" s="133">
        <v>5.0</v>
      </c>
      <c r="M563" s="134" t="str">
        <f>I428</f>
        <v/>
      </c>
      <c r="N563" s="135">
        <f>iferror(mround($P428*((VLOOKUP($J563,Sheet1!$D:$N,$G563+1,FALSE)-0.03)),2.5)," ")</f>
        <v>0</v>
      </c>
      <c r="O563" s="135">
        <f>iferror(mround($P428*((VLOOKUP($J563,Sheet1!$D:$N,$G563+1,FALSE)+0.02)),2.5)," ")</f>
        <v>0</v>
      </c>
      <c r="P563" s="56" t="str">
        <f>iferror(mround(I563/VLOOKUP(L563,Sheet1!$D$7:$N$16,G563+1,FALSE),2.5),"")</f>
        <v/>
      </c>
      <c r="Q563" s="303" t="str">
        <f t="shared" si="16"/>
        <v/>
      </c>
      <c r="S563" s="11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</row>
    <row r="564" ht="3.75" customHeight="1">
      <c r="A564" s="152"/>
      <c r="B564" s="150"/>
      <c r="C564" s="153"/>
      <c r="D564" s="138"/>
      <c r="E564" s="154"/>
      <c r="F564" s="155"/>
      <c r="G564" s="102"/>
      <c r="H564" s="102"/>
      <c r="I564" s="102"/>
      <c r="J564" s="156"/>
      <c r="K564" s="142"/>
      <c r="L564" s="143"/>
      <c r="M564" s="144"/>
      <c r="N564" s="145"/>
      <c r="O564" s="145"/>
      <c r="P564" s="122"/>
      <c r="Q564" s="304" t="str">
        <f t="shared" si="16"/>
        <v/>
      </c>
      <c r="S564" s="157"/>
      <c r="T564" s="5"/>
      <c r="U564" s="5"/>
      <c r="V564" s="158"/>
      <c r="W564" s="158"/>
      <c r="X564" s="158"/>
      <c r="Y564" s="158"/>
      <c r="Z564" s="158"/>
      <c r="AA564" s="158"/>
      <c r="AB564" s="158"/>
      <c r="AC564" s="158"/>
      <c r="AD564" s="158"/>
      <c r="AE564" s="158"/>
      <c r="AF564" s="158"/>
      <c r="AG564" s="158"/>
    </row>
    <row r="565" ht="15.75" customHeight="1">
      <c r="A565" s="149"/>
      <c r="B565" s="150"/>
      <c r="C565" s="149"/>
      <c r="D565" s="125" t="s">
        <v>77</v>
      </c>
      <c r="E565" s="126"/>
      <c r="F565" s="127">
        <v>1.0</v>
      </c>
      <c r="G565" s="161">
        <v>5.0</v>
      </c>
      <c r="H565" s="129"/>
      <c r="I565" s="164">
        <f>MROUND(I563*(1+J565),5)</f>
        <v>315</v>
      </c>
      <c r="J565" s="165">
        <v>-0.12</v>
      </c>
      <c r="K565" s="132"/>
      <c r="L565" s="133">
        <v>4.0</v>
      </c>
      <c r="M565" s="134">
        <f>I430</f>
        <v>0</v>
      </c>
      <c r="N565" s="135" t="str">
        <f>iferror(mround($P430*((VLOOKUP($J565,Sheet1!$D:$N,$G565+1,FALSE)-0.03)),2.5)," ")</f>
        <v> </v>
      </c>
      <c r="O565" s="135" t="str">
        <f>iferror(mround($P430*((VLOOKUP($J565,Sheet1!$D:$N,$G565+1,FALSE)+0.02)),2.5)," ")</f>
        <v> </v>
      </c>
      <c r="P565" s="56" t="str">
        <f>iferror(mround(I565/VLOOKUP(L565,Sheet1!$D$7:$N$16,G565+1,FALSE),2.5),"")</f>
        <v/>
      </c>
      <c r="Q565" s="303">
        <f t="shared" si="16"/>
        <v>315</v>
      </c>
      <c r="S565" s="11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</row>
    <row r="566" ht="3.75" customHeight="1">
      <c r="A566" s="162"/>
      <c r="B566" s="163"/>
      <c r="C566" s="162"/>
      <c r="D566" s="138"/>
      <c r="E566" s="154"/>
      <c r="F566" s="155"/>
      <c r="G566" s="102"/>
      <c r="H566" s="102"/>
      <c r="I566" s="102"/>
      <c r="J566" s="156"/>
      <c r="K566" s="142"/>
      <c r="L566" s="143"/>
      <c r="M566" s="144"/>
      <c r="N566" s="145"/>
      <c r="O566" s="145"/>
      <c r="P566" s="122"/>
      <c r="Q566" s="304" t="str">
        <f t="shared" si="16"/>
        <v/>
      </c>
      <c r="S566" s="147"/>
      <c r="T566" s="148"/>
      <c r="U566" s="148"/>
      <c r="V566" s="148"/>
      <c r="W566" s="148"/>
      <c r="X566" s="148"/>
      <c r="Y566" s="148"/>
      <c r="Z566" s="148"/>
      <c r="AA566" s="148"/>
      <c r="AB566" s="148"/>
      <c r="AC566" s="148"/>
      <c r="AD566" s="148"/>
      <c r="AE566" s="148"/>
      <c r="AF566" s="148"/>
      <c r="AG566" s="148"/>
    </row>
    <row r="567" ht="15.75" customHeight="1">
      <c r="A567" s="149"/>
      <c r="B567" s="150"/>
      <c r="C567" s="149"/>
      <c r="D567" s="159" t="s">
        <v>33</v>
      </c>
      <c r="E567" s="160" t="s">
        <v>34</v>
      </c>
      <c r="F567" s="127">
        <v>1.0</v>
      </c>
      <c r="G567" s="161">
        <v>5.0</v>
      </c>
      <c r="H567" s="129"/>
      <c r="I567" s="130">
        <v>265.0</v>
      </c>
      <c r="J567" s="151">
        <v>7.0</v>
      </c>
      <c r="K567" s="132"/>
      <c r="L567" s="133">
        <v>7.0</v>
      </c>
      <c r="M567" s="134" t="str">
        <f>I432</f>
        <v/>
      </c>
      <c r="N567" s="135">
        <f>iferror(mround($P432*((VLOOKUP($J567,Sheet1!$D:$N,$G567+1,FALSE)-0.03)),2.5)," ")</f>
        <v>0</v>
      </c>
      <c r="O567" s="135">
        <f>iferror(mround($P432*((VLOOKUP($J567,Sheet1!$D:$N,$G567+1,FALSE)+0.02)),2.5)," ")</f>
        <v>0</v>
      </c>
      <c r="P567" s="56">
        <f>iferror(mround(I567/VLOOKUP(L567,Sheet1!$D$7:$N$16,G567+1,FALSE),2.5),"")</f>
        <v>335</v>
      </c>
      <c r="Q567" s="303" t="str">
        <f t="shared" si="16"/>
        <v/>
      </c>
      <c r="S567" s="11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</row>
    <row r="568" ht="3.75" customHeight="1">
      <c r="A568" s="162"/>
      <c r="B568" s="163"/>
      <c r="C568" s="162"/>
      <c r="D568" s="138"/>
      <c r="E568" s="139"/>
      <c r="F568" s="140"/>
      <c r="G568" s="140"/>
      <c r="H568" s="140"/>
      <c r="I568" s="140"/>
      <c r="J568" s="141"/>
      <c r="K568" s="142"/>
      <c r="L568" s="143"/>
      <c r="M568" s="144"/>
      <c r="N568" s="145"/>
      <c r="O568" s="145"/>
      <c r="P568" s="122"/>
      <c r="Q568" s="304" t="str">
        <f t="shared" si="16"/>
        <v/>
      </c>
      <c r="S568" s="147"/>
      <c r="T568" s="148"/>
      <c r="U568" s="148"/>
      <c r="V568" s="148"/>
      <c r="W568" s="148"/>
      <c r="X568" s="148"/>
      <c r="Y568" s="148"/>
      <c r="Z568" s="148"/>
      <c r="AA568" s="148"/>
      <c r="AB568" s="148"/>
      <c r="AC568" s="148"/>
      <c r="AD568" s="148"/>
      <c r="AE568" s="148"/>
      <c r="AF568" s="148"/>
      <c r="AG568" s="148"/>
    </row>
    <row r="569" ht="15.75" customHeight="1">
      <c r="A569" s="90"/>
      <c r="B569" s="6"/>
      <c r="C569" s="90"/>
      <c r="D569" s="159" t="s">
        <v>33</v>
      </c>
      <c r="E569" s="160" t="s">
        <v>34</v>
      </c>
      <c r="F569" s="127">
        <v>2.0</v>
      </c>
      <c r="G569" s="161">
        <v>5.0</v>
      </c>
      <c r="H569" s="129"/>
      <c r="I569" s="164">
        <f>MROUND(I567*(1+J569),5)</f>
        <v>240</v>
      </c>
      <c r="J569" s="165">
        <v>-0.1</v>
      </c>
      <c r="K569" s="132"/>
      <c r="L569" s="133">
        <v>5.0</v>
      </c>
      <c r="M569" s="134">
        <f>I434</f>
        <v>0</v>
      </c>
      <c r="N569" s="135" t="str">
        <f>iferror(mround($P434*((VLOOKUP($J569,Sheet1!$D:$N,$G569+1,FALSE)-0.03)),2.5)," ")</f>
        <v> </v>
      </c>
      <c r="O569" s="135" t="str">
        <f>iferror(mround($P434*((VLOOKUP($J569,Sheet1!$D:$N,$G569+1,FALSE)+0.02)),2.5)," ")</f>
        <v> </v>
      </c>
      <c r="P569" s="56" t="str">
        <f>iferror(mround(I569/VLOOKUP(L569,Sheet1!$D$7:$N$16,G569+1,FALSE),2.5),"")</f>
        <v/>
      </c>
      <c r="Q569" s="303">
        <f t="shared" si="16"/>
        <v>240</v>
      </c>
      <c r="S569" s="11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</row>
    <row r="570" ht="3.75" customHeight="1">
      <c r="A570" s="168"/>
      <c r="B570" s="70"/>
      <c r="C570" s="168"/>
      <c r="D570" s="138"/>
      <c r="E570" s="139"/>
      <c r="F570" s="102"/>
      <c r="G570" s="102"/>
      <c r="H570" s="102"/>
      <c r="I570" s="102"/>
      <c r="J570" s="156"/>
      <c r="K570" s="142"/>
      <c r="L570" s="143"/>
      <c r="M570" s="144"/>
      <c r="N570" s="145"/>
      <c r="O570" s="145"/>
      <c r="P570" s="122"/>
      <c r="Q570" s="304" t="str">
        <f t="shared" si="16"/>
        <v/>
      </c>
      <c r="S570" s="147"/>
      <c r="T570" s="148"/>
      <c r="U570" s="148"/>
      <c r="V570" s="148"/>
      <c r="W570" s="148"/>
      <c r="X570" s="148"/>
      <c r="Y570" s="148"/>
      <c r="Z570" s="148"/>
      <c r="AA570" s="148"/>
      <c r="AB570" s="148"/>
      <c r="AC570" s="148"/>
      <c r="AD570" s="148"/>
      <c r="AE570" s="148"/>
      <c r="AF570" s="148"/>
      <c r="AG570" s="148"/>
    </row>
    <row r="571" ht="15.75" customHeight="1">
      <c r="A571" s="90"/>
      <c r="B571" s="6"/>
      <c r="C571" s="90"/>
      <c r="D571" s="166" t="s">
        <v>35</v>
      </c>
      <c r="E571" s="160"/>
      <c r="F571" s="127">
        <v>1.0</v>
      </c>
      <c r="G571" s="161">
        <v>7.0</v>
      </c>
      <c r="H571" s="129"/>
      <c r="I571" s="130">
        <v>245.0</v>
      </c>
      <c r="J571" s="151">
        <v>8.0</v>
      </c>
      <c r="K571" s="170" t="s">
        <v>80</v>
      </c>
      <c r="L571" s="133">
        <v>8.0</v>
      </c>
      <c r="M571" s="134" t="str">
        <f>I436</f>
        <v/>
      </c>
      <c r="N571" s="135">
        <f>iferror(mround($P436*((VLOOKUP($J571,Sheet1!$D:$N,$G571+1,FALSE)-0.03)),2.5)," ")</f>
        <v>0</v>
      </c>
      <c r="O571" s="135">
        <f>iferror(mround($P436*((VLOOKUP($J571,Sheet1!$D:$N,$G571+1,FALSE)+0.02)),2.5)," ")</f>
        <v>0</v>
      </c>
      <c r="P571" s="56">
        <f>iferror(mround(I571/VLOOKUP(L571,Sheet1!$D$7:$N$16,G571+1,FALSE),2.5),"")</f>
        <v>320</v>
      </c>
      <c r="Q571" s="303" t="str">
        <f t="shared" si="16"/>
        <v/>
      </c>
      <c r="S571" s="11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</row>
    <row r="572" ht="3.75" customHeight="1">
      <c r="A572" s="90"/>
      <c r="B572" s="6"/>
      <c r="C572" s="90"/>
      <c r="D572" s="171"/>
      <c r="E572" s="172"/>
      <c r="F572" s="173"/>
      <c r="G572" s="173"/>
      <c r="H572" s="173"/>
      <c r="I572" s="173"/>
      <c r="J572" s="174"/>
      <c r="K572" s="142"/>
      <c r="L572" s="143"/>
      <c r="M572" s="144"/>
      <c r="N572" s="145"/>
      <c r="O572" s="145"/>
      <c r="P572" s="122"/>
      <c r="Q572" s="304" t="str">
        <f t="shared" si="16"/>
        <v/>
      </c>
      <c r="S572" s="11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</row>
    <row r="573" ht="15.75" customHeight="1">
      <c r="A573" s="90"/>
      <c r="B573" s="6"/>
      <c r="C573" s="90"/>
      <c r="D573" s="166" t="s">
        <v>37</v>
      </c>
      <c r="E573" s="160" t="s">
        <v>81</v>
      </c>
      <c r="F573" s="127">
        <v>2.0</v>
      </c>
      <c r="G573" s="169">
        <v>45577.0</v>
      </c>
      <c r="H573" s="129"/>
      <c r="I573" s="130">
        <v>320.0</v>
      </c>
      <c r="J573" s="151">
        <v>7.0</v>
      </c>
      <c r="K573" s="132"/>
      <c r="L573" s="133">
        <v>7.0</v>
      </c>
      <c r="M573" s="134" t="str">
        <f>I438</f>
        <v/>
      </c>
      <c r="N573" s="135" t="str">
        <f>iferror(mround($P438*((VLOOKUP($J573,Sheet1!$D:$N,$G573+1,FALSE)-0.03)),2.5)," ")</f>
        <v> </v>
      </c>
      <c r="O573" s="135" t="str">
        <f>iferror(mround($P438*((VLOOKUP($J573,Sheet1!$D:$N,$G573+1,FALSE)+0.02)),2.5)," ")</f>
        <v> </v>
      </c>
      <c r="P573" s="56" t="str">
        <f>iferror(mround(I573/VLOOKUP(L573,Sheet1!$D$7:$N$16,G573+1,FALSE),2.5),"")</f>
        <v/>
      </c>
      <c r="Q573" s="303" t="str">
        <f t="shared" si="16"/>
        <v/>
      </c>
      <c r="S573" s="11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</row>
    <row r="574" ht="3.75" customHeight="1">
      <c r="A574" s="90"/>
      <c r="B574" s="6"/>
      <c r="C574" s="90"/>
      <c r="D574" s="171"/>
      <c r="E574" s="172"/>
      <c r="F574" s="173"/>
      <c r="G574" s="173"/>
      <c r="H574" s="173"/>
      <c r="I574" s="173"/>
      <c r="J574" s="174"/>
      <c r="K574" s="142"/>
      <c r="L574" s="143"/>
      <c r="M574" s="144"/>
      <c r="N574" s="145"/>
      <c r="O574" s="145"/>
      <c r="P574" s="122"/>
      <c r="Q574" s="304" t="str">
        <f t="shared" si="16"/>
        <v/>
      </c>
      <c r="S574" s="11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</row>
    <row r="575" ht="15.75" hidden="1" customHeight="1">
      <c r="A575" s="90"/>
      <c r="B575" s="6"/>
      <c r="C575" s="90"/>
      <c r="D575" s="175" t="s">
        <v>40</v>
      </c>
      <c r="E575" s="176"/>
      <c r="F575" s="177">
        <v>3.0</v>
      </c>
      <c r="G575" s="178" t="s">
        <v>41</v>
      </c>
      <c r="H575" s="179"/>
      <c r="I575" s="180"/>
      <c r="J575" s="181">
        <v>8.0</v>
      </c>
      <c r="K575" s="182"/>
      <c r="L575" s="183"/>
      <c r="M575" s="134" t="str">
        <f>I440</f>
        <v/>
      </c>
      <c r="N575" s="135" t="str">
        <f>iferror(mround($P440*((VLOOKUP($J575,Sheet1!$D:$N,$G575+1,FALSE)-0.03)),2.5)," ")</f>
        <v> </v>
      </c>
      <c r="O575" s="135" t="str">
        <f>iferror(mround($P440*((VLOOKUP($J575,Sheet1!$D:$N,$G575+1,FALSE)+0.02)),2.5)," ")</f>
        <v> </v>
      </c>
      <c r="P575" s="56" t="str">
        <f>iferror(mround(I575/VLOOKUP(L575,Sheet1!$D$7:$N$16,G575+1,FALSE),2.5),"")</f>
        <v/>
      </c>
      <c r="Q575" s="303" t="str">
        <f t="shared" si="16"/>
        <v/>
      </c>
      <c r="S575" s="11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</row>
    <row r="576" ht="3.75" hidden="1" customHeight="1">
      <c r="A576" s="90"/>
      <c r="B576" s="6"/>
      <c r="C576" s="90"/>
      <c r="D576" s="138"/>
      <c r="E576" s="184"/>
      <c r="F576" s="102"/>
      <c r="G576" s="102"/>
      <c r="H576" s="102"/>
      <c r="I576" s="102"/>
      <c r="J576" s="156"/>
      <c r="K576" s="103"/>
      <c r="L576" s="143"/>
      <c r="M576" s="144"/>
      <c r="N576" s="145"/>
      <c r="O576" s="145"/>
      <c r="P576" s="122"/>
      <c r="Q576" s="304" t="str">
        <f t="shared" si="16"/>
        <v/>
      </c>
      <c r="S576" s="11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</row>
    <row r="577" ht="15.75" hidden="1" customHeight="1">
      <c r="A577" s="90"/>
      <c r="B577" s="6"/>
      <c r="C577" s="90"/>
      <c r="D577" s="185"/>
      <c r="E577" s="186"/>
      <c r="F577" s="187"/>
      <c r="G577" s="188"/>
      <c r="H577" s="129"/>
      <c r="I577" s="164"/>
      <c r="J577" s="189"/>
      <c r="K577" s="190"/>
      <c r="L577" s="183"/>
      <c r="M577" s="134" t="str">
        <f>I442</f>
        <v/>
      </c>
      <c r="N577" s="135" t="str">
        <f>iferror(mround($P442*((VLOOKUP($J577,Sheet1!$D:$N,$G577+1,FALSE)-0.03)),2.5)," ")</f>
        <v> </v>
      </c>
      <c r="O577" s="135" t="str">
        <f>iferror(mround($P442*((VLOOKUP($J577,Sheet1!$D:$N,$G577+1,FALSE)+0.02)),2.5)," ")</f>
        <v> </v>
      </c>
      <c r="P577" s="56" t="str">
        <f>iferror(mround(I577/VLOOKUP(L577,Sheet1!$D$7:$N$16,G577+1,FALSE),2.5),"")</f>
        <v/>
      </c>
      <c r="Q577" s="303" t="str">
        <f t="shared" si="16"/>
        <v/>
      </c>
      <c r="S577" s="11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</row>
    <row r="578" ht="3.75" hidden="1" customHeight="1">
      <c r="A578" s="191"/>
      <c r="B578" s="6"/>
      <c r="C578" s="192"/>
      <c r="D578" s="138"/>
      <c r="E578" s="193"/>
      <c r="F578" s="194"/>
      <c r="G578" s="155"/>
      <c r="H578" s="102"/>
      <c r="I578" s="102"/>
      <c r="J578" s="156"/>
      <c r="K578" s="103"/>
      <c r="L578" s="143"/>
      <c r="M578" s="144"/>
      <c r="N578" s="145"/>
      <c r="O578" s="145"/>
      <c r="P578" s="122"/>
      <c r="Q578" s="304" t="str">
        <f t="shared" si="16"/>
        <v/>
      </c>
      <c r="S578" s="157"/>
      <c r="T578" s="5"/>
      <c r="U578" s="5"/>
      <c r="V578" s="158"/>
      <c r="W578" s="158"/>
      <c r="X578" s="158"/>
      <c r="Y578" s="158"/>
      <c r="Z578" s="158"/>
      <c r="AA578" s="158"/>
      <c r="AB578" s="158"/>
      <c r="AC578" s="158"/>
      <c r="AD578" s="158"/>
      <c r="AE578" s="158"/>
      <c r="AF578" s="158"/>
      <c r="AG578" s="158"/>
    </row>
    <row r="579" ht="15.75" hidden="1" customHeight="1">
      <c r="A579" s="90"/>
      <c r="B579" s="6"/>
      <c r="C579" s="90"/>
      <c r="D579" s="185"/>
      <c r="E579" s="186"/>
      <c r="F579" s="187"/>
      <c r="G579" s="195"/>
      <c r="H579" s="129"/>
      <c r="I579" s="164"/>
      <c r="J579" s="189"/>
      <c r="K579" s="190"/>
      <c r="L579" s="183"/>
      <c r="M579" s="134" t="str">
        <f>I444</f>
        <v/>
      </c>
      <c r="N579" s="135" t="str">
        <f>iferror(mround($P444*((VLOOKUP($J579,Sheet1!$D:$N,$G579+1,FALSE)-0.03)),2.5)," ")</f>
        <v> </v>
      </c>
      <c r="O579" s="135" t="str">
        <f>iferror(mround($P444*((VLOOKUP($J579,Sheet1!$D:$N,$G579+1,FALSE)+0.02)),2.5)," ")</f>
        <v> </v>
      </c>
      <c r="P579" s="56" t="str">
        <f>iferror(mround(I579/VLOOKUP(L579,Sheet1!$D$7:$N$16,G579+1,FALSE),2.5),"")</f>
        <v/>
      </c>
      <c r="Q579" s="303" t="str">
        <f t="shared" si="16"/>
        <v/>
      </c>
      <c r="S579" s="11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</row>
    <row r="580" ht="3.75" hidden="1" customHeight="1">
      <c r="A580" s="90"/>
      <c r="B580" s="6"/>
      <c r="C580" s="90"/>
      <c r="D580" s="196"/>
      <c r="E580" s="184"/>
      <c r="F580" s="102"/>
      <c r="G580" s="102"/>
      <c r="H580" s="102"/>
      <c r="I580" s="102"/>
      <c r="J580" s="156"/>
      <c r="K580" s="103"/>
      <c r="L580" s="143"/>
      <c r="M580" s="144"/>
      <c r="N580" s="145"/>
      <c r="O580" s="145"/>
      <c r="P580" s="122"/>
      <c r="Q580" s="304" t="str">
        <f t="shared" si="16"/>
        <v/>
      </c>
      <c r="S580" s="11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</row>
    <row r="581" ht="15.75" hidden="1" customHeight="1">
      <c r="A581" s="90"/>
      <c r="B581" s="6"/>
      <c r="C581" s="90"/>
      <c r="D581" s="197"/>
      <c r="E581" s="198"/>
      <c r="F581" s="199"/>
      <c r="G581" s="195"/>
      <c r="H581" s="129"/>
      <c r="I581" s="164"/>
      <c r="J581" s="189"/>
      <c r="K581" s="190"/>
      <c r="L581" s="183"/>
      <c r="M581" s="134" t="str">
        <f>I446</f>
        <v/>
      </c>
      <c r="N581" s="135" t="str">
        <f>iferror(mround($P446*((VLOOKUP($J581,Sheet1!$D:$N,$G581+1,FALSE)-0.03)),2.5)," ")</f>
        <v> </v>
      </c>
      <c r="O581" s="135" t="str">
        <f>iferror(mround($P446*((VLOOKUP($J581,Sheet1!$D:$N,$G581+1,FALSE)+0.02)),2.5)," ")</f>
        <v> </v>
      </c>
      <c r="P581" s="56" t="str">
        <f>iferror(mround(I581/VLOOKUP(L581,Sheet1!$D$7:$N$16,G581+1,FALSE),2.5),"")</f>
        <v/>
      </c>
      <c r="Q581" s="303" t="str">
        <f t="shared" si="16"/>
        <v/>
      </c>
      <c r="S581" s="11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</row>
    <row r="582" ht="3.75" customHeight="1">
      <c r="A582" s="90"/>
      <c r="B582" s="6"/>
      <c r="C582" s="90"/>
      <c r="D582" s="90"/>
      <c r="E582" s="156"/>
      <c r="F582" s="102"/>
      <c r="G582" s="102"/>
      <c r="H582" s="102"/>
      <c r="I582" s="102"/>
      <c r="J582" s="156"/>
      <c r="K582" s="200"/>
      <c r="L582" s="201"/>
      <c r="M582" s="144"/>
      <c r="N582" s="47"/>
      <c r="O582" s="47"/>
      <c r="P582" s="122"/>
      <c r="Q582" s="304" t="str">
        <f t="shared" si="16"/>
        <v/>
      </c>
      <c r="S582" s="11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</row>
    <row r="583" ht="30.0" customHeight="1">
      <c r="A583" s="90"/>
      <c r="B583" s="6"/>
      <c r="C583" s="90"/>
      <c r="D583" s="202" t="s">
        <v>42</v>
      </c>
      <c r="E583" s="105" t="s">
        <v>82</v>
      </c>
      <c r="F583" s="106" t="s">
        <v>16</v>
      </c>
      <c r="G583" s="106" t="s">
        <v>17</v>
      </c>
      <c r="H583" s="107"/>
      <c r="I583" s="106" t="s">
        <v>18</v>
      </c>
      <c r="J583" s="108" t="s">
        <v>19</v>
      </c>
      <c r="L583" s="109" t="s">
        <v>20</v>
      </c>
      <c r="M583" s="110" t="s">
        <v>21</v>
      </c>
      <c r="N583" s="111" t="s">
        <v>22</v>
      </c>
      <c r="P583" s="112"/>
      <c r="Q583" s="113" t="s">
        <v>23</v>
      </c>
      <c r="R583" s="114" t="s">
        <v>43</v>
      </c>
      <c r="S583" s="11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</row>
    <row r="584" ht="14.25" customHeight="1">
      <c r="A584" s="90"/>
      <c r="B584" s="6"/>
      <c r="C584" s="90"/>
      <c r="D584" s="116">
        <v>4.0</v>
      </c>
      <c r="E584" s="117" t="s">
        <v>76</v>
      </c>
      <c r="H584" s="107"/>
      <c r="N584" s="111" t="s">
        <v>27</v>
      </c>
      <c r="O584" s="111" t="s">
        <v>28</v>
      </c>
      <c r="P584" s="112" t="s">
        <v>29</v>
      </c>
      <c r="R584" s="118" t="s">
        <v>30</v>
      </c>
      <c r="S584" s="11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</row>
    <row r="585" ht="3.75" customHeight="1">
      <c r="A585" s="191"/>
      <c r="B585" s="6"/>
      <c r="C585" s="192"/>
      <c r="D585" s="203"/>
      <c r="E585" s="204"/>
      <c r="F585" s="205"/>
      <c r="G585" s="205"/>
      <c r="H585" s="206"/>
      <c r="I585" s="207"/>
      <c r="J585" s="208"/>
      <c r="K585" s="209"/>
      <c r="L585" s="210"/>
      <c r="M585" s="211"/>
      <c r="N585" s="47"/>
      <c r="O585" s="47"/>
      <c r="P585" s="122"/>
      <c r="Q585" s="304" t="str">
        <f t="shared" ref="Q585:Q607" si="17">IF(OR(ISBLANK(I585), ISBLANK(I450)), "", IF(I585 - I450 = 0, "", I585 - I450))</f>
        <v/>
      </c>
      <c r="R585" s="212"/>
      <c r="S585" s="157"/>
      <c r="T585" s="5"/>
      <c r="U585" s="5"/>
      <c r="V585" s="158"/>
      <c r="W585" s="158"/>
      <c r="X585" s="158"/>
      <c r="Y585" s="158"/>
      <c r="Z585" s="158"/>
      <c r="AA585" s="158"/>
      <c r="AB585" s="158"/>
      <c r="AC585" s="158"/>
      <c r="AD585" s="158"/>
      <c r="AE585" s="158"/>
      <c r="AF585" s="158"/>
      <c r="AG585" s="158"/>
    </row>
    <row r="586" ht="15.75" customHeight="1">
      <c r="A586" s="124"/>
      <c r="B586" s="6"/>
      <c r="C586" s="124"/>
      <c r="D586" s="159" t="s">
        <v>83</v>
      </c>
      <c r="E586" s="167" t="s">
        <v>84</v>
      </c>
      <c r="F586" s="127">
        <v>2.0</v>
      </c>
      <c r="G586" s="127">
        <v>3.0</v>
      </c>
      <c r="H586" s="195"/>
      <c r="I586" s="130">
        <v>375.0</v>
      </c>
      <c r="J586" s="151">
        <v>5.0</v>
      </c>
      <c r="K586" s="213"/>
      <c r="L586" s="133">
        <v>4.0</v>
      </c>
      <c r="M586" s="134" t="str">
        <f>I451</f>
        <v/>
      </c>
      <c r="N586" s="135">
        <f>iferror(mround($P451*((VLOOKUP($J586,Sheet1!$D:$N,$G586+1,FALSE)-0.03)),2.5)," ")</f>
        <v>0</v>
      </c>
      <c r="O586" s="135">
        <f>iferror(mround($P451*((VLOOKUP($J586,Sheet1!$D:$N,$G586+1,FALSE)+0.02)),2.5)," ")</f>
        <v>0</v>
      </c>
      <c r="P586" s="112" t="str">
        <f>iferror(mround(I586/VLOOKUP(L586,Sheet1!$D$7:$N$16,G586+1,FALSE),2.5),"")</f>
        <v/>
      </c>
      <c r="Q586" s="303" t="str">
        <f t="shared" si="17"/>
        <v/>
      </c>
      <c r="R586" s="214"/>
      <c r="S586" s="11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</row>
    <row r="587" ht="3.75" customHeight="1">
      <c r="A587" s="124"/>
      <c r="B587" s="6"/>
      <c r="C587" s="124"/>
      <c r="D587" s="138"/>
      <c r="E587" s="215"/>
      <c r="F587" s="102"/>
      <c r="G587" s="102"/>
      <c r="H587" s="102"/>
      <c r="I587" s="102"/>
      <c r="J587" s="216"/>
      <c r="K587" s="217"/>
      <c r="L587" s="218"/>
      <c r="M587" s="144"/>
      <c r="N587" s="145"/>
      <c r="O587" s="145"/>
      <c r="P587" s="122"/>
      <c r="Q587" s="304" t="str">
        <f t="shared" si="17"/>
        <v/>
      </c>
      <c r="R587" s="214"/>
      <c r="S587" s="11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</row>
    <row r="588" ht="15.75" customHeight="1">
      <c r="A588" s="90"/>
      <c r="B588" s="6"/>
      <c r="C588" s="90"/>
      <c r="D588" s="159" t="s">
        <v>33</v>
      </c>
      <c r="E588" s="167"/>
      <c r="F588" s="127">
        <v>1.0</v>
      </c>
      <c r="G588" s="127">
        <v>2.0</v>
      </c>
      <c r="H588" s="195"/>
      <c r="I588" s="130">
        <v>275.0</v>
      </c>
      <c r="J588" s="151">
        <v>6.0</v>
      </c>
      <c r="K588" s="219"/>
      <c r="L588" s="133">
        <v>5.0</v>
      </c>
      <c r="M588" s="134" t="str">
        <f>I453</f>
        <v/>
      </c>
      <c r="N588" s="135">
        <f>iferror(mround($P453*((VLOOKUP($J588,Sheet1!$D:$N,$G588+1,FALSE)-0.03)),2.5)," ")</f>
        <v>0</v>
      </c>
      <c r="O588" s="135">
        <f>iferror(mround($P453*((VLOOKUP($J588,Sheet1!$D:$N,$G588+1,FALSE)+0.02)),2.5)," ")</f>
        <v>0</v>
      </c>
      <c r="P588" s="112" t="str">
        <f>iferror(mround(I588/VLOOKUP(L588,Sheet1!$D$7:$N$16,G588+1,FALSE),2.5),"")</f>
        <v/>
      </c>
      <c r="Q588" s="303" t="str">
        <f t="shared" si="17"/>
        <v/>
      </c>
      <c r="R588" s="214"/>
      <c r="S588" s="11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</row>
    <row r="589" ht="3.75" customHeight="1">
      <c r="A589" s="90"/>
      <c r="B589" s="6"/>
      <c r="C589" s="90"/>
      <c r="D589" s="138"/>
      <c r="E589" s="215"/>
      <c r="F589" s="102"/>
      <c r="G589" s="102"/>
      <c r="H589" s="102"/>
      <c r="I589" s="102"/>
      <c r="J589" s="216"/>
      <c r="K589" s="217"/>
      <c r="L589" s="218"/>
      <c r="M589" s="144"/>
      <c r="N589" s="145"/>
      <c r="O589" s="145"/>
      <c r="P589" s="122"/>
      <c r="Q589" s="304" t="str">
        <f t="shared" si="17"/>
        <v/>
      </c>
      <c r="R589" s="214"/>
      <c r="S589" s="11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</row>
    <row r="590" ht="15.75" customHeight="1">
      <c r="A590" s="90"/>
      <c r="B590" s="6"/>
      <c r="C590" s="90"/>
      <c r="D590" s="159" t="s">
        <v>33</v>
      </c>
      <c r="E590" s="167"/>
      <c r="F590" s="127">
        <v>3.0</v>
      </c>
      <c r="G590" s="161">
        <v>3.0</v>
      </c>
      <c r="H590" s="195"/>
      <c r="I590" s="164">
        <f>MROUND(I588*(1+J590),5)</f>
        <v>255</v>
      </c>
      <c r="J590" s="165">
        <v>-0.08</v>
      </c>
      <c r="K590" s="219"/>
      <c r="L590" s="133">
        <v>5.0</v>
      </c>
      <c r="M590" s="134">
        <f>I455</f>
        <v>0</v>
      </c>
      <c r="N590" s="135" t="str">
        <f>iferror(mround($P455*((VLOOKUP($J590,Sheet1!$D:$N,$G590+1,FALSE)-0.03)),2.5)," ")</f>
        <v> </v>
      </c>
      <c r="O590" s="135" t="str">
        <f>iferror(mround($P455*((VLOOKUP($J590,Sheet1!$D:$N,$G590+1,FALSE)+0.02)),2.5)," ")</f>
        <v> </v>
      </c>
      <c r="P590" s="112" t="str">
        <f>iferror(mround(I590/VLOOKUP(L590,Sheet1!$D$7:$N$16,G590+1,FALSE),2.5),"")</f>
        <v/>
      </c>
      <c r="Q590" s="303">
        <f t="shared" si="17"/>
        <v>255</v>
      </c>
      <c r="R590" s="214"/>
      <c r="S590" s="11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</row>
    <row r="591" ht="3.75" customHeight="1">
      <c r="A591" s="90"/>
      <c r="B591" s="6"/>
      <c r="C591" s="90"/>
      <c r="D591" s="138"/>
      <c r="E591" s="215"/>
      <c r="F591" s="102"/>
      <c r="G591" s="102"/>
      <c r="H591" s="102"/>
      <c r="I591" s="102"/>
      <c r="J591" s="156"/>
      <c r="K591" s="217"/>
      <c r="L591" s="143"/>
      <c r="M591" s="144"/>
      <c r="N591" s="145"/>
      <c r="O591" s="145"/>
      <c r="P591" s="122"/>
      <c r="Q591" s="304" t="str">
        <f t="shared" si="17"/>
        <v/>
      </c>
      <c r="R591" s="214"/>
      <c r="S591" s="11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</row>
    <row r="592" ht="15.75" customHeight="1">
      <c r="A592" s="90"/>
      <c r="B592" s="6"/>
      <c r="C592" s="90"/>
      <c r="D592" s="159" t="s">
        <v>86</v>
      </c>
      <c r="E592" s="167" t="s">
        <v>87</v>
      </c>
      <c r="F592" s="127">
        <v>2.0</v>
      </c>
      <c r="G592" s="169">
        <v>45577.0</v>
      </c>
      <c r="H592" s="195"/>
      <c r="I592" s="130">
        <v>130.0</v>
      </c>
      <c r="J592" s="151">
        <v>7.0</v>
      </c>
      <c r="K592" s="213"/>
      <c r="L592" s="183"/>
      <c r="M592" s="134" t="str">
        <f>I457</f>
        <v/>
      </c>
      <c r="N592" s="135" t="str">
        <f>iferror(mround($P457*((VLOOKUP($J592,Sheet1!$D:$N,$G592+1,FALSE)-0.03)),2.5)," ")</f>
        <v> </v>
      </c>
      <c r="O592" s="135" t="str">
        <f>iferror(mround($P457*((VLOOKUP($J592,Sheet1!$D:$N,$G592+1,FALSE)+0.02)),2.5)," ")</f>
        <v> </v>
      </c>
      <c r="P592" s="112" t="str">
        <f>iferror(mround(I592/VLOOKUP(L592,Sheet1!$D$7:$N$16,G592+1,FALSE),2.5),"")</f>
        <v/>
      </c>
      <c r="Q592" s="303" t="str">
        <f t="shared" si="17"/>
        <v/>
      </c>
      <c r="R592" s="214"/>
      <c r="S592" s="11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</row>
    <row r="593" ht="3.75" customHeight="1">
      <c r="A593" s="90"/>
      <c r="B593" s="6"/>
      <c r="C593" s="90"/>
      <c r="D593" s="138"/>
      <c r="E593" s="215"/>
      <c r="F593" s="102"/>
      <c r="G593" s="102"/>
      <c r="H593" s="102"/>
      <c r="I593" s="102"/>
      <c r="J593" s="156"/>
      <c r="K593" s="217"/>
      <c r="L593" s="143"/>
      <c r="M593" s="144"/>
      <c r="N593" s="145"/>
      <c r="O593" s="145"/>
      <c r="P593" s="122"/>
      <c r="Q593" s="304" t="str">
        <f t="shared" si="17"/>
        <v/>
      </c>
      <c r="R593" s="214"/>
      <c r="S593" s="11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</row>
    <row r="594" ht="15.75" customHeight="1">
      <c r="A594" s="90"/>
      <c r="B594" s="6"/>
      <c r="C594" s="90"/>
      <c r="D594" s="159" t="s">
        <v>88</v>
      </c>
      <c r="E594" s="220"/>
      <c r="F594" s="127">
        <v>2.0</v>
      </c>
      <c r="G594" s="221">
        <v>45641.0</v>
      </c>
      <c r="H594" s="195"/>
      <c r="I594" s="130"/>
      <c r="J594" s="151">
        <v>9.0</v>
      </c>
      <c r="K594" s="213"/>
      <c r="L594" s="183"/>
      <c r="M594" s="134" t="str">
        <f>I459</f>
        <v/>
      </c>
      <c r="N594" s="135" t="str">
        <f>iferror(mround($P459*((VLOOKUP($J594,Sheet1!$D:$N,$G594+1,FALSE)-0.03)),2.5)," ")</f>
        <v> </v>
      </c>
      <c r="O594" s="135" t="str">
        <f>iferror(mround($P459*((VLOOKUP($J594,Sheet1!$D:$N,$G594+1,FALSE)+0.02)),2.5)," ")</f>
        <v> </v>
      </c>
      <c r="P594" s="112" t="str">
        <f>iferror(mround(I594/VLOOKUP(L594,Sheet1!$D$7:$N$16,G594+1,FALSE),2.5),"")</f>
        <v/>
      </c>
      <c r="Q594" s="303" t="str">
        <f t="shared" si="17"/>
        <v/>
      </c>
      <c r="R594" s="214"/>
      <c r="S594" s="11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</row>
    <row r="595" ht="3.75" customHeight="1">
      <c r="A595" s="90"/>
      <c r="B595" s="6"/>
      <c r="C595" s="90"/>
      <c r="D595" s="138"/>
      <c r="E595" s="215"/>
      <c r="F595" s="102"/>
      <c r="G595" s="102"/>
      <c r="H595" s="102"/>
      <c r="I595" s="102"/>
      <c r="J595" s="156"/>
      <c r="K595" s="217"/>
      <c r="L595" s="143"/>
      <c r="M595" s="144"/>
      <c r="N595" s="145"/>
      <c r="O595" s="145"/>
      <c r="P595" s="122"/>
      <c r="Q595" s="304" t="str">
        <f t="shared" si="17"/>
        <v/>
      </c>
      <c r="R595" s="214"/>
      <c r="S595" s="11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</row>
    <row r="596" ht="15.75" customHeight="1">
      <c r="A596" s="90"/>
      <c r="B596" s="6"/>
      <c r="C596" s="90"/>
      <c r="D596" s="159" t="s">
        <v>47</v>
      </c>
      <c r="E596" s="220"/>
      <c r="F596" s="127">
        <v>2.0</v>
      </c>
      <c r="G596" s="221">
        <v>45641.0</v>
      </c>
      <c r="H596" s="195"/>
      <c r="I596" s="130"/>
      <c r="J596" s="151">
        <v>9.0</v>
      </c>
      <c r="K596" s="213"/>
      <c r="L596" s="183"/>
      <c r="M596" s="134" t="str">
        <f>I461</f>
        <v/>
      </c>
      <c r="N596" s="135" t="str">
        <f>iferror(mround($P461*((VLOOKUP($J596,Sheet1!$D:$N,$G596+1,FALSE)-0.03)),2.5)," ")</f>
        <v> </v>
      </c>
      <c r="O596" s="135" t="str">
        <f>iferror(mround($P461*((VLOOKUP($J596,Sheet1!$D:$N,$G596+1,FALSE)+0.02)),2.5)," ")</f>
        <v> </v>
      </c>
      <c r="P596" s="112" t="str">
        <f>iferror(mround(I596/VLOOKUP(L596,Sheet1!$D$7:$N$16,G596+1,FALSE),2.5),"")</f>
        <v/>
      </c>
      <c r="Q596" s="303" t="str">
        <f t="shared" si="17"/>
        <v/>
      </c>
      <c r="R596" s="214"/>
      <c r="S596" s="11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</row>
    <row r="597" ht="3.75" customHeight="1">
      <c r="A597" s="90"/>
      <c r="B597" s="6"/>
      <c r="C597" s="90"/>
      <c r="D597" s="138"/>
      <c r="E597" s="326"/>
      <c r="F597" s="102"/>
      <c r="G597" s="102"/>
      <c r="H597" s="102"/>
      <c r="I597" s="102"/>
      <c r="J597" s="216"/>
      <c r="K597" s="222"/>
      <c r="L597" s="143"/>
      <c r="M597" s="144"/>
      <c r="N597" s="145"/>
      <c r="O597" s="145"/>
      <c r="P597" s="122"/>
      <c r="Q597" s="304" t="str">
        <f t="shared" si="17"/>
        <v/>
      </c>
      <c r="R597" s="214"/>
      <c r="S597" s="11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</row>
    <row r="598" ht="18.0" hidden="1" customHeight="1">
      <c r="A598" s="90"/>
      <c r="B598" s="6"/>
      <c r="C598" s="90"/>
      <c r="D598" s="185"/>
      <c r="E598" s="327"/>
      <c r="F598" s="187"/>
      <c r="G598" s="187"/>
      <c r="H598" s="195"/>
      <c r="I598" s="164"/>
      <c r="J598" s="189"/>
      <c r="K598" s="190"/>
      <c r="L598" s="183"/>
      <c r="M598" s="134" t="str">
        <f>I463</f>
        <v/>
      </c>
      <c r="N598" s="135" t="str">
        <f>iferror(mround($P463*((VLOOKUP($J598,Sheet1!$D:$N,$G598+1,FALSE)-0.03)),2.5)," ")</f>
        <v> </v>
      </c>
      <c r="O598" s="135" t="str">
        <f>iferror(mround($P463*((VLOOKUP($J598,Sheet1!$D:$N,$G598+1,FALSE)+0.02)),2.5)," ")</f>
        <v> </v>
      </c>
      <c r="P598" s="112" t="str">
        <f>iferror(mround(I598/VLOOKUP(L598,Sheet1!$D$7:$N$16,G598+1,FALSE),2.5),"")</f>
        <v/>
      </c>
      <c r="Q598" s="303" t="str">
        <f t="shared" si="17"/>
        <v/>
      </c>
      <c r="R598" s="214"/>
      <c r="S598" s="11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</row>
    <row r="599" ht="3.75" hidden="1" customHeight="1">
      <c r="A599" s="191"/>
      <c r="B599" s="6"/>
      <c r="C599" s="192"/>
      <c r="D599" s="138"/>
      <c r="E599" s="223"/>
      <c r="F599" s="194"/>
      <c r="G599" s="194"/>
      <c r="H599" s="155"/>
      <c r="I599" s="210"/>
      <c r="J599" s="216"/>
      <c r="K599" s="222"/>
      <c r="L599" s="143"/>
      <c r="M599" s="144"/>
      <c r="N599" s="145"/>
      <c r="O599" s="145"/>
      <c r="P599" s="122"/>
      <c r="Q599" s="304" t="str">
        <f t="shared" si="17"/>
        <v/>
      </c>
      <c r="R599" s="214"/>
      <c r="S599" s="157"/>
      <c r="T599" s="5"/>
      <c r="U599" s="5"/>
      <c r="V599" s="158"/>
      <c r="W599" s="158"/>
      <c r="X599" s="158"/>
      <c r="Y599" s="158"/>
      <c r="Z599" s="158"/>
      <c r="AA599" s="158"/>
      <c r="AB599" s="158"/>
      <c r="AC599" s="158"/>
      <c r="AD599" s="158"/>
      <c r="AE599" s="158"/>
      <c r="AF599" s="158"/>
      <c r="AG599" s="158"/>
    </row>
    <row r="600" ht="15.75" hidden="1" customHeight="1">
      <c r="A600" s="90"/>
      <c r="B600" s="6"/>
      <c r="C600" s="90"/>
      <c r="D600" s="185"/>
      <c r="E600" s="186"/>
      <c r="F600" s="187"/>
      <c r="G600" s="187"/>
      <c r="H600" s="195"/>
      <c r="I600" s="164"/>
      <c r="J600" s="189"/>
      <c r="K600" s="190"/>
      <c r="L600" s="183"/>
      <c r="M600" s="134" t="str">
        <f>I465</f>
        <v/>
      </c>
      <c r="N600" s="135" t="str">
        <f>iferror(mround($P465*((VLOOKUP($J600,Sheet1!$D:$N,$G600+1,FALSE)-0.03)),2.5)," ")</f>
        <v> </v>
      </c>
      <c r="O600" s="135" t="str">
        <f>iferror(mround($P465*((VLOOKUP($J600,Sheet1!$D:$N,$G600+1,FALSE)+0.02)),2.5)," ")</f>
        <v> </v>
      </c>
      <c r="P600" s="112" t="str">
        <f>iferror(mround(I600/VLOOKUP(L600,Sheet1!$D$7:$N$16,G600+1,FALSE),2.5),"")</f>
        <v/>
      </c>
      <c r="Q600" s="303" t="str">
        <f t="shared" si="17"/>
        <v/>
      </c>
      <c r="R600" s="214"/>
      <c r="S600" s="11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</row>
    <row r="601" ht="3.75" hidden="1" customHeight="1">
      <c r="A601" s="90"/>
      <c r="B601" s="6"/>
      <c r="C601" s="90"/>
      <c r="D601" s="138"/>
      <c r="E601" s="184"/>
      <c r="F601" s="102"/>
      <c r="G601" s="102"/>
      <c r="H601" s="102"/>
      <c r="I601" s="102"/>
      <c r="J601" s="156"/>
      <c r="K601" s="222"/>
      <c r="L601" s="143"/>
      <c r="M601" s="144"/>
      <c r="N601" s="145"/>
      <c r="O601" s="145"/>
      <c r="P601" s="122"/>
      <c r="Q601" s="304" t="str">
        <f t="shared" si="17"/>
        <v/>
      </c>
      <c r="R601" s="214"/>
      <c r="S601" s="11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</row>
    <row r="602" ht="15.75" hidden="1" customHeight="1">
      <c r="A602" s="90"/>
      <c r="B602" s="6"/>
      <c r="C602" s="90"/>
      <c r="D602" s="185"/>
      <c r="E602" s="224"/>
      <c r="F602" s="187"/>
      <c r="G602" s="187"/>
      <c r="H602" s="195"/>
      <c r="I602" s="164"/>
      <c r="J602" s="189"/>
      <c r="K602" s="190"/>
      <c r="L602" s="183"/>
      <c r="M602" s="134" t="str">
        <f>I467</f>
        <v/>
      </c>
      <c r="N602" s="135" t="str">
        <f>iferror(mround($P467*((VLOOKUP($J602,Sheet1!$D:$N,$G602+1,FALSE)-0.03)),2.5)," ")</f>
        <v> </v>
      </c>
      <c r="O602" s="135" t="str">
        <f>iferror(mround($P467*((VLOOKUP($J602,Sheet1!$D:$N,$G602+1,FALSE)+0.02)),2.5)," ")</f>
        <v> </v>
      </c>
      <c r="P602" s="112" t="str">
        <f>iferror(mround(I602/VLOOKUP(L602,Sheet1!$D$7:$N$16,G602+1,FALSE),2.5),"")</f>
        <v/>
      </c>
      <c r="Q602" s="303" t="str">
        <f t="shared" si="17"/>
        <v/>
      </c>
      <c r="R602" s="214"/>
      <c r="S602" s="11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</row>
    <row r="603" ht="3.75" hidden="1" customHeight="1">
      <c r="A603" s="191"/>
      <c r="B603" s="6"/>
      <c r="C603" s="192"/>
      <c r="D603" s="138"/>
      <c r="E603" s="193"/>
      <c r="F603" s="194"/>
      <c r="G603" s="194"/>
      <c r="H603" s="155"/>
      <c r="I603" s="210"/>
      <c r="J603" s="216"/>
      <c r="K603" s="222"/>
      <c r="L603" s="143"/>
      <c r="M603" s="144"/>
      <c r="N603" s="145"/>
      <c r="O603" s="145"/>
      <c r="P603" s="122"/>
      <c r="Q603" s="304" t="str">
        <f t="shared" si="17"/>
        <v/>
      </c>
      <c r="R603" s="214"/>
      <c r="S603" s="157"/>
      <c r="T603" s="5"/>
      <c r="U603" s="5"/>
      <c r="V603" s="158"/>
      <c r="W603" s="158"/>
      <c r="X603" s="158"/>
      <c r="Y603" s="158"/>
      <c r="Z603" s="158"/>
      <c r="AA603" s="158"/>
      <c r="AB603" s="158"/>
      <c r="AC603" s="158"/>
      <c r="AD603" s="158"/>
      <c r="AE603" s="158"/>
      <c r="AF603" s="158"/>
      <c r="AG603" s="158"/>
    </row>
    <row r="604" ht="15.75" hidden="1" customHeight="1">
      <c r="A604" s="90"/>
      <c r="B604" s="6"/>
      <c r="C604" s="90"/>
      <c r="D604" s="185"/>
      <c r="E604" s="186"/>
      <c r="F604" s="187"/>
      <c r="G604" s="187"/>
      <c r="H604" s="195"/>
      <c r="I604" s="164"/>
      <c r="J604" s="189"/>
      <c r="K604" s="190"/>
      <c r="L604" s="183"/>
      <c r="M604" s="134" t="str">
        <f>I469</f>
        <v/>
      </c>
      <c r="N604" s="135" t="str">
        <f>iferror(mround($P469*((VLOOKUP($J604,Sheet1!$D:$N,$G604+1,FALSE)-0.03)),2.5)," ")</f>
        <v> </v>
      </c>
      <c r="O604" s="135" t="str">
        <f>iferror(mround($P469*((VLOOKUP($J604,Sheet1!$D:$N,$G604+1,FALSE)+0.02)),2.5)," ")</f>
        <v> </v>
      </c>
      <c r="P604" s="112" t="str">
        <f>iferror(mround(I604/VLOOKUP(L604,Sheet1!$D$7:$N$16,G604+1,FALSE),2.5),"")</f>
        <v/>
      </c>
      <c r="Q604" s="303" t="str">
        <f t="shared" si="17"/>
        <v/>
      </c>
      <c r="R604" s="214"/>
      <c r="S604" s="11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</row>
    <row r="605" ht="3.75" hidden="1" customHeight="1">
      <c r="A605" s="90"/>
      <c r="B605" s="6"/>
      <c r="C605" s="90"/>
      <c r="D605" s="196"/>
      <c r="E605" s="184"/>
      <c r="F605" s="102"/>
      <c r="G605" s="102"/>
      <c r="H605" s="102"/>
      <c r="I605" s="102"/>
      <c r="J605" s="156"/>
      <c r="K605" s="222"/>
      <c r="L605" s="143"/>
      <c r="M605" s="144"/>
      <c r="N605" s="145"/>
      <c r="O605" s="145"/>
      <c r="P605" s="122"/>
      <c r="Q605" s="304" t="str">
        <f t="shared" si="17"/>
        <v/>
      </c>
      <c r="R605" s="214"/>
      <c r="S605" s="11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</row>
    <row r="606" ht="15.75" hidden="1" customHeight="1">
      <c r="A606" s="90"/>
      <c r="B606" s="6"/>
      <c r="C606" s="90"/>
      <c r="D606" s="197"/>
      <c r="E606" s="198"/>
      <c r="F606" s="199"/>
      <c r="G606" s="187"/>
      <c r="H606" s="195"/>
      <c r="I606" s="164"/>
      <c r="J606" s="189"/>
      <c r="K606" s="190"/>
      <c r="L606" s="183"/>
      <c r="M606" s="134" t="str">
        <f>I471</f>
        <v/>
      </c>
      <c r="N606" s="135" t="str">
        <f>iferror(mround($P471*((VLOOKUP($J606,Sheet1!$D:$N,$G606+1,FALSE)-0.03)),2.5)," ")</f>
        <v> </v>
      </c>
      <c r="O606" s="135" t="str">
        <f>iferror(mround($P471*((VLOOKUP($J606,Sheet1!$D:$N,$G606+1,FALSE)+0.02)),2.5)," ")</f>
        <v> </v>
      </c>
      <c r="P606" s="112" t="str">
        <f>iferror(mround(I606/VLOOKUP(L606,Sheet1!$D$7:$N$16,G606+1,FALSE),2.5),"")</f>
        <v/>
      </c>
      <c r="Q606" s="303" t="str">
        <f t="shared" si="17"/>
        <v/>
      </c>
      <c r="R606" s="214"/>
      <c r="S606" s="11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</row>
    <row r="607" ht="3.75" hidden="1" customHeight="1">
      <c r="A607" s="90"/>
      <c r="B607" s="6"/>
      <c r="C607" s="90"/>
      <c r="D607" s="90"/>
      <c r="E607" s="156"/>
      <c r="F607" s="102"/>
      <c r="G607" s="102"/>
      <c r="H607" s="102"/>
      <c r="I607" s="102"/>
      <c r="J607" s="156"/>
      <c r="K607" s="222"/>
      <c r="L607" s="201"/>
      <c r="M607" s="211"/>
      <c r="N607" s="47"/>
      <c r="O607" s="47"/>
      <c r="P607" s="122"/>
      <c r="Q607" s="304" t="str">
        <f t="shared" si="17"/>
        <v/>
      </c>
      <c r="R607" s="214"/>
      <c r="S607" s="11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</row>
    <row r="608" ht="30.75" customHeight="1">
      <c r="A608" s="90"/>
      <c r="B608" s="6"/>
      <c r="C608" s="90"/>
      <c r="D608" s="202" t="s">
        <v>49</v>
      </c>
      <c r="E608" s="105" t="s">
        <v>15</v>
      </c>
      <c r="F608" s="106" t="s">
        <v>16</v>
      </c>
      <c r="G608" s="106" t="s">
        <v>17</v>
      </c>
      <c r="H608" s="107"/>
      <c r="I608" s="106" t="s">
        <v>18</v>
      </c>
      <c r="J608" s="108" t="s">
        <v>19</v>
      </c>
      <c r="L608" s="109" t="s">
        <v>20</v>
      </c>
      <c r="M608" s="110" t="s">
        <v>21</v>
      </c>
      <c r="N608" s="111" t="s">
        <v>22</v>
      </c>
      <c r="P608" s="112"/>
      <c r="Q608" s="113" t="s">
        <v>23</v>
      </c>
      <c r="R608" s="114" t="s">
        <v>50</v>
      </c>
      <c r="S608" s="11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</row>
    <row r="609" ht="14.25" customHeight="1">
      <c r="A609" s="90"/>
      <c r="B609" s="6"/>
      <c r="C609" s="90"/>
      <c r="D609" s="257" t="s">
        <v>25</v>
      </c>
      <c r="E609" s="258" t="s">
        <v>26</v>
      </c>
      <c r="H609" s="107"/>
      <c r="N609" s="111" t="s">
        <v>27</v>
      </c>
      <c r="O609" s="111" t="s">
        <v>28</v>
      </c>
      <c r="P609" s="112" t="s">
        <v>29</v>
      </c>
      <c r="R609" s="118" t="s">
        <v>30</v>
      </c>
      <c r="S609" s="11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</row>
    <row r="610" ht="3.75" customHeight="1">
      <c r="A610" s="191"/>
      <c r="B610" s="6"/>
      <c r="C610" s="192"/>
      <c r="D610" s="203"/>
      <c r="E610" s="203"/>
      <c r="F610" s="205"/>
      <c r="G610" s="205"/>
      <c r="H610" s="205"/>
      <c r="I610" s="225"/>
      <c r="J610" s="226"/>
      <c r="K610" s="209"/>
      <c r="L610" s="210"/>
      <c r="M610" s="211"/>
      <c r="N610" s="47"/>
      <c r="O610" s="47"/>
      <c r="P610" s="122"/>
      <c r="Q610" s="304" t="str">
        <f t="shared" ref="Q610:Q630" si="18">IF(OR(ISBLANK(I610), ISBLANK(I475)), "", IF(I610 - I475 = 0, "", I610 - I475))</f>
        <v/>
      </c>
      <c r="R610" s="212"/>
      <c r="S610" s="157"/>
      <c r="T610" s="5"/>
      <c r="U610" s="5"/>
      <c r="V610" s="158"/>
      <c r="W610" s="158"/>
      <c r="X610" s="158"/>
      <c r="Y610" s="158"/>
      <c r="Z610" s="158"/>
      <c r="AA610" s="158"/>
      <c r="AB610" s="158"/>
      <c r="AC610" s="158"/>
      <c r="AD610" s="158"/>
      <c r="AE610" s="158"/>
      <c r="AF610" s="158"/>
      <c r="AG610" s="158"/>
    </row>
    <row r="611" ht="15.75" customHeight="1">
      <c r="A611" s="124"/>
      <c r="B611" s="6"/>
      <c r="C611" s="124"/>
      <c r="D611" s="125" t="s">
        <v>90</v>
      </c>
      <c r="E611" s="126"/>
      <c r="F611" s="127">
        <v>1.0</v>
      </c>
      <c r="G611" s="240">
        <v>5.0</v>
      </c>
      <c r="H611" s="129"/>
      <c r="I611" s="130">
        <v>345.0</v>
      </c>
      <c r="J611" s="151">
        <v>6.0</v>
      </c>
      <c r="K611" s="213"/>
      <c r="L611" s="133">
        <v>5.0</v>
      </c>
      <c r="M611" s="134">
        <f>I476</f>
        <v>350</v>
      </c>
      <c r="N611" s="135">
        <f>iferror(mround($P476*((VLOOKUP($J611,Sheet1!$D:$N,$G611+1,FALSE)-0.03)),2.5)," ")</f>
        <v>0</v>
      </c>
      <c r="O611" s="135">
        <f>iferror(mround($P476*((VLOOKUP($J611,Sheet1!$D:$N,$G611+1,FALSE)+0.02)),2.5)," ")</f>
        <v>0</v>
      </c>
      <c r="P611" s="112" t="str">
        <f>iferror(mround(I611/VLOOKUP(L611,Sheet1!$D$7:$N$16,G611+1,FALSE),2.5),"")</f>
        <v/>
      </c>
      <c r="Q611" s="303">
        <f t="shared" si="18"/>
        <v>-5</v>
      </c>
      <c r="R611" s="214"/>
      <c r="S611" s="11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</row>
    <row r="612" ht="3.75" customHeight="1">
      <c r="A612" s="124"/>
      <c r="B612" s="6"/>
      <c r="C612" s="124"/>
      <c r="D612" s="138"/>
      <c r="E612" s="139"/>
      <c r="F612" s="140"/>
      <c r="G612" s="140"/>
      <c r="H612" s="140"/>
      <c r="I612" s="140"/>
      <c r="J612" s="141"/>
      <c r="K612" s="217"/>
      <c r="L612" s="218"/>
      <c r="M612" s="144"/>
      <c r="N612" s="145"/>
      <c r="O612" s="145"/>
      <c r="P612" s="122"/>
      <c r="Q612" s="304" t="str">
        <f t="shared" si="18"/>
        <v/>
      </c>
      <c r="R612" s="214"/>
      <c r="S612" s="11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</row>
    <row r="613" ht="15.75" customHeight="1">
      <c r="A613" s="90"/>
      <c r="B613" s="6"/>
      <c r="C613" s="90"/>
      <c r="D613" s="125" t="s">
        <v>77</v>
      </c>
      <c r="E613" s="126"/>
      <c r="F613" s="127">
        <v>2.0</v>
      </c>
      <c r="G613" s="240">
        <v>4.0</v>
      </c>
      <c r="H613" s="129"/>
      <c r="I613" s="164">
        <f>MROUND(I611*(1+J613),5)</f>
        <v>310</v>
      </c>
      <c r="J613" s="165">
        <v>-0.1</v>
      </c>
      <c r="K613" s="213"/>
      <c r="L613" s="183"/>
      <c r="M613" s="134">
        <f>I478</f>
        <v>300</v>
      </c>
      <c r="N613" s="135" t="str">
        <f>iferror(mround($P478*((VLOOKUP($J613,Sheet1!$D:$N,$G613+1,FALSE)-0.03)),2.5)," ")</f>
        <v> </v>
      </c>
      <c r="O613" s="135" t="str">
        <f>iferror(mround($P478*((VLOOKUP($J613,Sheet1!$D:$N,$G613+1,FALSE)+0.02)),2.5)," ")</f>
        <v> </v>
      </c>
      <c r="P613" s="112" t="str">
        <f>iferror(mround(I613/VLOOKUP(L613,Sheet1!$D$7:$N$16,G613+1,FALSE),2.5),"")</f>
        <v/>
      </c>
      <c r="Q613" s="303">
        <f t="shared" si="18"/>
        <v>10</v>
      </c>
      <c r="R613" s="214"/>
      <c r="S613" s="11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</row>
    <row r="614" ht="3.75" customHeight="1">
      <c r="A614" s="90"/>
      <c r="B614" s="6"/>
      <c r="C614" s="90"/>
      <c r="D614" s="138"/>
      <c r="E614" s="215"/>
      <c r="F614" s="102"/>
      <c r="G614" s="102"/>
      <c r="H614" s="102"/>
      <c r="I614" s="102"/>
      <c r="J614" s="156"/>
      <c r="K614" s="217"/>
      <c r="L614" s="218"/>
      <c r="M614" s="144"/>
      <c r="N614" s="145"/>
      <c r="O614" s="145"/>
      <c r="P614" s="122"/>
      <c r="Q614" s="304" t="str">
        <f t="shared" si="18"/>
        <v/>
      </c>
      <c r="R614" s="214"/>
      <c r="S614" s="11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</row>
    <row r="615" ht="15.75" customHeight="1">
      <c r="A615" s="90"/>
      <c r="B615" s="6"/>
      <c r="C615" s="90"/>
      <c r="D615" s="159" t="s">
        <v>33</v>
      </c>
      <c r="E615" s="160" t="s">
        <v>34</v>
      </c>
      <c r="F615" s="127">
        <v>3.0</v>
      </c>
      <c r="G615" s="161">
        <v>2.0</v>
      </c>
      <c r="H615" s="129"/>
      <c r="I615" s="130">
        <v>255.0</v>
      </c>
      <c r="J615" s="151">
        <v>6.0</v>
      </c>
      <c r="K615" s="219" t="s">
        <v>91</v>
      </c>
      <c r="L615" s="183"/>
      <c r="M615" s="134">
        <f>I480</f>
        <v>265</v>
      </c>
      <c r="N615" s="135">
        <f>iferror(mround($P480*((VLOOKUP($J615,Sheet1!$D:$N,$G615+1,FALSE)-0.03)),2.5)," ")</f>
        <v>255</v>
      </c>
      <c r="O615" s="135">
        <f>iferror(mround($P480*((VLOOKUP($J615,Sheet1!$D:$N,$G615+1,FALSE)+0.02)),2.5)," ")</f>
        <v>270</v>
      </c>
      <c r="P615" s="112" t="str">
        <f>iferror(mround(I615/VLOOKUP(L615,Sheet1!$D$7:$N$16,G615+1,FALSE),2.5),"")</f>
        <v/>
      </c>
      <c r="Q615" s="303">
        <f t="shared" si="18"/>
        <v>-10</v>
      </c>
      <c r="R615" s="214"/>
      <c r="S615" s="11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</row>
    <row r="616" ht="3.75" customHeight="1">
      <c r="A616" s="90"/>
      <c r="B616" s="6"/>
      <c r="C616" s="90"/>
      <c r="D616" s="138"/>
      <c r="E616" s="154"/>
      <c r="F616" s="155"/>
      <c r="G616" s="102"/>
      <c r="H616" s="102"/>
      <c r="I616" s="102"/>
      <c r="J616" s="156"/>
      <c r="K616" s="217"/>
      <c r="L616" s="218"/>
      <c r="M616" s="144"/>
      <c r="N616" s="145"/>
      <c r="O616" s="145"/>
      <c r="P616" s="122"/>
      <c r="Q616" s="304" t="str">
        <f t="shared" si="18"/>
        <v/>
      </c>
      <c r="R616" s="214"/>
      <c r="S616" s="11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</row>
    <row r="617" ht="15.75" customHeight="1">
      <c r="A617" s="90"/>
      <c r="B617" s="6"/>
      <c r="C617" s="90"/>
      <c r="D617" s="159" t="s">
        <v>45</v>
      </c>
      <c r="E617" s="220"/>
      <c r="F617" s="127">
        <v>2.0</v>
      </c>
      <c r="G617" s="127" t="s">
        <v>41</v>
      </c>
      <c r="H617" s="195"/>
      <c r="I617" s="164"/>
      <c r="J617" s="151"/>
      <c r="K617" s="213"/>
      <c r="L617" s="183"/>
      <c r="M617" s="134">
        <f>I482</f>
        <v>120</v>
      </c>
      <c r="N617" s="135" t="str">
        <f>iferror(mround($P482*((VLOOKUP($J617,Sheet1!$D:$N,$G617+1,FALSE)-0.03)),2.5)," ")</f>
        <v> </v>
      </c>
      <c r="O617" s="135" t="str">
        <f>iferror(mround($P482*((VLOOKUP($J617,Sheet1!$D:$N,$G617+1,FALSE)+0.02)),2.5)," ")</f>
        <v> </v>
      </c>
      <c r="P617" s="112" t="str">
        <f>iferror(mround(I617/VLOOKUP(L617,Sheet1!$D$7:$N$16,G617+1,FALSE),2.5),"")</f>
        <v/>
      </c>
      <c r="Q617" s="303" t="str">
        <f t="shared" si="18"/>
        <v/>
      </c>
      <c r="R617" s="214"/>
      <c r="S617" s="11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</row>
    <row r="618" ht="3.75" customHeight="1">
      <c r="A618" s="90"/>
      <c r="B618" s="6"/>
      <c r="C618" s="90"/>
      <c r="D618" s="138"/>
      <c r="E618" s="215"/>
      <c r="F618" s="102"/>
      <c r="G618" s="102"/>
      <c r="H618" s="102"/>
      <c r="I618" s="102"/>
      <c r="J618" s="156"/>
      <c r="K618" s="217"/>
      <c r="L618" s="218"/>
      <c r="M618" s="144"/>
      <c r="N618" s="145"/>
      <c r="O618" s="145"/>
      <c r="P618" s="122"/>
      <c r="Q618" s="304" t="str">
        <f t="shared" si="18"/>
        <v/>
      </c>
      <c r="R618" s="214"/>
      <c r="S618" s="11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</row>
    <row r="619" ht="15.75" customHeight="1">
      <c r="A619" s="90"/>
      <c r="B619" s="6"/>
      <c r="C619" s="90"/>
      <c r="D619" s="159" t="s">
        <v>94</v>
      </c>
      <c r="E619" s="220"/>
      <c r="F619" s="127">
        <v>2.0</v>
      </c>
      <c r="G619" s="221">
        <v>45641.0</v>
      </c>
      <c r="H619" s="195"/>
      <c r="I619" s="164"/>
      <c r="J619" s="151">
        <v>9.0</v>
      </c>
      <c r="K619" s="213"/>
      <c r="L619" s="183"/>
      <c r="M619" s="134">
        <f>I484</f>
        <v>20</v>
      </c>
      <c r="N619" s="135" t="str">
        <f>iferror(mround($P484*((VLOOKUP($J619,Sheet1!$D:$N,$G619+1,FALSE)-0.03)),2.5)," ")</f>
        <v> </v>
      </c>
      <c r="O619" s="135" t="str">
        <f>iferror(mround($P484*((VLOOKUP($J619,Sheet1!$D:$N,$G619+1,FALSE)+0.02)),2.5)," ")</f>
        <v> </v>
      </c>
      <c r="P619" s="112" t="str">
        <f>iferror(mround(I619/VLOOKUP(L619,Sheet1!$D$7:$N$16,G619+1,FALSE),2.5),"")</f>
        <v/>
      </c>
      <c r="Q619" s="303" t="str">
        <f t="shared" si="18"/>
        <v/>
      </c>
      <c r="R619" s="214"/>
      <c r="S619" s="11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</row>
    <row r="620" ht="3.75" customHeight="1">
      <c r="A620" s="90"/>
      <c r="B620" s="6"/>
      <c r="C620" s="90"/>
      <c r="D620" s="138"/>
      <c r="E620" s="215"/>
      <c r="F620" s="102"/>
      <c r="G620" s="102"/>
      <c r="H620" s="102"/>
      <c r="I620" s="102"/>
      <c r="J620" s="156"/>
      <c r="K620" s="222"/>
      <c r="L620" s="218"/>
      <c r="M620" s="144"/>
      <c r="N620" s="145"/>
      <c r="O620" s="145"/>
      <c r="P620" s="122"/>
      <c r="Q620" s="304" t="str">
        <f t="shared" si="18"/>
        <v/>
      </c>
      <c r="R620" s="214"/>
      <c r="S620" s="11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</row>
    <row r="621" ht="15.75" hidden="1" customHeight="1">
      <c r="A621" s="90"/>
      <c r="B621" s="6"/>
      <c r="C621" s="90"/>
      <c r="D621" s="185"/>
      <c r="E621" s="220"/>
      <c r="F621" s="187"/>
      <c r="G621" s="229"/>
      <c r="H621" s="195"/>
      <c r="I621" s="164"/>
      <c r="J621" s="189"/>
      <c r="K621" s="190"/>
      <c r="L621" s="183"/>
      <c r="M621" s="134" t="str">
        <f>I486</f>
        <v/>
      </c>
      <c r="N621" s="135" t="str">
        <f>iferror(mround($P486*((VLOOKUP($J621,Sheet1!$D:$N,$G621+1,FALSE)-0.03)),2.5)," ")</f>
        <v> </v>
      </c>
      <c r="O621" s="135" t="str">
        <f>iferror(mround($P486*((VLOOKUP($J621,Sheet1!$D:$N,$G621+1,FALSE)+0.02)),2.5)," ")</f>
        <v> </v>
      </c>
      <c r="P621" s="112" t="str">
        <f>iferror(mround(I621/VLOOKUP(L621,Sheet1!$D$7:$N$16,G621+1,FALSE),2.5),"")</f>
        <v/>
      </c>
      <c r="Q621" s="303" t="str">
        <f t="shared" si="18"/>
        <v/>
      </c>
      <c r="R621" s="214"/>
      <c r="S621" s="11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</row>
    <row r="622" ht="3.75" hidden="1" customHeight="1">
      <c r="A622" s="90"/>
      <c r="B622" s="6"/>
      <c r="C622" s="90"/>
      <c r="D622" s="138"/>
      <c r="E622" s="215"/>
      <c r="F622" s="102"/>
      <c r="G622" s="102"/>
      <c r="H622" s="102"/>
      <c r="I622" s="102"/>
      <c r="J622" s="216"/>
      <c r="K622" s="222"/>
      <c r="L622" s="218"/>
      <c r="M622" s="144"/>
      <c r="N622" s="145"/>
      <c r="O622" s="145"/>
      <c r="P622" s="122"/>
      <c r="Q622" s="304" t="str">
        <f t="shared" si="18"/>
        <v/>
      </c>
      <c r="R622" s="214"/>
      <c r="S622" s="11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</row>
    <row r="623" ht="15.75" hidden="1" customHeight="1">
      <c r="A623" s="90"/>
      <c r="B623" s="6"/>
      <c r="C623" s="90"/>
      <c r="D623" s="185"/>
      <c r="E623" s="220"/>
      <c r="F623" s="187"/>
      <c r="G623" s="229"/>
      <c r="H623" s="195"/>
      <c r="I623" s="164"/>
      <c r="J623" s="189"/>
      <c r="K623" s="190"/>
      <c r="L623" s="183"/>
      <c r="M623" s="134" t="str">
        <f>I488</f>
        <v/>
      </c>
      <c r="N623" s="135" t="str">
        <f>iferror(mround($P488*((VLOOKUP($J623,Sheet1!$D:$N,$G623+1,FALSE)-0.03)),2.5)," ")</f>
        <v> </v>
      </c>
      <c r="O623" s="135" t="str">
        <f>iferror(mround($P488*((VLOOKUP($J623,Sheet1!$D:$N,$G623+1,FALSE)+0.02)),2.5)," ")</f>
        <v> </v>
      </c>
      <c r="P623" s="112" t="str">
        <f>iferror(mround(I623/VLOOKUP(L623,Sheet1!$D$7:$N$16,G623+1,FALSE),2.5),"")</f>
        <v/>
      </c>
      <c r="Q623" s="303" t="str">
        <f t="shared" si="18"/>
        <v/>
      </c>
      <c r="R623" s="214"/>
      <c r="S623" s="11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</row>
    <row r="624" ht="3.75" hidden="1" customHeight="1">
      <c r="A624" s="191"/>
      <c r="B624" s="6"/>
      <c r="C624" s="192"/>
      <c r="D624" s="138"/>
      <c r="E624" s="184"/>
      <c r="F624" s="102"/>
      <c r="G624" s="102"/>
      <c r="H624" s="102"/>
      <c r="I624" s="102"/>
      <c r="J624" s="156"/>
      <c r="K624" s="222"/>
      <c r="L624" s="218"/>
      <c r="M624" s="144"/>
      <c r="N624" s="145"/>
      <c r="O624" s="145"/>
      <c r="P624" s="122"/>
      <c r="Q624" s="304" t="str">
        <f t="shared" si="18"/>
        <v/>
      </c>
      <c r="R624" s="214"/>
      <c r="S624" s="157"/>
      <c r="T624" s="5"/>
      <c r="U624" s="5"/>
      <c r="V624" s="158"/>
      <c r="W624" s="158"/>
      <c r="X624" s="158"/>
      <c r="Y624" s="158"/>
      <c r="Z624" s="158"/>
      <c r="AA624" s="158"/>
      <c r="AB624" s="158"/>
      <c r="AC624" s="158"/>
      <c r="AD624" s="158"/>
      <c r="AE624" s="158"/>
      <c r="AF624" s="158"/>
      <c r="AG624" s="158"/>
    </row>
    <row r="625" ht="15.75" hidden="1" customHeight="1">
      <c r="A625" s="90"/>
      <c r="B625" s="6"/>
      <c r="C625" s="90"/>
      <c r="D625" s="185"/>
      <c r="E625" s="224"/>
      <c r="F625" s="187"/>
      <c r="G625" s="187"/>
      <c r="H625" s="195"/>
      <c r="I625" s="164"/>
      <c r="J625" s="230"/>
      <c r="K625" s="190"/>
      <c r="L625" s="183"/>
      <c r="M625" s="134" t="str">
        <f>I490</f>
        <v/>
      </c>
      <c r="N625" s="135" t="str">
        <f>iferror(mround($P490*((VLOOKUP($J625,Sheet1!$D:$N,$G625+1,FALSE)-0.03)),2.5)," ")</f>
        <v> </v>
      </c>
      <c r="O625" s="135" t="str">
        <f>iferror(mround($P490*((VLOOKUP($J625,Sheet1!$D:$N,$G625+1,FALSE)+0.02)),2.5)," ")</f>
        <v> </v>
      </c>
      <c r="P625" s="112" t="str">
        <f>iferror(mround(I625/VLOOKUP(L625,Sheet1!$D$7:$N$16,G625+1,FALSE),2.5),"")</f>
        <v/>
      </c>
      <c r="Q625" s="303" t="str">
        <f t="shared" si="18"/>
        <v/>
      </c>
      <c r="R625" s="214"/>
      <c r="S625" s="11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</row>
    <row r="626" ht="3.75" hidden="1" customHeight="1">
      <c r="A626" s="90"/>
      <c r="B626" s="6"/>
      <c r="C626" s="90"/>
      <c r="D626" s="138"/>
      <c r="E626" s="184"/>
      <c r="F626" s="102"/>
      <c r="G626" s="102"/>
      <c r="H626" s="102"/>
      <c r="I626" s="102"/>
      <c r="J626" s="156"/>
      <c r="K626" s="222"/>
      <c r="L626" s="218"/>
      <c r="M626" s="144"/>
      <c r="N626" s="145"/>
      <c r="O626" s="145"/>
      <c r="P626" s="122"/>
      <c r="Q626" s="304" t="str">
        <f t="shared" si="18"/>
        <v/>
      </c>
      <c r="R626" s="214"/>
      <c r="S626" s="11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</row>
    <row r="627" ht="15.75" hidden="1" customHeight="1">
      <c r="A627" s="90"/>
      <c r="B627" s="6"/>
      <c r="C627" s="90"/>
      <c r="D627" s="231"/>
      <c r="E627" s="232"/>
      <c r="F627" s="187"/>
      <c r="G627" s="187"/>
      <c r="H627" s="195"/>
      <c r="I627" s="164"/>
      <c r="J627" s="230"/>
      <c r="K627" s="190"/>
      <c r="L627" s="183"/>
      <c r="M627" s="134" t="str">
        <f>I492</f>
        <v/>
      </c>
      <c r="N627" s="135" t="str">
        <f>iferror(mround($P492*((VLOOKUP($J627,Sheet1!$D:$N,$G627+1,FALSE)-0.03)),2.5)," ")</f>
        <v> </v>
      </c>
      <c r="O627" s="135" t="str">
        <f>iferror(mround($P492*((VLOOKUP($J627,Sheet1!$D:$N,$G627+1,FALSE)+0.02)),2.5)," ")</f>
        <v> </v>
      </c>
      <c r="P627" s="112" t="str">
        <f>iferror(mround(I627/VLOOKUP(L627,Sheet1!$D$7:$N$16,G627+1,FALSE),2.5),"")</f>
        <v/>
      </c>
      <c r="Q627" s="303" t="str">
        <f t="shared" si="18"/>
        <v/>
      </c>
      <c r="R627" s="214"/>
      <c r="S627" s="11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</row>
    <row r="628" ht="3.75" hidden="1" customHeight="1">
      <c r="A628" s="191"/>
      <c r="B628" s="6"/>
      <c r="C628" s="233"/>
      <c r="D628" s="234"/>
      <c r="E628" s="235"/>
      <c r="F628" s="236"/>
      <c r="G628" s="194"/>
      <c r="H628" s="155"/>
      <c r="I628" s="210"/>
      <c r="J628" s="216"/>
      <c r="K628" s="222"/>
      <c r="L628" s="218"/>
      <c r="M628" s="144"/>
      <c r="N628" s="145"/>
      <c r="O628" s="145"/>
      <c r="P628" s="122"/>
      <c r="Q628" s="304" t="str">
        <f t="shared" si="18"/>
        <v/>
      </c>
      <c r="R628" s="214"/>
      <c r="S628" s="157"/>
      <c r="T628" s="5"/>
      <c r="U628" s="5"/>
      <c r="V628" s="158"/>
      <c r="W628" s="158"/>
      <c r="X628" s="158"/>
      <c r="Y628" s="158"/>
      <c r="Z628" s="158"/>
      <c r="AA628" s="158"/>
      <c r="AB628" s="158"/>
      <c r="AC628" s="158"/>
      <c r="AD628" s="158"/>
      <c r="AE628" s="158"/>
      <c r="AF628" s="158"/>
      <c r="AG628" s="158"/>
    </row>
    <row r="629" ht="15.75" hidden="1" customHeight="1">
      <c r="A629" s="90"/>
      <c r="B629" s="6"/>
      <c r="C629" s="90"/>
      <c r="D629" s="197"/>
      <c r="E629" s="198"/>
      <c r="F629" s="199"/>
      <c r="G629" s="187"/>
      <c r="H629" s="195"/>
      <c r="I629" s="164"/>
      <c r="J629" s="189"/>
      <c r="K629" s="190"/>
      <c r="L629" s="183"/>
      <c r="M629" s="134" t="str">
        <f>I494</f>
        <v/>
      </c>
      <c r="N629" s="135" t="str">
        <f>iferror(mround($P494*((VLOOKUP($J629,Sheet1!$D:$N,$G629+1,FALSE)-0.03)),2.5)," ")</f>
        <v> </v>
      </c>
      <c r="O629" s="135" t="str">
        <f>iferror(mround($P494*((VLOOKUP($J629,Sheet1!$D:$N,$G629+1,FALSE)+0.02)),2.5)," ")</f>
        <v> </v>
      </c>
      <c r="P629" s="112" t="str">
        <f>iferror(mround(I629/VLOOKUP(L629,Sheet1!$D$7:$N$16,G629+1,FALSE),2.5),"")</f>
        <v/>
      </c>
      <c r="Q629" s="303" t="str">
        <f t="shared" si="18"/>
        <v/>
      </c>
      <c r="R629" s="214"/>
      <c r="S629" s="11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</row>
    <row r="630" ht="3.75" customHeight="1">
      <c r="A630" s="90"/>
      <c r="B630" s="6"/>
      <c r="C630" s="90"/>
      <c r="D630" s="90"/>
      <c r="E630" s="156"/>
      <c r="F630" s="102"/>
      <c r="G630" s="102"/>
      <c r="H630" s="102"/>
      <c r="I630" s="102"/>
      <c r="J630" s="156"/>
      <c r="K630" s="200"/>
      <c r="L630" s="201"/>
      <c r="M630" s="211"/>
      <c r="N630" s="47"/>
      <c r="O630" s="47"/>
      <c r="P630" s="122"/>
      <c r="Q630" s="304" t="str">
        <f t="shared" si="18"/>
        <v/>
      </c>
      <c r="R630" s="214"/>
      <c r="S630" s="11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</row>
    <row r="631" ht="30.0" customHeight="1">
      <c r="A631" s="90"/>
      <c r="B631" s="6"/>
      <c r="C631" s="90"/>
      <c r="D631" s="202" t="s">
        <v>55</v>
      </c>
      <c r="E631" s="105" t="s">
        <v>15</v>
      </c>
      <c r="F631" s="106" t="s">
        <v>16</v>
      </c>
      <c r="G631" s="106" t="s">
        <v>17</v>
      </c>
      <c r="H631" s="107"/>
      <c r="I631" s="106" t="s">
        <v>18</v>
      </c>
      <c r="J631" s="108" t="s">
        <v>19</v>
      </c>
      <c r="L631" s="109" t="s">
        <v>20</v>
      </c>
      <c r="M631" s="110" t="s">
        <v>21</v>
      </c>
      <c r="N631" s="111" t="s">
        <v>22</v>
      </c>
      <c r="P631" s="112"/>
      <c r="Q631" s="113" t="s">
        <v>23</v>
      </c>
      <c r="R631" s="114" t="s">
        <v>56</v>
      </c>
      <c r="S631" s="11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</row>
    <row r="632" ht="14.25" customHeight="1">
      <c r="A632" s="90"/>
      <c r="B632" s="6"/>
      <c r="C632" s="90"/>
      <c r="D632" s="257" t="s">
        <v>25</v>
      </c>
      <c r="E632" s="258" t="s">
        <v>26</v>
      </c>
      <c r="H632" s="107"/>
      <c r="N632" s="111" t="s">
        <v>27</v>
      </c>
      <c r="O632" s="111" t="s">
        <v>28</v>
      </c>
      <c r="P632" s="112" t="s">
        <v>29</v>
      </c>
      <c r="R632" s="118" t="s">
        <v>30</v>
      </c>
      <c r="S632" s="11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</row>
    <row r="633" ht="3.75" customHeight="1">
      <c r="A633" s="191"/>
      <c r="B633" s="6"/>
      <c r="C633" s="192"/>
      <c r="D633" s="203"/>
      <c r="E633" s="204"/>
      <c r="F633" s="205"/>
      <c r="G633" s="205"/>
      <c r="H633" s="205"/>
      <c r="I633" s="225"/>
      <c r="J633" s="237"/>
      <c r="K633" s="209"/>
      <c r="L633" s="238"/>
      <c r="M633" s="211"/>
      <c r="N633" s="47"/>
      <c r="O633" s="47"/>
      <c r="P633" s="122"/>
      <c r="Q633" s="304" t="str">
        <f t="shared" ref="Q633:Q653" si="19">IF(OR(ISBLANK(I633), ISBLANK(I498)), "", IF(I633 - I498 = 0, "", I633 - I498))</f>
        <v/>
      </c>
      <c r="R633" s="239"/>
      <c r="S633" s="157"/>
      <c r="T633" s="5"/>
      <c r="U633" s="5"/>
      <c r="V633" s="158"/>
      <c r="W633" s="158"/>
      <c r="X633" s="158"/>
      <c r="Y633" s="158"/>
      <c r="Z633" s="158"/>
      <c r="AA633" s="158"/>
      <c r="AB633" s="158"/>
      <c r="AC633" s="158"/>
      <c r="AD633" s="158"/>
      <c r="AE633" s="158"/>
      <c r="AF633" s="158"/>
      <c r="AG633" s="158"/>
    </row>
    <row r="634" ht="15.75" customHeight="1">
      <c r="A634" s="124"/>
      <c r="B634" s="6"/>
      <c r="C634" s="124"/>
      <c r="D634" s="125" t="s">
        <v>97</v>
      </c>
      <c r="E634" s="126"/>
      <c r="F634" s="127">
        <v>1.0</v>
      </c>
      <c r="G634" s="240">
        <v>4.0</v>
      </c>
      <c r="H634" s="129"/>
      <c r="I634" s="130">
        <v>430.0</v>
      </c>
      <c r="J634" s="151">
        <v>6.5</v>
      </c>
      <c r="K634" s="241"/>
      <c r="L634" s="130">
        <v>5.0</v>
      </c>
      <c r="M634" s="134">
        <f>I499</f>
        <v>419</v>
      </c>
      <c r="N634" s="135">
        <f>iferror(mround($P499*((VLOOKUP($J634,Sheet1!$D:$N,$G634+1,FALSE)-0.03)),2.5)," ")</f>
        <v>0</v>
      </c>
      <c r="O634" s="135">
        <f>iferror(mround($P499*((VLOOKUP($J634,Sheet1!$D:$N,$G634+1,FALSE)+0.02)),2.5)," ")</f>
        <v>0</v>
      </c>
      <c r="P634" s="112" t="str">
        <f>iferror(mround(I634/VLOOKUP(L634,Sheet1!$D$7:$N$16,G634+1,FALSE),2.5),"")</f>
        <v/>
      </c>
      <c r="Q634" s="303">
        <f t="shared" si="19"/>
        <v>11</v>
      </c>
      <c r="R634" s="242"/>
      <c r="S634" s="11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</row>
    <row r="635" ht="3.75" customHeight="1">
      <c r="A635" s="124"/>
      <c r="B635" s="6"/>
      <c r="C635" s="124"/>
      <c r="D635" s="138"/>
      <c r="E635" s="139"/>
      <c r="F635" s="140"/>
      <c r="G635" s="140"/>
      <c r="H635" s="140"/>
      <c r="I635" s="140"/>
      <c r="J635" s="141"/>
      <c r="K635" s="243"/>
      <c r="L635" s="210"/>
      <c r="M635" s="144"/>
      <c r="N635" s="145"/>
      <c r="O635" s="145"/>
      <c r="P635" s="122"/>
      <c r="Q635" s="304" t="str">
        <f t="shared" si="19"/>
        <v/>
      </c>
      <c r="R635" s="242"/>
      <c r="S635" s="11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</row>
    <row r="636" ht="15.0" customHeight="1">
      <c r="A636" s="124"/>
      <c r="B636" s="6"/>
      <c r="C636" s="124"/>
      <c r="D636" s="125" t="s">
        <v>97</v>
      </c>
      <c r="E636" s="126"/>
      <c r="F636" s="127">
        <v>2.0</v>
      </c>
      <c r="G636" s="240">
        <v>4.0</v>
      </c>
      <c r="H636" s="129"/>
      <c r="I636" s="164">
        <f>MROUND(I634*(1+J636),5)</f>
        <v>385</v>
      </c>
      <c r="J636" s="165">
        <v>-0.1</v>
      </c>
      <c r="K636" s="241"/>
      <c r="L636" s="130">
        <v>3.0</v>
      </c>
      <c r="M636" s="134" t="str">
        <f>M636</f>
        <v>#REF!</v>
      </c>
      <c r="N636" s="135" t="str">
        <f>iferror(mround($P501*((VLOOKUP($J636,Sheet1!$D:$N,$G636+1,FALSE)-0.03)),2.5)," ")</f>
        <v> </v>
      </c>
      <c r="O636" s="135" t="str">
        <f>iferror(mround($P501*((VLOOKUP($J636,Sheet1!$D:$N,$G636+1,FALSE)+0.02)),2.5)," ")</f>
        <v> </v>
      </c>
      <c r="P636" s="112" t="str">
        <f>iferror(mround(I636/VLOOKUP(L636,Sheet1!$D$7:$N$16,G636+1,FALSE),2.5),"")</f>
        <v/>
      </c>
      <c r="Q636" s="303">
        <f t="shared" si="19"/>
        <v>30</v>
      </c>
      <c r="R636" s="242"/>
      <c r="S636" s="11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</row>
    <row r="637" ht="3.75" customHeight="1">
      <c r="A637" s="124"/>
      <c r="B637" s="6"/>
      <c r="C637" s="124"/>
      <c r="D637" s="138"/>
      <c r="E637" s="215"/>
      <c r="F637" s="102"/>
      <c r="G637" s="102"/>
      <c r="H637" s="102"/>
      <c r="I637" s="102"/>
      <c r="J637" s="156"/>
      <c r="K637" s="243"/>
      <c r="L637" s="210"/>
      <c r="M637" s="144"/>
      <c r="N637" s="145"/>
      <c r="O637" s="145"/>
      <c r="P637" s="122"/>
      <c r="Q637" s="304" t="str">
        <f t="shared" si="19"/>
        <v/>
      </c>
      <c r="R637" s="242"/>
      <c r="S637" s="11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</row>
    <row r="638" ht="15.75" customHeight="1">
      <c r="A638" s="124"/>
      <c r="B638" s="6"/>
      <c r="C638" s="124"/>
      <c r="D638" s="159" t="s">
        <v>33</v>
      </c>
      <c r="E638" s="126"/>
      <c r="F638" s="127">
        <v>1.0</v>
      </c>
      <c r="G638" s="161">
        <v>1.0</v>
      </c>
      <c r="H638" s="129"/>
      <c r="I638" s="130">
        <v>275.0</v>
      </c>
      <c r="J638" s="189">
        <v>6.0</v>
      </c>
      <c r="K638" s="244" t="s">
        <v>98</v>
      </c>
      <c r="L638" s="164"/>
      <c r="M638" s="134">
        <f>I503</f>
        <v>315</v>
      </c>
      <c r="N638" s="135">
        <f>iferror(mround($P503*((VLOOKUP($J638,Sheet1!$D:$N,$G638+1,FALSE)-0.03)),2.5)," ")</f>
        <v>297.5</v>
      </c>
      <c r="O638" s="135">
        <f>iferror(mround($P503*((VLOOKUP($J638,Sheet1!$D:$N,$G638+1,FALSE)+0.02)),2.5)," ")</f>
        <v>315</v>
      </c>
      <c r="P638" s="112" t="str">
        <f>iferror(mround(I638/VLOOKUP(L638,Sheet1!$D$7:$N$16,G638+1,FALSE),2.5),"")</f>
        <v/>
      </c>
      <c r="Q638" s="303">
        <f t="shared" si="19"/>
        <v>-40</v>
      </c>
      <c r="R638" s="242"/>
      <c r="S638" s="11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</row>
    <row r="639" ht="3.75" customHeight="1">
      <c r="A639" s="124"/>
      <c r="B639" s="6"/>
      <c r="C639" s="124"/>
      <c r="D639" s="138"/>
      <c r="E639" s="154"/>
      <c r="F639" s="155"/>
      <c r="G639" s="102"/>
      <c r="H639" s="102"/>
      <c r="I639" s="102"/>
      <c r="J639" s="156"/>
      <c r="K639" s="243"/>
      <c r="L639" s="210"/>
      <c r="M639" s="144"/>
      <c r="N639" s="145"/>
      <c r="O639" s="145"/>
      <c r="P639" s="122"/>
      <c r="Q639" s="304" t="str">
        <f t="shared" si="19"/>
        <v/>
      </c>
      <c r="R639" s="242"/>
      <c r="S639" s="11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</row>
    <row r="640" ht="15.75" customHeight="1">
      <c r="A640" s="124"/>
      <c r="B640" s="6"/>
      <c r="C640" s="124"/>
      <c r="D640" s="159" t="s">
        <v>33</v>
      </c>
      <c r="E640" s="126"/>
      <c r="F640" s="127">
        <v>3.0</v>
      </c>
      <c r="G640" s="161">
        <v>3.0</v>
      </c>
      <c r="H640" s="129"/>
      <c r="I640" s="130">
        <v>255.0</v>
      </c>
      <c r="J640" s="151">
        <v>6.0</v>
      </c>
      <c r="K640" s="241" t="s">
        <v>91</v>
      </c>
      <c r="L640" s="164"/>
      <c r="M640" s="134">
        <f>I505</f>
        <v>275</v>
      </c>
      <c r="N640" s="135">
        <f>iferror(mround($P505*((VLOOKUP($J640,Sheet1!$D:$N,$G640+1,FALSE)-0.03)),2.5)," ")</f>
        <v>0</v>
      </c>
      <c r="O640" s="135">
        <f>iferror(mround($P505*((VLOOKUP($J640,Sheet1!$D:$N,$G640+1,FALSE)+0.02)),2.5)," ")</f>
        <v>0</v>
      </c>
      <c r="P640" s="112" t="str">
        <f>iferror(mround(I640/VLOOKUP(L640,Sheet1!$D$7:$N$16,G640+1,FALSE),2.5),"")</f>
        <v/>
      </c>
      <c r="Q640" s="303">
        <f t="shared" si="19"/>
        <v>-20</v>
      </c>
      <c r="R640" s="242"/>
      <c r="S640" s="11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</row>
    <row r="641" ht="3.75" customHeight="1">
      <c r="A641" s="90"/>
      <c r="B641" s="6"/>
      <c r="C641" s="90"/>
      <c r="D641" s="138"/>
      <c r="E641" s="245"/>
      <c r="F641" s="102"/>
      <c r="G641" s="102"/>
      <c r="H641" s="102"/>
      <c r="I641" s="102"/>
      <c r="J641" s="156"/>
      <c r="K641" s="243"/>
      <c r="L641" s="210"/>
      <c r="M641" s="144"/>
      <c r="N641" s="145"/>
      <c r="O641" s="145"/>
      <c r="P641" s="122"/>
      <c r="Q641" s="304" t="str">
        <f t="shared" si="19"/>
        <v/>
      </c>
      <c r="R641" s="242"/>
      <c r="S641" s="11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</row>
    <row r="642" ht="15.75" customHeight="1">
      <c r="A642" s="90"/>
      <c r="B642" s="6"/>
      <c r="C642" s="90"/>
      <c r="D642" s="159" t="s">
        <v>54</v>
      </c>
      <c r="E642" s="227"/>
      <c r="F642" s="127">
        <v>2.0</v>
      </c>
      <c r="G642" s="221">
        <v>45577.0</v>
      </c>
      <c r="H642" s="195"/>
      <c r="I642" s="164"/>
      <c r="J642" s="228">
        <v>8.0</v>
      </c>
      <c r="K642" s="241"/>
      <c r="L642" s="164"/>
      <c r="M642" s="134" t="str">
        <f>I507</f>
        <v/>
      </c>
      <c r="N642" s="135" t="str">
        <f>iferror(mround($P507*((VLOOKUP($J642,Sheet1!$D:$N,$G642+1,FALSE)-0.03)),2.5)," ")</f>
        <v> </v>
      </c>
      <c r="O642" s="135" t="str">
        <f>iferror(mround($P507*((VLOOKUP($J642,Sheet1!$D:$N,$G642+1,FALSE)+0.02)),2.5)," ")</f>
        <v> </v>
      </c>
      <c r="P642" s="112" t="str">
        <f>iferror(mround(I642/VLOOKUP(L642,Sheet1!$D$7:$N$16,G642+1,FALSE),2.5),"")</f>
        <v/>
      </c>
      <c r="Q642" s="303" t="str">
        <f t="shared" si="19"/>
        <v/>
      </c>
      <c r="R642" s="242"/>
      <c r="S642" s="11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</row>
    <row r="643" ht="3.75" customHeight="1">
      <c r="A643" s="191"/>
      <c r="B643" s="6"/>
      <c r="C643" s="192"/>
      <c r="D643" s="138"/>
      <c r="E643" s="245"/>
      <c r="F643" s="102"/>
      <c r="G643" s="102"/>
      <c r="H643" s="102"/>
      <c r="I643" s="102"/>
      <c r="J643" s="156"/>
      <c r="K643" s="243"/>
      <c r="L643" s="210"/>
      <c r="M643" s="144"/>
      <c r="N643" s="145"/>
      <c r="O643" s="145"/>
      <c r="P643" s="122"/>
      <c r="Q643" s="304" t="str">
        <f t="shared" si="19"/>
        <v/>
      </c>
      <c r="R643" s="242"/>
      <c r="S643" s="157"/>
      <c r="T643" s="5"/>
      <c r="U643" s="5"/>
      <c r="V643" s="158"/>
      <c r="W643" s="158"/>
      <c r="X643" s="158"/>
      <c r="Y643" s="158"/>
      <c r="Z643" s="158"/>
      <c r="AA643" s="158"/>
      <c r="AB643" s="158"/>
      <c r="AC643" s="158"/>
      <c r="AD643" s="158"/>
      <c r="AE643" s="158"/>
      <c r="AF643" s="158"/>
      <c r="AG643" s="158"/>
    </row>
    <row r="644" ht="15.75" customHeight="1">
      <c r="A644" s="90"/>
      <c r="B644" s="6"/>
      <c r="C644" s="90"/>
      <c r="D644" s="159" t="s">
        <v>99</v>
      </c>
      <c r="E644" s="246" t="s">
        <v>100</v>
      </c>
      <c r="F644" s="127">
        <v>3.0</v>
      </c>
      <c r="G644" s="221">
        <v>45577.0</v>
      </c>
      <c r="H644" s="195"/>
      <c r="I644" s="164"/>
      <c r="J644" s="228">
        <v>9.0</v>
      </c>
      <c r="K644" s="241"/>
      <c r="L644" s="164"/>
      <c r="M644" s="134" t="str">
        <f>I509</f>
        <v/>
      </c>
      <c r="N644" s="135" t="str">
        <f>iferror(mround($P509*((VLOOKUP($J644,Sheet1!$D:$N,$G644+1,FALSE)-0.03)),2.5)," ")</f>
        <v> </v>
      </c>
      <c r="O644" s="135" t="str">
        <f>iferror(mround($P509*((VLOOKUP($J644,Sheet1!$D:$N,$G644+1,FALSE)+0.02)),2.5)," ")</f>
        <v> </v>
      </c>
      <c r="P644" s="112" t="str">
        <f>iferror(mround(I644/VLOOKUP(L644,Sheet1!$D$7:$N$16,G644+1,FALSE),2.5),"")</f>
        <v/>
      </c>
      <c r="Q644" s="303" t="str">
        <f t="shared" si="19"/>
        <v/>
      </c>
      <c r="R644" s="242"/>
      <c r="S644" s="11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</row>
    <row r="645" ht="3.75" customHeight="1">
      <c r="A645" s="90"/>
      <c r="B645" s="6"/>
      <c r="C645" s="90"/>
      <c r="D645" s="138"/>
      <c r="E645" s="245"/>
      <c r="F645" s="102"/>
      <c r="G645" s="102"/>
      <c r="H645" s="102"/>
      <c r="I645" s="102"/>
      <c r="J645" s="156"/>
      <c r="K645" s="243"/>
      <c r="L645" s="210"/>
      <c r="M645" s="144"/>
      <c r="N645" s="145"/>
      <c r="O645" s="145"/>
      <c r="P645" s="122"/>
      <c r="Q645" s="304" t="str">
        <f t="shared" si="19"/>
        <v/>
      </c>
      <c r="R645" s="242"/>
      <c r="S645" s="11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</row>
    <row r="646" ht="15.75" hidden="1" customHeight="1">
      <c r="A646" s="90"/>
      <c r="B646" s="6"/>
      <c r="C646" s="90"/>
      <c r="D646" s="185"/>
      <c r="E646" s="227"/>
      <c r="F646" s="187"/>
      <c r="G646" s="229"/>
      <c r="H646" s="195"/>
      <c r="I646" s="247"/>
      <c r="J646" s="248"/>
      <c r="K646" s="241"/>
      <c r="L646" s="164"/>
      <c r="M646" s="134" t="str">
        <f>I511</f>
        <v/>
      </c>
      <c r="N646" s="135" t="str">
        <f>iferror(mround($P511*((VLOOKUP($J646,Sheet1!$D:$N,$G646+1,FALSE)-0.03)),2.5)," ")</f>
        <v> </v>
      </c>
      <c r="O646" s="135" t="str">
        <f>iferror(mround($P511*((VLOOKUP($J646,Sheet1!$D:$N,$G646+1,FALSE)+0.02)),2.5)," ")</f>
        <v> </v>
      </c>
      <c r="P646" s="112" t="str">
        <f>iferror(mround(I646/VLOOKUP(L646,Sheet1!$D$7:$N$16,G646+1,FALSE),2.5),"")</f>
        <v/>
      </c>
      <c r="Q646" s="303" t="str">
        <f t="shared" si="19"/>
        <v/>
      </c>
      <c r="R646" s="242"/>
      <c r="S646" s="11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</row>
    <row r="647" ht="3.75" hidden="1" customHeight="1">
      <c r="A647" s="90"/>
      <c r="B647" s="6"/>
      <c r="C647" s="90"/>
      <c r="D647" s="138"/>
      <c r="E647" s="215"/>
      <c r="F647" s="102"/>
      <c r="G647" s="102"/>
      <c r="H647" s="102"/>
      <c r="I647" s="102"/>
      <c r="J647" s="156"/>
      <c r="K647" s="243"/>
      <c r="L647" s="210"/>
      <c r="M647" s="144"/>
      <c r="N647" s="145"/>
      <c r="O647" s="145"/>
      <c r="P647" s="122"/>
      <c r="Q647" s="304" t="str">
        <f t="shared" si="19"/>
        <v/>
      </c>
      <c r="R647" s="242"/>
      <c r="S647" s="11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</row>
    <row r="648" ht="15.75" hidden="1" customHeight="1">
      <c r="A648" s="90"/>
      <c r="B648" s="6"/>
      <c r="C648" s="90"/>
      <c r="D648" s="185"/>
      <c r="E648" s="220"/>
      <c r="F648" s="187"/>
      <c r="G648" s="229"/>
      <c r="H648" s="195"/>
      <c r="I648" s="247"/>
      <c r="J648" s="248"/>
      <c r="K648" s="241"/>
      <c r="L648" s="164"/>
      <c r="M648" s="134" t="str">
        <f>I513</f>
        <v/>
      </c>
      <c r="N648" s="135" t="str">
        <f>iferror(mround($P513*((VLOOKUP($J648,Sheet1!$D:$N,$G648+1,FALSE)-0.03)),2.5)," ")</f>
        <v> </v>
      </c>
      <c r="O648" s="135" t="str">
        <f>iferror(mround($P513*((VLOOKUP($J648,Sheet1!$D:$N,$G648+1,FALSE)+0.02)),2.5)," ")</f>
        <v> </v>
      </c>
      <c r="P648" s="112" t="str">
        <f>iferror(mround(I648/VLOOKUP(L648,Sheet1!$D$7:$N$16,G648+1,FALSE),2.5),"")</f>
        <v/>
      </c>
      <c r="Q648" s="303" t="str">
        <f t="shared" si="19"/>
        <v/>
      </c>
      <c r="R648" s="242"/>
      <c r="S648" s="11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</row>
    <row r="649" ht="3.75" hidden="1" customHeight="1">
      <c r="A649" s="90"/>
      <c r="B649" s="6"/>
      <c r="C649" s="90"/>
      <c r="D649" s="196"/>
      <c r="E649" s="184"/>
      <c r="F649" s="102"/>
      <c r="G649" s="102"/>
      <c r="H649" s="102"/>
      <c r="I649" s="102"/>
      <c r="J649" s="156"/>
      <c r="K649" s="249"/>
      <c r="L649" s="210"/>
      <c r="M649" s="144"/>
      <c r="N649" s="145"/>
      <c r="O649" s="145"/>
      <c r="P649" s="122"/>
      <c r="Q649" s="304" t="str">
        <f t="shared" si="19"/>
        <v/>
      </c>
      <c r="R649" s="242"/>
      <c r="S649" s="11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</row>
    <row r="650" ht="15.75" hidden="1" customHeight="1">
      <c r="A650" s="90"/>
      <c r="B650" s="6"/>
      <c r="C650" s="90"/>
      <c r="D650" s="197"/>
      <c r="E650" s="250"/>
      <c r="F650" s="129"/>
      <c r="G650" s="199"/>
      <c r="H650" s="195"/>
      <c r="I650" s="247"/>
      <c r="J650" s="248"/>
      <c r="K650" s="251"/>
      <c r="L650" s="164"/>
      <c r="M650" s="134" t="str">
        <f>I515</f>
        <v/>
      </c>
      <c r="N650" s="135" t="str">
        <f>iferror(mround($P515*((VLOOKUP($J650,Sheet1!$D:$N,$G650+1,FALSE)-0.03)),2.5)," ")</f>
        <v> </v>
      </c>
      <c r="O650" s="135" t="str">
        <f>iferror(mround($P515*((VLOOKUP($J650,Sheet1!$D:$N,$G650+1,FALSE)+0.02)),2.5)," ")</f>
        <v> </v>
      </c>
      <c r="P650" s="112" t="str">
        <f>iferror(mround(I650/VLOOKUP(L650,Sheet1!$D$7:$N$16,G650+1,FALSE),2.5),"")</f>
        <v/>
      </c>
      <c r="Q650" s="303" t="str">
        <f t="shared" si="19"/>
        <v/>
      </c>
      <c r="R650" s="242"/>
      <c r="S650" s="11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</row>
    <row r="651" ht="3.75" hidden="1" customHeight="1">
      <c r="A651" s="90"/>
      <c r="B651" s="6"/>
      <c r="C651" s="90"/>
      <c r="D651" s="234"/>
      <c r="E651" s="184"/>
      <c r="F651" s="102"/>
      <c r="G651" s="102"/>
      <c r="H651" s="102"/>
      <c r="I651" s="102"/>
      <c r="J651" s="156"/>
      <c r="K651" s="249"/>
      <c r="L651" s="210"/>
      <c r="M651" s="144"/>
      <c r="N651" s="145"/>
      <c r="O651" s="145"/>
      <c r="P651" s="122"/>
      <c r="Q651" s="304" t="str">
        <f t="shared" si="19"/>
        <v/>
      </c>
      <c r="R651" s="242"/>
      <c r="S651" s="11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</row>
    <row r="652" ht="15.75" hidden="1" customHeight="1">
      <c r="A652" s="90"/>
      <c r="B652" s="6"/>
      <c r="C652" s="90"/>
      <c r="D652" s="197"/>
      <c r="E652" s="198"/>
      <c r="F652" s="129"/>
      <c r="G652" s="199"/>
      <c r="H652" s="195"/>
      <c r="I652" s="164"/>
      <c r="J652" s="248"/>
      <c r="K652" s="251"/>
      <c r="L652" s="164"/>
      <c r="M652" s="134" t="str">
        <f>I517</f>
        <v/>
      </c>
      <c r="N652" s="135" t="str">
        <f>iferror(mround($P517*((VLOOKUP($J652,Sheet1!$D:$N,$G652+1,FALSE)-0.03)),2.5)," ")</f>
        <v> </v>
      </c>
      <c r="O652" s="135" t="str">
        <f>iferror(mround($P517*((VLOOKUP($J652,Sheet1!$D:$N,$G652+1,FALSE)+0.02)),2.5)," ")</f>
        <v> </v>
      </c>
      <c r="P652" s="112" t="str">
        <f>iferror(mround(I652/VLOOKUP(L652,Sheet1!$D$7:$N$16,G652+1,FALSE),2.5),"")</f>
        <v/>
      </c>
      <c r="Q652" s="303" t="str">
        <f t="shared" si="19"/>
        <v/>
      </c>
      <c r="R652" s="242"/>
      <c r="S652" s="11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</row>
    <row r="653" ht="3.75" hidden="1" customHeight="1">
      <c r="A653" s="124"/>
      <c r="B653" s="6"/>
      <c r="C653" s="124"/>
      <c r="D653" s="252"/>
      <c r="E653" s="252"/>
      <c r="F653" s="102"/>
      <c r="G653" s="102"/>
      <c r="H653" s="102"/>
      <c r="I653" s="102"/>
      <c r="J653" s="156"/>
      <c r="K653" s="253"/>
      <c r="L653" s="201"/>
      <c r="M653" s="211"/>
      <c r="N653" s="47"/>
      <c r="O653" s="47"/>
      <c r="P653" s="122"/>
      <c r="Q653" s="304" t="str">
        <f t="shared" si="19"/>
        <v/>
      </c>
      <c r="R653" s="242"/>
      <c r="S653" s="11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</row>
    <row r="654" ht="30.75" hidden="1" customHeight="1">
      <c r="A654" s="90"/>
      <c r="B654" s="6"/>
      <c r="C654" s="90"/>
      <c r="D654" s="254" t="s">
        <v>57</v>
      </c>
      <c r="E654" s="255" t="s">
        <v>15</v>
      </c>
      <c r="F654" s="106" t="s">
        <v>16</v>
      </c>
      <c r="G654" s="106" t="s">
        <v>17</v>
      </c>
      <c r="H654" s="107"/>
      <c r="I654" s="106" t="s">
        <v>18</v>
      </c>
      <c r="J654" s="108" t="s">
        <v>19</v>
      </c>
      <c r="L654" s="109" t="s">
        <v>20</v>
      </c>
      <c r="M654" s="110" t="s">
        <v>21</v>
      </c>
      <c r="N654" s="111" t="s">
        <v>22</v>
      </c>
      <c r="P654" s="112"/>
      <c r="Q654" s="113" t="s">
        <v>23</v>
      </c>
      <c r="R654" s="256" t="s">
        <v>58</v>
      </c>
      <c r="S654" s="11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</row>
    <row r="655" ht="14.25" hidden="1" customHeight="1">
      <c r="A655" s="90"/>
      <c r="B655" s="6"/>
      <c r="C655" s="90"/>
      <c r="D655" s="257" t="s">
        <v>25</v>
      </c>
      <c r="E655" s="258" t="s">
        <v>26</v>
      </c>
      <c r="H655" s="107"/>
      <c r="N655" s="111" t="s">
        <v>27</v>
      </c>
      <c r="O655" s="111" t="s">
        <v>28</v>
      </c>
      <c r="P655" s="112" t="s">
        <v>29</v>
      </c>
      <c r="R655" s="118" t="s">
        <v>30</v>
      </c>
      <c r="S655" s="11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</row>
    <row r="656" ht="3.75" hidden="1" customHeight="1">
      <c r="A656" s="124"/>
      <c r="B656" s="6"/>
      <c r="C656" s="124"/>
      <c r="D656" s="252"/>
      <c r="E656" s="252"/>
      <c r="F656" s="102"/>
      <c r="G656" s="102"/>
      <c r="H656" s="102"/>
      <c r="I656" s="102"/>
      <c r="J656" s="156"/>
      <c r="K656" s="253"/>
      <c r="L656" s="201"/>
      <c r="M656" s="211"/>
      <c r="N656" s="47"/>
      <c r="O656" s="47"/>
      <c r="P656" s="122"/>
      <c r="Q656" s="304" t="str">
        <f t="shared" ref="Q656:Q679" si="20">IF(OR(ISBLANK(I656), ISBLANK(I521)), "", IF(I656 - I521 = 0, "", I656 - I521))</f>
        <v/>
      </c>
      <c r="R656" s="259"/>
      <c r="S656" s="11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</row>
    <row r="657" ht="14.25" hidden="1" customHeight="1">
      <c r="A657" s="124"/>
      <c r="B657" s="6"/>
      <c r="C657" s="124"/>
      <c r="D657" s="260"/>
      <c r="E657" s="126"/>
      <c r="F657" s="187"/>
      <c r="G657" s="229"/>
      <c r="H657" s="129"/>
      <c r="I657" s="164"/>
      <c r="J657" s="189"/>
      <c r="K657" s="251"/>
      <c r="L657" s="164"/>
      <c r="M657" s="134" t="str">
        <f>I524</f>
        <v/>
      </c>
      <c r="N657" s="135" t="str">
        <f>iferror(mround($P524*((VLOOKUP($J657,Sheet1!$D:$N,$G657+1,FALSE)-0.03)),2.5)," ")</f>
        <v> </v>
      </c>
      <c r="O657" s="135" t="str">
        <f>iferror(mround($P524*((VLOOKUP($J657,Sheet1!$D:$N,$G657+1,FALSE)+0.02)),2.5)," ")</f>
        <v> </v>
      </c>
      <c r="P657" s="56" t="str">
        <f>iferror(mround(I657/VLOOKUP(L657,Sheet1!$D$7:$N$16,G657+1,FALSE),2.5),"")</f>
        <v/>
      </c>
      <c r="Q657" s="303" t="str">
        <f t="shared" si="20"/>
        <v/>
      </c>
      <c r="S657" s="11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</row>
    <row r="658" ht="3.75" hidden="1" customHeight="1">
      <c r="A658" s="124"/>
      <c r="B658" s="6"/>
      <c r="C658" s="124"/>
      <c r="D658" s="138"/>
      <c r="E658" s="215"/>
      <c r="F658" s="102"/>
      <c r="G658" s="102"/>
      <c r="H658" s="102"/>
      <c r="I658" s="102"/>
      <c r="J658" s="156"/>
      <c r="K658" s="249"/>
      <c r="L658" s="210"/>
      <c r="M658" s="144"/>
      <c r="N658" s="145"/>
      <c r="O658" s="145"/>
      <c r="P658" s="122"/>
      <c r="Q658" s="304" t="str">
        <f t="shared" si="20"/>
        <v/>
      </c>
      <c r="S658" s="11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</row>
    <row r="659" ht="14.25" hidden="1" customHeight="1">
      <c r="A659" s="124"/>
      <c r="B659" s="6"/>
      <c r="C659" s="124"/>
      <c r="D659" s="185"/>
      <c r="E659" s="227"/>
      <c r="F659" s="187"/>
      <c r="G659" s="229"/>
      <c r="H659" s="195"/>
      <c r="I659" s="164"/>
      <c r="J659" s="248"/>
      <c r="K659" s="251"/>
      <c r="L659" s="164"/>
      <c r="M659" s="134" t="str">
        <f>I524</f>
        <v/>
      </c>
      <c r="N659" s="135" t="str">
        <f>iferror(mround($P524*((VLOOKUP($J659,Sheet1!$D:$N,$G659+1,FALSE)-0.03)),2.5)," ")</f>
        <v> </v>
      </c>
      <c r="O659" s="135" t="str">
        <f>iferror(mround($P524*((VLOOKUP($J659,Sheet1!$D:$N,$G659+1,FALSE)+0.02)),2.5)," ")</f>
        <v> </v>
      </c>
      <c r="P659" s="112" t="str">
        <f>iferror(mround(I659/VLOOKUP(L659,Sheet1!$D$7:$N$16,G659+1,FALSE),2.5),"")</f>
        <v/>
      </c>
      <c r="Q659" s="303" t="str">
        <f t="shared" si="20"/>
        <v/>
      </c>
      <c r="S659" s="11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</row>
    <row r="660" ht="3.75" hidden="1" customHeight="1">
      <c r="A660" s="124"/>
      <c r="B660" s="6"/>
      <c r="C660" s="124"/>
      <c r="D660" s="138"/>
      <c r="E660" s="245"/>
      <c r="F660" s="102"/>
      <c r="G660" s="102"/>
      <c r="H660" s="102"/>
      <c r="I660" s="102"/>
      <c r="J660" s="156"/>
      <c r="K660" s="249"/>
      <c r="L660" s="210"/>
      <c r="M660" s="144"/>
      <c r="N660" s="145"/>
      <c r="O660" s="145"/>
      <c r="P660" s="122"/>
      <c r="Q660" s="304" t="str">
        <f t="shared" si="20"/>
        <v/>
      </c>
      <c r="S660" s="11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</row>
    <row r="661" ht="14.25" hidden="1" customHeight="1">
      <c r="A661" s="124"/>
      <c r="B661" s="6"/>
      <c r="C661" s="124"/>
      <c r="D661" s="185"/>
      <c r="E661" s="227"/>
      <c r="F661" s="187"/>
      <c r="G661" s="229"/>
      <c r="H661" s="195"/>
      <c r="I661" s="164"/>
      <c r="J661" s="248"/>
      <c r="K661" s="251"/>
      <c r="L661" s="164"/>
      <c r="M661" s="134" t="str">
        <f>I526</f>
        <v/>
      </c>
      <c r="N661" s="135" t="str">
        <f>iferror(mround($P526*((VLOOKUP($J661,Sheet1!$D:$N,$G661+1,FALSE)-0.03)),2.5)," ")</f>
        <v> </v>
      </c>
      <c r="O661" s="135" t="str">
        <f>iferror(mround($P526*((VLOOKUP($J661,Sheet1!$D:$N,$G661+1,FALSE)+0.02)),2.5)," ")</f>
        <v> </v>
      </c>
      <c r="P661" s="112" t="str">
        <f>iferror(mround(I661/VLOOKUP(L661,Sheet1!$D$7:$N$16,G661+1,FALSE),2.5),"")</f>
        <v/>
      </c>
      <c r="Q661" s="303" t="str">
        <f t="shared" si="20"/>
        <v/>
      </c>
      <c r="S661" s="11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</row>
    <row r="662" ht="3.75" hidden="1" customHeight="1">
      <c r="A662" s="124"/>
      <c r="B662" s="6"/>
      <c r="C662" s="124"/>
      <c r="D662" s="138"/>
      <c r="E662" s="245"/>
      <c r="F662" s="102"/>
      <c r="G662" s="102"/>
      <c r="H662" s="102"/>
      <c r="I662" s="102"/>
      <c r="J662" s="156"/>
      <c r="K662" s="249"/>
      <c r="L662" s="210"/>
      <c r="M662" s="144"/>
      <c r="N662" s="145"/>
      <c r="O662" s="145"/>
      <c r="P662" s="122"/>
      <c r="Q662" s="304" t="str">
        <f t="shared" si="20"/>
        <v/>
      </c>
      <c r="S662" s="11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</row>
    <row r="663" ht="14.25" hidden="1" customHeight="1">
      <c r="A663" s="124"/>
      <c r="B663" s="6"/>
      <c r="C663" s="124"/>
      <c r="D663" s="185"/>
      <c r="E663" s="227"/>
      <c r="F663" s="187"/>
      <c r="G663" s="229"/>
      <c r="H663" s="195"/>
      <c r="I663" s="164"/>
      <c r="J663" s="248"/>
      <c r="K663" s="251"/>
      <c r="L663" s="164"/>
      <c r="M663" s="134"/>
      <c r="N663" s="135" t="str">
        <f>iferror(mround($P528*((VLOOKUP($J663,Sheet1!$D:$N,$G663+1,FALSE)-0.03)),2.5)," ")</f>
        <v> </v>
      </c>
      <c r="O663" s="135" t="str">
        <f>iferror(mround($P528*((VLOOKUP($J663,Sheet1!$D:$N,$G663+1,FALSE)+0.02)),2.5)," ")</f>
        <v> </v>
      </c>
      <c r="P663" s="112" t="str">
        <f>iferror(mround(I663/VLOOKUP(L663,Sheet1!$D$7:$N$16,G663+1,FALSE),2.5),"")</f>
        <v/>
      </c>
      <c r="Q663" s="303" t="str">
        <f t="shared" si="20"/>
        <v/>
      </c>
      <c r="S663" s="11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</row>
    <row r="664" ht="3.75" hidden="1" customHeight="1">
      <c r="A664" s="124"/>
      <c r="B664" s="6"/>
      <c r="C664" s="124"/>
      <c r="D664" s="138"/>
      <c r="E664" s="245"/>
      <c r="F664" s="102"/>
      <c r="G664" s="102"/>
      <c r="H664" s="102"/>
      <c r="I664" s="102"/>
      <c r="J664" s="156"/>
      <c r="K664" s="249"/>
      <c r="L664" s="210"/>
      <c r="M664" s="144"/>
      <c r="N664" s="145" t="str">
        <f>iferror(mround($P529*((VLOOKUP($J664,Sheet1!$D:$N,$G664+1,FALSE)-0.03)),2.5)," ")</f>
        <v> </v>
      </c>
      <c r="O664" s="145" t="str">
        <f>iferror(mround($P529*((VLOOKUP($J664,Sheet1!$D:$N,$G664+1,FALSE)+0.02)),2.5)," ")</f>
        <v> </v>
      </c>
      <c r="P664" s="122"/>
      <c r="Q664" s="304" t="str">
        <f t="shared" si="20"/>
        <v/>
      </c>
      <c r="S664" s="11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</row>
    <row r="665" ht="14.25" hidden="1" customHeight="1">
      <c r="A665" s="124"/>
      <c r="B665" s="6"/>
      <c r="C665" s="124"/>
      <c r="D665" s="185"/>
      <c r="E665" s="227"/>
      <c r="F665" s="187"/>
      <c r="G665" s="187"/>
      <c r="H665" s="195"/>
      <c r="I665" s="164"/>
      <c r="J665" s="248"/>
      <c r="K665" s="251"/>
      <c r="L665" s="164"/>
      <c r="M665" s="134" t="str">
        <f>I530</f>
        <v/>
      </c>
      <c r="N665" s="135" t="str">
        <f>iferror(mround($P530*((VLOOKUP($J665,Sheet1!$D:$N,$G665+1,FALSE)-0.03)),2.5)," ")</f>
        <v> </v>
      </c>
      <c r="O665" s="135" t="str">
        <f>iferror(mround($P530*((VLOOKUP($J665,Sheet1!$D:$N,$G665+1,FALSE)+0.02)),2.5)," ")</f>
        <v> </v>
      </c>
      <c r="P665" s="112" t="str">
        <f>iferror(mround(I665/VLOOKUP(L665,Sheet1!$D$7:$N$16,G665+1,FALSE),2.5),"")</f>
        <v/>
      </c>
      <c r="Q665" s="303" t="str">
        <f t="shared" si="20"/>
        <v/>
      </c>
      <c r="S665" s="11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</row>
    <row r="666" ht="3.75" hidden="1" customHeight="1">
      <c r="A666" s="261"/>
      <c r="B666" s="6"/>
      <c r="C666" s="262"/>
      <c r="D666" s="138"/>
      <c r="E666" s="245"/>
      <c r="F666" s="102"/>
      <c r="G666" s="102"/>
      <c r="H666" s="102"/>
      <c r="I666" s="102"/>
      <c r="J666" s="156"/>
      <c r="K666" s="249"/>
      <c r="L666" s="210"/>
      <c r="M666" s="144"/>
      <c r="N666" s="145"/>
      <c r="O666" s="145"/>
      <c r="P666" s="122"/>
      <c r="Q666" s="304" t="str">
        <f t="shared" si="20"/>
        <v/>
      </c>
      <c r="S666" s="157"/>
      <c r="T666" s="5"/>
      <c r="U666" s="5"/>
      <c r="V666" s="158"/>
      <c r="W666" s="158"/>
      <c r="X666" s="158"/>
      <c r="Y666" s="158"/>
      <c r="Z666" s="158"/>
      <c r="AA666" s="158"/>
      <c r="AB666" s="158"/>
      <c r="AC666" s="158"/>
      <c r="AD666" s="158"/>
      <c r="AE666" s="158"/>
      <c r="AF666" s="158"/>
      <c r="AG666" s="158"/>
    </row>
    <row r="667" ht="14.25" hidden="1" customHeight="1">
      <c r="A667" s="124"/>
      <c r="B667" s="6"/>
      <c r="C667" s="124"/>
      <c r="D667" s="185"/>
      <c r="E667" s="227"/>
      <c r="F667" s="187"/>
      <c r="G667" s="187"/>
      <c r="H667" s="195"/>
      <c r="I667" s="164"/>
      <c r="J667" s="248"/>
      <c r="K667" s="251"/>
      <c r="L667" s="164"/>
      <c r="M667" s="134" t="str">
        <f>I532</f>
        <v/>
      </c>
      <c r="N667" s="135" t="str">
        <f>iferror(mround($P532*((VLOOKUP($J667,Sheet1!$D:$N,$G667+1,FALSE)-0.03)),2.5)," ")</f>
        <v> </v>
      </c>
      <c r="O667" s="135" t="str">
        <f>iferror(mround($P532*((VLOOKUP($J667,Sheet1!$D:$N,$G667+1,FALSE)+0.02)),2.5)," ")</f>
        <v> </v>
      </c>
      <c r="P667" s="112" t="str">
        <f>iferror(mround(I667/VLOOKUP(L667,Sheet1!$D$7:$N$16,G667+1,FALSE),2.5),"")</f>
        <v/>
      </c>
      <c r="Q667" s="303" t="str">
        <f t="shared" si="20"/>
        <v/>
      </c>
      <c r="S667" s="11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</row>
    <row r="668" ht="3.75" hidden="1" customHeight="1">
      <c r="A668" s="261"/>
      <c r="B668" s="6"/>
      <c r="C668" s="262"/>
      <c r="D668" s="138"/>
      <c r="E668" s="252"/>
      <c r="F668" s="102"/>
      <c r="G668" s="102"/>
      <c r="H668" s="102"/>
      <c r="I668" s="102"/>
      <c r="J668" s="156"/>
      <c r="K668" s="249"/>
      <c r="L668" s="210"/>
      <c r="M668" s="144"/>
      <c r="N668" s="145"/>
      <c r="O668" s="145"/>
      <c r="P668" s="122"/>
      <c r="Q668" s="304" t="str">
        <f t="shared" si="20"/>
        <v/>
      </c>
      <c r="S668" s="157"/>
      <c r="T668" s="5"/>
      <c r="U668" s="5"/>
      <c r="V668" s="158"/>
      <c r="W668" s="158"/>
      <c r="X668" s="158"/>
      <c r="Y668" s="158"/>
      <c r="Z668" s="158"/>
      <c r="AA668" s="158"/>
      <c r="AB668" s="158"/>
      <c r="AC668" s="158"/>
      <c r="AD668" s="158"/>
      <c r="AE668" s="158"/>
      <c r="AF668" s="158"/>
      <c r="AG668" s="158"/>
    </row>
    <row r="669" ht="15.75" hidden="1" customHeight="1">
      <c r="A669" s="124"/>
      <c r="B669" s="6"/>
      <c r="C669" s="124"/>
      <c r="D669" s="185"/>
      <c r="E669" s="260"/>
      <c r="F669" s="187"/>
      <c r="G669" s="187"/>
      <c r="H669" s="195"/>
      <c r="I669" s="247"/>
      <c r="J669" s="248"/>
      <c r="K669" s="251"/>
      <c r="L669" s="164"/>
      <c r="M669" s="134"/>
      <c r="N669" s="135" t="str">
        <f>iferror(mround($P534*((VLOOKUP($J669,Sheet1!$D:$N,$G669+1,FALSE)-0.03)),2.5)," ")</f>
        <v> </v>
      </c>
      <c r="O669" s="135" t="str">
        <f>iferror(mround($P534*((VLOOKUP($J669,Sheet1!$D:$N,$G669+1,FALSE)+0.02)),2.5)," ")</f>
        <v> </v>
      </c>
      <c r="P669" s="112" t="str">
        <f>iferror(mround(I669/VLOOKUP(L669,Sheet1!$D$7:$N$16,G669+1,FALSE),2.5),"")</f>
        <v/>
      </c>
      <c r="Q669" s="303" t="str">
        <f t="shared" si="20"/>
        <v/>
      </c>
      <c r="S669" s="11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</row>
    <row r="670" ht="3.75" hidden="1" customHeight="1">
      <c r="A670" s="124"/>
      <c r="B670" s="6"/>
      <c r="C670" s="124"/>
      <c r="D670" s="263"/>
      <c r="E670" s="252"/>
      <c r="F670" s="102"/>
      <c r="G670" s="102"/>
      <c r="H670" s="102"/>
      <c r="I670" s="102"/>
      <c r="J670" s="156"/>
      <c r="K670" s="249"/>
      <c r="L670" s="210"/>
      <c r="M670" s="144"/>
      <c r="N670" s="145" t="str">
        <f>iferror(mround($P535*((VLOOKUP($J670,Sheet1!$D:$N,$G670+1,FALSE)-0.03)),2.5)," ")</f>
        <v> </v>
      </c>
      <c r="O670" s="145" t="str">
        <f>iferror(mround($P535*((VLOOKUP($J670,Sheet1!$D:$N,$G670+1,FALSE)+0.02)),2.5)," ")</f>
        <v> </v>
      </c>
      <c r="P670" s="122"/>
      <c r="Q670" s="304" t="str">
        <f t="shared" si="20"/>
        <v/>
      </c>
      <c r="S670" s="11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</row>
    <row r="671" ht="14.25" hidden="1" customHeight="1">
      <c r="A671" s="90"/>
      <c r="B671" s="6"/>
      <c r="C671" s="90"/>
      <c r="D671" s="185"/>
      <c r="E671" s="264"/>
      <c r="F671" s="187"/>
      <c r="G671" s="187"/>
      <c r="H671" s="195"/>
      <c r="I671" s="164"/>
      <c r="J671" s="248"/>
      <c r="K671" s="251"/>
      <c r="L671" s="164"/>
      <c r="M671" s="134" t="str">
        <f>I536</f>
        <v/>
      </c>
      <c r="N671" s="135" t="str">
        <f>iferror(mround($P536*((VLOOKUP($J671,Sheet1!$D:$N,$G671+1,FALSE)-0.03)),2.5)," ")</f>
        <v> </v>
      </c>
      <c r="O671" s="135" t="str">
        <f>iferror(mround($P536*((VLOOKUP($J671,Sheet1!$D:$N,$G671+1,FALSE)+0.02)),2.5)," ")</f>
        <v> </v>
      </c>
      <c r="P671" s="112" t="str">
        <f>iferror(mround(I671/VLOOKUP(L671,Sheet1!$D$7:$N$16,G671+1,FALSE),2.5),"")</f>
        <v/>
      </c>
      <c r="Q671" s="303" t="str">
        <f t="shared" si="20"/>
        <v/>
      </c>
      <c r="S671" s="11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</row>
    <row r="672" ht="3.75" hidden="1" customHeight="1">
      <c r="A672" s="261"/>
      <c r="B672" s="6"/>
      <c r="C672" s="262"/>
      <c r="D672" s="263"/>
      <c r="E672" s="263"/>
      <c r="F672" s="194"/>
      <c r="G672" s="194"/>
      <c r="H672" s="155"/>
      <c r="I672" s="210"/>
      <c r="J672" s="265"/>
      <c r="K672" s="249"/>
      <c r="L672" s="210"/>
      <c r="M672" s="144"/>
      <c r="N672" s="145"/>
      <c r="O672" s="145"/>
      <c r="P672" s="122"/>
      <c r="Q672" s="304" t="str">
        <f t="shared" si="20"/>
        <v/>
      </c>
      <c r="S672" s="157"/>
      <c r="T672" s="5"/>
      <c r="U672" s="5"/>
      <c r="V672" s="158"/>
      <c r="W672" s="158"/>
      <c r="X672" s="158"/>
      <c r="Y672" s="158"/>
      <c r="Z672" s="158"/>
      <c r="AA672" s="158"/>
      <c r="AB672" s="158"/>
      <c r="AC672" s="158"/>
      <c r="AD672" s="158"/>
      <c r="AE672" s="158"/>
      <c r="AF672" s="158"/>
      <c r="AG672" s="158"/>
    </row>
    <row r="673" ht="15.75" hidden="1" customHeight="1">
      <c r="A673" s="90"/>
      <c r="B673" s="6"/>
      <c r="C673" s="90"/>
      <c r="D673" s="185"/>
      <c r="E673" s="266"/>
      <c r="F673" s="187"/>
      <c r="G673" s="187"/>
      <c r="H673" s="195"/>
      <c r="I673" s="164"/>
      <c r="J673" s="248"/>
      <c r="K673" s="251"/>
      <c r="L673" s="164"/>
      <c r="M673" s="134"/>
      <c r="N673" s="135" t="str">
        <f>iferror(mround($P538*((VLOOKUP($J673,Sheet1!$D:$N,$G673+1,FALSE)-0.03)),2.5)," ")</f>
        <v> </v>
      </c>
      <c r="O673" s="135" t="str">
        <f>iferror(mround($P538*((VLOOKUP($J673,Sheet1!$D:$N,$G673+1,FALSE)+0.02)),2.5)," ")</f>
        <v> </v>
      </c>
      <c r="P673" s="112" t="str">
        <f>iferror(mround(I673/VLOOKUP(L673,Sheet1!$D$7:$N$16,G673+1,FALSE),2.5),"")</f>
        <v/>
      </c>
      <c r="Q673" s="303" t="str">
        <f t="shared" si="20"/>
        <v/>
      </c>
      <c r="S673" s="11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</row>
    <row r="674" ht="3.75" hidden="1" customHeight="1">
      <c r="A674" s="90"/>
      <c r="B674" s="6"/>
      <c r="C674" s="90"/>
      <c r="D674" s="138"/>
      <c r="E674" s="252"/>
      <c r="F674" s="102"/>
      <c r="G674" s="102"/>
      <c r="H674" s="102"/>
      <c r="I674" s="102"/>
      <c r="J674" s="156"/>
      <c r="K674" s="249"/>
      <c r="L674" s="210"/>
      <c r="M674" s="144"/>
      <c r="N674" s="145" t="str">
        <f>iferror(mround($P539*((VLOOKUP($J674,Sheet1!$D:$N,$G674+1,FALSE)-0.03)),2.5)," ")</f>
        <v> </v>
      </c>
      <c r="O674" s="145" t="str">
        <f>iferror(mround($P539*((VLOOKUP($J674,Sheet1!$D:$N,$G674+1,FALSE)+0.02)),2.5)," ")</f>
        <v> </v>
      </c>
      <c r="P674" s="122"/>
      <c r="Q674" s="304" t="str">
        <f t="shared" si="20"/>
        <v/>
      </c>
      <c r="S674" s="11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</row>
    <row r="675" ht="15.75" hidden="1" customHeight="1">
      <c r="A675" s="90"/>
      <c r="B675" s="6"/>
      <c r="C675" s="90"/>
      <c r="D675" s="185"/>
      <c r="E675" s="264"/>
      <c r="F675" s="187"/>
      <c r="G675" s="187"/>
      <c r="H675" s="195"/>
      <c r="I675" s="164"/>
      <c r="J675" s="248"/>
      <c r="K675" s="251"/>
      <c r="L675" s="164"/>
      <c r="M675" s="134" t="str">
        <f>I540</f>
        <v/>
      </c>
      <c r="N675" s="135" t="str">
        <f>iferror(mround($P540*((VLOOKUP($J675,Sheet1!$D:$N,$G675+1,FALSE)-0.03)),2.5)," ")</f>
        <v> </v>
      </c>
      <c r="O675" s="135" t="str">
        <f>iferror(mround($P540*((VLOOKUP($J675,Sheet1!$D:$N,$G675+1,FALSE)+0.02)),2.5)," ")</f>
        <v> </v>
      </c>
      <c r="P675" s="112" t="str">
        <f>iferror(mround(I675/VLOOKUP(L675,Sheet1!$D$7:$N$16,G675+1,FALSE),2.5),"")</f>
        <v/>
      </c>
      <c r="Q675" s="303" t="str">
        <f t="shared" si="20"/>
        <v/>
      </c>
      <c r="S675" s="11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</row>
    <row r="676" ht="3.75" hidden="1" customHeight="1">
      <c r="A676" s="191"/>
      <c r="B676" s="6"/>
      <c r="C676" s="192"/>
      <c r="D676" s="138"/>
      <c r="E676" s="252"/>
      <c r="F676" s="102"/>
      <c r="G676" s="102"/>
      <c r="H676" s="102"/>
      <c r="I676" s="102"/>
      <c r="J676" s="156"/>
      <c r="K676" s="249"/>
      <c r="L676" s="210"/>
      <c r="M676" s="144"/>
      <c r="N676" s="145"/>
      <c r="O676" s="145"/>
      <c r="P676" s="122"/>
      <c r="Q676" s="304" t="str">
        <f t="shared" si="20"/>
        <v/>
      </c>
      <c r="S676" s="157"/>
      <c r="T676" s="5"/>
      <c r="U676" s="5"/>
      <c r="V676" s="158"/>
      <c r="W676" s="158"/>
      <c r="X676" s="158"/>
      <c r="Y676" s="158"/>
      <c r="Z676" s="158"/>
      <c r="AA676" s="158"/>
      <c r="AB676" s="158"/>
      <c r="AC676" s="158"/>
      <c r="AD676" s="158"/>
      <c r="AE676" s="158"/>
      <c r="AF676" s="158"/>
      <c r="AG676" s="158"/>
    </row>
    <row r="677" ht="15.75" hidden="1" customHeight="1">
      <c r="A677" s="90"/>
      <c r="B677" s="6"/>
      <c r="C677" s="90"/>
      <c r="D677" s="185"/>
      <c r="E677" s="260"/>
      <c r="F677" s="187"/>
      <c r="G677" s="187"/>
      <c r="H677" s="195"/>
      <c r="I677" s="164"/>
      <c r="J677" s="248"/>
      <c r="K677" s="251"/>
      <c r="L677" s="164"/>
      <c r="M677" s="134" t="str">
        <f>I542</f>
        <v/>
      </c>
      <c r="N677" s="135" t="str">
        <f>iferror(mround($P542*((VLOOKUP($J677,Sheet1!$D:$N,$G677+1,FALSE)-0.03)),2.5)," ")</f>
        <v> </v>
      </c>
      <c r="O677" s="135" t="str">
        <f>iferror(mround($P542*((VLOOKUP($J677,Sheet1!$D:$N,$G677+1,FALSE)+0.02)),2.5)," ")</f>
        <v> </v>
      </c>
      <c r="P677" s="112" t="str">
        <f>iferror(mround(I677/VLOOKUP(L677,Sheet1!$D$7:$N$16,G677+1,FALSE),2.5),"")</f>
        <v/>
      </c>
      <c r="Q677" s="303" t="str">
        <f t="shared" si="20"/>
        <v/>
      </c>
      <c r="S677" s="11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</row>
    <row r="678" ht="3.75" hidden="1" customHeight="1">
      <c r="A678" s="90"/>
      <c r="B678" s="6"/>
      <c r="C678" s="90"/>
      <c r="D678" s="263"/>
      <c r="E678" s="252"/>
      <c r="F678" s="102"/>
      <c r="G678" s="102"/>
      <c r="H678" s="102"/>
      <c r="I678" s="102"/>
      <c r="J678" s="156"/>
      <c r="K678" s="249"/>
      <c r="L678" s="210"/>
      <c r="M678" s="144"/>
      <c r="N678" s="145"/>
      <c r="O678" s="145"/>
      <c r="P678" s="122"/>
      <c r="Q678" s="304" t="str">
        <f t="shared" si="20"/>
        <v/>
      </c>
      <c r="S678" s="11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</row>
    <row r="679" ht="15.75" hidden="1" customHeight="1">
      <c r="A679" s="90"/>
      <c r="B679" s="6"/>
      <c r="C679" s="90"/>
      <c r="D679" s="185"/>
      <c r="E679" s="266"/>
      <c r="F679" s="187"/>
      <c r="G679" s="187"/>
      <c r="H679" s="195"/>
      <c r="I679" s="164"/>
      <c r="J679" s="248"/>
      <c r="K679" s="251"/>
      <c r="L679" s="164"/>
      <c r="M679" s="134" t="str">
        <f>I544</f>
        <v/>
      </c>
      <c r="N679" s="135" t="str">
        <f>iferror(mround($P544*((VLOOKUP($J679,Sheet1!$D:$N,$G679+1,FALSE)-0.03)),2.5)," ")</f>
        <v> </v>
      </c>
      <c r="O679" s="135" t="str">
        <f>iferror(mround($P544*((VLOOKUP($J679,Sheet1!$D:$N,$G679+1,FALSE)+0.02)),2.5)," ")</f>
        <v> </v>
      </c>
      <c r="P679" s="112" t="str">
        <f>iferror(mround(I679/VLOOKUP(L679,Sheet1!$D$7:$N$16,G679+1,FALSE),2.5),"")</f>
        <v/>
      </c>
      <c r="Q679" s="303" t="str">
        <f t="shared" si="20"/>
        <v/>
      </c>
      <c r="S679" s="11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</row>
    <row r="680" ht="3.75" hidden="1" customHeight="1">
      <c r="A680" s="191"/>
      <c r="B680" s="6"/>
      <c r="C680" s="192"/>
      <c r="D680" s="192"/>
      <c r="E680" s="267"/>
      <c r="F680" s="194"/>
      <c r="G680" s="194"/>
      <c r="H680" s="155"/>
      <c r="I680" s="210"/>
      <c r="J680" s="268"/>
      <c r="K680" s="249"/>
      <c r="L680" s="269"/>
      <c r="M680" s="270"/>
      <c r="N680" s="269"/>
      <c r="O680" s="269"/>
      <c r="P680" s="271"/>
      <c r="Q680" s="272"/>
      <c r="R680" s="273"/>
      <c r="S680" s="157"/>
      <c r="T680" s="5"/>
      <c r="U680" s="5"/>
      <c r="V680" s="158"/>
      <c r="W680" s="158"/>
      <c r="X680" s="158"/>
      <c r="Y680" s="158"/>
      <c r="Z680" s="158"/>
      <c r="AA680" s="158"/>
      <c r="AB680" s="158"/>
      <c r="AC680" s="158"/>
      <c r="AD680" s="158"/>
      <c r="AE680" s="158"/>
      <c r="AF680" s="158"/>
      <c r="AG680" s="158"/>
    </row>
    <row r="681" ht="14.25" customHeight="1">
      <c r="A681" s="5"/>
      <c r="B681" s="6"/>
      <c r="C681" s="5"/>
      <c r="D681" s="274"/>
      <c r="E681" s="266"/>
      <c r="F681" s="187"/>
      <c r="G681" s="187"/>
      <c r="H681" s="195"/>
      <c r="I681" s="129"/>
      <c r="J681" s="275"/>
      <c r="K681" s="276"/>
      <c r="L681" s="187"/>
      <c r="M681" s="187"/>
      <c r="N681" s="187"/>
      <c r="O681" s="187"/>
      <c r="P681" s="277"/>
      <c r="Q681" s="278"/>
      <c r="R681" s="279"/>
      <c r="S681" s="11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</row>
    <row r="682" ht="14.25" customHeight="1">
      <c r="A682" s="5"/>
      <c r="B682" s="6"/>
      <c r="C682" s="5"/>
      <c r="D682" s="274" t="s">
        <v>59</v>
      </c>
      <c r="E682" s="266" t="s">
        <v>16</v>
      </c>
      <c r="F682" s="187" t="s">
        <v>17</v>
      </c>
      <c r="G682" s="187" t="s">
        <v>60</v>
      </c>
      <c r="H682" s="187"/>
      <c r="I682" s="280" t="s">
        <v>61</v>
      </c>
      <c r="J682" s="266" t="s">
        <v>62</v>
      </c>
      <c r="K682" s="274"/>
      <c r="L682" s="187"/>
      <c r="M682" s="285"/>
      <c r="N682" s="285"/>
      <c r="O682" s="285"/>
      <c r="P682" s="282"/>
      <c r="Q682" s="278"/>
      <c r="R682" s="157"/>
      <c r="S682" s="11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</row>
    <row r="683" ht="14.25" customHeight="1">
      <c r="A683" s="5"/>
      <c r="B683" s="6"/>
      <c r="C683" s="5"/>
      <c r="D683" s="274" t="s">
        <v>6</v>
      </c>
      <c r="E683" s="283">
        <f>IFERROR(__xludf.DUMMYFUNCTION("SUM(FILTER(F558:F682, ISNUMBER(SEARCH(""squat"", D558:D682))))"),6.0)</f>
        <v>6</v>
      </c>
      <c r="F683" s="284">
        <f>IFERROR(__xludf.DUMMYFUNCTION("SUMPRODUCT(FILTER(F558:F682 * G558:G682, ISNUMBER(SEARCH(""squat"", D558:D682))))"),30.0)</f>
        <v>30</v>
      </c>
      <c r="G683" s="135">
        <f>IFERROR(__xludf.DUMMYFUNCTION("ROUND(SUMPRODUCT(FILTER(F558:F682 * G558:G682 * I558:I682, ISNUMBER(SEARCH(""squat"", D558:D682)))), 0)"),9950.0)</f>
        <v>9950</v>
      </c>
      <c r="H683" s="285"/>
      <c r="I683" s="135" t="str">
        <f>IFERROR(__xludf.DUMMYFUNCTION("ROUND(AVERAGE(FILTER(I558:I682, ISNUMBER(SEARCH(""squat"", D558:D682)), I558:I682 &lt;&gt; """")) / J683 * 100, 0)"),"#VALUE!")</f>
        <v>#VALUE!</v>
      </c>
      <c r="J683" s="283" t="str">
        <f>IFERROR(__xludf.DUMMYFUNCTION("IFERROR(MROUND(AVERAGE(FILTER(P558:P682, D558:D682 = ""comp squat"", P558:P682 &lt;&gt; """", P558:P682 &gt;= 0.9 * MAX(FILTER(P558:P682, D558:D682 = ""comp squat"", P558:P682 &lt;&gt; """")), P558:P682 &lt;= 1.1 * MAX(FILTER(P558:P682, D558:D682 = ""comp squat"", P558:P68"&amp;"2 &lt;&gt; """")))), 2.5), ""No valid data"")"),"No valid data")</f>
        <v>No valid data</v>
      </c>
      <c r="K683" s="286"/>
      <c r="L683" s="287" t="str">
        <f>MROUND(J683/2.2046,2.5)-$O$10</f>
        <v>#VALUE!</v>
      </c>
      <c r="M683" s="305"/>
      <c r="N683" s="334">
        <f>ROUND(ABS((F683 - F548) / F548) * 100, 0)</f>
        <v>3</v>
      </c>
      <c r="O683" s="335" t="s">
        <v>114</v>
      </c>
      <c r="P683" s="282"/>
      <c r="Q683" s="278"/>
      <c r="R683" s="291"/>
      <c r="S683" s="11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</row>
    <row r="684" ht="3.0" customHeight="1">
      <c r="A684" s="5"/>
      <c r="B684" s="6"/>
      <c r="C684" s="5"/>
      <c r="D684" s="90"/>
      <c r="E684" s="156"/>
      <c r="F684" s="102"/>
      <c r="G684" s="145"/>
      <c r="H684" s="102"/>
      <c r="I684" s="145"/>
      <c r="J684" s="156"/>
      <c r="K684" s="286"/>
      <c r="L684" s="292"/>
      <c r="M684" s="284"/>
      <c r="N684" s="336"/>
      <c r="O684" s="336"/>
      <c r="P684" s="282"/>
      <c r="Q684" s="278"/>
      <c r="R684" s="115"/>
      <c r="S684" s="11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</row>
    <row r="685" ht="15.75" customHeight="1">
      <c r="A685" s="5"/>
      <c r="B685" s="6"/>
      <c r="C685" s="5"/>
      <c r="D685" s="274" t="s">
        <v>66</v>
      </c>
      <c r="E685" s="293">
        <f>IFERROR(__xludf.DUMMYFUNCTION("SUM(FILTER(F558:F682, ISNUMBER(SEARCH(""bench press"", D558:D682))))"),15.0)</f>
        <v>15</v>
      </c>
      <c r="F685" s="284">
        <f>IFERROR(__xludf.DUMMYFUNCTION("SUMPRODUCT(FILTER(F559:F683 * G559:G683, ISNUMBER(SEARCH(""bench press"", D559:D683))))"),49.0)</f>
        <v>49</v>
      </c>
      <c r="G685" s="135">
        <f>IFERROR(__xludf.DUMMYFUNCTION("ROUND(SUMPRODUCT(FILTER(F558:F682 * G558:G682 * I558:I682, ISNUMBER(SEARCH(""bench press"", D558:D682)))), 0)"),12385.0)</f>
        <v>12385</v>
      </c>
      <c r="H685" s="285"/>
      <c r="I685" s="135">
        <f>IFERROR(__xludf.DUMMYFUNCTION("ROUND(AVERAGE(FILTER(I558:I682, ISNUMBER(SEARCH(""bench press"", D558:D682)), I558:I682 &lt;&gt; """")) / J685 * 100, 0)"),77.0)</f>
        <v>77</v>
      </c>
      <c r="J685" s="293">
        <f>IFERROR(__xludf.DUMMYFUNCTION("IFERROR(MROUND(AVERAGE(FILTER(P558:P682, D558:D682 = ""comp bench press"", P558:P682 &lt;&gt; """", P558:P682 &gt;= 0.9 * MAX(FILTER(P558:P682, D558:D682 = ""comp bench press"", P558:P682 &lt;&gt; """")), P558:P682 &lt;= 1.1 * MAX(FILTER(P558:P682, D558:D682 = ""comp bench"&amp;" press"", P558:P682 &lt;&gt; """")))), 2.5), ""No valid data"")"),335.0)</f>
        <v>335</v>
      </c>
      <c r="K685" s="286"/>
      <c r="L685" s="294">
        <f>MROUND(J685/2.2046,2.5)-$O$11</f>
        <v>0</v>
      </c>
      <c r="M685" s="285"/>
      <c r="N685" s="337">
        <f>ROUND(ABS((F685 - F550) / F550) * 100, 0)</f>
        <v>28</v>
      </c>
      <c r="O685" s="335" t="s">
        <v>114</v>
      </c>
      <c r="P685" s="282"/>
      <c r="Q685" s="278"/>
      <c r="R685" s="157"/>
      <c r="S685" s="11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</row>
    <row r="686" ht="3.0" customHeight="1">
      <c r="A686" s="5"/>
      <c r="B686" s="6"/>
      <c r="C686" s="5"/>
      <c r="D686" s="90"/>
      <c r="E686" s="156"/>
      <c r="F686" s="102"/>
      <c r="G686" s="145"/>
      <c r="H686" s="102"/>
      <c r="I686" s="145"/>
      <c r="J686" s="156"/>
      <c r="K686" s="286"/>
      <c r="L686" s="292"/>
      <c r="M686" s="285"/>
      <c r="N686" s="338"/>
      <c r="O686" s="336"/>
      <c r="P686" s="282"/>
      <c r="Q686" s="278"/>
      <c r="R686" s="157"/>
      <c r="S686" s="11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</row>
    <row r="687" ht="14.25" customHeight="1">
      <c r="A687" s="5"/>
      <c r="B687" s="6"/>
      <c r="C687" s="5"/>
      <c r="D687" s="274" t="s">
        <v>10</v>
      </c>
      <c r="E687" s="293">
        <f>IFERROR(__xludf.DUMMYFUNCTION("SUM(FILTER(F558:F682, ISNUMBER(SEARCH(""deadlift"", D558:D682))))"),5.0)</f>
        <v>5</v>
      </c>
      <c r="F687" s="284">
        <f>IFERROR(__xludf.DUMMYFUNCTION("SUMPRODUCT(FILTER(F558:F682 * G558:G682, ISNUMBER(SEARCH(""deadlift"", D558:D682))))"),18.0)</f>
        <v>18</v>
      </c>
      <c r="G687" s="135">
        <f>IFERROR(__xludf.DUMMYFUNCTION("ROUND(SUMPRODUCT(FILTER(F558:F682 * G558:G682 * I558:I682, ISNUMBER(SEARCH(""deadlift"", D558:D682)))), 0)"),7050.0)</f>
        <v>7050</v>
      </c>
      <c r="H687" s="285"/>
      <c r="I687" s="135" t="str">
        <f>IFERROR(__xludf.DUMMYFUNCTION("ROUND(AVERAGE(FILTER(I558:I682, ISNUMBER(SEARCH(""deadlift"", D558:D682)), I558:I682 &lt;&gt; """")) / J687 * 100, 0)"),"#VALUE!")</f>
        <v>#VALUE!</v>
      </c>
      <c r="J687" s="293" t="str">
        <f>IFERROR(__xludf.DUMMYFUNCTION("IFERROR(MROUND(AVERAGE(FILTER(P558:P682, D558:D682 = ""comp deadlift"", P558:P682 &lt;&gt; """", P558:P682 &gt;= 0.9 * MAX(FILTER(P558:P682, D558:D682 = ""comp deadlift"", P558:P682 &lt;&gt; """")), P558:P682 &lt;= 1.1 * MAX(FILTER(P558:P682, D558:D682 = ""comp deadlift"","&amp;" P558:P682 &lt;&gt; """")))), 2.5), ""No valid data"")"),"No valid data")</f>
        <v>No valid data</v>
      </c>
      <c r="K687" s="286"/>
      <c r="L687" s="294" t="str">
        <f>MROUND(J687/2.2046,2.5)-$O$12</f>
        <v>#VALUE!</v>
      </c>
      <c r="M687" s="285"/>
      <c r="N687" s="337">
        <f>ROUND(ABS((F687 - F552) / F552) * 100, 0)</f>
        <v>10</v>
      </c>
      <c r="O687" s="339" t="s">
        <v>114</v>
      </c>
      <c r="P687" s="282"/>
      <c r="Q687" s="278"/>
      <c r="R687" s="157"/>
      <c r="S687" s="11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</row>
    <row r="688" ht="14.25" customHeight="1">
      <c r="A688" s="5"/>
      <c r="B688" s="6"/>
      <c r="C688" s="5"/>
      <c r="D688" s="274"/>
      <c r="E688" s="266"/>
      <c r="F688" s="187"/>
      <c r="G688" s="187"/>
      <c r="H688" s="187"/>
      <c r="I688" s="187"/>
      <c r="J688" s="295"/>
      <c r="K688" s="274"/>
      <c r="L688" s="187"/>
      <c r="M688" s="285"/>
      <c r="N688" s="285"/>
      <c r="O688" s="285"/>
      <c r="P688" s="282"/>
      <c r="Q688" s="278"/>
      <c r="R688" s="157"/>
      <c r="S688" s="11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</row>
    <row r="689" ht="14.25" customHeight="1">
      <c r="A689" s="5"/>
      <c r="B689" s="2"/>
      <c r="C689" s="5"/>
      <c r="D689" s="5"/>
      <c r="E689" s="75"/>
      <c r="F689" s="3"/>
      <c r="G689" s="3"/>
      <c r="H689" s="3"/>
      <c r="I689" s="3"/>
      <c r="J689" s="75"/>
      <c r="K689" s="5"/>
      <c r="L689" s="3"/>
      <c r="M689" s="47"/>
      <c r="N689" s="3"/>
      <c r="O689" s="3"/>
      <c r="P689" s="3"/>
      <c r="Q689" s="4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</row>
    <row r="690" ht="14.25" customHeight="1">
      <c r="A690" s="5"/>
      <c r="B690" s="2"/>
      <c r="C690" s="5"/>
      <c r="D690" s="5"/>
      <c r="E690" s="75"/>
      <c r="F690" s="3"/>
      <c r="G690" s="3"/>
      <c r="H690" s="3"/>
      <c r="I690" s="3"/>
      <c r="J690" s="75"/>
      <c r="K690" s="5"/>
      <c r="L690" s="3"/>
      <c r="M690" s="47"/>
      <c r="N690" s="3"/>
      <c r="O690" s="3"/>
      <c r="P690" s="3"/>
      <c r="Q690" s="4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</row>
  </sheetData>
  <mergeCells count="245">
    <mergeCell ref="G496:G497"/>
    <mergeCell ref="I496:I497"/>
    <mergeCell ref="J496:K497"/>
    <mergeCell ref="L496:L497"/>
    <mergeCell ref="M496:M497"/>
    <mergeCell ref="N496:O496"/>
    <mergeCell ref="Q496:Q497"/>
    <mergeCell ref="F496:F497"/>
    <mergeCell ref="F519:F520"/>
    <mergeCell ref="G519:G520"/>
    <mergeCell ref="I519:I520"/>
    <mergeCell ref="J519:K520"/>
    <mergeCell ref="L519:L520"/>
    <mergeCell ref="M519:M520"/>
    <mergeCell ref="L583:L584"/>
    <mergeCell ref="M583:M584"/>
    <mergeCell ref="L558:L559"/>
    <mergeCell ref="M558:M559"/>
    <mergeCell ref="N558:O558"/>
    <mergeCell ref="Q558:Q559"/>
    <mergeCell ref="R560:R582"/>
    <mergeCell ref="F583:F584"/>
    <mergeCell ref="G583:G584"/>
    <mergeCell ref="I583:I584"/>
    <mergeCell ref="J583:K584"/>
    <mergeCell ref="G608:G609"/>
    <mergeCell ref="I608:I609"/>
    <mergeCell ref="J608:K609"/>
    <mergeCell ref="L608:L609"/>
    <mergeCell ref="M608:M609"/>
    <mergeCell ref="R610:R630"/>
    <mergeCell ref="R633:R653"/>
    <mergeCell ref="R656:R679"/>
    <mergeCell ref="N583:O583"/>
    <mergeCell ref="Q583:Q584"/>
    <mergeCell ref="R585:R607"/>
    <mergeCell ref="N608:O608"/>
    <mergeCell ref="Q608:Q609"/>
    <mergeCell ref="N631:O631"/>
    <mergeCell ref="Q631:Q632"/>
    <mergeCell ref="F654:F655"/>
    <mergeCell ref="G654:G655"/>
    <mergeCell ref="I654:I655"/>
    <mergeCell ref="J654:K655"/>
    <mergeCell ref="L654:L655"/>
    <mergeCell ref="M654:M655"/>
    <mergeCell ref="N654:O654"/>
    <mergeCell ref="Q654:Q655"/>
    <mergeCell ref="F608:F609"/>
    <mergeCell ref="F631:F632"/>
    <mergeCell ref="G631:G632"/>
    <mergeCell ref="I631:I632"/>
    <mergeCell ref="J631:K632"/>
    <mergeCell ref="L631:L632"/>
    <mergeCell ref="M631:M632"/>
    <mergeCell ref="J423:K424"/>
    <mergeCell ref="L423:L424"/>
    <mergeCell ref="M423:M424"/>
    <mergeCell ref="N423:O423"/>
    <mergeCell ref="Q423:Q424"/>
    <mergeCell ref="F384:F385"/>
    <mergeCell ref="E420:F420"/>
    <mergeCell ref="J420:L420"/>
    <mergeCell ref="E421:F421"/>
    <mergeCell ref="F423:F424"/>
    <mergeCell ref="G423:G424"/>
    <mergeCell ref="I423:I424"/>
    <mergeCell ref="G448:G449"/>
    <mergeCell ref="I448:I449"/>
    <mergeCell ref="J448:K449"/>
    <mergeCell ref="L448:L449"/>
    <mergeCell ref="M448:M449"/>
    <mergeCell ref="N448:O448"/>
    <mergeCell ref="Q448:Q449"/>
    <mergeCell ref="N473:O473"/>
    <mergeCell ref="Q473:Q474"/>
    <mergeCell ref="F448:F449"/>
    <mergeCell ref="F473:F474"/>
    <mergeCell ref="G473:G474"/>
    <mergeCell ref="I473:I474"/>
    <mergeCell ref="J473:K474"/>
    <mergeCell ref="L473:L474"/>
    <mergeCell ref="M473:M474"/>
    <mergeCell ref="N519:O519"/>
    <mergeCell ref="Q519:Q520"/>
    <mergeCell ref="E555:F555"/>
    <mergeCell ref="J555:L555"/>
    <mergeCell ref="E556:F556"/>
    <mergeCell ref="F558:F559"/>
    <mergeCell ref="G558:G559"/>
    <mergeCell ref="I558:I559"/>
    <mergeCell ref="J558:K559"/>
    <mergeCell ref="F43:F44"/>
    <mergeCell ref="F68:F69"/>
    <mergeCell ref="G68:G69"/>
    <mergeCell ref="I68:I69"/>
    <mergeCell ref="J68:K69"/>
    <mergeCell ref="L68:L69"/>
    <mergeCell ref="F91:F92"/>
    <mergeCell ref="G91:G92"/>
    <mergeCell ref="I91:I92"/>
    <mergeCell ref="F114:F115"/>
    <mergeCell ref="G114:G115"/>
    <mergeCell ref="I114:I115"/>
    <mergeCell ref="J114:K115"/>
    <mergeCell ref="L114:L115"/>
    <mergeCell ref="I153:I154"/>
    <mergeCell ref="J153:K154"/>
    <mergeCell ref="N153:O153"/>
    <mergeCell ref="Q153:Q154"/>
    <mergeCell ref="M114:M115"/>
    <mergeCell ref="N114:O114"/>
    <mergeCell ref="Q114:Q115"/>
    <mergeCell ref="E150:F150"/>
    <mergeCell ref="J150:L150"/>
    <mergeCell ref="F153:F154"/>
    <mergeCell ref="G153:G154"/>
    <mergeCell ref="M178:M179"/>
    <mergeCell ref="N178:O178"/>
    <mergeCell ref="Q178:Q179"/>
    <mergeCell ref="L153:L154"/>
    <mergeCell ref="M153:M154"/>
    <mergeCell ref="F178:F179"/>
    <mergeCell ref="G178:G179"/>
    <mergeCell ref="I178:I179"/>
    <mergeCell ref="J178:K179"/>
    <mergeCell ref="L178:L179"/>
    <mergeCell ref="G203:G204"/>
    <mergeCell ref="I203:I204"/>
    <mergeCell ref="J203:K204"/>
    <mergeCell ref="L203:L204"/>
    <mergeCell ref="M203:M204"/>
    <mergeCell ref="N203:O203"/>
    <mergeCell ref="Q203:Q204"/>
    <mergeCell ref="F203:F204"/>
    <mergeCell ref="F226:F227"/>
    <mergeCell ref="G226:G227"/>
    <mergeCell ref="I226:I227"/>
    <mergeCell ref="J226:K227"/>
    <mergeCell ref="L226:L227"/>
    <mergeCell ref="M226:M227"/>
    <mergeCell ref="R45:R67"/>
    <mergeCell ref="R70:R90"/>
    <mergeCell ref="R93:R113"/>
    <mergeCell ref="R116:R139"/>
    <mergeCell ref="R155:R177"/>
    <mergeCell ref="R180:R202"/>
    <mergeCell ref="R205:R225"/>
    <mergeCell ref="R425:R447"/>
    <mergeCell ref="R450:R472"/>
    <mergeCell ref="R475:R495"/>
    <mergeCell ref="R498:R518"/>
    <mergeCell ref="R521:R544"/>
    <mergeCell ref="R228:R248"/>
    <mergeCell ref="R251:R274"/>
    <mergeCell ref="R290:R312"/>
    <mergeCell ref="R315:R337"/>
    <mergeCell ref="R340:R360"/>
    <mergeCell ref="R363:R383"/>
    <mergeCell ref="R386:R409"/>
    <mergeCell ref="E8:F8"/>
    <mergeCell ref="I8:K8"/>
    <mergeCell ref="N8:O8"/>
    <mergeCell ref="I10:J10"/>
    <mergeCell ref="R10:R11"/>
    <mergeCell ref="I11:L11"/>
    <mergeCell ref="J15:L15"/>
    <mergeCell ref="E15:F15"/>
    <mergeCell ref="E16:F16"/>
    <mergeCell ref="F18:F19"/>
    <mergeCell ref="G18:G19"/>
    <mergeCell ref="I18:I19"/>
    <mergeCell ref="J18:K19"/>
    <mergeCell ref="L18:L19"/>
    <mergeCell ref="G43:G44"/>
    <mergeCell ref="I43:I44"/>
    <mergeCell ref="J43:K44"/>
    <mergeCell ref="L43:L44"/>
    <mergeCell ref="M43:M44"/>
    <mergeCell ref="N43:O43"/>
    <mergeCell ref="Q43:Q44"/>
    <mergeCell ref="M18:M19"/>
    <mergeCell ref="N18:O18"/>
    <mergeCell ref="Q18:Q19"/>
    <mergeCell ref="R20:R42"/>
    <mergeCell ref="M68:M69"/>
    <mergeCell ref="N68:O68"/>
    <mergeCell ref="Q68:Q69"/>
    <mergeCell ref="J91:K92"/>
    <mergeCell ref="L91:L92"/>
    <mergeCell ref="M91:M92"/>
    <mergeCell ref="N91:O91"/>
    <mergeCell ref="Q91:Q92"/>
    <mergeCell ref="N226:O226"/>
    <mergeCell ref="Q226:Q227"/>
    <mergeCell ref="F249:F250"/>
    <mergeCell ref="G249:G250"/>
    <mergeCell ref="I249:I250"/>
    <mergeCell ref="J249:K250"/>
    <mergeCell ref="L249:L250"/>
    <mergeCell ref="Q249:Q250"/>
    <mergeCell ref="L288:L289"/>
    <mergeCell ref="M288:M289"/>
    <mergeCell ref="Q288:Q289"/>
    <mergeCell ref="M249:M250"/>
    <mergeCell ref="N249:O249"/>
    <mergeCell ref="E285:F285"/>
    <mergeCell ref="J285:L285"/>
    <mergeCell ref="E286:F286"/>
    <mergeCell ref="F288:F289"/>
    <mergeCell ref="G288:G289"/>
    <mergeCell ref="N288:O288"/>
    <mergeCell ref="M313:M314"/>
    <mergeCell ref="N313:O313"/>
    <mergeCell ref="Q313:Q314"/>
    <mergeCell ref="I288:I289"/>
    <mergeCell ref="J288:K289"/>
    <mergeCell ref="F313:F314"/>
    <mergeCell ref="G313:G314"/>
    <mergeCell ref="I313:I314"/>
    <mergeCell ref="J313:K314"/>
    <mergeCell ref="L313:L314"/>
    <mergeCell ref="G338:G339"/>
    <mergeCell ref="I338:I339"/>
    <mergeCell ref="J338:K339"/>
    <mergeCell ref="L338:L339"/>
    <mergeCell ref="M338:M339"/>
    <mergeCell ref="N338:O338"/>
    <mergeCell ref="Q338:Q339"/>
    <mergeCell ref="N361:O361"/>
    <mergeCell ref="Q361:Q362"/>
    <mergeCell ref="F338:F339"/>
    <mergeCell ref="F361:F362"/>
    <mergeCell ref="G361:G362"/>
    <mergeCell ref="I361:I362"/>
    <mergeCell ref="J361:K362"/>
    <mergeCell ref="L361:L362"/>
    <mergeCell ref="M361:M362"/>
    <mergeCell ref="G384:G385"/>
    <mergeCell ref="I384:I385"/>
    <mergeCell ref="J384:K385"/>
    <mergeCell ref="L384:L385"/>
    <mergeCell ref="M384:M385"/>
    <mergeCell ref="N384:O384"/>
    <mergeCell ref="Q384:Q385"/>
  </mergeCells>
  <conditionalFormatting sqref="Q20:Q42 Q45:Q67 Q70:Q90 Q93:Q113 Q116:Q139 Q155:Q274 Q290:Q409 Q425:Q544 Q560:Q679">
    <cfRule type="cellIs" dxfId="0" priority="1" operator="greaterThan">
      <formula>0</formula>
    </cfRule>
  </conditionalFormatting>
  <conditionalFormatting sqref="Q20:Q42 Q45:Q67 Q70:Q90 Q93:Q113 Q116:Q139 Q155:Q274 Q290:Q409 Q425:Q544 Q560:Q679">
    <cfRule type="cellIs" dxfId="1" priority="2" operator="lessThan">
      <formula>0</formula>
    </cfRule>
  </conditionalFormatting>
  <conditionalFormatting sqref="D1:D15 F9:F13 O10:O13 D17:D150 D152:D285 D287:D420 D422:D690">
    <cfRule type="containsText" dxfId="2" priority="3" operator="containsText" text="squat">
      <formula>NOT(ISERROR(SEARCH(("squat"),(D1))))</formula>
    </cfRule>
  </conditionalFormatting>
  <conditionalFormatting sqref="D1:D15 F9:F13 O10:O13 D17:D150 D152:D285 D287:D420 D422:D690">
    <cfRule type="containsText" dxfId="3" priority="4" operator="containsText" text="bench press">
      <formula>NOT(ISERROR(SEARCH(("bench press"),(D1))))</formula>
    </cfRule>
  </conditionalFormatting>
  <conditionalFormatting sqref="D1:D15 F9:F13 O10:O13 D17:D150 D152:D285 D287:D420 D422:D690">
    <cfRule type="containsText" dxfId="4" priority="5" operator="containsText" text="deadlift">
      <formula>NOT(ISERROR(SEARCH(("deadlift"),(D1))))</formula>
    </cfRule>
  </conditionalFormatting>
  <conditionalFormatting sqref="I1:I690">
    <cfRule type="expression" dxfId="5" priority="6">
      <formula>isformula(I1:I690)</formula>
    </cfRule>
  </conditionalFormatting>
  <conditionalFormatting sqref="L143:L147 L278:L282 L413:L417 L548:L552 L683:L687">
    <cfRule type="cellIs" dxfId="6" priority="7" operator="greaterThanOrEqual">
      <formula>0</formula>
    </cfRule>
  </conditionalFormatting>
  <conditionalFormatting sqref="L143:L147 L278:L282 L413:L417 L548:L552 L683:L687">
    <cfRule type="cellIs" dxfId="7" priority="8" operator="lessThan">
      <formula>0</formula>
    </cfRule>
  </conditionalFormatting>
  <dataValidations>
    <dataValidation type="list" allowBlank="1" showErrorMessage="1" sqref="E18 E43 E68 E91 E153 E178 E203 E226 E288 E313 E338 E361 E423 E448 E473 E496 E558 E583 E608 E631">
      <formula1>"day,Sun,Mon,Tues,Wed,Thurs,Fri,Sat"</formula1>
    </dataValidation>
    <dataValidation type="list" allowBlank="1" showErrorMessage="1" sqref="D19 D44 D69 D92 D115 D154 D179 D204 D227 D250 D289 D314 D339 D362 D385 D424 D449 D474 D497 D520 D559 D584 D609 D632 D655">
      <formula1>"motivation,5 (high),4,3,2,1 (low)"</formula1>
    </dataValidation>
    <dataValidation type="list" allowBlank="1" showErrorMessage="1" sqref="E19 E44 E69 E92 E115 E154 E179 E204 E227 E250 E289 E314 E339 E362 E385 E424 E449 E474 E497 E520 E559 E584 E609 E632 E655">
      <formula1>"fatigue,5 (high),4,3,2,1 (low)"</formula1>
    </dataValidation>
    <dataValidation type="list" allowBlank="1" showErrorMessage="1" sqref="E114 E249 E384 E519 E654">
      <formula1>"day,Sunday,Monday,Tuesday,Wednesday,Thursday,Friday,Saturday"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.0"/>
    <col customWidth="1" min="2" max="2" width="2.38"/>
    <col customWidth="1" min="3" max="3" width="1.0"/>
    <col customWidth="1" min="4" max="4" width="20.88"/>
    <col customWidth="1" min="5" max="5" width="8.25"/>
    <col customWidth="1" min="6" max="6" width="4.38"/>
    <col customWidth="1" min="7" max="7" width="4.88"/>
    <col customWidth="1" min="8" max="8" width="0.38"/>
    <col customWidth="1" min="9" max="9" width="5.38"/>
    <col customWidth="1" min="10" max="10" width="4.25"/>
    <col customWidth="1" min="11" max="11" width="8.13"/>
    <col customWidth="1" min="12" max="12" width="5.88"/>
    <col customWidth="1" min="13" max="13" width="5.13"/>
    <col customWidth="1" min="14" max="14" width="5.5"/>
    <col customWidth="1" min="15" max="15" width="4.63"/>
    <col customWidth="1" min="16" max="16" width="5.13"/>
    <col customWidth="1" min="17" max="17" width="4.75"/>
    <col customWidth="1" min="18" max="18" width="31.5"/>
    <col customWidth="1" min="19" max="33" width="9.0"/>
  </cols>
  <sheetData>
    <row r="1" ht="5.2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3"/>
      <c r="L1" s="3"/>
      <c r="M1" s="3"/>
      <c r="N1" s="3"/>
      <c r="O1" s="3"/>
      <c r="P1" s="3"/>
      <c r="Q1" s="4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ht="13.5" customHeight="1">
      <c r="A2" s="1"/>
      <c r="B2" s="6"/>
      <c r="C2" s="7"/>
      <c r="D2" s="7"/>
      <c r="E2" s="7"/>
      <c r="F2" s="7"/>
      <c r="G2" s="7"/>
      <c r="H2" s="7"/>
      <c r="I2" s="7"/>
      <c r="J2" s="7"/>
      <c r="K2" s="8"/>
      <c r="L2" s="8"/>
      <c r="M2" s="8"/>
      <c r="N2" s="8"/>
      <c r="O2" s="8"/>
      <c r="P2" s="8"/>
      <c r="Q2" s="9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1"/>
      <c r="AF2" s="11"/>
      <c r="AG2" s="11"/>
    </row>
    <row r="3" ht="5.25" customHeight="1">
      <c r="A3" s="12"/>
      <c r="B3" s="13"/>
      <c r="C3" s="12"/>
      <c r="D3" s="12"/>
      <c r="E3" s="12"/>
      <c r="F3" s="12"/>
      <c r="G3" s="12"/>
      <c r="H3" s="12"/>
      <c r="I3" s="12"/>
      <c r="J3" s="12"/>
      <c r="K3" s="3"/>
      <c r="L3" s="3"/>
      <c r="M3" s="3"/>
      <c r="N3" s="3"/>
      <c r="O3" s="3"/>
      <c r="P3" s="3"/>
      <c r="Q3" s="4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</row>
    <row r="4" ht="18.75" customHeight="1">
      <c r="A4" s="12"/>
      <c r="B4" s="13"/>
      <c r="C4" s="12"/>
      <c r="D4" s="14"/>
      <c r="E4" s="14"/>
      <c r="F4" s="14"/>
      <c r="G4" s="14"/>
      <c r="H4" s="14"/>
      <c r="I4" s="14"/>
      <c r="J4" s="14"/>
      <c r="K4" s="15"/>
      <c r="L4" s="15"/>
      <c r="M4" s="15"/>
      <c r="N4" s="15"/>
      <c r="O4" s="15"/>
      <c r="P4" s="15"/>
      <c r="Q4" s="16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8"/>
      <c r="AF4" s="18"/>
      <c r="AG4" s="18"/>
    </row>
    <row r="5" ht="3.75" customHeight="1">
      <c r="A5" s="12"/>
      <c r="B5" s="13"/>
      <c r="C5" s="12"/>
      <c r="D5" s="12"/>
      <c r="E5" s="12"/>
      <c r="F5" s="19"/>
      <c r="G5" s="19"/>
      <c r="H5" s="19"/>
      <c r="I5" s="19"/>
      <c r="J5" s="12"/>
      <c r="K5" s="3"/>
      <c r="L5" s="3"/>
      <c r="M5" s="3"/>
      <c r="N5" s="3"/>
      <c r="O5" s="3"/>
      <c r="P5" s="3"/>
      <c r="Q5" s="4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</row>
    <row r="6" ht="22.5" customHeight="1">
      <c r="A6" s="12"/>
      <c r="B6" s="13"/>
      <c r="C6" s="12"/>
      <c r="D6" s="20"/>
      <c r="E6" s="20"/>
      <c r="F6" s="21"/>
      <c r="G6" s="21"/>
      <c r="H6" s="21"/>
      <c r="I6" s="21"/>
      <c r="J6" s="20"/>
      <c r="K6" s="22"/>
      <c r="L6" s="22"/>
      <c r="M6" s="22"/>
      <c r="N6" s="22"/>
      <c r="O6" s="22"/>
      <c r="P6" s="22"/>
      <c r="Q6" s="23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5"/>
      <c r="AF6" s="25"/>
      <c r="AG6" s="25"/>
    </row>
    <row r="7" ht="5.25" customHeight="1">
      <c r="A7" s="26"/>
      <c r="B7" s="27"/>
      <c r="C7" s="28"/>
      <c r="D7" s="29"/>
      <c r="E7" s="29"/>
      <c r="F7" s="30"/>
      <c r="G7" s="30"/>
      <c r="H7" s="30"/>
      <c r="I7" s="30"/>
      <c r="J7" s="29"/>
      <c r="K7" s="31"/>
      <c r="L7" s="31"/>
      <c r="M7" s="31"/>
      <c r="N7" s="31"/>
      <c r="O7" s="31"/>
      <c r="P7" s="31"/>
      <c r="Q7" s="30"/>
      <c r="R7" s="32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ht="13.5" customHeight="1">
      <c r="A8" s="5"/>
      <c r="B8" s="6"/>
      <c r="C8" s="10"/>
      <c r="D8" s="34" t="s">
        <v>0</v>
      </c>
      <c r="E8" s="35" t="s">
        <v>1</v>
      </c>
      <c r="G8" s="36"/>
      <c r="H8" s="36"/>
      <c r="I8" s="36" t="s">
        <v>2</v>
      </c>
      <c r="J8" s="37"/>
      <c r="K8" s="37"/>
      <c r="L8" s="38"/>
      <c r="M8" s="38"/>
      <c r="N8" s="35" t="s">
        <v>3</v>
      </c>
      <c r="P8" s="38"/>
      <c r="Q8" s="39"/>
      <c r="R8" s="40" t="s">
        <v>4</v>
      </c>
      <c r="S8" s="10"/>
      <c r="T8" s="5"/>
      <c r="U8" s="5"/>
      <c r="V8" s="5"/>
      <c r="W8" s="5"/>
      <c r="X8" s="5"/>
      <c r="Y8" s="5"/>
      <c r="Z8" s="5"/>
      <c r="AA8" s="5"/>
      <c r="AB8" s="5"/>
      <c r="AC8" s="5"/>
      <c r="AD8" s="5"/>
    </row>
    <row r="9" ht="5.25" customHeight="1">
      <c r="A9" s="41"/>
      <c r="B9" s="42"/>
      <c r="C9" s="41"/>
      <c r="D9" s="43"/>
      <c r="E9" s="44"/>
      <c r="F9" s="45"/>
      <c r="G9" s="46"/>
      <c r="H9" s="46"/>
      <c r="I9" s="46"/>
      <c r="J9" s="46"/>
      <c r="K9" s="47"/>
      <c r="L9" s="47"/>
      <c r="M9" s="47"/>
      <c r="N9" s="47"/>
      <c r="O9" s="47"/>
      <c r="P9" s="47"/>
      <c r="Q9" s="48"/>
      <c r="R9" s="49"/>
    </row>
    <row r="10" ht="12.75" customHeight="1">
      <c r="A10" s="41"/>
      <c r="B10" s="42"/>
      <c r="C10" s="41"/>
      <c r="D10" s="50" t="s">
        <v>5</v>
      </c>
      <c r="E10" s="51" t="s">
        <v>6</v>
      </c>
      <c r="F10" s="52">
        <v>245.0</v>
      </c>
      <c r="G10" s="53"/>
      <c r="H10" s="53"/>
      <c r="I10" s="54"/>
      <c r="J10" s="55"/>
      <c r="K10" s="56"/>
      <c r="L10" s="56"/>
      <c r="M10" s="57"/>
      <c r="N10" s="51" t="s">
        <v>6</v>
      </c>
      <c r="O10" s="52">
        <v>242.5</v>
      </c>
      <c r="P10" s="57"/>
      <c r="Q10" s="58"/>
      <c r="R10" s="59" t="s">
        <v>7</v>
      </c>
      <c r="S10" s="60"/>
    </row>
    <row r="11" ht="12.75" customHeight="1">
      <c r="A11" s="41"/>
      <c r="B11" s="42"/>
      <c r="C11" s="41"/>
      <c r="D11" s="50" t="s">
        <v>8</v>
      </c>
      <c r="E11" s="61" t="s">
        <v>9</v>
      </c>
      <c r="F11" s="52">
        <v>155.0</v>
      </c>
      <c r="G11" s="57"/>
      <c r="H11" s="57"/>
      <c r="I11" s="62"/>
      <c r="J11" s="63"/>
      <c r="K11" s="63"/>
      <c r="L11" s="55"/>
      <c r="M11" s="57"/>
      <c r="N11" s="61" t="s">
        <v>9</v>
      </c>
      <c r="O11" s="52">
        <v>152.5</v>
      </c>
      <c r="P11" s="57"/>
      <c r="Q11" s="58"/>
      <c r="S11" s="60"/>
    </row>
    <row r="12" ht="12.75" customHeight="1">
      <c r="A12" s="41"/>
      <c r="B12" s="42"/>
      <c r="C12" s="41"/>
      <c r="D12" s="64"/>
      <c r="E12" s="65" t="s">
        <v>10</v>
      </c>
      <c r="F12" s="52">
        <v>270.0</v>
      </c>
      <c r="G12" s="57"/>
      <c r="H12" s="57"/>
      <c r="I12" s="66" t="str">
        <f>IF(I10 = "", "", INT((I10 - TODAY()) / 7) &amp; " weeks, " &amp; MOD(I10 - TODAY(), 7) &amp; " day(s) out")</f>
        <v/>
      </c>
      <c r="J12" s="67"/>
      <c r="K12" s="67"/>
      <c r="L12" s="67"/>
      <c r="M12" s="57"/>
      <c r="N12" s="65" t="s">
        <v>10</v>
      </c>
      <c r="O12" s="52">
        <v>265.0</v>
      </c>
      <c r="P12" s="57"/>
      <c r="Q12" s="58"/>
      <c r="R12" s="68"/>
      <c r="S12" s="60"/>
    </row>
    <row r="13" ht="12.75" customHeight="1">
      <c r="A13" s="69"/>
      <c r="B13" s="70"/>
      <c r="C13" s="69"/>
      <c r="D13" s="71"/>
      <c r="E13" s="72" t="s">
        <v>11</v>
      </c>
      <c r="F13" s="73">
        <f>SUM(F10:F12)</f>
        <v>670</v>
      </c>
      <c r="G13" s="57"/>
      <c r="H13" s="57"/>
      <c r="I13" s="57"/>
      <c r="J13" s="74"/>
      <c r="K13" s="57"/>
      <c r="L13" s="57"/>
      <c r="M13" s="57"/>
      <c r="N13" s="72" t="s">
        <v>11</v>
      </c>
      <c r="O13" s="73">
        <f>SUM(O10:O12)</f>
        <v>660</v>
      </c>
      <c r="P13" s="57"/>
      <c r="Q13" s="58"/>
      <c r="R13" s="68"/>
      <c r="S13" s="60"/>
    </row>
    <row r="14" ht="5.25" customHeight="1">
      <c r="A14" s="5"/>
      <c r="B14" s="2"/>
      <c r="C14" s="5"/>
      <c r="D14" s="5"/>
      <c r="E14" s="75"/>
      <c r="F14" s="3"/>
      <c r="G14" s="3"/>
      <c r="H14" s="3"/>
      <c r="I14" s="3"/>
      <c r="J14" s="75"/>
      <c r="K14" s="3"/>
      <c r="L14" s="3"/>
      <c r="M14" s="3"/>
      <c r="N14" s="3"/>
      <c r="O14" s="3"/>
      <c r="P14" s="3"/>
      <c r="Q14" s="4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</row>
    <row r="15" ht="18.75" customHeight="1">
      <c r="A15" s="76"/>
      <c r="B15" s="77"/>
      <c r="C15" s="78"/>
      <c r="D15" s="79" t="s">
        <v>12</v>
      </c>
      <c r="E15" s="80" t="s">
        <v>13</v>
      </c>
      <c r="G15" s="81"/>
      <c r="H15" s="81"/>
      <c r="I15" s="81"/>
      <c r="J15" s="82"/>
      <c r="K15" s="83"/>
      <c r="L15" s="83"/>
      <c r="M15" s="84"/>
      <c r="N15" s="84"/>
      <c r="O15" s="84"/>
      <c r="P15" s="85"/>
      <c r="Q15" s="86"/>
      <c r="R15" s="87"/>
      <c r="S15" s="88"/>
      <c r="T15" s="89"/>
      <c r="U15" s="89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</row>
    <row r="16" ht="18.75" customHeight="1">
      <c r="A16" s="90"/>
      <c r="B16" s="6"/>
      <c r="C16" s="91"/>
      <c r="D16" s="36">
        <v>1.0</v>
      </c>
      <c r="E16" s="36"/>
      <c r="F16" s="37"/>
      <c r="G16" s="81"/>
      <c r="H16" s="81"/>
      <c r="I16" s="81"/>
      <c r="J16" s="92"/>
      <c r="K16" s="93"/>
      <c r="L16" s="93"/>
      <c r="M16" s="93"/>
      <c r="N16" s="93"/>
      <c r="O16" s="93"/>
      <c r="P16" s="94"/>
      <c r="Q16" s="95"/>
      <c r="R16" s="96"/>
      <c r="S16" s="10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</row>
    <row r="17" ht="5.25" customHeight="1">
      <c r="A17" s="90"/>
      <c r="B17" s="6"/>
      <c r="C17" s="90"/>
      <c r="D17" s="97"/>
      <c r="E17" s="98"/>
      <c r="F17" s="99"/>
      <c r="G17" s="99"/>
      <c r="H17" s="99"/>
      <c r="I17" s="100"/>
      <c r="J17" s="101"/>
      <c r="K17" s="90"/>
      <c r="L17" s="102"/>
      <c r="M17" s="102"/>
      <c r="N17" s="102"/>
      <c r="O17" s="102"/>
      <c r="P17" s="103"/>
      <c r="Q17" s="4"/>
      <c r="R17" s="90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</row>
    <row r="18" ht="32.25" customHeight="1">
      <c r="A18" s="90"/>
      <c r="B18" s="6"/>
      <c r="C18" s="90"/>
      <c r="D18" s="104" t="s">
        <v>14</v>
      </c>
      <c r="E18" s="105" t="s">
        <v>75</v>
      </c>
      <c r="F18" s="106" t="s">
        <v>16</v>
      </c>
      <c r="G18" s="106" t="s">
        <v>17</v>
      </c>
      <c r="H18" s="107"/>
      <c r="I18" s="106" t="s">
        <v>18</v>
      </c>
      <c r="J18" s="108" t="s">
        <v>19</v>
      </c>
      <c r="L18" s="109" t="s">
        <v>20</v>
      </c>
      <c r="M18" s="110" t="s">
        <v>21</v>
      </c>
      <c r="N18" s="111" t="s">
        <v>22</v>
      </c>
      <c r="P18" s="112"/>
      <c r="Q18" s="113" t="s">
        <v>23</v>
      </c>
      <c r="R18" s="114" t="s">
        <v>24</v>
      </c>
      <c r="S18" s="11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</row>
    <row r="19" ht="14.25" customHeight="1">
      <c r="A19" s="90"/>
      <c r="B19" s="6"/>
      <c r="C19" s="90"/>
      <c r="D19" s="116" t="s">
        <v>102</v>
      </c>
      <c r="E19" s="117" t="s">
        <v>76</v>
      </c>
      <c r="H19" s="107"/>
      <c r="N19" s="111" t="s">
        <v>27</v>
      </c>
      <c r="O19" s="111" t="s">
        <v>28</v>
      </c>
      <c r="P19" s="112" t="s">
        <v>29</v>
      </c>
      <c r="R19" s="118" t="s">
        <v>30</v>
      </c>
      <c r="S19" s="11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</row>
    <row r="20" ht="3.75" customHeight="1">
      <c r="A20" s="90"/>
      <c r="B20" s="6"/>
      <c r="C20" s="90"/>
      <c r="D20" s="97"/>
      <c r="E20" s="119"/>
      <c r="F20" s="99"/>
      <c r="G20" s="99"/>
      <c r="H20" s="99"/>
      <c r="I20" s="100"/>
      <c r="J20" s="101"/>
      <c r="K20" s="120"/>
      <c r="L20" s="102"/>
      <c r="M20" s="121"/>
      <c r="N20" s="102"/>
      <c r="O20" s="102"/>
      <c r="P20" s="122"/>
      <c r="Q20" s="4"/>
      <c r="R20" s="123"/>
      <c r="S20" s="11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</row>
    <row r="21" ht="15.75" customHeight="1">
      <c r="A21" s="124"/>
      <c r="B21" s="6"/>
      <c r="C21" s="124"/>
      <c r="D21" s="125" t="s">
        <v>77</v>
      </c>
      <c r="E21" s="126"/>
      <c r="F21" s="127">
        <v>1.0</v>
      </c>
      <c r="G21" s="240">
        <v>6.0</v>
      </c>
      <c r="H21" s="129"/>
      <c r="I21" s="130">
        <v>365.0</v>
      </c>
      <c r="J21" s="151">
        <v>5.0</v>
      </c>
      <c r="K21" s="132"/>
      <c r="L21" s="133">
        <v>5.0</v>
      </c>
      <c r="M21" s="134"/>
      <c r="N21" s="135" t="str">
        <f>iferror(mround(#REF!*((VLOOKUP($J21,Sheet1!$D:$N,$G21+1,FALSE)-0.03)),2.5)," ")</f>
        <v> </v>
      </c>
      <c r="O21" s="135" t="str">
        <f>iferror(mround(#REF!*((VLOOKUP($J21,Sheet1!$D:$N,$G21+1,FALSE)+0.02)),2.5)," ")</f>
        <v> </v>
      </c>
      <c r="P21" s="56" t="str">
        <f>iferror(mround(I21/VLOOKUP(L21,Sheet1!$D$7:$N$16,G21+1,FALSE),2.5),"")</f>
        <v/>
      </c>
      <c r="Q21" s="136"/>
      <c r="S21" s="11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</row>
    <row r="22" ht="3.75" customHeight="1">
      <c r="A22" s="137"/>
      <c r="B22" s="70"/>
      <c r="C22" s="137"/>
      <c r="D22" s="138"/>
      <c r="E22" s="139"/>
      <c r="F22" s="140"/>
      <c r="G22" s="140"/>
      <c r="H22" s="140"/>
      <c r="I22" s="140"/>
      <c r="J22" s="141"/>
      <c r="K22" s="142"/>
      <c r="L22" s="143"/>
      <c r="M22" s="144"/>
      <c r="N22" s="145"/>
      <c r="O22" s="145"/>
      <c r="P22" s="122"/>
      <c r="Q22" s="146"/>
      <c r="S22" s="147"/>
      <c r="T22" s="148"/>
      <c r="U22" s="148"/>
      <c r="V22" s="148"/>
      <c r="W22" s="148"/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</row>
    <row r="23" ht="15.75" customHeight="1">
      <c r="A23" s="149"/>
      <c r="B23" s="150"/>
      <c r="C23" s="149"/>
      <c r="D23" s="125" t="s">
        <v>77</v>
      </c>
      <c r="E23" s="126"/>
      <c r="F23" s="127">
        <v>1.0</v>
      </c>
      <c r="G23" s="240">
        <v>6.0</v>
      </c>
      <c r="H23" s="129"/>
      <c r="I23" s="130">
        <v>392.0</v>
      </c>
      <c r="J23" s="151">
        <v>6.0</v>
      </c>
      <c r="K23" s="132"/>
      <c r="L23" s="133">
        <v>6.0</v>
      </c>
      <c r="M23" s="134"/>
      <c r="N23" s="135" t="str">
        <f>iferror(mround(#REF!*((VLOOKUP($J23,Sheet1!$D:$N,$G23+1,FALSE)-0.03)),2.5)," ")</f>
        <v> </v>
      </c>
      <c r="O23" s="135" t="str">
        <f>iferror(mround(#REF!*((VLOOKUP($J23,Sheet1!$D:$N,$G23+1,FALSE)+0.02)),2.5)," ")</f>
        <v> </v>
      </c>
      <c r="P23" s="56">
        <f>iferror(mround(I23/VLOOKUP(L23,Sheet1!$D$7:$N$16,G23+1,FALSE),2.5),"")</f>
        <v>530</v>
      </c>
      <c r="Q23" s="136"/>
      <c r="S23" s="11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</row>
    <row r="24" ht="3.75" customHeight="1">
      <c r="A24" s="152"/>
      <c r="B24" s="150"/>
      <c r="C24" s="153"/>
      <c r="D24" s="138"/>
      <c r="E24" s="154"/>
      <c r="F24" s="155"/>
      <c r="G24" s="102"/>
      <c r="H24" s="102"/>
      <c r="I24" s="102"/>
      <c r="J24" s="156"/>
      <c r="K24" s="142"/>
      <c r="L24" s="143"/>
      <c r="M24" s="144"/>
      <c r="N24" s="145"/>
      <c r="O24" s="145"/>
      <c r="P24" s="122"/>
      <c r="Q24" s="146"/>
      <c r="S24" s="157"/>
      <c r="T24" s="5"/>
      <c r="U24" s="5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</row>
    <row r="25" ht="15.75" customHeight="1">
      <c r="A25" s="149"/>
      <c r="B25" s="150"/>
      <c r="C25" s="149"/>
      <c r="D25" s="125" t="s">
        <v>77</v>
      </c>
      <c r="E25" s="126"/>
      <c r="F25" s="127">
        <v>1.0</v>
      </c>
      <c r="G25" s="161">
        <v>6.0</v>
      </c>
      <c r="H25" s="129"/>
      <c r="I25" s="130">
        <v>381.0</v>
      </c>
      <c r="J25" s="151" t="s">
        <v>78</v>
      </c>
      <c r="K25" s="132"/>
      <c r="L25" s="133">
        <v>6.0</v>
      </c>
      <c r="M25" s="134"/>
      <c r="N25" s="135" t="str">
        <f>iferror(mround(#REF!*((VLOOKUP($J25,Sheet1!$D:$N,$G25+1,FALSE)-0.03)),2.5)," ")</f>
        <v> </v>
      </c>
      <c r="O25" s="135" t="str">
        <f>iferror(mround(#REF!*((VLOOKUP($J25,Sheet1!$D:$N,$G25+1,FALSE)+0.02)),2.5)," ")</f>
        <v> </v>
      </c>
      <c r="P25" s="56">
        <f>iferror(mround(I25/VLOOKUP(L25,Sheet1!$D$7:$N$16,G25+1,FALSE),2.5),"")</f>
        <v>515</v>
      </c>
      <c r="Q25" s="136"/>
      <c r="S25" s="11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</row>
    <row r="26" ht="3.75" customHeight="1">
      <c r="A26" s="162"/>
      <c r="B26" s="163"/>
      <c r="C26" s="162"/>
      <c r="D26" s="138"/>
      <c r="E26" s="154"/>
      <c r="F26" s="155"/>
      <c r="G26" s="102"/>
      <c r="H26" s="102"/>
      <c r="I26" s="102"/>
      <c r="J26" s="156"/>
      <c r="K26" s="142"/>
      <c r="L26" s="143"/>
      <c r="M26" s="144"/>
      <c r="N26" s="145"/>
      <c r="O26" s="145"/>
      <c r="P26" s="122"/>
      <c r="Q26" s="146"/>
      <c r="S26" s="147"/>
      <c r="T26" s="148"/>
      <c r="U26" s="148"/>
      <c r="V26" s="148"/>
      <c r="W26" s="148"/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</row>
    <row r="27" ht="15.75" customHeight="1">
      <c r="A27" s="149"/>
      <c r="B27" s="150"/>
      <c r="C27" s="149"/>
      <c r="D27" s="159" t="s">
        <v>33</v>
      </c>
      <c r="E27" s="160" t="s">
        <v>34</v>
      </c>
      <c r="F27" s="127">
        <v>1.0</v>
      </c>
      <c r="G27" s="161">
        <v>5.0</v>
      </c>
      <c r="H27" s="129"/>
      <c r="I27" s="130">
        <v>248.0</v>
      </c>
      <c r="J27" s="151">
        <v>7.0</v>
      </c>
      <c r="K27" s="132"/>
      <c r="L27" s="133">
        <v>6.5</v>
      </c>
      <c r="M27" s="134"/>
      <c r="N27" s="135" t="str">
        <f>iferror(mround(#REF!*((VLOOKUP($J27,Sheet1!$D:$N,$G27+1,FALSE)-0.03)),2.5)," ")</f>
        <v> </v>
      </c>
      <c r="O27" s="135" t="str">
        <f>iferror(mround(#REF!*((VLOOKUP($J27,Sheet1!$D:$N,$G27+1,FALSE)+0.02)),2.5)," ")</f>
        <v> </v>
      </c>
      <c r="P27" s="56">
        <f>iferror(mround(I27/VLOOKUP(L27,Sheet1!$D$7:$N$16,G27+1,FALSE),2.5),"")</f>
        <v>320</v>
      </c>
      <c r="Q27" s="136"/>
      <c r="S27" s="11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</row>
    <row r="28" ht="3.75" customHeight="1">
      <c r="A28" s="162"/>
      <c r="B28" s="163"/>
      <c r="C28" s="162"/>
      <c r="D28" s="138"/>
      <c r="E28" s="139"/>
      <c r="F28" s="140"/>
      <c r="G28" s="140"/>
      <c r="H28" s="140"/>
      <c r="I28" s="140"/>
      <c r="J28" s="141"/>
      <c r="K28" s="142"/>
      <c r="L28" s="143"/>
      <c r="M28" s="144"/>
      <c r="N28" s="145"/>
      <c r="O28" s="145"/>
      <c r="P28" s="122"/>
      <c r="Q28" s="146"/>
      <c r="S28" s="147"/>
      <c r="T28" s="148"/>
      <c r="U28" s="148"/>
      <c r="V28" s="148"/>
      <c r="W28" s="148"/>
      <c r="X28" s="148"/>
      <c r="Y28" s="148"/>
      <c r="Z28" s="148"/>
      <c r="AA28" s="148"/>
      <c r="AB28" s="148"/>
      <c r="AC28" s="148"/>
      <c r="AD28" s="148"/>
      <c r="AE28" s="148"/>
      <c r="AF28" s="148"/>
      <c r="AG28" s="148"/>
    </row>
    <row r="29" ht="15.75" customHeight="1">
      <c r="A29" s="90"/>
      <c r="B29" s="6"/>
      <c r="C29" s="90"/>
      <c r="D29" s="159" t="s">
        <v>33</v>
      </c>
      <c r="E29" s="160" t="s">
        <v>34</v>
      </c>
      <c r="F29" s="127">
        <v>3.0</v>
      </c>
      <c r="G29" s="161">
        <v>5.0</v>
      </c>
      <c r="H29" s="129"/>
      <c r="I29" s="164">
        <f>MROUND(I27*(1+J29),5)</f>
        <v>225</v>
      </c>
      <c r="J29" s="165">
        <v>-0.1</v>
      </c>
      <c r="K29" s="132"/>
      <c r="L29" s="133">
        <v>5.5</v>
      </c>
      <c r="M29" s="134"/>
      <c r="N29" s="135" t="str">
        <f>iferror(mround(#REF!*((VLOOKUP($J29,Sheet1!$D:$N,$G29+1,FALSE)-0.03)),2.5)," ")</f>
        <v> </v>
      </c>
      <c r="O29" s="135" t="str">
        <f>iferror(mround(#REF!*((VLOOKUP($J29,Sheet1!$D:$N,$G29+1,FALSE)+0.02)),2.5)," ")</f>
        <v> </v>
      </c>
      <c r="P29" s="56" t="str">
        <f>iferror(mround(I29/VLOOKUP(L29,Sheet1!$D$7:$N$16,G29+1,FALSE),2.5),"")</f>
        <v/>
      </c>
      <c r="Q29" s="136"/>
      <c r="S29" s="11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</row>
    <row r="30" ht="3.75" customHeight="1">
      <c r="A30" s="168"/>
      <c r="B30" s="70"/>
      <c r="C30" s="168"/>
      <c r="D30" s="138"/>
      <c r="E30" s="139"/>
      <c r="F30" s="102"/>
      <c r="G30" s="102"/>
      <c r="H30" s="102"/>
      <c r="I30" s="102"/>
      <c r="J30" s="156"/>
      <c r="K30" s="142"/>
      <c r="L30" s="143"/>
      <c r="M30" s="144"/>
      <c r="N30" s="145"/>
      <c r="O30" s="145"/>
      <c r="P30" s="122"/>
      <c r="Q30" s="146"/>
      <c r="S30" s="147"/>
      <c r="T30" s="148"/>
      <c r="U30" s="148"/>
      <c r="V30" s="148"/>
      <c r="W30" s="148"/>
      <c r="X30" s="148"/>
      <c r="Y30" s="148"/>
      <c r="Z30" s="148"/>
      <c r="AA30" s="148"/>
      <c r="AB30" s="148"/>
      <c r="AC30" s="148"/>
      <c r="AD30" s="148"/>
      <c r="AE30" s="148"/>
      <c r="AF30" s="148"/>
      <c r="AG30" s="148"/>
    </row>
    <row r="31" ht="15.75" customHeight="1">
      <c r="A31" s="90"/>
      <c r="B31" s="6"/>
      <c r="C31" s="90"/>
      <c r="D31" s="166" t="s">
        <v>35</v>
      </c>
      <c r="E31" s="167" t="s">
        <v>79</v>
      </c>
      <c r="F31" s="127">
        <v>2.0</v>
      </c>
      <c r="G31" s="161">
        <v>7.0</v>
      </c>
      <c r="H31" s="129"/>
      <c r="I31" s="130">
        <v>243.0</v>
      </c>
      <c r="J31" s="151">
        <v>8.0</v>
      </c>
      <c r="K31" s="170" t="s">
        <v>80</v>
      </c>
      <c r="L31" s="133">
        <v>8.0</v>
      </c>
      <c r="M31" s="134"/>
      <c r="N31" s="135" t="str">
        <f>iferror(mround(#REF!*((VLOOKUP($J31,Sheet1!$D:$N,$G31+1,FALSE)-0.03)),2.5)," ")</f>
        <v> </v>
      </c>
      <c r="O31" s="135" t="str">
        <f>iferror(mround(#REF!*((VLOOKUP($J31,Sheet1!$D:$N,$G31+1,FALSE)+0.02)),2.5)," ")</f>
        <v> </v>
      </c>
      <c r="P31" s="56">
        <f>iferror(mround(I31/VLOOKUP(L31,Sheet1!$D$7:$N$16,G31+1,FALSE),2.5),"")</f>
        <v>317.5</v>
      </c>
      <c r="Q31" s="136"/>
      <c r="S31" s="11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</row>
    <row r="32" ht="3.75" customHeight="1">
      <c r="A32" s="90"/>
      <c r="B32" s="6"/>
      <c r="C32" s="90"/>
      <c r="D32" s="171"/>
      <c r="E32" s="172"/>
      <c r="F32" s="173"/>
      <c r="G32" s="173"/>
      <c r="H32" s="173"/>
      <c r="I32" s="173"/>
      <c r="J32" s="174"/>
      <c r="K32" s="142"/>
      <c r="L32" s="143"/>
      <c r="M32" s="144"/>
      <c r="N32" s="145"/>
      <c r="O32" s="145"/>
      <c r="P32" s="122"/>
      <c r="Q32" s="146"/>
      <c r="S32" s="11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</row>
    <row r="33" ht="15.75" customHeight="1">
      <c r="A33" s="90"/>
      <c r="B33" s="6"/>
      <c r="C33" s="90"/>
      <c r="D33" s="166" t="s">
        <v>37</v>
      </c>
      <c r="E33" s="160" t="s">
        <v>81</v>
      </c>
      <c r="F33" s="127">
        <v>3.0</v>
      </c>
      <c r="G33" s="169">
        <v>45577.0</v>
      </c>
      <c r="H33" s="129"/>
      <c r="I33" s="130">
        <v>270.0</v>
      </c>
      <c r="J33" s="151">
        <v>8.0</v>
      </c>
      <c r="K33" s="132"/>
      <c r="L33" s="133">
        <v>8.0</v>
      </c>
      <c r="M33" s="134"/>
      <c r="N33" s="135" t="str">
        <f>iferror(mround(#REF!*((VLOOKUP($J33,Sheet1!$D:$N,$G33+1,FALSE)-0.03)),2.5)," ")</f>
        <v> </v>
      </c>
      <c r="O33" s="135" t="str">
        <f>iferror(mround(#REF!*((VLOOKUP($J33,Sheet1!$D:$N,$G33+1,FALSE)+0.02)),2.5)," ")</f>
        <v> </v>
      </c>
      <c r="P33" s="56" t="str">
        <f>iferror(mround(I33/VLOOKUP(L33,Sheet1!$D$7:$N$16,G33+1,FALSE),2.5),"")</f>
        <v/>
      </c>
      <c r="Q33" s="136"/>
      <c r="S33" s="11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</row>
    <row r="34" ht="3.75" customHeight="1">
      <c r="A34" s="90"/>
      <c r="B34" s="6"/>
      <c r="C34" s="90"/>
      <c r="D34" s="171"/>
      <c r="E34" s="172"/>
      <c r="F34" s="173"/>
      <c r="G34" s="173"/>
      <c r="H34" s="173"/>
      <c r="I34" s="173"/>
      <c r="J34" s="174"/>
      <c r="K34" s="142"/>
      <c r="L34" s="143"/>
      <c r="M34" s="144"/>
      <c r="N34" s="145"/>
      <c r="O34" s="145"/>
      <c r="P34" s="122"/>
      <c r="Q34" s="146"/>
      <c r="S34" s="11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</row>
    <row r="35" ht="15.75" customHeight="1">
      <c r="A35" s="90"/>
      <c r="B35" s="6"/>
      <c r="C35" s="90"/>
      <c r="D35" s="175" t="s">
        <v>40</v>
      </c>
      <c r="E35" s="176"/>
      <c r="F35" s="177">
        <v>3.0</v>
      </c>
      <c r="G35" s="178" t="s">
        <v>41</v>
      </c>
      <c r="H35" s="179"/>
      <c r="I35" s="180"/>
      <c r="J35" s="181">
        <v>8.0</v>
      </c>
      <c r="K35" s="182"/>
      <c r="L35" s="183"/>
      <c r="M35" s="134"/>
      <c r="N35" s="135" t="str">
        <f>iferror(mround(#REF!*((VLOOKUP($J35,Sheet1!$D:$N,$G35+1,FALSE)-0.03)),2.5)," ")</f>
        <v> </v>
      </c>
      <c r="O35" s="135" t="str">
        <f>iferror(mround(#REF!*((VLOOKUP($J35,Sheet1!$D:$N,$G35+1,FALSE)+0.02)),2.5)," ")</f>
        <v> </v>
      </c>
      <c r="P35" s="56" t="str">
        <f>iferror(mround(I35/VLOOKUP(L35,Sheet1!$D$7:$N$16,G35+1,FALSE),2.5),"")</f>
        <v/>
      </c>
      <c r="Q35" s="136"/>
      <c r="S35" s="11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</row>
    <row r="36" ht="3.75" customHeight="1">
      <c r="A36" s="90"/>
      <c r="B36" s="6"/>
      <c r="C36" s="90"/>
      <c r="D36" s="138"/>
      <c r="E36" s="139"/>
      <c r="F36" s="102"/>
      <c r="G36" s="102"/>
      <c r="H36" s="102"/>
      <c r="I36" s="102"/>
      <c r="J36" s="156"/>
      <c r="K36" s="307"/>
      <c r="L36" s="143"/>
      <c r="M36" s="144"/>
      <c r="N36" s="145"/>
      <c r="O36" s="145"/>
      <c r="P36" s="122"/>
      <c r="Q36" s="146"/>
      <c r="S36" s="11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</row>
    <row r="37" ht="15.75" hidden="1" customHeight="1">
      <c r="A37" s="90"/>
      <c r="B37" s="6"/>
      <c r="C37" s="90"/>
      <c r="D37" s="185"/>
      <c r="E37" s="126"/>
      <c r="F37" s="187"/>
      <c r="G37" s="188"/>
      <c r="H37" s="129"/>
      <c r="I37" s="164"/>
      <c r="J37" s="189"/>
      <c r="K37" s="182"/>
      <c r="L37" s="183"/>
      <c r="M37" s="134"/>
      <c r="N37" s="135" t="str">
        <f>iferror(mround(#REF!*((VLOOKUP($J37,Sheet1!$D:$N,$G37+1,FALSE)-0.03)),2.5)," ")</f>
        <v> </v>
      </c>
      <c r="O37" s="135" t="str">
        <f>iferror(mround(#REF!*((VLOOKUP($J37,Sheet1!$D:$N,$G37+1,FALSE)+0.02)),2.5)," ")</f>
        <v> </v>
      </c>
      <c r="P37" s="56" t="str">
        <f>iferror(mround(I37/VLOOKUP(L37,Sheet1!$D$7:$N$16,G37+1,FALSE),2.5),"")</f>
        <v/>
      </c>
      <c r="Q37" s="136"/>
      <c r="S37" s="11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</row>
    <row r="38" ht="3.75" hidden="1" customHeight="1">
      <c r="A38" s="191"/>
      <c r="B38" s="6"/>
      <c r="C38" s="192"/>
      <c r="D38" s="138"/>
      <c r="E38" s="154"/>
      <c r="F38" s="194"/>
      <c r="G38" s="155"/>
      <c r="H38" s="102"/>
      <c r="I38" s="102"/>
      <c r="J38" s="156"/>
      <c r="K38" s="307"/>
      <c r="L38" s="143"/>
      <c r="M38" s="144"/>
      <c r="N38" s="145"/>
      <c r="O38" s="145"/>
      <c r="P38" s="122"/>
      <c r="Q38" s="146"/>
      <c r="S38" s="157"/>
      <c r="T38" s="5"/>
      <c r="U38" s="5"/>
      <c r="V38" s="158"/>
      <c r="W38" s="158"/>
      <c r="X38" s="158"/>
      <c r="Y38" s="158"/>
      <c r="Z38" s="158"/>
      <c r="AA38" s="158"/>
      <c r="AB38" s="158"/>
      <c r="AC38" s="158"/>
      <c r="AD38" s="158"/>
      <c r="AE38" s="158"/>
      <c r="AF38" s="158"/>
      <c r="AG38" s="158"/>
    </row>
    <row r="39" ht="15.75" hidden="1" customHeight="1">
      <c r="A39" s="90"/>
      <c r="B39" s="6"/>
      <c r="C39" s="90"/>
      <c r="D39" s="185"/>
      <c r="E39" s="126"/>
      <c r="F39" s="187"/>
      <c r="G39" s="195"/>
      <c r="H39" s="129"/>
      <c r="I39" s="164"/>
      <c r="J39" s="189"/>
      <c r="K39" s="182"/>
      <c r="L39" s="183"/>
      <c r="M39" s="134"/>
      <c r="N39" s="135" t="str">
        <f>iferror(mround(#REF!*((VLOOKUP($J39,Sheet1!$D:$N,$G39+1,FALSE)-0.03)),2.5)," ")</f>
        <v> </v>
      </c>
      <c r="O39" s="135" t="str">
        <f>iferror(mround(#REF!*((VLOOKUP($J39,Sheet1!$D:$N,$G39+1,FALSE)+0.02)),2.5)," ")</f>
        <v> </v>
      </c>
      <c r="P39" s="56" t="str">
        <f>iferror(mround(I39/VLOOKUP(L39,Sheet1!$D$7:$N$16,G39+1,FALSE),2.5),"")</f>
        <v/>
      </c>
      <c r="Q39" s="136"/>
      <c r="S39" s="11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</row>
    <row r="40" ht="3.75" hidden="1" customHeight="1">
      <c r="A40" s="90"/>
      <c r="B40" s="6"/>
      <c r="C40" s="90"/>
      <c r="D40" s="196"/>
      <c r="E40" s="139"/>
      <c r="F40" s="102"/>
      <c r="G40" s="102"/>
      <c r="H40" s="102"/>
      <c r="I40" s="102"/>
      <c r="J40" s="156"/>
      <c r="K40" s="307"/>
      <c r="L40" s="143"/>
      <c r="M40" s="144"/>
      <c r="N40" s="145"/>
      <c r="O40" s="145"/>
      <c r="P40" s="122"/>
      <c r="Q40" s="146"/>
      <c r="S40" s="11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</row>
    <row r="41" ht="15.75" hidden="1" customHeight="1">
      <c r="A41" s="90"/>
      <c r="B41" s="6"/>
      <c r="C41" s="90"/>
      <c r="D41" s="197"/>
      <c r="E41" s="308"/>
      <c r="F41" s="199"/>
      <c r="G41" s="195"/>
      <c r="H41" s="129"/>
      <c r="I41" s="164"/>
      <c r="J41" s="189"/>
      <c r="K41" s="182"/>
      <c r="L41" s="183"/>
      <c r="M41" s="134"/>
      <c r="N41" s="135" t="str">
        <f>iferror(mround(#REF!*((VLOOKUP($J41,Sheet1!$D:$N,$G41+1,FALSE)-0.03)),2.5)," ")</f>
        <v> </v>
      </c>
      <c r="O41" s="135" t="str">
        <f>iferror(mround(#REF!*((VLOOKUP($J41,Sheet1!$D:$N,$G41+1,FALSE)+0.02)),2.5)," ")</f>
        <v> </v>
      </c>
      <c r="P41" s="56" t="str">
        <f>iferror(mround(I41/VLOOKUP(L41,Sheet1!$D$7:$N$16,G41+1,FALSE),2.5),"")</f>
        <v/>
      </c>
      <c r="Q41" s="136"/>
      <c r="S41" s="11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</row>
    <row r="42" ht="3.75" customHeight="1">
      <c r="A42" s="90"/>
      <c r="B42" s="6"/>
      <c r="C42" s="90"/>
      <c r="D42" s="90"/>
      <c r="E42" s="309"/>
      <c r="F42" s="102"/>
      <c r="G42" s="102"/>
      <c r="H42" s="102"/>
      <c r="I42" s="102"/>
      <c r="J42" s="156"/>
      <c r="K42" s="200"/>
      <c r="L42" s="201"/>
      <c r="M42" s="144"/>
      <c r="N42" s="47"/>
      <c r="O42" s="47"/>
      <c r="P42" s="122"/>
      <c r="Q42" s="146"/>
      <c r="S42" s="11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</row>
    <row r="43" ht="30.0" customHeight="1">
      <c r="A43" s="90"/>
      <c r="B43" s="6"/>
      <c r="C43" s="90"/>
      <c r="D43" s="104" t="s">
        <v>42</v>
      </c>
      <c r="E43" s="105" t="s">
        <v>82</v>
      </c>
      <c r="F43" s="106" t="s">
        <v>16</v>
      </c>
      <c r="G43" s="106" t="s">
        <v>17</v>
      </c>
      <c r="H43" s="107"/>
      <c r="I43" s="106" t="s">
        <v>18</v>
      </c>
      <c r="J43" s="108" t="s">
        <v>19</v>
      </c>
      <c r="L43" s="109" t="s">
        <v>20</v>
      </c>
      <c r="M43" s="110" t="s">
        <v>21</v>
      </c>
      <c r="N43" s="111" t="s">
        <v>22</v>
      </c>
      <c r="P43" s="112"/>
      <c r="Q43" s="113" t="s">
        <v>23</v>
      </c>
      <c r="R43" s="114" t="s">
        <v>43</v>
      </c>
      <c r="S43" s="11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</row>
    <row r="44" ht="14.25" customHeight="1">
      <c r="A44" s="90"/>
      <c r="B44" s="6"/>
      <c r="C44" s="90"/>
      <c r="D44" s="116">
        <v>4.0</v>
      </c>
      <c r="E44" s="117">
        <v>2.0</v>
      </c>
      <c r="H44" s="107"/>
      <c r="N44" s="111" t="s">
        <v>27</v>
      </c>
      <c r="O44" s="111" t="s">
        <v>28</v>
      </c>
      <c r="P44" s="112" t="s">
        <v>29</v>
      </c>
      <c r="R44" s="118" t="s">
        <v>30</v>
      </c>
      <c r="S44" s="11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</row>
    <row r="45" ht="3.75" customHeight="1">
      <c r="A45" s="191"/>
      <c r="B45" s="6"/>
      <c r="C45" s="192"/>
      <c r="D45" s="310"/>
      <c r="E45" s="204"/>
      <c r="F45" s="205"/>
      <c r="G45" s="205"/>
      <c r="H45" s="206"/>
      <c r="I45" s="207"/>
      <c r="J45" s="208"/>
      <c r="K45" s="209"/>
      <c r="L45" s="210"/>
      <c r="M45" s="211"/>
      <c r="N45" s="47"/>
      <c r="O45" s="47"/>
      <c r="P45" s="122"/>
      <c r="Q45" s="146"/>
      <c r="R45" s="212"/>
      <c r="S45" s="157"/>
      <c r="T45" s="5"/>
      <c r="U45" s="5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</row>
    <row r="46" ht="15.75" customHeight="1">
      <c r="A46" s="124"/>
      <c r="B46" s="6"/>
      <c r="C46" s="124"/>
      <c r="D46" s="159" t="s">
        <v>83</v>
      </c>
      <c r="E46" s="167" t="s">
        <v>84</v>
      </c>
      <c r="F46" s="127">
        <v>3.0</v>
      </c>
      <c r="G46" s="127">
        <v>3.0</v>
      </c>
      <c r="H46" s="195"/>
      <c r="I46" s="130">
        <v>402.0</v>
      </c>
      <c r="J46" s="151">
        <v>6.0</v>
      </c>
      <c r="K46" s="213"/>
      <c r="L46" s="133">
        <v>6.0</v>
      </c>
      <c r="M46" s="134"/>
      <c r="N46" s="135"/>
      <c r="O46" s="135"/>
      <c r="P46" s="112">
        <f>iferror(mround(I46/VLOOKUP(L46,Sheet1!$D$7:$N$16,G46+1,FALSE),2.5),"")</f>
        <v>492.5</v>
      </c>
      <c r="Q46" s="136"/>
      <c r="R46" s="214"/>
      <c r="S46" s="11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</row>
    <row r="47" ht="3.75" customHeight="1">
      <c r="A47" s="124"/>
      <c r="B47" s="6"/>
      <c r="C47" s="124"/>
      <c r="D47" s="138"/>
      <c r="E47" s="215"/>
      <c r="F47" s="102"/>
      <c r="G47" s="102"/>
      <c r="H47" s="102"/>
      <c r="I47" s="102"/>
      <c r="J47" s="216"/>
      <c r="K47" s="217"/>
      <c r="L47" s="218"/>
      <c r="M47" s="144"/>
      <c r="N47" s="145"/>
      <c r="O47" s="145"/>
      <c r="P47" s="122"/>
      <c r="Q47" s="146"/>
      <c r="R47" s="214"/>
      <c r="S47" s="11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</row>
    <row r="48" ht="15.75" customHeight="1">
      <c r="A48" s="90"/>
      <c r="B48" s="6"/>
      <c r="C48" s="90"/>
      <c r="D48" s="159" t="s">
        <v>33</v>
      </c>
      <c r="E48" s="167"/>
      <c r="F48" s="127">
        <v>1.0</v>
      </c>
      <c r="G48" s="127">
        <v>2.0</v>
      </c>
      <c r="H48" s="195"/>
      <c r="I48" s="130">
        <v>287.0</v>
      </c>
      <c r="J48" s="151">
        <v>7.5</v>
      </c>
      <c r="K48" s="219" t="s">
        <v>85</v>
      </c>
      <c r="L48" s="133">
        <v>7.0</v>
      </c>
      <c r="M48" s="134"/>
      <c r="N48" s="135"/>
      <c r="O48" s="135"/>
      <c r="P48" s="112">
        <f>iferror(mround(I48/VLOOKUP(L48,Sheet1!$D$7:$N$16,G48+1,FALSE),2.5),"")</f>
        <v>332.5</v>
      </c>
      <c r="Q48" s="136"/>
      <c r="R48" s="214"/>
      <c r="S48" s="11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</row>
    <row r="49" ht="3.75" customHeight="1">
      <c r="A49" s="90"/>
      <c r="B49" s="6"/>
      <c r="C49" s="90"/>
      <c r="D49" s="138"/>
      <c r="E49" s="215"/>
      <c r="F49" s="102"/>
      <c r="G49" s="102"/>
      <c r="H49" s="102"/>
      <c r="I49" s="102"/>
      <c r="J49" s="216"/>
      <c r="K49" s="217"/>
      <c r="L49" s="218"/>
      <c r="M49" s="144"/>
      <c r="N49" s="145"/>
      <c r="O49" s="145"/>
      <c r="P49" s="122"/>
      <c r="Q49" s="146"/>
      <c r="R49" s="214"/>
      <c r="S49" s="11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</row>
    <row r="50" ht="15.75" customHeight="1">
      <c r="A50" s="90"/>
      <c r="B50" s="6"/>
      <c r="C50" s="90"/>
      <c r="D50" s="159" t="s">
        <v>33</v>
      </c>
      <c r="E50" s="167"/>
      <c r="F50" s="127">
        <v>3.0</v>
      </c>
      <c r="G50" s="161">
        <v>3.0</v>
      </c>
      <c r="H50" s="195"/>
      <c r="I50" s="164">
        <f>MROUND(I48*(1+J50),5)</f>
        <v>265</v>
      </c>
      <c r="J50" s="165">
        <v>-0.08</v>
      </c>
      <c r="K50" s="219"/>
      <c r="L50" s="133">
        <v>6.5</v>
      </c>
      <c r="M50" s="134"/>
      <c r="N50" s="135"/>
      <c r="O50" s="135"/>
      <c r="P50" s="112">
        <f>iferror(mround(I50/VLOOKUP(L50,Sheet1!$D$7:$N$16,G50+1,FALSE),2.5),"")</f>
        <v>320</v>
      </c>
      <c r="Q50" s="136"/>
      <c r="R50" s="214"/>
      <c r="S50" s="11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</row>
    <row r="51" ht="3.75" customHeight="1">
      <c r="A51" s="90"/>
      <c r="B51" s="6"/>
      <c r="C51" s="90"/>
      <c r="D51" s="138"/>
      <c r="E51" s="215"/>
      <c r="F51" s="102"/>
      <c r="G51" s="102"/>
      <c r="H51" s="102"/>
      <c r="I51" s="102"/>
      <c r="J51" s="156"/>
      <c r="K51" s="217"/>
      <c r="L51" s="143"/>
      <c r="M51" s="144"/>
      <c r="N51" s="145"/>
      <c r="O51" s="145"/>
      <c r="P51" s="122"/>
      <c r="Q51" s="146"/>
      <c r="R51" s="214"/>
      <c r="S51" s="11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</row>
    <row r="52" ht="15.75" customHeight="1">
      <c r="A52" s="90"/>
      <c r="B52" s="6"/>
      <c r="C52" s="90"/>
      <c r="D52" s="159" t="s">
        <v>86</v>
      </c>
      <c r="E52" s="167" t="s">
        <v>87</v>
      </c>
      <c r="F52" s="127">
        <v>3.0</v>
      </c>
      <c r="G52" s="169">
        <v>45577.0</v>
      </c>
      <c r="H52" s="195"/>
      <c r="I52" s="130">
        <v>120.0</v>
      </c>
      <c r="J52" s="151">
        <v>8.0</v>
      </c>
      <c r="K52" s="213"/>
      <c r="L52" s="133">
        <v>8.0</v>
      </c>
      <c r="M52" s="134"/>
      <c r="N52" s="135"/>
      <c r="O52" s="135"/>
      <c r="P52" s="112" t="str">
        <f>iferror(mround(I52/VLOOKUP(L52,Sheet1!$D$7:$N$16,G52+1,FALSE),2.5),"")</f>
        <v/>
      </c>
      <c r="Q52" s="136"/>
      <c r="R52" s="214"/>
      <c r="S52" s="11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</row>
    <row r="53" ht="3.75" customHeight="1">
      <c r="A53" s="90"/>
      <c r="B53" s="6"/>
      <c r="C53" s="90"/>
      <c r="D53" s="138"/>
      <c r="E53" s="215"/>
      <c r="F53" s="102"/>
      <c r="G53" s="102"/>
      <c r="H53" s="102"/>
      <c r="I53" s="102"/>
      <c r="J53" s="156"/>
      <c r="K53" s="217"/>
      <c r="L53" s="143"/>
      <c r="M53" s="144"/>
      <c r="N53" s="145"/>
      <c r="O53" s="145"/>
      <c r="P53" s="122"/>
      <c r="Q53" s="146"/>
      <c r="R53" s="214"/>
      <c r="S53" s="11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</row>
    <row r="54" ht="15.75" customHeight="1">
      <c r="A54" s="90"/>
      <c r="B54" s="6"/>
      <c r="C54" s="90"/>
      <c r="D54" s="159" t="s">
        <v>88</v>
      </c>
      <c r="E54" s="220"/>
      <c r="F54" s="127">
        <v>3.0</v>
      </c>
      <c r="G54" s="221">
        <v>45641.0</v>
      </c>
      <c r="H54" s="195"/>
      <c r="I54" s="130">
        <v>11.5</v>
      </c>
      <c r="J54" s="151">
        <v>9.0</v>
      </c>
      <c r="K54" s="213"/>
      <c r="L54" s="133">
        <v>9.0</v>
      </c>
      <c r="M54" s="134"/>
      <c r="N54" s="135"/>
      <c r="O54" s="135"/>
      <c r="P54" s="112" t="str">
        <f>iferror(mround(I54/VLOOKUP(L54,Sheet1!$D$7:$N$16,G54+1,FALSE),2.5),"")</f>
        <v/>
      </c>
      <c r="Q54" s="136"/>
      <c r="R54" s="214"/>
      <c r="S54" s="11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</row>
    <row r="55" ht="3.75" customHeight="1">
      <c r="A55" s="90"/>
      <c r="B55" s="6"/>
      <c r="C55" s="90"/>
      <c r="D55" s="138"/>
      <c r="E55" s="215"/>
      <c r="F55" s="102"/>
      <c r="G55" s="102"/>
      <c r="H55" s="102"/>
      <c r="I55" s="102"/>
      <c r="J55" s="156"/>
      <c r="K55" s="217"/>
      <c r="L55" s="143"/>
      <c r="M55" s="144"/>
      <c r="N55" s="145"/>
      <c r="O55" s="145"/>
      <c r="P55" s="122"/>
      <c r="Q55" s="146"/>
      <c r="R55" s="214"/>
      <c r="S55" s="11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</row>
    <row r="56" ht="15.75" customHeight="1">
      <c r="A56" s="90"/>
      <c r="B56" s="6"/>
      <c r="C56" s="90"/>
      <c r="D56" s="159" t="s">
        <v>47</v>
      </c>
      <c r="E56" s="220"/>
      <c r="F56" s="127">
        <v>3.0</v>
      </c>
      <c r="G56" s="221">
        <v>45641.0</v>
      </c>
      <c r="H56" s="195"/>
      <c r="I56" s="130">
        <v>65.0</v>
      </c>
      <c r="J56" s="151">
        <v>9.0</v>
      </c>
      <c r="K56" s="213"/>
      <c r="L56" s="133">
        <v>9.0</v>
      </c>
      <c r="M56" s="134"/>
      <c r="N56" s="135"/>
      <c r="O56" s="135"/>
      <c r="P56" s="112" t="str">
        <f>iferror(mround(I56/VLOOKUP(L56,Sheet1!$D$7:$N$16,G56+1,FALSE),2.5),"")</f>
        <v/>
      </c>
      <c r="Q56" s="136"/>
      <c r="R56" s="214"/>
      <c r="S56" s="11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</row>
    <row r="57" ht="3.75" customHeight="1">
      <c r="A57" s="90"/>
      <c r="B57" s="6"/>
      <c r="C57" s="90"/>
      <c r="D57" s="138"/>
      <c r="E57" s="215"/>
      <c r="F57" s="102"/>
      <c r="G57" s="102"/>
      <c r="H57" s="102"/>
      <c r="I57" s="102"/>
      <c r="J57" s="216"/>
      <c r="K57" s="217"/>
      <c r="L57" s="143"/>
      <c r="M57" s="144"/>
      <c r="N57" s="145"/>
      <c r="O57" s="145"/>
      <c r="P57" s="122"/>
      <c r="Q57" s="146"/>
      <c r="R57" s="214"/>
      <c r="S57" s="11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</row>
    <row r="58" ht="18.0" hidden="1" customHeight="1">
      <c r="A58" s="90"/>
      <c r="B58" s="6"/>
      <c r="C58" s="90"/>
      <c r="D58" s="185"/>
      <c r="E58" s="220"/>
      <c r="F58" s="187"/>
      <c r="G58" s="187"/>
      <c r="H58" s="195"/>
      <c r="I58" s="164"/>
      <c r="J58" s="189"/>
      <c r="K58" s="213"/>
      <c r="L58" s="183"/>
      <c r="M58" s="134"/>
      <c r="N58" s="135"/>
      <c r="O58" s="135"/>
      <c r="P58" s="112" t="str">
        <f>iferror(mround(I58/VLOOKUP(L58,Sheet1!$D$7:$N$16,G58+1,FALSE),2.5),"")</f>
        <v/>
      </c>
      <c r="Q58" s="136"/>
      <c r="R58" s="214"/>
      <c r="S58" s="11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</row>
    <row r="59" ht="3.75" hidden="1" customHeight="1">
      <c r="A59" s="191"/>
      <c r="B59" s="6"/>
      <c r="C59" s="192"/>
      <c r="D59" s="138"/>
      <c r="E59" s="311"/>
      <c r="F59" s="194"/>
      <c r="G59" s="194"/>
      <c r="H59" s="155"/>
      <c r="I59" s="210"/>
      <c r="J59" s="216"/>
      <c r="K59" s="217"/>
      <c r="L59" s="143"/>
      <c r="M59" s="144"/>
      <c r="N59" s="145"/>
      <c r="O59" s="145"/>
      <c r="P59" s="122"/>
      <c r="Q59" s="146"/>
      <c r="R59" s="214"/>
      <c r="S59" s="157"/>
      <c r="T59" s="5"/>
      <c r="U59" s="5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</row>
    <row r="60" ht="15.75" hidden="1" customHeight="1">
      <c r="A60" s="90"/>
      <c r="B60" s="6"/>
      <c r="C60" s="90"/>
      <c r="D60" s="185"/>
      <c r="E60" s="312"/>
      <c r="F60" s="187"/>
      <c r="G60" s="187"/>
      <c r="H60" s="195"/>
      <c r="I60" s="164"/>
      <c r="J60" s="189"/>
      <c r="K60" s="213"/>
      <c r="L60" s="183"/>
      <c r="M60" s="134"/>
      <c r="N60" s="135"/>
      <c r="O60" s="135"/>
      <c r="P60" s="112" t="str">
        <f>iferror(mround(I60/VLOOKUP(L60,Sheet1!$D$7:$N$16,G60+1,FALSE),2.5),"")</f>
        <v/>
      </c>
      <c r="Q60" s="136"/>
      <c r="R60" s="214"/>
      <c r="S60" s="11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</row>
    <row r="61" ht="3.75" hidden="1" customHeight="1">
      <c r="A61" s="90"/>
      <c r="B61" s="6"/>
      <c r="C61" s="90"/>
      <c r="D61" s="138"/>
      <c r="E61" s="215"/>
      <c r="F61" s="102"/>
      <c r="G61" s="102"/>
      <c r="H61" s="102"/>
      <c r="I61" s="102"/>
      <c r="J61" s="156"/>
      <c r="K61" s="217"/>
      <c r="L61" s="143"/>
      <c r="M61" s="144"/>
      <c r="N61" s="145"/>
      <c r="O61" s="145"/>
      <c r="P61" s="122"/>
      <c r="Q61" s="146"/>
      <c r="R61" s="214"/>
      <c r="S61" s="11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</row>
    <row r="62" ht="15.75" hidden="1" customHeight="1">
      <c r="A62" s="90"/>
      <c r="B62" s="6"/>
      <c r="C62" s="90"/>
      <c r="D62" s="185"/>
      <c r="E62" s="220"/>
      <c r="F62" s="187"/>
      <c r="G62" s="187"/>
      <c r="H62" s="195"/>
      <c r="I62" s="164"/>
      <c r="J62" s="189"/>
      <c r="K62" s="213"/>
      <c r="L62" s="183"/>
      <c r="M62" s="134"/>
      <c r="N62" s="135"/>
      <c r="O62" s="135"/>
      <c r="P62" s="112" t="str">
        <f>iferror(mround(I62/VLOOKUP(L62,Sheet1!$D$7:$N$16,G62+1,FALSE),2.5),"")</f>
        <v/>
      </c>
      <c r="Q62" s="136"/>
      <c r="R62" s="214"/>
      <c r="S62" s="11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</row>
    <row r="63" ht="3.75" hidden="1" customHeight="1">
      <c r="A63" s="191"/>
      <c r="B63" s="6"/>
      <c r="C63" s="192"/>
      <c r="D63" s="138"/>
      <c r="E63" s="313"/>
      <c r="F63" s="194"/>
      <c r="G63" s="194"/>
      <c r="H63" s="155"/>
      <c r="I63" s="210"/>
      <c r="J63" s="216"/>
      <c r="K63" s="217"/>
      <c r="L63" s="143"/>
      <c r="M63" s="144"/>
      <c r="N63" s="145"/>
      <c r="O63" s="145"/>
      <c r="P63" s="122"/>
      <c r="Q63" s="146"/>
      <c r="R63" s="214"/>
      <c r="S63" s="157"/>
      <c r="T63" s="5"/>
      <c r="U63" s="5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</row>
    <row r="64" ht="15.75" hidden="1" customHeight="1">
      <c r="A64" s="90"/>
      <c r="B64" s="6"/>
      <c r="C64" s="90"/>
      <c r="D64" s="185"/>
      <c r="E64" s="312"/>
      <c r="F64" s="187"/>
      <c r="G64" s="187"/>
      <c r="H64" s="195"/>
      <c r="I64" s="164"/>
      <c r="J64" s="189"/>
      <c r="K64" s="213"/>
      <c r="L64" s="183"/>
      <c r="M64" s="134"/>
      <c r="N64" s="135"/>
      <c r="O64" s="135"/>
      <c r="P64" s="112" t="str">
        <f>iferror(mround(I64/VLOOKUP(L64,Sheet1!$D$7:$N$16,G64+1,FALSE),2.5),"")</f>
        <v/>
      </c>
      <c r="Q64" s="136"/>
      <c r="R64" s="214"/>
      <c r="S64" s="11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</row>
    <row r="65" ht="3.75" hidden="1" customHeight="1">
      <c r="A65" s="90"/>
      <c r="B65" s="6"/>
      <c r="C65" s="90"/>
      <c r="D65" s="196"/>
      <c r="E65" s="215"/>
      <c r="F65" s="102"/>
      <c r="G65" s="102"/>
      <c r="H65" s="102"/>
      <c r="I65" s="102"/>
      <c r="J65" s="156"/>
      <c r="K65" s="217"/>
      <c r="L65" s="143"/>
      <c r="M65" s="144"/>
      <c r="N65" s="145"/>
      <c r="O65" s="145"/>
      <c r="P65" s="122"/>
      <c r="Q65" s="146"/>
      <c r="R65" s="214"/>
      <c r="S65" s="11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</row>
    <row r="66" ht="15.75" hidden="1" customHeight="1">
      <c r="A66" s="90"/>
      <c r="B66" s="6"/>
      <c r="C66" s="90"/>
      <c r="D66" s="197"/>
      <c r="E66" s="314"/>
      <c r="F66" s="199"/>
      <c r="G66" s="187"/>
      <c r="H66" s="195"/>
      <c r="I66" s="164"/>
      <c r="J66" s="189"/>
      <c r="K66" s="213"/>
      <c r="L66" s="183"/>
      <c r="M66" s="134"/>
      <c r="N66" s="135"/>
      <c r="O66" s="135"/>
      <c r="P66" s="112" t="str">
        <f>iferror(mround(I66/VLOOKUP(L66,Sheet1!$D$7:$N$16,G66+1,FALSE),2.5),"")</f>
        <v/>
      </c>
      <c r="Q66" s="136"/>
      <c r="R66" s="214"/>
      <c r="S66" s="11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</row>
    <row r="67" ht="3.75" hidden="1" customHeight="1">
      <c r="A67" s="90"/>
      <c r="B67" s="6"/>
      <c r="C67" s="90"/>
      <c r="D67" s="90"/>
      <c r="E67" s="120"/>
      <c r="F67" s="102"/>
      <c r="G67" s="102"/>
      <c r="H67" s="102"/>
      <c r="I67" s="102"/>
      <c r="J67" s="156"/>
      <c r="K67" s="315"/>
      <c r="L67" s="201"/>
      <c r="M67" s="211"/>
      <c r="N67" s="47"/>
      <c r="O67" s="47"/>
      <c r="P67" s="122"/>
      <c r="Q67" s="146"/>
      <c r="R67" s="214"/>
      <c r="S67" s="11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</row>
    <row r="68" ht="30.75" customHeight="1">
      <c r="A68" s="90"/>
      <c r="B68" s="6"/>
      <c r="C68" s="90"/>
      <c r="D68" s="104" t="s">
        <v>49</v>
      </c>
      <c r="E68" s="105" t="s">
        <v>106</v>
      </c>
      <c r="F68" s="106" t="s">
        <v>16</v>
      </c>
      <c r="G68" s="106" t="s">
        <v>17</v>
      </c>
      <c r="H68" s="107"/>
      <c r="I68" s="106" t="s">
        <v>18</v>
      </c>
      <c r="J68" s="108" t="s">
        <v>19</v>
      </c>
      <c r="L68" s="109" t="s">
        <v>20</v>
      </c>
      <c r="M68" s="110" t="s">
        <v>21</v>
      </c>
      <c r="N68" s="111" t="s">
        <v>22</v>
      </c>
      <c r="P68" s="112"/>
      <c r="Q68" s="113" t="s">
        <v>23</v>
      </c>
      <c r="R68" s="114" t="s">
        <v>50</v>
      </c>
      <c r="S68" s="11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</row>
    <row r="69" ht="14.25" customHeight="1">
      <c r="A69" s="90"/>
      <c r="B69" s="6"/>
      <c r="C69" s="90"/>
      <c r="D69" s="116">
        <v>4.0</v>
      </c>
      <c r="E69" s="117">
        <v>3.0</v>
      </c>
      <c r="H69" s="107"/>
      <c r="N69" s="111" t="s">
        <v>27</v>
      </c>
      <c r="O69" s="111" t="s">
        <v>28</v>
      </c>
      <c r="P69" s="112" t="s">
        <v>29</v>
      </c>
      <c r="R69" s="118" t="s">
        <v>30</v>
      </c>
      <c r="S69" s="11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</row>
    <row r="70" ht="3.75" customHeight="1">
      <c r="A70" s="191"/>
      <c r="B70" s="6"/>
      <c r="C70" s="192"/>
      <c r="D70" s="203"/>
      <c r="E70" s="203"/>
      <c r="F70" s="205"/>
      <c r="G70" s="205"/>
      <c r="H70" s="205"/>
      <c r="I70" s="225"/>
      <c r="J70" s="226"/>
      <c r="K70" s="316"/>
      <c r="L70" s="210"/>
      <c r="M70" s="211"/>
      <c r="N70" s="47"/>
      <c r="O70" s="47"/>
      <c r="P70" s="122"/>
      <c r="Q70" s="146"/>
      <c r="R70" s="212" t="s">
        <v>115</v>
      </c>
      <c r="S70" s="157"/>
      <c r="T70" s="5"/>
      <c r="U70" s="5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</row>
    <row r="71" ht="15.75" customHeight="1">
      <c r="A71" s="124"/>
      <c r="B71" s="6"/>
      <c r="C71" s="124"/>
      <c r="D71" s="125" t="s">
        <v>90</v>
      </c>
      <c r="E71" s="126"/>
      <c r="F71" s="127">
        <v>1.0</v>
      </c>
      <c r="G71" s="240">
        <v>4.0</v>
      </c>
      <c r="H71" s="129"/>
      <c r="I71" s="130">
        <v>375.0</v>
      </c>
      <c r="J71" s="151">
        <v>6.5</v>
      </c>
      <c r="K71" s="213"/>
      <c r="L71" s="133">
        <v>7.0</v>
      </c>
      <c r="M71" s="134"/>
      <c r="N71" s="135" t="str">
        <f>iferror(mround(#REF!*((VLOOKUP($J71,Sheet1!$D:$N,$G71+1,FALSE)-0.03)),2.5)," ")</f>
        <v> </v>
      </c>
      <c r="O71" s="135" t="str">
        <f>iferror(mround(#REF!*((VLOOKUP($J71,Sheet1!$D:$N,$G71+1,FALSE)+0.02)),2.5)," ")</f>
        <v> </v>
      </c>
      <c r="P71" s="112">
        <f>iferror(mround(I71/VLOOKUP(L71,Sheet1!$D$7:$N$16,G71+1,FALSE),2.5),"")</f>
        <v>460</v>
      </c>
      <c r="Q71" s="136"/>
      <c r="R71" s="214"/>
      <c r="S71" s="11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</row>
    <row r="72" ht="3.75" customHeight="1">
      <c r="A72" s="124"/>
      <c r="B72" s="6"/>
      <c r="C72" s="124"/>
      <c r="D72" s="138"/>
      <c r="E72" s="139"/>
      <c r="F72" s="140"/>
      <c r="G72" s="140"/>
      <c r="H72" s="140"/>
      <c r="I72" s="140"/>
      <c r="J72" s="141"/>
      <c r="K72" s="217"/>
      <c r="L72" s="218"/>
      <c r="M72" s="144"/>
      <c r="N72" s="145"/>
      <c r="O72" s="145"/>
      <c r="P72" s="122"/>
      <c r="Q72" s="146"/>
      <c r="R72" s="214"/>
      <c r="S72" s="11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</row>
    <row r="73" ht="15.75" customHeight="1">
      <c r="A73" s="90"/>
      <c r="B73" s="6"/>
      <c r="C73" s="90"/>
      <c r="D73" s="125" t="s">
        <v>77</v>
      </c>
      <c r="E73" s="126"/>
      <c r="F73" s="127">
        <v>3.0</v>
      </c>
      <c r="G73" s="240">
        <v>5.0</v>
      </c>
      <c r="H73" s="129"/>
      <c r="I73" s="164">
        <f>MROUND(I71*(1+J73),5)</f>
        <v>340</v>
      </c>
      <c r="J73" s="165">
        <v>-0.1</v>
      </c>
      <c r="K73" s="213"/>
      <c r="L73" s="133"/>
      <c r="M73" s="134"/>
      <c r="N73" s="135" t="str">
        <f>iferror(mround(#REF!*((VLOOKUP($J73,Sheet1!$D:$N,$G73+1,FALSE)-0.03)),2.5)," ")</f>
        <v> </v>
      </c>
      <c r="O73" s="135" t="str">
        <f>iferror(mround(#REF!*((VLOOKUP($J73,Sheet1!$D:$N,$G73+1,FALSE)+0.02)),2.5)," ")</f>
        <v> </v>
      </c>
      <c r="P73" s="112" t="str">
        <f>iferror(mround(I73/VLOOKUP(L73,Sheet1!$D$7:$N$16,G73+1,FALSE),2.5),"")</f>
        <v/>
      </c>
      <c r="Q73" s="136"/>
      <c r="R73" s="214"/>
      <c r="S73" s="11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</row>
    <row r="74" ht="3.75" customHeight="1">
      <c r="A74" s="90"/>
      <c r="B74" s="6"/>
      <c r="C74" s="90"/>
      <c r="D74" s="138"/>
      <c r="E74" s="215"/>
      <c r="F74" s="102"/>
      <c r="G74" s="102"/>
      <c r="H74" s="102"/>
      <c r="I74" s="102"/>
      <c r="J74" s="156"/>
      <c r="K74" s="217"/>
      <c r="L74" s="218"/>
      <c r="M74" s="144"/>
      <c r="N74" s="145"/>
      <c r="O74" s="145"/>
      <c r="P74" s="122"/>
      <c r="Q74" s="146"/>
      <c r="R74" s="214"/>
      <c r="S74" s="11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</row>
    <row r="75" ht="15.75" customHeight="1">
      <c r="A75" s="90"/>
      <c r="B75" s="6"/>
      <c r="C75" s="90"/>
      <c r="D75" s="159" t="s">
        <v>33</v>
      </c>
      <c r="E75" s="160" t="s">
        <v>34</v>
      </c>
      <c r="F75" s="127">
        <v>3.0</v>
      </c>
      <c r="G75" s="161">
        <v>2.0</v>
      </c>
      <c r="H75" s="129"/>
      <c r="I75" s="130">
        <v>265.0</v>
      </c>
      <c r="J75" s="151">
        <v>7.0</v>
      </c>
      <c r="K75" s="219" t="s">
        <v>91</v>
      </c>
      <c r="L75" s="133">
        <v>6.5</v>
      </c>
      <c r="M75" s="134"/>
      <c r="N75" s="135" t="str">
        <f>iferror(mround(#REF!*((VLOOKUP($J75,Sheet1!$D:$N,$G75+1,FALSE)-0.03)),2.5)," ")</f>
        <v> </v>
      </c>
      <c r="O75" s="135" t="str">
        <f>iferror(mround(#REF!*((VLOOKUP($J75,Sheet1!$D:$N,$G75+1,FALSE)+0.02)),2.5)," ")</f>
        <v> </v>
      </c>
      <c r="P75" s="112">
        <f>iferror(mround(I75/VLOOKUP(L75,Sheet1!$D$7:$N$16,G75+1,FALSE),2.5),"")</f>
        <v>310</v>
      </c>
      <c r="Q75" s="136"/>
      <c r="R75" s="214"/>
      <c r="S75" s="11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</row>
    <row r="76" ht="3.75" customHeight="1">
      <c r="A76" s="90"/>
      <c r="B76" s="6"/>
      <c r="C76" s="90"/>
      <c r="D76" s="138"/>
      <c r="E76" s="154"/>
      <c r="F76" s="155"/>
      <c r="G76" s="102"/>
      <c r="H76" s="102"/>
      <c r="I76" s="102"/>
      <c r="J76" s="156"/>
      <c r="K76" s="217"/>
      <c r="L76" s="218"/>
      <c r="M76" s="144"/>
      <c r="N76" s="145"/>
      <c r="O76" s="145"/>
      <c r="P76" s="122"/>
      <c r="Q76" s="146"/>
      <c r="R76" s="214"/>
      <c r="S76" s="11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</row>
    <row r="77" ht="15.75" customHeight="1">
      <c r="A77" s="90"/>
      <c r="B77" s="6"/>
      <c r="C77" s="90"/>
      <c r="D77" s="159" t="s">
        <v>45</v>
      </c>
      <c r="E77" s="220"/>
      <c r="F77" s="127">
        <v>3.0</v>
      </c>
      <c r="G77" s="127" t="s">
        <v>41</v>
      </c>
      <c r="H77" s="195"/>
      <c r="I77" s="130"/>
      <c r="J77" s="151"/>
      <c r="K77" s="213"/>
      <c r="L77" s="133"/>
      <c r="M77" s="134"/>
      <c r="N77" s="135" t="str">
        <f>iferror(mround(#REF!*((VLOOKUP($J77,Sheet1!$D:$N,$G77+1,FALSE)-0.03)),2.5)," ")</f>
        <v> </v>
      </c>
      <c r="O77" s="135" t="str">
        <f>iferror(mround(#REF!*((VLOOKUP($J77,Sheet1!$D:$N,$G77+1,FALSE)+0.02)),2.5)," ")</f>
        <v> </v>
      </c>
      <c r="P77" s="112" t="str">
        <f>iferror(mround(I77/VLOOKUP(L77,Sheet1!$D$7:$N$16,G77+1,FALSE),2.5),"")</f>
        <v/>
      </c>
      <c r="Q77" s="136"/>
      <c r="R77" s="214"/>
      <c r="S77" s="11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</row>
    <row r="78" ht="3.75" customHeight="1">
      <c r="A78" s="90"/>
      <c r="B78" s="6"/>
      <c r="C78" s="90"/>
      <c r="D78" s="138"/>
      <c r="E78" s="215"/>
      <c r="F78" s="102"/>
      <c r="G78" s="102"/>
      <c r="H78" s="102"/>
      <c r="I78" s="102"/>
      <c r="J78" s="156"/>
      <c r="K78" s="217"/>
      <c r="L78" s="218"/>
      <c r="M78" s="144"/>
      <c r="N78" s="145"/>
      <c r="O78" s="145"/>
      <c r="P78" s="122"/>
      <c r="Q78" s="146"/>
      <c r="R78" s="214"/>
      <c r="S78" s="11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</row>
    <row r="79" ht="15.75" customHeight="1">
      <c r="A79" s="90"/>
      <c r="B79" s="6"/>
      <c r="C79" s="90"/>
      <c r="D79" s="159" t="s">
        <v>94</v>
      </c>
      <c r="E79" s="220"/>
      <c r="F79" s="127">
        <v>3.0</v>
      </c>
      <c r="G79" s="221">
        <v>45641.0</v>
      </c>
      <c r="H79" s="195"/>
      <c r="I79" s="130">
        <v>20.0</v>
      </c>
      <c r="J79" s="151">
        <v>9.0</v>
      </c>
      <c r="K79" s="213"/>
      <c r="L79" s="133"/>
      <c r="M79" s="134"/>
      <c r="N79" s="135" t="str">
        <f>iferror(mround(#REF!*((VLOOKUP($J79,Sheet1!$D:$N,$G79+1,FALSE)-0.03)),2.5)," ")</f>
        <v> </v>
      </c>
      <c r="O79" s="135" t="str">
        <f>iferror(mround(#REF!*((VLOOKUP($J79,Sheet1!$D:$N,$G79+1,FALSE)+0.02)),2.5)," ")</f>
        <v> </v>
      </c>
      <c r="P79" s="112" t="str">
        <f>iferror(mround(I79/VLOOKUP(L79,Sheet1!$D$7:$N$16,G79+1,FALSE),2.5),"")</f>
        <v/>
      </c>
      <c r="Q79" s="136"/>
      <c r="R79" s="214"/>
      <c r="S79" s="11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</row>
    <row r="80" ht="3.75" customHeight="1">
      <c r="A80" s="90"/>
      <c r="B80" s="6"/>
      <c r="C80" s="90"/>
      <c r="D80" s="138"/>
      <c r="E80" s="215"/>
      <c r="F80" s="102"/>
      <c r="G80" s="102"/>
      <c r="H80" s="102"/>
      <c r="I80" s="102"/>
      <c r="J80" s="156"/>
      <c r="K80" s="217"/>
      <c r="L80" s="218"/>
      <c r="M80" s="144"/>
      <c r="N80" s="145"/>
      <c r="O80" s="145"/>
      <c r="P80" s="122"/>
      <c r="Q80" s="146"/>
      <c r="R80" s="214"/>
      <c r="S80" s="11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</row>
    <row r="81" ht="15.75" hidden="1" customHeight="1">
      <c r="A81" s="90"/>
      <c r="B81" s="6"/>
      <c r="C81" s="90"/>
      <c r="D81" s="185"/>
      <c r="E81" s="220"/>
      <c r="F81" s="187"/>
      <c r="G81" s="229"/>
      <c r="H81" s="195"/>
      <c r="I81" s="164"/>
      <c r="J81" s="189"/>
      <c r="K81" s="213"/>
      <c r="L81" s="183"/>
      <c r="M81" s="134"/>
      <c r="N81" s="135" t="str">
        <f>iferror(mround(#REF!*((VLOOKUP($J81,Sheet1!$D:$N,$G81+1,FALSE)-0.03)),2.5)," ")</f>
        <v> </v>
      </c>
      <c r="O81" s="135" t="str">
        <f>iferror(mround(#REF!*((VLOOKUP($J81,Sheet1!$D:$N,$G81+1,FALSE)+0.02)),2.5)," ")</f>
        <v> </v>
      </c>
      <c r="P81" s="112" t="str">
        <f>iferror(mround(I81/VLOOKUP(L81,Sheet1!$D$7:$N$16,G81+1,FALSE),2.5),"")</f>
        <v/>
      </c>
      <c r="Q81" s="136"/>
      <c r="R81" s="214"/>
      <c r="S81" s="11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</row>
    <row r="82" ht="3.75" hidden="1" customHeight="1">
      <c r="A82" s="90"/>
      <c r="B82" s="6"/>
      <c r="C82" s="90"/>
      <c r="D82" s="138"/>
      <c r="E82" s="215"/>
      <c r="F82" s="102"/>
      <c r="G82" s="102"/>
      <c r="H82" s="102"/>
      <c r="I82" s="102"/>
      <c r="J82" s="216"/>
      <c r="K82" s="217"/>
      <c r="L82" s="218"/>
      <c r="M82" s="144"/>
      <c r="N82" s="145"/>
      <c r="O82" s="145"/>
      <c r="P82" s="122"/>
      <c r="Q82" s="146"/>
      <c r="R82" s="214"/>
      <c r="S82" s="11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</row>
    <row r="83" ht="15.75" hidden="1" customHeight="1">
      <c r="A83" s="90"/>
      <c r="B83" s="6"/>
      <c r="C83" s="90"/>
      <c r="D83" s="185"/>
      <c r="E83" s="220"/>
      <c r="F83" s="187"/>
      <c r="G83" s="229"/>
      <c r="H83" s="195"/>
      <c r="I83" s="164"/>
      <c r="J83" s="189"/>
      <c r="K83" s="213"/>
      <c r="L83" s="183"/>
      <c r="M83" s="134"/>
      <c r="N83" s="135" t="str">
        <f>iferror(mround(#REF!*((VLOOKUP($J83,Sheet1!$D:$N,$G83+1,FALSE)-0.03)),2.5)," ")</f>
        <v> </v>
      </c>
      <c r="O83" s="135" t="str">
        <f>iferror(mround(#REF!*((VLOOKUP($J83,Sheet1!$D:$N,$G83+1,FALSE)+0.02)),2.5)," ")</f>
        <v> </v>
      </c>
      <c r="P83" s="112" t="str">
        <f>iferror(mround(I83/VLOOKUP(L83,Sheet1!$D$7:$N$16,G83+1,FALSE),2.5),"")</f>
        <v/>
      </c>
      <c r="Q83" s="136"/>
      <c r="R83" s="214"/>
      <c r="S83" s="11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</row>
    <row r="84" ht="3.75" hidden="1" customHeight="1">
      <c r="A84" s="191"/>
      <c r="B84" s="6"/>
      <c r="C84" s="192"/>
      <c r="D84" s="138"/>
      <c r="E84" s="215"/>
      <c r="F84" s="102"/>
      <c r="G84" s="102"/>
      <c r="H84" s="102"/>
      <c r="I84" s="102"/>
      <c r="J84" s="156"/>
      <c r="K84" s="217"/>
      <c r="L84" s="218"/>
      <c r="M84" s="144"/>
      <c r="N84" s="145"/>
      <c r="O84" s="145"/>
      <c r="P84" s="122"/>
      <c r="Q84" s="146"/>
      <c r="R84" s="214"/>
      <c r="S84" s="157"/>
      <c r="T84" s="5"/>
      <c r="U84" s="5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</row>
    <row r="85" ht="15.75" hidden="1" customHeight="1">
      <c r="A85" s="90"/>
      <c r="B85" s="6"/>
      <c r="C85" s="90"/>
      <c r="D85" s="185"/>
      <c r="E85" s="220"/>
      <c r="F85" s="187"/>
      <c r="G85" s="187"/>
      <c r="H85" s="195"/>
      <c r="I85" s="164"/>
      <c r="J85" s="230"/>
      <c r="K85" s="213"/>
      <c r="L85" s="183"/>
      <c r="M85" s="134"/>
      <c r="N85" s="135" t="str">
        <f>iferror(mround(#REF!*((VLOOKUP($J85,Sheet1!$D:$N,$G85+1,FALSE)-0.03)),2.5)," ")</f>
        <v> </v>
      </c>
      <c r="O85" s="135" t="str">
        <f>iferror(mround(#REF!*((VLOOKUP($J85,Sheet1!$D:$N,$G85+1,FALSE)+0.02)),2.5)," ")</f>
        <v> </v>
      </c>
      <c r="P85" s="112" t="str">
        <f>iferror(mround(I85/VLOOKUP(L85,Sheet1!$D$7:$N$16,G85+1,FALSE),2.5),"")</f>
        <v/>
      </c>
      <c r="Q85" s="136"/>
      <c r="R85" s="214"/>
      <c r="S85" s="11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</row>
    <row r="86" ht="3.75" hidden="1" customHeight="1">
      <c r="A86" s="90"/>
      <c r="B86" s="6"/>
      <c r="C86" s="90"/>
      <c r="D86" s="138"/>
      <c r="E86" s="215"/>
      <c r="F86" s="102"/>
      <c r="G86" s="102"/>
      <c r="H86" s="102"/>
      <c r="I86" s="102"/>
      <c r="J86" s="156"/>
      <c r="K86" s="217"/>
      <c r="L86" s="218"/>
      <c r="M86" s="144"/>
      <c r="N86" s="145"/>
      <c r="O86" s="145"/>
      <c r="P86" s="122"/>
      <c r="Q86" s="146"/>
      <c r="R86" s="214"/>
      <c r="S86" s="11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</row>
    <row r="87" ht="15.75" hidden="1" customHeight="1">
      <c r="A87" s="90"/>
      <c r="B87" s="6"/>
      <c r="C87" s="90"/>
      <c r="D87" s="231"/>
      <c r="E87" s="317"/>
      <c r="F87" s="187"/>
      <c r="G87" s="187"/>
      <c r="H87" s="195"/>
      <c r="I87" s="164"/>
      <c r="J87" s="230"/>
      <c r="K87" s="213"/>
      <c r="L87" s="183"/>
      <c r="M87" s="134"/>
      <c r="N87" s="135" t="str">
        <f>iferror(mround(#REF!*((VLOOKUP($J87,Sheet1!$D:$N,$G87+1,FALSE)-0.03)),2.5)," ")</f>
        <v> </v>
      </c>
      <c r="O87" s="135" t="str">
        <f>iferror(mround(#REF!*((VLOOKUP($J87,Sheet1!$D:$N,$G87+1,FALSE)+0.02)),2.5)," ")</f>
        <v> </v>
      </c>
      <c r="P87" s="112" t="str">
        <f>iferror(mround(I87/VLOOKUP(L87,Sheet1!$D$7:$N$16,G87+1,FALSE),2.5),"")</f>
        <v/>
      </c>
      <c r="Q87" s="136"/>
      <c r="R87" s="214"/>
      <c r="S87" s="11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</row>
    <row r="88" ht="3.75" hidden="1" customHeight="1">
      <c r="A88" s="191"/>
      <c r="B88" s="6"/>
      <c r="C88" s="233"/>
      <c r="D88" s="234"/>
      <c r="E88" s="318"/>
      <c r="F88" s="236"/>
      <c r="G88" s="194"/>
      <c r="H88" s="155"/>
      <c r="I88" s="210"/>
      <c r="J88" s="216"/>
      <c r="K88" s="217"/>
      <c r="L88" s="218"/>
      <c r="M88" s="144"/>
      <c r="N88" s="145"/>
      <c r="O88" s="145"/>
      <c r="P88" s="122"/>
      <c r="Q88" s="146"/>
      <c r="R88" s="214"/>
      <c r="S88" s="157"/>
      <c r="T88" s="5"/>
      <c r="U88" s="5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</row>
    <row r="89" ht="15.75" hidden="1" customHeight="1">
      <c r="A89" s="90"/>
      <c r="B89" s="6"/>
      <c r="C89" s="90"/>
      <c r="D89" s="197"/>
      <c r="E89" s="314"/>
      <c r="F89" s="199"/>
      <c r="G89" s="187"/>
      <c r="H89" s="195"/>
      <c r="I89" s="164"/>
      <c r="J89" s="189"/>
      <c r="K89" s="213"/>
      <c r="L89" s="183"/>
      <c r="M89" s="134"/>
      <c r="N89" s="135" t="str">
        <f>iferror(mround(#REF!*((VLOOKUP($J89,Sheet1!$D:$N,$G89+1,FALSE)-0.03)),2.5)," ")</f>
        <v> </v>
      </c>
      <c r="O89" s="135" t="str">
        <f>iferror(mround(#REF!*((VLOOKUP($J89,Sheet1!$D:$N,$G89+1,FALSE)+0.02)),2.5)," ")</f>
        <v> </v>
      </c>
      <c r="P89" s="112" t="str">
        <f>iferror(mround(I89/VLOOKUP(L89,Sheet1!$D$7:$N$16,G89+1,FALSE),2.5),"")</f>
        <v/>
      </c>
      <c r="Q89" s="136"/>
      <c r="R89" s="214"/>
      <c r="S89" s="11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</row>
    <row r="90" ht="3.75" customHeight="1">
      <c r="A90" s="90"/>
      <c r="B90" s="6"/>
      <c r="C90" s="90"/>
      <c r="D90" s="90"/>
      <c r="E90" s="120"/>
      <c r="F90" s="102"/>
      <c r="G90" s="102"/>
      <c r="H90" s="102"/>
      <c r="I90" s="102"/>
      <c r="J90" s="156"/>
      <c r="K90" s="200"/>
      <c r="L90" s="201"/>
      <c r="M90" s="211"/>
      <c r="N90" s="47"/>
      <c r="O90" s="47"/>
      <c r="P90" s="122"/>
      <c r="Q90" s="146"/>
      <c r="R90" s="214"/>
      <c r="S90" s="11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</row>
    <row r="91" ht="30.0" customHeight="1">
      <c r="A91" s="90"/>
      <c r="B91" s="6"/>
      <c r="C91" s="90"/>
      <c r="D91" s="104" t="s">
        <v>55</v>
      </c>
      <c r="E91" s="105" t="s">
        <v>96</v>
      </c>
      <c r="F91" s="106" t="s">
        <v>16</v>
      </c>
      <c r="G91" s="106" t="s">
        <v>17</v>
      </c>
      <c r="H91" s="107"/>
      <c r="I91" s="106" t="s">
        <v>18</v>
      </c>
      <c r="J91" s="108" t="s">
        <v>19</v>
      </c>
      <c r="L91" s="109" t="s">
        <v>20</v>
      </c>
      <c r="M91" s="110" t="s">
        <v>21</v>
      </c>
      <c r="N91" s="111" t="s">
        <v>22</v>
      </c>
      <c r="P91" s="112"/>
      <c r="Q91" s="113" t="s">
        <v>23</v>
      </c>
      <c r="R91" s="114" t="s">
        <v>56</v>
      </c>
      <c r="S91" s="11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</row>
    <row r="92" ht="14.25" customHeight="1">
      <c r="A92" s="90"/>
      <c r="B92" s="6"/>
      <c r="C92" s="90"/>
      <c r="D92" s="116">
        <v>3.0</v>
      </c>
      <c r="E92" s="117">
        <v>2.0</v>
      </c>
      <c r="H92" s="107"/>
      <c r="N92" s="111" t="s">
        <v>27</v>
      </c>
      <c r="O92" s="111" t="s">
        <v>28</v>
      </c>
      <c r="P92" s="112" t="s">
        <v>29</v>
      </c>
      <c r="R92" s="118" t="s">
        <v>30</v>
      </c>
      <c r="S92" s="11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</row>
    <row r="93" ht="3.75" customHeight="1">
      <c r="A93" s="191"/>
      <c r="B93" s="6"/>
      <c r="C93" s="192"/>
      <c r="D93" s="310"/>
      <c r="E93" s="204"/>
      <c r="F93" s="205"/>
      <c r="G93" s="205"/>
      <c r="H93" s="205"/>
      <c r="I93" s="225"/>
      <c r="J93" s="319"/>
      <c r="K93" s="243"/>
      <c r="L93" s="238"/>
      <c r="M93" s="211"/>
      <c r="N93" s="47" t="str">
        <f>iferror(mround(#REF!*((VLOOKUP($J93,Sheet1!$D:$N,$G93+1,FALSE)-0.03)),2.5)," ")</f>
        <v> </v>
      </c>
      <c r="O93" s="47" t="str">
        <f>iferror(mround(#REF!*((VLOOKUP($J93,Sheet1!$D:$N,$G93+1,FALSE)+0.02)),2.5)," ")</f>
        <v> </v>
      </c>
      <c r="P93" s="122"/>
      <c r="Q93" s="146"/>
      <c r="R93" s="239"/>
      <c r="S93" s="157"/>
      <c r="T93" s="5"/>
      <c r="U93" s="5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</row>
    <row r="94" ht="15.75" customHeight="1">
      <c r="A94" s="124"/>
      <c r="B94" s="6"/>
      <c r="C94" s="124"/>
      <c r="D94" s="125" t="s">
        <v>97</v>
      </c>
      <c r="E94" s="126"/>
      <c r="F94" s="127">
        <v>1.0</v>
      </c>
      <c r="G94" s="240">
        <v>4.0</v>
      </c>
      <c r="H94" s="129"/>
      <c r="I94" s="130">
        <v>452.0</v>
      </c>
      <c r="J94" s="151">
        <v>6.5</v>
      </c>
      <c r="K94" s="241"/>
      <c r="L94" s="130">
        <v>6.5</v>
      </c>
      <c r="M94" s="134"/>
      <c r="N94" s="135" t="str">
        <f>iferror(mround(#REF!*((VLOOKUP($J94,Sheet1!$D:$N,$G94+1,FALSE)-0.03)),2.5)," ")</f>
        <v> </v>
      </c>
      <c r="O94" s="135" t="str">
        <f>iferror(mround(#REF!*((VLOOKUP($J94,Sheet1!$D:$N,$G94+1,FALSE)+0.02)),2.5)," ")</f>
        <v> </v>
      </c>
      <c r="P94" s="112">
        <f>iferror(mround(I94/VLOOKUP(L94,Sheet1!$D$7:$N$16,G94+1,FALSE),2.5),"")</f>
        <v>562.5</v>
      </c>
      <c r="Q94" s="136"/>
      <c r="R94" s="242"/>
      <c r="S94" s="11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</row>
    <row r="95" ht="3.75" customHeight="1">
      <c r="A95" s="124"/>
      <c r="B95" s="6"/>
      <c r="C95" s="124"/>
      <c r="D95" s="138"/>
      <c r="E95" s="139"/>
      <c r="F95" s="140"/>
      <c r="G95" s="140"/>
      <c r="H95" s="140"/>
      <c r="I95" s="140"/>
      <c r="J95" s="141"/>
      <c r="K95" s="243"/>
      <c r="L95" s="210"/>
      <c r="M95" s="144"/>
      <c r="N95" s="145" t="str">
        <f>iferror(mround(#REF!*((VLOOKUP($J95,Sheet1!$D:$N,$G95+1,FALSE)-0.03)),2.5)," ")</f>
        <v> </v>
      </c>
      <c r="O95" s="145" t="str">
        <f>iferror(mround(#REF!*((VLOOKUP($J95,Sheet1!$D:$N,$G95+1,FALSE)+0.02)),2.5)," ")</f>
        <v> </v>
      </c>
      <c r="P95" s="122"/>
      <c r="Q95" s="146"/>
      <c r="R95" s="242"/>
      <c r="S95" s="11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</row>
    <row r="96" ht="15.0" customHeight="1">
      <c r="A96" s="124"/>
      <c r="B96" s="6"/>
      <c r="C96" s="124"/>
      <c r="D96" s="125" t="s">
        <v>97</v>
      </c>
      <c r="E96" s="126"/>
      <c r="F96" s="127">
        <v>3.0</v>
      </c>
      <c r="G96" s="240">
        <v>4.0</v>
      </c>
      <c r="H96" s="129"/>
      <c r="I96" s="164">
        <f>MROUND(I94*(1+J96),5)</f>
        <v>405</v>
      </c>
      <c r="J96" s="165">
        <v>-0.1</v>
      </c>
      <c r="K96" s="241"/>
      <c r="L96" s="130">
        <v>5.0</v>
      </c>
      <c r="M96" s="134"/>
      <c r="N96" s="135" t="str">
        <f>iferror(mround(#REF!*((VLOOKUP($J96,Sheet1!$D:$N,$G96+1,FALSE)-0.03)),2.5)," ")</f>
        <v> </v>
      </c>
      <c r="O96" s="135" t="str">
        <f>iferror(mround(#REF!*((VLOOKUP($J96,Sheet1!$D:$N,$G96+1,FALSE)+0.02)),2.5)," ")</f>
        <v> </v>
      </c>
      <c r="P96" s="112" t="str">
        <f>iferror(mround(I96/VLOOKUP(L96,Sheet1!$D$7:$N$16,G96+1,FALSE),2.5),"")</f>
        <v/>
      </c>
      <c r="Q96" s="136"/>
      <c r="R96" s="242"/>
      <c r="S96" s="11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</row>
    <row r="97" ht="3.75" customHeight="1">
      <c r="A97" s="124"/>
      <c r="B97" s="6"/>
      <c r="C97" s="124"/>
      <c r="D97" s="138"/>
      <c r="E97" s="215"/>
      <c r="F97" s="102"/>
      <c r="G97" s="102"/>
      <c r="H97" s="102"/>
      <c r="I97" s="102"/>
      <c r="J97" s="156"/>
      <c r="K97" s="243"/>
      <c r="L97" s="210"/>
      <c r="M97" s="144"/>
      <c r="N97" s="145" t="str">
        <f>iferror(mround(#REF!*((VLOOKUP($J97,Sheet1!$D:$N,$G97+1,FALSE)-0.03)),2.5)," ")</f>
        <v> </v>
      </c>
      <c r="O97" s="145" t="str">
        <f>iferror(mround(#REF!*((VLOOKUP($J97,Sheet1!$D:$N,$G97+1,FALSE)+0.02)),2.5)," ")</f>
        <v> </v>
      </c>
      <c r="P97" s="122"/>
      <c r="Q97" s="146"/>
      <c r="R97" s="242"/>
      <c r="S97" s="11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</row>
    <row r="98" ht="15.75" customHeight="1">
      <c r="A98" s="124"/>
      <c r="B98" s="6"/>
      <c r="C98" s="124"/>
      <c r="D98" s="159" t="s">
        <v>33</v>
      </c>
      <c r="E98" s="126"/>
      <c r="F98" s="127">
        <v>2.0</v>
      </c>
      <c r="G98" s="161">
        <v>1.0</v>
      </c>
      <c r="H98" s="129"/>
      <c r="I98" s="130">
        <v>303.0</v>
      </c>
      <c r="J98" s="189">
        <v>6.0</v>
      </c>
      <c r="K98" s="244" t="s">
        <v>98</v>
      </c>
      <c r="L98" s="130">
        <v>6.0</v>
      </c>
      <c r="M98" s="134"/>
      <c r="N98" s="135" t="str">
        <f>iferror(mround(#REF!*((VLOOKUP($J98,Sheet1!$D:$N,$G98+1,FALSE)-0.03)),2.5)," ")</f>
        <v> </v>
      </c>
      <c r="O98" s="135" t="str">
        <f>iferror(mround(#REF!*((VLOOKUP($J98,Sheet1!$D:$N,$G98+1,FALSE)+0.02)),2.5)," ")</f>
        <v> </v>
      </c>
      <c r="P98" s="112">
        <f>iferror(mround(I98/VLOOKUP(L98,Sheet1!$D$7:$N$16,G98+1,FALSE),2.5),"")</f>
        <v>350</v>
      </c>
      <c r="Q98" s="136"/>
      <c r="R98" s="242"/>
      <c r="S98" s="11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</row>
    <row r="99" ht="3.75" customHeight="1">
      <c r="A99" s="124"/>
      <c r="B99" s="6"/>
      <c r="C99" s="124"/>
      <c r="D99" s="138"/>
      <c r="E99" s="154"/>
      <c r="F99" s="155"/>
      <c r="G99" s="102"/>
      <c r="H99" s="102"/>
      <c r="I99" s="102"/>
      <c r="J99" s="156"/>
      <c r="K99" s="243"/>
      <c r="L99" s="210"/>
      <c r="M99" s="144"/>
      <c r="N99" s="145" t="str">
        <f>iferror(mround(#REF!*((VLOOKUP($J99,Sheet1!$D:$N,$G99+1,FALSE)-0.03)),2.5)," ")</f>
        <v> </v>
      </c>
      <c r="O99" s="145" t="str">
        <f>iferror(mround(#REF!*((VLOOKUP($J99,Sheet1!$D:$N,$G99+1,FALSE)+0.02)),2.5)," ")</f>
        <v> </v>
      </c>
      <c r="P99" s="122"/>
      <c r="Q99" s="146"/>
      <c r="R99" s="242"/>
      <c r="S99" s="11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</row>
    <row r="100" ht="15.75" customHeight="1">
      <c r="A100" s="124"/>
      <c r="B100" s="6"/>
      <c r="C100" s="124"/>
      <c r="D100" s="159" t="s">
        <v>33</v>
      </c>
      <c r="E100" s="126"/>
      <c r="F100" s="127">
        <v>4.0</v>
      </c>
      <c r="G100" s="161">
        <v>4.0</v>
      </c>
      <c r="H100" s="129"/>
      <c r="I100" s="130">
        <v>265.0</v>
      </c>
      <c r="J100" s="151">
        <v>6.0</v>
      </c>
      <c r="K100" s="241" t="s">
        <v>91</v>
      </c>
      <c r="L100" s="130">
        <v>6.0</v>
      </c>
      <c r="M100" s="134"/>
      <c r="N100" s="135" t="str">
        <f>iferror(mround(#REF!*((VLOOKUP($J100,Sheet1!$D:$N,$G100+1,FALSE)-0.03)),2.5)," ")</f>
        <v> </v>
      </c>
      <c r="O100" s="135" t="str">
        <f>iferror(mround(#REF!*((VLOOKUP($J100,Sheet1!$D:$N,$G100+1,FALSE)+0.02)),2.5)," ")</f>
        <v> </v>
      </c>
      <c r="P100" s="112">
        <f>iferror(mround(I100/VLOOKUP(L100,Sheet1!$D$7:$N$16,G100+1,FALSE),2.5),"")</f>
        <v>335</v>
      </c>
      <c r="Q100" s="136"/>
      <c r="R100" s="242"/>
      <c r="S100" s="11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</row>
    <row r="101" ht="3.75" customHeight="1">
      <c r="A101" s="90"/>
      <c r="B101" s="6"/>
      <c r="C101" s="90"/>
      <c r="D101" s="138"/>
      <c r="E101" s="245"/>
      <c r="F101" s="102"/>
      <c r="G101" s="102"/>
      <c r="H101" s="102"/>
      <c r="I101" s="102"/>
      <c r="J101" s="156"/>
      <c r="K101" s="243"/>
      <c r="L101" s="210"/>
      <c r="M101" s="144"/>
      <c r="N101" s="145" t="str">
        <f>iferror(mround(#REF!*((VLOOKUP($J101,Sheet1!$D:$N,$G101+1,FALSE)-0.03)),2.5)," ")</f>
        <v> </v>
      </c>
      <c r="O101" s="145" t="str">
        <f>iferror(mround(#REF!*((VLOOKUP($J101,Sheet1!$D:$N,$G101+1,FALSE)+0.02)),2.5)," ")</f>
        <v> </v>
      </c>
      <c r="P101" s="122"/>
      <c r="Q101" s="146"/>
      <c r="R101" s="242"/>
      <c r="S101" s="11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</row>
    <row r="102" ht="15.75" customHeight="1">
      <c r="A102" s="90"/>
      <c r="B102" s="6"/>
      <c r="C102" s="90"/>
      <c r="D102" s="159" t="s">
        <v>54</v>
      </c>
      <c r="E102" s="227"/>
      <c r="F102" s="127">
        <v>3.0</v>
      </c>
      <c r="G102" s="221">
        <v>45577.0</v>
      </c>
      <c r="H102" s="195"/>
      <c r="I102" s="130"/>
      <c r="J102" s="228">
        <v>8.0</v>
      </c>
      <c r="K102" s="241"/>
      <c r="L102" s="130"/>
      <c r="M102" s="134"/>
      <c r="N102" s="135" t="str">
        <f>iferror(mround(#REF!*((VLOOKUP($J102,Sheet1!$D:$N,$G102+1,FALSE)-0.03)),2.5)," ")</f>
        <v> </v>
      </c>
      <c r="O102" s="135" t="str">
        <f>iferror(mround(#REF!*((VLOOKUP($J102,Sheet1!$D:$N,$G102+1,FALSE)+0.02)),2.5)," ")</f>
        <v> </v>
      </c>
      <c r="P102" s="112" t="str">
        <f>iferror(mround(I102/VLOOKUP(L102,Sheet1!$D$7:$N$16,G102+1,FALSE),2.5),"")</f>
        <v/>
      </c>
      <c r="Q102" s="136"/>
      <c r="R102" s="242"/>
      <c r="S102" s="11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</row>
    <row r="103" ht="3.75" customHeight="1">
      <c r="A103" s="191"/>
      <c r="B103" s="6"/>
      <c r="C103" s="192"/>
      <c r="D103" s="138"/>
      <c r="E103" s="245"/>
      <c r="F103" s="102"/>
      <c r="G103" s="102"/>
      <c r="H103" s="102"/>
      <c r="I103" s="102"/>
      <c r="J103" s="156"/>
      <c r="K103" s="243"/>
      <c r="L103" s="210"/>
      <c r="M103" s="144"/>
      <c r="N103" s="145" t="str">
        <f>iferror(mround(#REF!*((VLOOKUP($J103,Sheet1!$D:$N,$G103+1,FALSE)-0.03)),2.5)," ")</f>
        <v> </v>
      </c>
      <c r="O103" s="145" t="str">
        <f>iferror(mround(#REF!*((VLOOKUP($J103,Sheet1!$D:$N,$G103+1,FALSE)+0.02)),2.5)," ")</f>
        <v> </v>
      </c>
      <c r="P103" s="122"/>
      <c r="Q103" s="146"/>
      <c r="R103" s="242"/>
      <c r="S103" s="157"/>
      <c r="T103" s="5"/>
      <c r="U103" s="5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</row>
    <row r="104" ht="15.75" customHeight="1">
      <c r="A104" s="90"/>
      <c r="B104" s="6"/>
      <c r="C104" s="90"/>
      <c r="D104" s="159" t="s">
        <v>99</v>
      </c>
      <c r="E104" s="246" t="s">
        <v>100</v>
      </c>
      <c r="F104" s="127">
        <v>3.0</v>
      </c>
      <c r="G104" s="221">
        <v>45577.0</v>
      </c>
      <c r="H104" s="195"/>
      <c r="I104" s="130"/>
      <c r="J104" s="228">
        <v>9.0</v>
      </c>
      <c r="K104" s="241"/>
      <c r="L104" s="130"/>
      <c r="M104" s="134"/>
      <c r="N104" s="135" t="str">
        <f>iferror(mround(#REF!*((VLOOKUP($J104,Sheet1!$D:$N,$G104+1,FALSE)-0.03)),2.5)," ")</f>
        <v> </v>
      </c>
      <c r="O104" s="135" t="str">
        <f>iferror(mround(#REF!*((VLOOKUP($J104,Sheet1!$D:$N,$G104+1,FALSE)+0.02)),2.5)," ")</f>
        <v> </v>
      </c>
      <c r="P104" s="112" t="str">
        <f>iferror(mround(I104/VLOOKUP(L104,Sheet1!$D$7:$N$16,G104+1,FALSE),2.5),"")</f>
        <v/>
      </c>
      <c r="Q104" s="136"/>
      <c r="R104" s="242"/>
      <c r="S104" s="11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</row>
    <row r="105" ht="3.75" customHeight="1">
      <c r="A105" s="90"/>
      <c r="B105" s="6"/>
      <c r="C105" s="90"/>
      <c r="D105" s="138"/>
      <c r="E105" s="245"/>
      <c r="F105" s="102"/>
      <c r="G105" s="102"/>
      <c r="H105" s="102"/>
      <c r="I105" s="102"/>
      <c r="J105" s="156"/>
      <c r="K105" s="243"/>
      <c r="L105" s="210"/>
      <c r="M105" s="144"/>
      <c r="N105" s="145" t="str">
        <f>iferror(mround(#REF!*((VLOOKUP($J105,Sheet1!$D:$N,$G105+1,FALSE)-0.03)),2.5)," ")</f>
        <v> </v>
      </c>
      <c r="O105" s="145" t="str">
        <f>iferror(mround(#REF!*((VLOOKUP($J105,Sheet1!$D:$N,$G105+1,FALSE)+0.02)),2.5)," ")</f>
        <v> </v>
      </c>
      <c r="P105" s="122"/>
      <c r="Q105" s="146"/>
      <c r="R105" s="242"/>
      <c r="S105" s="11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</row>
    <row r="106" ht="15.75" hidden="1" customHeight="1">
      <c r="A106" s="90"/>
      <c r="B106" s="6"/>
      <c r="C106" s="90"/>
      <c r="D106" s="185"/>
      <c r="E106" s="227"/>
      <c r="F106" s="187"/>
      <c r="G106" s="229"/>
      <c r="H106" s="195"/>
      <c r="I106" s="247"/>
      <c r="J106" s="248"/>
      <c r="K106" s="241"/>
      <c r="L106" s="164"/>
      <c r="M106" s="134"/>
      <c r="N106" s="135" t="str">
        <f>iferror(mround(#REF!*((VLOOKUP($J106,Sheet1!$D:$N,$G106+1,FALSE)-0.03)),2.5)," ")</f>
        <v> </v>
      </c>
      <c r="O106" s="135" t="str">
        <f>iferror(mround(#REF!*((VLOOKUP($J106,Sheet1!$D:$N,$G106+1,FALSE)+0.02)),2.5)," ")</f>
        <v> </v>
      </c>
      <c r="P106" s="112" t="str">
        <f>iferror(mround(I106/VLOOKUP(L106,Sheet1!$D$7:$N$16,G106+1,FALSE),2.5),"")</f>
        <v/>
      </c>
      <c r="Q106" s="136"/>
      <c r="R106" s="242"/>
      <c r="S106" s="11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</row>
    <row r="107" ht="3.75" hidden="1" customHeight="1">
      <c r="A107" s="90"/>
      <c r="B107" s="6"/>
      <c r="C107" s="90"/>
      <c r="D107" s="138"/>
      <c r="E107" s="215"/>
      <c r="F107" s="102"/>
      <c r="G107" s="102"/>
      <c r="H107" s="102"/>
      <c r="I107" s="102"/>
      <c r="J107" s="156"/>
      <c r="K107" s="243"/>
      <c r="L107" s="210"/>
      <c r="M107" s="144"/>
      <c r="N107" s="145" t="str">
        <f>iferror(mround(#REF!*((VLOOKUP($J107,Sheet1!$D:$N,$G107+1,FALSE)-0.03)),2.5)," ")</f>
        <v> </v>
      </c>
      <c r="O107" s="145" t="str">
        <f>iferror(mround(#REF!*((VLOOKUP($J107,Sheet1!$D:$N,$G107+1,FALSE)+0.02)),2.5)," ")</f>
        <v> </v>
      </c>
      <c r="P107" s="122"/>
      <c r="Q107" s="146"/>
      <c r="R107" s="242"/>
      <c r="S107" s="11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</row>
    <row r="108" ht="15.75" hidden="1" customHeight="1">
      <c r="A108" s="90"/>
      <c r="B108" s="6"/>
      <c r="C108" s="90"/>
      <c r="D108" s="185"/>
      <c r="E108" s="220"/>
      <c r="F108" s="187"/>
      <c r="G108" s="229"/>
      <c r="H108" s="195"/>
      <c r="I108" s="247"/>
      <c r="J108" s="248"/>
      <c r="K108" s="241"/>
      <c r="L108" s="164"/>
      <c r="M108" s="134"/>
      <c r="N108" s="135" t="str">
        <f>iferror(mround(#REF!*((VLOOKUP($J108,Sheet1!$D:$N,$G108+1,FALSE)-0.03)),2.5)," ")</f>
        <v> </v>
      </c>
      <c r="O108" s="135" t="str">
        <f>iferror(mround(#REF!*((VLOOKUP($J108,Sheet1!$D:$N,$G108+1,FALSE)+0.02)),2.5)," ")</f>
        <v> </v>
      </c>
      <c r="P108" s="112" t="str">
        <f>iferror(mround(I108/VLOOKUP(L108,Sheet1!$D$7:$N$16,G108+1,FALSE),2.5),"")</f>
        <v/>
      </c>
      <c r="Q108" s="136"/>
      <c r="R108" s="242"/>
      <c r="S108" s="11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</row>
    <row r="109" ht="3.75" customHeight="1">
      <c r="A109" s="90"/>
      <c r="B109" s="6"/>
      <c r="C109" s="90"/>
      <c r="D109" s="196"/>
      <c r="E109" s="215"/>
      <c r="F109" s="102"/>
      <c r="G109" s="102"/>
      <c r="H109" s="102"/>
      <c r="I109" s="102"/>
      <c r="J109" s="156"/>
      <c r="K109" s="243"/>
      <c r="L109" s="210"/>
      <c r="M109" s="144"/>
      <c r="N109" s="145" t="str">
        <f>iferror(mround(#REF!*((VLOOKUP($J109,Sheet1!$D:$N,$G109+1,FALSE)-0.03)),2.5)," ")</f>
        <v> </v>
      </c>
      <c r="O109" s="145" t="str">
        <f>iferror(mround(#REF!*((VLOOKUP($J109,Sheet1!$D:$N,$G109+1,FALSE)+0.02)),2.5)," ")</f>
        <v> </v>
      </c>
      <c r="P109" s="122"/>
      <c r="Q109" s="146"/>
      <c r="R109" s="242"/>
      <c r="S109" s="11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</row>
    <row r="110" ht="15.75" hidden="1" customHeight="1">
      <c r="A110" s="90"/>
      <c r="B110" s="6"/>
      <c r="C110" s="90"/>
      <c r="D110" s="197"/>
      <c r="E110" s="320"/>
      <c r="F110" s="129"/>
      <c r="G110" s="199"/>
      <c r="H110" s="195"/>
      <c r="I110" s="247"/>
      <c r="J110" s="248"/>
      <c r="K110" s="241"/>
      <c r="L110" s="164"/>
      <c r="M110" s="134"/>
      <c r="N110" s="135" t="str">
        <f>iferror(mround(#REF!*((VLOOKUP($J110,Sheet1!$D:$N,$G110+1,FALSE)-0.03)),2.5)," ")</f>
        <v> </v>
      </c>
      <c r="O110" s="135" t="str">
        <f>iferror(mround(#REF!*((VLOOKUP($J110,Sheet1!$D:$N,$G110+1,FALSE)+0.02)),2.5)," ")</f>
        <v> </v>
      </c>
      <c r="P110" s="112" t="str">
        <f>iferror(mround(I110/VLOOKUP(L110,Sheet1!$D$7:$N$16,G110+1,FALSE),2.5),"")</f>
        <v/>
      </c>
      <c r="Q110" s="136"/>
      <c r="R110" s="242"/>
      <c r="S110" s="11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</row>
    <row r="111" ht="3.75" hidden="1" customHeight="1">
      <c r="A111" s="90"/>
      <c r="B111" s="6"/>
      <c r="C111" s="90"/>
      <c r="D111" s="234"/>
      <c r="E111" s="215"/>
      <c r="F111" s="102"/>
      <c r="G111" s="102"/>
      <c r="H111" s="102"/>
      <c r="I111" s="102"/>
      <c r="J111" s="156"/>
      <c r="K111" s="243"/>
      <c r="L111" s="210"/>
      <c r="M111" s="144"/>
      <c r="N111" s="145" t="str">
        <f>iferror(mround(#REF!*((VLOOKUP($J111,Sheet1!$D:$N,$G111+1,FALSE)-0.03)),2.5)," ")</f>
        <v> </v>
      </c>
      <c r="O111" s="145" t="str">
        <f>iferror(mround(#REF!*((VLOOKUP($J111,Sheet1!$D:$N,$G111+1,FALSE)+0.02)),2.5)," ")</f>
        <v> </v>
      </c>
      <c r="P111" s="122"/>
      <c r="Q111" s="146"/>
      <c r="R111" s="242"/>
      <c r="S111" s="11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</row>
    <row r="112" ht="15.75" hidden="1" customHeight="1">
      <c r="A112" s="90"/>
      <c r="B112" s="6"/>
      <c r="C112" s="90"/>
      <c r="D112" s="197"/>
      <c r="E112" s="314"/>
      <c r="F112" s="129"/>
      <c r="G112" s="199"/>
      <c r="H112" s="195"/>
      <c r="I112" s="164"/>
      <c r="J112" s="248"/>
      <c r="K112" s="241"/>
      <c r="L112" s="164"/>
      <c r="M112" s="134"/>
      <c r="N112" s="135" t="str">
        <f>iferror(mround(#REF!*((VLOOKUP($J112,Sheet1!$D:$N,$G112+1,FALSE)-0.03)),2.5)," ")</f>
        <v> </v>
      </c>
      <c r="O112" s="135" t="str">
        <f>iferror(mround(#REF!*((VLOOKUP($J112,Sheet1!$D:$N,$G112+1,FALSE)+0.02)),2.5)," ")</f>
        <v> </v>
      </c>
      <c r="P112" s="112" t="str">
        <f>iferror(mround(I112/VLOOKUP(L112,Sheet1!$D$7:$N$16,G112+1,FALSE),2.5),"")</f>
        <v/>
      </c>
      <c r="Q112" s="136"/>
      <c r="R112" s="242"/>
      <c r="S112" s="11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</row>
    <row r="113" ht="3.75" hidden="1" customHeight="1">
      <c r="A113" s="124"/>
      <c r="B113" s="6"/>
      <c r="C113" s="124"/>
      <c r="D113" s="252"/>
      <c r="E113" s="321"/>
      <c r="F113" s="102"/>
      <c r="G113" s="102"/>
      <c r="H113" s="102"/>
      <c r="I113" s="102"/>
      <c r="J113" s="156"/>
      <c r="K113" s="253"/>
      <c r="L113" s="201"/>
      <c r="M113" s="211" t="str">
        <f>#REF!</f>
        <v>#REF!</v>
      </c>
      <c r="N113" s="47" t="str">
        <f>iferror(mround(#REF!*((VLOOKUP($J113,Sheet1!$D:$N,$G113+1,FALSE)-0.03)),2.5)," ")</f>
        <v> </v>
      </c>
      <c r="O113" s="47" t="str">
        <f>iferror(mround(#REF!*((VLOOKUP($J113,Sheet1!$D:$N,$G113+1,FALSE)+0.02)),2.5)," ")</f>
        <v> </v>
      </c>
      <c r="P113" s="122"/>
      <c r="Q113" s="146"/>
      <c r="R113" s="242"/>
      <c r="S113" s="11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</row>
    <row r="114" ht="30.75" hidden="1" customHeight="1">
      <c r="A114" s="90"/>
      <c r="B114" s="6"/>
      <c r="C114" s="90"/>
      <c r="D114" s="322" t="s">
        <v>57</v>
      </c>
      <c r="E114" s="255" t="s">
        <v>15</v>
      </c>
      <c r="F114" s="106" t="s">
        <v>16</v>
      </c>
      <c r="G114" s="106" t="s">
        <v>17</v>
      </c>
      <c r="H114" s="107"/>
      <c r="I114" s="106" t="s">
        <v>18</v>
      </c>
      <c r="J114" s="108" t="s">
        <v>19</v>
      </c>
      <c r="L114" s="109" t="s">
        <v>20</v>
      </c>
      <c r="M114" s="110" t="s">
        <v>21</v>
      </c>
      <c r="N114" s="111" t="s">
        <v>22</v>
      </c>
      <c r="P114" s="112"/>
      <c r="Q114" s="113" t="s">
        <v>23</v>
      </c>
      <c r="R114" s="256" t="s">
        <v>58</v>
      </c>
      <c r="S114" s="11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</row>
    <row r="115" ht="14.25" hidden="1" customHeight="1">
      <c r="A115" s="90"/>
      <c r="B115" s="6"/>
      <c r="C115" s="90"/>
      <c r="D115" s="257" t="s">
        <v>25</v>
      </c>
      <c r="E115" s="258" t="s">
        <v>26</v>
      </c>
      <c r="H115" s="107"/>
      <c r="N115" s="111" t="s">
        <v>27</v>
      </c>
      <c r="O115" s="111" t="s">
        <v>28</v>
      </c>
      <c r="P115" s="112" t="s">
        <v>29</v>
      </c>
      <c r="R115" s="118" t="s">
        <v>30</v>
      </c>
      <c r="S115" s="11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</row>
    <row r="116" ht="3.75" hidden="1" customHeight="1">
      <c r="A116" s="124"/>
      <c r="B116" s="6"/>
      <c r="C116" s="124"/>
      <c r="D116" s="252"/>
      <c r="E116" s="321"/>
      <c r="F116" s="102"/>
      <c r="G116" s="102"/>
      <c r="H116" s="102"/>
      <c r="I116" s="102"/>
      <c r="J116" s="156"/>
      <c r="K116" s="200"/>
      <c r="L116" s="201"/>
      <c r="M116" s="211"/>
      <c r="N116" s="47"/>
      <c r="O116" s="47"/>
      <c r="P116" s="122"/>
      <c r="Q116" s="146"/>
      <c r="R116" s="259"/>
      <c r="S116" s="11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</row>
    <row r="117" ht="14.25" hidden="1" customHeight="1">
      <c r="A117" s="124"/>
      <c r="B117" s="6"/>
      <c r="C117" s="124"/>
      <c r="D117" s="260"/>
      <c r="E117" s="126"/>
      <c r="F117" s="187"/>
      <c r="G117" s="229"/>
      <c r="H117" s="129"/>
      <c r="I117" s="164"/>
      <c r="J117" s="189"/>
      <c r="K117" s="132"/>
      <c r="L117" s="164"/>
      <c r="M117" s="134"/>
      <c r="N117" s="135" t="str">
        <f>iferror(mround(#REF!*((VLOOKUP($J117,Sheet1!$D:$N,$G117+1,FALSE)-0.03)),2.5)," ")</f>
        <v> </v>
      </c>
      <c r="O117" s="135" t="str">
        <f>iferror(mround(#REF!*((VLOOKUP($J117,Sheet1!$D:$N,$G117+1,FALSE)+0.02)),2.5)," ")</f>
        <v> </v>
      </c>
      <c r="P117" s="56" t="str">
        <f>iferror(mround(I117/VLOOKUP(L117,Sheet1!$D$7:$N$16,G117+1,FALSE),2.5),"")</f>
        <v/>
      </c>
      <c r="Q117" s="136"/>
      <c r="S117" s="11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</row>
    <row r="118" ht="3.75" hidden="1" customHeight="1">
      <c r="A118" s="124"/>
      <c r="B118" s="6"/>
      <c r="C118" s="124"/>
      <c r="D118" s="138"/>
      <c r="E118" s="215"/>
      <c r="F118" s="102"/>
      <c r="G118" s="102"/>
      <c r="H118" s="102"/>
      <c r="I118" s="102"/>
      <c r="J118" s="156"/>
      <c r="K118" s="243"/>
      <c r="L118" s="210"/>
      <c r="M118" s="144"/>
      <c r="N118" s="145"/>
      <c r="O118" s="145"/>
      <c r="P118" s="122"/>
      <c r="Q118" s="146"/>
      <c r="S118" s="11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</row>
    <row r="119" ht="14.25" hidden="1" customHeight="1">
      <c r="A119" s="124"/>
      <c r="B119" s="6"/>
      <c r="C119" s="124"/>
      <c r="D119" s="185"/>
      <c r="E119" s="227"/>
      <c r="F119" s="187"/>
      <c r="G119" s="229"/>
      <c r="H119" s="195"/>
      <c r="I119" s="164"/>
      <c r="J119" s="248"/>
      <c r="K119" s="241"/>
      <c r="L119" s="164"/>
      <c r="M119" s="134"/>
      <c r="N119" s="135" t="str">
        <f>iferror(mround(#REF!*((VLOOKUP($J119,Sheet1!$D:$N,$G119+1,FALSE)-0.03)),2.5)," ")</f>
        <v> </v>
      </c>
      <c r="O119" s="135" t="str">
        <f>iferror(mround(#REF!*((VLOOKUP($J119,Sheet1!$D:$N,$G119+1,FALSE)+0.02)),2.5)," ")</f>
        <v> </v>
      </c>
      <c r="P119" s="112" t="str">
        <f>iferror(mround(I119/VLOOKUP(L119,Sheet1!$D$7:$N$16,G119+1,FALSE),2.5),"")</f>
        <v/>
      </c>
      <c r="Q119" s="136"/>
      <c r="S119" s="11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</row>
    <row r="120" ht="3.75" hidden="1" customHeight="1">
      <c r="A120" s="124"/>
      <c r="B120" s="6"/>
      <c r="C120" s="124"/>
      <c r="D120" s="138"/>
      <c r="E120" s="245"/>
      <c r="F120" s="102"/>
      <c r="G120" s="102"/>
      <c r="H120" s="102"/>
      <c r="I120" s="102"/>
      <c r="J120" s="156"/>
      <c r="K120" s="243"/>
      <c r="L120" s="210"/>
      <c r="M120" s="144"/>
      <c r="N120" s="145"/>
      <c r="O120" s="145"/>
      <c r="P120" s="122"/>
      <c r="Q120" s="146"/>
      <c r="S120" s="11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</row>
    <row r="121" ht="14.25" hidden="1" customHeight="1">
      <c r="A121" s="124"/>
      <c r="B121" s="6"/>
      <c r="C121" s="124"/>
      <c r="D121" s="185"/>
      <c r="E121" s="227"/>
      <c r="F121" s="187"/>
      <c r="G121" s="229"/>
      <c r="H121" s="195"/>
      <c r="I121" s="164"/>
      <c r="J121" s="248"/>
      <c r="K121" s="241"/>
      <c r="L121" s="164"/>
      <c r="M121" s="134"/>
      <c r="N121" s="135" t="str">
        <f>iferror(mround(#REF!*((VLOOKUP($J121,Sheet1!$D:$N,$G121+1,FALSE)-0.03)),2.5)," ")</f>
        <v> </v>
      </c>
      <c r="O121" s="135" t="str">
        <f>iferror(mround(#REF!*((VLOOKUP($J121,Sheet1!$D:$N,$G121+1,FALSE)+0.02)),2.5)," ")</f>
        <v> </v>
      </c>
      <c r="P121" s="112" t="str">
        <f>iferror(mround(I121/VLOOKUP(L121,Sheet1!$D$7:$N$16,G121+1,FALSE),2.5),"")</f>
        <v/>
      </c>
      <c r="Q121" s="136"/>
      <c r="S121" s="11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</row>
    <row r="122" ht="3.75" hidden="1" customHeight="1">
      <c r="A122" s="124"/>
      <c r="B122" s="6"/>
      <c r="C122" s="124"/>
      <c r="D122" s="138"/>
      <c r="E122" s="245"/>
      <c r="F122" s="102"/>
      <c r="G122" s="102"/>
      <c r="H122" s="102"/>
      <c r="I122" s="102"/>
      <c r="J122" s="156"/>
      <c r="K122" s="243"/>
      <c r="L122" s="210"/>
      <c r="M122" s="144"/>
      <c r="N122" s="145"/>
      <c r="O122" s="145"/>
      <c r="P122" s="122"/>
      <c r="Q122" s="146"/>
      <c r="S122" s="11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</row>
    <row r="123" ht="14.25" hidden="1" customHeight="1">
      <c r="A123" s="124"/>
      <c r="B123" s="6"/>
      <c r="C123" s="124"/>
      <c r="D123" s="185"/>
      <c r="E123" s="227"/>
      <c r="F123" s="187"/>
      <c r="G123" s="229"/>
      <c r="H123" s="195"/>
      <c r="I123" s="164"/>
      <c r="J123" s="248"/>
      <c r="K123" s="241"/>
      <c r="L123" s="164"/>
      <c r="M123" s="134"/>
      <c r="N123" s="135" t="str">
        <f>iferror(mround(#REF!*((VLOOKUP($J123,Sheet1!$D:$N,$G123+1,FALSE)-0.03)),2.5)," ")</f>
        <v> </v>
      </c>
      <c r="O123" s="135" t="str">
        <f>iferror(mround(#REF!*((VLOOKUP($J123,Sheet1!$D:$N,$G123+1,FALSE)+0.02)),2.5)," ")</f>
        <v> </v>
      </c>
      <c r="P123" s="112" t="str">
        <f>iferror(mround(I123/VLOOKUP(L123,Sheet1!$D$7:$N$16,G123+1,FALSE),2.5),"")</f>
        <v/>
      </c>
      <c r="Q123" s="136"/>
      <c r="S123" s="11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</row>
    <row r="124" ht="3.75" hidden="1" customHeight="1">
      <c r="A124" s="124"/>
      <c r="B124" s="6"/>
      <c r="C124" s="124"/>
      <c r="D124" s="138"/>
      <c r="E124" s="245"/>
      <c r="F124" s="102"/>
      <c r="G124" s="102"/>
      <c r="H124" s="102"/>
      <c r="I124" s="102"/>
      <c r="J124" s="156"/>
      <c r="K124" s="243"/>
      <c r="L124" s="210"/>
      <c r="M124" s="144"/>
      <c r="N124" s="145"/>
      <c r="O124" s="145"/>
      <c r="P124" s="122"/>
      <c r="Q124" s="146"/>
      <c r="S124" s="11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</row>
    <row r="125" ht="14.25" hidden="1" customHeight="1">
      <c r="A125" s="124"/>
      <c r="B125" s="6"/>
      <c r="C125" s="124"/>
      <c r="D125" s="185"/>
      <c r="E125" s="227"/>
      <c r="F125" s="187"/>
      <c r="G125" s="187"/>
      <c r="H125" s="195"/>
      <c r="I125" s="164"/>
      <c r="J125" s="248"/>
      <c r="K125" s="241"/>
      <c r="L125" s="164"/>
      <c r="M125" s="134"/>
      <c r="N125" s="135" t="str">
        <f>iferror(mround(#REF!*((VLOOKUP($J125,Sheet1!$D:$N,$G125+1,FALSE)-0.03)),2.5)," ")</f>
        <v> </v>
      </c>
      <c r="O125" s="135" t="str">
        <f>iferror(mround(#REF!*((VLOOKUP($J125,Sheet1!$D:$N,$G125+1,FALSE)+0.02)),2.5)," ")</f>
        <v> </v>
      </c>
      <c r="P125" s="112" t="str">
        <f>iferror(mround(I125/VLOOKUP(L125,Sheet1!$D$7:$N$16,G125+1,FALSE),2.5),"")</f>
        <v/>
      </c>
      <c r="Q125" s="136"/>
      <c r="S125" s="11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</row>
    <row r="126" ht="3.75" hidden="1" customHeight="1">
      <c r="A126" s="261"/>
      <c r="B126" s="6"/>
      <c r="C126" s="262"/>
      <c r="D126" s="138"/>
      <c r="E126" s="245"/>
      <c r="F126" s="102"/>
      <c r="G126" s="102"/>
      <c r="H126" s="102"/>
      <c r="I126" s="102"/>
      <c r="J126" s="156"/>
      <c r="K126" s="243"/>
      <c r="L126" s="210"/>
      <c r="M126" s="144"/>
      <c r="N126" s="145"/>
      <c r="O126" s="145"/>
      <c r="P126" s="122"/>
      <c r="Q126" s="146"/>
      <c r="S126" s="157"/>
      <c r="T126" s="5"/>
      <c r="U126" s="5"/>
      <c r="V126" s="158"/>
      <c r="W126" s="158"/>
      <c r="X126" s="158"/>
      <c r="Y126" s="158"/>
      <c r="Z126" s="158"/>
      <c r="AA126" s="158"/>
      <c r="AB126" s="158"/>
      <c r="AC126" s="158"/>
      <c r="AD126" s="158"/>
      <c r="AE126" s="158"/>
      <c r="AF126" s="158"/>
      <c r="AG126" s="158"/>
    </row>
    <row r="127" ht="14.25" hidden="1" customHeight="1">
      <c r="A127" s="124"/>
      <c r="B127" s="6"/>
      <c r="C127" s="124"/>
      <c r="D127" s="185"/>
      <c r="E127" s="227"/>
      <c r="F127" s="187"/>
      <c r="G127" s="187"/>
      <c r="H127" s="195"/>
      <c r="I127" s="164"/>
      <c r="J127" s="248"/>
      <c r="K127" s="241"/>
      <c r="L127" s="164"/>
      <c r="M127" s="134"/>
      <c r="N127" s="135" t="str">
        <f>iferror(mround(#REF!*((VLOOKUP($J127,Sheet1!$D:$N,$G127+1,FALSE)-0.03)),2.5)," ")</f>
        <v> </v>
      </c>
      <c r="O127" s="135" t="str">
        <f>iferror(mround(#REF!*((VLOOKUP($J127,Sheet1!$D:$N,$G127+1,FALSE)+0.02)),2.5)," ")</f>
        <v> </v>
      </c>
      <c r="P127" s="112" t="str">
        <f>iferror(mround(I127/VLOOKUP(L127,Sheet1!$D$7:$N$16,G127+1,FALSE),2.5),"")</f>
        <v/>
      </c>
      <c r="Q127" s="136"/>
      <c r="S127" s="11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</row>
    <row r="128" ht="3.75" hidden="1" customHeight="1">
      <c r="A128" s="261"/>
      <c r="B128" s="6"/>
      <c r="C128" s="262"/>
      <c r="D128" s="138"/>
      <c r="E128" s="245"/>
      <c r="F128" s="102"/>
      <c r="G128" s="102"/>
      <c r="H128" s="102"/>
      <c r="I128" s="102"/>
      <c r="J128" s="156"/>
      <c r="K128" s="243"/>
      <c r="L128" s="210"/>
      <c r="M128" s="144"/>
      <c r="N128" s="145"/>
      <c r="O128" s="145"/>
      <c r="P128" s="122"/>
      <c r="Q128" s="146"/>
      <c r="S128" s="157"/>
      <c r="T128" s="5"/>
      <c r="U128" s="5"/>
      <c r="V128" s="158"/>
      <c r="W128" s="158"/>
      <c r="X128" s="158"/>
      <c r="Y128" s="158"/>
      <c r="Z128" s="158"/>
      <c r="AA128" s="158"/>
      <c r="AB128" s="158"/>
      <c r="AC128" s="158"/>
      <c r="AD128" s="158"/>
      <c r="AE128" s="158"/>
      <c r="AF128" s="158"/>
      <c r="AG128" s="158"/>
    </row>
    <row r="129" ht="15.75" hidden="1" customHeight="1">
      <c r="A129" s="124"/>
      <c r="B129" s="6"/>
      <c r="C129" s="124"/>
      <c r="D129" s="185"/>
      <c r="E129" s="227"/>
      <c r="F129" s="187"/>
      <c r="G129" s="187"/>
      <c r="H129" s="195"/>
      <c r="I129" s="247"/>
      <c r="J129" s="248"/>
      <c r="K129" s="241"/>
      <c r="L129" s="164"/>
      <c r="M129" s="134"/>
      <c r="N129" s="135" t="str">
        <f>iferror(mround(#REF!*((VLOOKUP($J129,Sheet1!$D:$N,$G129+1,FALSE)-0.03)),2.5)," ")</f>
        <v> </v>
      </c>
      <c r="O129" s="135" t="str">
        <f>iferror(mround(#REF!*((VLOOKUP($J129,Sheet1!$D:$N,$G129+1,FALSE)+0.02)),2.5)," ")</f>
        <v> </v>
      </c>
      <c r="P129" s="112" t="str">
        <f>iferror(mround(I129/VLOOKUP(L129,Sheet1!$D$7:$N$16,G129+1,FALSE),2.5),"")</f>
        <v/>
      </c>
      <c r="Q129" s="136"/>
      <c r="S129" s="11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</row>
    <row r="130" ht="3.75" hidden="1" customHeight="1">
      <c r="A130" s="124"/>
      <c r="B130" s="6"/>
      <c r="C130" s="124"/>
      <c r="D130" s="263"/>
      <c r="E130" s="245"/>
      <c r="F130" s="102"/>
      <c r="G130" s="102"/>
      <c r="H130" s="102"/>
      <c r="I130" s="102"/>
      <c r="J130" s="156"/>
      <c r="K130" s="243"/>
      <c r="L130" s="210"/>
      <c r="M130" s="144"/>
      <c r="N130" s="145"/>
      <c r="O130" s="145"/>
      <c r="P130" s="122"/>
      <c r="Q130" s="146"/>
      <c r="S130" s="11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</row>
    <row r="131" ht="14.25" hidden="1" customHeight="1">
      <c r="A131" s="90"/>
      <c r="B131" s="6"/>
      <c r="C131" s="90"/>
      <c r="D131" s="185"/>
      <c r="E131" s="227"/>
      <c r="F131" s="187"/>
      <c r="G131" s="187"/>
      <c r="H131" s="195"/>
      <c r="I131" s="164"/>
      <c r="J131" s="248"/>
      <c r="K131" s="241"/>
      <c r="L131" s="164"/>
      <c r="M131" s="134"/>
      <c r="N131" s="135" t="str">
        <f>iferror(mround(#REF!*((VLOOKUP($J131,Sheet1!$D:$N,$G131+1,FALSE)-0.03)),2.5)," ")</f>
        <v> </v>
      </c>
      <c r="O131" s="135" t="str">
        <f>iferror(mround(#REF!*((VLOOKUP($J131,Sheet1!$D:$N,$G131+1,FALSE)+0.02)),2.5)," ")</f>
        <v> </v>
      </c>
      <c r="P131" s="112" t="str">
        <f>iferror(mround(I131/VLOOKUP(L131,Sheet1!$D$7:$N$16,G131+1,FALSE),2.5),"")</f>
        <v/>
      </c>
      <c r="Q131" s="136"/>
      <c r="S131" s="11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</row>
    <row r="132" ht="3.75" hidden="1" customHeight="1">
      <c r="A132" s="261"/>
      <c r="B132" s="6"/>
      <c r="C132" s="262"/>
      <c r="D132" s="263"/>
      <c r="E132" s="323"/>
      <c r="F132" s="194"/>
      <c r="G132" s="194"/>
      <c r="H132" s="155"/>
      <c r="I132" s="210"/>
      <c r="J132" s="265"/>
      <c r="K132" s="243"/>
      <c r="L132" s="210"/>
      <c r="M132" s="144"/>
      <c r="N132" s="145"/>
      <c r="O132" s="145"/>
      <c r="P132" s="122"/>
      <c r="Q132" s="146"/>
      <c r="S132" s="157"/>
      <c r="T132" s="5"/>
      <c r="U132" s="5"/>
      <c r="V132" s="158"/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</row>
    <row r="133" ht="15.75" hidden="1" customHeight="1">
      <c r="A133" s="90"/>
      <c r="B133" s="6"/>
      <c r="C133" s="90"/>
      <c r="D133" s="185"/>
      <c r="E133" s="324"/>
      <c r="F133" s="187"/>
      <c r="G133" s="187"/>
      <c r="H133" s="195"/>
      <c r="I133" s="164"/>
      <c r="J133" s="248"/>
      <c r="K133" s="241"/>
      <c r="L133" s="164"/>
      <c r="M133" s="134"/>
      <c r="N133" s="135" t="str">
        <f>iferror(mround(#REF!*((VLOOKUP($J133,Sheet1!$D:$N,$G133+1,FALSE)-0.03)),2.5)," ")</f>
        <v> </v>
      </c>
      <c r="O133" s="135" t="str">
        <f>iferror(mround(#REF!*((VLOOKUP($J133,Sheet1!$D:$N,$G133+1,FALSE)+0.02)),2.5)," ")</f>
        <v> </v>
      </c>
      <c r="P133" s="112" t="str">
        <f>iferror(mround(I133/VLOOKUP(L133,Sheet1!$D$7:$N$16,G133+1,FALSE),2.5),"")</f>
        <v/>
      </c>
      <c r="Q133" s="136"/>
      <c r="S133" s="11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</row>
    <row r="134" ht="3.75" hidden="1" customHeight="1">
      <c r="A134" s="90"/>
      <c r="B134" s="6"/>
      <c r="C134" s="90"/>
      <c r="D134" s="138"/>
      <c r="E134" s="245"/>
      <c r="F134" s="102"/>
      <c r="G134" s="102"/>
      <c r="H134" s="102"/>
      <c r="I134" s="102"/>
      <c r="J134" s="156"/>
      <c r="K134" s="243"/>
      <c r="L134" s="210"/>
      <c r="M134" s="144"/>
      <c r="N134" s="145"/>
      <c r="O134" s="145"/>
      <c r="P134" s="122"/>
      <c r="Q134" s="146"/>
      <c r="S134" s="11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</row>
    <row r="135" ht="15.75" hidden="1" customHeight="1">
      <c r="A135" s="90"/>
      <c r="B135" s="6"/>
      <c r="C135" s="90"/>
      <c r="D135" s="185"/>
      <c r="E135" s="227"/>
      <c r="F135" s="187"/>
      <c r="G135" s="187"/>
      <c r="H135" s="195"/>
      <c r="I135" s="164"/>
      <c r="J135" s="248"/>
      <c r="K135" s="241"/>
      <c r="L135" s="164"/>
      <c r="M135" s="134"/>
      <c r="N135" s="135" t="str">
        <f>iferror(mround(#REF!*((VLOOKUP($J135,Sheet1!$D:$N,$G135+1,FALSE)-0.03)),2.5)," ")</f>
        <v> </v>
      </c>
      <c r="O135" s="135" t="str">
        <f>iferror(mround(#REF!*((VLOOKUP($J135,Sheet1!$D:$N,$G135+1,FALSE)+0.02)),2.5)," ")</f>
        <v> </v>
      </c>
      <c r="P135" s="112" t="str">
        <f>iferror(mround(I135/VLOOKUP(L135,Sheet1!$D$7:$N$16,G135+1,FALSE),2.5),"")</f>
        <v/>
      </c>
      <c r="Q135" s="136"/>
      <c r="S135" s="11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</row>
    <row r="136" ht="3.75" hidden="1" customHeight="1">
      <c r="A136" s="191"/>
      <c r="B136" s="6"/>
      <c r="C136" s="192"/>
      <c r="D136" s="138"/>
      <c r="E136" s="245"/>
      <c r="F136" s="102"/>
      <c r="G136" s="102"/>
      <c r="H136" s="102"/>
      <c r="I136" s="102"/>
      <c r="J136" s="156"/>
      <c r="K136" s="243"/>
      <c r="L136" s="210"/>
      <c r="M136" s="144"/>
      <c r="N136" s="145"/>
      <c r="O136" s="145"/>
      <c r="P136" s="122"/>
      <c r="Q136" s="146"/>
      <c r="S136" s="157"/>
      <c r="T136" s="5"/>
      <c r="U136" s="5"/>
      <c r="V136" s="158"/>
      <c r="W136" s="158"/>
      <c r="X136" s="158"/>
      <c r="Y136" s="158"/>
      <c r="Z136" s="158"/>
      <c r="AA136" s="158"/>
      <c r="AB136" s="158"/>
      <c r="AC136" s="158"/>
      <c r="AD136" s="158"/>
      <c r="AE136" s="158"/>
      <c r="AF136" s="158"/>
      <c r="AG136" s="158"/>
    </row>
    <row r="137" ht="15.75" hidden="1" customHeight="1">
      <c r="A137" s="90"/>
      <c r="B137" s="6"/>
      <c r="C137" s="90"/>
      <c r="D137" s="185"/>
      <c r="E137" s="227"/>
      <c r="F137" s="187"/>
      <c r="G137" s="187"/>
      <c r="H137" s="195"/>
      <c r="I137" s="164"/>
      <c r="J137" s="248"/>
      <c r="K137" s="241"/>
      <c r="L137" s="164"/>
      <c r="M137" s="134"/>
      <c r="N137" s="135" t="str">
        <f>iferror(mround(#REF!*((VLOOKUP($J137,Sheet1!$D:$N,$G137+1,FALSE)-0.03)),2.5)," ")</f>
        <v> </v>
      </c>
      <c r="O137" s="135" t="str">
        <f>iferror(mround(#REF!*((VLOOKUP($J137,Sheet1!$D:$N,$G137+1,FALSE)+0.02)),2.5)," ")</f>
        <v> </v>
      </c>
      <c r="P137" s="112" t="str">
        <f>iferror(mround(I137/VLOOKUP(L137,Sheet1!$D$7:$N$16,G137+1,FALSE),2.5),"")</f>
        <v/>
      </c>
      <c r="Q137" s="136"/>
      <c r="S137" s="11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</row>
    <row r="138" ht="3.75" hidden="1" customHeight="1">
      <c r="A138" s="90"/>
      <c r="B138" s="6"/>
      <c r="C138" s="90"/>
      <c r="D138" s="263"/>
      <c r="E138" s="245"/>
      <c r="F138" s="102"/>
      <c r="G138" s="102"/>
      <c r="H138" s="102"/>
      <c r="I138" s="102"/>
      <c r="J138" s="156"/>
      <c r="K138" s="243"/>
      <c r="L138" s="210"/>
      <c r="M138" s="144"/>
      <c r="N138" s="145"/>
      <c r="O138" s="145"/>
      <c r="P138" s="122"/>
      <c r="Q138" s="146"/>
      <c r="S138" s="11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</row>
    <row r="139" ht="15.75" hidden="1" customHeight="1">
      <c r="A139" s="90"/>
      <c r="B139" s="6"/>
      <c r="C139" s="90"/>
      <c r="D139" s="185"/>
      <c r="E139" s="324"/>
      <c r="F139" s="187"/>
      <c r="G139" s="187"/>
      <c r="H139" s="195"/>
      <c r="I139" s="164"/>
      <c r="J139" s="248"/>
      <c r="K139" s="241"/>
      <c r="L139" s="164"/>
      <c r="M139" s="134"/>
      <c r="N139" s="135" t="str">
        <f>iferror(mround(#REF!*((VLOOKUP($J139,Sheet1!$D:$N,$G139+1,FALSE)-0.03)),2.5)," ")</f>
        <v> </v>
      </c>
      <c r="O139" s="135" t="str">
        <f>iferror(mround(#REF!*((VLOOKUP($J139,Sheet1!$D:$N,$G139+1,FALSE)+0.02)),2.5)," ")</f>
        <v> </v>
      </c>
      <c r="P139" s="112" t="str">
        <f>iferror(mround(I139/VLOOKUP(L139,Sheet1!$D$7:$N$16,G139+1,FALSE),2.5),"")</f>
        <v/>
      </c>
      <c r="Q139" s="136"/>
      <c r="S139" s="11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</row>
    <row r="140" ht="3.75" hidden="1" customHeight="1">
      <c r="A140" s="191"/>
      <c r="B140" s="6"/>
      <c r="C140" s="192"/>
      <c r="D140" s="192"/>
      <c r="E140" s="325"/>
      <c r="F140" s="194"/>
      <c r="G140" s="194"/>
      <c r="H140" s="155"/>
      <c r="I140" s="210"/>
      <c r="J140" s="268"/>
      <c r="K140" s="316"/>
      <c r="L140" s="269"/>
      <c r="M140" s="270"/>
      <c r="N140" s="269"/>
      <c r="O140" s="269"/>
      <c r="P140" s="271"/>
      <c r="Q140" s="272"/>
      <c r="R140" s="273"/>
      <c r="S140" s="157"/>
      <c r="T140" s="5"/>
      <c r="U140" s="5"/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</row>
    <row r="141" ht="14.25" customHeight="1">
      <c r="A141" s="5"/>
      <c r="B141" s="6"/>
      <c r="C141" s="5"/>
      <c r="D141" s="274"/>
      <c r="E141" s="266"/>
      <c r="F141" s="187"/>
      <c r="G141" s="187"/>
      <c r="H141" s="195"/>
      <c r="I141" s="129"/>
      <c r="J141" s="275"/>
      <c r="K141" s="276"/>
      <c r="L141" s="187"/>
      <c r="M141" s="187"/>
      <c r="N141" s="187"/>
      <c r="O141" s="187"/>
      <c r="P141" s="277"/>
      <c r="Q141" s="278"/>
      <c r="R141" s="279"/>
      <c r="S141" s="11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</row>
    <row r="142" ht="14.25" customHeight="1">
      <c r="A142" s="5"/>
      <c r="B142" s="6"/>
      <c r="C142" s="5"/>
      <c r="D142" s="274" t="s">
        <v>59</v>
      </c>
      <c r="E142" s="266" t="s">
        <v>16</v>
      </c>
      <c r="F142" s="187" t="s">
        <v>17</v>
      </c>
      <c r="G142" s="187" t="s">
        <v>60</v>
      </c>
      <c r="H142" s="187"/>
      <c r="I142" s="280" t="s">
        <v>61</v>
      </c>
      <c r="J142" s="266" t="s">
        <v>62</v>
      </c>
      <c r="K142" s="274"/>
      <c r="L142" s="187"/>
      <c r="M142" s="281" t="s">
        <v>63</v>
      </c>
      <c r="N142" s="281"/>
      <c r="O142" s="282"/>
      <c r="P142" s="282"/>
      <c r="Q142" s="278"/>
      <c r="R142" s="157"/>
      <c r="S142" s="11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</row>
    <row r="143" ht="14.25" customHeight="1">
      <c r="A143" s="5"/>
      <c r="B143" s="6"/>
      <c r="C143" s="5"/>
      <c r="D143" s="274" t="s">
        <v>6</v>
      </c>
      <c r="E143" s="283">
        <f>IFERROR(__xludf.DUMMYFUNCTION("SUM(FILTER(F18:F142, ISNUMBER(SEARCH(""squat"", D18:D142))))"),7.0)</f>
        <v>7</v>
      </c>
      <c r="F143" s="284">
        <f>IFERROR(__xludf.DUMMYFUNCTION("SUMPRODUCT(FILTER(F18:F142 * G18:G142, ISNUMBER(SEARCH(""squat"", D18:D142))))"),37.0)</f>
        <v>37</v>
      </c>
      <c r="G143" s="135">
        <f>IFERROR(__xludf.DUMMYFUNCTION("ROUND(SUMPRODUCT(FILTER(F18:F142 * G18:G142 * I18:I142, ISNUMBER(SEARCH(""squat"", D18:D142)))), 0)"),13428.0)</f>
        <v>13428</v>
      </c>
      <c r="H143" s="285"/>
      <c r="I143" s="135">
        <f>IFERROR(__xludf.DUMMYFUNCTION("ROUND(AVERAGE(FILTER(I18:I142, ISNUMBER(SEARCH(""squat"", D18:D142)), I18:I142 &lt;&gt; """")) / J143 * 100, 0)"),71.0)</f>
        <v>71</v>
      </c>
      <c r="J143" s="283">
        <f>IFERROR(__xludf.DUMMYFUNCTION("IFERROR(MROUND(AVERAGE(FILTER(P18:P142, D18:D142 = ""comp squat"", P18:P142 &lt;&gt; """", P18:P142 &gt;= 0.9 * MAX(FILTER(P18:P142, D18:D142 = ""comp squat"", P18:P142 &lt;&gt; """")), P18:P142 &lt;= 1.1 * MAX(FILTER(P18:P142, D18:D142 = ""comp squat"", P18:P142 &lt;&gt; """"))"&amp;")), 2.5), ""No valid data"")"),522.5)</f>
        <v>522.5</v>
      </c>
      <c r="K143" s="286"/>
      <c r="L143" s="287">
        <f>MROUND(J143/2.2046,2.5)-$O$10</f>
        <v>-5</v>
      </c>
      <c r="M143" s="288" t="s">
        <v>64</v>
      </c>
      <c r="N143" s="288">
        <v>1.0</v>
      </c>
      <c r="O143" s="289" t="s">
        <v>65</v>
      </c>
      <c r="P143" s="290">
        <v>1.0</v>
      </c>
      <c r="Q143" s="278"/>
      <c r="R143" s="291"/>
      <c r="S143" s="11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</row>
    <row r="144" ht="3.0" customHeight="1">
      <c r="A144" s="5"/>
      <c r="B144" s="6"/>
      <c r="C144" s="5"/>
      <c r="D144" s="90"/>
      <c r="E144" s="156"/>
      <c r="F144" s="102"/>
      <c r="G144" s="145"/>
      <c r="H144" s="102"/>
      <c r="I144" s="145"/>
      <c r="J144" s="156"/>
      <c r="K144" s="286"/>
      <c r="L144" s="292"/>
      <c r="M144" s="251"/>
      <c r="N144" s="251"/>
      <c r="O144" s="289"/>
      <c r="P144" s="282"/>
      <c r="Q144" s="278"/>
      <c r="R144" s="115"/>
      <c r="S144" s="11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</row>
    <row r="145" ht="15.75" customHeight="1">
      <c r="A145" s="5"/>
      <c r="B145" s="6"/>
      <c r="C145" s="5"/>
      <c r="D145" s="274" t="s">
        <v>66</v>
      </c>
      <c r="E145" s="293">
        <f>IFERROR(__xludf.DUMMYFUNCTION("SUM(FILTER(F18:F142, ISNUMBER(SEARCH(""bench press"", D18:D142))))"),19.0)</f>
        <v>19</v>
      </c>
      <c r="F145" s="284">
        <f>IFERROR(__xludf.DUMMYFUNCTION("SUMPRODUCT(FILTER(F19:F143 * G19:G143, ISNUMBER(SEARCH(""bench press"", D19:D143))))"),69.0)</f>
        <v>69</v>
      </c>
      <c r="G145" s="135">
        <f>IFERROR(__xludf.DUMMYFUNCTION("ROUND(SUMPRODUCT(FILTER(F18:F142 * G18:G142 * I18:I142, ISNUMBER(SEARCH(""bench press"", D18:D142)))), 0)"),17412.0)</f>
        <v>17412</v>
      </c>
      <c r="H145" s="285"/>
      <c r="I145" s="135">
        <f>IFERROR(__xludf.DUMMYFUNCTION("ROUND(AVERAGE(FILTER(I18:I142, ISNUMBER(SEARCH(""bench press"", D18:D142)), I18:I142 &lt;&gt; """")) / J145 * 100, 0)"),79.0)</f>
        <v>79</v>
      </c>
      <c r="J145" s="293">
        <f>IFERROR(__xludf.DUMMYFUNCTION("IFERROR(MROUND(AVERAGE(FILTER(P18:P142, D18:D142 = ""comp bench press"", P18:P142 &lt;&gt; """", P18:P142 &gt;= 0.9 * MAX(FILTER(P18:P142, D18:D142 = ""comp bench press"", P18:P142 &lt;&gt; """")), P18:P142 &lt;= 1.1 * MAX(FILTER(P18:P142, D18:D142 = ""comp bench press"", "&amp;"P18:P142 &lt;&gt; """")))), 2.5), ""No valid data"")"),332.5)</f>
        <v>332.5</v>
      </c>
      <c r="K145" s="286"/>
      <c r="L145" s="294">
        <f>MROUND(J145/2.2046,2.5)-$O$11</f>
        <v>-2.5</v>
      </c>
      <c r="M145" s="282" t="s">
        <v>67</v>
      </c>
      <c r="N145" s="290">
        <v>3.0</v>
      </c>
      <c r="O145" s="288" t="s">
        <v>68</v>
      </c>
      <c r="P145" s="290">
        <v>1.0</v>
      </c>
      <c r="Q145" s="278"/>
      <c r="R145" s="157"/>
      <c r="S145" s="11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</row>
    <row r="146" ht="3.0" customHeight="1">
      <c r="A146" s="5"/>
      <c r="B146" s="6"/>
      <c r="C146" s="5"/>
      <c r="D146" s="90"/>
      <c r="E146" s="156"/>
      <c r="F146" s="102"/>
      <c r="G146" s="145"/>
      <c r="H146" s="102"/>
      <c r="I146" s="145"/>
      <c r="J146" s="156"/>
      <c r="K146" s="286"/>
      <c r="L146" s="292"/>
      <c r="M146" s="282"/>
      <c r="N146" s="282"/>
      <c r="O146" s="251"/>
      <c r="P146" s="282"/>
      <c r="Q146" s="278"/>
      <c r="R146" s="157"/>
      <c r="S146" s="11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</row>
    <row r="147" ht="14.25" customHeight="1">
      <c r="A147" s="5"/>
      <c r="B147" s="6"/>
      <c r="C147" s="5"/>
      <c r="D147" s="274" t="s">
        <v>10</v>
      </c>
      <c r="E147" s="293">
        <f>IFERROR(__xludf.DUMMYFUNCTION("SUM(FILTER(F18:F142, ISNUMBER(SEARCH(""deadlift"", D18:D142))))"),7.0)</f>
        <v>7</v>
      </c>
      <c r="F147" s="284">
        <f>IFERROR(__xludf.DUMMYFUNCTION("SUMPRODUCT(FILTER(F18:F142 * G18:G142, ISNUMBER(SEARCH(""deadlift"", D18:D142))))"),25.0)</f>
        <v>25</v>
      </c>
      <c r="G147" s="135">
        <f>IFERROR(__xludf.DUMMYFUNCTION("ROUND(SUMPRODUCT(FILTER(F18:F142 * G18:G142 * I18:I142, ISNUMBER(SEARCH(""deadlift"", D18:D142)))), 0)"),10286.0)</f>
        <v>10286</v>
      </c>
      <c r="H147" s="285"/>
      <c r="I147" s="135">
        <f>IFERROR(__xludf.DUMMYFUNCTION("ROUND(AVERAGE(FILTER(I18:I142, ISNUMBER(SEARCH(""deadlift"", D18:D142)), I18:I142 &lt;&gt; """")) / J147 * 100, 0)"),75.0)</f>
        <v>75</v>
      </c>
      <c r="J147" s="293">
        <f>IFERROR(__xludf.DUMMYFUNCTION("IFERROR(MROUND(AVERAGE(FILTER(P18:P142, D18:D142 = ""comp deadlift"", P18:P142 &lt;&gt; """", P18:P142 &gt;= 0.9 * MAX(FILTER(P18:P142, D18:D142 = ""comp deadlift"", P18:P142 &lt;&gt; """")), P18:P142 &lt;= 1.1 * MAX(FILTER(P18:P142, D18:D142 = ""comp deadlift"", P18:P142 "&amp;"&lt;&gt; """")))), 2.5), ""No valid data"")"),562.5)</f>
        <v>562.5</v>
      </c>
      <c r="K147" s="286"/>
      <c r="L147" s="294">
        <f>MROUND(J147/2.2046,2.5)-$O$12</f>
        <v>-10</v>
      </c>
      <c r="M147" s="282" t="s">
        <v>69</v>
      </c>
      <c r="N147" s="290">
        <v>2.0</v>
      </c>
      <c r="O147" s="290" t="s">
        <v>70</v>
      </c>
      <c r="P147" s="290">
        <v>1.0</v>
      </c>
      <c r="Q147" s="278"/>
      <c r="R147" s="157"/>
      <c r="S147" s="11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</row>
    <row r="148" ht="14.25" customHeight="1">
      <c r="A148" s="5"/>
      <c r="B148" s="6"/>
      <c r="C148" s="5"/>
      <c r="D148" s="274"/>
      <c r="E148" s="266"/>
      <c r="F148" s="187"/>
      <c r="G148" s="187"/>
      <c r="H148" s="187"/>
      <c r="I148" s="187"/>
      <c r="J148" s="295"/>
      <c r="K148" s="274"/>
      <c r="L148" s="187"/>
      <c r="M148" s="282" t="s">
        <v>71</v>
      </c>
      <c r="N148" s="290">
        <v>1.0</v>
      </c>
      <c r="O148" s="282"/>
      <c r="P148" s="282"/>
      <c r="Q148" s="278"/>
      <c r="R148" s="157"/>
      <c r="S148" s="11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</row>
    <row r="149" ht="14.25" customHeight="1">
      <c r="A149" s="5"/>
      <c r="B149" s="2"/>
      <c r="C149" s="5"/>
      <c r="D149" s="5"/>
      <c r="E149" s="75"/>
      <c r="F149" s="3"/>
      <c r="G149" s="3"/>
      <c r="H149" s="3"/>
      <c r="I149" s="3"/>
      <c r="J149" s="75"/>
      <c r="K149" s="5"/>
      <c r="L149" s="3"/>
      <c r="M149" s="47"/>
      <c r="N149" s="3"/>
      <c r="O149" s="3"/>
      <c r="P149" s="3"/>
      <c r="Q149" s="4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</row>
    <row r="150" ht="18.75" customHeight="1">
      <c r="A150" s="90"/>
      <c r="B150" s="6"/>
      <c r="C150" s="91"/>
      <c r="D150" s="79" t="s">
        <v>72</v>
      </c>
      <c r="E150" s="80" t="s">
        <v>13</v>
      </c>
      <c r="G150" s="81"/>
      <c r="H150" s="81"/>
      <c r="I150" s="81"/>
      <c r="J150" s="82"/>
      <c r="K150" s="83"/>
      <c r="L150" s="83"/>
      <c r="M150" s="93"/>
      <c r="N150" s="93"/>
      <c r="O150" s="93"/>
      <c r="P150" s="296"/>
      <c r="Q150" s="297"/>
      <c r="R150" s="298"/>
      <c r="S150" s="10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</row>
    <row r="151" ht="18.75" customHeight="1">
      <c r="A151" s="90"/>
      <c r="B151" s="6"/>
      <c r="C151" s="91"/>
      <c r="D151" s="299">
        <f>D16+1</f>
        <v>2</v>
      </c>
      <c r="E151" s="300" t="str">
        <f>IF(E16 = "", "", E16 - 1)</f>
        <v/>
      </c>
      <c r="F151" s="36"/>
      <c r="G151" s="301"/>
      <c r="H151" s="301"/>
      <c r="I151" s="301"/>
      <c r="J151" s="92"/>
      <c r="K151" s="93"/>
      <c r="L151" s="93"/>
      <c r="M151" s="93"/>
      <c r="N151" s="93"/>
      <c r="O151" s="93"/>
      <c r="P151" s="94"/>
      <c r="Q151" s="95"/>
      <c r="R151" s="96"/>
      <c r="S151" s="10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</row>
    <row r="152" ht="5.25" customHeight="1">
      <c r="A152" s="90"/>
      <c r="B152" s="6"/>
      <c r="C152" s="90"/>
      <c r="D152" s="97"/>
      <c r="E152" s="98"/>
      <c r="F152" s="99"/>
      <c r="G152" s="99"/>
      <c r="H152" s="99"/>
      <c r="I152" s="100"/>
      <c r="J152" s="101"/>
      <c r="K152" s="90"/>
      <c r="L152" s="102"/>
      <c r="M152" s="102"/>
      <c r="N152" s="102"/>
      <c r="O152" s="102"/>
      <c r="P152" s="103"/>
      <c r="Q152" s="4"/>
      <c r="R152" s="90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</row>
    <row r="153" ht="30.75" customHeight="1">
      <c r="A153" s="90"/>
      <c r="B153" s="6"/>
      <c r="C153" s="90"/>
      <c r="D153" s="202" t="s">
        <v>73</v>
      </c>
      <c r="E153" s="105" t="s">
        <v>75</v>
      </c>
      <c r="F153" s="106" t="s">
        <v>16</v>
      </c>
      <c r="G153" s="106" t="s">
        <v>17</v>
      </c>
      <c r="H153" s="107"/>
      <c r="I153" s="106" t="s">
        <v>18</v>
      </c>
      <c r="J153" s="108" t="s">
        <v>19</v>
      </c>
      <c r="L153" s="109" t="s">
        <v>20</v>
      </c>
      <c r="M153" s="110" t="s">
        <v>21</v>
      </c>
      <c r="N153" s="111" t="s">
        <v>22</v>
      </c>
      <c r="P153" s="112"/>
      <c r="Q153" s="113" t="s">
        <v>23</v>
      </c>
      <c r="R153" s="114" t="s">
        <v>24</v>
      </c>
      <c r="S153" s="11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</row>
    <row r="154" ht="14.25" customHeight="1">
      <c r="A154" s="90"/>
      <c r="B154" s="6"/>
      <c r="C154" s="90"/>
      <c r="D154" s="116">
        <v>3.0</v>
      </c>
      <c r="E154" s="117">
        <v>2.0</v>
      </c>
      <c r="H154" s="107"/>
      <c r="N154" s="111" t="s">
        <v>27</v>
      </c>
      <c r="O154" s="111" t="s">
        <v>28</v>
      </c>
      <c r="P154" s="112" t="s">
        <v>29</v>
      </c>
      <c r="R154" s="118" t="s">
        <v>30</v>
      </c>
      <c r="S154" s="11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</row>
    <row r="155" ht="3.75" customHeight="1">
      <c r="A155" s="90"/>
      <c r="B155" s="6"/>
      <c r="C155" s="90"/>
      <c r="D155" s="97"/>
      <c r="E155" s="98"/>
      <c r="F155" s="99"/>
      <c r="G155" s="99"/>
      <c r="H155" s="99"/>
      <c r="I155" s="100"/>
      <c r="J155" s="302"/>
      <c r="K155" s="90"/>
      <c r="L155" s="102"/>
      <c r="M155" s="121"/>
      <c r="N155" s="102"/>
      <c r="O155" s="102"/>
      <c r="P155" s="122"/>
      <c r="Q155" s="4"/>
      <c r="R155" s="123"/>
      <c r="S155" s="11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</row>
    <row r="156" ht="15.75" customHeight="1">
      <c r="A156" s="124"/>
      <c r="B156" s="6"/>
      <c r="C156" s="124"/>
      <c r="D156" s="125" t="s">
        <v>77</v>
      </c>
      <c r="E156" s="126"/>
      <c r="F156" s="127">
        <v>1.0</v>
      </c>
      <c r="G156" s="240">
        <v>6.0</v>
      </c>
      <c r="H156" s="129"/>
      <c r="I156" s="130">
        <v>370.0</v>
      </c>
      <c r="J156" s="151">
        <v>5.0</v>
      </c>
      <c r="K156" s="132"/>
      <c r="L156" s="133">
        <v>5.0</v>
      </c>
      <c r="M156" s="134">
        <f>I21</f>
        <v>365</v>
      </c>
      <c r="N156" s="135">
        <f>iferror(mround($P21*((VLOOKUP($J156,Sheet1!$D:$N,$G156+1,FALSE)-0.03)),2.5)," ")</f>
        <v>0</v>
      </c>
      <c r="O156" s="135">
        <f>iferror(mround($P21*((VLOOKUP($J156,Sheet1!$D:$N,$G156+1,FALSE)+0.02)),2.5)," ")</f>
        <v>0</v>
      </c>
      <c r="P156" s="56" t="str">
        <f>iferror(mround(I156/VLOOKUP(L156,Sheet1!$D$7:$N$16,G156+1,FALSE),2.5),"")</f>
        <v/>
      </c>
      <c r="Q156" s="303">
        <f t="shared" ref="Q156:Q177" si="1">IF(OR(ISBLANK(I156), ISBLANK(I21)), "", IF(I156 - I21 = 0, "", I156 - I21))</f>
        <v>5</v>
      </c>
      <c r="S156" s="11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</row>
    <row r="157" ht="3.75" customHeight="1">
      <c r="A157" s="137"/>
      <c r="B157" s="70"/>
      <c r="C157" s="137"/>
      <c r="D157" s="138"/>
      <c r="E157" s="139"/>
      <c r="F157" s="140"/>
      <c r="G157" s="140"/>
      <c r="H157" s="140"/>
      <c r="I157" s="140"/>
      <c r="J157" s="141"/>
      <c r="K157" s="142"/>
      <c r="L157" s="143"/>
      <c r="M157" s="144"/>
      <c r="N157" s="145"/>
      <c r="O157" s="145"/>
      <c r="P157" s="122"/>
      <c r="Q157" s="304" t="str">
        <f t="shared" si="1"/>
        <v/>
      </c>
      <c r="S157" s="147"/>
      <c r="T157" s="148"/>
      <c r="U157" s="148"/>
      <c r="V157" s="148"/>
      <c r="W157" s="148"/>
      <c r="X157" s="148"/>
      <c r="Y157" s="148"/>
      <c r="Z157" s="148"/>
      <c r="AA157" s="148"/>
      <c r="AB157" s="148"/>
      <c r="AC157" s="148"/>
      <c r="AD157" s="148"/>
      <c r="AE157" s="148"/>
      <c r="AF157" s="148"/>
      <c r="AG157" s="148"/>
    </row>
    <row r="158" ht="15.75" customHeight="1">
      <c r="A158" s="149"/>
      <c r="B158" s="150"/>
      <c r="C158" s="149"/>
      <c r="D158" s="125" t="s">
        <v>77</v>
      </c>
      <c r="E158" s="126"/>
      <c r="F158" s="127">
        <v>1.0</v>
      </c>
      <c r="G158" s="240">
        <v>6.0</v>
      </c>
      <c r="H158" s="129"/>
      <c r="I158" s="130">
        <v>402.0</v>
      </c>
      <c r="J158" s="151">
        <v>6.5</v>
      </c>
      <c r="K158" s="132"/>
      <c r="L158" s="133">
        <v>7.0</v>
      </c>
      <c r="M158" s="134">
        <f>I23</f>
        <v>392</v>
      </c>
      <c r="N158" s="135">
        <f>iferror(mround($P23*((VLOOKUP($J158,Sheet1!$D:$N,$G158+1,FALSE)-0.03)),2.5)," ")</f>
        <v>382.5</v>
      </c>
      <c r="O158" s="135">
        <f>iferror(mround($P23*((VLOOKUP($J158,Sheet1!$D:$N,$G158+1,FALSE)+0.02)),2.5)," ")</f>
        <v>410</v>
      </c>
      <c r="P158" s="56">
        <f>iferror(mround(I158/VLOOKUP(L158,Sheet1!$D$7:$N$16,G158+1,FALSE),2.5),"")</f>
        <v>525</v>
      </c>
      <c r="Q158" s="303">
        <f t="shared" si="1"/>
        <v>10</v>
      </c>
      <c r="S158" s="11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</row>
    <row r="159" ht="3.75" customHeight="1">
      <c r="A159" s="152"/>
      <c r="B159" s="150"/>
      <c r="C159" s="153"/>
      <c r="D159" s="138"/>
      <c r="E159" s="154"/>
      <c r="F159" s="155"/>
      <c r="G159" s="102"/>
      <c r="H159" s="102"/>
      <c r="I159" s="102"/>
      <c r="J159" s="156"/>
      <c r="K159" s="142"/>
      <c r="L159" s="143"/>
      <c r="M159" s="144"/>
      <c r="N159" s="145"/>
      <c r="O159" s="145"/>
      <c r="P159" s="122"/>
      <c r="Q159" s="304" t="str">
        <f t="shared" si="1"/>
        <v/>
      </c>
      <c r="S159" s="157"/>
      <c r="T159" s="5"/>
      <c r="U159" s="5"/>
      <c r="V159" s="158"/>
      <c r="W159" s="158"/>
      <c r="X159" s="158"/>
      <c r="Y159" s="158"/>
      <c r="Z159" s="158"/>
      <c r="AA159" s="158"/>
      <c r="AB159" s="158"/>
      <c r="AC159" s="158"/>
      <c r="AD159" s="158"/>
      <c r="AE159" s="158"/>
      <c r="AF159" s="158"/>
      <c r="AG159" s="158"/>
    </row>
    <row r="160" ht="15.75" customHeight="1">
      <c r="A160" s="149"/>
      <c r="B160" s="150"/>
      <c r="C160" s="149"/>
      <c r="D160" s="125" t="s">
        <v>77</v>
      </c>
      <c r="E160" s="126"/>
      <c r="F160" s="127">
        <v>1.0</v>
      </c>
      <c r="G160" s="161">
        <v>6.0</v>
      </c>
      <c r="H160" s="129"/>
      <c r="I160" s="130">
        <v>386.0</v>
      </c>
      <c r="J160" s="151" t="s">
        <v>78</v>
      </c>
      <c r="K160" s="132"/>
      <c r="L160" s="133">
        <v>7.0</v>
      </c>
      <c r="M160" s="134">
        <f>I25</f>
        <v>381</v>
      </c>
      <c r="N160" s="135" t="str">
        <f>iferror(mround($P25*((VLOOKUP($J160,Sheet1!$D:$N,$G160+1,FALSE)-0.03)),2.5)," ")</f>
        <v> </v>
      </c>
      <c r="O160" s="135" t="str">
        <f>iferror(mround($P25*((VLOOKUP($J160,Sheet1!$D:$N,$G160+1,FALSE)+0.02)),2.5)," ")</f>
        <v> </v>
      </c>
      <c r="P160" s="56">
        <f>iferror(mround(I160/VLOOKUP(L160,Sheet1!$D$7:$N$16,G160+1,FALSE),2.5),"")</f>
        <v>505</v>
      </c>
      <c r="Q160" s="303">
        <f t="shared" si="1"/>
        <v>5</v>
      </c>
      <c r="S160" s="11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</row>
    <row r="161" ht="3.75" customHeight="1">
      <c r="A161" s="162"/>
      <c r="B161" s="163"/>
      <c r="C161" s="162"/>
      <c r="D161" s="138"/>
      <c r="E161" s="154"/>
      <c r="F161" s="155"/>
      <c r="G161" s="102"/>
      <c r="H161" s="102"/>
      <c r="I161" s="102"/>
      <c r="J161" s="156"/>
      <c r="K161" s="142"/>
      <c r="L161" s="143"/>
      <c r="M161" s="144"/>
      <c r="N161" s="145"/>
      <c r="O161" s="145"/>
      <c r="P161" s="122"/>
      <c r="Q161" s="304" t="str">
        <f t="shared" si="1"/>
        <v/>
      </c>
      <c r="S161" s="147"/>
      <c r="T161" s="148"/>
      <c r="U161" s="148"/>
      <c r="V161" s="148"/>
      <c r="W161" s="148"/>
      <c r="X161" s="148"/>
      <c r="Y161" s="148"/>
      <c r="Z161" s="148"/>
      <c r="AA161" s="148"/>
      <c r="AB161" s="148"/>
      <c r="AC161" s="148"/>
      <c r="AD161" s="148"/>
      <c r="AE161" s="148"/>
      <c r="AF161" s="148"/>
      <c r="AG161" s="148"/>
    </row>
    <row r="162" ht="15.75" customHeight="1">
      <c r="A162" s="149"/>
      <c r="B162" s="150"/>
      <c r="C162" s="149"/>
      <c r="D162" s="159" t="s">
        <v>33</v>
      </c>
      <c r="E162" s="160" t="s">
        <v>34</v>
      </c>
      <c r="F162" s="127">
        <v>1.0</v>
      </c>
      <c r="G162" s="161">
        <v>5.0</v>
      </c>
      <c r="H162" s="129"/>
      <c r="I162" s="130">
        <v>259.0</v>
      </c>
      <c r="J162" s="151">
        <v>7.0</v>
      </c>
      <c r="K162" s="132"/>
      <c r="L162" s="133">
        <v>7.0</v>
      </c>
      <c r="M162" s="134">
        <f>I27</f>
        <v>248</v>
      </c>
      <c r="N162" s="135">
        <f>iferror(mround($P27*((VLOOKUP($J162,Sheet1!$D:$N,$G162+1,FALSE)-0.03)),2.5)," ")</f>
        <v>242.5</v>
      </c>
      <c r="O162" s="135">
        <f>iferror(mround($P27*((VLOOKUP($J162,Sheet1!$D:$N,$G162+1,FALSE)+0.02)),2.5)," ")</f>
        <v>260</v>
      </c>
      <c r="P162" s="56">
        <f>iferror(mround(I162/VLOOKUP(L162,Sheet1!$D$7:$N$16,G162+1,FALSE),2.5),"")</f>
        <v>327.5</v>
      </c>
      <c r="Q162" s="303">
        <f t="shared" si="1"/>
        <v>11</v>
      </c>
      <c r="S162" s="11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</row>
    <row r="163" ht="3.75" customHeight="1">
      <c r="A163" s="162"/>
      <c r="B163" s="163"/>
      <c r="C163" s="162"/>
      <c r="D163" s="138"/>
      <c r="E163" s="139"/>
      <c r="F163" s="140"/>
      <c r="G163" s="140"/>
      <c r="H163" s="140"/>
      <c r="I163" s="140"/>
      <c r="J163" s="141"/>
      <c r="K163" s="142"/>
      <c r="L163" s="143"/>
      <c r="M163" s="144"/>
      <c r="N163" s="145"/>
      <c r="O163" s="145"/>
      <c r="P163" s="122"/>
      <c r="Q163" s="304" t="str">
        <f t="shared" si="1"/>
        <v/>
      </c>
      <c r="S163" s="147"/>
      <c r="T163" s="148"/>
      <c r="U163" s="148"/>
      <c r="V163" s="148"/>
      <c r="W163" s="148"/>
      <c r="X163" s="148"/>
      <c r="Y163" s="148"/>
      <c r="Z163" s="148"/>
      <c r="AA163" s="148"/>
      <c r="AB163" s="148"/>
      <c r="AC163" s="148"/>
      <c r="AD163" s="148"/>
      <c r="AE163" s="148"/>
      <c r="AF163" s="148"/>
      <c r="AG163" s="148"/>
    </row>
    <row r="164" ht="15.75" customHeight="1">
      <c r="A164" s="90"/>
      <c r="B164" s="6"/>
      <c r="C164" s="90"/>
      <c r="D164" s="159" t="s">
        <v>33</v>
      </c>
      <c r="E164" s="160" t="s">
        <v>34</v>
      </c>
      <c r="F164" s="127">
        <v>3.0</v>
      </c>
      <c r="G164" s="161">
        <v>5.0</v>
      </c>
      <c r="H164" s="129"/>
      <c r="I164" s="164">
        <f>MROUND(I162*(1+J164),5)</f>
        <v>235</v>
      </c>
      <c r="J164" s="165">
        <v>-0.1</v>
      </c>
      <c r="K164" s="132"/>
      <c r="L164" s="133">
        <v>5.5</v>
      </c>
      <c r="M164" s="134">
        <f>I29</f>
        <v>225</v>
      </c>
      <c r="N164" s="135" t="str">
        <f>iferror(mround($P29*((VLOOKUP($J164,Sheet1!$D:$N,$G164+1,FALSE)-0.03)),2.5)," ")</f>
        <v> </v>
      </c>
      <c r="O164" s="135" t="str">
        <f>iferror(mround($P29*((VLOOKUP($J164,Sheet1!$D:$N,$G164+1,FALSE)+0.02)),2.5)," ")</f>
        <v> </v>
      </c>
      <c r="P164" s="56" t="str">
        <f>iferror(mround(I164/VLOOKUP(L164,Sheet1!$D$7:$N$16,G164+1,FALSE),2.5),"")</f>
        <v/>
      </c>
      <c r="Q164" s="303">
        <f t="shared" si="1"/>
        <v>10</v>
      </c>
      <c r="S164" s="11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</row>
    <row r="165" ht="3.75" customHeight="1">
      <c r="A165" s="168"/>
      <c r="B165" s="70"/>
      <c r="C165" s="168"/>
      <c r="D165" s="138"/>
      <c r="E165" s="139"/>
      <c r="F165" s="102"/>
      <c r="G165" s="102"/>
      <c r="H165" s="102"/>
      <c r="I165" s="102"/>
      <c r="J165" s="156"/>
      <c r="K165" s="142"/>
      <c r="L165" s="143"/>
      <c r="M165" s="144"/>
      <c r="N165" s="145"/>
      <c r="O165" s="145"/>
      <c r="P165" s="122"/>
      <c r="Q165" s="304" t="str">
        <f t="shared" si="1"/>
        <v/>
      </c>
      <c r="S165" s="147"/>
      <c r="T165" s="148"/>
      <c r="U165" s="148"/>
      <c r="V165" s="148"/>
      <c r="W165" s="148"/>
      <c r="X165" s="148"/>
      <c r="Y165" s="148"/>
      <c r="Z165" s="148"/>
      <c r="AA165" s="148"/>
      <c r="AB165" s="148"/>
      <c r="AC165" s="148"/>
      <c r="AD165" s="148"/>
      <c r="AE165" s="148"/>
      <c r="AF165" s="148"/>
      <c r="AG165" s="148"/>
    </row>
    <row r="166" ht="15.75" customHeight="1">
      <c r="A166" s="90"/>
      <c r="B166" s="6"/>
      <c r="C166" s="90"/>
      <c r="D166" s="166" t="s">
        <v>35</v>
      </c>
      <c r="E166" s="167" t="s">
        <v>79</v>
      </c>
      <c r="F166" s="127">
        <v>2.0</v>
      </c>
      <c r="G166" s="161">
        <v>7.0</v>
      </c>
      <c r="H166" s="129"/>
      <c r="I166" s="130">
        <v>248.0</v>
      </c>
      <c r="J166" s="151">
        <v>8.0</v>
      </c>
      <c r="K166" s="170" t="s">
        <v>80</v>
      </c>
      <c r="L166" s="133">
        <v>8.0</v>
      </c>
      <c r="M166" s="134">
        <f>I31</f>
        <v>243</v>
      </c>
      <c r="N166" s="135">
        <f>iferror(mround($P31*((VLOOKUP($J166,Sheet1!$D:$N,$G166+1,FALSE)-0.03)),2.5)," ")</f>
        <v>232.5</v>
      </c>
      <c r="O166" s="135">
        <f>iferror(mround($P31*((VLOOKUP($J166,Sheet1!$D:$N,$G166+1,FALSE)+0.02)),2.5)," ")</f>
        <v>250</v>
      </c>
      <c r="P166" s="56">
        <f>iferror(mround(I166/VLOOKUP(L166,Sheet1!$D$7:$N$16,G166+1,FALSE),2.5),"")</f>
        <v>325</v>
      </c>
      <c r="Q166" s="303">
        <f t="shared" si="1"/>
        <v>5</v>
      </c>
      <c r="S166" s="11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</row>
    <row r="167" ht="3.75" customHeight="1">
      <c r="A167" s="90"/>
      <c r="B167" s="6"/>
      <c r="C167" s="90"/>
      <c r="D167" s="171"/>
      <c r="E167" s="172"/>
      <c r="F167" s="173"/>
      <c r="G167" s="173"/>
      <c r="H167" s="173"/>
      <c r="I167" s="173"/>
      <c r="J167" s="174"/>
      <c r="K167" s="142"/>
      <c r="L167" s="143"/>
      <c r="M167" s="144"/>
      <c r="N167" s="145"/>
      <c r="O167" s="145"/>
      <c r="P167" s="122"/>
      <c r="Q167" s="304" t="str">
        <f t="shared" si="1"/>
        <v/>
      </c>
      <c r="S167" s="11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</row>
    <row r="168" ht="15.75" customHeight="1">
      <c r="A168" s="90"/>
      <c r="B168" s="6"/>
      <c r="C168" s="90"/>
      <c r="D168" s="166" t="s">
        <v>37</v>
      </c>
      <c r="E168" s="160" t="s">
        <v>81</v>
      </c>
      <c r="F168" s="127">
        <v>3.0</v>
      </c>
      <c r="G168" s="169">
        <v>45577.0</v>
      </c>
      <c r="H168" s="129"/>
      <c r="I168" s="130">
        <v>280.0</v>
      </c>
      <c r="J168" s="151">
        <v>8.0</v>
      </c>
      <c r="K168" s="132"/>
      <c r="L168" s="133">
        <v>8.0</v>
      </c>
      <c r="M168" s="134">
        <f>I33</f>
        <v>270</v>
      </c>
      <c r="N168" s="135" t="str">
        <f>iferror(mround($P33*((VLOOKUP($J168,Sheet1!$D:$N,$G168+1,FALSE)-0.03)),2.5)," ")</f>
        <v> </v>
      </c>
      <c r="O168" s="135" t="str">
        <f>iferror(mround($P33*((VLOOKUP($J168,Sheet1!$D:$N,$G168+1,FALSE)+0.02)),2.5)," ")</f>
        <v> </v>
      </c>
      <c r="P168" s="56" t="str">
        <f>iferror(mround(I168/VLOOKUP(L168,Sheet1!$D$7:$N$16,G168+1,FALSE),2.5),"")</f>
        <v/>
      </c>
      <c r="Q168" s="303">
        <f t="shared" si="1"/>
        <v>10</v>
      </c>
      <c r="S168" s="11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</row>
    <row r="169" ht="3.75" customHeight="1">
      <c r="A169" s="90"/>
      <c r="B169" s="6"/>
      <c r="C169" s="90"/>
      <c r="D169" s="171"/>
      <c r="E169" s="172"/>
      <c r="F169" s="173"/>
      <c r="G169" s="173"/>
      <c r="H169" s="173"/>
      <c r="I169" s="173"/>
      <c r="J169" s="174"/>
      <c r="K169" s="142"/>
      <c r="L169" s="143"/>
      <c r="M169" s="144"/>
      <c r="N169" s="145"/>
      <c r="O169" s="145"/>
      <c r="P169" s="122"/>
      <c r="Q169" s="304" t="str">
        <f t="shared" si="1"/>
        <v/>
      </c>
      <c r="S169" s="11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</row>
    <row r="170" ht="15.75" hidden="1" customHeight="1">
      <c r="A170" s="90"/>
      <c r="B170" s="6"/>
      <c r="C170" s="90"/>
      <c r="D170" s="175" t="s">
        <v>40</v>
      </c>
      <c r="E170" s="176"/>
      <c r="F170" s="177">
        <v>3.0</v>
      </c>
      <c r="G170" s="178" t="s">
        <v>41</v>
      </c>
      <c r="H170" s="179"/>
      <c r="I170" s="180"/>
      <c r="J170" s="181">
        <v>8.0</v>
      </c>
      <c r="K170" s="182"/>
      <c r="L170" s="183"/>
      <c r="M170" s="134" t="str">
        <f>I35</f>
        <v/>
      </c>
      <c r="N170" s="135" t="str">
        <f>iferror(mround($P35*((VLOOKUP($J170,Sheet1!$D:$N,$G170+1,FALSE)-0.03)),2.5)," ")</f>
        <v> </v>
      </c>
      <c r="O170" s="135" t="str">
        <f>iferror(mround($P35*((VLOOKUP($J170,Sheet1!$D:$N,$G170+1,FALSE)+0.02)),2.5)," ")</f>
        <v> </v>
      </c>
      <c r="P170" s="56" t="str">
        <f>iferror(mround(I170/VLOOKUP(L170,Sheet1!$D$7:$N$16,G170+1,FALSE),2.5),"")</f>
        <v/>
      </c>
      <c r="Q170" s="303" t="str">
        <f t="shared" si="1"/>
        <v/>
      </c>
      <c r="S170" s="11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</row>
    <row r="171" ht="3.75" hidden="1" customHeight="1">
      <c r="A171" s="90"/>
      <c r="B171" s="6"/>
      <c r="C171" s="90"/>
      <c r="D171" s="138"/>
      <c r="E171" s="184"/>
      <c r="F171" s="102"/>
      <c r="G171" s="102"/>
      <c r="H171" s="102"/>
      <c r="I171" s="102"/>
      <c r="J171" s="156"/>
      <c r="K171" s="103"/>
      <c r="L171" s="143"/>
      <c r="M171" s="144"/>
      <c r="N171" s="145"/>
      <c r="O171" s="145"/>
      <c r="P171" s="122"/>
      <c r="Q171" s="304" t="str">
        <f t="shared" si="1"/>
        <v/>
      </c>
      <c r="S171" s="11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</row>
    <row r="172" ht="15.75" hidden="1" customHeight="1">
      <c r="A172" s="90"/>
      <c r="B172" s="6"/>
      <c r="C172" s="90"/>
      <c r="D172" s="185"/>
      <c r="E172" s="186"/>
      <c r="F172" s="187"/>
      <c r="G172" s="188"/>
      <c r="H172" s="129"/>
      <c r="I172" s="164"/>
      <c r="J172" s="189"/>
      <c r="K172" s="190"/>
      <c r="L172" s="183"/>
      <c r="M172" s="134" t="str">
        <f>I37</f>
        <v/>
      </c>
      <c r="N172" s="135" t="str">
        <f>iferror(mround($P37*((VLOOKUP($J172,Sheet1!$D:$N,$G172+1,FALSE)-0.03)),2.5)," ")</f>
        <v> </v>
      </c>
      <c r="O172" s="135" t="str">
        <f>iferror(mround($P37*((VLOOKUP($J172,Sheet1!$D:$N,$G172+1,FALSE)+0.02)),2.5)," ")</f>
        <v> </v>
      </c>
      <c r="P172" s="56" t="str">
        <f>iferror(mround(I172/VLOOKUP(L172,Sheet1!$D$7:$N$16,G172+1,FALSE),2.5),"")</f>
        <v/>
      </c>
      <c r="Q172" s="303" t="str">
        <f t="shared" si="1"/>
        <v/>
      </c>
      <c r="S172" s="11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</row>
    <row r="173" ht="3.75" hidden="1" customHeight="1">
      <c r="A173" s="191"/>
      <c r="B173" s="6"/>
      <c r="C173" s="192"/>
      <c r="D173" s="138"/>
      <c r="E173" s="193"/>
      <c r="F173" s="194"/>
      <c r="G173" s="155"/>
      <c r="H173" s="102"/>
      <c r="I173" s="102"/>
      <c r="J173" s="156"/>
      <c r="K173" s="103"/>
      <c r="L173" s="143"/>
      <c r="M173" s="144"/>
      <c r="N173" s="145"/>
      <c r="O173" s="145"/>
      <c r="P173" s="122"/>
      <c r="Q173" s="304" t="str">
        <f t="shared" si="1"/>
        <v/>
      </c>
      <c r="S173" s="157"/>
      <c r="T173" s="5"/>
      <c r="U173" s="5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</row>
    <row r="174" ht="15.75" hidden="1" customHeight="1">
      <c r="A174" s="90"/>
      <c r="B174" s="6"/>
      <c r="C174" s="90"/>
      <c r="D174" s="185"/>
      <c r="E174" s="186"/>
      <c r="F174" s="187"/>
      <c r="G174" s="195"/>
      <c r="H174" s="129"/>
      <c r="I174" s="164"/>
      <c r="J174" s="189"/>
      <c r="K174" s="190"/>
      <c r="L174" s="183"/>
      <c r="M174" s="134" t="str">
        <f>I39</f>
        <v/>
      </c>
      <c r="N174" s="135" t="str">
        <f>iferror(mround($P39*((VLOOKUP($J174,Sheet1!$D:$N,$G174+1,FALSE)-0.03)),2.5)," ")</f>
        <v> </v>
      </c>
      <c r="O174" s="135" t="str">
        <f>iferror(mround($P39*((VLOOKUP($J174,Sheet1!$D:$N,$G174+1,FALSE)+0.02)),2.5)," ")</f>
        <v> </v>
      </c>
      <c r="P174" s="56" t="str">
        <f>iferror(mround(I174/VLOOKUP(L174,Sheet1!$D$7:$N$16,G174+1,FALSE),2.5),"")</f>
        <v/>
      </c>
      <c r="Q174" s="303" t="str">
        <f t="shared" si="1"/>
        <v/>
      </c>
      <c r="S174" s="11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</row>
    <row r="175" ht="3.75" hidden="1" customHeight="1">
      <c r="A175" s="90"/>
      <c r="B175" s="6"/>
      <c r="C175" s="90"/>
      <c r="D175" s="196"/>
      <c r="E175" s="184"/>
      <c r="F175" s="102"/>
      <c r="G175" s="102"/>
      <c r="H175" s="102"/>
      <c r="I175" s="102"/>
      <c r="J175" s="156"/>
      <c r="K175" s="103"/>
      <c r="L175" s="143"/>
      <c r="M175" s="144"/>
      <c r="N175" s="145"/>
      <c r="O175" s="145"/>
      <c r="P175" s="122"/>
      <c r="Q175" s="304" t="str">
        <f t="shared" si="1"/>
        <v/>
      </c>
      <c r="S175" s="11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</row>
    <row r="176" ht="15.75" hidden="1" customHeight="1">
      <c r="A176" s="90"/>
      <c r="B176" s="6"/>
      <c r="C176" s="90"/>
      <c r="D176" s="197"/>
      <c r="E176" s="198"/>
      <c r="F176" s="199"/>
      <c r="G176" s="195"/>
      <c r="H176" s="129"/>
      <c r="I176" s="164"/>
      <c r="J176" s="189"/>
      <c r="K176" s="190"/>
      <c r="L176" s="183"/>
      <c r="M176" s="134" t="str">
        <f>I41</f>
        <v/>
      </c>
      <c r="N176" s="135" t="str">
        <f>iferror(mround($P41*((VLOOKUP($J176,Sheet1!$D:$N,$G176+1,FALSE)-0.03)),2.5)," ")</f>
        <v> </v>
      </c>
      <c r="O176" s="135" t="str">
        <f>iferror(mround($P41*((VLOOKUP($J176,Sheet1!$D:$N,$G176+1,FALSE)+0.02)),2.5)," ")</f>
        <v> </v>
      </c>
      <c r="P176" s="56" t="str">
        <f>iferror(mround(I176/VLOOKUP(L176,Sheet1!$D$7:$N$16,G176+1,FALSE),2.5),"")</f>
        <v/>
      </c>
      <c r="Q176" s="303" t="str">
        <f t="shared" si="1"/>
        <v/>
      </c>
      <c r="S176" s="11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</row>
    <row r="177" ht="3.75" customHeight="1">
      <c r="A177" s="90"/>
      <c r="B177" s="6"/>
      <c r="C177" s="90"/>
      <c r="D177" s="90"/>
      <c r="E177" s="156"/>
      <c r="F177" s="102"/>
      <c r="G177" s="102"/>
      <c r="H177" s="102"/>
      <c r="I177" s="102"/>
      <c r="J177" s="156"/>
      <c r="K177" s="200"/>
      <c r="L177" s="201"/>
      <c r="M177" s="144"/>
      <c r="N177" s="47"/>
      <c r="O177" s="47"/>
      <c r="P177" s="122"/>
      <c r="Q177" s="304" t="str">
        <f t="shared" si="1"/>
        <v/>
      </c>
      <c r="S177" s="11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</row>
    <row r="178" ht="30.0" customHeight="1">
      <c r="A178" s="90"/>
      <c r="B178" s="6"/>
      <c r="C178" s="90"/>
      <c r="D178" s="202" t="s">
        <v>42</v>
      </c>
      <c r="E178" s="105" t="s">
        <v>82</v>
      </c>
      <c r="F178" s="106" t="s">
        <v>16</v>
      </c>
      <c r="G178" s="106" t="s">
        <v>17</v>
      </c>
      <c r="H178" s="107"/>
      <c r="I178" s="106" t="s">
        <v>18</v>
      </c>
      <c r="J178" s="108" t="s">
        <v>19</v>
      </c>
      <c r="L178" s="109" t="s">
        <v>20</v>
      </c>
      <c r="M178" s="110" t="s">
        <v>21</v>
      </c>
      <c r="N178" s="111" t="s">
        <v>22</v>
      </c>
      <c r="P178" s="112"/>
      <c r="Q178" s="113" t="s">
        <v>23</v>
      </c>
      <c r="R178" s="114" t="s">
        <v>43</v>
      </c>
      <c r="S178" s="11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</row>
    <row r="179" ht="14.25" customHeight="1">
      <c r="A179" s="90"/>
      <c r="B179" s="6"/>
      <c r="C179" s="90"/>
      <c r="D179" s="116">
        <v>3.0</v>
      </c>
      <c r="E179" s="117">
        <v>2.0</v>
      </c>
      <c r="H179" s="107"/>
      <c r="N179" s="111" t="s">
        <v>27</v>
      </c>
      <c r="O179" s="111" t="s">
        <v>28</v>
      </c>
      <c r="P179" s="112" t="s">
        <v>29</v>
      </c>
      <c r="R179" s="118" t="s">
        <v>30</v>
      </c>
      <c r="S179" s="11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</row>
    <row r="180" ht="3.75" customHeight="1">
      <c r="A180" s="191"/>
      <c r="B180" s="6"/>
      <c r="C180" s="192"/>
      <c r="D180" s="203"/>
      <c r="E180" s="204"/>
      <c r="F180" s="205"/>
      <c r="G180" s="205"/>
      <c r="H180" s="206"/>
      <c r="I180" s="207"/>
      <c r="J180" s="208"/>
      <c r="K180" s="209"/>
      <c r="L180" s="210"/>
      <c r="M180" s="211"/>
      <c r="N180" s="47"/>
      <c r="O180" s="47"/>
      <c r="P180" s="122"/>
      <c r="Q180" s="304" t="str">
        <f t="shared" ref="Q180:Q202" si="2">IF(OR(ISBLANK(I180), ISBLANK(I45)), "", IF(I180 - I45 = 0, "", I180 - I45))</f>
        <v/>
      </c>
      <c r="R180" s="212"/>
      <c r="S180" s="157"/>
      <c r="T180" s="5"/>
      <c r="U180" s="5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</row>
    <row r="181" ht="15.75" customHeight="1">
      <c r="A181" s="124"/>
      <c r="B181" s="6"/>
      <c r="C181" s="124"/>
      <c r="D181" s="159" t="s">
        <v>83</v>
      </c>
      <c r="E181" s="167" t="s">
        <v>84</v>
      </c>
      <c r="F181" s="127">
        <v>3.0</v>
      </c>
      <c r="G181" s="127">
        <v>3.0</v>
      </c>
      <c r="H181" s="195"/>
      <c r="I181" s="130">
        <v>413.0</v>
      </c>
      <c r="J181" s="151">
        <v>6.0</v>
      </c>
      <c r="K181" s="213"/>
      <c r="L181" s="133">
        <v>6.0</v>
      </c>
      <c r="M181" s="134">
        <f>I46</f>
        <v>402</v>
      </c>
      <c r="N181" s="135">
        <f>iferror(mround($P46*((VLOOKUP($J181,Sheet1!$D:$N,$G181+1,FALSE)-0.03)),2.5)," ")</f>
        <v>387.5</v>
      </c>
      <c r="O181" s="135">
        <f>iferror(mround($P46*((VLOOKUP($J181,Sheet1!$D:$N,$G181+1,FALSE)+0.02)),2.5)," ")</f>
        <v>410</v>
      </c>
      <c r="P181" s="112">
        <f>iferror(mround(I181/VLOOKUP(L181,Sheet1!$D$7:$N$16,G181+1,FALSE),2.5),"")</f>
        <v>507.5</v>
      </c>
      <c r="Q181" s="303">
        <f t="shared" si="2"/>
        <v>11</v>
      </c>
      <c r="R181" s="214"/>
      <c r="S181" s="11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</row>
    <row r="182" ht="3.75" customHeight="1">
      <c r="A182" s="124"/>
      <c r="B182" s="6"/>
      <c r="C182" s="124"/>
      <c r="D182" s="138"/>
      <c r="E182" s="215"/>
      <c r="F182" s="102"/>
      <c r="G182" s="102"/>
      <c r="H182" s="102"/>
      <c r="I182" s="102"/>
      <c r="J182" s="216"/>
      <c r="K182" s="217"/>
      <c r="L182" s="218"/>
      <c r="M182" s="144"/>
      <c r="N182" s="145"/>
      <c r="O182" s="145"/>
      <c r="P182" s="122"/>
      <c r="Q182" s="304" t="str">
        <f t="shared" si="2"/>
        <v/>
      </c>
      <c r="R182" s="214"/>
      <c r="S182" s="11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</row>
    <row r="183" ht="15.75" customHeight="1">
      <c r="A183" s="90"/>
      <c r="B183" s="6"/>
      <c r="C183" s="90"/>
      <c r="D183" s="159" t="s">
        <v>33</v>
      </c>
      <c r="E183" s="167"/>
      <c r="F183" s="127">
        <v>1.0</v>
      </c>
      <c r="G183" s="127">
        <v>2.0</v>
      </c>
      <c r="H183" s="195"/>
      <c r="I183" s="130">
        <v>298.0</v>
      </c>
      <c r="J183" s="151">
        <v>7.5</v>
      </c>
      <c r="K183" s="219" t="s">
        <v>85</v>
      </c>
      <c r="L183" s="133">
        <v>7.0</v>
      </c>
      <c r="M183" s="134">
        <f>I48</f>
        <v>287</v>
      </c>
      <c r="N183" s="135">
        <f>iferror(mround($P48*((VLOOKUP($J183,Sheet1!$D:$N,$G183+1,FALSE)-0.03)),2.5)," ")</f>
        <v>282.5</v>
      </c>
      <c r="O183" s="135">
        <f>iferror(mround($P48*((VLOOKUP($J183,Sheet1!$D:$N,$G183+1,FALSE)+0.02)),2.5)," ")</f>
        <v>297.5</v>
      </c>
      <c r="P183" s="112">
        <f>iferror(mround(I183/VLOOKUP(L183,Sheet1!$D$7:$N$16,G183+1,FALSE),2.5),"")</f>
        <v>345</v>
      </c>
      <c r="Q183" s="303">
        <f t="shared" si="2"/>
        <v>11</v>
      </c>
      <c r="R183" s="214"/>
      <c r="S183" s="11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</row>
    <row r="184" ht="3.75" customHeight="1">
      <c r="A184" s="90"/>
      <c r="B184" s="6"/>
      <c r="C184" s="90"/>
      <c r="D184" s="138"/>
      <c r="E184" s="215"/>
      <c r="F184" s="102"/>
      <c r="G184" s="102"/>
      <c r="H184" s="102"/>
      <c r="I184" s="102"/>
      <c r="J184" s="216"/>
      <c r="K184" s="217"/>
      <c r="L184" s="218"/>
      <c r="M184" s="144"/>
      <c r="N184" s="145"/>
      <c r="O184" s="145"/>
      <c r="P184" s="122"/>
      <c r="Q184" s="304" t="str">
        <f t="shared" si="2"/>
        <v/>
      </c>
      <c r="R184" s="214"/>
      <c r="S184" s="11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</row>
    <row r="185" ht="15.75" customHeight="1">
      <c r="A185" s="90"/>
      <c r="B185" s="6"/>
      <c r="C185" s="90"/>
      <c r="D185" s="159" t="s">
        <v>33</v>
      </c>
      <c r="E185" s="167"/>
      <c r="F185" s="127">
        <v>3.0</v>
      </c>
      <c r="G185" s="161">
        <v>3.0</v>
      </c>
      <c r="H185" s="195"/>
      <c r="I185" s="164">
        <f>MROUND(I183*(1+J185),5)</f>
        <v>275</v>
      </c>
      <c r="J185" s="165">
        <v>-0.08</v>
      </c>
      <c r="K185" s="219"/>
      <c r="L185" s="133"/>
      <c r="M185" s="134">
        <f>I50</f>
        <v>265</v>
      </c>
      <c r="N185" s="135" t="str">
        <f>iferror(mround($P50*((VLOOKUP($J185,Sheet1!$D:$N,$G185+1,FALSE)-0.03)),2.5)," ")</f>
        <v> </v>
      </c>
      <c r="O185" s="135" t="str">
        <f>iferror(mround($P50*((VLOOKUP($J185,Sheet1!$D:$N,$G185+1,FALSE)+0.02)),2.5)," ")</f>
        <v> </v>
      </c>
      <c r="P185" s="112" t="str">
        <f>iferror(mround(I185/VLOOKUP(L185,Sheet1!$D$7:$N$16,G185+1,FALSE),2.5),"")</f>
        <v/>
      </c>
      <c r="Q185" s="303">
        <f t="shared" si="2"/>
        <v>10</v>
      </c>
      <c r="R185" s="214"/>
      <c r="S185" s="11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</row>
    <row r="186" ht="3.75" customHeight="1">
      <c r="A186" s="90"/>
      <c r="B186" s="6"/>
      <c r="C186" s="90"/>
      <c r="D186" s="138"/>
      <c r="E186" s="215"/>
      <c r="F186" s="102"/>
      <c r="G186" s="102"/>
      <c r="H186" s="102"/>
      <c r="I186" s="102"/>
      <c r="J186" s="156"/>
      <c r="K186" s="217"/>
      <c r="L186" s="143"/>
      <c r="M186" s="144"/>
      <c r="N186" s="145"/>
      <c r="O186" s="145"/>
      <c r="P186" s="122"/>
      <c r="Q186" s="304" t="str">
        <f t="shared" si="2"/>
        <v/>
      </c>
      <c r="R186" s="214"/>
      <c r="S186" s="11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</row>
    <row r="187" ht="15.75" customHeight="1">
      <c r="A187" s="90"/>
      <c r="B187" s="6"/>
      <c r="C187" s="90"/>
      <c r="D187" s="159" t="s">
        <v>86</v>
      </c>
      <c r="E187" s="167" t="s">
        <v>87</v>
      </c>
      <c r="F187" s="127">
        <v>3.0</v>
      </c>
      <c r="G187" s="169">
        <v>45577.0</v>
      </c>
      <c r="H187" s="195"/>
      <c r="I187" s="130">
        <v>140.0</v>
      </c>
      <c r="J187" s="151">
        <v>8.0</v>
      </c>
      <c r="K187" s="213"/>
      <c r="L187" s="133">
        <v>9.0</v>
      </c>
      <c r="M187" s="134">
        <f>I52</f>
        <v>120</v>
      </c>
      <c r="N187" s="135" t="str">
        <f>iferror(mround($P52*((VLOOKUP($J187,Sheet1!$D:$N,$G187+1,FALSE)-0.03)),2.5)," ")</f>
        <v> </v>
      </c>
      <c r="O187" s="135" t="str">
        <f>iferror(mround($P52*((VLOOKUP($J187,Sheet1!$D:$N,$G187+1,FALSE)+0.02)),2.5)," ")</f>
        <v> </v>
      </c>
      <c r="P187" s="112" t="str">
        <f>iferror(mround(I187/VLOOKUP(L187,Sheet1!$D$7:$N$16,G187+1,FALSE),2.5),"")</f>
        <v/>
      </c>
      <c r="Q187" s="303">
        <f t="shared" si="2"/>
        <v>20</v>
      </c>
      <c r="R187" s="214"/>
      <c r="S187" s="11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</row>
    <row r="188" ht="3.75" customHeight="1">
      <c r="A188" s="90"/>
      <c r="B188" s="6"/>
      <c r="C188" s="90"/>
      <c r="D188" s="138"/>
      <c r="E188" s="215"/>
      <c r="F188" s="102"/>
      <c r="G188" s="102"/>
      <c r="H188" s="102"/>
      <c r="I188" s="102"/>
      <c r="J188" s="156"/>
      <c r="K188" s="217"/>
      <c r="L188" s="143"/>
      <c r="M188" s="144"/>
      <c r="N188" s="145"/>
      <c r="O188" s="145"/>
      <c r="P188" s="122"/>
      <c r="Q188" s="304" t="str">
        <f t="shared" si="2"/>
        <v/>
      </c>
      <c r="R188" s="214"/>
      <c r="S188" s="11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</row>
    <row r="189" ht="15.75" customHeight="1">
      <c r="A189" s="90"/>
      <c r="B189" s="6"/>
      <c r="C189" s="90"/>
      <c r="D189" s="159" t="s">
        <v>88</v>
      </c>
      <c r="E189" s="220"/>
      <c r="F189" s="127">
        <v>3.0</v>
      </c>
      <c r="G189" s="221">
        <v>45641.0</v>
      </c>
      <c r="H189" s="195"/>
      <c r="I189" s="130">
        <v>12.5</v>
      </c>
      <c r="J189" s="151">
        <v>9.0</v>
      </c>
      <c r="K189" s="213"/>
      <c r="L189" s="133">
        <v>10.0</v>
      </c>
      <c r="M189" s="134">
        <f>I54</f>
        <v>11.5</v>
      </c>
      <c r="N189" s="135" t="str">
        <f>iferror(mround($P54*((VLOOKUP($J189,Sheet1!$D:$N,$G189+1,FALSE)-0.03)),2.5)," ")</f>
        <v> </v>
      </c>
      <c r="O189" s="135" t="str">
        <f>iferror(mround($P54*((VLOOKUP($J189,Sheet1!$D:$N,$G189+1,FALSE)+0.02)),2.5)," ")</f>
        <v> </v>
      </c>
      <c r="P189" s="112" t="str">
        <f>iferror(mround(I189/VLOOKUP(L189,Sheet1!$D$7:$N$16,G189+1,FALSE),2.5),"")</f>
        <v/>
      </c>
      <c r="Q189" s="303">
        <f t="shared" si="2"/>
        <v>1</v>
      </c>
      <c r="R189" s="214"/>
      <c r="S189" s="11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</row>
    <row r="190" ht="3.75" customHeight="1">
      <c r="A190" s="90"/>
      <c r="B190" s="6"/>
      <c r="C190" s="90"/>
      <c r="D190" s="138"/>
      <c r="E190" s="215"/>
      <c r="F190" s="102"/>
      <c r="G190" s="102"/>
      <c r="H190" s="102"/>
      <c r="I190" s="102"/>
      <c r="J190" s="156"/>
      <c r="K190" s="217"/>
      <c r="L190" s="143"/>
      <c r="M190" s="144"/>
      <c r="N190" s="145"/>
      <c r="O190" s="145"/>
      <c r="P190" s="122"/>
      <c r="Q190" s="304" t="str">
        <f t="shared" si="2"/>
        <v/>
      </c>
      <c r="R190" s="214"/>
      <c r="S190" s="11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</row>
    <row r="191" ht="15.75" customHeight="1">
      <c r="A191" s="90"/>
      <c r="B191" s="6"/>
      <c r="C191" s="90"/>
      <c r="D191" s="159" t="s">
        <v>47</v>
      </c>
      <c r="E191" s="220"/>
      <c r="F191" s="127">
        <v>3.0</v>
      </c>
      <c r="G191" s="221">
        <v>45641.0</v>
      </c>
      <c r="H191" s="195"/>
      <c r="I191" s="130">
        <v>72.5</v>
      </c>
      <c r="J191" s="151">
        <v>9.0</v>
      </c>
      <c r="K191" s="213"/>
      <c r="L191" s="183"/>
      <c r="M191" s="134">
        <f>I56</f>
        <v>65</v>
      </c>
      <c r="N191" s="135" t="str">
        <f>iferror(mround($P56*((VLOOKUP($J191,Sheet1!$D:$N,$G191+1,FALSE)-0.03)),2.5)," ")</f>
        <v> </v>
      </c>
      <c r="O191" s="135" t="str">
        <f>iferror(mround($P56*((VLOOKUP($J191,Sheet1!$D:$N,$G191+1,FALSE)+0.02)),2.5)," ")</f>
        <v> </v>
      </c>
      <c r="P191" s="112" t="str">
        <f>iferror(mround(I191/VLOOKUP(L191,Sheet1!$D$7:$N$16,G191+1,FALSE),2.5),"")</f>
        <v/>
      </c>
      <c r="Q191" s="303">
        <f t="shared" si="2"/>
        <v>7.5</v>
      </c>
      <c r="R191" s="214"/>
      <c r="S191" s="11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</row>
    <row r="192" ht="3.75" customHeight="1">
      <c r="A192" s="90"/>
      <c r="B192" s="6"/>
      <c r="C192" s="90"/>
      <c r="D192" s="138"/>
      <c r="E192" s="326"/>
      <c r="F192" s="102"/>
      <c r="G192" s="102"/>
      <c r="H192" s="102"/>
      <c r="I192" s="102"/>
      <c r="J192" s="216"/>
      <c r="K192" s="222"/>
      <c r="L192" s="143"/>
      <c r="M192" s="144"/>
      <c r="N192" s="145"/>
      <c r="O192" s="145"/>
      <c r="P192" s="122"/>
      <c r="Q192" s="304" t="str">
        <f t="shared" si="2"/>
        <v/>
      </c>
      <c r="R192" s="214"/>
      <c r="S192" s="11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</row>
    <row r="193" ht="18.0" hidden="1" customHeight="1">
      <c r="A193" s="90"/>
      <c r="B193" s="6"/>
      <c r="C193" s="90"/>
      <c r="D193" s="185"/>
      <c r="E193" s="327"/>
      <c r="F193" s="187"/>
      <c r="G193" s="187"/>
      <c r="H193" s="195"/>
      <c r="I193" s="164"/>
      <c r="J193" s="189"/>
      <c r="K193" s="190"/>
      <c r="L193" s="183"/>
      <c r="M193" s="134" t="str">
        <f>I58</f>
        <v/>
      </c>
      <c r="N193" s="135" t="str">
        <f>iferror(mround($P58*((VLOOKUP($J193,Sheet1!$D:$N,$G193+1,FALSE)-0.03)),2.5)," ")</f>
        <v> </v>
      </c>
      <c r="O193" s="135" t="str">
        <f>iferror(mround($P58*((VLOOKUP($J193,Sheet1!$D:$N,$G193+1,FALSE)+0.02)),2.5)," ")</f>
        <v> </v>
      </c>
      <c r="P193" s="112" t="str">
        <f>iferror(mround(I193/VLOOKUP(L193,Sheet1!$D$7:$N$16,G193+1,FALSE),2.5),"")</f>
        <v/>
      </c>
      <c r="Q193" s="303" t="str">
        <f t="shared" si="2"/>
        <v/>
      </c>
      <c r="R193" s="214"/>
      <c r="S193" s="11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</row>
    <row r="194" ht="3.75" hidden="1" customHeight="1">
      <c r="A194" s="191"/>
      <c r="B194" s="6"/>
      <c r="C194" s="192"/>
      <c r="D194" s="138"/>
      <c r="E194" s="223"/>
      <c r="F194" s="194"/>
      <c r="G194" s="194"/>
      <c r="H194" s="155"/>
      <c r="I194" s="210"/>
      <c r="J194" s="216"/>
      <c r="K194" s="222"/>
      <c r="L194" s="143"/>
      <c r="M194" s="144"/>
      <c r="N194" s="145"/>
      <c r="O194" s="145"/>
      <c r="P194" s="122"/>
      <c r="Q194" s="304" t="str">
        <f t="shared" si="2"/>
        <v/>
      </c>
      <c r="R194" s="214"/>
      <c r="S194" s="157"/>
      <c r="T194" s="5"/>
      <c r="U194" s="5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</row>
    <row r="195" ht="15.75" hidden="1" customHeight="1">
      <c r="A195" s="90"/>
      <c r="B195" s="6"/>
      <c r="C195" s="90"/>
      <c r="D195" s="185"/>
      <c r="E195" s="186"/>
      <c r="F195" s="187"/>
      <c r="G195" s="187"/>
      <c r="H195" s="195"/>
      <c r="I195" s="164"/>
      <c r="J195" s="189"/>
      <c r="K195" s="190"/>
      <c r="L195" s="183"/>
      <c r="M195" s="134" t="str">
        <f>I60</f>
        <v/>
      </c>
      <c r="N195" s="135" t="str">
        <f>iferror(mround($P60*((VLOOKUP($J195,Sheet1!$D:$N,$G195+1,FALSE)-0.03)),2.5)," ")</f>
        <v> </v>
      </c>
      <c r="O195" s="135" t="str">
        <f>iferror(mround($P60*((VLOOKUP($J195,Sheet1!$D:$N,$G195+1,FALSE)+0.02)),2.5)," ")</f>
        <v> </v>
      </c>
      <c r="P195" s="112" t="str">
        <f>iferror(mround(I195/VLOOKUP(L195,Sheet1!$D$7:$N$16,G195+1,FALSE),2.5),"")</f>
        <v/>
      </c>
      <c r="Q195" s="303" t="str">
        <f t="shared" si="2"/>
        <v/>
      </c>
      <c r="R195" s="214"/>
      <c r="S195" s="11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</row>
    <row r="196" ht="3.75" hidden="1" customHeight="1">
      <c r="A196" s="90"/>
      <c r="B196" s="6"/>
      <c r="C196" s="90"/>
      <c r="D196" s="138"/>
      <c r="E196" s="184"/>
      <c r="F196" s="102"/>
      <c r="G196" s="102"/>
      <c r="H196" s="102"/>
      <c r="I196" s="102"/>
      <c r="J196" s="156"/>
      <c r="K196" s="222"/>
      <c r="L196" s="143"/>
      <c r="M196" s="144"/>
      <c r="N196" s="145"/>
      <c r="O196" s="145"/>
      <c r="P196" s="122"/>
      <c r="Q196" s="304" t="str">
        <f t="shared" si="2"/>
        <v/>
      </c>
      <c r="R196" s="214"/>
      <c r="S196" s="11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</row>
    <row r="197" ht="15.75" hidden="1" customHeight="1">
      <c r="A197" s="90"/>
      <c r="B197" s="6"/>
      <c r="C197" s="90"/>
      <c r="D197" s="185"/>
      <c r="E197" s="224"/>
      <c r="F197" s="187"/>
      <c r="G197" s="187"/>
      <c r="H197" s="195"/>
      <c r="I197" s="164"/>
      <c r="J197" s="189"/>
      <c r="K197" s="190"/>
      <c r="L197" s="183"/>
      <c r="M197" s="134" t="str">
        <f>I62</f>
        <v/>
      </c>
      <c r="N197" s="135" t="str">
        <f>iferror(mround($P62*((VLOOKUP($J197,Sheet1!$D:$N,$G197+1,FALSE)-0.03)),2.5)," ")</f>
        <v> </v>
      </c>
      <c r="O197" s="135" t="str">
        <f>iferror(mround($P62*((VLOOKUP($J197,Sheet1!$D:$N,$G197+1,FALSE)+0.02)),2.5)," ")</f>
        <v> </v>
      </c>
      <c r="P197" s="112" t="str">
        <f>iferror(mround(I197/VLOOKUP(L197,Sheet1!$D$7:$N$16,G197+1,FALSE),2.5),"")</f>
        <v/>
      </c>
      <c r="Q197" s="303" t="str">
        <f t="shared" si="2"/>
        <v/>
      </c>
      <c r="R197" s="214"/>
      <c r="S197" s="11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</row>
    <row r="198" ht="3.75" hidden="1" customHeight="1">
      <c r="A198" s="191"/>
      <c r="B198" s="6"/>
      <c r="C198" s="192"/>
      <c r="D198" s="138"/>
      <c r="E198" s="193"/>
      <c r="F198" s="194"/>
      <c r="G198" s="194"/>
      <c r="H198" s="155"/>
      <c r="I198" s="210"/>
      <c r="J198" s="216"/>
      <c r="K198" s="222"/>
      <c r="L198" s="143"/>
      <c r="M198" s="144"/>
      <c r="N198" s="145"/>
      <c r="O198" s="145"/>
      <c r="P198" s="122"/>
      <c r="Q198" s="304" t="str">
        <f t="shared" si="2"/>
        <v/>
      </c>
      <c r="R198" s="214"/>
      <c r="S198" s="157"/>
      <c r="T198" s="5"/>
      <c r="U198" s="5"/>
      <c r="V198" s="158"/>
      <c r="W198" s="158"/>
      <c r="X198" s="158"/>
      <c r="Y198" s="158"/>
      <c r="Z198" s="158"/>
      <c r="AA198" s="158"/>
      <c r="AB198" s="158"/>
      <c r="AC198" s="158"/>
      <c r="AD198" s="158"/>
      <c r="AE198" s="158"/>
      <c r="AF198" s="158"/>
      <c r="AG198" s="158"/>
    </row>
    <row r="199" ht="15.75" hidden="1" customHeight="1">
      <c r="A199" s="90"/>
      <c r="B199" s="6"/>
      <c r="C199" s="90"/>
      <c r="D199" s="185"/>
      <c r="E199" s="186"/>
      <c r="F199" s="187"/>
      <c r="G199" s="187"/>
      <c r="H199" s="195"/>
      <c r="I199" s="164"/>
      <c r="J199" s="189"/>
      <c r="K199" s="190"/>
      <c r="L199" s="183"/>
      <c r="M199" s="134" t="str">
        <f>I64</f>
        <v/>
      </c>
      <c r="N199" s="135" t="str">
        <f>iferror(mround($P64*((VLOOKUP($J199,Sheet1!$D:$N,$G199+1,FALSE)-0.03)),2.5)," ")</f>
        <v> </v>
      </c>
      <c r="O199" s="135" t="str">
        <f>iferror(mround($P64*((VLOOKUP($J199,Sheet1!$D:$N,$G199+1,FALSE)+0.02)),2.5)," ")</f>
        <v> </v>
      </c>
      <c r="P199" s="112" t="str">
        <f>iferror(mround(I199/VLOOKUP(L199,Sheet1!$D$7:$N$16,G199+1,FALSE),2.5),"")</f>
        <v/>
      </c>
      <c r="Q199" s="303" t="str">
        <f t="shared" si="2"/>
        <v/>
      </c>
      <c r="R199" s="214"/>
      <c r="S199" s="11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</row>
    <row r="200" ht="3.75" hidden="1" customHeight="1">
      <c r="A200" s="90"/>
      <c r="B200" s="6"/>
      <c r="C200" s="90"/>
      <c r="D200" s="196"/>
      <c r="E200" s="184"/>
      <c r="F200" s="102"/>
      <c r="G200" s="102"/>
      <c r="H200" s="102"/>
      <c r="I200" s="102"/>
      <c r="J200" s="156"/>
      <c r="K200" s="222"/>
      <c r="L200" s="143"/>
      <c r="M200" s="144"/>
      <c r="N200" s="145"/>
      <c r="O200" s="145"/>
      <c r="P200" s="122"/>
      <c r="Q200" s="304" t="str">
        <f t="shared" si="2"/>
        <v/>
      </c>
      <c r="R200" s="214"/>
      <c r="S200" s="11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</row>
    <row r="201" ht="15.75" hidden="1" customHeight="1">
      <c r="A201" s="90"/>
      <c r="B201" s="6"/>
      <c r="C201" s="90"/>
      <c r="D201" s="197"/>
      <c r="E201" s="198"/>
      <c r="F201" s="199"/>
      <c r="G201" s="187"/>
      <c r="H201" s="195"/>
      <c r="I201" s="164"/>
      <c r="J201" s="189"/>
      <c r="K201" s="190"/>
      <c r="L201" s="183"/>
      <c r="M201" s="134" t="str">
        <f>I66</f>
        <v/>
      </c>
      <c r="N201" s="135" t="str">
        <f>iferror(mround($P66*((VLOOKUP($J201,Sheet1!$D:$N,$G201+1,FALSE)-0.03)),2.5)," ")</f>
        <v> </v>
      </c>
      <c r="O201" s="135" t="str">
        <f>iferror(mround($P66*((VLOOKUP($J201,Sheet1!$D:$N,$G201+1,FALSE)+0.02)),2.5)," ")</f>
        <v> </v>
      </c>
      <c r="P201" s="112" t="str">
        <f>iferror(mround(I201/VLOOKUP(L201,Sheet1!$D$7:$N$16,G201+1,FALSE),2.5),"")</f>
        <v/>
      </c>
      <c r="Q201" s="303" t="str">
        <f t="shared" si="2"/>
        <v/>
      </c>
      <c r="R201" s="214"/>
      <c r="S201" s="11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</row>
    <row r="202" ht="3.75" customHeight="1">
      <c r="A202" s="90"/>
      <c r="B202" s="6"/>
      <c r="C202" s="90"/>
      <c r="D202" s="90"/>
      <c r="E202" s="156"/>
      <c r="F202" s="102"/>
      <c r="G202" s="102"/>
      <c r="H202" s="102"/>
      <c r="I202" s="102"/>
      <c r="J202" s="156"/>
      <c r="K202" s="222"/>
      <c r="L202" s="201"/>
      <c r="M202" s="211"/>
      <c r="N202" s="47"/>
      <c r="O202" s="47"/>
      <c r="P202" s="122"/>
      <c r="Q202" s="304" t="str">
        <f t="shared" si="2"/>
        <v/>
      </c>
      <c r="R202" s="214"/>
      <c r="S202" s="11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</row>
    <row r="203" ht="30.75" customHeight="1">
      <c r="A203" s="90"/>
      <c r="B203" s="6"/>
      <c r="C203" s="90"/>
      <c r="D203" s="202" t="s">
        <v>49</v>
      </c>
      <c r="E203" s="105" t="s">
        <v>15</v>
      </c>
      <c r="F203" s="106" t="s">
        <v>16</v>
      </c>
      <c r="G203" s="106" t="s">
        <v>17</v>
      </c>
      <c r="H203" s="107"/>
      <c r="I203" s="106" t="s">
        <v>18</v>
      </c>
      <c r="J203" s="108" t="s">
        <v>19</v>
      </c>
      <c r="L203" s="109" t="s">
        <v>20</v>
      </c>
      <c r="M203" s="110" t="s">
        <v>21</v>
      </c>
      <c r="N203" s="111" t="s">
        <v>22</v>
      </c>
      <c r="P203" s="112"/>
      <c r="Q203" s="113" t="s">
        <v>23</v>
      </c>
      <c r="R203" s="114" t="s">
        <v>50</v>
      </c>
      <c r="S203" s="11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</row>
    <row r="204" ht="14.25" customHeight="1">
      <c r="A204" s="90"/>
      <c r="B204" s="6"/>
      <c r="C204" s="90"/>
      <c r="D204" s="116" t="s">
        <v>25</v>
      </c>
      <c r="E204" s="117" t="s">
        <v>26</v>
      </c>
      <c r="H204" s="107"/>
      <c r="N204" s="111" t="s">
        <v>27</v>
      </c>
      <c r="O204" s="111" t="s">
        <v>28</v>
      </c>
      <c r="P204" s="112" t="s">
        <v>29</v>
      </c>
      <c r="R204" s="118" t="s">
        <v>30</v>
      </c>
      <c r="S204" s="11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</row>
    <row r="205" ht="3.75" customHeight="1">
      <c r="A205" s="191"/>
      <c r="B205" s="6"/>
      <c r="C205" s="192"/>
      <c r="D205" s="203"/>
      <c r="E205" s="203"/>
      <c r="F205" s="205"/>
      <c r="G205" s="205"/>
      <c r="H205" s="205"/>
      <c r="I205" s="225"/>
      <c r="J205" s="226"/>
      <c r="K205" s="209"/>
      <c r="L205" s="210"/>
      <c r="M205" s="211"/>
      <c r="N205" s="47"/>
      <c r="O205" s="47"/>
      <c r="P205" s="122"/>
      <c r="Q205" s="304" t="str">
        <f t="shared" ref="Q205:Q225" si="3">IF(OR(ISBLANK(I205), ISBLANK(I70)), "", IF(I205 - I70 = 0, "", I205 - I70))</f>
        <v/>
      </c>
      <c r="R205" s="212"/>
      <c r="S205" s="157"/>
      <c r="T205" s="5"/>
      <c r="U205" s="5"/>
      <c r="V205" s="158"/>
      <c r="W205" s="158"/>
      <c r="X205" s="158"/>
      <c r="Y205" s="158"/>
      <c r="Z205" s="158"/>
      <c r="AA205" s="158"/>
      <c r="AB205" s="158"/>
      <c r="AC205" s="158"/>
      <c r="AD205" s="158"/>
      <c r="AE205" s="158"/>
      <c r="AF205" s="158"/>
      <c r="AG205" s="158"/>
    </row>
    <row r="206" ht="15.75" customHeight="1">
      <c r="A206" s="124"/>
      <c r="B206" s="6"/>
      <c r="C206" s="124"/>
      <c r="D206" s="125" t="s">
        <v>90</v>
      </c>
      <c r="E206" s="126"/>
      <c r="F206" s="127">
        <v>1.0</v>
      </c>
      <c r="G206" s="240">
        <v>4.0</v>
      </c>
      <c r="H206" s="129"/>
      <c r="I206" s="130">
        <v>397.0</v>
      </c>
      <c r="J206" s="151">
        <v>7.0</v>
      </c>
      <c r="K206" s="213"/>
      <c r="L206" s="133">
        <v>7.0</v>
      </c>
      <c r="M206" s="134">
        <f>I71</f>
        <v>375</v>
      </c>
      <c r="N206" s="135">
        <f>iferror(mround($P71*((VLOOKUP($J206,Sheet1!$D:$N,$G206+1,FALSE)-0.03)),2.5)," ")</f>
        <v>360</v>
      </c>
      <c r="O206" s="135">
        <f>iferror(mround($P71*((VLOOKUP($J206,Sheet1!$D:$N,$G206+1,FALSE)+0.02)),2.5)," ")</f>
        <v>385</v>
      </c>
      <c r="P206" s="112">
        <f>iferror(mround(I206/VLOOKUP(L206,Sheet1!$D$7:$N$16,G206+1,FALSE),2.5),"")</f>
        <v>487.5</v>
      </c>
      <c r="Q206" s="303">
        <f t="shared" si="3"/>
        <v>22</v>
      </c>
      <c r="R206" s="214"/>
      <c r="S206" s="11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</row>
    <row r="207" ht="3.75" customHeight="1">
      <c r="A207" s="124"/>
      <c r="B207" s="6"/>
      <c r="C207" s="124"/>
      <c r="D207" s="138"/>
      <c r="E207" s="139"/>
      <c r="F207" s="140"/>
      <c r="G207" s="140"/>
      <c r="H207" s="140"/>
      <c r="I207" s="140"/>
      <c r="J207" s="141"/>
      <c r="K207" s="217"/>
      <c r="L207" s="218"/>
      <c r="M207" s="144"/>
      <c r="N207" s="145"/>
      <c r="O207" s="145"/>
      <c r="P207" s="122"/>
      <c r="Q207" s="304" t="str">
        <f t="shared" si="3"/>
        <v/>
      </c>
      <c r="R207" s="214"/>
      <c r="S207" s="11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</row>
    <row r="208" ht="15.75" customHeight="1">
      <c r="A208" s="90"/>
      <c r="B208" s="6"/>
      <c r="C208" s="90"/>
      <c r="D208" s="125" t="s">
        <v>77</v>
      </c>
      <c r="E208" s="126"/>
      <c r="F208" s="127">
        <v>4.0</v>
      </c>
      <c r="G208" s="240">
        <v>5.0</v>
      </c>
      <c r="H208" s="129"/>
      <c r="I208" s="164">
        <f>MROUND(I206*(1+J208),5)</f>
        <v>350</v>
      </c>
      <c r="J208" s="165">
        <v>-0.12</v>
      </c>
      <c r="K208" s="213"/>
      <c r="L208" s="133">
        <v>5.5</v>
      </c>
      <c r="M208" s="134">
        <f>I73</f>
        <v>340</v>
      </c>
      <c r="N208" s="135" t="str">
        <f>iferror(mround($P73*((VLOOKUP($J208,Sheet1!$D:$N,$G208+1,FALSE)-0.03)),2.5)," ")</f>
        <v> </v>
      </c>
      <c r="O208" s="135" t="str">
        <f>iferror(mround($P73*((VLOOKUP($J208,Sheet1!$D:$N,$G208+1,FALSE)+0.02)),2.5)," ")</f>
        <v> </v>
      </c>
      <c r="P208" s="112" t="str">
        <f>iferror(mround(I208/VLOOKUP(L208,Sheet1!$D$7:$N$16,G208+1,FALSE),2.5),"")</f>
        <v/>
      </c>
      <c r="Q208" s="303">
        <f t="shared" si="3"/>
        <v>10</v>
      </c>
      <c r="R208" s="214"/>
      <c r="S208" s="11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</row>
    <row r="209" ht="3.75" customHeight="1">
      <c r="A209" s="90"/>
      <c r="B209" s="6"/>
      <c r="C209" s="90"/>
      <c r="D209" s="138"/>
      <c r="E209" s="215"/>
      <c r="F209" s="102"/>
      <c r="G209" s="102"/>
      <c r="H209" s="102"/>
      <c r="I209" s="102"/>
      <c r="J209" s="156"/>
      <c r="K209" s="217"/>
      <c r="L209" s="218"/>
      <c r="M209" s="144"/>
      <c r="N209" s="145"/>
      <c r="O209" s="145"/>
      <c r="P209" s="122"/>
      <c r="Q209" s="304" t="str">
        <f t="shared" si="3"/>
        <v/>
      </c>
      <c r="R209" s="214"/>
      <c r="S209" s="11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</row>
    <row r="210" ht="15.75" customHeight="1">
      <c r="A210" s="90"/>
      <c r="B210" s="6"/>
      <c r="C210" s="90"/>
      <c r="D210" s="159" t="s">
        <v>33</v>
      </c>
      <c r="E210" s="160" t="s">
        <v>34</v>
      </c>
      <c r="F210" s="127">
        <v>3.0</v>
      </c>
      <c r="G210" s="161">
        <v>2.0</v>
      </c>
      <c r="H210" s="129"/>
      <c r="I210" s="130">
        <v>275.0</v>
      </c>
      <c r="J210" s="151">
        <v>7.0</v>
      </c>
      <c r="K210" s="219" t="s">
        <v>91</v>
      </c>
      <c r="L210" s="133">
        <v>7.0</v>
      </c>
      <c r="M210" s="134">
        <f>I75</f>
        <v>265</v>
      </c>
      <c r="N210" s="135">
        <f>iferror(mround($P75*((VLOOKUP($J210,Sheet1!$D:$N,$G210+1,FALSE)-0.03)),2.5)," ")</f>
        <v>260</v>
      </c>
      <c r="O210" s="135">
        <f>iferror(mround($P75*((VLOOKUP($J210,Sheet1!$D:$N,$G210+1,FALSE)+0.02)),2.5)," ")</f>
        <v>275</v>
      </c>
      <c r="P210" s="112">
        <f>iferror(mround(I210/VLOOKUP(L210,Sheet1!$D$7:$N$16,G210+1,FALSE),2.5),"")</f>
        <v>317.5</v>
      </c>
      <c r="Q210" s="303">
        <f t="shared" si="3"/>
        <v>10</v>
      </c>
      <c r="R210" s="214"/>
      <c r="S210" s="11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</row>
    <row r="211" ht="3.75" customHeight="1">
      <c r="A211" s="90"/>
      <c r="B211" s="6"/>
      <c r="C211" s="90"/>
      <c r="D211" s="138"/>
      <c r="E211" s="154"/>
      <c r="F211" s="155"/>
      <c r="G211" s="102"/>
      <c r="H211" s="102"/>
      <c r="I211" s="102"/>
      <c r="J211" s="156"/>
      <c r="K211" s="217"/>
      <c r="L211" s="218"/>
      <c r="M211" s="144"/>
      <c r="N211" s="145"/>
      <c r="O211" s="145"/>
      <c r="P211" s="122"/>
      <c r="Q211" s="304" t="str">
        <f t="shared" si="3"/>
        <v/>
      </c>
      <c r="R211" s="214"/>
      <c r="S211" s="11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</row>
    <row r="212" ht="15.75" customHeight="1">
      <c r="A212" s="90"/>
      <c r="B212" s="6"/>
      <c r="C212" s="90"/>
      <c r="D212" s="159" t="s">
        <v>45</v>
      </c>
      <c r="E212" s="220"/>
      <c r="F212" s="127">
        <v>3.0</v>
      </c>
      <c r="G212" s="127" t="s">
        <v>41</v>
      </c>
      <c r="H212" s="195"/>
      <c r="I212" s="164"/>
      <c r="J212" s="151"/>
      <c r="K212" s="213"/>
      <c r="L212" s="183"/>
      <c r="M212" s="134" t="str">
        <f>I77</f>
        <v/>
      </c>
      <c r="N212" s="135" t="str">
        <f>iferror(mround($P77*((VLOOKUP($J212,Sheet1!$D:$N,$G212+1,FALSE)-0.03)),2.5)," ")</f>
        <v> </v>
      </c>
      <c r="O212" s="135" t="str">
        <f>iferror(mround($P77*((VLOOKUP($J212,Sheet1!$D:$N,$G212+1,FALSE)+0.02)),2.5)," ")</f>
        <v> </v>
      </c>
      <c r="P212" s="112" t="str">
        <f>iferror(mround(I212/VLOOKUP(L212,Sheet1!$D$7:$N$16,G212+1,FALSE),2.5),"")</f>
        <v/>
      </c>
      <c r="Q212" s="303" t="str">
        <f t="shared" si="3"/>
        <v/>
      </c>
      <c r="R212" s="214"/>
      <c r="S212" s="11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</row>
    <row r="213" ht="3.75" customHeight="1">
      <c r="A213" s="90"/>
      <c r="B213" s="6"/>
      <c r="C213" s="90"/>
      <c r="D213" s="138"/>
      <c r="E213" s="215"/>
      <c r="F213" s="102"/>
      <c r="G213" s="102"/>
      <c r="H213" s="102"/>
      <c r="I213" s="102"/>
      <c r="J213" s="156"/>
      <c r="K213" s="217"/>
      <c r="L213" s="218"/>
      <c r="M213" s="144"/>
      <c r="N213" s="145"/>
      <c r="O213" s="145"/>
      <c r="P213" s="122"/>
      <c r="Q213" s="304" t="str">
        <f t="shared" si="3"/>
        <v/>
      </c>
      <c r="R213" s="214"/>
      <c r="S213" s="11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</row>
    <row r="214" ht="15.75" customHeight="1">
      <c r="A214" s="90"/>
      <c r="B214" s="6"/>
      <c r="C214" s="90"/>
      <c r="D214" s="159" t="s">
        <v>94</v>
      </c>
      <c r="E214" s="220"/>
      <c r="F214" s="127">
        <v>3.0</v>
      </c>
      <c r="G214" s="221">
        <v>45641.0</v>
      </c>
      <c r="H214" s="195"/>
      <c r="I214" s="164"/>
      <c r="J214" s="151">
        <v>9.0</v>
      </c>
      <c r="K214" s="213"/>
      <c r="L214" s="183"/>
      <c r="M214" s="134">
        <f>I79</f>
        <v>20</v>
      </c>
      <c r="N214" s="135" t="str">
        <f>iferror(mround($P79*((VLOOKUP($J214,Sheet1!$D:$N,$G214+1,FALSE)-0.03)),2.5)," ")</f>
        <v> </v>
      </c>
      <c r="O214" s="135" t="str">
        <f>iferror(mround($P79*((VLOOKUP($J214,Sheet1!$D:$N,$G214+1,FALSE)+0.02)),2.5)," ")</f>
        <v> </v>
      </c>
      <c r="P214" s="112" t="str">
        <f>iferror(mround(I214/VLOOKUP(L214,Sheet1!$D$7:$N$16,G214+1,FALSE),2.5),"")</f>
        <v/>
      </c>
      <c r="Q214" s="303" t="str">
        <f t="shared" si="3"/>
        <v/>
      </c>
      <c r="R214" s="214"/>
      <c r="S214" s="11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</row>
    <row r="215" ht="3.75" customHeight="1">
      <c r="A215" s="90"/>
      <c r="B215" s="6"/>
      <c r="C215" s="90"/>
      <c r="D215" s="138"/>
      <c r="E215" s="215"/>
      <c r="F215" s="102"/>
      <c r="G215" s="102"/>
      <c r="H215" s="102"/>
      <c r="I215" s="102"/>
      <c r="J215" s="156"/>
      <c r="K215" s="222"/>
      <c r="L215" s="218"/>
      <c r="M215" s="144"/>
      <c r="N215" s="145"/>
      <c r="O215" s="145"/>
      <c r="P215" s="122"/>
      <c r="Q215" s="304" t="str">
        <f t="shared" si="3"/>
        <v/>
      </c>
      <c r="R215" s="214"/>
      <c r="S215" s="11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</row>
    <row r="216" ht="15.75" hidden="1" customHeight="1">
      <c r="A216" s="90"/>
      <c r="B216" s="6"/>
      <c r="C216" s="90"/>
      <c r="D216" s="185"/>
      <c r="E216" s="220"/>
      <c r="F216" s="187"/>
      <c r="G216" s="229"/>
      <c r="H216" s="195"/>
      <c r="I216" s="164"/>
      <c r="J216" s="189"/>
      <c r="K216" s="190"/>
      <c r="L216" s="183"/>
      <c r="M216" s="134" t="str">
        <f>I81</f>
        <v/>
      </c>
      <c r="N216" s="135" t="str">
        <f>iferror(mround($P81*((VLOOKUP($J216,Sheet1!$D:$N,$G216+1,FALSE)-0.03)),2.5)," ")</f>
        <v> </v>
      </c>
      <c r="O216" s="135" t="str">
        <f>iferror(mround($P81*((VLOOKUP($J216,Sheet1!$D:$N,$G216+1,FALSE)+0.02)),2.5)," ")</f>
        <v> </v>
      </c>
      <c r="P216" s="112" t="str">
        <f>iferror(mround(I216/VLOOKUP(L216,Sheet1!$D$7:$N$16,G216+1,FALSE),2.5),"")</f>
        <v/>
      </c>
      <c r="Q216" s="303" t="str">
        <f t="shared" si="3"/>
        <v/>
      </c>
      <c r="R216" s="214"/>
      <c r="S216" s="11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</row>
    <row r="217" ht="3.75" hidden="1" customHeight="1">
      <c r="A217" s="90"/>
      <c r="B217" s="6"/>
      <c r="C217" s="90"/>
      <c r="D217" s="138"/>
      <c r="E217" s="215"/>
      <c r="F217" s="102"/>
      <c r="G217" s="102"/>
      <c r="H217" s="102"/>
      <c r="I217" s="102"/>
      <c r="J217" s="216"/>
      <c r="K217" s="222"/>
      <c r="L217" s="218"/>
      <c r="M217" s="144"/>
      <c r="N217" s="145"/>
      <c r="O217" s="145"/>
      <c r="P217" s="122"/>
      <c r="Q217" s="304" t="str">
        <f t="shared" si="3"/>
        <v/>
      </c>
      <c r="R217" s="214"/>
      <c r="S217" s="11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</row>
    <row r="218" ht="15.75" hidden="1" customHeight="1">
      <c r="A218" s="90"/>
      <c r="B218" s="6"/>
      <c r="C218" s="90"/>
      <c r="D218" s="185"/>
      <c r="E218" s="220"/>
      <c r="F218" s="187"/>
      <c r="G218" s="229"/>
      <c r="H218" s="195"/>
      <c r="I218" s="164"/>
      <c r="J218" s="189"/>
      <c r="K218" s="190"/>
      <c r="L218" s="183"/>
      <c r="M218" s="134" t="str">
        <f>I83</f>
        <v/>
      </c>
      <c r="N218" s="135" t="str">
        <f>iferror(mround($P83*((VLOOKUP($J218,Sheet1!$D:$N,$G218+1,FALSE)-0.03)),2.5)," ")</f>
        <v> </v>
      </c>
      <c r="O218" s="135" t="str">
        <f>iferror(mround($P83*((VLOOKUP($J218,Sheet1!$D:$N,$G218+1,FALSE)+0.02)),2.5)," ")</f>
        <v> </v>
      </c>
      <c r="P218" s="112" t="str">
        <f>iferror(mround(I218/VLOOKUP(L218,Sheet1!$D$7:$N$16,G218+1,FALSE),2.5),"")</f>
        <v/>
      </c>
      <c r="Q218" s="303" t="str">
        <f t="shared" si="3"/>
        <v/>
      </c>
      <c r="R218" s="214"/>
      <c r="S218" s="11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</row>
    <row r="219" ht="3.75" hidden="1" customHeight="1">
      <c r="A219" s="191"/>
      <c r="B219" s="6"/>
      <c r="C219" s="192"/>
      <c r="D219" s="138"/>
      <c r="E219" s="184"/>
      <c r="F219" s="102"/>
      <c r="G219" s="102"/>
      <c r="H219" s="102"/>
      <c r="I219" s="102"/>
      <c r="J219" s="156"/>
      <c r="K219" s="222"/>
      <c r="L219" s="218"/>
      <c r="M219" s="144"/>
      <c r="N219" s="145"/>
      <c r="O219" s="145"/>
      <c r="P219" s="122"/>
      <c r="Q219" s="304" t="str">
        <f t="shared" si="3"/>
        <v/>
      </c>
      <c r="R219" s="214"/>
      <c r="S219" s="157"/>
      <c r="T219" s="5"/>
      <c r="U219" s="5"/>
      <c r="V219" s="158"/>
      <c r="W219" s="158"/>
      <c r="X219" s="158"/>
      <c r="Y219" s="158"/>
      <c r="Z219" s="158"/>
      <c r="AA219" s="158"/>
      <c r="AB219" s="158"/>
      <c r="AC219" s="158"/>
      <c r="AD219" s="158"/>
      <c r="AE219" s="158"/>
      <c r="AF219" s="158"/>
      <c r="AG219" s="158"/>
    </row>
    <row r="220" ht="15.75" hidden="1" customHeight="1">
      <c r="A220" s="90"/>
      <c r="B220" s="6"/>
      <c r="C220" s="90"/>
      <c r="D220" s="185"/>
      <c r="E220" s="224"/>
      <c r="F220" s="187"/>
      <c r="G220" s="187"/>
      <c r="H220" s="195"/>
      <c r="I220" s="164"/>
      <c r="J220" s="230"/>
      <c r="K220" s="190"/>
      <c r="L220" s="183"/>
      <c r="M220" s="134" t="str">
        <f>I85</f>
        <v/>
      </c>
      <c r="N220" s="135" t="str">
        <f>iferror(mround($P85*((VLOOKUP($J220,Sheet1!$D:$N,$G220+1,FALSE)-0.03)),2.5)," ")</f>
        <v> </v>
      </c>
      <c r="O220" s="135" t="str">
        <f>iferror(mround($P85*((VLOOKUP($J220,Sheet1!$D:$N,$G220+1,FALSE)+0.02)),2.5)," ")</f>
        <v> </v>
      </c>
      <c r="P220" s="112" t="str">
        <f>iferror(mround(I220/VLOOKUP(L220,Sheet1!$D$7:$N$16,G220+1,FALSE),2.5),"")</f>
        <v/>
      </c>
      <c r="Q220" s="303" t="str">
        <f t="shared" si="3"/>
        <v/>
      </c>
      <c r="R220" s="214"/>
      <c r="S220" s="11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</row>
    <row r="221" ht="3.75" hidden="1" customHeight="1">
      <c r="A221" s="90"/>
      <c r="B221" s="6"/>
      <c r="C221" s="90"/>
      <c r="D221" s="138"/>
      <c r="E221" s="184"/>
      <c r="F221" s="102"/>
      <c r="G221" s="102"/>
      <c r="H221" s="102"/>
      <c r="I221" s="102"/>
      <c r="J221" s="156"/>
      <c r="K221" s="222"/>
      <c r="L221" s="218"/>
      <c r="M221" s="144"/>
      <c r="N221" s="145"/>
      <c r="O221" s="145"/>
      <c r="P221" s="122"/>
      <c r="Q221" s="304" t="str">
        <f t="shared" si="3"/>
        <v/>
      </c>
      <c r="R221" s="214"/>
      <c r="S221" s="11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</row>
    <row r="222" ht="15.75" hidden="1" customHeight="1">
      <c r="A222" s="90"/>
      <c r="B222" s="6"/>
      <c r="C222" s="90"/>
      <c r="D222" s="231"/>
      <c r="E222" s="232"/>
      <c r="F222" s="187"/>
      <c r="G222" s="187"/>
      <c r="H222" s="195"/>
      <c r="I222" s="164"/>
      <c r="J222" s="230"/>
      <c r="K222" s="190"/>
      <c r="L222" s="183"/>
      <c r="M222" s="134" t="str">
        <f>I87</f>
        <v/>
      </c>
      <c r="N222" s="135" t="str">
        <f>iferror(mround($P87*((VLOOKUP($J222,Sheet1!$D:$N,$G222+1,FALSE)-0.03)),2.5)," ")</f>
        <v> </v>
      </c>
      <c r="O222" s="135" t="str">
        <f>iferror(mround($P87*((VLOOKUP($J222,Sheet1!$D:$N,$G222+1,FALSE)+0.02)),2.5)," ")</f>
        <v> </v>
      </c>
      <c r="P222" s="112" t="str">
        <f>iferror(mround(I222/VLOOKUP(L222,Sheet1!$D$7:$N$16,G222+1,FALSE),2.5),"")</f>
        <v/>
      </c>
      <c r="Q222" s="303" t="str">
        <f t="shared" si="3"/>
        <v/>
      </c>
      <c r="R222" s="214"/>
      <c r="S222" s="11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</row>
    <row r="223" ht="3.75" hidden="1" customHeight="1">
      <c r="A223" s="191"/>
      <c r="B223" s="6"/>
      <c r="C223" s="233"/>
      <c r="D223" s="234"/>
      <c r="E223" s="235"/>
      <c r="F223" s="236"/>
      <c r="G223" s="194"/>
      <c r="H223" s="155"/>
      <c r="I223" s="210"/>
      <c r="J223" s="216"/>
      <c r="K223" s="222"/>
      <c r="L223" s="218"/>
      <c r="M223" s="144"/>
      <c r="N223" s="145"/>
      <c r="O223" s="145"/>
      <c r="P223" s="122"/>
      <c r="Q223" s="304" t="str">
        <f t="shared" si="3"/>
        <v/>
      </c>
      <c r="R223" s="214"/>
      <c r="S223" s="157"/>
      <c r="T223" s="5"/>
      <c r="U223" s="5"/>
      <c r="V223" s="158"/>
      <c r="W223" s="158"/>
      <c r="X223" s="158"/>
      <c r="Y223" s="158"/>
      <c r="Z223" s="158"/>
      <c r="AA223" s="158"/>
      <c r="AB223" s="158"/>
      <c r="AC223" s="158"/>
      <c r="AD223" s="158"/>
      <c r="AE223" s="158"/>
      <c r="AF223" s="158"/>
      <c r="AG223" s="158"/>
    </row>
    <row r="224" ht="15.75" hidden="1" customHeight="1">
      <c r="A224" s="90"/>
      <c r="B224" s="6"/>
      <c r="C224" s="90"/>
      <c r="D224" s="197"/>
      <c r="E224" s="198"/>
      <c r="F224" s="199"/>
      <c r="G224" s="187"/>
      <c r="H224" s="195"/>
      <c r="I224" s="164"/>
      <c r="J224" s="189"/>
      <c r="K224" s="190"/>
      <c r="L224" s="183"/>
      <c r="M224" s="134" t="str">
        <f>I89</f>
        <v/>
      </c>
      <c r="N224" s="135" t="str">
        <f>iferror(mround($P89*((VLOOKUP($J224,Sheet1!$D:$N,$G224+1,FALSE)-0.03)),2.5)," ")</f>
        <v> </v>
      </c>
      <c r="O224" s="135" t="str">
        <f>iferror(mround($P89*((VLOOKUP($J224,Sheet1!$D:$N,$G224+1,FALSE)+0.02)),2.5)," ")</f>
        <v> </v>
      </c>
      <c r="P224" s="112" t="str">
        <f>iferror(mround(I224/VLOOKUP(L224,Sheet1!$D$7:$N$16,G224+1,FALSE),2.5),"")</f>
        <v/>
      </c>
      <c r="Q224" s="303" t="str">
        <f t="shared" si="3"/>
        <v/>
      </c>
      <c r="R224" s="214"/>
      <c r="S224" s="11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</row>
    <row r="225" ht="3.75" customHeight="1">
      <c r="A225" s="90"/>
      <c r="B225" s="6"/>
      <c r="C225" s="90"/>
      <c r="D225" s="90"/>
      <c r="E225" s="156"/>
      <c r="F225" s="102"/>
      <c r="G225" s="102"/>
      <c r="H225" s="102"/>
      <c r="I225" s="102"/>
      <c r="J225" s="156"/>
      <c r="K225" s="200"/>
      <c r="L225" s="201"/>
      <c r="M225" s="211"/>
      <c r="N225" s="47"/>
      <c r="O225" s="47"/>
      <c r="P225" s="122"/>
      <c r="Q225" s="304" t="str">
        <f t="shared" si="3"/>
        <v/>
      </c>
      <c r="R225" s="214"/>
      <c r="S225" s="11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</row>
    <row r="226" ht="30.0" customHeight="1">
      <c r="A226" s="90"/>
      <c r="B226" s="6"/>
      <c r="C226" s="90"/>
      <c r="D226" s="202" t="s">
        <v>55</v>
      </c>
      <c r="E226" s="105" t="s">
        <v>15</v>
      </c>
      <c r="F226" s="106" t="s">
        <v>16</v>
      </c>
      <c r="G226" s="106" t="s">
        <v>17</v>
      </c>
      <c r="H226" s="107"/>
      <c r="I226" s="106" t="s">
        <v>18</v>
      </c>
      <c r="J226" s="108" t="s">
        <v>19</v>
      </c>
      <c r="L226" s="109" t="s">
        <v>20</v>
      </c>
      <c r="M226" s="110" t="s">
        <v>21</v>
      </c>
      <c r="N226" s="111" t="s">
        <v>22</v>
      </c>
      <c r="P226" s="112"/>
      <c r="Q226" s="113" t="s">
        <v>23</v>
      </c>
      <c r="R226" s="114" t="s">
        <v>56</v>
      </c>
      <c r="S226" s="11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</row>
    <row r="227" ht="14.25" customHeight="1">
      <c r="A227" s="90"/>
      <c r="B227" s="6"/>
      <c r="C227" s="90"/>
      <c r="D227" s="116" t="s">
        <v>25</v>
      </c>
      <c r="E227" s="117" t="s">
        <v>26</v>
      </c>
      <c r="H227" s="107"/>
      <c r="N227" s="111" t="s">
        <v>27</v>
      </c>
      <c r="O227" s="111" t="s">
        <v>28</v>
      </c>
      <c r="P227" s="112" t="s">
        <v>29</v>
      </c>
      <c r="R227" s="118" t="s">
        <v>30</v>
      </c>
      <c r="S227" s="11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</row>
    <row r="228" ht="3.75" customHeight="1">
      <c r="A228" s="191"/>
      <c r="B228" s="6"/>
      <c r="C228" s="192"/>
      <c r="D228" s="203"/>
      <c r="E228" s="204"/>
      <c r="F228" s="205"/>
      <c r="G228" s="205"/>
      <c r="H228" s="205"/>
      <c r="I228" s="225"/>
      <c r="J228" s="237"/>
      <c r="K228" s="209"/>
      <c r="L228" s="238"/>
      <c r="M228" s="211"/>
      <c r="N228" s="47"/>
      <c r="O228" s="47"/>
      <c r="P228" s="122"/>
      <c r="Q228" s="304" t="str">
        <f t="shared" ref="Q228:Q248" si="4">IF(OR(ISBLANK(I228), ISBLANK(I93)), "", IF(I228 - I93 = 0, "", I228 - I93))</f>
        <v/>
      </c>
      <c r="R228" s="239"/>
      <c r="S228" s="157"/>
      <c r="T228" s="5"/>
      <c r="U228" s="5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</row>
    <row r="229" ht="15.75" customHeight="1">
      <c r="A229" s="124"/>
      <c r="B229" s="6"/>
      <c r="C229" s="124"/>
      <c r="D229" s="125" t="s">
        <v>97</v>
      </c>
      <c r="E229" s="126"/>
      <c r="F229" s="127">
        <v>1.0</v>
      </c>
      <c r="G229" s="240">
        <v>4.0</v>
      </c>
      <c r="H229" s="129"/>
      <c r="I229" s="130">
        <v>474.0</v>
      </c>
      <c r="J229" s="151">
        <v>7.0</v>
      </c>
      <c r="K229" s="241"/>
      <c r="L229" s="130">
        <v>7.0</v>
      </c>
      <c r="M229" s="134">
        <f>I94</f>
        <v>452</v>
      </c>
      <c r="N229" s="135">
        <f>iferror(mround($P94*((VLOOKUP($J229,Sheet1!$D:$N,$G229+1,FALSE)-0.03)),2.5)," ")</f>
        <v>442.5</v>
      </c>
      <c r="O229" s="135">
        <f>iferror(mround($P94*((VLOOKUP($J229,Sheet1!$D:$N,$G229+1,FALSE)+0.02)),2.5)," ")</f>
        <v>470</v>
      </c>
      <c r="P229" s="112">
        <f>iferror(mround(I229/VLOOKUP(L229,Sheet1!$D$7:$N$16,G229+1,FALSE),2.5),"")</f>
        <v>582.5</v>
      </c>
      <c r="Q229" s="303">
        <f t="shared" si="4"/>
        <v>22</v>
      </c>
      <c r="R229" s="242"/>
      <c r="S229" s="11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</row>
    <row r="230" ht="3.75" customHeight="1">
      <c r="A230" s="124"/>
      <c r="B230" s="6"/>
      <c r="C230" s="124"/>
      <c r="D230" s="138"/>
      <c r="E230" s="139"/>
      <c r="F230" s="140"/>
      <c r="G230" s="140"/>
      <c r="H230" s="140"/>
      <c r="I230" s="140"/>
      <c r="J230" s="141"/>
      <c r="K230" s="243"/>
      <c r="L230" s="210"/>
      <c r="M230" s="144"/>
      <c r="N230" s="145"/>
      <c r="O230" s="145"/>
      <c r="P230" s="122"/>
      <c r="Q230" s="304" t="str">
        <f t="shared" si="4"/>
        <v/>
      </c>
      <c r="R230" s="242"/>
      <c r="S230" s="11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</row>
    <row r="231" ht="15.0" customHeight="1">
      <c r="A231" s="124"/>
      <c r="B231" s="6"/>
      <c r="C231" s="124"/>
      <c r="D231" s="125" t="s">
        <v>97</v>
      </c>
      <c r="E231" s="126"/>
      <c r="F231" s="127">
        <v>3.0</v>
      </c>
      <c r="G231" s="240">
        <v>4.0</v>
      </c>
      <c r="H231" s="129"/>
      <c r="I231" s="164">
        <f>MROUND(I229*(1+J231),5)</f>
        <v>425</v>
      </c>
      <c r="J231" s="165">
        <v>-0.1</v>
      </c>
      <c r="K231" s="241"/>
      <c r="L231" s="130">
        <v>6.0</v>
      </c>
      <c r="M231" s="134">
        <f>I96</f>
        <v>405</v>
      </c>
      <c r="N231" s="135" t="str">
        <f>iferror(mround($P96*((VLOOKUP($J231,Sheet1!$D:$N,$G231+1,FALSE)-0.03)),2.5)," ")</f>
        <v> </v>
      </c>
      <c r="O231" s="135" t="str">
        <f>iferror(mround($P96*((VLOOKUP($J231,Sheet1!$D:$N,$G231+1,FALSE)+0.02)),2.5)," ")</f>
        <v> </v>
      </c>
      <c r="P231" s="112">
        <f>iferror(mround(I231/VLOOKUP(L231,Sheet1!$D$7:$N$16,G231+1,FALSE),2.5),"")</f>
        <v>537.5</v>
      </c>
      <c r="Q231" s="303">
        <f t="shared" si="4"/>
        <v>20</v>
      </c>
      <c r="R231" s="242"/>
      <c r="S231" s="11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</row>
    <row r="232" ht="3.75" customHeight="1">
      <c r="A232" s="124"/>
      <c r="B232" s="6"/>
      <c r="C232" s="124"/>
      <c r="D232" s="138"/>
      <c r="E232" s="215"/>
      <c r="F232" s="102"/>
      <c r="G232" s="102"/>
      <c r="H232" s="102"/>
      <c r="I232" s="102"/>
      <c r="J232" s="156"/>
      <c r="K232" s="243"/>
      <c r="L232" s="210"/>
      <c r="M232" s="144"/>
      <c r="N232" s="145"/>
      <c r="O232" s="145"/>
      <c r="P232" s="122"/>
      <c r="Q232" s="304" t="str">
        <f t="shared" si="4"/>
        <v/>
      </c>
      <c r="R232" s="242"/>
      <c r="S232" s="11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</row>
    <row r="233" ht="15.75" customHeight="1">
      <c r="A233" s="124"/>
      <c r="B233" s="6"/>
      <c r="C233" s="124"/>
      <c r="D233" s="159" t="s">
        <v>33</v>
      </c>
      <c r="E233" s="126"/>
      <c r="F233" s="127">
        <v>2.0</v>
      </c>
      <c r="G233" s="161">
        <v>1.0</v>
      </c>
      <c r="H233" s="129"/>
      <c r="I233" s="130">
        <v>314.0</v>
      </c>
      <c r="J233" s="151">
        <v>7.0</v>
      </c>
      <c r="K233" s="244" t="s">
        <v>98</v>
      </c>
      <c r="L233" s="130">
        <v>7.0</v>
      </c>
      <c r="M233" s="134">
        <f>I98</f>
        <v>303</v>
      </c>
      <c r="N233" s="135">
        <f>iferror(mround($P98*((VLOOKUP($J233,Sheet1!$D:$N,$G233+1,FALSE)-0.03)),2.5)," ")</f>
        <v>300</v>
      </c>
      <c r="O233" s="135">
        <f>iferror(mround($P98*((VLOOKUP($J233,Sheet1!$D:$N,$G233+1,FALSE)+0.02)),2.5)," ")</f>
        <v>317.5</v>
      </c>
      <c r="P233" s="112">
        <f>iferror(mround(I233/VLOOKUP(L233,Sheet1!$D$7:$N$16,G233+1,FALSE),2.5),"")</f>
        <v>352.5</v>
      </c>
      <c r="Q233" s="303">
        <f t="shared" si="4"/>
        <v>11</v>
      </c>
      <c r="R233" s="242"/>
      <c r="S233" s="11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</row>
    <row r="234" ht="3.75" customHeight="1">
      <c r="A234" s="124"/>
      <c r="B234" s="6"/>
      <c r="C234" s="124"/>
      <c r="D234" s="138"/>
      <c r="E234" s="154"/>
      <c r="F234" s="155"/>
      <c r="G234" s="102"/>
      <c r="H234" s="102"/>
      <c r="I234" s="102"/>
      <c r="J234" s="156"/>
      <c r="K234" s="243"/>
      <c r="L234" s="210"/>
      <c r="M234" s="144"/>
      <c r="N234" s="145"/>
      <c r="O234" s="145"/>
      <c r="P234" s="122"/>
      <c r="Q234" s="304" t="str">
        <f t="shared" si="4"/>
        <v/>
      </c>
      <c r="R234" s="242"/>
      <c r="S234" s="11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</row>
    <row r="235" ht="15.75" customHeight="1">
      <c r="A235" s="124"/>
      <c r="B235" s="6"/>
      <c r="C235" s="124"/>
      <c r="D235" s="159" t="s">
        <v>33</v>
      </c>
      <c r="E235" s="126"/>
      <c r="F235" s="127">
        <v>4.0</v>
      </c>
      <c r="G235" s="161">
        <v>4.0</v>
      </c>
      <c r="H235" s="129"/>
      <c r="I235" s="130">
        <v>271.0</v>
      </c>
      <c r="J235" s="151">
        <v>6.5</v>
      </c>
      <c r="K235" s="241" t="s">
        <v>91</v>
      </c>
      <c r="L235" s="130"/>
      <c r="M235" s="134">
        <f>I100</f>
        <v>265</v>
      </c>
      <c r="N235" s="135">
        <f>iferror(mround($P100*((VLOOKUP($J235,Sheet1!$D:$N,$G235+1,FALSE)-0.03)),2.5)," ")</f>
        <v>260</v>
      </c>
      <c r="O235" s="135">
        <f>iferror(mround($P100*((VLOOKUP($J235,Sheet1!$D:$N,$G235+1,FALSE)+0.02)),2.5)," ")</f>
        <v>275</v>
      </c>
      <c r="P235" s="112" t="str">
        <f>iferror(mround(I235/VLOOKUP(L235,Sheet1!$D$7:$N$16,G235+1,FALSE),2.5),"")</f>
        <v/>
      </c>
      <c r="Q235" s="303">
        <f t="shared" si="4"/>
        <v>6</v>
      </c>
      <c r="R235" s="242"/>
      <c r="S235" s="11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</row>
    <row r="236" ht="3.75" customHeight="1">
      <c r="A236" s="90"/>
      <c r="B236" s="6"/>
      <c r="C236" s="90"/>
      <c r="D236" s="138"/>
      <c r="E236" s="245"/>
      <c r="F236" s="102"/>
      <c r="G236" s="102"/>
      <c r="H236" s="102"/>
      <c r="I236" s="102"/>
      <c r="J236" s="156"/>
      <c r="K236" s="243"/>
      <c r="L236" s="210"/>
      <c r="M236" s="144"/>
      <c r="N236" s="145"/>
      <c r="O236" s="145"/>
      <c r="P236" s="122"/>
      <c r="Q236" s="304" t="str">
        <f t="shared" si="4"/>
        <v/>
      </c>
      <c r="R236" s="242"/>
      <c r="S236" s="11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</row>
    <row r="237" ht="15.75" customHeight="1">
      <c r="A237" s="90"/>
      <c r="B237" s="6"/>
      <c r="C237" s="90"/>
      <c r="D237" s="159" t="s">
        <v>54</v>
      </c>
      <c r="E237" s="227"/>
      <c r="F237" s="127">
        <v>3.0</v>
      </c>
      <c r="G237" s="221">
        <v>45577.0</v>
      </c>
      <c r="H237" s="195"/>
      <c r="I237" s="130"/>
      <c r="J237" s="228">
        <v>8.0</v>
      </c>
      <c r="K237" s="241"/>
      <c r="L237" s="130"/>
      <c r="M237" s="134" t="str">
        <f>I102</f>
        <v/>
      </c>
      <c r="N237" s="135" t="str">
        <f>iferror(mround($P102*((VLOOKUP($J237,Sheet1!$D:$N,$G237+1,FALSE)-0.03)),2.5)," ")</f>
        <v> </v>
      </c>
      <c r="O237" s="135" t="str">
        <f>iferror(mround($P102*((VLOOKUP($J237,Sheet1!$D:$N,$G237+1,FALSE)+0.02)),2.5)," ")</f>
        <v> </v>
      </c>
      <c r="P237" s="112" t="str">
        <f>iferror(mround(I237/VLOOKUP(L237,Sheet1!$D$7:$N$16,G237+1,FALSE),2.5),"")</f>
        <v/>
      </c>
      <c r="Q237" s="303" t="str">
        <f t="shared" si="4"/>
        <v/>
      </c>
      <c r="R237" s="242"/>
      <c r="S237" s="11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</row>
    <row r="238" ht="3.75" customHeight="1">
      <c r="A238" s="191"/>
      <c r="B238" s="6"/>
      <c r="C238" s="192"/>
      <c r="D238" s="138"/>
      <c r="E238" s="245"/>
      <c r="F238" s="102"/>
      <c r="G238" s="102"/>
      <c r="H238" s="102"/>
      <c r="I238" s="102"/>
      <c r="J238" s="156"/>
      <c r="K238" s="243"/>
      <c r="L238" s="210"/>
      <c r="M238" s="144"/>
      <c r="N238" s="145"/>
      <c r="O238" s="145"/>
      <c r="P238" s="122"/>
      <c r="Q238" s="304" t="str">
        <f t="shared" si="4"/>
        <v/>
      </c>
      <c r="R238" s="242"/>
      <c r="S238" s="157"/>
      <c r="T238" s="5"/>
      <c r="U238" s="5"/>
      <c r="V238" s="158"/>
      <c r="W238" s="158"/>
      <c r="X238" s="158"/>
      <c r="Y238" s="158"/>
      <c r="Z238" s="158"/>
      <c r="AA238" s="158"/>
      <c r="AB238" s="158"/>
      <c r="AC238" s="158"/>
      <c r="AD238" s="158"/>
      <c r="AE238" s="158"/>
      <c r="AF238" s="158"/>
      <c r="AG238" s="158"/>
    </row>
    <row r="239" ht="15.75" customHeight="1">
      <c r="A239" s="90"/>
      <c r="B239" s="6"/>
      <c r="C239" s="90"/>
      <c r="D239" s="159" t="s">
        <v>99</v>
      </c>
      <c r="E239" s="246" t="s">
        <v>100</v>
      </c>
      <c r="F239" s="127">
        <v>3.0</v>
      </c>
      <c r="G239" s="221">
        <v>45577.0</v>
      </c>
      <c r="H239" s="195"/>
      <c r="I239" s="130"/>
      <c r="J239" s="228">
        <v>9.0</v>
      </c>
      <c r="K239" s="241"/>
      <c r="L239" s="130"/>
      <c r="M239" s="134" t="str">
        <f>I104</f>
        <v/>
      </c>
      <c r="N239" s="135" t="str">
        <f>iferror(mround($P104*((VLOOKUP($J239,Sheet1!$D:$N,$G239+1,FALSE)-0.03)),2.5)," ")</f>
        <v> </v>
      </c>
      <c r="O239" s="135" t="str">
        <f>iferror(mround($P104*((VLOOKUP($J239,Sheet1!$D:$N,$G239+1,FALSE)+0.02)),2.5)," ")</f>
        <v> </v>
      </c>
      <c r="P239" s="112" t="str">
        <f>iferror(mround(I239/VLOOKUP(L239,Sheet1!$D$7:$N$16,G239+1,FALSE),2.5),"")</f>
        <v/>
      </c>
      <c r="Q239" s="303" t="str">
        <f t="shared" si="4"/>
        <v/>
      </c>
      <c r="R239" s="242"/>
      <c r="S239" s="11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</row>
    <row r="240" ht="3.75" customHeight="1">
      <c r="A240" s="90"/>
      <c r="B240" s="6"/>
      <c r="C240" s="90"/>
      <c r="D240" s="138"/>
      <c r="E240" s="245"/>
      <c r="F240" s="102"/>
      <c r="G240" s="102"/>
      <c r="H240" s="102"/>
      <c r="I240" s="102"/>
      <c r="J240" s="156"/>
      <c r="K240" s="243"/>
      <c r="L240" s="210"/>
      <c r="M240" s="144"/>
      <c r="N240" s="145"/>
      <c r="O240" s="145"/>
      <c r="P240" s="122"/>
      <c r="Q240" s="304" t="str">
        <f t="shared" si="4"/>
        <v/>
      </c>
      <c r="R240" s="242"/>
      <c r="S240" s="11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</row>
    <row r="241" ht="15.75" hidden="1" customHeight="1">
      <c r="A241" s="90"/>
      <c r="B241" s="6"/>
      <c r="C241" s="90"/>
      <c r="D241" s="185"/>
      <c r="E241" s="227"/>
      <c r="F241" s="187"/>
      <c r="G241" s="229"/>
      <c r="H241" s="195"/>
      <c r="I241" s="247"/>
      <c r="J241" s="248"/>
      <c r="K241" s="241"/>
      <c r="L241" s="164"/>
      <c r="M241" s="134" t="str">
        <f>I106</f>
        <v/>
      </c>
      <c r="N241" s="135" t="str">
        <f>iferror(mround($P106*((VLOOKUP($J241,Sheet1!$D:$N,$G241+1,FALSE)-0.03)),2.5)," ")</f>
        <v> </v>
      </c>
      <c r="O241" s="135" t="str">
        <f>iferror(mround($P106*((VLOOKUP($J241,Sheet1!$D:$N,$G241+1,FALSE)+0.02)),2.5)," ")</f>
        <v> </v>
      </c>
      <c r="P241" s="112" t="str">
        <f>iferror(mround(I241/VLOOKUP(L241,Sheet1!$D$7:$N$16,G241+1,FALSE),2.5),"")</f>
        <v/>
      </c>
      <c r="Q241" s="303" t="str">
        <f t="shared" si="4"/>
        <v/>
      </c>
      <c r="R241" s="242"/>
      <c r="S241" s="11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</row>
    <row r="242" ht="3.75" hidden="1" customHeight="1">
      <c r="A242" s="90"/>
      <c r="B242" s="6"/>
      <c r="C242" s="90"/>
      <c r="D242" s="138"/>
      <c r="E242" s="215"/>
      <c r="F242" s="102"/>
      <c r="G242" s="102"/>
      <c r="H242" s="102"/>
      <c r="I242" s="102"/>
      <c r="J242" s="156"/>
      <c r="K242" s="243"/>
      <c r="L242" s="210"/>
      <c r="M242" s="144"/>
      <c r="N242" s="145"/>
      <c r="O242" s="145"/>
      <c r="P242" s="122"/>
      <c r="Q242" s="304" t="str">
        <f t="shared" si="4"/>
        <v/>
      </c>
      <c r="R242" s="242"/>
      <c r="S242" s="11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</row>
    <row r="243" ht="15.75" hidden="1" customHeight="1">
      <c r="A243" s="90"/>
      <c r="B243" s="6"/>
      <c r="C243" s="90"/>
      <c r="D243" s="185"/>
      <c r="E243" s="220"/>
      <c r="F243" s="187"/>
      <c r="G243" s="229"/>
      <c r="H243" s="195"/>
      <c r="I243" s="247"/>
      <c r="J243" s="248"/>
      <c r="K243" s="241"/>
      <c r="L243" s="164"/>
      <c r="M243" s="134" t="str">
        <f>I108</f>
        <v/>
      </c>
      <c r="N243" s="135" t="str">
        <f>iferror(mround($P108*((VLOOKUP($J243,Sheet1!$D:$N,$G243+1,FALSE)-0.03)),2.5)," ")</f>
        <v> </v>
      </c>
      <c r="O243" s="135" t="str">
        <f>iferror(mround($P108*((VLOOKUP($J243,Sheet1!$D:$N,$G243+1,FALSE)+0.02)),2.5)," ")</f>
        <v> </v>
      </c>
      <c r="P243" s="112" t="str">
        <f>iferror(mround(I243/VLOOKUP(L243,Sheet1!$D$7:$N$16,G243+1,FALSE),2.5),"")</f>
        <v/>
      </c>
      <c r="Q243" s="303" t="str">
        <f t="shared" si="4"/>
        <v/>
      </c>
      <c r="R243" s="242"/>
      <c r="S243" s="11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</row>
    <row r="244" ht="3.75" hidden="1" customHeight="1">
      <c r="A244" s="90"/>
      <c r="B244" s="6"/>
      <c r="C244" s="90"/>
      <c r="D244" s="196"/>
      <c r="E244" s="184"/>
      <c r="F244" s="102"/>
      <c r="G244" s="102"/>
      <c r="H244" s="102"/>
      <c r="I244" s="102"/>
      <c r="J244" s="156"/>
      <c r="K244" s="249"/>
      <c r="L244" s="210"/>
      <c r="M244" s="144"/>
      <c r="N244" s="145"/>
      <c r="O244" s="145"/>
      <c r="P244" s="122"/>
      <c r="Q244" s="304" t="str">
        <f t="shared" si="4"/>
        <v/>
      </c>
      <c r="R244" s="242"/>
      <c r="S244" s="11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</row>
    <row r="245" ht="15.75" hidden="1" customHeight="1">
      <c r="A245" s="90"/>
      <c r="B245" s="6"/>
      <c r="C245" s="90"/>
      <c r="D245" s="197"/>
      <c r="E245" s="250"/>
      <c r="F245" s="129"/>
      <c r="G245" s="199"/>
      <c r="H245" s="195"/>
      <c r="I245" s="247"/>
      <c r="J245" s="248"/>
      <c r="K245" s="251"/>
      <c r="L245" s="164"/>
      <c r="M245" s="134" t="str">
        <f>I110</f>
        <v/>
      </c>
      <c r="N245" s="135" t="str">
        <f>iferror(mround($P110*((VLOOKUP($J245,Sheet1!$D:$N,$G245+1,FALSE)-0.03)),2.5)," ")</f>
        <v> </v>
      </c>
      <c r="O245" s="135" t="str">
        <f>iferror(mround($P110*((VLOOKUP($J245,Sheet1!$D:$N,$G245+1,FALSE)+0.02)),2.5)," ")</f>
        <v> </v>
      </c>
      <c r="P245" s="112" t="str">
        <f>iferror(mround(I245/VLOOKUP(L245,Sheet1!$D$7:$N$16,G245+1,FALSE),2.5),"")</f>
        <v/>
      </c>
      <c r="Q245" s="303" t="str">
        <f t="shared" si="4"/>
        <v/>
      </c>
      <c r="R245" s="242"/>
      <c r="S245" s="11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</row>
    <row r="246" ht="3.75" hidden="1" customHeight="1">
      <c r="A246" s="90"/>
      <c r="B246" s="6"/>
      <c r="C246" s="90"/>
      <c r="D246" s="234"/>
      <c r="E246" s="184"/>
      <c r="F246" s="102"/>
      <c r="G246" s="102"/>
      <c r="H246" s="102"/>
      <c r="I246" s="102"/>
      <c r="J246" s="156"/>
      <c r="K246" s="249"/>
      <c r="L246" s="210"/>
      <c r="M246" s="144"/>
      <c r="N246" s="145"/>
      <c r="O246" s="145"/>
      <c r="P246" s="122"/>
      <c r="Q246" s="304" t="str">
        <f t="shared" si="4"/>
        <v/>
      </c>
      <c r="R246" s="242"/>
      <c r="S246" s="11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</row>
    <row r="247" ht="15.75" hidden="1" customHeight="1">
      <c r="A247" s="90"/>
      <c r="B247" s="6"/>
      <c r="C247" s="90"/>
      <c r="D247" s="197"/>
      <c r="E247" s="198"/>
      <c r="F247" s="129"/>
      <c r="G247" s="199"/>
      <c r="H247" s="195"/>
      <c r="I247" s="164"/>
      <c r="J247" s="248"/>
      <c r="K247" s="251"/>
      <c r="L247" s="164"/>
      <c r="M247" s="134" t="str">
        <f>I112</f>
        <v/>
      </c>
      <c r="N247" s="135" t="str">
        <f>iferror(mround($P112*((VLOOKUP($J247,Sheet1!$D:$N,$G247+1,FALSE)-0.03)),2.5)," ")</f>
        <v> </v>
      </c>
      <c r="O247" s="135" t="str">
        <f>iferror(mround($P112*((VLOOKUP($J247,Sheet1!$D:$N,$G247+1,FALSE)+0.02)),2.5)," ")</f>
        <v> </v>
      </c>
      <c r="P247" s="112" t="str">
        <f>iferror(mround(I247/VLOOKUP(L247,Sheet1!$D$7:$N$16,G247+1,FALSE),2.5),"")</f>
        <v/>
      </c>
      <c r="Q247" s="303" t="str">
        <f t="shared" si="4"/>
        <v/>
      </c>
      <c r="R247" s="242"/>
      <c r="S247" s="11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</row>
    <row r="248" ht="3.75" hidden="1" customHeight="1">
      <c r="A248" s="124"/>
      <c r="B248" s="6"/>
      <c r="C248" s="124"/>
      <c r="D248" s="252"/>
      <c r="E248" s="252"/>
      <c r="F248" s="102"/>
      <c r="G248" s="102"/>
      <c r="H248" s="102"/>
      <c r="I248" s="102"/>
      <c r="J248" s="156"/>
      <c r="K248" s="253"/>
      <c r="L248" s="201"/>
      <c r="M248" s="211"/>
      <c r="N248" s="47"/>
      <c r="O248" s="47"/>
      <c r="P248" s="122"/>
      <c r="Q248" s="304" t="str">
        <f t="shared" si="4"/>
        <v/>
      </c>
      <c r="R248" s="242"/>
      <c r="S248" s="11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</row>
    <row r="249" ht="30.75" hidden="1" customHeight="1">
      <c r="A249" s="90"/>
      <c r="B249" s="6"/>
      <c r="C249" s="90"/>
      <c r="D249" s="254" t="s">
        <v>57</v>
      </c>
      <c r="E249" s="255" t="s">
        <v>15</v>
      </c>
      <c r="F249" s="106" t="s">
        <v>16</v>
      </c>
      <c r="G249" s="106" t="s">
        <v>17</v>
      </c>
      <c r="H249" s="107"/>
      <c r="I249" s="106" t="s">
        <v>18</v>
      </c>
      <c r="J249" s="108" t="s">
        <v>19</v>
      </c>
      <c r="L249" s="109" t="s">
        <v>20</v>
      </c>
      <c r="M249" s="110" t="s">
        <v>21</v>
      </c>
      <c r="N249" s="111" t="s">
        <v>22</v>
      </c>
      <c r="P249" s="112"/>
      <c r="Q249" s="113" t="s">
        <v>23</v>
      </c>
      <c r="R249" s="256" t="s">
        <v>58</v>
      </c>
      <c r="S249" s="11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</row>
    <row r="250" ht="14.25" hidden="1" customHeight="1">
      <c r="A250" s="90"/>
      <c r="B250" s="6"/>
      <c r="C250" s="90"/>
      <c r="D250" s="257" t="s">
        <v>25</v>
      </c>
      <c r="E250" s="258" t="s">
        <v>26</v>
      </c>
      <c r="H250" s="107"/>
      <c r="N250" s="111" t="s">
        <v>27</v>
      </c>
      <c r="O250" s="111" t="s">
        <v>28</v>
      </c>
      <c r="P250" s="112" t="s">
        <v>29</v>
      </c>
      <c r="R250" s="118" t="s">
        <v>30</v>
      </c>
      <c r="S250" s="11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</row>
    <row r="251" ht="3.75" hidden="1" customHeight="1">
      <c r="A251" s="124"/>
      <c r="B251" s="6"/>
      <c r="C251" s="124"/>
      <c r="D251" s="252"/>
      <c r="E251" s="252"/>
      <c r="F251" s="102"/>
      <c r="G251" s="102"/>
      <c r="H251" s="102"/>
      <c r="I251" s="102"/>
      <c r="J251" s="156"/>
      <c r="K251" s="253"/>
      <c r="L251" s="201"/>
      <c r="M251" s="211"/>
      <c r="N251" s="47"/>
      <c r="O251" s="47"/>
      <c r="P251" s="122"/>
      <c r="Q251" s="304" t="str">
        <f t="shared" ref="Q251:Q274" si="5">IF(OR(ISBLANK(I251), ISBLANK(I116)), "", IF(I251 - I116 = 0, "", I251 - I116))</f>
        <v/>
      </c>
      <c r="R251" s="259"/>
      <c r="S251" s="11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</row>
    <row r="252" ht="14.25" hidden="1" customHeight="1">
      <c r="A252" s="124"/>
      <c r="B252" s="6"/>
      <c r="C252" s="124"/>
      <c r="D252" s="260"/>
      <c r="E252" s="126"/>
      <c r="F252" s="187"/>
      <c r="G252" s="229"/>
      <c r="H252" s="129"/>
      <c r="I252" s="164"/>
      <c r="J252" s="189"/>
      <c r="K252" s="251"/>
      <c r="L252" s="164"/>
      <c r="M252" s="134" t="str">
        <f>I119</f>
        <v/>
      </c>
      <c r="N252" s="135" t="str">
        <f>iferror(mround($P119*((VLOOKUP($J252,Sheet1!$D:$N,$G252+1,FALSE)-0.03)),2.5)," ")</f>
        <v> </v>
      </c>
      <c r="O252" s="135" t="str">
        <f>iferror(mround($P119*((VLOOKUP($J252,Sheet1!$D:$N,$G252+1,FALSE)+0.02)),2.5)," ")</f>
        <v> </v>
      </c>
      <c r="P252" s="56" t="str">
        <f>iferror(mround(I252/VLOOKUP(L252,Sheet1!$D$7:$N$16,G252+1,FALSE),2.5),"")</f>
        <v/>
      </c>
      <c r="Q252" s="303" t="str">
        <f t="shared" si="5"/>
        <v/>
      </c>
      <c r="S252" s="11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</row>
    <row r="253" ht="3.75" hidden="1" customHeight="1">
      <c r="A253" s="124"/>
      <c r="B253" s="6"/>
      <c r="C253" s="124"/>
      <c r="D253" s="138"/>
      <c r="E253" s="215"/>
      <c r="F253" s="102"/>
      <c r="G253" s="102"/>
      <c r="H253" s="102"/>
      <c r="I253" s="102"/>
      <c r="J253" s="156"/>
      <c r="K253" s="249"/>
      <c r="L253" s="210"/>
      <c r="M253" s="144"/>
      <c r="N253" s="145"/>
      <c r="O253" s="145"/>
      <c r="P253" s="122"/>
      <c r="Q253" s="304" t="str">
        <f t="shared" si="5"/>
        <v/>
      </c>
      <c r="S253" s="11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</row>
    <row r="254" ht="14.25" hidden="1" customHeight="1">
      <c r="A254" s="124"/>
      <c r="B254" s="6"/>
      <c r="C254" s="124"/>
      <c r="D254" s="185"/>
      <c r="E254" s="227"/>
      <c r="F254" s="187"/>
      <c r="G254" s="229"/>
      <c r="H254" s="195"/>
      <c r="I254" s="164"/>
      <c r="J254" s="248"/>
      <c r="K254" s="251"/>
      <c r="L254" s="164"/>
      <c r="M254" s="134" t="str">
        <f>I119</f>
        <v/>
      </c>
      <c r="N254" s="135" t="str">
        <f>iferror(mround($P119*((VLOOKUP($J254,Sheet1!$D:$N,$G254+1,FALSE)-0.03)),2.5)," ")</f>
        <v> </v>
      </c>
      <c r="O254" s="135" t="str">
        <f>iferror(mround($P119*((VLOOKUP($J254,Sheet1!$D:$N,$G254+1,FALSE)+0.02)),2.5)," ")</f>
        <v> </v>
      </c>
      <c r="P254" s="112" t="str">
        <f>iferror(mround(I254/VLOOKUP(L254,Sheet1!$D$7:$N$16,G254+1,FALSE),2.5),"")</f>
        <v/>
      </c>
      <c r="Q254" s="303" t="str">
        <f t="shared" si="5"/>
        <v/>
      </c>
      <c r="S254" s="11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</row>
    <row r="255" ht="3.75" hidden="1" customHeight="1">
      <c r="A255" s="124"/>
      <c r="B255" s="6"/>
      <c r="C255" s="124"/>
      <c r="D255" s="138"/>
      <c r="E255" s="245"/>
      <c r="F255" s="102"/>
      <c r="G255" s="102"/>
      <c r="H255" s="102"/>
      <c r="I255" s="102"/>
      <c r="J255" s="156"/>
      <c r="K255" s="249"/>
      <c r="L255" s="210"/>
      <c r="M255" s="144"/>
      <c r="N255" s="145"/>
      <c r="O255" s="145"/>
      <c r="P255" s="122"/>
      <c r="Q255" s="304" t="str">
        <f t="shared" si="5"/>
        <v/>
      </c>
      <c r="S255" s="11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</row>
    <row r="256" ht="14.25" hidden="1" customHeight="1">
      <c r="A256" s="124"/>
      <c r="B256" s="6"/>
      <c r="C256" s="124"/>
      <c r="D256" s="185"/>
      <c r="E256" s="227"/>
      <c r="F256" s="187"/>
      <c r="G256" s="229"/>
      <c r="H256" s="195"/>
      <c r="I256" s="164"/>
      <c r="J256" s="248"/>
      <c r="K256" s="251"/>
      <c r="L256" s="164"/>
      <c r="M256" s="134" t="str">
        <f>I121</f>
        <v/>
      </c>
      <c r="N256" s="135" t="str">
        <f>iferror(mround($P121*((VLOOKUP($J256,Sheet1!$D:$N,$G256+1,FALSE)-0.03)),2.5)," ")</f>
        <v> </v>
      </c>
      <c r="O256" s="135" t="str">
        <f>iferror(mround($P121*((VLOOKUP($J256,Sheet1!$D:$N,$G256+1,FALSE)+0.02)),2.5)," ")</f>
        <v> </v>
      </c>
      <c r="P256" s="112" t="str">
        <f>iferror(mround(I256/VLOOKUP(L256,Sheet1!$D$7:$N$16,G256+1,FALSE),2.5),"")</f>
        <v/>
      </c>
      <c r="Q256" s="303" t="str">
        <f t="shared" si="5"/>
        <v/>
      </c>
      <c r="S256" s="11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</row>
    <row r="257" ht="3.75" hidden="1" customHeight="1">
      <c r="A257" s="124"/>
      <c r="B257" s="6"/>
      <c r="C257" s="124"/>
      <c r="D257" s="138"/>
      <c r="E257" s="245"/>
      <c r="F257" s="102"/>
      <c r="G257" s="102"/>
      <c r="H257" s="102"/>
      <c r="I257" s="102"/>
      <c r="J257" s="156"/>
      <c r="K257" s="249"/>
      <c r="L257" s="210"/>
      <c r="M257" s="144"/>
      <c r="N257" s="145"/>
      <c r="O257" s="145"/>
      <c r="P257" s="122"/>
      <c r="Q257" s="304" t="str">
        <f t="shared" si="5"/>
        <v/>
      </c>
      <c r="S257" s="11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</row>
    <row r="258" ht="14.25" hidden="1" customHeight="1">
      <c r="A258" s="124"/>
      <c r="B258" s="6"/>
      <c r="C258" s="124"/>
      <c r="D258" s="185"/>
      <c r="E258" s="227"/>
      <c r="F258" s="187"/>
      <c r="G258" s="229"/>
      <c r="H258" s="195"/>
      <c r="I258" s="164"/>
      <c r="J258" s="248"/>
      <c r="K258" s="251"/>
      <c r="L258" s="164"/>
      <c r="M258" s="134"/>
      <c r="N258" s="135" t="str">
        <f>iferror(mround($P123*((VLOOKUP($J258,Sheet1!$D:$N,$G258+1,FALSE)-0.03)),2.5)," ")</f>
        <v> </v>
      </c>
      <c r="O258" s="135" t="str">
        <f>iferror(mround($P123*((VLOOKUP($J258,Sheet1!$D:$N,$G258+1,FALSE)+0.02)),2.5)," ")</f>
        <v> </v>
      </c>
      <c r="P258" s="112" t="str">
        <f>iferror(mround(I258/VLOOKUP(L258,Sheet1!$D$7:$N$16,G258+1,FALSE),2.5),"")</f>
        <v/>
      </c>
      <c r="Q258" s="303" t="str">
        <f t="shared" si="5"/>
        <v/>
      </c>
      <c r="S258" s="11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</row>
    <row r="259" ht="3.75" hidden="1" customHeight="1">
      <c r="A259" s="124"/>
      <c r="B259" s="6"/>
      <c r="C259" s="124"/>
      <c r="D259" s="138"/>
      <c r="E259" s="245"/>
      <c r="F259" s="102"/>
      <c r="G259" s="102"/>
      <c r="H259" s="102"/>
      <c r="I259" s="102"/>
      <c r="J259" s="156"/>
      <c r="K259" s="249"/>
      <c r="L259" s="210"/>
      <c r="M259" s="144"/>
      <c r="N259" s="145" t="str">
        <f>iferror(mround($P124*((VLOOKUP($J259,Sheet1!$D:$N,$G259+1,FALSE)-0.03)),2.5)," ")</f>
        <v> </v>
      </c>
      <c r="O259" s="145" t="str">
        <f>iferror(mround($P124*((VLOOKUP($J259,Sheet1!$D:$N,$G259+1,FALSE)+0.02)),2.5)," ")</f>
        <v> </v>
      </c>
      <c r="P259" s="122"/>
      <c r="Q259" s="304" t="str">
        <f t="shared" si="5"/>
        <v/>
      </c>
      <c r="S259" s="11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</row>
    <row r="260" ht="14.25" hidden="1" customHeight="1">
      <c r="A260" s="124"/>
      <c r="B260" s="6"/>
      <c r="C260" s="124"/>
      <c r="D260" s="185"/>
      <c r="E260" s="227"/>
      <c r="F260" s="187"/>
      <c r="G260" s="187"/>
      <c r="H260" s="195"/>
      <c r="I260" s="164"/>
      <c r="J260" s="248"/>
      <c r="K260" s="251"/>
      <c r="L260" s="164"/>
      <c r="M260" s="134" t="str">
        <f>I125</f>
        <v/>
      </c>
      <c r="N260" s="135" t="str">
        <f>iferror(mround($P125*((VLOOKUP($J260,Sheet1!$D:$N,$G260+1,FALSE)-0.03)),2.5)," ")</f>
        <v> </v>
      </c>
      <c r="O260" s="135" t="str">
        <f>iferror(mround($P125*((VLOOKUP($J260,Sheet1!$D:$N,$G260+1,FALSE)+0.02)),2.5)," ")</f>
        <v> </v>
      </c>
      <c r="P260" s="112" t="str">
        <f>iferror(mround(I260/VLOOKUP(L260,Sheet1!$D$7:$N$16,G260+1,FALSE),2.5),"")</f>
        <v/>
      </c>
      <c r="Q260" s="303" t="str">
        <f t="shared" si="5"/>
        <v/>
      </c>
      <c r="S260" s="11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</row>
    <row r="261" ht="3.75" hidden="1" customHeight="1">
      <c r="A261" s="261"/>
      <c r="B261" s="6"/>
      <c r="C261" s="262"/>
      <c r="D261" s="138"/>
      <c r="E261" s="245"/>
      <c r="F261" s="102"/>
      <c r="G261" s="102"/>
      <c r="H261" s="102"/>
      <c r="I261" s="102"/>
      <c r="J261" s="156"/>
      <c r="K261" s="249"/>
      <c r="L261" s="210"/>
      <c r="M261" s="144"/>
      <c r="N261" s="145"/>
      <c r="O261" s="145"/>
      <c r="P261" s="122"/>
      <c r="Q261" s="304" t="str">
        <f t="shared" si="5"/>
        <v/>
      </c>
      <c r="S261" s="157"/>
      <c r="T261" s="5"/>
      <c r="U261" s="5"/>
      <c r="V261" s="158"/>
      <c r="W261" s="158"/>
      <c r="X261" s="158"/>
      <c r="Y261" s="158"/>
      <c r="Z261" s="158"/>
      <c r="AA261" s="158"/>
      <c r="AB261" s="158"/>
      <c r="AC261" s="158"/>
      <c r="AD261" s="158"/>
      <c r="AE261" s="158"/>
      <c r="AF261" s="158"/>
      <c r="AG261" s="158"/>
    </row>
    <row r="262" ht="14.25" hidden="1" customHeight="1">
      <c r="A262" s="124"/>
      <c r="B262" s="6"/>
      <c r="C262" s="124"/>
      <c r="D262" s="185"/>
      <c r="E262" s="227"/>
      <c r="F262" s="187"/>
      <c r="G262" s="187"/>
      <c r="H262" s="195"/>
      <c r="I262" s="164"/>
      <c r="J262" s="248"/>
      <c r="K262" s="251"/>
      <c r="L262" s="164"/>
      <c r="M262" s="134" t="str">
        <f>I127</f>
        <v/>
      </c>
      <c r="N262" s="135" t="str">
        <f>iferror(mround($P127*((VLOOKUP($J262,Sheet1!$D:$N,$G262+1,FALSE)-0.03)),2.5)," ")</f>
        <v> </v>
      </c>
      <c r="O262" s="135" t="str">
        <f>iferror(mround($P127*((VLOOKUP($J262,Sheet1!$D:$N,$G262+1,FALSE)+0.02)),2.5)," ")</f>
        <v> </v>
      </c>
      <c r="P262" s="112" t="str">
        <f>iferror(mround(I262/VLOOKUP(L262,Sheet1!$D$7:$N$16,G262+1,FALSE),2.5),"")</f>
        <v/>
      </c>
      <c r="Q262" s="303" t="str">
        <f t="shared" si="5"/>
        <v/>
      </c>
      <c r="S262" s="11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</row>
    <row r="263" ht="3.75" hidden="1" customHeight="1">
      <c r="A263" s="261"/>
      <c r="B263" s="6"/>
      <c r="C263" s="262"/>
      <c r="D263" s="138"/>
      <c r="E263" s="252"/>
      <c r="F263" s="102"/>
      <c r="G263" s="102"/>
      <c r="H263" s="102"/>
      <c r="I263" s="102"/>
      <c r="J263" s="156"/>
      <c r="K263" s="249"/>
      <c r="L263" s="210"/>
      <c r="M263" s="144"/>
      <c r="N263" s="145"/>
      <c r="O263" s="145"/>
      <c r="P263" s="122"/>
      <c r="Q263" s="304" t="str">
        <f t="shared" si="5"/>
        <v/>
      </c>
      <c r="S263" s="157"/>
      <c r="T263" s="5"/>
      <c r="U263" s="5"/>
      <c r="V263" s="158"/>
      <c r="W263" s="158"/>
      <c r="X263" s="158"/>
      <c r="Y263" s="158"/>
      <c r="Z263" s="158"/>
      <c r="AA263" s="158"/>
      <c r="AB263" s="158"/>
      <c r="AC263" s="158"/>
      <c r="AD263" s="158"/>
      <c r="AE263" s="158"/>
      <c r="AF263" s="158"/>
      <c r="AG263" s="158"/>
    </row>
    <row r="264" ht="15.75" hidden="1" customHeight="1">
      <c r="A264" s="124"/>
      <c r="B264" s="6"/>
      <c r="C264" s="124"/>
      <c r="D264" s="185"/>
      <c r="E264" s="260"/>
      <c r="F264" s="187"/>
      <c r="G264" s="187"/>
      <c r="H264" s="195"/>
      <c r="I264" s="247"/>
      <c r="J264" s="248"/>
      <c r="K264" s="251"/>
      <c r="L264" s="164"/>
      <c r="M264" s="134"/>
      <c r="N264" s="135" t="str">
        <f>iferror(mround($P129*((VLOOKUP($J264,Sheet1!$D:$N,$G264+1,FALSE)-0.03)),2.5)," ")</f>
        <v> </v>
      </c>
      <c r="O264" s="135" t="str">
        <f>iferror(mround($P129*((VLOOKUP($J264,Sheet1!$D:$N,$G264+1,FALSE)+0.02)),2.5)," ")</f>
        <v> </v>
      </c>
      <c r="P264" s="112" t="str">
        <f>iferror(mround(I264/VLOOKUP(L264,Sheet1!$D$7:$N$16,G264+1,FALSE),2.5),"")</f>
        <v/>
      </c>
      <c r="Q264" s="303" t="str">
        <f t="shared" si="5"/>
        <v/>
      </c>
      <c r="S264" s="11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</row>
    <row r="265" ht="3.75" hidden="1" customHeight="1">
      <c r="A265" s="124"/>
      <c r="B265" s="6"/>
      <c r="C265" s="124"/>
      <c r="D265" s="263"/>
      <c r="E265" s="252"/>
      <c r="F265" s="102"/>
      <c r="G265" s="102"/>
      <c r="H265" s="102"/>
      <c r="I265" s="102"/>
      <c r="J265" s="156"/>
      <c r="K265" s="249"/>
      <c r="L265" s="210"/>
      <c r="M265" s="144"/>
      <c r="N265" s="145" t="str">
        <f>iferror(mround($P130*((VLOOKUP($J265,Sheet1!$D:$N,$G265+1,FALSE)-0.03)),2.5)," ")</f>
        <v> </v>
      </c>
      <c r="O265" s="145" t="str">
        <f>iferror(mround($P130*((VLOOKUP($J265,Sheet1!$D:$N,$G265+1,FALSE)+0.02)),2.5)," ")</f>
        <v> </v>
      </c>
      <c r="P265" s="122"/>
      <c r="Q265" s="304" t="str">
        <f t="shared" si="5"/>
        <v/>
      </c>
      <c r="S265" s="11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</row>
    <row r="266" ht="14.25" hidden="1" customHeight="1">
      <c r="A266" s="90"/>
      <c r="B266" s="6"/>
      <c r="C266" s="90"/>
      <c r="D266" s="185"/>
      <c r="E266" s="264"/>
      <c r="F266" s="187"/>
      <c r="G266" s="187"/>
      <c r="H266" s="195"/>
      <c r="I266" s="164"/>
      <c r="J266" s="248"/>
      <c r="K266" s="251"/>
      <c r="L266" s="164"/>
      <c r="M266" s="134" t="str">
        <f>I131</f>
        <v/>
      </c>
      <c r="N266" s="135" t="str">
        <f>iferror(mround($P131*((VLOOKUP($J266,Sheet1!$D:$N,$G266+1,FALSE)-0.03)),2.5)," ")</f>
        <v> </v>
      </c>
      <c r="O266" s="135" t="str">
        <f>iferror(mround($P131*((VLOOKUP($J266,Sheet1!$D:$N,$G266+1,FALSE)+0.02)),2.5)," ")</f>
        <v> </v>
      </c>
      <c r="P266" s="112" t="str">
        <f>iferror(mround(I266/VLOOKUP(L266,Sheet1!$D$7:$N$16,G266+1,FALSE),2.5),"")</f>
        <v/>
      </c>
      <c r="Q266" s="303" t="str">
        <f t="shared" si="5"/>
        <v/>
      </c>
      <c r="S266" s="11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</row>
    <row r="267" ht="3.75" hidden="1" customHeight="1">
      <c r="A267" s="261"/>
      <c r="B267" s="6"/>
      <c r="C267" s="262"/>
      <c r="D267" s="263"/>
      <c r="E267" s="263"/>
      <c r="F267" s="194"/>
      <c r="G267" s="194"/>
      <c r="H267" s="155"/>
      <c r="I267" s="210"/>
      <c r="J267" s="265"/>
      <c r="K267" s="249"/>
      <c r="L267" s="210"/>
      <c r="M267" s="144"/>
      <c r="N267" s="145"/>
      <c r="O267" s="145"/>
      <c r="P267" s="122"/>
      <c r="Q267" s="304" t="str">
        <f t="shared" si="5"/>
        <v/>
      </c>
      <c r="S267" s="157"/>
      <c r="T267" s="5"/>
      <c r="U267" s="5"/>
      <c r="V267" s="158"/>
      <c r="W267" s="158"/>
      <c r="X267" s="158"/>
      <c r="Y267" s="158"/>
      <c r="Z267" s="158"/>
      <c r="AA267" s="158"/>
      <c r="AB267" s="158"/>
      <c r="AC267" s="158"/>
      <c r="AD267" s="158"/>
      <c r="AE267" s="158"/>
      <c r="AF267" s="158"/>
      <c r="AG267" s="158"/>
    </row>
    <row r="268" ht="15.75" hidden="1" customHeight="1">
      <c r="A268" s="90"/>
      <c r="B268" s="6"/>
      <c r="C268" s="90"/>
      <c r="D268" s="185"/>
      <c r="E268" s="266"/>
      <c r="F268" s="187"/>
      <c r="G268" s="187"/>
      <c r="H268" s="195"/>
      <c r="I268" s="164"/>
      <c r="J268" s="248"/>
      <c r="K268" s="251"/>
      <c r="L268" s="164"/>
      <c r="M268" s="134"/>
      <c r="N268" s="135" t="str">
        <f>iferror(mround($P133*((VLOOKUP($J268,Sheet1!$D:$N,$G268+1,FALSE)-0.03)),2.5)," ")</f>
        <v> </v>
      </c>
      <c r="O268" s="135" t="str">
        <f>iferror(mround($P133*((VLOOKUP($J268,Sheet1!$D:$N,$G268+1,FALSE)+0.02)),2.5)," ")</f>
        <v> </v>
      </c>
      <c r="P268" s="112" t="str">
        <f>iferror(mround(I268/VLOOKUP(L268,Sheet1!$D$7:$N$16,G268+1,FALSE),2.5),"")</f>
        <v/>
      </c>
      <c r="Q268" s="303" t="str">
        <f t="shared" si="5"/>
        <v/>
      </c>
      <c r="S268" s="11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</row>
    <row r="269" ht="3.75" hidden="1" customHeight="1">
      <c r="A269" s="90"/>
      <c r="B269" s="6"/>
      <c r="C269" s="90"/>
      <c r="D269" s="138"/>
      <c r="E269" s="252"/>
      <c r="F269" s="102"/>
      <c r="G269" s="102"/>
      <c r="H269" s="102"/>
      <c r="I269" s="102"/>
      <c r="J269" s="156"/>
      <c r="K269" s="249"/>
      <c r="L269" s="210"/>
      <c r="M269" s="144"/>
      <c r="N269" s="145" t="str">
        <f>iferror(mround($P134*((VLOOKUP($J269,Sheet1!$D:$N,$G269+1,FALSE)-0.03)),2.5)," ")</f>
        <v> </v>
      </c>
      <c r="O269" s="145" t="str">
        <f>iferror(mround($P134*((VLOOKUP($J269,Sheet1!$D:$N,$G269+1,FALSE)+0.02)),2.5)," ")</f>
        <v> </v>
      </c>
      <c r="P269" s="122"/>
      <c r="Q269" s="304" t="str">
        <f t="shared" si="5"/>
        <v/>
      </c>
      <c r="S269" s="11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</row>
    <row r="270" ht="15.75" hidden="1" customHeight="1">
      <c r="A270" s="90"/>
      <c r="B270" s="6"/>
      <c r="C270" s="90"/>
      <c r="D270" s="185"/>
      <c r="E270" s="264"/>
      <c r="F270" s="187"/>
      <c r="G270" s="187"/>
      <c r="H270" s="195"/>
      <c r="I270" s="164"/>
      <c r="J270" s="248"/>
      <c r="K270" s="251"/>
      <c r="L270" s="164"/>
      <c r="M270" s="134" t="str">
        <f>I135</f>
        <v/>
      </c>
      <c r="N270" s="135" t="str">
        <f>iferror(mround($P135*((VLOOKUP($J270,Sheet1!$D:$N,$G270+1,FALSE)-0.03)),2.5)," ")</f>
        <v> </v>
      </c>
      <c r="O270" s="135" t="str">
        <f>iferror(mround($P135*((VLOOKUP($J270,Sheet1!$D:$N,$G270+1,FALSE)+0.02)),2.5)," ")</f>
        <v> </v>
      </c>
      <c r="P270" s="112" t="str">
        <f>iferror(mround(I270/VLOOKUP(L270,Sheet1!$D$7:$N$16,G270+1,FALSE),2.5),"")</f>
        <v/>
      </c>
      <c r="Q270" s="303" t="str">
        <f t="shared" si="5"/>
        <v/>
      </c>
      <c r="S270" s="11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</row>
    <row r="271" ht="3.75" hidden="1" customHeight="1">
      <c r="A271" s="191"/>
      <c r="B271" s="6"/>
      <c r="C271" s="192"/>
      <c r="D271" s="138"/>
      <c r="E271" s="252"/>
      <c r="F271" s="102"/>
      <c r="G271" s="102"/>
      <c r="H271" s="102"/>
      <c r="I271" s="102"/>
      <c r="J271" s="156"/>
      <c r="K271" s="249"/>
      <c r="L271" s="210"/>
      <c r="M271" s="144"/>
      <c r="N271" s="145"/>
      <c r="O271" s="145"/>
      <c r="P271" s="122"/>
      <c r="Q271" s="304" t="str">
        <f t="shared" si="5"/>
        <v/>
      </c>
      <c r="S271" s="157"/>
      <c r="T271" s="5"/>
      <c r="U271" s="5"/>
      <c r="V271" s="158"/>
      <c r="W271" s="158"/>
      <c r="X271" s="158"/>
      <c r="Y271" s="158"/>
      <c r="Z271" s="158"/>
      <c r="AA271" s="158"/>
      <c r="AB271" s="158"/>
      <c r="AC271" s="158"/>
      <c r="AD271" s="158"/>
      <c r="AE271" s="158"/>
      <c r="AF271" s="158"/>
      <c r="AG271" s="158"/>
    </row>
    <row r="272" ht="15.75" hidden="1" customHeight="1">
      <c r="A272" s="90"/>
      <c r="B272" s="6"/>
      <c r="C272" s="90"/>
      <c r="D272" s="185"/>
      <c r="E272" s="260"/>
      <c r="F272" s="187"/>
      <c r="G272" s="187"/>
      <c r="H272" s="195"/>
      <c r="I272" s="164"/>
      <c r="J272" s="248"/>
      <c r="K272" s="251"/>
      <c r="L272" s="164"/>
      <c r="M272" s="134" t="str">
        <f>I137</f>
        <v/>
      </c>
      <c r="N272" s="135" t="str">
        <f>iferror(mround($P137*((VLOOKUP($J272,Sheet1!$D:$N,$G272+1,FALSE)-0.03)),2.5)," ")</f>
        <v> </v>
      </c>
      <c r="O272" s="135" t="str">
        <f>iferror(mround($P137*((VLOOKUP($J272,Sheet1!$D:$N,$G272+1,FALSE)+0.02)),2.5)," ")</f>
        <v> </v>
      </c>
      <c r="P272" s="112" t="str">
        <f>iferror(mround(I272/VLOOKUP(L272,Sheet1!$D$7:$N$16,G272+1,FALSE),2.5),"")</f>
        <v/>
      </c>
      <c r="Q272" s="303" t="str">
        <f t="shared" si="5"/>
        <v/>
      </c>
      <c r="S272" s="11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</row>
    <row r="273" ht="3.75" hidden="1" customHeight="1">
      <c r="A273" s="90"/>
      <c r="B273" s="6"/>
      <c r="C273" s="90"/>
      <c r="D273" s="263"/>
      <c r="E273" s="252"/>
      <c r="F273" s="102"/>
      <c r="G273" s="102"/>
      <c r="H273" s="102"/>
      <c r="I273" s="102"/>
      <c r="J273" s="156"/>
      <c r="K273" s="249"/>
      <c r="L273" s="210"/>
      <c r="M273" s="144"/>
      <c r="N273" s="145"/>
      <c r="O273" s="145"/>
      <c r="P273" s="122"/>
      <c r="Q273" s="304" t="str">
        <f t="shared" si="5"/>
        <v/>
      </c>
      <c r="S273" s="11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</row>
    <row r="274" ht="15.75" hidden="1" customHeight="1">
      <c r="A274" s="90"/>
      <c r="B274" s="6"/>
      <c r="C274" s="90"/>
      <c r="D274" s="185"/>
      <c r="E274" s="266"/>
      <c r="F274" s="187"/>
      <c r="G274" s="187"/>
      <c r="H274" s="195"/>
      <c r="I274" s="164"/>
      <c r="J274" s="248"/>
      <c r="K274" s="251"/>
      <c r="L274" s="164"/>
      <c r="M274" s="134" t="str">
        <f>I139</f>
        <v/>
      </c>
      <c r="N274" s="135" t="str">
        <f>iferror(mround($P139*((VLOOKUP($J274,Sheet1!$D:$N,$G274+1,FALSE)-0.03)),2.5)," ")</f>
        <v> </v>
      </c>
      <c r="O274" s="135" t="str">
        <f>iferror(mround($P139*((VLOOKUP($J274,Sheet1!$D:$N,$G274+1,FALSE)+0.02)),2.5)," ")</f>
        <v> </v>
      </c>
      <c r="P274" s="112" t="str">
        <f>iferror(mround(I274/VLOOKUP(L274,Sheet1!$D$7:$N$16,G274+1,FALSE),2.5),"")</f>
        <v/>
      </c>
      <c r="Q274" s="303" t="str">
        <f t="shared" si="5"/>
        <v/>
      </c>
      <c r="S274" s="11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</row>
    <row r="275" ht="3.75" customHeight="1">
      <c r="A275" s="191"/>
      <c r="B275" s="6"/>
      <c r="C275" s="192"/>
      <c r="D275" s="192"/>
      <c r="E275" s="267"/>
      <c r="F275" s="194"/>
      <c r="G275" s="194"/>
      <c r="H275" s="155"/>
      <c r="I275" s="210"/>
      <c r="J275" s="268"/>
      <c r="K275" s="249"/>
      <c r="L275" s="269"/>
      <c r="M275" s="270"/>
      <c r="N275" s="269"/>
      <c r="O275" s="269"/>
      <c r="P275" s="271"/>
      <c r="Q275" s="272"/>
      <c r="R275" s="273"/>
      <c r="S275" s="157"/>
      <c r="T275" s="5"/>
      <c r="U275" s="5"/>
      <c r="V275" s="158"/>
      <c r="W275" s="158"/>
      <c r="X275" s="158"/>
      <c r="Y275" s="158"/>
      <c r="Z275" s="158"/>
      <c r="AA275" s="158"/>
      <c r="AB275" s="158"/>
      <c r="AC275" s="158"/>
      <c r="AD275" s="158"/>
      <c r="AE275" s="158"/>
      <c r="AF275" s="158"/>
      <c r="AG275" s="158"/>
    </row>
    <row r="276" ht="14.25" customHeight="1">
      <c r="A276" s="5"/>
      <c r="B276" s="6"/>
      <c r="C276" s="5"/>
      <c r="D276" s="274"/>
      <c r="E276" s="266"/>
      <c r="F276" s="187"/>
      <c r="G276" s="187"/>
      <c r="H276" s="195"/>
      <c r="I276" s="129"/>
      <c r="J276" s="275"/>
      <c r="K276" s="276"/>
      <c r="L276" s="187"/>
      <c r="M276" s="187"/>
      <c r="N276" s="187"/>
      <c r="O276" s="187"/>
      <c r="P276" s="277"/>
      <c r="Q276" s="278"/>
      <c r="R276" s="279"/>
      <c r="S276" s="11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</row>
    <row r="277" ht="14.25" customHeight="1">
      <c r="A277" s="5"/>
      <c r="B277" s="6"/>
      <c r="C277" s="5"/>
      <c r="D277" s="274" t="s">
        <v>59</v>
      </c>
      <c r="E277" s="266" t="s">
        <v>16</v>
      </c>
      <c r="F277" s="187" t="s">
        <v>17</v>
      </c>
      <c r="G277" s="187" t="s">
        <v>60</v>
      </c>
      <c r="H277" s="187"/>
      <c r="I277" s="280" t="s">
        <v>61</v>
      </c>
      <c r="J277" s="266" t="s">
        <v>62</v>
      </c>
      <c r="K277" s="274"/>
      <c r="L277" s="187"/>
      <c r="M277" s="285"/>
      <c r="N277" s="285"/>
      <c r="O277" s="285"/>
      <c r="P277" s="282"/>
      <c r="Q277" s="278"/>
      <c r="R277" s="157"/>
      <c r="S277" s="11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</row>
    <row r="278" ht="14.25" customHeight="1">
      <c r="A278" s="5"/>
      <c r="B278" s="6"/>
      <c r="C278" s="5"/>
      <c r="D278" s="274" t="s">
        <v>6</v>
      </c>
      <c r="E278" s="283">
        <f>IFERROR(__xludf.DUMMYFUNCTION("SUM(FILTER(F153:F277, ISNUMBER(SEARCH(""squat"", D153:D277))))"),8.0)</f>
        <v>8</v>
      </c>
      <c r="F278" s="284">
        <f>IFERROR(__xludf.DUMMYFUNCTION("SUMPRODUCT(FILTER(F153:F277 * G153:G277, ISNUMBER(SEARCH(""squat"", D153:D277))))"),42.0)</f>
        <v>42</v>
      </c>
      <c r="G278" s="135">
        <f>IFERROR(__xludf.DUMMYFUNCTION("ROUND(SUMPRODUCT(FILTER(F153:F277 * G153:G277 * I153:I277, ISNUMBER(SEARCH(""squat"", D153:D277)))), 0)"),15536.0)</f>
        <v>15536</v>
      </c>
      <c r="H278" s="285"/>
      <c r="I278" s="135">
        <f>IFERROR(__xludf.DUMMYFUNCTION("ROUND(AVERAGE(FILTER(I153:I277, ISNUMBER(SEARCH(""squat"", D153:D277)), I153:I277 &lt;&gt; """")) / J278 * 100, 0)"),74.0)</f>
        <v>74</v>
      </c>
      <c r="J278" s="283">
        <f>IFERROR(__xludf.DUMMYFUNCTION("IFERROR(MROUND(AVERAGE(FILTER(P153:P277, D153:D277 = ""comp squat"", P153:P277 &lt;&gt; """", P153:P277 &gt;= 0.9 * MAX(FILTER(P153:P277, D153:D277 = ""comp squat"", P153:P277 &lt;&gt; """")), P153:P277 &lt;= 1.1 * MAX(FILTER(P153:P277, D153:D277 = ""comp squat"", P153:P27"&amp;"7 &lt;&gt; """")))), 2.5), ""No valid data"")"),515.0)</f>
        <v>515</v>
      </c>
      <c r="K278" s="286"/>
      <c r="L278" s="287">
        <f>MROUND(J278/2.2046,2.5)-$O$10</f>
        <v>-10</v>
      </c>
      <c r="M278" s="305"/>
      <c r="N278" s="305"/>
      <c r="O278" s="305"/>
      <c r="P278" s="282"/>
      <c r="Q278" s="278"/>
      <c r="R278" s="291"/>
      <c r="S278" s="11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</row>
    <row r="279" ht="3.0" customHeight="1">
      <c r="A279" s="5"/>
      <c r="B279" s="6"/>
      <c r="C279" s="5"/>
      <c r="D279" s="90"/>
      <c r="E279" s="156"/>
      <c r="F279" s="102"/>
      <c r="G279" s="145"/>
      <c r="H279" s="102"/>
      <c r="I279" s="145"/>
      <c r="J279" s="156"/>
      <c r="K279" s="286"/>
      <c r="L279" s="292"/>
      <c r="M279" s="284"/>
      <c r="N279" s="284"/>
      <c r="O279" s="305"/>
      <c r="P279" s="282"/>
      <c r="Q279" s="278"/>
      <c r="R279" s="115"/>
      <c r="S279" s="11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</row>
    <row r="280" ht="15.75" customHeight="1">
      <c r="A280" s="5"/>
      <c r="B280" s="6"/>
      <c r="C280" s="5"/>
      <c r="D280" s="274" t="s">
        <v>66</v>
      </c>
      <c r="E280" s="293">
        <f>IFERROR(__xludf.DUMMYFUNCTION("SUM(FILTER(F153:F277, ISNUMBER(SEARCH(""bench press"", D153:D277))))"),19.0)</f>
        <v>19</v>
      </c>
      <c r="F280" s="284">
        <f>IFERROR(__xludf.DUMMYFUNCTION("SUMPRODUCT(FILTER(F154:F278 * G154:G278, ISNUMBER(SEARCH(""bench press"", D154:D278))))"),69.0)</f>
        <v>69</v>
      </c>
      <c r="G280" s="135">
        <f>IFERROR(__xludf.DUMMYFUNCTION("ROUND(SUMPRODUCT(FILTER(F153:F277 * G153:G277 * I153:I277, ISNUMBER(SEARCH(""bench press"", D153:D277)))), 0)"),17977.0)</f>
        <v>17977</v>
      </c>
      <c r="H280" s="285"/>
      <c r="I280" s="135">
        <f>IFERROR(__xludf.DUMMYFUNCTION("ROUND(AVERAGE(FILTER(I153:I277, ISNUMBER(SEARCH(""bench press"", D153:D277)), I153:I277 &lt;&gt; """")) / J280 * 100, 0)"),81.0)</f>
        <v>81</v>
      </c>
      <c r="J280" s="293">
        <f>IFERROR(__xludf.DUMMYFUNCTION("IFERROR(MROUND(AVERAGE(FILTER(P153:P277, D153:D277 = ""comp bench press"", P153:P277 &lt;&gt; """", P153:P277 &gt;= 0.9 * MAX(FILTER(P153:P277, D153:D277 = ""comp bench press"", P153:P277 &lt;&gt; """")), P153:P277 &lt;= 1.1 * MAX(FILTER(P153:P277, D153:D277 = ""comp bench"&amp;" press"", P153:P277 &lt;&gt; """")))), 2.5), ""No valid data"")"),335.0)</f>
        <v>335</v>
      </c>
      <c r="K280" s="286"/>
      <c r="L280" s="294">
        <f>MROUND(J280/2.2046,2.5)-$O$11</f>
        <v>0</v>
      </c>
      <c r="M280" s="285"/>
      <c r="N280" s="285"/>
      <c r="O280" s="305"/>
      <c r="P280" s="282"/>
      <c r="Q280" s="278"/>
      <c r="R280" s="157"/>
      <c r="S280" s="11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</row>
    <row r="281" ht="3.0" customHeight="1">
      <c r="A281" s="5"/>
      <c r="B281" s="6"/>
      <c r="C281" s="5"/>
      <c r="D281" s="90"/>
      <c r="E281" s="156"/>
      <c r="F281" s="102"/>
      <c r="G281" s="145"/>
      <c r="H281" s="102"/>
      <c r="I281" s="145"/>
      <c r="J281" s="156"/>
      <c r="K281" s="286"/>
      <c r="L281" s="292"/>
      <c r="M281" s="285"/>
      <c r="N281" s="285"/>
      <c r="O281" s="284"/>
      <c r="P281" s="282"/>
      <c r="Q281" s="278"/>
      <c r="R281" s="157"/>
      <c r="S281" s="11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</row>
    <row r="282" ht="14.25" customHeight="1">
      <c r="A282" s="5"/>
      <c r="B282" s="6"/>
      <c r="C282" s="5"/>
      <c r="D282" s="274" t="s">
        <v>10</v>
      </c>
      <c r="E282" s="293">
        <f>IFERROR(__xludf.DUMMYFUNCTION("SUM(FILTER(F153:F277, ISNUMBER(SEARCH(""deadlift"", D153:D277))))"),7.0)</f>
        <v>7</v>
      </c>
      <c r="F282" s="284">
        <f>IFERROR(__xludf.DUMMYFUNCTION("SUMPRODUCT(FILTER(F153:F277 * G153:G277, ISNUMBER(SEARCH(""deadlift"", D153:D277))))"),25.0)</f>
        <v>25</v>
      </c>
      <c r="G282" s="135">
        <f>IFERROR(__xludf.DUMMYFUNCTION("ROUND(SUMPRODUCT(FILTER(F153:F277 * G153:G277 * I153:I277, ISNUMBER(SEARCH(""deadlift"", D153:D277)))), 0)"),10713.0)</f>
        <v>10713</v>
      </c>
      <c r="H282" s="285"/>
      <c r="I282" s="135">
        <f>IFERROR(__xludf.DUMMYFUNCTION("ROUND(AVERAGE(FILTER(I153:I277, ISNUMBER(SEARCH(""deadlift"", D153:D277)), I153:I277 &lt;&gt; """")) / J282 * 100, 0)"),78.0)</f>
        <v>78</v>
      </c>
      <c r="J282" s="293">
        <f>IFERROR(__xludf.DUMMYFUNCTION("IFERROR(MROUND(AVERAGE(FILTER(P153:P277, D153:D277 = ""comp deadlift"", P153:P277 &lt;&gt; """", P153:P277 &gt;= 0.9 * MAX(FILTER(P153:P277, D153:D277 = ""comp deadlift"", P153:P277 &lt;&gt; """")), P153:P277 &lt;= 1.1 * MAX(FILTER(P153:P277, D153:D277 = ""comp deadlift"","&amp;" P153:P277 &lt;&gt; """")))), 2.5), ""No valid data"")"),560.0)</f>
        <v>560</v>
      </c>
      <c r="K282" s="286"/>
      <c r="L282" s="294">
        <f>MROUND(J282/2.2046,2.5)-$O$12</f>
        <v>-10</v>
      </c>
      <c r="M282" s="285"/>
      <c r="N282" s="285"/>
      <c r="O282" s="285"/>
      <c r="P282" s="282"/>
      <c r="Q282" s="278"/>
      <c r="R282" s="157"/>
      <c r="S282" s="11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</row>
    <row r="283" ht="14.25" customHeight="1">
      <c r="A283" s="5"/>
      <c r="B283" s="6"/>
      <c r="C283" s="5"/>
      <c r="D283" s="274"/>
      <c r="E283" s="266"/>
      <c r="F283" s="187"/>
      <c r="G283" s="187"/>
      <c r="H283" s="187"/>
      <c r="I283" s="187"/>
      <c r="J283" s="295"/>
      <c r="K283" s="274"/>
      <c r="L283" s="187"/>
      <c r="M283" s="285"/>
      <c r="N283" s="285"/>
      <c r="O283" s="285"/>
      <c r="P283" s="282"/>
      <c r="Q283" s="278"/>
      <c r="R283" s="157"/>
      <c r="S283" s="11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</row>
    <row r="284" ht="14.25" customHeight="1">
      <c r="A284" s="5"/>
      <c r="B284" s="2"/>
      <c r="C284" s="5"/>
      <c r="D284" s="5"/>
      <c r="E284" s="75"/>
      <c r="F284" s="3"/>
      <c r="G284" s="3"/>
      <c r="H284" s="3"/>
      <c r="I284" s="3"/>
      <c r="J284" s="75"/>
      <c r="K284" s="5"/>
      <c r="L284" s="3"/>
      <c r="M284" s="47"/>
      <c r="N284" s="3"/>
      <c r="O284" s="3"/>
      <c r="P284" s="3"/>
      <c r="Q284" s="4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</row>
    <row r="285" ht="18.75" customHeight="1">
      <c r="A285" s="90"/>
      <c r="B285" s="6"/>
      <c r="C285" s="91"/>
      <c r="D285" s="79" t="s">
        <v>72</v>
      </c>
      <c r="E285" s="80" t="s">
        <v>13</v>
      </c>
      <c r="G285" s="81"/>
      <c r="H285" s="81"/>
      <c r="I285" s="81"/>
      <c r="J285" s="82"/>
      <c r="K285" s="83"/>
      <c r="L285" s="83"/>
      <c r="M285" s="93"/>
      <c r="N285" s="93"/>
      <c r="O285" s="93"/>
      <c r="P285" s="296"/>
      <c r="Q285" s="297"/>
      <c r="R285" s="298"/>
      <c r="S285" s="10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</row>
    <row r="286" ht="18.75" customHeight="1">
      <c r="A286" s="90"/>
      <c r="B286" s="6"/>
      <c r="C286" s="91"/>
      <c r="D286" s="299">
        <f>D151+1</f>
        <v>3</v>
      </c>
      <c r="E286" s="300" t="str">
        <f>IF(E151 = "", "", E151 - 1)</f>
        <v/>
      </c>
      <c r="G286" s="301"/>
      <c r="H286" s="301"/>
      <c r="I286" s="301"/>
      <c r="J286" s="92"/>
      <c r="K286" s="93"/>
      <c r="L286" s="93"/>
      <c r="M286" s="93"/>
      <c r="N286" s="93"/>
      <c r="O286" s="93"/>
      <c r="P286" s="94"/>
      <c r="Q286" s="95"/>
      <c r="R286" s="96"/>
      <c r="S286" s="10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</row>
    <row r="287" ht="5.25" customHeight="1">
      <c r="A287" s="90"/>
      <c r="B287" s="6"/>
      <c r="C287" s="90"/>
      <c r="D287" s="97"/>
      <c r="E287" s="98"/>
      <c r="F287" s="99"/>
      <c r="G287" s="99"/>
      <c r="H287" s="99"/>
      <c r="I287" s="100"/>
      <c r="J287" s="101"/>
      <c r="K287" s="90"/>
      <c r="L287" s="102"/>
      <c r="M287" s="102"/>
      <c r="N287" s="102"/>
      <c r="O287" s="102"/>
      <c r="P287" s="103"/>
      <c r="Q287" s="4"/>
      <c r="R287" s="90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</row>
    <row r="288" ht="30.75" customHeight="1">
      <c r="A288" s="90"/>
      <c r="B288" s="6"/>
      <c r="C288" s="90"/>
      <c r="D288" s="202" t="s">
        <v>73</v>
      </c>
      <c r="E288" s="105" t="s">
        <v>75</v>
      </c>
      <c r="F288" s="106" t="s">
        <v>16</v>
      </c>
      <c r="G288" s="106" t="s">
        <v>17</v>
      </c>
      <c r="H288" s="107"/>
      <c r="I288" s="106" t="s">
        <v>18</v>
      </c>
      <c r="J288" s="108" t="s">
        <v>19</v>
      </c>
      <c r="L288" s="109" t="s">
        <v>20</v>
      </c>
      <c r="M288" s="110" t="s">
        <v>21</v>
      </c>
      <c r="N288" s="111" t="s">
        <v>22</v>
      </c>
      <c r="P288" s="112"/>
      <c r="Q288" s="113" t="s">
        <v>23</v>
      </c>
      <c r="R288" s="114" t="s">
        <v>24</v>
      </c>
      <c r="S288" s="11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</row>
    <row r="289" ht="14.25" customHeight="1">
      <c r="A289" s="90"/>
      <c r="B289" s="6"/>
      <c r="C289" s="90"/>
      <c r="D289" s="116">
        <v>3.0</v>
      </c>
      <c r="E289" s="117">
        <v>3.0</v>
      </c>
      <c r="H289" s="107"/>
      <c r="N289" s="111" t="s">
        <v>27</v>
      </c>
      <c r="O289" s="111" t="s">
        <v>28</v>
      </c>
      <c r="P289" s="112" t="s">
        <v>29</v>
      </c>
      <c r="R289" s="118" t="s">
        <v>30</v>
      </c>
      <c r="S289" s="11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</row>
    <row r="290" ht="3.75" customHeight="1">
      <c r="A290" s="90"/>
      <c r="B290" s="6"/>
      <c r="C290" s="90"/>
      <c r="D290" s="97"/>
      <c r="E290" s="98"/>
      <c r="F290" s="99"/>
      <c r="G290" s="99"/>
      <c r="H290" s="99"/>
      <c r="I290" s="100"/>
      <c r="J290" s="302"/>
      <c r="K290" s="90"/>
      <c r="L290" s="102"/>
      <c r="M290" s="121"/>
      <c r="N290" s="102"/>
      <c r="O290" s="102"/>
      <c r="P290" s="122"/>
      <c r="Q290" s="4"/>
      <c r="R290" s="123"/>
      <c r="S290" s="11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</row>
    <row r="291" ht="15.75" customHeight="1">
      <c r="A291" s="124"/>
      <c r="B291" s="6"/>
      <c r="C291" s="124"/>
      <c r="D291" s="125" t="s">
        <v>77</v>
      </c>
      <c r="E291" s="126"/>
      <c r="F291" s="127">
        <v>1.0</v>
      </c>
      <c r="G291" s="240">
        <v>6.0</v>
      </c>
      <c r="H291" s="129"/>
      <c r="I291" s="130">
        <v>375.0</v>
      </c>
      <c r="J291" s="151">
        <v>6.0</v>
      </c>
      <c r="K291" s="132"/>
      <c r="L291" s="133">
        <v>6.0</v>
      </c>
      <c r="M291" s="134">
        <f>I156</f>
        <v>370</v>
      </c>
      <c r="N291" s="135">
        <f>iferror(mround($P156*((VLOOKUP($J291,Sheet1!$D:$N,$G291+1,FALSE)-0.03)),2.5)," ")</f>
        <v>0</v>
      </c>
      <c r="O291" s="135">
        <f>iferror(mround($P156*((VLOOKUP($J291,Sheet1!$D:$N,$G291+1,FALSE)+0.02)),2.5)," ")</f>
        <v>0</v>
      </c>
      <c r="P291" s="56">
        <f>iferror(mround(I291/VLOOKUP(L291,Sheet1!$D$7:$N$16,G291+1,FALSE),2.5),"")</f>
        <v>507.5</v>
      </c>
      <c r="Q291" s="303">
        <f t="shared" ref="Q291:Q312" si="6">IF(OR(ISBLANK(I291), ISBLANK(I156)), "", IF(I291 - I156 = 0, "", I291 - I156))</f>
        <v>5</v>
      </c>
      <c r="S291" s="11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</row>
    <row r="292" ht="3.75" customHeight="1">
      <c r="A292" s="137"/>
      <c r="B292" s="70"/>
      <c r="C292" s="137"/>
      <c r="D292" s="138"/>
      <c r="E292" s="139"/>
      <c r="F292" s="140"/>
      <c r="G292" s="140"/>
      <c r="H292" s="140"/>
      <c r="I292" s="140"/>
      <c r="J292" s="141"/>
      <c r="K292" s="142"/>
      <c r="L292" s="143"/>
      <c r="M292" s="144"/>
      <c r="N292" s="145"/>
      <c r="O292" s="145"/>
      <c r="P292" s="122"/>
      <c r="Q292" s="304" t="str">
        <f t="shared" si="6"/>
        <v/>
      </c>
      <c r="S292" s="147"/>
      <c r="T292" s="148"/>
      <c r="U292" s="148"/>
      <c r="V292" s="148"/>
      <c r="W292" s="148"/>
      <c r="X292" s="148"/>
      <c r="Y292" s="148"/>
      <c r="Z292" s="148"/>
      <c r="AA292" s="148"/>
      <c r="AB292" s="148"/>
      <c r="AC292" s="148"/>
      <c r="AD292" s="148"/>
      <c r="AE292" s="148"/>
      <c r="AF292" s="148"/>
      <c r="AG292" s="148"/>
    </row>
    <row r="293" ht="15.75" customHeight="1">
      <c r="A293" s="149"/>
      <c r="B293" s="150"/>
      <c r="C293" s="149"/>
      <c r="D293" s="125" t="s">
        <v>77</v>
      </c>
      <c r="E293" s="126"/>
      <c r="F293" s="127">
        <v>1.0</v>
      </c>
      <c r="G293" s="240">
        <v>6.0</v>
      </c>
      <c r="H293" s="129"/>
      <c r="I293" s="130">
        <v>413.0</v>
      </c>
      <c r="J293" s="151">
        <v>7.0</v>
      </c>
      <c r="K293" s="132"/>
      <c r="L293" s="133">
        <v>7.0</v>
      </c>
      <c r="M293" s="134">
        <f>I158</f>
        <v>402</v>
      </c>
      <c r="N293" s="135">
        <f>iferror(mround($P158*((VLOOKUP($J293,Sheet1!$D:$N,$G293+1,FALSE)-0.03)),2.5)," ")</f>
        <v>385</v>
      </c>
      <c r="O293" s="135">
        <f>iferror(mround($P158*((VLOOKUP($J293,Sheet1!$D:$N,$G293+1,FALSE)+0.02)),2.5)," ")</f>
        <v>412.5</v>
      </c>
      <c r="P293" s="56">
        <f>iferror(mround(I293/VLOOKUP(L293,Sheet1!$D$7:$N$16,G293+1,FALSE),2.5),"")</f>
        <v>540</v>
      </c>
      <c r="Q293" s="303">
        <f t="shared" si="6"/>
        <v>11</v>
      </c>
      <c r="S293" s="11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</row>
    <row r="294" ht="3.75" customHeight="1">
      <c r="A294" s="152"/>
      <c r="B294" s="150"/>
      <c r="C294" s="153"/>
      <c r="D294" s="138"/>
      <c r="E294" s="154"/>
      <c r="F294" s="155"/>
      <c r="G294" s="102"/>
      <c r="H294" s="102"/>
      <c r="I294" s="102"/>
      <c r="J294" s="156"/>
      <c r="K294" s="142"/>
      <c r="L294" s="143"/>
      <c r="M294" s="144"/>
      <c r="N294" s="145"/>
      <c r="O294" s="145"/>
      <c r="P294" s="122"/>
      <c r="Q294" s="304" t="str">
        <f t="shared" si="6"/>
        <v/>
      </c>
      <c r="S294" s="157"/>
      <c r="T294" s="5"/>
      <c r="U294" s="5"/>
      <c r="V294" s="158"/>
      <c r="W294" s="158"/>
      <c r="X294" s="158"/>
      <c r="Y294" s="158"/>
      <c r="Z294" s="158"/>
      <c r="AA294" s="158"/>
      <c r="AB294" s="158"/>
      <c r="AC294" s="158"/>
      <c r="AD294" s="158"/>
      <c r="AE294" s="158"/>
      <c r="AF294" s="158"/>
      <c r="AG294" s="158"/>
    </row>
    <row r="295" ht="15.75" customHeight="1">
      <c r="A295" s="149"/>
      <c r="B295" s="150"/>
      <c r="C295" s="149"/>
      <c r="D295" s="125" t="s">
        <v>77</v>
      </c>
      <c r="E295" s="126"/>
      <c r="F295" s="127">
        <v>1.0</v>
      </c>
      <c r="G295" s="161">
        <v>6.0</v>
      </c>
      <c r="H295" s="129"/>
      <c r="I295" s="164">
        <f>MROUND(I293*(1+J295),5)</f>
        <v>370</v>
      </c>
      <c r="J295" s="165">
        <v>-0.1</v>
      </c>
      <c r="K295" s="132"/>
      <c r="L295" s="133">
        <v>6.0</v>
      </c>
      <c r="M295" s="134">
        <f>I160</f>
        <v>386</v>
      </c>
      <c r="N295" s="135" t="str">
        <f>iferror(mround($P160*((VLOOKUP($J295,Sheet1!$D:$N,$G295+1,FALSE)-0.03)),2.5)," ")</f>
        <v> </v>
      </c>
      <c r="O295" s="135" t="str">
        <f>iferror(mround($P160*((VLOOKUP($J295,Sheet1!$D:$N,$G295+1,FALSE)+0.02)),2.5)," ")</f>
        <v> </v>
      </c>
      <c r="P295" s="56">
        <f>iferror(mround(I295/VLOOKUP(L295,Sheet1!$D$7:$N$16,G295+1,FALSE),2.5),"")</f>
        <v>500</v>
      </c>
      <c r="Q295" s="303">
        <f t="shared" si="6"/>
        <v>-16</v>
      </c>
      <c r="S295" s="11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</row>
    <row r="296" ht="3.75" customHeight="1">
      <c r="A296" s="162"/>
      <c r="B296" s="163"/>
      <c r="C296" s="162"/>
      <c r="D296" s="138"/>
      <c r="E296" s="154"/>
      <c r="F296" s="155"/>
      <c r="G296" s="102"/>
      <c r="H296" s="102"/>
      <c r="I296" s="102"/>
      <c r="J296" s="156"/>
      <c r="K296" s="142"/>
      <c r="L296" s="143"/>
      <c r="M296" s="144"/>
      <c r="N296" s="145"/>
      <c r="O296" s="145"/>
      <c r="P296" s="122"/>
      <c r="Q296" s="304" t="str">
        <f t="shared" si="6"/>
        <v/>
      </c>
      <c r="S296" s="147"/>
      <c r="T296" s="148"/>
      <c r="U296" s="148"/>
      <c r="V296" s="148"/>
      <c r="W296" s="148"/>
      <c r="X296" s="148"/>
      <c r="Y296" s="148"/>
      <c r="Z296" s="148"/>
      <c r="AA296" s="148"/>
      <c r="AB296" s="148"/>
      <c r="AC296" s="148"/>
      <c r="AD296" s="148"/>
      <c r="AE296" s="148"/>
      <c r="AF296" s="148"/>
      <c r="AG296" s="148"/>
    </row>
    <row r="297" ht="15.75" customHeight="1">
      <c r="A297" s="149"/>
      <c r="B297" s="150"/>
      <c r="C297" s="149"/>
      <c r="D297" s="159" t="s">
        <v>33</v>
      </c>
      <c r="E297" s="160" t="s">
        <v>34</v>
      </c>
      <c r="F297" s="127">
        <v>1.0</v>
      </c>
      <c r="G297" s="161">
        <v>5.0</v>
      </c>
      <c r="H297" s="129"/>
      <c r="I297" s="130">
        <v>265.0</v>
      </c>
      <c r="J297" s="151">
        <v>7.5</v>
      </c>
      <c r="K297" s="132"/>
      <c r="L297" s="133">
        <v>7.0</v>
      </c>
      <c r="M297" s="134">
        <f>I162</f>
        <v>259</v>
      </c>
      <c r="N297" s="135">
        <f>iferror(mround($P162*((VLOOKUP($J297,Sheet1!$D:$N,$G297+1,FALSE)-0.03)),2.5)," ")</f>
        <v>252.5</v>
      </c>
      <c r="O297" s="135">
        <f>iferror(mround($P162*((VLOOKUP($J297,Sheet1!$D:$N,$G297+1,FALSE)+0.02)),2.5)," ")</f>
        <v>270</v>
      </c>
      <c r="P297" s="56">
        <f>iferror(mround(I297/VLOOKUP(L297,Sheet1!$D$7:$N$16,G297+1,FALSE),2.5),"")</f>
        <v>335</v>
      </c>
      <c r="Q297" s="303">
        <f t="shared" si="6"/>
        <v>6</v>
      </c>
      <c r="S297" s="11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</row>
    <row r="298" ht="3.75" customHeight="1">
      <c r="A298" s="162"/>
      <c r="B298" s="163"/>
      <c r="C298" s="162"/>
      <c r="D298" s="138"/>
      <c r="E298" s="139"/>
      <c r="F298" s="140"/>
      <c r="G298" s="140"/>
      <c r="H298" s="140"/>
      <c r="I298" s="140"/>
      <c r="J298" s="141"/>
      <c r="K298" s="142"/>
      <c r="L298" s="143"/>
      <c r="M298" s="144"/>
      <c r="N298" s="145"/>
      <c r="O298" s="145"/>
      <c r="P298" s="122"/>
      <c r="Q298" s="304" t="str">
        <f t="shared" si="6"/>
        <v/>
      </c>
      <c r="S298" s="147"/>
      <c r="T298" s="148"/>
      <c r="U298" s="148"/>
      <c r="V298" s="148"/>
      <c r="W298" s="148"/>
      <c r="X298" s="148"/>
      <c r="Y298" s="148"/>
      <c r="Z298" s="148"/>
      <c r="AA298" s="148"/>
      <c r="AB298" s="148"/>
      <c r="AC298" s="148"/>
      <c r="AD298" s="148"/>
      <c r="AE298" s="148"/>
      <c r="AF298" s="148"/>
      <c r="AG298" s="148"/>
    </row>
    <row r="299" ht="15.75" customHeight="1">
      <c r="A299" s="90"/>
      <c r="B299" s="6"/>
      <c r="C299" s="90"/>
      <c r="D299" s="159" t="s">
        <v>33</v>
      </c>
      <c r="E299" s="160" t="s">
        <v>34</v>
      </c>
      <c r="F299" s="127">
        <v>3.0</v>
      </c>
      <c r="G299" s="161">
        <v>5.0</v>
      </c>
      <c r="H299" s="129"/>
      <c r="I299" s="164">
        <f>MROUND(I297*(1+J299),5)</f>
        <v>240</v>
      </c>
      <c r="J299" s="165">
        <v>-0.1</v>
      </c>
      <c r="K299" s="132"/>
      <c r="L299" s="133">
        <v>6.5</v>
      </c>
      <c r="M299" s="134">
        <f>I164</f>
        <v>235</v>
      </c>
      <c r="N299" s="135" t="str">
        <f>iferror(mround($P164*((VLOOKUP($J299,Sheet1!$D:$N,$G299+1,FALSE)-0.03)),2.5)," ")</f>
        <v> </v>
      </c>
      <c r="O299" s="135" t="str">
        <f>iferror(mround($P164*((VLOOKUP($J299,Sheet1!$D:$N,$G299+1,FALSE)+0.02)),2.5)," ")</f>
        <v> </v>
      </c>
      <c r="P299" s="56">
        <f>iferror(mround(I299/VLOOKUP(L299,Sheet1!$D$7:$N$16,G299+1,FALSE),2.5),"")</f>
        <v>307.5</v>
      </c>
      <c r="Q299" s="303">
        <f t="shared" si="6"/>
        <v>5</v>
      </c>
      <c r="S299" s="11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</row>
    <row r="300" ht="3.75" customHeight="1">
      <c r="A300" s="168"/>
      <c r="B300" s="70"/>
      <c r="C300" s="168"/>
      <c r="D300" s="138"/>
      <c r="E300" s="139"/>
      <c r="F300" s="102"/>
      <c r="G300" s="102"/>
      <c r="H300" s="102"/>
      <c r="I300" s="102"/>
      <c r="J300" s="156"/>
      <c r="K300" s="142"/>
      <c r="L300" s="143"/>
      <c r="M300" s="144"/>
      <c r="N300" s="145"/>
      <c r="O300" s="145"/>
      <c r="P300" s="122"/>
      <c r="Q300" s="304" t="str">
        <f t="shared" si="6"/>
        <v/>
      </c>
      <c r="S300" s="147"/>
      <c r="T300" s="148"/>
      <c r="U300" s="148"/>
      <c r="V300" s="148"/>
      <c r="W300" s="148"/>
      <c r="X300" s="148"/>
      <c r="Y300" s="148"/>
      <c r="Z300" s="148"/>
      <c r="AA300" s="148"/>
      <c r="AB300" s="148"/>
      <c r="AC300" s="148"/>
      <c r="AD300" s="148"/>
      <c r="AE300" s="148"/>
      <c r="AF300" s="148"/>
      <c r="AG300" s="148"/>
    </row>
    <row r="301" ht="15.75" customHeight="1">
      <c r="A301" s="90"/>
      <c r="B301" s="6"/>
      <c r="C301" s="90"/>
      <c r="D301" s="166" t="s">
        <v>35</v>
      </c>
      <c r="E301" s="167" t="s">
        <v>79</v>
      </c>
      <c r="F301" s="127">
        <v>2.0</v>
      </c>
      <c r="G301" s="161">
        <v>7.0</v>
      </c>
      <c r="H301" s="129"/>
      <c r="I301" s="130">
        <v>253.0</v>
      </c>
      <c r="J301" s="151">
        <v>8.0</v>
      </c>
      <c r="K301" s="170" t="s">
        <v>80</v>
      </c>
      <c r="L301" s="133">
        <v>9.0</v>
      </c>
      <c r="M301" s="134">
        <f>I166</f>
        <v>248</v>
      </c>
      <c r="N301" s="135">
        <f>iferror(mround($P166*((VLOOKUP($J301,Sheet1!$D:$N,$G301+1,FALSE)-0.03)),2.5)," ")</f>
        <v>240</v>
      </c>
      <c r="O301" s="135">
        <f>iferror(mround($P166*((VLOOKUP($J301,Sheet1!$D:$N,$G301+1,FALSE)+0.02)),2.5)," ")</f>
        <v>255</v>
      </c>
      <c r="P301" s="56">
        <f>iferror(mround(I301/VLOOKUP(L301,Sheet1!$D$7:$N$16,G301+1,FALSE),2.5),"")</f>
        <v>320</v>
      </c>
      <c r="Q301" s="303">
        <f t="shared" si="6"/>
        <v>5</v>
      </c>
      <c r="S301" s="11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</row>
    <row r="302" ht="3.75" customHeight="1">
      <c r="A302" s="90"/>
      <c r="B302" s="6"/>
      <c r="C302" s="90"/>
      <c r="D302" s="171"/>
      <c r="E302" s="172"/>
      <c r="F302" s="173"/>
      <c r="G302" s="173"/>
      <c r="H302" s="173"/>
      <c r="I302" s="173"/>
      <c r="J302" s="174"/>
      <c r="K302" s="142"/>
      <c r="L302" s="143"/>
      <c r="M302" s="144"/>
      <c r="N302" s="145"/>
      <c r="O302" s="145"/>
      <c r="P302" s="122"/>
      <c r="Q302" s="304" t="str">
        <f t="shared" si="6"/>
        <v/>
      </c>
      <c r="S302" s="11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</row>
    <row r="303" ht="15.75" customHeight="1">
      <c r="A303" s="90"/>
      <c r="B303" s="6"/>
      <c r="C303" s="90"/>
      <c r="D303" s="166" t="s">
        <v>37</v>
      </c>
      <c r="E303" s="160" t="s">
        <v>81</v>
      </c>
      <c r="F303" s="127">
        <v>3.0</v>
      </c>
      <c r="G303" s="169">
        <v>45577.0</v>
      </c>
      <c r="H303" s="129"/>
      <c r="I303" s="130"/>
      <c r="J303" s="151">
        <v>8.0</v>
      </c>
      <c r="K303" s="132"/>
      <c r="L303" s="183"/>
      <c r="M303" s="134">
        <f>I168</f>
        <v>280</v>
      </c>
      <c r="N303" s="135" t="str">
        <f>iferror(mround($P168*((VLOOKUP($J303,Sheet1!$D:$N,$G303+1,FALSE)-0.03)),2.5)," ")</f>
        <v> </v>
      </c>
      <c r="O303" s="135" t="str">
        <f>iferror(mround($P168*((VLOOKUP($J303,Sheet1!$D:$N,$G303+1,FALSE)+0.02)),2.5)," ")</f>
        <v> </v>
      </c>
      <c r="P303" s="56" t="str">
        <f>iferror(mround(I303/VLOOKUP(L303,Sheet1!$D$7:$N$16,G303+1,FALSE),2.5),"")</f>
        <v/>
      </c>
      <c r="Q303" s="303" t="str">
        <f t="shared" si="6"/>
        <v/>
      </c>
      <c r="S303" s="11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</row>
    <row r="304" ht="3.75" customHeight="1">
      <c r="A304" s="90"/>
      <c r="B304" s="6"/>
      <c r="C304" s="90"/>
      <c r="D304" s="171"/>
      <c r="E304" s="172"/>
      <c r="F304" s="173"/>
      <c r="G304" s="173"/>
      <c r="H304" s="173"/>
      <c r="I304" s="173"/>
      <c r="J304" s="174"/>
      <c r="K304" s="142"/>
      <c r="L304" s="143"/>
      <c r="M304" s="144"/>
      <c r="N304" s="145"/>
      <c r="O304" s="145"/>
      <c r="P304" s="122"/>
      <c r="Q304" s="304" t="str">
        <f t="shared" si="6"/>
        <v/>
      </c>
      <c r="S304" s="11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</row>
    <row r="305" ht="15.75" hidden="1" customHeight="1">
      <c r="A305" s="90"/>
      <c r="B305" s="6"/>
      <c r="C305" s="90"/>
      <c r="D305" s="175" t="s">
        <v>40</v>
      </c>
      <c r="E305" s="176"/>
      <c r="F305" s="177">
        <v>3.0</v>
      </c>
      <c r="G305" s="178" t="s">
        <v>41</v>
      </c>
      <c r="H305" s="179"/>
      <c r="I305" s="180"/>
      <c r="J305" s="181">
        <v>8.0</v>
      </c>
      <c r="K305" s="182"/>
      <c r="L305" s="183"/>
      <c r="M305" s="134" t="str">
        <f>I170</f>
        <v/>
      </c>
      <c r="N305" s="135" t="str">
        <f>iferror(mround($P170*((VLOOKUP($J305,Sheet1!$D:$N,$G305+1,FALSE)-0.03)),2.5)," ")</f>
        <v> </v>
      </c>
      <c r="O305" s="135" t="str">
        <f>iferror(mround($P170*((VLOOKUP($J305,Sheet1!$D:$N,$G305+1,FALSE)+0.02)),2.5)," ")</f>
        <v> </v>
      </c>
      <c r="P305" s="56" t="str">
        <f>iferror(mround(I305/VLOOKUP(L305,Sheet1!$D$7:$N$16,G305+1,FALSE),2.5),"")</f>
        <v/>
      </c>
      <c r="Q305" s="303" t="str">
        <f t="shared" si="6"/>
        <v/>
      </c>
      <c r="S305" s="11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</row>
    <row r="306" ht="3.75" hidden="1" customHeight="1">
      <c r="A306" s="90"/>
      <c r="B306" s="6"/>
      <c r="C306" s="90"/>
      <c r="D306" s="138"/>
      <c r="E306" s="184"/>
      <c r="F306" s="102"/>
      <c r="G306" s="102"/>
      <c r="H306" s="102"/>
      <c r="I306" s="102"/>
      <c r="J306" s="156"/>
      <c r="K306" s="103"/>
      <c r="L306" s="143"/>
      <c r="M306" s="144"/>
      <c r="N306" s="145"/>
      <c r="O306" s="145"/>
      <c r="P306" s="122"/>
      <c r="Q306" s="304" t="str">
        <f t="shared" si="6"/>
        <v/>
      </c>
      <c r="S306" s="11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</row>
    <row r="307" ht="15.75" hidden="1" customHeight="1">
      <c r="A307" s="90"/>
      <c r="B307" s="6"/>
      <c r="C307" s="90"/>
      <c r="D307" s="185"/>
      <c r="E307" s="186"/>
      <c r="F307" s="187"/>
      <c r="G307" s="188"/>
      <c r="H307" s="129"/>
      <c r="I307" s="164"/>
      <c r="J307" s="189"/>
      <c r="K307" s="190"/>
      <c r="L307" s="183"/>
      <c r="M307" s="134" t="str">
        <f>I172</f>
        <v/>
      </c>
      <c r="N307" s="135" t="str">
        <f>iferror(mround($P172*((VLOOKUP($J307,Sheet1!$D:$N,$G307+1,FALSE)-0.03)),2.5)," ")</f>
        <v> </v>
      </c>
      <c r="O307" s="135" t="str">
        <f>iferror(mround($P172*((VLOOKUP($J307,Sheet1!$D:$N,$G307+1,FALSE)+0.02)),2.5)," ")</f>
        <v> </v>
      </c>
      <c r="P307" s="56" t="str">
        <f>iferror(mround(I307/VLOOKUP(L307,Sheet1!$D$7:$N$16,G307+1,FALSE),2.5),"")</f>
        <v/>
      </c>
      <c r="Q307" s="303" t="str">
        <f t="shared" si="6"/>
        <v/>
      </c>
      <c r="S307" s="11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</row>
    <row r="308" ht="3.75" hidden="1" customHeight="1">
      <c r="A308" s="191"/>
      <c r="B308" s="6"/>
      <c r="C308" s="192"/>
      <c r="D308" s="138"/>
      <c r="E308" s="193"/>
      <c r="F308" s="194"/>
      <c r="G308" s="155"/>
      <c r="H308" s="102"/>
      <c r="I308" s="102"/>
      <c r="J308" s="156"/>
      <c r="K308" s="103"/>
      <c r="L308" s="143"/>
      <c r="M308" s="144"/>
      <c r="N308" s="145"/>
      <c r="O308" s="145"/>
      <c r="P308" s="122"/>
      <c r="Q308" s="304" t="str">
        <f t="shared" si="6"/>
        <v/>
      </c>
      <c r="S308" s="157"/>
      <c r="T308" s="5"/>
      <c r="U308" s="5"/>
      <c r="V308" s="158"/>
      <c r="W308" s="158"/>
      <c r="X308" s="158"/>
      <c r="Y308" s="158"/>
      <c r="Z308" s="158"/>
      <c r="AA308" s="158"/>
      <c r="AB308" s="158"/>
      <c r="AC308" s="158"/>
      <c r="AD308" s="158"/>
      <c r="AE308" s="158"/>
      <c r="AF308" s="158"/>
      <c r="AG308" s="158"/>
    </row>
    <row r="309" ht="15.75" hidden="1" customHeight="1">
      <c r="A309" s="90"/>
      <c r="B309" s="6"/>
      <c r="C309" s="90"/>
      <c r="D309" s="185"/>
      <c r="E309" s="186"/>
      <c r="F309" s="187"/>
      <c r="G309" s="195"/>
      <c r="H309" s="129"/>
      <c r="I309" s="164"/>
      <c r="J309" s="189"/>
      <c r="K309" s="190"/>
      <c r="L309" s="183"/>
      <c r="M309" s="134" t="str">
        <f>I174</f>
        <v/>
      </c>
      <c r="N309" s="135" t="str">
        <f>iferror(mround($P174*((VLOOKUP($J309,Sheet1!$D:$N,$G309+1,FALSE)-0.03)),2.5)," ")</f>
        <v> </v>
      </c>
      <c r="O309" s="135" t="str">
        <f>iferror(mround($P174*((VLOOKUP($J309,Sheet1!$D:$N,$G309+1,FALSE)+0.02)),2.5)," ")</f>
        <v> </v>
      </c>
      <c r="P309" s="56" t="str">
        <f>iferror(mround(I309/VLOOKUP(L309,Sheet1!$D$7:$N$16,G309+1,FALSE),2.5),"")</f>
        <v/>
      </c>
      <c r="Q309" s="303" t="str">
        <f t="shared" si="6"/>
        <v/>
      </c>
      <c r="S309" s="11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</row>
    <row r="310" ht="3.75" hidden="1" customHeight="1">
      <c r="A310" s="90"/>
      <c r="B310" s="6"/>
      <c r="C310" s="90"/>
      <c r="D310" s="196"/>
      <c r="E310" s="184"/>
      <c r="F310" s="102"/>
      <c r="G310" s="102"/>
      <c r="H310" s="102"/>
      <c r="I310" s="102"/>
      <c r="J310" s="156"/>
      <c r="K310" s="103"/>
      <c r="L310" s="143"/>
      <c r="M310" s="144"/>
      <c r="N310" s="145"/>
      <c r="O310" s="145"/>
      <c r="P310" s="122"/>
      <c r="Q310" s="304" t="str">
        <f t="shared" si="6"/>
        <v/>
      </c>
      <c r="S310" s="11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</row>
    <row r="311" ht="15.75" hidden="1" customHeight="1">
      <c r="A311" s="90"/>
      <c r="B311" s="6"/>
      <c r="C311" s="90"/>
      <c r="D311" s="197"/>
      <c r="E311" s="198"/>
      <c r="F311" s="199"/>
      <c r="G311" s="195"/>
      <c r="H311" s="129"/>
      <c r="I311" s="164"/>
      <c r="J311" s="189"/>
      <c r="K311" s="190"/>
      <c r="L311" s="183"/>
      <c r="M311" s="134" t="str">
        <f>I176</f>
        <v/>
      </c>
      <c r="N311" s="135" t="str">
        <f>iferror(mround($P176*((VLOOKUP($J311,Sheet1!$D:$N,$G311+1,FALSE)-0.03)),2.5)," ")</f>
        <v> </v>
      </c>
      <c r="O311" s="135" t="str">
        <f>iferror(mround($P176*((VLOOKUP($J311,Sheet1!$D:$N,$G311+1,FALSE)+0.02)),2.5)," ")</f>
        <v> </v>
      </c>
      <c r="P311" s="56" t="str">
        <f>iferror(mround(I311/VLOOKUP(L311,Sheet1!$D$7:$N$16,G311+1,FALSE),2.5),"")</f>
        <v/>
      </c>
      <c r="Q311" s="303" t="str">
        <f t="shared" si="6"/>
        <v/>
      </c>
      <c r="S311" s="11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</row>
    <row r="312" ht="3.75" customHeight="1">
      <c r="A312" s="90"/>
      <c r="B312" s="6"/>
      <c r="C312" s="90"/>
      <c r="D312" s="90"/>
      <c r="E312" s="156"/>
      <c r="F312" s="102"/>
      <c r="G312" s="102"/>
      <c r="H312" s="102"/>
      <c r="I312" s="102"/>
      <c r="J312" s="156"/>
      <c r="K312" s="200"/>
      <c r="L312" s="201"/>
      <c r="M312" s="144"/>
      <c r="N312" s="47"/>
      <c r="O312" s="47"/>
      <c r="P312" s="122"/>
      <c r="Q312" s="304" t="str">
        <f t="shared" si="6"/>
        <v/>
      </c>
      <c r="S312" s="11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</row>
    <row r="313" ht="30.0" customHeight="1">
      <c r="A313" s="90"/>
      <c r="B313" s="6"/>
      <c r="C313" s="90"/>
      <c r="D313" s="202" t="s">
        <v>42</v>
      </c>
      <c r="E313" s="105" t="s">
        <v>82</v>
      </c>
      <c r="F313" s="106" t="s">
        <v>16</v>
      </c>
      <c r="G313" s="106" t="s">
        <v>17</v>
      </c>
      <c r="H313" s="107"/>
      <c r="I313" s="106" t="s">
        <v>18</v>
      </c>
      <c r="J313" s="108" t="s">
        <v>19</v>
      </c>
      <c r="L313" s="109" t="s">
        <v>20</v>
      </c>
      <c r="M313" s="110" t="s">
        <v>21</v>
      </c>
      <c r="N313" s="111" t="s">
        <v>22</v>
      </c>
      <c r="P313" s="112"/>
      <c r="Q313" s="113" t="s">
        <v>23</v>
      </c>
      <c r="R313" s="114" t="s">
        <v>43</v>
      </c>
      <c r="S313" s="11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</row>
    <row r="314" ht="14.25" customHeight="1">
      <c r="A314" s="90"/>
      <c r="B314" s="6"/>
      <c r="C314" s="90"/>
      <c r="D314" s="116">
        <v>3.0</v>
      </c>
      <c r="E314" s="117">
        <v>3.0</v>
      </c>
      <c r="H314" s="107"/>
      <c r="N314" s="111" t="s">
        <v>27</v>
      </c>
      <c r="O314" s="111" t="s">
        <v>28</v>
      </c>
      <c r="P314" s="112" t="s">
        <v>29</v>
      </c>
      <c r="R314" s="118" t="s">
        <v>30</v>
      </c>
      <c r="S314" s="11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</row>
    <row r="315" ht="3.75" customHeight="1">
      <c r="A315" s="191"/>
      <c r="B315" s="6"/>
      <c r="C315" s="192"/>
      <c r="D315" s="203"/>
      <c r="E315" s="204"/>
      <c r="F315" s="205"/>
      <c r="G315" s="205"/>
      <c r="H315" s="206"/>
      <c r="I315" s="207"/>
      <c r="J315" s="208"/>
      <c r="K315" s="209"/>
      <c r="L315" s="210"/>
      <c r="M315" s="211"/>
      <c r="N315" s="47"/>
      <c r="O315" s="47"/>
      <c r="P315" s="122"/>
      <c r="Q315" s="304" t="str">
        <f t="shared" ref="Q315:Q337" si="7">IF(OR(ISBLANK(I315), ISBLANK(I180)), "", IF(I315 - I180 = 0, "", I315 - I180))</f>
        <v/>
      </c>
      <c r="R315" s="212"/>
      <c r="S315" s="157"/>
      <c r="T315" s="5"/>
      <c r="U315" s="5"/>
      <c r="V315" s="158"/>
      <c r="W315" s="158"/>
      <c r="X315" s="158"/>
      <c r="Y315" s="158"/>
      <c r="Z315" s="158"/>
      <c r="AA315" s="158"/>
      <c r="AB315" s="158"/>
      <c r="AC315" s="158"/>
      <c r="AD315" s="158"/>
      <c r="AE315" s="158"/>
      <c r="AF315" s="158"/>
      <c r="AG315" s="158"/>
    </row>
    <row r="316" ht="15.75" customHeight="1">
      <c r="A316" s="124"/>
      <c r="B316" s="6"/>
      <c r="C316" s="124"/>
      <c r="D316" s="159" t="s">
        <v>83</v>
      </c>
      <c r="E316" s="167" t="s">
        <v>84</v>
      </c>
      <c r="F316" s="127">
        <v>3.0</v>
      </c>
      <c r="G316" s="127">
        <v>3.0</v>
      </c>
      <c r="H316" s="195"/>
      <c r="I316" s="130">
        <v>419.0</v>
      </c>
      <c r="J316" s="151">
        <v>6.0</v>
      </c>
      <c r="K316" s="213"/>
      <c r="L316" s="133">
        <v>6.0</v>
      </c>
      <c r="M316" s="134">
        <f>I181</f>
        <v>413</v>
      </c>
      <c r="N316" s="135">
        <f>iferror(mround($P181*((VLOOKUP($J316,Sheet1!$D:$N,$G316+1,FALSE)-0.03)),2.5)," ")</f>
        <v>397.5</v>
      </c>
      <c r="O316" s="135">
        <f>iferror(mround($P181*((VLOOKUP($J316,Sheet1!$D:$N,$G316+1,FALSE)+0.02)),2.5)," ")</f>
        <v>425</v>
      </c>
      <c r="P316" s="112">
        <f>iferror(mround(I316/VLOOKUP(L316,Sheet1!$D$7:$N$16,G316+1,FALSE),2.5),"")</f>
        <v>515</v>
      </c>
      <c r="Q316" s="303">
        <f t="shared" si="7"/>
        <v>6</v>
      </c>
      <c r="R316" s="214"/>
      <c r="S316" s="11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</row>
    <row r="317" ht="3.75" customHeight="1">
      <c r="A317" s="124"/>
      <c r="B317" s="6"/>
      <c r="C317" s="124"/>
      <c r="D317" s="138"/>
      <c r="E317" s="215"/>
      <c r="F317" s="102"/>
      <c r="G317" s="102"/>
      <c r="H317" s="102"/>
      <c r="I317" s="102"/>
      <c r="J317" s="216"/>
      <c r="K317" s="217"/>
      <c r="L317" s="218"/>
      <c r="M317" s="144"/>
      <c r="N317" s="145"/>
      <c r="O317" s="145"/>
      <c r="P317" s="122"/>
      <c r="Q317" s="304" t="str">
        <f t="shared" si="7"/>
        <v/>
      </c>
      <c r="R317" s="214"/>
      <c r="S317" s="11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</row>
    <row r="318" ht="15.75" customHeight="1">
      <c r="A318" s="90"/>
      <c r="B318" s="6"/>
      <c r="C318" s="90"/>
      <c r="D318" s="159" t="s">
        <v>33</v>
      </c>
      <c r="E318" s="167"/>
      <c r="F318" s="127">
        <v>1.0</v>
      </c>
      <c r="G318" s="127">
        <v>2.0</v>
      </c>
      <c r="H318" s="195"/>
      <c r="I318" s="130">
        <v>314.0</v>
      </c>
      <c r="J318" s="151">
        <v>8.0</v>
      </c>
      <c r="K318" s="219" t="s">
        <v>85</v>
      </c>
      <c r="L318" s="133">
        <v>8.0</v>
      </c>
      <c r="M318" s="134">
        <f>I183</f>
        <v>298</v>
      </c>
      <c r="N318" s="135">
        <f>iferror(mround($P183*((VLOOKUP($J318,Sheet1!$D:$N,$G318+1,FALSE)-0.03)),2.5)," ")</f>
        <v>297.5</v>
      </c>
      <c r="O318" s="135">
        <f>iferror(mround($P183*((VLOOKUP($J318,Sheet1!$D:$N,$G318+1,FALSE)+0.02)),2.5)," ")</f>
        <v>315</v>
      </c>
      <c r="P318" s="112">
        <f>iferror(mround(I318/VLOOKUP(L318,Sheet1!$D$7:$N$16,G318+1,FALSE),2.5),"")</f>
        <v>352.5</v>
      </c>
      <c r="Q318" s="303">
        <f t="shared" si="7"/>
        <v>16</v>
      </c>
      <c r="R318" s="214"/>
      <c r="S318" s="11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</row>
    <row r="319" ht="3.75" customHeight="1">
      <c r="A319" s="90"/>
      <c r="B319" s="6"/>
      <c r="C319" s="90"/>
      <c r="D319" s="138"/>
      <c r="E319" s="215"/>
      <c r="F319" s="102"/>
      <c r="G319" s="102"/>
      <c r="H319" s="102"/>
      <c r="I319" s="102"/>
      <c r="J319" s="216"/>
      <c r="K319" s="217"/>
      <c r="L319" s="218"/>
      <c r="M319" s="144"/>
      <c r="N319" s="145"/>
      <c r="O319" s="145"/>
      <c r="P319" s="122"/>
      <c r="Q319" s="304" t="str">
        <f t="shared" si="7"/>
        <v/>
      </c>
      <c r="R319" s="214"/>
      <c r="S319" s="11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</row>
    <row r="320" ht="15.75" customHeight="1">
      <c r="A320" s="90"/>
      <c r="B320" s="6"/>
      <c r="C320" s="90"/>
      <c r="D320" s="159" t="s">
        <v>33</v>
      </c>
      <c r="E320" s="167"/>
      <c r="F320" s="127">
        <v>3.0</v>
      </c>
      <c r="G320" s="161">
        <v>3.0</v>
      </c>
      <c r="H320" s="195"/>
      <c r="I320" s="164">
        <f>MROUND(I318*(1+J320),5)</f>
        <v>290</v>
      </c>
      <c r="J320" s="165">
        <v>-0.08</v>
      </c>
      <c r="K320" s="219"/>
      <c r="L320" s="133"/>
      <c r="M320" s="134">
        <f>I185</f>
        <v>275</v>
      </c>
      <c r="N320" s="135" t="str">
        <f>iferror(mround($P185*((VLOOKUP($J320,Sheet1!$D:$N,$G320+1,FALSE)-0.03)),2.5)," ")</f>
        <v> </v>
      </c>
      <c r="O320" s="135" t="str">
        <f>iferror(mround($P185*((VLOOKUP($J320,Sheet1!$D:$N,$G320+1,FALSE)+0.02)),2.5)," ")</f>
        <v> </v>
      </c>
      <c r="P320" s="112" t="str">
        <f>iferror(mround(I320/VLOOKUP(L320,Sheet1!$D$7:$N$16,G320+1,FALSE),2.5),"")</f>
        <v/>
      </c>
      <c r="Q320" s="303">
        <f t="shared" si="7"/>
        <v>15</v>
      </c>
      <c r="R320" s="214"/>
      <c r="S320" s="11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</row>
    <row r="321" ht="3.75" customHeight="1">
      <c r="A321" s="90"/>
      <c r="B321" s="6"/>
      <c r="C321" s="90"/>
      <c r="D321" s="138"/>
      <c r="E321" s="215"/>
      <c r="F321" s="102"/>
      <c r="G321" s="102"/>
      <c r="H321" s="102"/>
      <c r="I321" s="102"/>
      <c r="J321" s="156"/>
      <c r="K321" s="217"/>
      <c r="L321" s="143"/>
      <c r="M321" s="144"/>
      <c r="N321" s="145"/>
      <c r="O321" s="145"/>
      <c r="P321" s="122"/>
      <c r="Q321" s="304" t="str">
        <f t="shared" si="7"/>
        <v/>
      </c>
      <c r="R321" s="214"/>
      <c r="S321" s="11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</row>
    <row r="322" ht="15.75" customHeight="1">
      <c r="A322" s="90"/>
      <c r="B322" s="6"/>
      <c r="C322" s="90"/>
      <c r="D322" s="159" t="s">
        <v>86</v>
      </c>
      <c r="E322" s="167" t="s">
        <v>87</v>
      </c>
      <c r="F322" s="127">
        <v>3.0</v>
      </c>
      <c r="G322" s="169">
        <v>45577.0</v>
      </c>
      <c r="H322" s="195"/>
      <c r="I322" s="130"/>
      <c r="J322" s="151">
        <v>8.0</v>
      </c>
      <c r="K322" s="213"/>
      <c r="L322" s="133"/>
      <c r="M322" s="134">
        <f>I187</f>
        <v>140</v>
      </c>
      <c r="N322" s="135" t="str">
        <f>iferror(mround($P187*((VLOOKUP($J322,Sheet1!$D:$N,$G322+1,FALSE)-0.03)),2.5)," ")</f>
        <v> </v>
      </c>
      <c r="O322" s="135" t="str">
        <f>iferror(mround($P187*((VLOOKUP($J322,Sheet1!$D:$N,$G322+1,FALSE)+0.02)),2.5)," ")</f>
        <v> </v>
      </c>
      <c r="P322" s="112" t="str">
        <f>iferror(mround(I322/VLOOKUP(L322,Sheet1!$D$7:$N$16,G322+1,FALSE),2.5),"")</f>
        <v/>
      </c>
      <c r="Q322" s="303" t="str">
        <f t="shared" si="7"/>
        <v/>
      </c>
      <c r="R322" s="214"/>
      <c r="S322" s="11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</row>
    <row r="323" ht="3.75" customHeight="1">
      <c r="A323" s="90"/>
      <c r="B323" s="6"/>
      <c r="C323" s="90"/>
      <c r="D323" s="138"/>
      <c r="E323" s="215"/>
      <c r="F323" s="102"/>
      <c r="G323" s="102"/>
      <c r="H323" s="102"/>
      <c r="I323" s="102"/>
      <c r="J323" s="156"/>
      <c r="K323" s="217"/>
      <c r="L323" s="143"/>
      <c r="M323" s="144"/>
      <c r="N323" s="145"/>
      <c r="O323" s="145"/>
      <c r="P323" s="122"/>
      <c r="Q323" s="304" t="str">
        <f t="shared" si="7"/>
        <v/>
      </c>
      <c r="R323" s="214"/>
      <c r="S323" s="11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</row>
    <row r="324" ht="15.75" customHeight="1">
      <c r="A324" s="90"/>
      <c r="B324" s="6"/>
      <c r="C324" s="90"/>
      <c r="D324" s="159" t="s">
        <v>88</v>
      </c>
      <c r="E324" s="220"/>
      <c r="F324" s="127">
        <v>3.0</v>
      </c>
      <c r="G324" s="221">
        <v>45641.0</v>
      </c>
      <c r="H324" s="195"/>
      <c r="I324" s="130"/>
      <c r="J324" s="151">
        <v>9.0</v>
      </c>
      <c r="K324" s="213"/>
      <c r="L324" s="133"/>
      <c r="M324" s="134">
        <f>I189</f>
        <v>12.5</v>
      </c>
      <c r="N324" s="135" t="str">
        <f>iferror(mround($P189*((VLOOKUP($J324,Sheet1!$D:$N,$G324+1,FALSE)-0.03)),2.5)," ")</f>
        <v> </v>
      </c>
      <c r="O324" s="135" t="str">
        <f>iferror(mround($P189*((VLOOKUP($J324,Sheet1!$D:$N,$G324+1,FALSE)+0.02)),2.5)," ")</f>
        <v> </v>
      </c>
      <c r="P324" s="112" t="str">
        <f>iferror(mround(I324/VLOOKUP(L324,Sheet1!$D$7:$N$16,G324+1,FALSE),2.5),"")</f>
        <v/>
      </c>
      <c r="Q324" s="303" t="str">
        <f t="shared" si="7"/>
        <v/>
      </c>
      <c r="R324" s="214"/>
      <c r="S324" s="11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</row>
    <row r="325" ht="3.75" customHeight="1">
      <c r="A325" s="90"/>
      <c r="B325" s="6"/>
      <c r="C325" s="90"/>
      <c r="D325" s="138"/>
      <c r="E325" s="215"/>
      <c r="F325" s="102"/>
      <c r="G325" s="102"/>
      <c r="H325" s="102"/>
      <c r="I325" s="102"/>
      <c r="J325" s="156"/>
      <c r="K325" s="217"/>
      <c r="L325" s="143"/>
      <c r="M325" s="144"/>
      <c r="N325" s="145"/>
      <c r="O325" s="145"/>
      <c r="P325" s="122"/>
      <c r="Q325" s="304" t="str">
        <f t="shared" si="7"/>
        <v/>
      </c>
      <c r="R325" s="214"/>
      <c r="S325" s="11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</row>
    <row r="326" ht="15.75" customHeight="1">
      <c r="A326" s="90"/>
      <c r="B326" s="6"/>
      <c r="C326" s="90"/>
      <c r="D326" s="159" t="s">
        <v>47</v>
      </c>
      <c r="E326" s="220"/>
      <c r="F326" s="127">
        <v>3.0</v>
      </c>
      <c r="G326" s="221">
        <v>45641.0</v>
      </c>
      <c r="H326" s="195"/>
      <c r="I326" s="130"/>
      <c r="J326" s="151">
        <v>9.0</v>
      </c>
      <c r="K326" s="213"/>
      <c r="L326" s="133"/>
      <c r="M326" s="134">
        <f>I191</f>
        <v>72.5</v>
      </c>
      <c r="N326" s="135" t="str">
        <f>iferror(mround($P191*((VLOOKUP($J326,Sheet1!$D:$N,$G326+1,FALSE)-0.03)),2.5)," ")</f>
        <v> </v>
      </c>
      <c r="O326" s="135" t="str">
        <f>iferror(mround($P191*((VLOOKUP($J326,Sheet1!$D:$N,$G326+1,FALSE)+0.02)),2.5)," ")</f>
        <v> </v>
      </c>
      <c r="P326" s="112" t="str">
        <f>iferror(mround(I326/VLOOKUP(L326,Sheet1!$D$7:$N$16,G326+1,FALSE),2.5),"")</f>
        <v/>
      </c>
      <c r="Q326" s="303" t="str">
        <f t="shared" si="7"/>
        <v/>
      </c>
      <c r="R326" s="214"/>
      <c r="S326" s="11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</row>
    <row r="327" ht="3.75" customHeight="1">
      <c r="A327" s="90"/>
      <c r="B327" s="6"/>
      <c r="C327" s="90"/>
      <c r="D327" s="138"/>
      <c r="E327" s="326"/>
      <c r="F327" s="102"/>
      <c r="G327" s="102"/>
      <c r="H327" s="102"/>
      <c r="I327" s="102"/>
      <c r="J327" s="216"/>
      <c r="K327" s="222"/>
      <c r="L327" s="143"/>
      <c r="M327" s="144"/>
      <c r="N327" s="145"/>
      <c r="O327" s="145"/>
      <c r="P327" s="122"/>
      <c r="Q327" s="304" t="str">
        <f t="shared" si="7"/>
        <v/>
      </c>
      <c r="R327" s="214"/>
      <c r="S327" s="11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</row>
    <row r="328" ht="18.0" hidden="1" customHeight="1">
      <c r="A328" s="90"/>
      <c r="B328" s="6"/>
      <c r="C328" s="90"/>
      <c r="D328" s="185"/>
      <c r="E328" s="327"/>
      <c r="F328" s="187"/>
      <c r="G328" s="187"/>
      <c r="H328" s="195"/>
      <c r="I328" s="164"/>
      <c r="J328" s="189"/>
      <c r="K328" s="190"/>
      <c r="L328" s="183"/>
      <c r="M328" s="134" t="str">
        <f>I193</f>
        <v/>
      </c>
      <c r="N328" s="135" t="str">
        <f>iferror(mround($P193*((VLOOKUP($J328,Sheet1!$D:$N,$G328+1,FALSE)-0.03)),2.5)," ")</f>
        <v> </v>
      </c>
      <c r="O328" s="135" t="str">
        <f>iferror(mround($P193*((VLOOKUP($J328,Sheet1!$D:$N,$G328+1,FALSE)+0.02)),2.5)," ")</f>
        <v> </v>
      </c>
      <c r="P328" s="112" t="str">
        <f>iferror(mround(I328/VLOOKUP(L328,Sheet1!$D$7:$N$16,G328+1,FALSE),2.5),"")</f>
        <v/>
      </c>
      <c r="Q328" s="303" t="str">
        <f t="shared" si="7"/>
        <v/>
      </c>
      <c r="R328" s="214"/>
      <c r="S328" s="11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</row>
    <row r="329" ht="3.75" hidden="1" customHeight="1">
      <c r="A329" s="191"/>
      <c r="B329" s="6"/>
      <c r="C329" s="192"/>
      <c r="D329" s="138"/>
      <c r="E329" s="223"/>
      <c r="F329" s="194"/>
      <c r="G329" s="194"/>
      <c r="H329" s="155"/>
      <c r="I329" s="210"/>
      <c r="J329" s="216"/>
      <c r="K329" s="222"/>
      <c r="L329" s="143"/>
      <c r="M329" s="144"/>
      <c r="N329" s="145"/>
      <c r="O329" s="145"/>
      <c r="P329" s="122"/>
      <c r="Q329" s="304" t="str">
        <f t="shared" si="7"/>
        <v/>
      </c>
      <c r="R329" s="214"/>
      <c r="S329" s="157"/>
      <c r="T329" s="5"/>
      <c r="U329" s="5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</row>
    <row r="330" ht="15.75" hidden="1" customHeight="1">
      <c r="A330" s="90"/>
      <c r="B330" s="6"/>
      <c r="C330" s="90"/>
      <c r="D330" s="185"/>
      <c r="E330" s="186"/>
      <c r="F330" s="187"/>
      <c r="G330" s="187"/>
      <c r="H330" s="195"/>
      <c r="I330" s="164"/>
      <c r="J330" s="189"/>
      <c r="K330" s="190"/>
      <c r="L330" s="183"/>
      <c r="M330" s="134" t="str">
        <f>I195</f>
        <v/>
      </c>
      <c r="N330" s="135" t="str">
        <f>iferror(mround($P195*((VLOOKUP($J330,Sheet1!$D:$N,$G330+1,FALSE)-0.03)),2.5)," ")</f>
        <v> </v>
      </c>
      <c r="O330" s="135" t="str">
        <f>iferror(mround($P195*((VLOOKUP($J330,Sheet1!$D:$N,$G330+1,FALSE)+0.02)),2.5)," ")</f>
        <v> </v>
      </c>
      <c r="P330" s="112" t="str">
        <f>iferror(mround(I330/VLOOKUP(L330,Sheet1!$D$7:$N$16,G330+1,FALSE),2.5),"")</f>
        <v/>
      </c>
      <c r="Q330" s="303" t="str">
        <f t="shared" si="7"/>
        <v/>
      </c>
      <c r="R330" s="214"/>
      <c r="S330" s="11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</row>
    <row r="331" ht="3.75" hidden="1" customHeight="1">
      <c r="A331" s="90"/>
      <c r="B331" s="6"/>
      <c r="C331" s="90"/>
      <c r="D331" s="138"/>
      <c r="E331" s="184"/>
      <c r="F331" s="102"/>
      <c r="G331" s="102"/>
      <c r="H331" s="102"/>
      <c r="I331" s="102"/>
      <c r="J331" s="156"/>
      <c r="K331" s="222"/>
      <c r="L331" s="143"/>
      <c r="M331" s="144"/>
      <c r="N331" s="145"/>
      <c r="O331" s="145"/>
      <c r="P331" s="122"/>
      <c r="Q331" s="304" t="str">
        <f t="shared" si="7"/>
        <v/>
      </c>
      <c r="R331" s="214"/>
      <c r="S331" s="11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</row>
    <row r="332" ht="15.75" hidden="1" customHeight="1">
      <c r="A332" s="90"/>
      <c r="B332" s="6"/>
      <c r="C332" s="90"/>
      <c r="D332" s="185"/>
      <c r="E332" s="224"/>
      <c r="F332" s="187"/>
      <c r="G332" s="187"/>
      <c r="H332" s="195"/>
      <c r="I332" s="164"/>
      <c r="J332" s="189"/>
      <c r="K332" s="190"/>
      <c r="L332" s="183"/>
      <c r="M332" s="134" t="str">
        <f>I197</f>
        <v/>
      </c>
      <c r="N332" s="135" t="str">
        <f>iferror(mround($P197*((VLOOKUP($J332,Sheet1!$D:$N,$G332+1,FALSE)-0.03)),2.5)," ")</f>
        <v> </v>
      </c>
      <c r="O332" s="135" t="str">
        <f>iferror(mround($P197*((VLOOKUP($J332,Sheet1!$D:$N,$G332+1,FALSE)+0.02)),2.5)," ")</f>
        <v> </v>
      </c>
      <c r="P332" s="112" t="str">
        <f>iferror(mround(I332/VLOOKUP(L332,Sheet1!$D$7:$N$16,G332+1,FALSE),2.5),"")</f>
        <v/>
      </c>
      <c r="Q332" s="303" t="str">
        <f t="shared" si="7"/>
        <v/>
      </c>
      <c r="R332" s="214"/>
      <c r="S332" s="11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</row>
    <row r="333" ht="3.75" hidden="1" customHeight="1">
      <c r="A333" s="191"/>
      <c r="B333" s="6"/>
      <c r="C333" s="192"/>
      <c r="D333" s="138"/>
      <c r="E333" s="193"/>
      <c r="F333" s="194"/>
      <c r="G333" s="194"/>
      <c r="H333" s="155"/>
      <c r="I333" s="210"/>
      <c r="J333" s="216"/>
      <c r="K333" s="222"/>
      <c r="L333" s="143"/>
      <c r="M333" s="144"/>
      <c r="N333" s="145"/>
      <c r="O333" s="145"/>
      <c r="P333" s="122"/>
      <c r="Q333" s="304" t="str">
        <f t="shared" si="7"/>
        <v/>
      </c>
      <c r="R333" s="214"/>
      <c r="S333" s="157"/>
      <c r="T333" s="5"/>
      <c r="U333" s="5"/>
      <c r="V333" s="158"/>
      <c r="W333" s="158"/>
      <c r="X333" s="158"/>
      <c r="Y333" s="158"/>
      <c r="Z333" s="158"/>
      <c r="AA333" s="158"/>
      <c r="AB333" s="158"/>
      <c r="AC333" s="158"/>
      <c r="AD333" s="158"/>
      <c r="AE333" s="158"/>
      <c r="AF333" s="158"/>
      <c r="AG333" s="158"/>
    </row>
    <row r="334" ht="15.75" hidden="1" customHeight="1">
      <c r="A334" s="90"/>
      <c r="B334" s="6"/>
      <c r="C334" s="90"/>
      <c r="D334" s="185"/>
      <c r="E334" s="186"/>
      <c r="F334" s="187"/>
      <c r="G334" s="187"/>
      <c r="H334" s="195"/>
      <c r="I334" s="164"/>
      <c r="J334" s="189"/>
      <c r="K334" s="190"/>
      <c r="L334" s="183"/>
      <c r="M334" s="134" t="str">
        <f>I199</f>
        <v/>
      </c>
      <c r="N334" s="135" t="str">
        <f>iferror(mround($P199*((VLOOKUP($J334,Sheet1!$D:$N,$G334+1,FALSE)-0.03)),2.5)," ")</f>
        <v> </v>
      </c>
      <c r="O334" s="135" t="str">
        <f>iferror(mround($P199*((VLOOKUP($J334,Sheet1!$D:$N,$G334+1,FALSE)+0.02)),2.5)," ")</f>
        <v> </v>
      </c>
      <c r="P334" s="112" t="str">
        <f>iferror(mround(I334/VLOOKUP(L334,Sheet1!$D$7:$N$16,G334+1,FALSE),2.5),"")</f>
        <v/>
      </c>
      <c r="Q334" s="303" t="str">
        <f t="shared" si="7"/>
        <v/>
      </c>
      <c r="R334" s="214"/>
      <c r="S334" s="11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</row>
    <row r="335" ht="3.75" hidden="1" customHeight="1">
      <c r="A335" s="90"/>
      <c r="B335" s="6"/>
      <c r="C335" s="90"/>
      <c r="D335" s="196"/>
      <c r="E335" s="184"/>
      <c r="F335" s="102"/>
      <c r="G335" s="102"/>
      <c r="H335" s="102"/>
      <c r="I335" s="102"/>
      <c r="J335" s="156"/>
      <c r="K335" s="222"/>
      <c r="L335" s="143"/>
      <c r="M335" s="144"/>
      <c r="N335" s="145"/>
      <c r="O335" s="145"/>
      <c r="P335" s="122"/>
      <c r="Q335" s="304" t="str">
        <f t="shared" si="7"/>
        <v/>
      </c>
      <c r="R335" s="214"/>
      <c r="S335" s="11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</row>
    <row r="336" ht="15.75" hidden="1" customHeight="1">
      <c r="A336" s="90"/>
      <c r="B336" s="6"/>
      <c r="C336" s="90"/>
      <c r="D336" s="197"/>
      <c r="E336" s="198"/>
      <c r="F336" s="199"/>
      <c r="G336" s="187"/>
      <c r="H336" s="195"/>
      <c r="I336" s="164"/>
      <c r="J336" s="189"/>
      <c r="K336" s="190"/>
      <c r="L336" s="183"/>
      <c r="M336" s="134" t="str">
        <f>I201</f>
        <v/>
      </c>
      <c r="N336" s="135" t="str">
        <f>iferror(mround($P201*((VLOOKUP($J336,Sheet1!$D:$N,$G336+1,FALSE)-0.03)),2.5)," ")</f>
        <v> </v>
      </c>
      <c r="O336" s="135" t="str">
        <f>iferror(mround($P201*((VLOOKUP($J336,Sheet1!$D:$N,$G336+1,FALSE)+0.02)),2.5)," ")</f>
        <v> </v>
      </c>
      <c r="P336" s="112" t="str">
        <f>iferror(mround(I336/VLOOKUP(L336,Sheet1!$D$7:$N$16,G336+1,FALSE),2.5),"")</f>
        <v/>
      </c>
      <c r="Q336" s="303" t="str">
        <f t="shared" si="7"/>
        <v/>
      </c>
      <c r="R336" s="214"/>
      <c r="S336" s="11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</row>
    <row r="337" ht="3.75" hidden="1" customHeight="1">
      <c r="A337" s="90"/>
      <c r="B337" s="6"/>
      <c r="C337" s="90"/>
      <c r="D337" s="90"/>
      <c r="E337" s="156"/>
      <c r="F337" s="102"/>
      <c r="G337" s="102"/>
      <c r="H337" s="102"/>
      <c r="I337" s="102"/>
      <c r="J337" s="156"/>
      <c r="K337" s="222"/>
      <c r="L337" s="201"/>
      <c r="M337" s="211"/>
      <c r="N337" s="47"/>
      <c r="O337" s="47"/>
      <c r="P337" s="122"/>
      <c r="Q337" s="304" t="str">
        <f t="shared" si="7"/>
        <v/>
      </c>
      <c r="R337" s="214"/>
      <c r="S337" s="11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</row>
    <row r="338" ht="30.75" customHeight="1">
      <c r="A338" s="90"/>
      <c r="B338" s="6"/>
      <c r="C338" s="90"/>
      <c r="D338" s="202" t="s">
        <v>49</v>
      </c>
      <c r="E338" s="105" t="s">
        <v>89</v>
      </c>
      <c r="F338" s="106" t="s">
        <v>16</v>
      </c>
      <c r="G338" s="106" t="s">
        <v>17</v>
      </c>
      <c r="H338" s="107"/>
      <c r="I338" s="106" t="s">
        <v>18</v>
      </c>
      <c r="J338" s="108" t="s">
        <v>19</v>
      </c>
      <c r="L338" s="109" t="s">
        <v>20</v>
      </c>
      <c r="M338" s="110" t="s">
        <v>21</v>
      </c>
      <c r="N338" s="111" t="s">
        <v>22</v>
      </c>
      <c r="P338" s="112"/>
      <c r="Q338" s="113" t="s">
        <v>23</v>
      </c>
      <c r="R338" s="114" t="s">
        <v>50</v>
      </c>
      <c r="S338" s="11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</row>
    <row r="339" ht="14.25" customHeight="1">
      <c r="A339" s="90"/>
      <c r="B339" s="6"/>
      <c r="C339" s="90"/>
      <c r="D339" s="116">
        <v>3.0</v>
      </c>
      <c r="E339" s="117">
        <v>3.0</v>
      </c>
      <c r="H339" s="107"/>
      <c r="N339" s="111" t="s">
        <v>27</v>
      </c>
      <c r="O339" s="111" t="s">
        <v>28</v>
      </c>
      <c r="P339" s="112" t="s">
        <v>29</v>
      </c>
      <c r="R339" s="118" t="s">
        <v>30</v>
      </c>
      <c r="S339" s="11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</row>
    <row r="340" ht="3.75" customHeight="1">
      <c r="A340" s="191"/>
      <c r="B340" s="6"/>
      <c r="C340" s="192"/>
      <c r="D340" s="203"/>
      <c r="E340" s="203"/>
      <c r="F340" s="205"/>
      <c r="G340" s="205"/>
      <c r="H340" s="205"/>
      <c r="I340" s="225"/>
      <c r="J340" s="226"/>
      <c r="K340" s="209"/>
      <c r="L340" s="210"/>
      <c r="M340" s="211"/>
      <c r="N340" s="47"/>
      <c r="O340" s="47"/>
      <c r="P340" s="122"/>
      <c r="Q340" s="304" t="str">
        <f t="shared" ref="Q340:Q360" si="8">IF(OR(ISBLANK(I340), ISBLANK(I205)), "", IF(I340 - I205 = 0, "", I340 - I205))</f>
        <v/>
      </c>
      <c r="R340" s="212"/>
      <c r="S340" s="157"/>
      <c r="T340" s="5"/>
      <c r="U340" s="5"/>
      <c r="V340" s="158"/>
      <c r="W340" s="158"/>
      <c r="X340" s="158"/>
      <c r="Y340" s="158"/>
      <c r="Z340" s="158"/>
      <c r="AA340" s="158"/>
      <c r="AB340" s="158"/>
      <c r="AC340" s="158"/>
      <c r="AD340" s="158"/>
      <c r="AE340" s="158"/>
      <c r="AF340" s="158"/>
      <c r="AG340" s="158"/>
    </row>
    <row r="341" ht="15.75" customHeight="1">
      <c r="A341" s="124"/>
      <c r="B341" s="6"/>
      <c r="C341" s="124"/>
      <c r="D341" s="125" t="s">
        <v>90</v>
      </c>
      <c r="E341" s="126"/>
      <c r="F341" s="127">
        <v>1.0</v>
      </c>
      <c r="G341" s="240">
        <v>4.0</v>
      </c>
      <c r="H341" s="129"/>
      <c r="I341" s="130">
        <v>408.0</v>
      </c>
      <c r="J341" s="151">
        <v>7.0</v>
      </c>
      <c r="K341" s="219"/>
      <c r="L341" s="133">
        <v>7.0</v>
      </c>
      <c r="M341" s="134">
        <f>I206</f>
        <v>397</v>
      </c>
      <c r="N341" s="135">
        <f>iferror(mround($P206*((VLOOKUP($J341,Sheet1!$D:$N,$G341+1,FALSE)-0.03)),2.5)," ")</f>
        <v>382.5</v>
      </c>
      <c r="O341" s="135">
        <f>iferror(mround($P206*((VLOOKUP($J341,Sheet1!$D:$N,$G341+1,FALSE)+0.02)),2.5)," ")</f>
        <v>407.5</v>
      </c>
      <c r="P341" s="112">
        <f>iferror(mround(I341/VLOOKUP(L341,Sheet1!$D$7:$N$16,G341+1,FALSE),2.5),"")</f>
        <v>500</v>
      </c>
      <c r="Q341" s="303">
        <f t="shared" si="8"/>
        <v>11</v>
      </c>
      <c r="R341" s="214"/>
      <c r="S341" s="11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</row>
    <row r="342" ht="3.75" customHeight="1">
      <c r="A342" s="124"/>
      <c r="B342" s="6"/>
      <c r="C342" s="124"/>
      <c r="D342" s="138"/>
      <c r="E342" s="139"/>
      <c r="F342" s="140"/>
      <c r="G342" s="140"/>
      <c r="H342" s="140"/>
      <c r="I342" s="140"/>
      <c r="J342" s="141"/>
      <c r="K342" s="217"/>
      <c r="L342" s="218"/>
      <c r="M342" s="144"/>
      <c r="N342" s="145"/>
      <c r="O342" s="145"/>
      <c r="P342" s="122"/>
      <c r="Q342" s="304" t="str">
        <f t="shared" si="8"/>
        <v/>
      </c>
      <c r="R342" s="214"/>
      <c r="S342" s="11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</row>
    <row r="343" ht="15.75" customHeight="1">
      <c r="A343" s="90"/>
      <c r="B343" s="6"/>
      <c r="C343" s="90"/>
      <c r="D343" s="125" t="s">
        <v>77</v>
      </c>
      <c r="E343" s="126"/>
      <c r="F343" s="127">
        <v>4.0</v>
      </c>
      <c r="G343" s="240">
        <v>5.0</v>
      </c>
      <c r="H343" s="129"/>
      <c r="I343" s="164">
        <f>MROUND(I341*(1+J343),5)</f>
        <v>365</v>
      </c>
      <c r="J343" s="165">
        <v>-0.1</v>
      </c>
      <c r="K343" s="213"/>
      <c r="L343" s="133">
        <v>6.0</v>
      </c>
      <c r="M343" s="134">
        <f>I208</f>
        <v>350</v>
      </c>
      <c r="N343" s="135" t="str">
        <f>iferror(mround($P208*((VLOOKUP($J343,Sheet1!$D:$N,$G343+1,FALSE)-0.03)),2.5)," ")</f>
        <v> </v>
      </c>
      <c r="O343" s="135" t="str">
        <f>iferror(mround($P208*((VLOOKUP($J343,Sheet1!$D:$N,$G343+1,FALSE)+0.02)),2.5)," ")</f>
        <v> </v>
      </c>
      <c r="P343" s="112">
        <f>iferror(mround(I343/VLOOKUP(L343,Sheet1!$D$7:$N$16,G343+1,FALSE),2.5),"")</f>
        <v>477.5</v>
      </c>
      <c r="Q343" s="303">
        <f t="shared" si="8"/>
        <v>15</v>
      </c>
      <c r="R343" s="214"/>
      <c r="S343" s="11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</row>
    <row r="344" ht="3.75" customHeight="1">
      <c r="A344" s="90"/>
      <c r="B344" s="6"/>
      <c r="C344" s="90"/>
      <c r="D344" s="138"/>
      <c r="E344" s="215"/>
      <c r="F344" s="102"/>
      <c r="G344" s="102"/>
      <c r="H344" s="102"/>
      <c r="I344" s="102"/>
      <c r="J344" s="156"/>
      <c r="K344" s="217"/>
      <c r="L344" s="218"/>
      <c r="M344" s="144"/>
      <c r="N344" s="145"/>
      <c r="O344" s="145"/>
      <c r="P344" s="122"/>
      <c r="Q344" s="304" t="str">
        <f t="shared" si="8"/>
        <v/>
      </c>
      <c r="R344" s="214"/>
      <c r="S344" s="11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</row>
    <row r="345" ht="15.75" customHeight="1">
      <c r="A345" s="90"/>
      <c r="B345" s="6"/>
      <c r="C345" s="90"/>
      <c r="D345" s="159" t="s">
        <v>33</v>
      </c>
      <c r="E345" s="160" t="s">
        <v>34</v>
      </c>
      <c r="F345" s="127">
        <v>3.0</v>
      </c>
      <c r="G345" s="161">
        <v>2.0</v>
      </c>
      <c r="H345" s="129"/>
      <c r="I345" s="130">
        <v>281.0</v>
      </c>
      <c r="J345" s="151">
        <v>7.0</v>
      </c>
      <c r="K345" s="219" t="s">
        <v>91</v>
      </c>
      <c r="L345" s="133">
        <v>7.0</v>
      </c>
      <c r="M345" s="134">
        <f>I210</f>
        <v>275</v>
      </c>
      <c r="N345" s="135">
        <f>iferror(mround($P210*((VLOOKUP($J345,Sheet1!$D:$N,$G345+1,FALSE)-0.03)),2.5)," ")</f>
        <v>265</v>
      </c>
      <c r="O345" s="135">
        <f>iferror(mround($P210*((VLOOKUP($J345,Sheet1!$D:$N,$G345+1,FALSE)+0.02)),2.5)," ")</f>
        <v>280</v>
      </c>
      <c r="P345" s="112">
        <f>iferror(mround(I345/VLOOKUP(L345,Sheet1!$D$7:$N$16,G345+1,FALSE),2.5),"")</f>
        <v>325</v>
      </c>
      <c r="Q345" s="303">
        <f t="shared" si="8"/>
        <v>6</v>
      </c>
      <c r="R345" s="214"/>
      <c r="S345" s="11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</row>
    <row r="346" ht="3.75" customHeight="1">
      <c r="A346" s="90"/>
      <c r="B346" s="6"/>
      <c r="C346" s="90"/>
      <c r="D346" s="138"/>
      <c r="E346" s="154"/>
      <c r="F346" s="155"/>
      <c r="G346" s="102"/>
      <c r="H346" s="102"/>
      <c r="I346" s="102"/>
      <c r="J346" s="156"/>
      <c r="K346" s="217"/>
      <c r="L346" s="218"/>
      <c r="M346" s="144"/>
      <c r="N346" s="145"/>
      <c r="O346" s="145"/>
      <c r="P346" s="122"/>
      <c r="Q346" s="304" t="str">
        <f t="shared" si="8"/>
        <v/>
      </c>
      <c r="R346" s="214"/>
      <c r="S346" s="11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</row>
    <row r="347" ht="15.75" customHeight="1">
      <c r="A347" s="90"/>
      <c r="B347" s="6"/>
      <c r="C347" s="90"/>
      <c r="D347" s="159" t="s">
        <v>45</v>
      </c>
      <c r="E347" s="220"/>
      <c r="F347" s="127">
        <v>3.0</v>
      </c>
      <c r="G347" s="127" t="s">
        <v>41</v>
      </c>
      <c r="H347" s="195"/>
      <c r="I347" s="164"/>
      <c r="J347" s="151"/>
      <c r="K347" s="213"/>
      <c r="L347" s="133"/>
      <c r="M347" s="134" t="str">
        <f>I212</f>
        <v/>
      </c>
      <c r="N347" s="135" t="str">
        <f>iferror(mround($P212*((VLOOKUP($J347,Sheet1!$D:$N,$G347+1,FALSE)-0.03)),2.5)," ")</f>
        <v> </v>
      </c>
      <c r="O347" s="135" t="str">
        <f>iferror(mround($P212*((VLOOKUP($J347,Sheet1!$D:$N,$G347+1,FALSE)+0.02)),2.5)," ")</f>
        <v> </v>
      </c>
      <c r="P347" s="112" t="str">
        <f>iferror(mround(I347/VLOOKUP(L347,Sheet1!$D$7:$N$16,G347+1,FALSE),2.5),"")</f>
        <v/>
      </c>
      <c r="Q347" s="303" t="str">
        <f t="shared" si="8"/>
        <v/>
      </c>
      <c r="R347" s="214"/>
      <c r="S347" s="11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</row>
    <row r="348" ht="3.75" customHeight="1">
      <c r="A348" s="90"/>
      <c r="B348" s="6"/>
      <c r="C348" s="90"/>
      <c r="D348" s="138"/>
      <c r="E348" s="215"/>
      <c r="F348" s="102"/>
      <c r="G348" s="102"/>
      <c r="H348" s="102"/>
      <c r="I348" s="102"/>
      <c r="J348" s="156"/>
      <c r="K348" s="217"/>
      <c r="L348" s="218"/>
      <c r="M348" s="144"/>
      <c r="N348" s="145"/>
      <c r="O348" s="145"/>
      <c r="P348" s="122"/>
      <c r="Q348" s="304" t="str">
        <f t="shared" si="8"/>
        <v/>
      </c>
      <c r="R348" s="214"/>
      <c r="S348" s="11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</row>
    <row r="349" ht="15.75" customHeight="1">
      <c r="A349" s="90"/>
      <c r="B349" s="6"/>
      <c r="C349" s="90"/>
      <c r="D349" s="159" t="s">
        <v>94</v>
      </c>
      <c r="E349" s="220"/>
      <c r="F349" s="127">
        <v>3.0</v>
      </c>
      <c r="G349" s="221">
        <v>45641.0</v>
      </c>
      <c r="H349" s="195"/>
      <c r="I349" s="130"/>
      <c r="J349" s="151">
        <v>9.0</v>
      </c>
      <c r="K349" s="213"/>
      <c r="L349" s="133"/>
      <c r="M349" s="134" t="str">
        <f>I214</f>
        <v/>
      </c>
      <c r="N349" s="135" t="str">
        <f>iferror(mround($P214*((VLOOKUP($J349,Sheet1!$D:$N,$G349+1,FALSE)-0.03)),2.5)," ")</f>
        <v> </v>
      </c>
      <c r="O349" s="135" t="str">
        <f>iferror(mround($P214*((VLOOKUP($J349,Sheet1!$D:$N,$G349+1,FALSE)+0.02)),2.5)," ")</f>
        <v> </v>
      </c>
      <c r="P349" s="112" t="str">
        <f>iferror(mround(I349/VLOOKUP(L349,Sheet1!$D$7:$N$16,G349+1,FALSE),2.5),"")</f>
        <v/>
      </c>
      <c r="Q349" s="303" t="str">
        <f t="shared" si="8"/>
        <v/>
      </c>
      <c r="R349" s="214"/>
      <c r="S349" s="11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</row>
    <row r="350" ht="3.75" customHeight="1">
      <c r="A350" s="90"/>
      <c r="B350" s="6"/>
      <c r="C350" s="90"/>
      <c r="D350" s="138"/>
      <c r="E350" s="215"/>
      <c r="F350" s="102"/>
      <c r="G350" s="102"/>
      <c r="H350" s="102"/>
      <c r="I350" s="102"/>
      <c r="J350" s="156"/>
      <c r="K350" s="222"/>
      <c r="L350" s="218"/>
      <c r="M350" s="144"/>
      <c r="N350" s="145"/>
      <c r="O350" s="145"/>
      <c r="P350" s="122"/>
      <c r="Q350" s="304" t="str">
        <f t="shared" si="8"/>
        <v/>
      </c>
      <c r="R350" s="214"/>
      <c r="S350" s="11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</row>
    <row r="351" ht="15.75" hidden="1" customHeight="1">
      <c r="A351" s="90"/>
      <c r="B351" s="6"/>
      <c r="C351" s="90"/>
      <c r="D351" s="185"/>
      <c r="E351" s="220"/>
      <c r="F351" s="187"/>
      <c r="G351" s="229"/>
      <c r="H351" s="195"/>
      <c r="I351" s="164"/>
      <c r="J351" s="189"/>
      <c r="K351" s="190"/>
      <c r="L351" s="183"/>
      <c r="M351" s="134" t="str">
        <f>I216</f>
        <v/>
      </c>
      <c r="N351" s="135" t="str">
        <f>iferror(mround($P216*((VLOOKUP($J351,Sheet1!$D:$N,$G351+1,FALSE)-0.03)),2.5)," ")</f>
        <v> </v>
      </c>
      <c r="O351" s="135" t="str">
        <f>iferror(mround($P216*((VLOOKUP($J351,Sheet1!$D:$N,$G351+1,FALSE)+0.02)),2.5)," ")</f>
        <v> </v>
      </c>
      <c r="P351" s="112" t="str">
        <f>iferror(mround(I351/VLOOKUP(L351,Sheet1!$D$7:$N$16,G351+1,FALSE),2.5),"")</f>
        <v/>
      </c>
      <c r="Q351" s="303" t="str">
        <f t="shared" si="8"/>
        <v/>
      </c>
      <c r="R351" s="214"/>
      <c r="S351" s="11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</row>
    <row r="352" ht="3.75" hidden="1" customHeight="1">
      <c r="A352" s="90"/>
      <c r="B352" s="6"/>
      <c r="C352" s="90"/>
      <c r="D352" s="138"/>
      <c r="E352" s="215"/>
      <c r="F352" s="102"/>
      <c r="G352" s="102"/>
      <c r="H352" s="102"/>
      <c r="I352" s="102"/>
      <c r="J352" s="216"/>
      <c r="K352" s="222"/>
      <c r="L352" s="218"/>
      <c r="M352" s="144"/>
      <c r="N352" s="145"/>
      <c r="O352" s="145"/>
      <c r="P352" s="122"/>
      <c r="Q352" s="304" t="str">
        <f t="shared" si="8"/>
        <v/>
      </c>
      <c r="R352" s="214"/>
      <c r="S352" s="11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</row>
    <row r="353" ht="15.75" hidden="1" customHeight="1">
      <c r="A353" s="90"/>
      <c r="B353" s="6"/>
      <c r="C353" s="90"/>
      <c r="D353" s="185"/>
      <c r="E353" s="220"/>
      <c r="F353" s="187"/>
      <c r="G353" s="229"/>
      <c r="H353" s="195"/>
      <c r="I353" s="164"/>
      <c r="J353" s="189"/>
      <c r="K353" s="190"/>
      <c r="L353" s="183"/>
      <c r="M353" s="134" t="str">
        <f>I218</f>
        <v/>
      </c>
      <c r="N353" s="135" t="str">
        <f>iferror(mround($P218*((VLOOKUP($J353,Sheet1!$D:$N,$G353+1,FALSE)-0.03)),2.5)," ")</f>
        <v> </v>
      </c>
      <c r="O353" s="135" t="str">
        <f>iferror(mround($P218*((VLOOKUP($J353,Sheet1!$D:$N,$G353+1,FALSE)+0.02)),2.5)," ")</f>
        <v> </v>
      </c>
      <c r="P353" s="112" t="str">
        <f>iferror(mround(I353/VLOOKUP(L353,Sheet1!$D$7:$N$16,G353+1,FALSE),2.5),"")</f>
        <v/>
      </c>
      <c r="Q353" s="303" t="str">
        <f t="shared" si="8"/>
        <v/>
      </c>
      <c r="R353" s="214"/>
      <c r="S353" s="11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</row>
    <row r="354" ht="3.75" hidden="1" customHeight="1">
      <c r="A354" s="191"/>
      <c r="B354" s="6"/>
      <c r="C354" s="192"/>
      <c r="D354" s="138"/>
      <c r="E354" s="184"/>
      <c r="F354" s="102"/>
      <c r="G354" s="102"/>
      <c r="H354" s="102"/>
      <c r="I354" s="102"/>
      <c r="J354" s="156"/>
      <c r="K354" s="222"/>
      <c r="L354" s="218"/>
      <c r="M354" s="144"/>
      <c r="N354" s="145"/>
      <c r="O354" s="145"/>
      <c r="P354" s="122"/>
      <c r="Q354" s="304" t="str">
        <f t="shared" si="8"/>
        <v/>
      </c>
      <c r="R354" s="214"/>
      <c r="S354" s="157"/>
      <c r="T354" s="5"/>
      <c r="U354" s="5"/>
      <c r="V354" s="158"/>
      <c r="W354" s="158"/>
      <c r="X354" s="158"/>
      <c r="Y354" s="158"/>
      <c r="Z354" s="158"/>
      <c r="AA354" s="158"/>
      <c r="AB354" s="158"/>
      <c r="AC354" s="158"/>
      <c r="AD354" s="158"/>
      <c r="AE354" s="158"/>
      <c r="AF354" s="158"/>
      <c r="AG354" s="158"/>
    </row>
    <row r="355" ht="15.75" hidden="1" customHeight="1">
      <c r="A355" s="90"/>
      <c r="B355" s="6"/>
      <c r="C355" s="90"/>
      <c r="D355" s="185"/>
      <c r="E355" s="224"/>
      <c r="F355" s="187"/>
      <c r="G355" s="187"/>
      <c r="H355" s="195"/>
      <c r="I355" s="164"/>
      <c r="J355" s="230"/>
      <c r="K355" s="190"/>
      <c r="L355" s="183"/>
      <c r="M355" s="134" t="str">
        <f>I220</f>
        <v/>
      </c>
      <c r="N355" s="135" t="str">
        <f>iferror(mround($P220*((VLOOKUP($J355,Sheet1!$D:$N,$G355+1,FALSE)-0.03)),2.5)," ")</f>
        <v> </v>
      </c>
      <c r="O355" s="135" t="str">
        <f>iferror(mround($P220*((VLOOKUP($J355,Sheet1!$D:$N,$G355+1,FALSE)+0.02)),2.5)," ")</f>
        <v> </v>
      </c>
      <c r="P355" s="112" t="str">
        <f>iferror(mround(I355/VLOOKUP(L355,Sheet1!$D$7:$N$16,G355+1,FALSE),2.5),"")</f>
        <v/>
      </c>
      <c r="Q355" s="303" t="str">
        <f t="shared" si="8"/>
        <v/>
      </c>
      <c r="R355" s="214"/>
      <c r="S355" s="11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</row>
    <row r="356" ht="3.75" hidden="1" customHeight="1">
      <c r="A356" s="90"/>
      <c r="B356" s="6"/>
      <c r="C356" s="90"/>
      <c r="D356" s="138"/>
      <c r="E356" s="184"/>
      <c r="F356" s="102"/>
      <c r="G356" s="102"/>
      <c r="H356" s="102"/>
      <c r="I356" s="102"/>
      <c r="J356" s="156"/>
      <c r="K356" s="222"/>
      <c r="L356" s="218"/>
      <c r="M356" s="144"/>
      <c r="N356" s="145"/>
      <c r="O356" s="145"/>
      <c r="P356" s="122"/>
      <c r="Q356" s="304" t="str">
        <f t="shared" si="8"/>
        <v/>
      </c>
      <c r="R356" s="214"/>
      <c r="S356" s="11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</row>
    <row r="357" ht="15.75" hidden="1" customHeight="1">
      <c r="A357" s="90"/>
      <c r="B357" s="6"/>
      <c r="C357" s="90"/>
      <c r="D357" s="231"/>
      <c r="E357" s="232"/>
      <c r="F357" s="187"/>
      <c r="G357" s="187"/>
      <c r="H357" s="195"/>
      <c r="I357" s="164"/>
      <c r="J357" s="230"/>
      <c r="K357" s="190"/>
      <c r="L357" s="183"/>
      <c r="M357" s="134" t="str">
        <f>I222</f>
        <v/>
      </c>
      <c r="N357" s="135" t="str">
        <f>iferror(mround($P222*((VLOOKUP($J357,Sheet1!$D:$N,$G357+1,FALSE)-0.03)),2.5)," ")</f>
        <v> </v>
      </c>
      <c r="O357" s="135" t="str">
        <f>iferror(mround($P222*((VLOOKUP($J357,Sheet1!$D:$N,$G357+1,FALSE)+0.02)),2.5)," ")</f>
        <v> </v>
      </c>
      <c r="P357" s="112" t="str">
        <f>iferror(mround(I357/VLOOKUP(L357,Sheet1!$D$7:$N$16,G357+1,FALSE),2.5),"")</f>
        <v/>
      </c>
      <c r="Q357" s="303" t="str">
        <f t="shared" si="8"/>
        <v/>
      </c>
      <c r="R357" s="214"/>
      <c r="S357" s="11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</row>
    <row r="358" ht="3.75" hidden="1" customHeight="1">
      <c r="A358" s="191"/>
      <c r="B358" s="6"/>
      <c r="C358" s="233"/>
      <c r="D358" s="234"/>
      <c r="E358" s="235"/>
      <c r="F358" s="236"/>
      <c r="G358" s="194"/>
      <c r="H358" s="155"/>
      <c r="I358" s="210"/>
      <c r="J358" s="216"/>
      <c r="K358" s="222"/>
      <c r="L358" s="218"/>
      <c r="M358" s="144"/>
      <c r="N358" s="145"/>
      <c r="O358" s="145"/>
      <c r="P358" s="122"/>
      <c r="Q358" s="304" t="str">
        <f t="shared" si="8"/>
        <v/>
      </c>
      <c r="R358" s="214"/>
      <c r="S358" s="157"/>
      <c r="T358" s="5"/>
      <c r="U358" s="5"/>
      <c r="V358" s="158"/>
      <c r="W358" s="158"/>
      <c r="X358" s="158"/>
      <c r="Y358" s="158"/>
      <c r="Z358" s="158"/>
      <c r="AA358" s="158"/>
      <c r="AB358" s="158"/>
      <c r="AC358" s="158"/>
      <c r="AD358" s="158"/>
      <c r="AE358" s="158"/>
      <c r="AF358" s="158"/>
      <c r="AG358" s="158"/>
    </row>
    <row r="359" ht="15.75" hidden="1" customHeight="1">
      <c r="A359" s="90"/>
      <c r="B359" s="6"/>
      <c r="C359" s="90"/>
      <c r="D359" s="197"/>
      <c r="E359" s="198"/>
      <c r="F359" s="199"/>
      <c r="G359" s="187"/>
      <c r="H359" s="195"/>
      <c r="I359" s="164"/>
      <c r="J359" s="189"/>
      <c r="K359" s="190"/>
      <c r="L359" s="183"/>
      <c r="M359" s="134" t="str">
        <f>I224</f>
        <v/>
      </c>
      <c r="N359" s="135" t="str">
        <f>iferror(mround($P224*((VLOOKUP($J359,Sheet1!$D:$N,$G359+1,FALSE)-0.03)),2.5)," ")</f>
        <v> </v>
      </c>
      <c r="O359" s="135" t="str">
        <f>iferror(mround($P224*((VLOOKUP($J359,Sheet1!$D:$N,$G359+1,FALSE)+0.02)),2.5)," ")</f>
        <v> </v>
      </c>
      <c r="P359" s="112" t="str">
        <f>iferror(mround(I359/VLOOKUP(L359,Sheet1!$D$7:$N$16,G359+1,FALSE),2.5),"")</f>
        <v/>
      </c>
      <c r="Q359" s="303" t="str">
        <f t="shared" si="8"/>
        <v/>
      </c>
      <c r="R359" s="214"/>
      <c r="S359" s="11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</row>
    <row r="360" ht="3.75" customHeight="1">
      <c r="A360" s="90"/>
      <c r="B360" s="6"/>
      <c r="C360" s="90"/>
      <c r="D360" s="90"/>
      <c r="E360" s="156"/>
      <c r="F360" s="102"/>
      <c r="G360" s="102"/>
      <c r="H360" s="102"/>
      <c r="I360" s="102"/>
      <c r="J360" s="156"/>
      <c r="K360" s="200"/>
      <c r="L360" s="201"/>
      <c r="M360" s="211"/>
      <c r="N360" s="47"/>
      <c r="O360" s="47"/>
      <c r="P360" s="122"/>
      <c r="Q360" s="304" t="str">
        <f t="shared" si="8"/>
        <v/>
      </c>
      <c r="R360" s="214"/>
      <c r="S360" s="11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</row>
    <row r="361" ht="30.0" customHeight="1">
      <c r="A361" s="90"/>
      <c r="B361" s="6"/>
      <c r="C361" s="90"/>
      <c r="D361" s="202" t="s">
        <v>55</v>
      </c>
      <c r="E361" s="105" t="s">
        <v>106</v>
      </c>
      <c r="F361" s="106" t="s">
        <v>16</v>
      </c>
      <c r="G361" s="106" t="s">
        <v>17</v>
      </c>
      <c r="H361" s="107"/>
      <c r="I361" s="106" t="s">
        <v>18</v>
      </c>
      <c r="J361" s="108" t="s">
        <v>19</v>
      </c>
      <c r="L361" s="109" t="s">
        <v>20</v>
      </c>
      <c r="M361" s="110" t="s">
        <v>21</v>
      </c>
      <c r="N361" s="111" t="s">
        <v>22</v>
      </c>
      <c r="P361" s="112"/>
      <c r="Q361" s="113" t="s">
        <v>23</v>
      </c>
      <c r="R361" s="114" t="s">
        <v>56</v>
      </c>
      <c r="S361" s="11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</row>
    <row r="362" ht="14.25" customHeight="1">
      <c r="A362" s="90"/>
      <c r="B362" s="6"/>
      <c r="C362" s="90"/>
      <c r="D362" s="116" t="s">
        <v>25</v>
      </c>
      <c r="E362" s="117" t="s">
        <v>26</v>
      </c>
      <c r="H362" s="107"/>
      <c r="N362" s="111" t="s">
        <v>27</v>
      </c>
      <c r="O362" s="111" t="s">
        <v>28</v>
      </c>
      <c r="P362" s="112" t="s">
        <v>29</v>
      </c>
      <c r="R362" s="118" t="s">
        <v>30</v>
      </c>
      <c r="S362" s="11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</row>
    <row r="363" ht="3.75" customHeight="1">
      <c r="A363" s="191"/>
      <c r="B363" s="6"/>
      <c r="C363" s="192"/>
      <c r="D363" s="203"/>
      <c r="E363" s="204"/>
      <c r="F363" s="205"/>
      <c r="G363" s="205"/>
      <c r="H363" s="205"/>
      <c r="I363" s="225"/>
      <c r="J363" s="237"/>
      <c r="K363" s="209"/>
      <c r="L363" s="238"/>
      <c r="M363" s="211"/>
      <c r="N363" s="47"/>
      <c r="O363" s="47"/>
      <c r="P363" s="122"/>
      <c r="Q363" s="304" t="str">
        <f t="shared" ref="Q363:Q383" si="9">IF(OR(ISBLANK(I363), ISBLANK(I228)), "", IF(I363 - I228 = 0, "", I363 - I228))</f>
        <v/>
      </c>
      <c r="R363" s="239"/>
      <c r="S363" s="157"/>
      <c r="T363" s="5"/>
      <c r="U363" s="5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</row>
    <row r="364" ht="15.75" customHeight="1">
      <c r="A364" s="124"/>
      <c r="B364" s="6"/>
      <c r="C364" s="124"/>
      <c r="D364" s="125" t="s">
        <v>97</v>
      </c>
      <c r="E364" s="126"/>
      <c r="F364" s="127">
        <v>1.0</v>
      </c>
      <c r="G364" s="240">
        <v>4.0</v>
      </c>
      <c r="H364" s="129"/>
      <c r="I364" s="130">
        <v>485.0</v>
      </c>
      <c r="J364" s="151">
        <v>7.0</v>
      </c>
      <c r="K364" s="241"/>
      <c r="L364" s="130">
        <v>7.0</v>
      </c>
      <c r="M364" s="134">
        <f>I229</f>
        <v>474</v>
      </c>
      <c r="N364" s="135">
        <f>iferror(mround($P229*((VLOOKUP($J364,Sheet1!$D:$N,$G364+1,FALSE)-0.03)),2.5)," ")</f>
        <v>457.5</v>
      </c>
      <c r="O364" s="135">
        <f>iferror(mround($P229*((VLOOKUP($J364,Sheet1!$D:$N,$G364+1,FALSE)+0.02)),2.5)," ")</f>
        <v>487.5</v>
      </c>
      <c r="P364" s="112">
        <f>iferror(mround(I364/VLOOKUP(L364,Sheet1!$D$7:$N$16,G364+1,FALSE),2.5),"")</f>
        <v>595</v>
      </c>
      <c r="Q364" s="303">
        <f t="shared" si="9"/>
        <v>11</v>
      </c>
      <c r="R364" s="242"/>
      <c r="S364" s="11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</row>
    <row r="365" ht="3.75" customHeight="1">
      <c r="A365" s="124"/>
      <c r="B365" s="6"/>
      <c r="C365" s="124"/>
      <c r="D365" s="138"/>
      <c r="E365" s="139"/>
      <c r="F365" s="140"/>
      <c r="G365" s="140"/>
      <c r="H365" s="140"/>
      <c r="I365" s="140"/>
      <c r="J365" s="141"/>
      <c r="K365" s="243"/>
      <c r="L365" s="210"/>
      <c r="M365" s="144"/>
      <c r="N365" s="145"/>
      <c r="O365" s="145"/>
      <c r="P365" s="122"/>
      <c r="Q365" s="304" t="str">
        <f t="shared" si="9"/>
        <v/>
      </c>
      <c r="R365" s="242"/>
      <c r="S365" s="11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</row>
    <row r="366" ht="15.0" customHeight="1">
      <c r="A366" s="124"/>
      <c r="B366" s="6"/>
      <c r="C366" s="124"/>
      <c r="D366" s="125" t="s">
        <v>97</v>
      </c>
      <c r="E366" s="126"/>
      <c r="F366" s="127">
        <v>3.0</v>
      </c>
      <c r="G366" s="240">
        <v>4.0</v>
      </c>
      <c r="H366" s="129"/>
      <c r="I366" s="130">
        <v>435.0</v>
      </c>
      <c r="J366" s="151" t="s">
        <v>116</v>
      </c>
      <c r="K366" s="241"/>
      <c r="L366" s="130">
        <v>6.0</v>
      </c>
      <c r="M366" s="134">
        <f>I231</f>
        <v>425</v>
      </c>
      <c r="N366" s="135" t="str">
        <f>iferror(mround($P231*((VLOOKUP($J366,Sheet1!$D:$N,$G366+1,FALSE)-0.03)),2.5)," ")</f>
        <v> </v>
      </c>
      <c r="O366" s="135" t="str">
        <f>iferror(mround($P231*((VLOOKUP($J366,Sheet1!$D:$N,$G366+1,FALSE)+0.02)),2.5)," ")</f>
        <v> </v>
      </c>
      <c r="P366" s="112">
        <f>iferror(mround(I366/VLOOKUP(L366,Sheet1!$D$7:$N$16,G366+1,FALSE),2.5),"")</f>
        <v>550</v>
      </c>
      <c r="Q366" s="303">
        <f t="shared" si="9"/>
        <v>10</v>
      </c>
      <c r="R366" s="242"/>
      <c r="S366" s="11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</row>
    <row r="367" ht="3.75" customHeight="1">
      <c r="A367" s="124"/>
      <c r="B367" s="6"/>
      <c r="C367" s="124"/>
      <c r="D367" s="138"/>
      <c r="E367" s="215"/>
      <c r="F367" s="102"/>
      <c r="G367" s="102"/>
      <c r="H367" s="102"/>
      <c r="I367" s="102"/>
      <c r="J367" s="156"/>
      <c r="K367" s="243"/>
      <c r="L367" s="210"/>
      <c r="M367" s="144"/>
      <c r="N367" s="145"/>
      <c r="O367" s="145"/>
      <c r="P367" s="122"/>
      <c r="Q367" s="304" t="str">
        <f t="shared" si="9"/>
        <v/>
      </c>
      <c r="R367" s="242"/>
      <c r="S367" s="11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</row>
    <row r="368" ht="15.75" customHeight="1">
      <c r="A368" s="124"/>
      <c r="B368" s="6"/>
      <c r="C368" s="124"/>
      <c r="D368" s="159" t="s">
        <v>33</v>
      </c>
      <c r="E368" s="126"/>
      <c r="F368" s="127">
        <v>2.0</v>
      </c>
      <c r="G368" s="161">
        <v>1.0</v>
      </c>
      <c r="H368" s="129"/>
      <c r="I368" s="130">
        <v>325.0</v>
      </c>
      <c r="J368" s="151">
        <v>7.5</v>
      </c>
      <c r="K368" s="244" t="s">
        <v>98</v>
      </c>
      <c r="L368" s="130">
        <v>7.5</v>
      </c>
      <c r="M368" s="134">
        <f>I233</f>
        <v>314</v>
      </c>
      <c r="N368" s="135">
        <f>iferror(mround($P233*((VLOOKUP($J368,Sheet1!$D:$N,$G368+1,FALSE)-0.03)),2.5)," ")</f>
        <v>310</v>
      </c>
      <c r="O368" s="135">
        <f>iferror(mround($P233*((VLOOKUP($J368,Sheet1!$D:$N,$G368+1,FALSE)+0.02)),2.5)," ")</f>
        <v>327.5</v>
      </c>
      <c r="P368" s="112">
        <f>iferror(mround(I368/VLOOKUP(L368,Sheet1!$D$7:$N$16,G368+1,FALSE),2.5),"")</f>
        <v>357.5</v>
      </c>
      <c r="Q368" s="303">
        <f t="shared" si="9"/>
        <v>11</v>
      </c>
      <c r="R368" s="242"/>
      <c r="S368" s="11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</row>
    <row r="369" ht="3.75" customHeight="1">
      <c r="A369" s="124"/>
      <c r="B369" s="6"/>
      <c r="C369" s="124"/>
      <c r="D369" s="138"/>
      <c r="E369" s="154"/>
      <c r="F369" s="155"/>
      <c r="G369" s="102"/>
      <c r="H369" s="102"/>
      <c r="I369" s="102"/>
      <c r="J369" s="156"/>
      <c r="K369" s="243"/>
      <c r="L369" s="210"/>
      <c r="M369" s="144"/>
      <c r="N369" s="145"/>
      <c r="O369" s="145"/>
      <c r="P369" s="122"/>
      <c r="Q369" s="304" t="str">
        <f t="shared" si="9"/>
        <v/>
      </c>
      <c r="R369" s="242"/>
      <c r="S369" s="11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</row>
    <row r="370" ht="15.75" customHeight="1">
      <c r="A370" s="124"/>
      <c r="B370" s="6"/>
      <c r="C370" s="124"/>
      <c r="D370" s="159" t="s">
        <v>33</v>
      </c>
      <c r="E370" s="126"/>
      <c r="F370" s="127">
        <v>4.0</v>
      </c>
      <c r="G370" s="161">
        <v>4.0</v>
      </c>
      <c r="H370" s="129"/>
      <c r="I370" s="130">
        <v>275.0</v>
      </c>
      <c r="J370" s="151">
        <v>7.5</v>
      </c>
      <c r="K370" s="241" t="s">
        <v>91</v>
      </c>
      <c r="L370" s="130">
        <v>7.5</v>
      </c>
      <c r="M370" s="134">
        <f>I235</f>
        <v>271</v>
      </c>
      <c r="N370" s="135">
        <f>iferror(mround($P235*((VLOOKUP($J370,Sheet1!$D:$N,$G370+1,FALSE)-0.03)),2.5)," ")</f>
        <v>0</v>
      </c>
      <c r="O370" s="135">
        <f>iferror(mround($P235*((VLOOKUP($J370,Sheet1!$D:$N,$G370+1,FALSE)+0.02)),2.5)," ")</f>
        <v>0</v>
      </c>
      <c r="P370" s="112">
        <f>iferror(mround(I370/VLOOKUP(L370,Sheet1!$D$7:$N$16,G370+1,FALSE),2.5),"")</f>
        <v>332.5</v>
      </c>
      <c r="Q370" s="303">
        <f t="shared" si="9"/>
        <v>4</v>
      </c>
      <c r="R370" s="242"/>
      <c r="S370" s="11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</row>
    <row r="371" ht="3.75" customHeight="1">
      <c r="A371" s="90"/>
      <c r="B371" s="6"/>
      <c r="C371" s="90"/>
      <c r="D371" s="138"/>
      <c r="E371" s="245"/>
      <c r="F371" s="102"/>
      <c r="G371" s="102"/>
      <c r="H371" s="102"/>
      <c r="I371" s="102"/>
      <c r="J371" s="156"/>
      <c r="K371" s="243"/>
      <c r="L371" s="210"/>
      <c r="M371" s="144"/>
      <c r="N371" s="145"/>
      <c r="O371" s="145"/>
      <c r="P371" s="122"/>
      <c r="Q371" s="304" t="str">
        <f t="shared" si="9"/>
        <v/>
      </c>
      <c r="R371" s="242"/>
      <c r="S371" s="11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</row>
    <row r="372" ht="15.75" customHeight="1">
      <c r="A372" s="90"/>
      <c r="B372" s="6"/>
      <c r="C372" s="90"/>
      <c r="D372" s="159" t="s">
        <v>54</v>
      </c>
      <c r="E372" s="227"/>
      <c r="F372" s="127">
        <v>3.0</v>
      </c>
      <c r="G372" s="221">
        <v>45577.0</v>
      </c>
      <c r="H372" s="195"/>
      <c r="I372" s="130"/>
      <c r="J372" s="228">
        <v>8.0</v>
      </c>
      <c r="K372" s="241"/>
      <c r="L372" s="130"/>
      <c r="M372" s="134" t="str">
        <f>I237</f>
        <v/>
      </c>
      <c r="N372" s="135" t="str">
        <f>iferror(mround($P237*((VLOOKUP($J372,Sheet1!$D:$N,$G372+1,FALSE)-0.03)),2.5)," ")</f>
        <v> </v>
      </c>
      <c r="O372" s="135" t="str">
        <f>iferror(mround($P237*((VLOOKUP($J372,Sheet1!$D:$N,$G372+1,FALSE)+0.02)),2.5)," ")</f>
        <v> </v>
      </c>
      <c r="P372" s="112" t="str">
        <f>iferror(mround(I372/VLOOKUP(L372,Sheet1!$D$7:$N$16,G372+1,FALSE),2.5),"")</f>
        <v/>
      </c>
      <c r="Q372" s="303" t="str">
        <f t="shared" si="9"/>
        <v/>
      </c>
      <c r="R372" s="242"/>
      <c r="S372" s="11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</row>
    <row r="373" ht="3.75" customHeight="1">
      <c r="A373" s="191"/>
      <c r="B373" s="6"/>
      <c r="C373" s="192"/>
      <c r="D373" s="138"/>
      <c r="E373" s="245"/>
      <c r="F373" s="102"/>
      <c r="G373" s="102"/>
      <c r="H373" s="102"/>
      <c r="I373" s="102"/>
      <c r="J373" s="156"/>
      <c r="K373" s="243"/>
      <c r="L373" s="210"/>
      <c r="M373" s="144"/>
      <c r="N373" s="145"/>
      <c r="O373" s="145"/>
      <c r="P373" s="122"/>
      <c r="Q373" s="304" t="str">
        <f t="shared" si="9"/>
        <v/>
      </c>
      <c r="R373" s="242"/>
      <c r="S373" s="157"/>
      <c r="T373" s="5"/>
      <c r="U373" s="5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</row>
    <row r="374" ht="15.75" customHeight="1">
      <c r="A374" s="90"/>
      <c r="B374" s="6"/>
      <c r="C374" s="90"/>
      <c r="D374" s="159" t="s">
        <v>99</v>
      </c>
      <c r="E374" s="246" t="s">
        <v>100</v>
      </c>
      <c r="F374" s="127">
        <v>3.0</v>
      </c>
      <c r="G374" s="221">
        <v>45577.0</v>
      </c>
      <c r="H374" s="195"/>
      <c r="I374" s="130"/>
      <c r="J374" s="228">
        <v>9.0</v>
      </c>
      <c r="K374" s="241"/>
      <c r="L374" s="130"/>
      <c r="M374" s="134" t="str">
        <f>I239</f>
        <v/>
      </c>
      <c r="N374" s="135" t="str">
        <f>iferror(mround($P239*((VLOOKUP($J374,Sheet1!$D:$N,$G374+1,FALSE)-0.03)),2.5)," ")</f>
        <v> </v>
      </c>
      <c r="O374" s="135" t="str">
        <f>iferror(mround($P239*((VLOOKUP($J374,Sheet1!$D:$N,$G374+1,FALSE)+0.02)),2.5)," ")</f>
        <v> </v>
      </c>
      <c r="P374" s="112" t="str">
        <f>iferror(mround(I374/VLOOKUP(L374,Sheet1!$D$7:$N$16,G374+1,FALSE),2.5),"")</f>
        <v/>
      </c>
      <c r="Q374" s="303" t="str">
        <f t="shared" si="9"/>
        <v/>
      </c>
      <c r="R374" s="242"/>
      <c r="S374" s="11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</row>
    <row r="375" ht="3.75" customHeight="1">
      <c r="A375" s="90"/>
      <c r="B375" s="6"/>
      <c r="C375" s="90"/>
      <c r="D375" s="138"/>
      <c r="E375" s="245"/>
      <c r="F375" s="102"/>
      <c r="G375" s="102"/>
      <c r="H375" s="102"/>
      <c r="I375" s="102"/>
      <c r="J375" s="156"/>
      <c r="K375" s="243"/>
      <c r="L375" s="210"/>
      <c r="M375" s="144"/>
      <c r="N375" s="145"/>
      <c r="O375" s="145"/>
      <c r="P375" s="122"/>
      <c r="Q375" s="304" t="str">
        <f t="shared" si="9"/>
        <v/>
      </c>
      <c r="R375" s="242"/>
      <c r="S375" s="11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</row>
    <row r="376" ht="15.75" hidden="1" customHeight="1">
      <c r="A376" s="90"/>
      <c r="B376" s="6"/>
      <c r="C376" s="90"/>
      <c r="D376" s="185"/>
      <c r="E376" s="227"/>
      <c r="F376" s="187"/>
      <c r="G376" s="229"/>
      <c r="H376" s="195"/>
      <c r="I376" s="247"/>
      <c r="J376" s="248"/>
      <c r="K376" s="241"/>
      <c r="L376" s="164"/>
      <c r="M376" s="134" t="str">
        <f>I241</f>
        <v/>
      </c>
      <c r="N376" s="135" t="str">
        <f>iferror(mround($P241*((VLOOKUP($J376,Sheet1!$D:$N,$G376+1,FALSE)-0.03)),2.5)," ")</f>
        <v> </v>
      </c>
      <c r="O376" s="135" t="str">
        <f>iferror(mround($P241*((VLOOKUP($J376,Sheet1!$D:$N,$G376+1,FALSE)+0.02)),2.5)," ")</f>
        <v> </v>
      </c>
      <c r="P376" s="112" t="str">
        <f>iferror(mround(I376/VLOOKUP(L376,Sheet1!$D$7:$N$16,G376+1,FALSE),2.5),"")</f>
        <v/>
      </c>
      <c r="Q376" s="303" t="str">
        <f t="shared" si="9"/>
        <v/>
      </c>
      <c r="R376" s="242"/>
      <c r="S376" s="11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</row>
    <row r="377" ht="3.75" hidden="1" customHeight="1">
      <c r="A377" s="90"/>
      <c r="B377" s="6"/>
      <c r="C377" s="90"/>
      <c r="D377" s="138"/>
      <c r="E377" s="215"/>
      <c r="F377" s="102"/>
      <c r="G377" s="102"/>
      <c r="H377" s="102"/>
      <c r="I377" s="102"/>
      <c r="J377" s="156"/>
      <c r="K377" s="243"/>
      <c r="L377" s="210"/>
      <c r="M377" s="144"/>
      <c r="N377" s="145"/>
      <c r="O377" s="145"/>
      <c r="P377" s="122"/>
      <c r="Q377" s="304" t="str">
        <f t="shared" si="9"/>
        <v/>
      </c>
      <c r="R377" s="242"/>
      <c r="S377" s="11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</row>
    <row r="378" ht="15.75" hidden="1" customHeight="1">
      <c r="A378" s="90"/>
      <c r="B378" s="6"/>
      <c r="C378" s="90"/>
      <c r="D378" s="185"/>
      <c r="E378" s="220"/>
      <c r="F378" s="187"/>
      <c r="G378" s="229"/>
      <c r="H378" s="195"/>
      <c r="I378" s="247"/>
      <c r="J378" s="248"/>
      <c r="K378" s="241"/>
      <c r="L378" s="164"/>
      <c r="M378" s="134" t="str">
        <f>I243</f>
        <v/>
      </c>
      <c r="N378" s="135" t="str">
        <f>iferror(mround($P243*((VLOOKUP($J378,Sheet1!$D:$N,$G378+1,FALSE)-0.03)),2.5)," ")</f>
        <v> </v>
      </c>
      <c r="O378" s="135" t="str">
        <f>iferror(mround($P243*((VLOOKUP($J378,Sheet1!$D:$N,$G378+1,FALSE)+0.02)),2.5)," ")</f>
        <v> </v>
      </c>
      <c r="P378" s="112" t="str">
        <f>iferror(mround(I378/VLOOKUP(L378,Sheet1!$D$7:$N$16,G378+1,FALSE),2.5),"")</f>
        <v/>
      </c>
      <c r="Q378" s="303" t="str">
        <f t="shared" si="9"/>
        <v/>
      </c>
      <c r="R378" s="242"/>
      <c r="S378" s="11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</row>
    <row r="379" ht="3.75" hidden="1" customHeight="1">
      <c r="A379" s="90"/>
      <c r="B379" s="6"/>
      <c r="C379" s="90"/>
      <c r="D379" s="196"/>
      <c r="E379" s="184"/>
      <c r="F379" s="102"/>
      <c r="G379" s="102"/>
      <c r="H379" s="102"/>
      <c r="I379" s="102"/>
      <c r="J379" s="156"/>
      <c r="K379" s="249"/>
      <c r="L379" s="210"/>
      <c r="M379" s="144"/>
      <c r="N379" s="145"/>
      <c r="O379" s="145"/>
      <c r="P379" s="122"/>
      <c r="Q379" s="304" t="str">
        <f t="shared" si="9"/>
        <v/>
      </c>
      <c r="R379" s="242"/>
      <c r="S379" s="11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</row>
    <row r="380" ht="15.75" hidden="1" customHeight="1">
      <c r="A380" s="90"/>
      <c r="B380" s="6"/>
      <c r="C380" s="90"/>
      <c r="D380" s="197"/>
      <c r="E380" s="250"/>
      <c r="F380" s="129"/>
      <c r="G380" s="199"/>
      <c r="H380" s="195"/>
      <c r="I380" s="247"/>
      <c r="J380" s="248"/>
      <c r="K380" s="251"/>
      <c r="L380" s="164"/>
      <c r="M380" s="134" t="str">
        <f>I245</f>
        <v/>
      </c>
      <c r="N380" s="135" t="str">
        <f>iferror(mround($P245*((VLOOKUP($J380,Sheet1!$D:$N,$G380+1,FALSE)-0.03)),2.5)," ")</f>
        <v> </v>
      </c>
      <c r="O380" s="135" t="str">
        <f>iferror(mround($P245*((VLOOKUP($J380,Sheet1!$D:$N,$G380+1,FALSE)+0.02)),2.5)," ")</f>
        <v> </v>
      </c>
      <c r="P380" s="112" t="str">
        <f>iferror(mround(I380/VLOOKUP(L380,Sheet1!$D$7:$N$16,G380+1,FALSE),2.5),"")</f>
        <v/>
      </c>
      <c r="Q380" s="303" t="str">
        <f t="shared" si="9"/>
        <v/>
      </c>
      <c r="R380" s="242"/>
      <c r="S380" s="11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</row>
    <row r="381" ht="3.75" hidden="1" customHeight="1">
      <c r="A381" s="90"/>
      <c r="B381" s="6"/>
      <c r="C381" s="90"/>
      <c r="D381" s="234"/>
      <c r="E381" s="184"/>
      <c r="F381" s="102"/>
      <c r="G381" s="102"/>
      <c r="H381" s="102"/>
      <c r="I381" s="102"/>
      <c r="J381" s="156"/>
      <c r="K381" s="249"/>
      <c r="L381" s="210"/>
      <c r="M381" s="144"/>
      <c r="N381" s="145"/>
      <c r="O381" s="145"/>
      <c r="P381" s="122"/>
      <c r="Q381" s="304" t="str">
        <f t="shared" si="9"/>
        <v/>
      </c>
      <c r="R381" s="242"/>
      <c r="S381" s="11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</row>
    <row r="382" ht="15.75" hidden="1" customHeight="1">
      <c r="A382" s="90"/>
      <c r="B382" s="6"/>
      <c r="C382" s="90"/>
      <c r="D382" s="197"/>
      <c r="E382" s="198"/>
      <c r="F382" s="129"/>
      <c r="G382" s="199"/>
      <c r="H382" s="195"/>
      <c r="I382" s="164"/>
      <c r="J382" s="248"/>
      <c r="K382" s="251"/>
      <c r="L382" s="164"/>
      <c r="M382" s="134" t="str">
        <f>I247</f>
        <v/>
      </c>
      <c r="N382" s="135" t="str">
        <f>iferror(mround($P247*((VLOOKUP($J382,Sheet1!$D:$N,$G382+1,FALSE)-0.03)),2.5)," ")</f>
        <v> </v>
      </c>
      <c r="O382" s="135" t="str">
        <f>iferror(mround($P247*((VLOOKUP($J382,Sheet1!$D:$N,$G382+1,FALSE)+0.02)),2.5)," ")</f>
        <v> </v>
      </c>
      <c r="P382" s="112" t="str">
        <f>iferror(mround(I382/VLOOKUP(L382,Sheet1!$D$7:$N$16,G382+1,FALSE),2.5),"")</f>
        <v/>
      </c>
      <c r="Q382" s="303" t="str">
        <f t="shared" si="9"/>
        <v/>
      </c>
      <c r="R382" s="242"/>
      <c r="S382" s="11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</row>
    <row r="383" ht="3.75" hidden="1" customHeight="1">
      <c r="A383" s="124"/>
      <c r="B383" s="6"/>
      <c r="C383" s="124"/>
      <c r="D383" s="252"/>
      <c r="E383" s="252"/>
      <c r="F383" s="102"/>
      <c r="G383" s="102"/>
      <c r="H383" s="102"/>
      <c r="I383" s="102"/>
      <c r="J383" s="156"/>
      <c r="K383" s="253"/>
      <c r="L383" s="201"/>
      <c r="M383" s="211"/>
      <c r="N383" s="47"/>
      <c r="O383" s="47"/>
      <c r="P383" s="122"/>
      <c r="Q383" s="304" t="str">
        <f t="shared" si="9"/>
        <v/>
      </c>
      <c r="R383" s="242"/>
      <c r="S383" s="11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</row>
    <row r="384" ht="30.75" hidden="1" customHeight="1">
      <c r="A384" s="90"/>
      <c r="B384" s="6"/>
      <c r="C384" s="90"/>
      <c r="D384" s="254" t="s">
        <v>57</v>
      </c>
      <c r="E384" s="255" t="s">
        <v>15</v>
      </c>
      <c r="F384" s="106" t="s">
        <v>16</v>
      </c>
      <c r="G384" s="106" t="s">
        <v>17</v>
      </c>
      <c r="H384" s="107"/>
      <c r="I384" s="106" t="s">
        <v>18</v>
      </c>
      <c r="J384" s="108" t="s">
        <v>19</v>
      </c>
      <c r="L384" s="109" t="s">
        <v>20</v>
      </c>
      <c r="M384" s="110" t="s">
        <v>21</v>
      </c>
      <c r="N384" s="111" t="s">
        <v>22</v>
      </c>
      <c r="P384" s="112"/>
      <c r="Q384" s="113" t="s">
        <v>23</v>
      </c>
      <c r="R384" s="256" t="s">
        <v>58</v>
      </c>
      <c r="S384" s="11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</row>
    <row r="385" ht="14.25" hidden="1" customHeight="1">
      <c r="A385" s="90"/>
      <c r="B385" s="6"/>
      <c r="C385" s="90"/>
      <c r="D385" s="257" t="s">
        <v>25</v>
      </c>
      <c r="E385" s="258" t="s">
        <v>26</v>
      </c>
      <c r="H385" s="107"/>
      <c r="N385" s="111" t="s">
        <v>27</v>
      </c>
      <c r="O385" s="111" t="s">
        <v>28</v>
      </c>
      <c r="P385" s="112" t="s">
        <v>29</v>
      </c>
      <c r="R385" s="118" t="s">
        <v>30</v>
      </c>
      <c r="S385" s="11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</row>
    <row r="386" ht="3.75" hidden="1" customHeight="1">
      <c r="A386" s="124"/>
      <c r="B386" s="6"/>
      <c r="C386" s="124"/>
      <c r="D386" s="252"/>
      <c r="E386" s="252"/>
      <c r="F386" s="102"/>
      <c r="G386" s="102"/>
      <c r="H386" s="102"/>
      <c r="I386" s="102"/>
      <c r="J386" s="156"/>
      <c r="K386" s="253"/>
      <c r="L386" s="201"/>
      <c r="M386" s="211"/>
      <c r="N386" s="47"/>
      <c r="O386" s="47"/>
      <c r="P386" s="122"/>
      <c r="Q386" s="304" t="str">
        <f t="shared" ref="Q386:Q409" si="10">IF(OR(ISBLANK(I386), ISBLANK(I251)), "", IF(I386 - I251 = 0, "", I386 - I251))</f>
        <v/>
      </c>
      <c r="R386" s="259"/>
      <c r="S386" s="11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</row>
    <row r="387" ht="14.25" hidden="1" customHeight="1">
      <c r="A387" s="124"/>
      <c r="B387" s="6"/>
      <c r="C387" s="124"/>
      <c r="D387" s="260"/>
      <c r="E387" s="126"/>
      <c r="F387" s="187"/>
      <c r="G387" s="229"/>
      <c r="H387" s="129"/>
      <c r="I387" s="164"/>
      <c r="J387" s="189"/>
      <c r="K387" s="251"/>
      <c r="L387" s="164"/>
      <c r="M387" s="134" t="str">
        <f>I254</f>
        <v/>
      </c>
      <c r="N387" s="135" t="str">
        <f>iferror(mround($P254*((VLOOKUP($J387,Sheet1!$D:$N,$G387+1,FALSE)-0.03)),2.5)," ")</f>
        <v> </v>
      </c>
      <c r="O387" s="135" t="str">
        <f>iferror(mround($P254*((VLOOKUP($J387,Sheet1!$D:$N,$G387+1,FALSE)+0.02)),2.5)," ")</f>
        <v> </v>
      </c>
      <c r="P387" s="56" t="str">
        <f>iferror(mround(I387/VLOOKUP(L387,Sheet1!$D$7:$N$16,G387+1,FALSE),2.5),"")</f>
        <v/>
      </c>
      <c r="Q387" s="303" t="str">
        <f t="shared" si="10"/>
        <v/>
      </c>
      <c r="S387" s="11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</row>
    <row r="388" ht="3.75" hidden="1" customHeight="1">
      <c r="A388" s="124"/>
      <c r="B388" s="6"/>
      <c r="C388" s="124"/>
      <c r="D388" s="138"/>
      <c r="E388" s="215"/>
      <c r="F388" s="102"/>
      <c r="G388" s="102"/>
      <c r="H388" s="102"/>
      <c r="I388" s="102"/>
      <c r="J388" s="156"/>
      <c r="K388" s="249"/>
      <c r="L388" s="210"/>
      <c r="M388" s="144"/>
      <c r="N388" s="145"/>
      <c r="O388" s="145"/>
      <c r="P388" s="122"/>
      <c r="Q388" s="304" t="str">
        <f t="shared" si="10"/>
        <v/>
      </c>
      <c r="S388" s="11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</row>
    <row r="389" ht="14.25" hidden="1" customHeight="1">
      <c r="A389" s="124"/>
      <c r="B389" s="6"/>
      <c r="C389" s="124"/>
      <c r="D389" s="185"/>
      <c r="E389" s="227"/>
      <c r="F389" s="187"/>
      <c r="G389" s="229"/>
      <c r="H389" s="195"/>
      <c r="I389" s="164"/>
      <c r="J389" s="248"/>
      <c r="K389" s="251"/>
      <c r="L389" s="164"/>
      <c r="M389" s="134" t="str">
        <f>I254</f>
        <v/>
      </c>
      <c r="N389" s="135" t="str">
        <f>iferror(mround($P254*((VLOOKUP($J389,Sheet1!$D:$N,$G389+1,FALSE)-0.03)),2.5)," ")</f>
        <v> </v>
      </c>
      <c r="O389" s="135" t="str">
        <f>iferror(mround($P254*((VLOOKUP($J389,Sheet1!$D:$N,$G389+1,FALSE)+0.02)),2.5)," ")</f>
        <v> </v>
      </c>
      <c r="P389" s="112" t="str">
        <f>iferror(mround(I389/VLOOKUP(L389,Sheet1!$D$7:$N$16,G389+1,FALSE),2.5),"")</f>
        <v/>
      </c>
      <c r="Q389" s="303" t="str">
        <f t="shared" si="10"/>
        <v/>
      </c>
      <c r="S389" s="11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</row>
    <row r="390" ht="3.75" hidden="1" customHeight="1">
      <c r="A390" s="124"/>
      <c r="B390" s="6"/>
      <c r="C390" s="124"/>
      <c r="D390" s="138"/>
      <c r="E390" s="245"/>
      <c r="F390" s="102"/>
      <c r="G390" s="102"/>
      <c r="H390" s="102"/>
      <c r="I390" s="102"/>
      <c r="J390" s="156"/>
      <c r="K390" s="249"/>
      <c r="L390" s="210"/>
      <c r="M390" s="144"/>
      <c r="N390" s="145"/>
      <c r="O390" s="145"/>
      <c r="P390" s="122"/>
      <c r="Q390" s="304" t="str">
        <f t="shared" si="10"/>
        <v/>
      </c>
      <c r="S390" s="11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</row>
    <row r="391" ht="14.25" hidden="1" customHeight="1">
      <c r="A391" s="124"/>
      <c r="B391" s="6"/>
      <c r="C391" s="124"/>
      <c r="D391" s="185"/>
      <c r="E391" s="227"/>
      <c r="F391" s="187"/>
      <c r="G391" s="229"/>
      <c r="H391" s="195"/>
      <c r="I391" s="164"/>
      <c r="J391" s="248"/>
      <c r="K391" s="251"/>
      <c r="L391" s="164"/>
      <c r="M391" s="134" t="str">
        <f>I256</f>
        <v/>
      </c>
      <c r="N391" s="135" t="str">
        <f>iferror(mround($P256*((VLOOKUP($J391,Sheet1!$D:$N,$G391+1,FALSE)-0.03)),2.5)," ")</f>
        <v> </v>
      </c>
      <c r="O391" s="135" t="str">
        <f>iferror(mround($P256*((VLOOKUP($J391,Sheet1!$D:$N,$G391+1,FALSE)+0.02)),2.5)," ")</f>
        <v> </v>
      </c>
      <c r="P391" s="112" t="str">
        <f>iferror(mround(I391/VLOOKUP(L391,Sheet1!$D$7:$N$16,G391+1,FALSE),2.5),"")</f>
        <v/>
      </c>
      <c r="Q391" s="303" t="str">
        <f t="shared" si="10"/>
        <v/>
      </c>
      <c r="S391" s="11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</row>
    <row r="392" ht="3.75" hidden="1" customHeight="1">
      <c r="A392" s="124"/>
      <c r="B392" s="6"/>
      <c r="C392" s="124"/>
      <c r="D392" s="138"/>
      <c r="E392" s="245"/>
      <c r="F392" s="102"/>
      <c r="G392" s="102"/>
      <c r="H392" s="102"/>
      <c r="I392" s="102"/>
      <c r="J392" s="156"/>
      <c r="K392" s="249"/>
      <c r="L392" s="210"/>
      <c r="M392" s="144"/>
      <c r="N392" s="145"/>
      <c r="O392" s="145"/>
      <c r="P392" s="122"/>
      <c r="Q392" s="304" t="str">
        <f t="shared" si="10"/>
        <v/>
      </c>
      <c r="S392" s="11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</row>
    <row r="393" ht="14.25" hidden="1" customHeight="1">
      <c r="A393" s="124"/>
      <c r="B393" s="6"/>
      <c r="C393" s="124"/>
      <c r="D393" s="185"/>
      <c r="E393" s="227"/>
      <c r="F393" s="187"/>
      <c r="G393" s="229"/>
      <c r="H393" s="195"/>
      <c r="I393" s="164"/>
      <c r="J393" s="248"/>
      <c r="K393" s="251"/>
      <c r="L393" s="164"/>
      <c r="M393" s="134"/>
      <c r="N393" s="135" t="str">
        <f>iferror(mround($P258*((VLOOKUP($J393,Sheet1!$D:$N,$G393+1,FALSE)-0.03)),2.5)," ")</f>
        <v> </v>
      </c>
      <c r="O393" s="135" t="str">
        <f>iferror(mround($P258*((VLOOKUP($J393,Sheet1!$D:$N,$G393+1,FALSE)+0.02)),2.5)," ")</f>
        <v> </v>
      </c>
      <c r="P393" s="112" t="str">
        <f>iferror(mround(I393/VLOOKUP(L393,Sheet1!$D$7:$N$16,G393+1,FALSE),2.5),"")</f>
        <v/>
      </c>
      <c r="Q393" s="303" t="str">
        <f t="shared" si="10"/>
        <v/>
      </c>
      <c r="S393" s="11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</row>
    <row r="394" ht="3.75" hidden="1" customHeight="1">
      <c r="A394" s="124"/>
      <c r="B394" s="6"/>
      <c r="C394" s="124"/>
      <c r="D394" s="138"/>
      <c r="E394" s="245"/>
      <c r="F394" s="102"/>
      <c r="G394" s="102"/>
      <c r="H394" s="102"/>
      <c r="I394" s="102"/>
      <c r="J394" s="156"/>
      <c r="K394" s="249"/>
      <c r="L394" s="210"/>
      <c r="M394" s="144"/>
      <c r="N394" s="145" t="str">
        <f>iferror(mround($P259*((VLOOKUP($J394,Sheet1!$D:$N,$G394+1,FALSE)-0.03)),2.5)," ")</f>
        <v> </v>
      </c>
      <c r="O394" s="145" t="str">
        <f>iferror(mround($P259*((VLOOKUP($J394,Sheet1!$D:$N,$G394+1,FALSE)+0.02)),2.5)," ")</f>
        <v> </v>
      </c>
      <c r="P394" s="122"/>
      <c r="Q394" s="304" t="str">
        <f t="shared" si="10"/>
        <v/>
      </c>
      <c r="S394" s="11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</row>
    <row r="395" ht="14.25" hidden="1" customHeight="1">
      <c r="A395" s="124"/>
      <c r="B395" s="6"/>
      <c r="C395" s="124"/>
      <c r="D395" s="185"/>
      <c r="E395" s="227"/>
      <c r="F395" s="187"/>
      <c r="G395" s="187"/>
      <c r="H395" s="195"/>
      <c r="I395" s="164"/>
      <c r="J395" s="248"/>
      <c r="K395" s="251"/>
      <c r="L395" s="164"/>
      <c r="M395" s="134" t="str">
        <f>I260</f>
        <v/>
      </c>
      <c r="N395" s="135" t="str">
        <f>iferror(mround($P260*((VLOOKUP($J395,Sheet1!$D:$N,$G395+1,FALSE)-0.03)),2.5)," ")</f>
        <v> </v>
      </c>
      <c r="O395" s="135" t="str">
        <f>iferror(mround($P260*((VLOOKUP($J395,Sheet1!$D:$N,$G395+1,FALSE)+0.02)),2.5)," ")</f>
        <v> </v>
      </c>
      <c r="P395" s="112" t="str">
        <f>iferror(mround(I395/VLOOKUP(L395,Sheet1!$D$7:$N$16,G395+1,FALSE),2.5),"")</f>
        <v/>
      </c>
      <c r="Q395" s="303" t="str">
        <f t="shared" si="10"/>
        <v/>
      </c>
      <c r="S395" s="11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</row>
    <row r="396" ht="3.75" hidden="1" customHeight="1">
      <c r="A396" s="261"/>
      <c r="B396" s="6"/>
      <c r="C396" s="262"/>
      <c r="D396" s="138"/>
      <c r="E396" s="245"/>
      <c r="F396" s="102"/>
      <c r="G396" s="102"/>
      <c r="H396" s="102"/>
      <c r="I396" s="102"/>
      <c r="J396" s="156"/>
      <c r="K396" s="249"/>
      <c r="L396" s="210"/>
      <c r="M396" s="144"/>
      <c r="N396" s="145"/>
      <c r="O396" s="145"/>
      <c r="P396" s="122"/>
      <c r="Q396" s="304" t="str">
        <f t="shared" si="10"/>
        <v/>
      </c>
      <c r="S396" s="157"/>
      <c r="T396" s="5"/>
      <c r="U396" s="5"/>
      <c r="V396" s="158"/>
      <c r="W396" s="158"/>
      <c r="X396" s="158"/>
      <c r="Y396" s="158"/>
      <c r="Z396" s="158"/>
      <c r="AA396" s="158"/>
      <c r="AB396" s="158"/>
      <c r="AC396" s="158"/>
      <c r="AD396" s="158"/>
      <c r="AE396" s="158"/>
      <c r="AF396" s="158"/>
      <c r="AG396" s="158"/>
    </row>
    <row r="397" ht="14.25" hidden="1" customHeight="1">
      <c r="A397" s="124"/>
      <c r="B397" s="6"/>
      <c r="C397" s="124"/>
      <c r="D397" s="185"/>
      <c r="E397" s="227"/>
      <c r="F397" s="187"/>
      <c r="G397" s="187"/>
      <c r="H397" s="195"/>
      <c r="I397" s="164"/>
      <c r="J397" s="248"/>
      <c r="K397" s="251"/>
      <c r="L397" s="164"/>
      <c r="M397" s="134" t="str">
        <f>I262</f>
        <v/>
      </c>
      <c r="N397" s="135" t="str">
        <f>iferror(mround($P262*((VLOOKUP($J397,Sheet1!$D:$N,$G397+1,FALSE)-0.03)),2.5)," ")</f>
        <v> </v>
      </c>
      <c r="O397" s="135" t="str">
        <f>iferror(mround($P262*((VLOOKUP($J397,Sheet1!$D:$N,$G397+1,FALSE)+0.02)),2.5)," ")</f>
        <v> </v>
      </c>
      <c r="P397" s="112" t="str">
        <f>iferror(mround(I397/VLOOKUP(L397,Sheet1!$D$7:$N$16,G397+1,FALSE),2.5),"")</f>
        <v/>
      </c>
      <c r="Q397" s="303" t="str">
        <f t="shared" si="10"/>
        <v/>
      </c>
      <c r="S397" s="11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</row>
    <row r="398" ht="3.75" hidden="1" customHeight="1">
      <c r="A398" s="261"/>
      <c r="B398" s="6"/>
      <c r="C398" s="262"/>
      <c r="D398" s="138"/>
      <c r="E398" s="252"/>
      <c r="F398" s="102"/>
      <c r="G398" s="102"/>
      <c r="H398" s="102"/>
      <c r="I398" s="102"/>
      <c r="J398" s="156"/>
      <c r="K398" s="249"/>
      <c r="L398" s="210"/>
      <c r="M398" s="144"/>
      <c r="N398" s="145"/>
      <c r="O398" s="145"/>
      <c r="P398" s="122"/>
      <c r="Q398" s="304" t="str">
        <f t="shared" si="10"/>
        <v/>
      </c>
      <c r="S398" s="157"/>
      <c r="T398" s="5"/>
      <c r="U398" s="5"/>
      <c r="V398" s="158"/>
      <c r="W398" s="158"/>
      <c r="X398" s="158"/>
      <c r="Y398" s="158"/>
      <c r="Z398" s="158"/>
      <c r="AA398" s="158"/>
      <c r="AB398" s="158"/>
      <c r="AC398" s="158"/>
      <c r="AD398" s="158"/>
      <c r="AE398" s="158"/>
      <c r="AF398" s="158"/>
      <c r="AG398" s="158"/>
    </row>
    <row r="399" ht="15.75" hidden="1" customHeight="1">
      <c r="A399" s="124"/>
      <c r="B399" s="6"/>
      <c r="C399" s="124"/>
      <c r="D399" s="185"/>
      <c r="E399" s="260"/>
      <c r="F399" s="187"/>
      <c r="G399" s="187"/>
      <c r="H399" s="195"/>
      <c r="I399" s="247"/>
      <c r="J399" s="248"/>
      <c r="K399" s="251"/>
      <c r="L399" s="164"/>
      <c r="M399" s="134"/>
      <c r="N399" s="135" t="str">
        <f>iferror(mround($P264*((VLOOKUP($J399,Sheet1!$D:$N,$G399+1,FALSE)-0.03)),2.5)," ")</f>
        <v> </v>
      </c>
      <c r="O399" s="135" t="str">
        <f>iferror(mround($P264*((VLOOKUP($J399,Sheet1!$D:$N,$G399+1,FALSE)+0.02)),2.5)," ")</f>
        <v> </v>
      </c>
      <c r="P399" s="112" t="str">
        <f>iferror(mround(I399/VLOOKUP(L399,Sheet1!$D$7:$N$16,G399+1,FALSE),2.5),"")</f>
        <v/>
      </c>
      <c r="Q399" s="303" t="str">
        <f t="shared" si="10"/>
        <v/>
      </c>
      <c r="S399" s="11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</row>
    <row r="400" ht="3.75" hidden="1" customHeight="1">
      <c r="A400" s="124"/>
      <c r="B400" s="6"/>
      <c r="C400" s="124"/>
      <c r="D400" s="263"/>
      <c r="E400" s="252"/>
      <c r="F400" s="102"/>
      <c r="G400" s="102"/>
      <c r="H400" s="102"/>
      <c r="I400" s="102"/>
      <c r="J400" s="156"/>
      <c r="K400" s="249"/>
      <c r="L400" s="210"/>
      <c r="M400" s="144"/>
      <c r="N400" s="145" t="str">
        <f>iferror(mround($P265*((VLOOKUP($J400,Sheet1!$D:$N,$G400+1,FALSE)-0.03)),2.5)," ")</f>
        <v> </v>
      </c>
      <c r="O400" s="145" t="str">
        <f>iferror(mround($P265*((VLOOKUP($J400,Sheet1!$D:$N,$G400+1,FALSE)+0.02)),2.5)," ")</f>
        <v> </v>
      </c>
      <c r="P400" s="122"/>
      <c r="Q400" s="304" t="str">
        <f t="shared" si="10"/>
        <v/>
      </c>
      <c r="S400" s="11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</row>
    <row r="401" ht="14.25" hidden="1" customHeight="1">
      <c r="A401" s="90"/>
      <c r="B401" s="6"/>
      <c r="C401" s="90"/>
      <c r="D401" s="185"/>
      <c r="E401" s="264"/>
      <c r="F401" s="187"/>
      <c r="G401" s="187"/>
      <c r="H401" s="195"/>
      <c r="I401" s="164"/>
      <c r="J401" s="248"/>
      <c r="K401" s="251"/>
      <c r="L401" s="164"/>
      <c r="M401" s="134" t="str">
        <f>I266</f>
        <v/>
      </c>
      <c r="N401" s="135" t="str">
        <f>iferror(mround($P266*((VLOOKUP($J401,Sheet1!$D:$N,$G401+1,FALSE)-0.03)),2.5)," ")</f>
        <v> </v>
      </c>
      <c r="O401" s="135" t="str">
        <f>iferror(mround($P266*((VLOOKUP($J401,Sheet1!$D:$N,$G401+1,FALSE)+0.02)),2.5)," ")</f>
        <v> </v>
      </c>
      <c r="P401" s="112" t="str">
        <f>iferror(mround(I401/VLOOKUP(L401,Sheet1!$D$7:$N$16,G401+1,FALSE),2.5),"")</f>
        <v/>
      </c>
      <c r="Q401" s="303" t="str">
        <f t="shared" si="10"/>
        <v/>
      </c>
      <c r="S401" s="11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</row>
    <row r="402" ht="3.75" hidden="1" customHeight="1">
      <c r="A402" s="261"/>
      <c r="B402" s="6"/>
      <c r="C402" s="262"/>
      <c r="D402" s="263"/>
      <c r="E402" s="263"/>
      <c r="F402" s="194"/>
      <c r="G402" s="194"/>
      <c r="H402" s="155"/>
      <c r="I402" s="210"/>
      <c r="J402" s="265"/>
      <c r="K402" s="249"/>
      <c r="L402" s="210"/>
      <c r="M402" s="144"/>
      <c r="N402" s="145"/>
      <c r="O402" s="145"/>
      <c r="P402" s="122"/>
      <c r="Q402" s="304" t="str">
        <f t="shared" si="10"/>
        <v/>
      </c>
      <c r="S402" s="157"/>
      <c r="T402" s="5"/>
      <c r="U402" s="5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/>
      <c r="AF402" s="158"/>
      <c r="AG402" s="158"/>
    </row>
    <row r="403" ht="15.75" hidden="1" customHeight="1">
      <c r="A403" s="90"/>
      <c r="B403" s="6"/>
      <c r="C403" s="90"/>
      <c r="D403" s="185"/>
      <c r="E403" s="266"/>
      <c r="F403" s="187"/>
      <c r="G403" s="187"/>
      <c r="H403" s="195"/>
      <c r="I403" s="164"/>
      <c r="J403" s="248"/>
      <c r="K403" s="251"/>
      <c r="L403" s="164"/>
      <c r="M403" s="134"/>
      <c r="N403" s="135" t="str">
        <f>iferror(mround($P268*((VLOOKUP($J403,Sheet1!$D:$N,$G403+1,FALSE)-0.03)),2.5)," ")</f>
        <v> </v>
      </c>
      <c r="O403" s="135" t="str">
        <f>iferror(mround($P268*((VLOOKUP($J403,Sheet1!$D:$N,$G403+1,FALSE)+0.02)),2.5)," ")</f>
        <v> </v>
      </c>
      <c r="P403" s="112" t="str">
        <f>iferror(mround(I403/VLOOKUP(L403,Sheet1!$D$7:$N$16,G403+1,FALSE),2.5),"")</f>
        <v/>
      </c>
      <c r="Q403" s="303" t="str">
        <f t="shared" si="10"/>
        <v/>
      </c>
      <c r="S403" s="11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</row>
    <row r="404" ht="3.75" hidden="1" customHeight="1">
      <c r="A404" s="90"/>
      <c r="B404" s="6"/>
      <c r="C404" s="90"/>
      <c r="D404" s="138"/>
      <c r="E404" s="252"/>
      <c r="F404" s="102"/>
      <c r="G404" s="102"/>
      <c r="H404" s="102"/>
      <c r="I404" s="102"/>
      <c r="J404" s="156"/>
      <c r="K404" s="249"/>
      <c r="L404" s="210"/>
      <c r="M404" s="144"/>
      <c r="N404" s="145" t="str">
        <f>iferror(mround($P269*((VLOOKUP($J404,Sheet1!$D:$N,$G404+1,FALSE)-0.03)),2.5)," ")</f>
        <v> </v>
      </c>
      <c r="O404" s="145" t="str">
        <f>iferror(mround($P269*((VLOOKUP($J404,Sheet1!$D:$N,$G404+1,FALSE)+0.02)),2.5)," ")</f>
        <v> </v>
      </c>
      <c r="P404" s="122"/>
      <c r="Q404" s="304" t="str">
        <f t="shared" si="10"/>
        <v/>
      </c>
      <c r="S404" s="11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</row>
    <row r="405" ht="15.75" hidden="1" customHeight="1">
      <c r="A405" s="90"/>
      <c r="B405" s="6"/>
      <c r="C405" s="90"/>
      <c r="D405" s="185"/>
      <c r="E405" s="264"/>
      <c r="F405" s="187"/>
      <c r="G405" s="187"/>
      <c r="H405" s="195"/>
      <c r="I405" s="164"/>
      <c r="J405" s="248"/>
      <c r="K405" s="251"/>
      <c r="L405" s="164"/>
      <c r="M405" s="134" t="str">
        <f>I270</f>
        <v/>
      </c>
      <c r="N405" s="135" t="str">
        <f>iferror(mround($P270*((VLOOKUP($J405,Sheet1!$D:$N,$G405+1,FALSE)-0.03)),2.5)," ")</f>
        <v> </v>
      </c>
      <c r="O405" s="135" t="str">
        <f>iferror(mround($P270*((VLOOKUP($J405,Sheet1!$D:$N,$G405+1,FALSE)+0.02)),2.5)," ")</f>
        <v> </v>
      </c>
      <c r="P405" s="112" t="str">
        <f>iferror(mround(I405/VLOOKUP(L405,Sheet1!$D$7:$N$16,G405+1,FALSE),2.5),"")</f>
        <v/>
      </c>
      <c r="Q405" s="303" t="str">
        <f t="shared" si="10"/>
        <v/>
      </c>
      <c r="S405" s="11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</row>
    <row r="406" ht="3.75" hidden="1" customHeight="1">
      <c r="A406" s="191"/>
      <c r="B406" s="6"/>
      <c r="C406" s="192"/>
      <c r="D406" s="138"/>
      <c r="E406" s="252"/>
      <c r="F406" s="102"/>
      <c r="G406" s="102"/>
      <c r="H406" s="102"/>
      <c r="I406" s="102"/>
      <c r="J406" s="156"/>
      <c r="K406" s="249"/>
      <c r="L406" s="210"/>
      <c r="M406" s="144"/>
      <c r="N406" s="145"/>
      <c r="O406" s="145"/>
      <c r="P406" s="122"/>
      <c r="Q406" s="304" t="str">
        <f t="shared" si="10"/>
        <v/>
      </c>
      <c r="S406" s="157"/>
      <c r="T406" s="5"/>
      <c r="U406" s="5"/>
      <c r="V406" s="158"/>
      <c r="W406" s="158"/>
      <c r="X406" s="158"/>
      <c r="Y406" s="158"/>
      <c r="Z406" s="158"/>
      <c r="AA406" s="158"/>
      <c r="AB406" s="158"/>
      <c r="AC406" s="158"/>
      <c r="AD406" s="158"/>
      <c r="AE406" s="158"/>
      <c r="AF406" s="158"/>
      <c r="AG406" s="158"/>
    </row>
    <row r="407" ht="15.75" hidden="1" customHeight="1">
      <c r="A407" s="90"/>
      <c r="B407" s="6"/>
      <c r="C407" s="90"/>
      <c r="D407" s="185"/>
      <c r="E407" s="260"/>
      <c r="F407" s="187"/>
      <c r="G407" s="187"/>
      <c r="H407" s="195"/>
      <c r="I407" s="164"/>
      <c r="J407" s="248"/>
      <c r="K407" s="251"/>
      <c r="L407" s="164"/>
      <c r="M407" s="134" t="str">
        <f>I272</f>
        <v/>
      </c>
      <c r="N407" s="135" t="str">
        <f>iferror(mround($P272*((VLOOKUP($J407,Sheet1!$D:$N,$G407+1,FALSE)-0.03)),2.5)," ")</f>
        <v> </v>
      </c>
      <c r="O407" s="135" t="str">
        <f>iferror(mround($P272*((VLOOKUP($J407,Sheet1!$D:$N,$G407+1,FALSE)+0.02)),2.5)," ")</f>
        <v> </v>
      </c>
      <c r="P407" s="112" t="str">
        <f>iferror(mround(I407/VLOOKUP(L407,Sheet1!$D$7:$N$16,G407+1,FALSE),2.5),"")</f>
        <v/>
      </c>
      <c r="Q407" s="303" t="str">
        <f t="shared" si="10"/>
        <v/>
      </c>
      <c r="S407" s="11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</row>
    <row r="408" ht="3.75" hidden="1" customHeight="1">
      <c r="A408" s="90"/>
      <c r="B408" s="6"/>
      <c r="C408" s="90"/>
      <c r="D408" s="263"/>
      <c r="E408" s="252"/>
      <c r="F408" s="102"/>
      <c r="G408" s="102"/>
      <c r="H408" s="102"/>
      <c r="I408" s="102"/>
      <c r="J408" s="156"/>
      <c r="K408" s="249"/>
      <c r="L408" s="210"/>
      <c r="M408" s="144"/>
      <c r="N408" s="145"/>
      <c r="O408" s="145"/>
      <c r="P408" s="122"/>
      <c r="Q408" s="304" t="str">
        <f t="shared" si="10"/>
        <v/>
      </c>
      <c r="S408" s="11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</row>
    <row r="409" ht="15.75" hidden="1" customHeight="1">
      <c r="A409" s="90"/>
      <c r="B409" s="6"/>
      <c r="C409" s="90"/>
      <c r="D409" s="185"/>
      <c r="E409" s="266"/>
      <c r="F409" s="187"/>
      <c r="G409" s="187"/>
      <c r="H409" s="195"/>
      <c r="I409" s="164"/>
      <c r="J409" s="248"/>
      <c r="K409" s="251"/>
      <c r="L409" s="164"/>
      <c r="M409" s="134" t="str">
        <f>I274</f>
        <v/>
      </c>
      <c r="N409" s="135" t="str">
        <f>iferror(mround($P274*((VLOOKUP($J409,Sheet1!$D:$N,$G409+1,FALSE)-0.03)),2.5)," ")</f>
        <v> </v>
      </c>
      <c r="O409" s="135" t="str">
        <f>iferror(mround($P274*((VLOOKUP($J409,Sheet1!$D:$N,$G409+1,FALSE)+0.02)),2.5)," ")</f>
        <v> </v>
      </c>
      <c r="P409" s="112" t="str">
        <f>iferror(mround(I409/VLOOKUP(L409,Sheet1!$D$7:$N$16,G409+1,FALSE),2.5),"")</f>
        <v/>
      </c>
      <c r="Q409" s="303" t="str">
        <f t="shared" si="10"/>
        <v/>
      </c>
      <c r="S409" s="11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</row>
    <row r="410" ht="3.75" customHeight="1">
      <c r="A410" s="191"/>
      <c r="B410" s="6"/>
      <c r="C410" s="192"/>
      <c r="D410" s="192"/>
      <c r="E410" s="267"/>
      <c r="F410" s="194"/>
      <c r="G410" s="194"/>
      <c r="H410" s="155"/>
      <c r="I410" s="210"/>
      <c r="J410" s="268"/>
      <c r="K410" s="249"/>
      <c r="L410" s="269"/>
      <c r="M410" s="270"/>
      <c r="N410" s="269"/>
      <c r="O410" s="269"/>
      <c r="P410" s="271"/>
      <c r="Q410" s="272"/>
      <c r="R410" s="273"/>
      <c r="S410" s="157"/>
      <c r="T410" s="5"/>
      <c r="U410" s="5"/>
      <c r="V410" s="158"/>
      <c r="W410" s="158"/>
      <c r="X410" s="158"/>
      <c r="Y410" s="158"/>
      <c r="Z410" s="158"/>
      <c r="AA410" s="158"/>
      <c r="AB410" s="158"/>
      <c r="AC410" s="158"/>
      <c r="AD410" s="158"/>
      <c r="AE410" s="158"/>
      <c r="AF410" s="158"/>
      <c r="AG410" s="158"/>
    </row>
    <row r="411" ht="14.25" customHeight="1">
      <c r="A411" s="5"/>
      <c r="B411" s="6"/>
      <c r="C411" s="5"/>
      <c r="D411" s="274"/>
      <c r="E411" s="266"/>
      <c r="F411" s="187"/>
      <c r="G411" s="187"/>
      <c r="H411" s="195"/>
      <c r="I411" s="129"/>
      <c r="J411" s="275"/>
      <c r="K411" s="276"/>
      <c r="L411" s="187"/>
      <c r="M411" s="187"/>
      <c r="N411" s="187"/>
      <c r="O411" s="187"/>
      <c r="P411" s="277"/>
      <c r="Q411" s="278"/>
      <c r="R411" s="279"/>
      <c r="S411" s="11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</row>
    <row r="412" ht="14.25" customHeight="1">
      <c r="A412" s="5"/>
      <c r="B412" s="6"/>
      <c r="C412" s="5"/>
      <c r="D412" s="274" t="s">
        <v>59</v>
      </c>
      <c r="E412" s="266" t="s">
        <v>16</v>
      </c>
      <c r="F412" s="187" t="s">
        <v>17</v>
      </c>
      <c r="G412" s="187" t="s">
        <v>60</v>
      </c>
      <c r="H412" s="187"/>
      <c r="I412" s="280" t="s">
        <v>61</v>
      </c>
      <c r="J412" s="266" t="s">
        <v>62</v>
      </c>
      <c r="K412" s="274"/>
      <c r="L412" s="187"/>
      <c r="M412" s="285"/>
      <c r="N412" s="285"/>
      <c r="O412" s="285"/>
      <c r="P412" s="282"/>
      <c r="Q412" s="278"/>
      <c r="R412" s="157"/>
      <c r="S412" s="11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</row>
    <row r="413" ht="14.25" customHeight="1">
      <c r="A413" s="5"/>
      <c r="B413" s="6"/>
      <c r="C413" s="5"/>
      <c r="D413" s="274" t="s">
        <v>6</v>
      </c>
      <c r="E413" s="283">
        <f>IFERROR(__xludf.DUMMYFUNCTION("SUM(FILTER(F288:F412, ISNUMBER(SEARCH(""squat"", D288:D412))))"),8.0)</f>
        <v>8</v>
      </c>
      <c r="F413" s="284">
        <f>IFERROR(__xludf.DUMMYFUNCTION("SUMPRODUCT(FILTER(F288:F412 * G288:G412, ISNUMBER(SEARCH(""squat"", D288:D412))))"),42.0)</f>
        <v>42</v>
      </c>
      <c r="G413" s="135">
        <f>IFERROR(__xludf.DUMMYFUNCTION("ROUND(SUMPRODUCT(FILTER(F288:F412 * G288:G412 * I288:I412, ISNUMBER(SEARCH(""squat"", D288:D412)))), 0)"),15880.0)</f>
        <v>15880</v>
      </c>
      <c r="H413" s="285"/>
      <c r="I413" s="135">
        <f>IFERROR(__xludf.DUMMYFUNCTION("ROUND(AVERAGE(FILTER(I288:I412, ISNUMBER(SEARCH(""squat"", D288:D412)), I288:I412 &lt;&gt; """")) / J413 * 100, 0)"),75.0)</f>
        <v>75</v>
      </c>
      <c r="J413" s="283">
        <f>IFERROR(__xludf.DUMMYFUNCTION("IFERROR(MROUND(AVERAGE(FILTER(P288:P412, D288:D412 = ""comp squat"", P288:P412 &lt;&gt; """", P288:P412 &gt;= 0.9 * MAX(FILTER(P288:P412, D288:D412 = ""comp squat"", P288:P412 &lt;&gt; """")), P288:P412 &lt;= 1.1 * MAX(FILTER(P288:P412, D288:D412 = ""comp squat"", P288:P41"&amp;"2 &lt;&gt; """")))), 2.5), ""No valid data"")"),515.0)</f>
        <v>515</v>
      </c>
      <c r="K413" s="286"/>
      <c r="L413" s="287">
        <f>MROUND(J413/2.2046,2.5)-$O$10</f>
        <v>-10</v>
      </c>
      <c r="M413" s="305"/>
      <c r="N413" s="305"/>
      <c r="O413" s="305"/>
      <c r="P413" s="282"/>
      <c r="Q413" s="278"/>
      <c r="R413" s="291"/>
      <c r="S413" s="11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</row>
    <row r="414" ht="3.0" customHeight="1">
      <c r="A414" s="5"/>
      <c r="B414" s="6"/>
      <c r="C414" s="5"/>
      <c r="D414" s="90"/>
      <c r="E414" s="156"/>
      <c r="F414" s="102"/>
      <c r="G414" s="145"/>
      <c r="H414" s="102"/>
      <c r="I414" s="145"/>
      <c r="J414" s="156"/>
      <c r="K414" s="286"/>
      <c r="L414" s="292"/>
      <c r="M414" s="284"/>
      <c r="N414" s="284"/>
      <c r="O414" s="305"/>
      <c r="P414" s="282"/>
      <c r="Q414" s="278"/>
      <c r="R414" s="115"/>
      <c r="S414" s="11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</row>
    <row r="415" ht="15.75" customHeight="1">
      <c r="A415" s="5"/>
      <c r="B415" s="6"/>
      <c r="C415" s="5"/>
      <c r="D415" s="274" t="s">
        <v>66</v>
      </c>
      <c r="E415" s="293">
        <f>IFERROR(__xludf.DUMMYFUNCTION("SUM(FILTER(F288:F412, ISNUMBER(SEARCH(""bench press"", D288:D412))))"),19.0)</f>
        <v>19</v>
      </c>
      <c r="F415" s="284">
        <f>IFERROR(__xludf.DUMMYFUNCTION("SUMPRODUCT(FILTER(F289:F413 * G289:G413, ISNUMBER(SEARCH(""bench press"", D289:D413))))"),69.0)</f>
        <v>69</v>
      </c>
      <c r="G415" s="135">
        <f>IFERROR(__xludf.DUMMYFUNCTION("ROUND(SUMPRODUCT(FILTER(F288:F412 * G288:G412 * I288:I412, ISNUMBER(SEARCH(""bench press"", D288:D412)))), 0)"),18441.0)</f>
        <v>18441</v>
      </c>
      <c r="H415" s="285"/>
      <c r="I415" s="135">
        <f>IFERROR(__xludf.DUMMYFUNCTION("ROUND(AVERAGE(FILTER(I288:I412, ISNUMBER(SEARCH(""bench press"", D288:D412)), I288:I412 &lt;&gt; """")) / J415 * 100, 0)"),82.0)</f>
        <v>82</v>
      </c>
      <c r="J415" s="293">
        <f>IFERROR(__xludf.DUMMYFUNCTION("IFERROR(MROUND(AVERAGE(FILTER(P288:P412, D288:D412 = ""comp bench press"", P288:P412 &lt;&gt; """", P288:P412 &gt;= 0.9 * MAX(FILTER(P288:P412, D288:D412 = ""comp bench press"", P288:P412 &lt;&gt; """")), P288:P412 &lt;= 1.1 * MAX(FILTER(P288:P412, D288:D412 = ""comp bench"&amp;" press"", P288:P412 &lt;&gt; """")))), 2.5), ""No valid data"")"),340.0)</f>
        <v>340</v>
      </c>
      <c r="K415" s="286"/>
      <c r="L415" s="294">
        <f>MROUND(J415/2.2046,2.5)-$O$11</f>
        <v>2.5</v>
      </c>
      <c r="M415" s="285"/>
      <c r="N415" s="285"/>
      <c r="O415" s="305"/>
      <c r="P415" s="282"/>
      <c r="Q415" s="278"/>
      <c r="R415" s="157"/>
      <c r="S415" s="11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</row>
    <row r="416" ht="3.0" customHeight="1">
      <c r="A416" s="5"/>
      <c r="B416" s="6"/>
      <c r="C416" s="5"/>
      <c r="D416" s="90"/>
      <c r="E416" s="156"/>
      <c r="F416" s="102"/>
      <c r="G416" s="145"/>
      <c r="H416" s="102"/>
      <c r="I416" s="145"/>
      <c r="J416" s="156"/>
      <c r="K416" s="286"/>
      <c r="L416" s="292"/>
      <c r="M416" s="285"/>
      <c r="N416" s="285"/>
      <c r="O416" s="284"/>
      <c r="P416" s="282"/>
      <c r="Q416" s="278"/>
      <c r="R416" s="157"/>
      <c r="S416" s="11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</row>
    <row r="417" ht="14.25" customHeight="1">
      <c r="A417" s="5"/>
      <c r="B417" s="6"/>
      <c r="C417" s="5"/>
      <c r="D417" s="274" t="s">
        <v>10</v>
      </c>
      <c r="E417" s="293">
        <f>IFERROR(__xludf.DUMMYFUNCTION("SUM(FILTER(F288:F412, ISNUMBER(SEARCH(""deadlift"", D288:D412))))"),7.0)</f>
        <v>7</v>
      </c>
      <c r="F417" s="284">
        <f>IFERROR(__xludf.DUMMYFUNCTION("SUMPRODUCT(FILTER(F288:F412 * G288:G412, ISNUMBER(SEARCH(""deadlift"", D288:D412))))"),25.0)</f>
        <v>25</v>
      </c>
      <c r="G417" s="135">
        <f>IFERROR(__xludf.DUMMYFUNCTION("ROUND(SUMPRODUCT(FILTER(F288:F412 * G288:G412 * I288:I412, ISNUMBER(SEARCH(""deadlift"", D288:D412)))), 0)"),10931.0)</f>
        <v>10931</v>
      </c>
      <c r="H417" s="285"/>
      <c r="I417" s="135">
        <f>IFERROR(__xludf.DUMMYFUNCTION("ROUND(AVERAGE(FILTER(I288:I412, ISNUMBER(SEARCH(""deadlift"", D288:D412)), I288:I412 &lt;&gt; """")) / J417 * 100, 0)"),78.0)</f>
        <v>78</v>
      </c>
      <c r="J417" s="293">
        <f>IFERROR(__xludf.DUMMYFUNCTION("IFERROR(MROUND(AVERAGE(FILTER(P288:P412, D288:D412 = ""comp deadlift"", P288:P412 &lt;&gt; """", P288:P412 &gt;= 0.9 * MAX(FILTER(P288:P412, D288:D412 = ""comp deadlift"", P288:P412 &lt;&gt; """")), P288:P412 &lt;= 1.1 * MAX(FILTER(P288:P412, D288:D412 = ""comp deadlift"","&amp;" P288:P412 &lt;&gt; """")))), 2.5), ""No valid data"")"),572.5)</f>
        <v>572.5</v>
      </c>
      <c r="K417" s="286"/>
      <c r="L417" s="294">
        <f>MROUND(J417/2.2046,2.5)-$O$12</f>
        <v>-5</v>
      </c>
      <c r="M417" s="285"/>
      <c r="N417" s="285"/>
      <c r="O417" s="285"/>
      <c r="P417" s="282"/>
      <c r="Q417" s="278"/>
      <c r="R417" s="157"/>
      <c r="S417" s="11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</row>
    <row r="418" ht="14.25" customHeight="1">
      <c r="A418" s="5"/>
      <c r="B418" s="6"/>
      <c r="C418" s="5"/>
      <c r="D418" s="274"/>
      <c r="E418" s="266"/>
      <c r="F418" s="187"/>
      <c r="G418" s="187"/>
      <c r="H418" s="187"/>
      <c r="I418" s="187"/>
      <c r="J418" s="295"/>
      <c r="K418" s="274"/>
      <c r="L418" s="187"/>
      <c r="M418" s="285"/>
      <c r="N418" s="285"/>
      <c r="O418" s="285"/>
      <c r="P418" s="282"/>
      <c r="Q418" s="278"/>
      <c r="R418" s="157"/>
      <c r="S418" s="11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</row>
    <row r="419" ht="14.25" customHeight="1">
      <c r="A419" s="5"/>
      <c r="B419" s="2"/>
      <c r="C419" s="5"/>
      <c r="D419" s="5"/>
      <c r="E419" s="75"/>
      <c r="F419" s="3"/>
      <c r="G419" s="3"/>
      <c r="H419" s="3"/>
      <c r="I419" s="3"/>
      <c r="J419" s="75"/>
      <c r="K419" s="5"/>
      <c r="L419" s="3"/>
      <c r="M419" s="47"/>
      <c r="N419" s="3"/>
      <c r="O419" s="3"/>
      <c r="P419" s="3"/>
      <c r="Q419" s="4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</row>
    <row r="420" ht="18.75" customHeight="1">
      <c r="A420" s="90"/>
      <c r="B420" s="6"/>
      <c r="C420" s="91"/>
      <c r="D420" s="79" t="s">
        <v>72</v>
      </c>
      <c r="E420" s="80" t="s">
        <v>13</v>
      </c>
      <c r="G420" s="81"/>
      <c r="H420" s="81"/>
      <c r="I420" s="81"/>
      <c r="J420" s="82"/>
      <c r="K420" s="83"/>
      <c r="L420" s="83"/>
      <c r="M420" s="93"/>
      <c r="N420" s="93"/>
      <c r="O420" s="93"/>
      <c r="P420" s="296"/>
      <c r="Q420" s="297"/>
      <c r="R420" s="298"/>
      <c r="S420" s="10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</row>
    <row r="421" ht="18.75" customHeight="1">
      <c r="A421" s="90"/>
      <c r="B421" s="6"/>
      <c r="C421" s="91"/>
      <c r="D421" s="299">
        <f>D286+1</f>
        <v>4</v>
      </c>
      <c r="E421" s="300" t="str">
        <f>IF(E286 = "", "", E286 - 1)</f>
        <v/>
      </c>
      <c r="G421" s="301"/>
      <c r="H421" s="301"/>
      <c r="I421" s="301"/>
      <c r="J421" s="92"/>
      <c r="K421" s="93"/>
      <c r="L421" s="93"/>
      <c r="M421" s="93"/>
      <c r="N421" s="93"/>
      <c r="O421" s="93"/>
      <c r="P421" s="94"/>
      <c r="Q421" s="95"/>
      <c r="R421" s="96"/>
      <c r="S421" s="10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</row>
    <row r="422" ht="5.25" customHeight="1">
      <c r="A422" s="90"/>
      <c r="B422" s="6"/>
      <c r="C422" s="90"/>
      <c r="D422" s="97"/>
      <c r="E422" s="98"/>
      <c r="F422" s="99"/>
      <c r="G422" s="99"/>
      <c r="H422" s="99"/>
      <c r="I422" s="100"/>
      <c r="J422" s="101"/>
      <c r="K422" s="90"/>
      <c r="L422" s="102"/>
      <c r="M422" s="102"/>
      <c r="N422" s="102"/>
      <c r="O422" s="102"/>
      <c r="P422" s="103"/>
      <c r="Q422" s="4"/>
      <c r="R422" s="90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</row>
    <row r="423" ht="30.75" customHeight="1">
      <c r="A423" s="90"/>
      <c r="B423" s="6"/>
      <c r="C423" s="90"/>
      <c r="D423" s="202" t="s">
        <v>73</v>
      </c>
      <c r="E423" s="105" t="s">
        <v>75</v>
      </c>
      <c r="F423" s="106" t="s">
        <v>16</v>
      </c>
      <c r="G423" s="106" t="s">
        <v>17</v>
      </c>
      <c r="H423" s="107"/>
      <c r="I423" s="106" t="s">
        <v>18</v>
      </c>
      <c r="J423" s="108" t="s">
        <v>19</v>
      </c>
      <c r="L423" s="109" t="s">
        <v>20</v>
      </c>
      <c r="M423" s="110" t="s">
        <v>21</v>
      </c>
      <c r="N423" s="111" t="s">
        <v>22</v>
      </c>
      <c r="P423" s="112"/>
      <c r="Q423" s="113" t="s">
        <v>23</v>
      </c>
      <c r="R423" s="114" t="s">
        <v>24</v>
      </c>
      <c r="S423" s="11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</row>
    <row r="424" ht="14.25" customHeight="1">
      <c r="A424" s="90"/>
      <c r="B424" s="6"/>
      <c r="C424" s="90"/>
      <c r="D424" s="116">
        <v>4.0</v>
      </c>
      <c r="E424" s="117">
        <v>3.0</v>
      </c>
      <c r="H424" s="107"/>
      <c r="N424" s="111" t="s">
        <v>27</v>
      </c>
      <c r="O424" s="111" t="s">
        <v>28</v>
      </c>
      <c r="P424" s="112" t="s">
        <v>29</v>
      </c>
      <c r="R424" s="118" t="s">
        <v>30</v>
      </c>
      <c r="S424" s="11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</row>
    <row r="425" ht="3.75" customHeight="1">
      <c r="A425" s="90"/>
      <c r="B425" s="6"/>
      <c r="C425" s="90"/>
      <c r="D425" s="97"/>
      <c r="E425" s="98"/>
      <c r="F425" s="99"/>
      <c r="G425" s="99"/>
      <c r="H425" s="99"/>
      <c r="I425" s="100"/>
      <c r="J425" s="302"/>
      <c r="K425" s="90"/>
      <c r="L425" s="102"/>
      <c r="M425" s="121"/>
      <c r="N425" s="102"/>
      <c r="O425" s="102"/>
      <c r="P425" s="122"/>
      <c r="Q425" s="4"/>
      <c r="R425" s="123"/>
      <c r="S425" s="11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</row>
    <row r="426" ht="15.75" customHeight="1">
      <c r="A426" s="124"/>
      <c r="B426" s="6"/>
      <c r="C426" s="124"/>
      <c r="D426" s="125" t="s">
        <v>77</v>
      </c>
      <c r="E426" s="126"/>
      <c r="F426" s="127">
        <v>1.0</v>
      </c>
      <c r="G426" s="240">
        <v>6.0</v>
      </c>
      <c r="H426" s="129"/>
      <c r="I426" s="130">
        <v>397.0</v>
      </c>
      <c r="J426" s="151">
        <v>7.0</v>
      </c>
      <c r="K426" s="132"/>
      <c r="L426" s="133">
        <v>7.5</v>
      </c>
      <c r="M426" s="134">
        <f>I291</f>
        <v>375</v>
      </c>
      <c r="N426" s="135">
        <f>iferror(mround($P291*((VLOOKUP($J426,Sheet1!$D:$N,$G426+1,FALSE)-0.03)),2.5)," ")</f>
        <v>372.5</v>
      </c>
      <c r="O426" s="135">
        <f>iferror(mround($P291*((VLOOKUP($J426,Sheet1!$D:$N,$G426+1,FALSE)+0.02)),2.5)," ")</f>
        <v>397.5</v>
      </c>
      <c r="P426" s="56">
        <f>iferror(mround(I426/VLOOKUP(L426,Sheet1!$D$7:$N$16,G426+1,FALSE),2.5),"")</f>
        <v>510</v>
      </c>
      <c r="Q426" s="303">
        <f t="shared" ref="Q426:Q447" si="11">IF(OR(ISBLANK(I426), ISBLANK(I291)), "", IF(I426 - I291 = 0, "", I426 - I291))</f>
        <v>22</v>
      </c>
      <c r="S426" s="11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</row>
    <row r="427" ht="3.75" customHeight="1">
      <c r="A427" s="137"/>
      <c r="B427" s="70"/>
      <c r="C427" s="137"/>
      <c r="D427" s="138"/>
      <c r="E427" s="139"/>
      <c r="F427" s="140"/>
      <c r="G427" s="140"/>
      <c r="H427" s="140"/>
      <c r="I427" s="330"/>
      <c r="J427" s="141"/>
      <c r="K427" s="142"/>
      <c r="L427" s="143"/>
      <c r="M427" s="144"/>
      <c r="N427" s="145"/>
      <c r="O427" s="145"/>
      <c r="P427" s="122"/>
      <c r="Q427" s="304" t="str">
        <f t="shared" si="11"/>
        <v/>
      </c>
      <c r="S427" s="147"/>
      <c r="T427" s="148"/>
      <c r="U427" s="148"/>
      <c r="V427" s="148"/>
      <c r="W427" s="148"/>
      <c r="X427" s="148"/>
      <c r="Y427" s="148"/>
      <c r="Z427" s="148"/>
      <c r="AA427" s="148"/>
      <c r="AB427" s="148"/>
      <c r="AC427" s="148"/>
      <c r="AD427" s="148"/>
      <c r="AE427" s="148"/>
      <c r="AF427" s="148"/>
      <c r="AG427" s="148"/>
    </row>
    <row r="428" ht="15.75" customHeight="1">
      <c r="A428" s="149"/>
      <c r="B428" s="150"/>
      <c r="C428" s="149"/>
      <c r="D428" s="125" t="s">
        <v>77</v>
      </c>
      <c r="E428" s="126"/>
      <c r="F428" s="127">
        <v>1.0</v>
      </c>
      <c r="G428" s="240">
        <v>6.0</v>
      </c>
      <c r="H428" s="129"/>
      <c r="I428" s="130">
        <v>424.0</v>
      </c>
      <c r="J428" s="151">
        <v>8.0</v>
      </c>
      <c r="K428" s="132"/>
      <c r="L428" s="133">
        <v>8.5</v>
      </c>
      <c r="M428" s="134">
        <f>I293</f>
        <v>413</v>
      </c>
      <c r="N428" s="135">
        <f>iferror(mround($P293*((VLOOKUP($J428,Sheet1!$D:$N,$G428+1,FALSE)-0.03)),2.5)," ")</f>
        <v>410</v>
      </c>
      <c r="O428" s="135">
        <f>iferror(mround($P293*((VLOOKUP($J428,Sheet1!$D:$N,$G428+1,FALSE)+0.02)),2.5)," ")</f>
        <v>437.5</v>
      </c>
      <c r="P428" s="56">
        <f>iferror(mround(I428/VLOOKUP(L428,Sheet1!$D$7:$N$16,G428+1,FALSE),2.5),"")</f>
        <v>527.5</v>
      </c>
      <c r="Q428" s="303">
        <f t="shared" si="11"/>
        <v>11</v>
      </c>
      <c r="S428" s="11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</row>
    <row r="429" ht="3.75" customHeight="1">
      <c r="A429" s="152"/>
      <c r="B429" s="150"/>
      <c r="C429" s="153"/>
      <c r="D429" s="138"/>
      <c r="E429" s="154"/>
      <c r="F429" s="155"/>
      <c r="G429" s="102"/>
      <c r="H429" s="102"/>
      <c r="I429" s="102"/>
      <c r="J429" s="156"/>
      <c r="K429" s="142"/>
      <c r="L429" s="143"/>
      <c r="M429" s="144"/>
      <c r="N429" s="145"/>
      <c r="O429" s="145"/>
      <c r="P429" s="122"/>
      <c r="Q429" s="304" t="str">
        <f t="shared" si="11"/>
        <v/>
      </c>
      <c r="S429" s="157"/>
      <c r="T429" s="5"/>
      <c r="U429" s="5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</row>
    <row r="430" ht="15.75" customHeight="1">
      <c r="A430" s="149"/>
      <c r="B430" s="150"/>
      <c r="C430" s="149"/>
      <c r="D430" s="125" t="s">
        <v>77</v>
      </c>
      <c r="E430" s="126"/>
      <c r="F430" s="127">
        <v>1.0</v>
      </c>
      <c r="G430" s="161">
        <v>6.0</v>
      </c>
      <c r="H430" s="129"/>
      <c r="I430" s="164">
        <f>MROUND(I428*(1+J430),5)</f>
        <v>405</v>
      </c>
      <c r="J430" s="165">
        <v>-0.05</v>
      </c>
      <c r="K430" s="132"/>
      <c r="L430" s="133">
        <v>8.0</v>
      </c>
      <c r="M430" s="134">
        <f>I295</f>
        <v>370</v>
      </c>
      <c r="N430" s="135" t="str">
        <f>iferror(mround($P295*((VLOOKUP($J430,Sheet1!$D:$N,$G430+1,FALSE)-0.03)),2.5)," ")</f>
        <v> </v>
      </c>
      <c r="O430" s="135" t="str">
        <f>iferror(mround($P295*((VLOOKUP($J430,Sheet1!$D:$N,$G430+1,FALSE)+0.02)),2.5)," ")</f>
        <v> </v>
      </c>
      <c r="P430" s="56">
        <f>iferror(mround(I430/VLOOKUP(L430,Sheet1!$D$7:$N$16,G430+1,FALSE),2.5),"")</f>
        <v>512.5</v>
      </c>
      <c r="Q430" s="303">
        <f t="shared" si="11"/>
        <v>35</v>
      </c>
      <c r="S430" s="11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</row>
    <row r="431" ht="3.75" customHeight="1">
      <c r="A431" s="162"/>
      <c r="B431" s="163"/>
      <c r="C431" s="162"/>
      <c r="D431" s="138"/>
      <c r="E431" s="154"/>
      <c r="F431" s="155"/>
      <c r="G431" s="102"/>
      <c r="H431" s="102"/>
      <c r="I431" s="102"/>
      <c r="J431" s="156"/>
      <c r="K431" s="142"/>
      <c r="L431" s="143"/>
      <c r="M431" s="144"/>
      <c r="N431" s="145"/>
      <c r="O431" s="145"/>
      <c r="P431" s="122"/>
      <c r="Q431" s="304" t="str">
        <f t="shared" si="11"/>
        <v/>
      </c>
      <c r="S431" s="147"/>
      <c r="T431" s="148"/>
      <c r="U431" s="148"/>
      <c r="V431" s="148"/>
      <c r="W431" s="148"/>
      <c r="X431" s="148"/>
      <c r="Y431" s="148"/>
      <c r="Z431" s="148"/>
      <c r="AA431" s="148"/>
      <c r="AB431" s="148"/>
      <c r="AC431" s="148"/>
      <c r="AD431" s="148"/>
      <c r="AE431" s="148"/>
      <c r="AF431" s="148"/>
      <c r="AG431" s="148"/>
    </row>
    <row r="432" ht="15.75" customHeight="1">
      <c r="A432" s="149"/>
      <c r="B432" s="150"/>
      <c r="C432" s="149"/>
      <c r="D432" s="159" t="s">
        <v>33</v>
      </c>
      <c r="E432" s="160" t="s">
        <v>34</v>
      </c>
      <c r="F432" s="127">
        <v>1.0</v>
      </c>
      <c r="G432" s="161">
        <v>5.0</v>
      </c>
      <c r="H432" s="129"/>
      <c r="I432" s="130">
        <v>271.0</v>
      </c>
      <c r="J432" s="151">
        <v>8.0</v>
      </c>
      <c r="K432" s="132"/>
      <c r="L432" s="133">
        <v>8.0</v>
      </c>
      <c r="M432" s="134">
        <f>I297</f>
        <v>265</v>
      </c>
      <c r="N432" s="135">
        <f>iferror(mround($P297*((VLOOKUP($J432,Sheet1!$D:$N,$G432+1,FALSE)-0.03)),2.5)," ")</f>
        <v>262.5</v>
      </c>
      <c r="O432" s="135">
        <f>iferror(mround($P297*((VLOOKUP($J432,Sheet1!$D:$N,$G432+1,FALSE)+0.02)),2.5)," ")</f>
        <v>280</v>
      </c>
      <c r="P432" s="56">
        <f>iferror(mround(I432/VLOOKUP(L432,Sheet1!$D$7:$N$16,G432+1,FALSE),2.5),"")</f>
        <v>332.5</v>
      </c>
      <c r="Q432" s="303">
        <f t="shared" si="11"/>
        <v>6</v>
      </c>
      <c r="S432" s="11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</row>
    <row r="433" ht="3.75" customHeight="1">
      <c r="A433" s="162"/>
      <c r="B433" s="163"/>
      <c r="C433" s="162"/>
      <c r="D433" s="138"/>
      <c r="E433" s="139"/>
      <c r="F433" s="140"/>
      <c r="G433" s="140"/>
      <c r="H433" s="140"/>
      <c r="I433" s="140"/>
      <c r="J433" s="141"/>
      <c r="K433" s="142"/>
      <c r="L433" s="143"/>
      <c r="M433" s="144"/>
      <c r="N433" s="145"/>
      <c r="O433" s="145"/>
      <c r="P433" s="122"/>
      <c r="Q433" s="304" t="str">
        <f t="shared" si="11"/>
        <v/>
      </c>
      <c r="S433" s="147"/>
      <c r="T433" s="148"/>
      <c r="U433" s="148"/>
      <c r="V433" s="148"/>
      <c r="W433" s="148"/>
      <c r="X433" s="148"/>
      <c r="Y433" s="148"/>
      <c r="Z433" s="148"/>
      <c r="AA433" s="148"/>
      <c r="AB433" s="148"/>
      <c r="AC433" s="148"/>
      <c r="AD433" s="148"/>
      <c r="AE433" s="148"/>
      <c r="AF433" s="148"/>
      <c r="AG433" s="148"/>
    </row>
    <row r="434" ht="15.75" customHeight="1">
      <c r="A434" s="90"/>
      <c r="B434" s="6"/>
      <c r="C434" s="90"/>
      <c r="D434" s="159" t="s">
        <v>33</v>
      </c>
      <c r="E434" s="160" t="s">
        <v>34</v>
      </c>
      <c r="F434" s="127">
        <v>3.0</v>
      </c>
      <c r="G434" s="161">
        <v>5.0</v>
      </c>
      <c r="H434" s="129"/>
      <c r="I434" s="164">
        <f>MROUND(I432*(1+J434),5)</f>
        <v>245</v>
      </c>
      <c r="J434" s="165">
        <v>-0.1</v>
      </c>
      <c r="K434" s="132"/>
      <c r="L434" s="133"/>
      <c r="M434" s="134">
        <f>I299</f>
        <v>240</v>
      </c>
      <c r="N434" s="135" t="str">
        <f>iferror(mround($P299*((VLOOKUP($J434,Sheet1!$D:$N,$G434+1,FALSE)-0.03)),2.5)," ")</f>
        <v> </v>
      </c>
      <c r="O434" s="135" t="str">
        <f>iferror(mround($P299*((VLOOKUP($J434,Sheet1!$D:$N,$G434+1,FALSE)+0.02)),2.5)," ")</f>
        <v> </v>
      </c>
      <c r="P434" s="56" t="str">
        <f>iferror(mround(I434/VLOOKUP(L434,Sheet1!$D$7:$N$16,G434+1,FALSE),2.5),"")</f>
        <v/>
      </c>
      <c r="Q434" s="303">
        <f t="shared" si="11"/>
        <v>5</v>
      </c>
      <c r="S434" s="11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</row>
    <row r="435" ht="3.75" customHeight="1">
      <c r="A435" s="168"/>
      <c r="B435" s="70"/>
      <c r="C435" s="168"/>
      <c r="D435" s="138"/>
      <c r="E435" s="139"/>
      <c r="F435" s="102"/>
      <c r="G435" s="102"/>
      <c r="H435" s="102"/>
      <c r="I435" s="102"/>
      <c r="J435" s="156"/>
      <c r="K435" s="142"/>
      <c r="L435" s="143"/>
      <c r="M435" s="144"/>
      <c r="N435" s="145"/>
      <c r="O435" s="145"/>
      <c r="P435" s="122"/>
      <c r="Q435" s="304" t="str">
        <f t="shared" si="11"/>
        <v/>
      </c>
      <c r="S435" s="147"/>
      <c r="T435" s="148"/>
      <c r="U435" s="148"/>
      <c r="V435" s="148"/>
      <c r="W435" s="148"/>
      <c r="X435" s="148"/>
      <c r="Y435" s="148"/>
      <c r="Z435" s="148"/>
      <c r="AA435" s="148"/>
      <c r="AB435" s="148"/>
      <c r="AC435" s="148"/>
      <c r="AD435" s="148"/>
      <c r="AE435" s="148"/>
      <c r="AF435" s="148"/>
      <c r="AG435" s="148"/>
    </row>
    <row r="436" ht="15.75" customHeight="1">
      <c r="A436" s="90"/>
      <c r="B436" s="6"/>
      <c r="C436" s="90"/>
      <c r="D436" s="166" t="s">
        <v>35</v>
      </c>
      <c r="E436" s="167" t="s">
        <v>79</v>
      </c>
      <c r="F436" s="127">
        <v>2.0</v>
      </c>
      <c r="G436" s="161">
        <v>7.0</v>
      </c>
      <c r="H436" s="129"/>
      <c r="I436" s="130"/>
      <c r="J436" s="151">
        <v>8.0</v>
      </c>
      <c r="K436" s="170" t="s">
        <v>80</v>
      </c>
      <c r="L436" s="133"/>
      <c r="M436" s="134">
        <f>I301</f>
        <v>253</v>
      </c>
      <c r="N436" s="135">
        <f>iferror(mround($P301*((VLOOKUP($J436,Sheet1!$D:$N,$G436+1,FALSE)-0.03)),2.5)," ")</f>
        <v>235</v>
      </c>
      <c r="O436" s="135">
        <f>iferror(mround($P301*((VLOOKUP($J436,Sheet1!$D:$N,$G436+1,FALSE)+0.02)),2.5)," ")</f>
        <v>250</v>
      </c>
      <c r="P436" s="56" t="str">
        <f>iferror(mround(I436/VLOOKUP(L436,Sheet1!$D$7:$N$16,G436+1,FALSE),2.5),"")</f>
        <v/>
      </c>
      <c r="Q436" s="303" t="str">
        <f t="shared" si="11"/>
        <v/>
      </c>
      <c r="S436" s="11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</row>
    <row r="437" ht="3.75" customHeight="1">
      <c r="A437" s="90"/>
      <c r="B437" s="6"/>
      <c r="C437" s="90"/>
      <c r="D437" s="171"/>
      <c r="E437" s="172"/>
      <c r="F437" s="173"/>
      <c r="G437" s="173"/>
      <c r="H437" s="173"/>
      <c r="I437" s="173"/>
      <c r="J437" s="174"/>
      <c r="K437" s="142"/>
      <c r="L437" s="143"/>
      <c r="M437" s="144"/>
      <c r="N437" s="145"/>
      <c r="O437" s="145"/>
      <c r="P437" s="122"/>
      <c r="Q437" s="304" t="str">
        <f t="shared" si="11"/>
        <v/>
      </c>
      <c r="S437" s="11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</row>
    <row r="438" ht="15.75" customHeight="1">
      <c r="A438" s="90"/>
      <c r="B438" s="6"/>
      <c r="C438" s="90"/>
      <c r="D438" s="166" t="s">
        <v>37</v>
      </c>
      <c r="E438" s="160" t="s">
        <v>81</v>
      </c>
      <c r="F438" s="127">
        <v>3.0</v>
      </c>
      <c r="G438" s="169">
        <v>45577.0</v>
      </c>
      <c r="H438" s="129"/>
      <c r="I438" s="130"/>
      <c r="J438" s="151">
        <v>8.0</v>
      </c>
      <c r="K438" s="132"/>
      <c r="L438" s="133"/>
      <c r="M438" s="134" t="str">
        <f>I303</f>
        <v/>
      </c>
      <c r="N438" s="135" t="str">
        <f>iferror(mround($P303*((VLOOKUP($J438,Sheet1!$D:$N,$G438+1,FALSE)-0.03)),2.5)," ")</f>
        <v> </v>
      </c>
      <c r="O438" s="135" t="str">
        <f>iferror(mround($P303*((VLOOKUP($J438,Sheet1!$D:$N,$G438+1,FALSE)+0.02)),2.5)," ")</f>
        <v> </v>
      </c>
      <c r="P438" s="56" t="str">
        <f>iferror(mround(I438/VLOOKUP(L438,Sheet1!$D$7:$N$16,G438+1,FALSE),2.5),"")</f>
        <v/>
      </c>
      <c r="Q438" s="303" t="str">
        <f t="shared" si="11"/>
        <v/>
      </c>
      <c r="S438" s="11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</row>
    <row r="439" ht="3.75" customHeight="1">
      <c r="A439" s="90"/>
      <c r="B439" s="6"/>
      <c r="C439" s="90"/>
      <c r="D439" s="171"/>
      <c r="E439" s="172"/>
      <c r="F439" s="173"/>
      <c r="G439" s="173"/>
      <c r="H439" s="173"/>
      <c r="I439" s="173"/>
      <c r="J439" s="174"/>
      <c r="K439" s="142"/>
      <c r="L439" s="143"/>
      <c r="M439" s="144"/>
      <c r="N439" s="145"/>
      <c r="O439" s="145"/>
      <c r="P439" s="122"/>
      <c r="Q439" s="304" t="str">
        <f t="shared" si="11"/>
        <v/>
      </c>
      <c r="S439" s="11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</row>
    <row r="440" ht="15.75" hidden="1" customHeight="1">
      <c r="A440" s="90"/>
      <c r="B440" s="6"/>
      <c r="C440" s="90"/>
      <c r="D440" s="175" t="s">
        <v>40</v>
      </c>
      <c r="E440" s="176"/>
      <c r="F440" s="177">
        <v>3.0</v>
      </c>
      <c r="G440" s="178" t="s">
        <v>41</v>
      </c>
      <c r="H440" s="179"/>
      <c r="I440" s="180"/>
      <c r="J440" s="181">
        <v>8.0</v>
      </c>
      <c r="K440" s="182"/>
      <c r="L440" s="183"/>
      <c r="M440" s="134" t="str">
        <f>I305</f>
        <v/>
      </c>
      <c r="N440" s="135" t="str">
        <f>iferror(mround($P305*((VLOOKUP($J440,Sheet1!$D:$N,$G440+1,FALSE)-0.03)),2.5)," ")</f>
        <v> </v>
      </c>
      <c r="O440" s="135" t="str">
        <f>iferror(mround($P305*((VLOOKUP($J440,Sheet1!$D:$N,$G440+1,FALSE)+0.02)),2.5)," ")</f>
        <v> </v>
      </c>
      <c r="P440" s="56" t="str">
        <f>iferror(mround(I440/VLOOKUP(L440,Sheet1!$D$7:$N$16,G440+1,FALSE),2.5),"")</f>
        <v/>
      </c>
      <c r="Q440" s="303" t="str">
        <f t="shared" si="11"/>
        <v/>
      </c>
      <c r="S440" s="11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</row>
    <row r="441" ht="3.75" hidden="1" customHeight="1">
      <c r="A441" s="90"/>
      <c r="B441" s="6"/>
      <c r="C441" s="90"/>
      <c r="D441" s="138"/>
      <c r="E441" s="184"/>
      <c r="F441" s="102"/>
      <c r="G441" s="102"/>
      <c r="H441" s="102"/>
      <c r="I441" s="102"/>
      <c r="J441" s="156"/>
      <c r="K441" s="103"/>
      <c r="L441" s="143"/>
      <c r="M441" s="144"/>
      <c r="N441" s="145"/>
      <c r="O441" s="145"/>
      <c r="P441" s="122"/>
      <c r="Q441" s="304" t="str">
        <f t="shared" si="11"/>
        <v/>
      </c>
      <c r="S441" s="11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</row>
    <row r="442" ht="15.75" hidden="1" customHeight="1">
      <c r="A442" s="90"/>
      <c r="B442" s="6"/>
      <c r="C442" s="90"/>
      <c r="D442" s="185"/>
      <c r="E442" s="186"/>
      <c r="F442" s="187"/>
      <c r="G442" s="188"/>
      <c r="H442" s="129"/>
      <c r="I442" s="164"/>
      <c r="J442" s="189"/>
      <c r="K442" s="190"/>
      <c r="L442" s="183"/>
      <c r="M442" s="134" t="str">
        <f>I307</f>
        <v/>
      </c>
      <c r="N442" s="135" t="str">
        <f>iferror(mround($P307*((VLOOKUP($J442,Sheet1!$D:$N,$G442+1,FALSE)-0.03)),2.5)," ")</f>
        <v> </v>
      </c>
      <c r="O442" s="135" t="str">
        <f>iferror(mround($P307*((VLOOKUP($J442,Sheet1!$D:$N,$G442+1,FALSE)+0.02)),2.5)," ")</f>
        <v> </v>
      </c>
      <c r="P442" s="56" t="str">
        <f>iferror(mround(I442/VLOOKUP(L442,Sheet1!$D$7:$N$16,G442+1,FALSE),2.5),"")</f>
        <v/>
      </c>
      <c r="Q442" s="303" t="str">
        <f t="shared" si="11"/>
        <v/>
      </c>
      <c r="S442" s="11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</row>
    <row r="443" ht="3.75" hidden="1" customHeight="1">
      <c r="A443" s="191"/>
      <c r="B443" s="6"/>
      <c r="C443" s="192"/>
      <c r="D443" s="138"/>
      <c r="E443" s="193"/>
      <c r="F443" s="194"/>
      <c r="G443" s="155"/>
      <c r="H443" s="102"/>
      <c r="I443" s="102"/>
      <c r="J443" s="156"/>
      <c r="K443" s="103"/>
      <c r="L443" s="143"/>
      <c r="M443" s="144"/>
      <c r="N443" s="145"/>
      <c r="O443" s="145"/>
      <c r="P443" s="122"/>
      <c r="Q443" s="304" t="str">
        <f t="shared" si="11"/>
        <v/>
      </c>
      <c r="S443" s="157"/>
      <c r="T443" s="5"/>
      <c r="U443" s="5"/>
      <c r="V443" s="158"/>
      <c r="W443" s="158"/>
      <c r="X443" s="158"/>
      <c r="Y443" s="158"/>
      <c r="Z443" s="158"/>
      <c r="AA443" s="158"/>
      <c r="AB443" s="158"/>
      <c r="AC443" s="158"/>
      <c r="AD443" s="158"/>
      <c r="AE443" s="158"/>
      <c r="AF443" s="158"/>
      <c r="AG443" s="158"/>
    </row>
    <row r="444" ht="15.75" hidden="1" customHeight="1">
      <c r="A444" s="90"/>
      <c r="B444" s="6"/>
      <c r="C444" s="90"/>
      <c r="D444" s="185"/>
      <c r="E444" s="186"/>
      <c r="F444" s="187"/>
      <c r="G444" s="195"/>
      <c r="H444" s="129"/>
      <c r="I444" s="164"/>
      <c r="J444" s="189"/>
      <c r="K444" s="190"/>
      <c r="L444" s="183"/>
      <c r="M444" s="134" t="str">
        <f>I309</f>
        <v/>
      </c>
      <c r="N444" s="135" t="str">
        <f>iferror(mround($P309*((VLOOKUP($J444,Sheet1!$D:$N,$G444+1,FALSE)-0.03)),2.5)," ")</f>
        <v> </v>
      </c>
      <c r="O444" s="135" t="str">
        <f>iferror(mround($P309*((VLOOKUP($J444,Sheet1!$D:$N,$G444+1,FALSE)+0.02)),2.5)," ")</f>
        <v> </v>
      </c>
      <c r="P444" s="56" t="str">
        <f>iferror(mround(I444/VLOOKUP(L444,Sheet1!$D$7:$N$16,G444+1,FALSE),2.5),"")</f>
        <v/>
      </c>
      <c r="Q444" s="303" t="str">
        <f t="shared" si="11"/>
        <v/>
      </c>
      <c r="S444" s="11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</row>
    <row r="445" ht="3.75" hidden="1" customHeight="1">
      <c r="A445" s="90"/>
      <c r="B445" s="6"/>
      <c r="C445" s="90"/>
      <c r="D445" s="196"/>
      <c r="E445" s="184"/>
      <c r="F445" s="102"/>
      <c r="G445" s="102"/>
      <c r="H445" s="102"/>
      <c r="I445" s="102"/>
      <c r="J445" s="156"/>
      <c r="K445" s="103"/>
      <c r="L445" s="143"/>
      <c r="M445" s="144"/>
      <c r="N445" s="145"/>
      <c r="O445" s="145"/>
      <c r="P445" s="122"/>
      <c r="Q445" s="304" t="str">
        <f t="shared" si="11"/>
        <v/>
      </c>
      <c r="S445" s="11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</row>
    <row r="446" ht="15.75" hidden="1" customHeight="1">
      <c r="A446" s="90"/>
      <c r="B446" s="6"/>
      <c r="C446" s="90"/>
      <c r="D446" s="197"/>
      <c r="E446" s="198"/>
      <c r="F446" s="199"/>
      <c r="G446" s="195"/>
      <c r="H446" s="129"/>
      <c r="I446" s="164"/>
      <c r="J446" s="189"/>
      <c r="K446" s="190"/>
      <c r="L446" s="183"/>
      <c r="M446" s="134" t="str">
        <f>I311</f>
        <v/>
      </c>
      <c r="N446" s="135" t="str">
        <f>iferror(mround($P311*((VLOOKUP($J446,Sheet1!$D:$N,$G446+1,FALSE)-0.03)),2.5)," ")</f>
        <v> </v>
      </c>
      <c r="O446" s="135" t="str">
        <f>iferror(mround($P311*((VLOOKUP($J446,Sheet1!$D:$N,$G446+1,FALSE)+0.02)),2.5)," ")</f>
        <v> </v>
      </c>
      <c r="P446" s="56" t="str">
        <f>iferror(mround(I446/VLOOKUP(L446,Sheet1!$D$7:$N$16,G446+1,FALSE),2.5),"")</f>
        <v/>
      </c>
      <c r="Q446" s="303" t="str">
        <f t="shared" si="11"/>
        <v/>
      </c>
      <c r="S446" s="11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</row>
    <row r="447" ht="3.75" customHeight="1">
      <c r="A447" s="90"/>
      <c r="B447" s="6"/>
      <c r="C447" s="90"/>
      <c r="D447" s="90"/>
      <c r="E447" s="156"/>
      <c r="F447" s="102"/>
      <c r="G447" s="102"/>
      <c r="H447" s="102"/>
      <c r="I447" s="102"/>
      <c r="J447" s="156"/>
      <c r="K447" s="200"/>
      <c r="L447" s="201"/>
      <c r="M447" s="144"/>
      <c r="N447" s="47"/>
      <c r="O447" s="47"/>
      <c r="P447" s="122"/>
      <c r="Q447" s="304" t="str">
        <f t="shared" si="11"/>
        <v/>
      </c>
      <c r="S447" s="11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</row>
    <row r="448" ht="30.0" customHeight="1">
      <c r="A448" s="90"/>
      <c r="B448" s="6"/>
      <c r="C448" s="90"/>
      <c r="D448" s="202" t="s">
        <v>42</v>
      </c>
      <c r="E448" s="105" t="s">
        <v>105</v>
      </c>
      <c r="F448" s="106" t="s">
        <v>16</v>
      </c>
      <c r="G448" s="106" t="s">
        <v>17</v>
      </c>
      <c r="H448" s="107"/>
      <c r="I448" s="106" t="s">
        <v>18</v>
      </c>
      <c r="J448" s="108" t="s">
        <v>19</v>
      </c>
      <c r="L448" s="109" t="s">
        <v>20</v>
      </c>
      <c r="M448" s="110" t="s">
        <v>21</v>
      </c>
      <c r="N448" s="111" t="s">
        <v>22</v>
      </c>
      <c r="P448" s="112"/>
      <c r="Q448" s="113" t="s">
        <v>23</v>
      </c>
      <c r="R448" s="114" t="s">
        <v>43</v>
      </c>
      <c r="S448" s="11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</row>
    <row r="449" ht="14.25" customHeight="1">
      <c r="A449" s="90"/>
      <c r="B449" s="6"/>
      <c r="C449" s="90"/>
      <c r="D449" s="257" t="s">
        <v>25</v>
      </c>
      <c r="E449" s="117">
        <v>3.0</v>
      </c>
      <c r="H449" s="107"/>
      <c r="N449" s="111" t="s">
        <v>27</v>
      </c>
      <c r="O449" s="111" t="s">
        <v>28</v>
      </c>
      <c r="P449" s="112" t="s">
        <v>29</v>
      </c>
      <c r="R449" s="118" t="s">
        <v>30</v>
      </c>
      <c r="S449" s="11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</row>
    <row r="450" ht="3.75" customHeight="1">
      <c r="A450" s="191"/>
      <c r="B450" s="6"/>
      <c r="C450" s="192"/>
      <c r="D450" s="203"/>
      <c r="E450" s="204"/>
      <c r="F450" s="205"/>
      <c r="G450" s="205"/>
      <c r="H450" s="206"/>
      <c r="I450" s="207"/>
      <c r="J450" s="208"/>
      <c r="K450" s="209"/>
      <c r="L450" s="210"/>
      <c r="M450" s="211"/>
      <c r="N450" s="47"/>
      <c r="O450" s="47"/>
      <c r="P450" s="122"/>
      <c r="Q450" s="304" t="str">
        <f t="shared" ref="Q450:Q472" si="12">IF(OR(ISBLANK(I450), ISBLANK(I315)), "", IF(I450 - I315 = 0, "", I450 - I315))</f>
        <v/>
      </c>
      <c r="R450" s="212"/>
      <c r="S450" s="157"/>
      <c r="T450" s="5"/>
      <c r="U450" s="5"/>
      <c r="V450" s="158"/>
      <c r="W450" s="158"/>
      <c r="X450" s="158"/>
      <c r="Y450" s="158"/>
      <c r="Z450" s="158"/>
      <c r="AA450" s="158"/>
      <c r="AB450" s="158"/>
      <c r="AC450" s="158"/>
      <c r="AD450" s="158"/>
      <c r="AE450" s="158"/>
      <c r="AF450" s="158"/>
      <c r="AG450" s="158"/>
    </row>
    <row r="451" ht="15.75" customHeight="1">
      <c r="A451" s="124"/>
      <c r="B451" s="6"/>
      <c r="C451" s="124"/>
      <c r="D451" s="159" t="s">
        <v>83</v>
      </c>
      <c r="E451" s="167" t="s">
        <v>84</v>
      </c>
      <c r="F451" s="127">
        <v>3.0</v>
      </c>
      <c r="G451" s="127">
        <v>3.0</v>
      </c>
      <c r="H451" s="195"/>
      <c r="I451" s="130">
        <v>430.0</v>
      </c>
      <c r="J451" s="151">
        <v>6.0</v>
      </c>
      <c r="K451" s="213"/>
      <c r="L451" s="133">
        <v>6.0</v>
      </c>
      <c r="M451" s="134">
        <f>I316</f>
        <v>419</v>
      </c>
      <c r="N451" s="135">
        <f>iferror(mround($P316*((VLOOKUP($J451,Sheet1!$D:$N,$G451+1,FALSE)-0.03)),2.5)," ")</f>
        <v>405</v>
      </c>
      <c r="O451" s="135">
        <f>iferror(mround($P316*((VLOOKUP($J451,Sheet1!$D:$N,$G451+1,FALSE)+0.02)),2.5)," ")</f>
        <v>430</v>
      </c>
      <c r="P451" s="112">
        <f>iferror(mround(I451/VLOOKUP(L451,Sheet1!$D$7:$N$16,G451+1,FALSE),2.5),"")</f>
        <v>527.5</v>
      </c>
      <c r="Q451" s="303">
        <f t="shared" si="12"/>
        <v>11</v>
      </c>
      <c r="R451" s="214"/>
      <c r="S451" s="11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</row>
    <row r="452" ht="3.75" customHeight="1">
      <c r="A452" s="124"/>
      <c r="B452" s="6"/>
      <c r="C452" s="124"/>
      <c r="D452" s="138"/>
      <c r="E452" s="215"/>
      <c r="F452" s="102"/>
      <c r="G452" s="102"/>
      <c r="H452" s="102"/>
      <c r="I452" s="102"/>
      <c r="J452" s="216"/>
      <c r="K452" s="217"/>
      <c r="L452" s="218"/>
      <c r="M452" s="144"/>
      <c r="N452" s="145"/>
      <c r="O452" s="145"/>
      <c r="P452" s="122"/>
      <c r="Q452" s="304" t="str">
        <f t="shared" si="12"/>
        <v/>
      </c>
      <c r="R452" s="214"/>
      <c r="S452" s="11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</row>
    <row r="453" ht="15.75" customHeight="1">
      <c r="A453" s="90"/>
      <c r="B453" s="6"/>
      <c r="C453" s="90"/>
      <c r="D453" s="159" t="s">
        <v>33</v>
      </c>
      <c r="E453" s="167"/>
      <c r="F453" s="127">
        <v>1.0</v>
      </c>
      <c r="G453" s="127">
        <v>2.0</v>
      </c>
      <c r="H453" s="195"/>
      <c r="I453" s="130">
        <v>325.0</v>
      </c>
      <c r="J453" s="151">
        <v>8.5</v>
      </c>
      <c r="K453" s="219" t="s">
        <v>85</v>
      </c>
      <c r="L453" s="133">
        <v>9.0</v>
      </c>
      <c r="M453" s="134">
        <f>I318</f>
        <v>314</v>
      </c>
      <c r="N453" s="135">
        <f>iferror(mround($P318*((VLOOKUP($J453,Sheet1!$D:$N,$G453+1,FALSE)-0.03)),2.5)," ")</f>
        <v>310</v>
      </c>
      <c r="O453" s="135">
        <f>iferror(mround($P318*((VLOOKUP($J453,Sheet1!$D:$N,$G453+1,FALSE)+0.02)),2.5)," ")</f>
        <v>327.5</v>
      </c>
      <c r="P453" s="112">
        <f>iferror(mround(I453/VLOOKUP(L453,Sheet1!$D$7:$N$16,G453+1,FALSE),2.5),"")</f>
        <v>350</v>
      </c>
      <c r="Q453" s="303">
        <f t="shared" si="12"/>
        <v>11</v>
      </c>
      <c r="R453" s="214"/>
      <c r="S453" s="11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</row>
    <row r="454" ht="3.75" customHeight="1">
      <c r="A454" s="90"/>
      <c r="B454" s="6"/>
      <c r="C454" s="90"/>
      <c r="D454" s="138"/>
      <c r="E454" s="215"/>
      <c r="F454" s="102"/>
      <c r="G454" s="102"/>
      <c r="H454" s="102"/>
      <c r="I454" s="102"/>
      <c r="J454" s="216"/>
      <c r="K454" s="217"/>
      <c r="L454" s="218"/>
      <c r="M454" s="144"/>
      <c r="N454" s="145"/>
      <c r="O454" s="145"/>
      <c r="P454" s="122"/>
      <c r="Q454" s="304" t="str">
        <f t="shared" si="12"/>
        <v/>
      </c>
      <c r="R454" s="214"/>
      <c r="S454" s="11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</row>
    <row r="455" ht="15.75" customHeight="1">
      <c r="A455" s="90"/>
      <c r="B455" s="6"/>
      <c r="C455" s="90"/>
      <c r="D455" s="159" t="s">
        <v>33</v>
      </c>
      <c r="E455" s="167"/>
      <c r="F455" s="127">
        <v>3.0</v>
      </c>
      <c r="G455" s="161">
        <v>3.0</v>
      </c>
      <c r="H455" s="195"/>
      <c r="I455" s="164">
        <f>MROUND(I453*(1+J455),5)</f>
        <v>300</v>
      </c>
      <c r="J455" s="165">
        <v>-0.08</v>
      </c>
      <c r="K455" s="219"/>
      <c r="L455" s="133">
        <v>8.5</v>
      </c>
      <c r="M455" s="134">
        <f>I320</f>
        <v>290</v>
      </c>
      <c r="N455" s="135" t="str">
        <f>iferror(mround($P320*((VLOOKUP($J455,Sheet1!$D:$N,$G455+1,FALSE)-0.03)),2.5)," ")</f>
        <v> </v>
      </c>
      <c r="O455" s="135" t="str">
        <f>iferror(mround($P320*((VLOOKUP($J455,Sheet1!$D:$N,$G455+1,FALSE)+0.02)),2.5)," ")</f>
        <v> </v>
      </c>
      <c r="P455" s="112">
        <f>iferror(mround(I455/VLOOKUP(L455,Sheet1!$D$7:$N$16,G455+1,FALSE),2.5),"")</f>
        <v>342.5</v>
      </c>
      <c r="Q455" s="303">
        <f t="shared" si="12"/>
        <v>10</v>
      </c>
      <c r="R455" s="214"/>
      <c r="S455" s="11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</row>
    <row r="456" ht="3.75" customHeight="1">
      <c r="A456" s="90"/>
      <c r="B456" s="6"/>
      <c r="C456" s="90"/>
      <c r="D456" s="138"/>
      <c r="E456" s="215"/>
      <c r="F456" s="102"/>
      <c r="G456" s="102"/>
      <c r="H456" s="102"/>
      <c r="I456" s="102"/>
      <c r="J456" s="156"/>
      <c r="K456" s="217"/>
      <c r="L456" s="143"/>
      <c r="M456" s="144"/>
      <c r="N456" s="145"/>
      <c r="O456" s="145"/>
      <c r="P456" s="122"/>
      <c r="Q456" s="304" t="str">
        <f t="shared" si="12"/>
        <v/>
      </c>
      <c r="R456" s="214"/>
      <c r="S456" s="11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</row>
    <row r="457" ht="15.75" customHeight="1">
      <c r="A457" s="90"/>
      <c r="B457" s="6"/>
      <c r="C457" s="90"/>
      <c r="D457" s="159" t="s">
        <v>86</v>
      </c>
      <c r="E457" s="167" t="s">
        <v>87</v>
      </c>
      <c r="F457" s="127">
        <v>3.0</v>
      </c>
      <c r="G457" s="169">
        <v>45577.0</v>
      </c>
      <c r="H457" s="195"/>
      <c r="I457" s="164"/>
      <c r="J457" s="151">
        <v>8.0</v>
      </c>
      <c r="K457" s="213"/>
      <c r="L457" s="133"/>
      <c r="M457" s="134" t="str">
        <f>I322</f>
        <v/>
      </c>
      <c r="N457" s="135" t="str">
        <f>iferror(mround($P322*((VLOOKUP($J457,Sheet1!$D:$N,$G457+1,FALSE)-0.03)),2.5)," ")</f>
        <v> </v>
      </c>
      <c r="O457" s="135" t="str">
        <f>iferror(mround($P322*((VLOOKUP($J457,Sheet1!$D:$N,$G457+1,FALSE)+0.02)),2.5)," ")</f>
        <v> </v>
      </c>
      <c r="P457" s="112" t="str">
        <f>iferror(mround(I457/VLOOKUP(L457,Sheet1!$D$7:$N$16,G457+1,FALSE),2.5),"")</f>
        <v/>
      </c>
      <c r="Q457" s="303" t="str">
        <f t="shared" si="12"/>
        <v/>
      </c>
      <c r="R457" s="214"/>
      <c r="S457" s="11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</row>
    <row r="458" ht="3.75" customHeight="1">
      <c r="A458" s="90"/>
      <c r="B458" s="6"/>
      <c r="C458" s="90"/>
      <c r="D458" s="138"/>
      <c r="E458" s="215"/>
      <c r="F458" s="102"/>
      <c r="G458" s="102"/>
      <c r="H458" s="102"/>
      <c r="I458" s="102"/>
      <c r="J458" s="156"/>
      <c r="K458" s="217"/>
      <c r="L458" s="143"/>
      <c r="M458" s="144"/>
      <c r="N458" s="145"/>
      <c r="O458" s="145"/>
      <c r="P458" s="122"/>
      <c r="Q458" s="304" t="str">
        <f t="shared" si="12"/>
        <v/>
      </c>
      <c r="R458" s="214"/>
      <c r="S458" s="11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</row>
    <row r="459" ht="15.75" customHeight="1">
      <c r="A459" s="90"/>
      <c r="B459" s="6"/>
      <c r="C459" s="90"/>
      <c r="D459" s="159" t="s">
        <v>88</v>
      </c>
      <c r="E459" s="220"/>
      <c r="F459" s="127">
        <v>3.0</v>
      </c>
      <c r="G459" s="221">
        <v>45641.0</v>
      </c>
      <c r="H459" s="195"/>
      <c r="I459" s="130"/>
      <c r="J459" s="151">
        <v>9.0</v>
      </c>
      <c r="K459" s="213"/>
      <c r="L459" s="133"/>
      <c r="M459" s="134" t="str">
        <f>I324</f>
        <v/>
      </c>
      <c r="N459" s="135" t="str">
        <f>iferror(mround($P324*((VLOOKUP($J459,Sheet1!$D:$N,$G459+1,FALSE)-0.03)),2.5)," ")</f>
        <v> </v>
      </c>
      <c r="O459" s="135" t="str">
        <f>iferror(mround($P324*((VLOOKUP($J459,Sheet1!$D:$N,$G459+1,FALSE)+0.02)),2.5)," ")</f>
        <v> </v>
      </c>
      <c r="P459" s="112" t="str">
        <f>iferror(mround(I459/VLOOKUP(L459,Sheet1!$D$7:$N$16,G459+1,FALSE),2.5),"")</f>
        <v/>
      </c>
      <c r="Q459" s="303" t="str">
        <f t="shared" si="12"/>
        <v/>
      </c>
      <c r="R459" s="214"/>
      <c r="S459" s="11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</row>
    <row r="460" ht="3.75" customHeight="1">
      <c r="A460" s="90"/>
      <c r="B460" s="6"/>
      <c r="C460" s="90"/>
      <c r="D460" s="138"/>
      <c r="E460" s="215"/>
      <c r="F460" s="102"/>
      <c r="G460" s="102"/>
      <c r="H460" s="102"/>
      <c r="I460" s="102"/>
      <c r="J460" s="156"/>
      <c r="K460" s="217"/>
      <c r="L460" s="143"/>
      <c r="M460" s="144"/>
      <c r="N460" s="145"/>
      <c r="O460" s="145"/>
      <c r="P460" s="122"/>
      <c r="Q460" s="304" t="str">
        <f t="shared" si="12"/>
        <v/>
      </c>
      <c r="R460" s="214"/>
      <c r="S460" s="11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</row>
    <row r="461" ht="15.75" customHeight="1">
      <c r="A461" s="90"/>
      <c r="B461" s="6"/>
      <c r="C461" s="90"/>
      <c r="D461" s="159" t="s">
        <v>47</v>
      </c>
      <c r="E461" s="220"/>
      <c r="F461" s="127">
        <v>3.0</v>
      </c>
      <c r="G461" s="221">
        <v>45641.0</v>
      </c>
      <c r="H461" s="195"/>
      <c r="I461" s="130"/>
      <c r="J461" s="151">
        <v>9.0</v>
      </c>
      <c r="K461" s="213"/>
      <c r="L461" s="183"/>
      <c r="M461" s="134" t="str">
        <f>I326</f>
        <v/>
      </c>
      <c r="N461" s="135" t="str">
        <f>iferror(mround($P326*((VLOOKUP($J461,Sheet1!$D:$N,$G461+1,FALSE)-0.03)),2.5)," ")</f>
        <v> </v>
      </c>
      <c r="O461" s="135" t="str">
        <f>iferror(mround($P326*((VLOOKUP($J461,Sheet1!$D:$N,$G461+1,FALSE)+0.02)),2.5)," ")</f>
        <v> </v>
      </c>
      <c r="P461" s="112" t="str">
        <f>iferror(mround(I461/VLOOKUP(L461,Sheet1!$D$7:$N$16,G461+1,FALSE),2.5),"")</f>
        <v/>
      </c>
      <c r="Q461" s="303" t="str">
        <f t="shared" si="12"/>
        <v/>
      </c>
      <c r="R461" s="214"/>
      <c r="S461" s="11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</row>
    <row r="462" ht="3.75" customHeight="1">
      <c r="A462" s="90"/>
      <c r="B462" s="6"/>
      <c r="C462" s="90"/>
      <c r="D462" s="138"/>
      <c r="E462" s="326"/>
      <c r="F462" s="102"/>
      <c r="G462" s="102"/>
      <c r="H462" s="102"/>
      <c r="I462" s="102"/>
      <c r="J462" s="216"/>
      <c r="K462" s="222"/>
      <c r="L462" s="143"/>
      <c r="M462" s="144"/>
      <c r="N462" s="145"/>
      <c r="O462" s="145"/>
      <c r="P462" s="122"/>
      <c r="Q462" s="304" t="str">
        <f t="shared" si="12"/>
        <v/>
      </c>
      <c r="R462" s="214"/>
      <c r="S462" s="11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</row>
    <row r="463" ht="18.0" hidden="1" customHeight="1">
      <c r="A463" s="90"/>
      <c r="B463" s="6"/>
      <c r="C463" s="90"/>
      <c r="D463" s="185"/>
      <c r="E463" s="327"/>
      <c r="F463" s="187"/>
      <c r="G463" s="187"/>
      <c r="H463" s="195"/>
      <c r="I463" s="164"/>
      <c r="J463" s="189"/>
      <c r="K463" s="190"/>
      <c r="L463" s="183"/>
      <c r="M463" s="134" t="str">
        <f>I328</f>
        <v/>
      </c>
      <c r="N463" s="135" t="str">
        <f>iferror(mround($P328*((VLOOKUP($J463,Sheet1!$D:$N,$G463+1,FALSE)-0.03)),2.5)," ")</f>
        <v> </v>
      </c>
      <c r="O463" s="135" t="str">
        <f>iferror(mround($P328*((VLOOKUP($J463,Sheet1!$D:$N,$G463+1,FALSE)+0.02)),2.5)," ")</f>
        <v> </v>
      </c>
      <c r="P463" s="112" t="str">
        <f>iferror(mround(I463/VLOOKUP(L463,Sheet1!$D$7:$N$16,G463+1,FALSE),2.5),"")</f>
        <v/>
      </c>
      <c r="Q463" s="303" t="str">
        <f t="shared" si="12"/>
        <v/>
      </c>
      <c r="R463" s="214"/>
      <c r="S463" s="11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</row>
    <row r="464" ht="3.75" hidden="1" customHeight="1">
      <c r="A464" s="191"/>
      <c r="B464" s="6"/>
      <c r="C464" s="192"/>
      <c r="D464" s="138"/>
      <c r="E464" s="223"/>
      <c r="F464" s="194"/>
      <c r="G464" s="194"/>
      <c r="H464" s="155"/>
      <c r="I464" s="210"/>
      <c r="J464" s="216"/>
      <c r="K464" s="222"/>
      <c r="L464" s="143"/>
      <c r="M464" s="144"/>
      <c r="N464" s="145"/>
      <c r="O464" s="145"/>
      <c r="P464" s="122"/>
      <c r="Q464" s="304" t="str">
        <f t="shared" si="12"/>
        <v/>
      </c>
      <c r="R464" s="214"/>
      <c r="S464" s="157"/>
      <c r="T464" s="5"/>
      <c r="U464" s="5"/>
      <c r="V464" s="158"/>
      <c r="W464" s="158"/>
      <c r="X464" s="158"/>
      <c r="Y464" s="158"/>
      <c r="Z464" s="158"/>
      <c r="AA464" s="158"/>
      <c r="AB464" s="158"/>
      <c r="AC464" s="158"/>
      <c r="AD464" s="158"/>
      <c r="AE464" s="158"/>
      <c r="AF464" s="158"/>
      <c r="AG464" s="158"/>
    </row>
    <row r="465" ht="15.75" hidden="1" customHeight="1">
      <c r="A465" s="90"/>
      <c r="B465" s="6"/>
      <c r="C465" s="90"/>
      <c r="D465" s="185"/>
      <c r="E465" s="186"/>
      <c r="F465" s="187"/>
      <c r="G465" s="187"/>
      <c r="H465" s="195"/>
      <c r="I465" s="164"/>
      <c r="J465" s="189"/>
      <c r="K465" s="190"/>
      <c r="L465" s="183"/>
      <c r="M465" s="134" t="str">
        <f>I330</f>
        <v/>
      </c>
      <c r="N465" s="135" t="str">
        <f>iferror(mround($P330*((VLOOKUP($J465,Sheet1!$D:$N,$G465+1,FALSE)-0.03)),2.5)," ")</f>
        <v> </v>
      </c>
      <c r="O465" s="135" t="str">
        <f>iferror(mround($P330*((VLOOKUP($J465,Sheet1!$D:$N,$G465+1,FALSE)+0.02)),2.5)," ")</f>
        <v> </v>
      </c>
      <c r="P465" s="112" t="str">
        <f>iferror(mround(I465/VLOOKUP(L465,Sheet1!$D$7:$N$16,G465+1,FALSE),2.5),"")</f>
        <v/>
      </c>
      <c r="Q465" s="303" t="str">
        <f t="shared" si="12"/>
        <v/>
      </c>
      <c r="R465" s="214"/>
      <c r="S465" s="11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</row>
    <row r="466" ht="3.75" hidden="1" customHeight="1">
      <c r="A466" s="90"/>
      <c r="B466" s="6"/>
      <c r="C466" s="90"/>
      <c r="D466" s="138"/>
      <c r="E466" s="184"/>
      <c r="F466" s="102"/>
      <c r="G466" s="102"/>
      <c r="H466" s="102"/>
      <c r="I466" s="102"/>
      <c r="J466" s="156"/>
      <c r="K466" s="222"/>
      <c r="L466" s="143"/>
      <c r="M466" s="144"/>
      <c r="N466" s="145"/>
      <c r="O466" s="145"/>
      <c r="P466" s="122"/>
      <c r="Q466" s="304" t="str">
        <f t="shared" si="12"/>
        <v/>
      </c>
      <c r="R466" s="214"/>
      <c r="S466" s="11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</row>
    <row r="467" ht="15.75" hidden="1" customHeight="1">
      <c r="A467" s="90"/>
      <c r="B467" s="6"/>
      <c r="C467" s="90"/>
      <c r="D467" s="185"/>
      <c r="E467" s="224"/>
      <c r="F467" s="187"/>
      <c r="G467" s="187"/>
      <c r="H467" s="195"/>
      <c r="I467" s="164"/>
      <c r="J467" s="189"/>
      <c r="K467" s="190"/>
      <c r="L467" s="183"/>
      <c r="M467" s="134" t="str">
        <f>I332</f>
        <v/>
      </c>
      <c r="N467" s="135" t="str">
        <f>iferror(mround($P332*((VLOOKUP($J467,Sheet1!$D:$N,$G467+1,FALSE)-0.03)),2.5)," ")</f>
        <v> </v>
      </c>
      <c r="O467" s="135" t="str">
        <f>iferror(mround($P332*((VLOOKUP($J467,Sheet1!$D:$N,$G467+1,FALSE)+0.02)),2.5)," ")</f>
        <v> </v>
      </c>
      <c r="P467" s="112" t="str">
        <f>iferror(mround(I467/VLOOKUP(L467,Sheet1!$D$7:$N$16,G467+1,FALSE),2.5),"")</f>
        <v/>
      </c>
      <c r="Q467" s="303" t="str">
        <f t="shared" si="12"/>
        <v/>
      </c>
      <c r="R467" s="214"/>
      <c r="S467" s="11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</row>
    <row r="468" ht="3.75" hidden="1" customHeight="1">
      <c r="A468" s="191"/>
      <c r="B468" s="6"/>
      <c r="C468" s="192"/>
      <c r="D468" s="138"/>
      <c r="E468" s="193"/>
      <c r="F468" s="194"/>
      <c r="G468" s="194"/>
      <c r="H468" s="155"/>
      <c r="I468" s="210"/>
      <c r="J468" s="216"/>
      <c r="K468" s="222"/>
      <c r="L468" s="143"/>
      <c r="M468" s="144"/>
      <c r="N468" s="145"/>
      <c r="O468" s="145"/>
      <c r="P468" s="122"/>
      <c r="Q468" s="304" t="str">
        <f t="shared" si="12"/>
        <v/>
      </c>
      <c r="R468" s="214"/>
      <c r="S468" s="157"/>
      <c r="T468" s="5"/>
      <c r="U468" s="5"/>
      <c r="V468" s="158"/>
      <c r="W468" s="158"/>
      <c r="X468" s="158"/>
      <c r="Y468" s="158"/>
      <c r="Z468" s="158"/>
      <c r="AA468" s="158"/>
      <c r="AB468" s="158"/>
      <c r="AC468" s="158"/>
      <c r="AD468" s="158"/>
      <c r="AE468" s="158"/>
      <c r="AF468" s="158"/>
      <c r="AG468" s="158"/>
    </row>
    <row r="469" ht="15.75" hidden="1" customHeight="1">
      <c r="A469" s="90"/>
      <c r="B469" s="6"/>
      <c r="C469" s="90"/>
      <c r="D469" s="185"/>
      <c r="E469" s="186"/>
      <c r="F469" s="187"/>
      <c r="G469" s="187"/>
      <c r="H469" s="195"/>
      <c r="I469" s="164"/>
      <c r="J469" s="189"/>
      <c r="K469" s="190"/>
      <c r="L469" s="183"/>
      <c r="M469" s="134" t="str">
        <f>I334</f>
        <v/>
      </c>
      <c r="N469" s="135" t="str">
        <f>iferror(mround($P334*((VLOOKUP($J469,Sheet1!$D:$N,$G469+1,FALSE)-0.03)),2.5)," ")</f>
        <v> </v>
      </c>
      <c r="O469" s="135" t="str">
        <f>iferror(mround($P334*((VLOOKUP($J469,Sheet1!$D:$N,$G469+1,FALSE)+0.02)),2.5)," ")</f>
        <v> </v>
      </c>
      <c r="P469" s="112" t="str">
        <f>iferror(mround(I469/VLOOKUP(L469,Sheet1!$D$7:$N$16,G469+1,FALSE),2.5),"")</f>
        <v/>
      </c>
      <c r="Q469" s="303" t="str">
        <f t="shared" si="12"/>
        <v/>
      </c>
      <c r="R469" s="214"/>
      <c r="S469" s="11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</row>
    <row r="470" ht="3.75" hidden="1" customHeight="1">
      <c r="A470" s="90"/>
      <c r="B470" s="6"/>
      <c r="C470" s="90"/>
      <c r="D470" s="196"/>
      <c r="E470" s="184"/>
      <c r="F470" s="102"/>
      <c r="G470" s="102"/>
      <c r="H470" s="102"/>
      <c r="I470" s="102"/>
      <c r="J470" s="156"/>
      <c r="K470" s="222"/>
      <c r="L470" s="143"/>
      <c r="M470" s="144"/>
      <c r="N470" s="145"/>
      <c r="O470" s="145"/>
      <c r="P470" s="122"/>
      <c r="Q470" s="304" t="str">
        <f t="shared" si="12"/>
        <v/>
      </c>
      <c r="R470" s="214"/>
      <c r="S470" s="11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</row>
    <row r="471" ht="15.75" hidden="1" customHeight="1">
      <c r="A471" s="90"/>
      <c r="B471" s="6"/>
      <c r="C471" s="90"/>
      <c r="D471" s="197"/>
      <c r="E471" s="198"/>
      <c r="F471" s="199"/>
      <c r="G471" s="187"/>
      <c r="H471" s="195"/>
      <c r="I471" s="164"/>
      <c r="J471" s="189"/>
      <c r="K471" s="190"/>
      <c r="L471" s="183"/>
      <c r="M471" s="134" t="str">
        <f>I336</f>
        <v/>
      </c>
      <c r="N471" s="135" t="str">
        <f>iferror(mround($P336*((VLOOKUP($J471,Sheet1!$D:$N,$G471+1,FALSE)-0.03)),2.5)," ")</f>
        <v> </v>
      </c>
      <c r="O471" s="135" t="str">
        <f>iferror(mround($P336*((VLOOKUP($J471,Sheet1!$D:$N,$G471+1,FALSE)+0.02)),2.5)," ")</f>
        <v> </v>
      </c>
      <c r="P471" s="112" t="str">
        <f>iferror(mround(I471/VLOOKUP(L471,Sheet1!$D$7:$N$16,G471+1,FALSE),2.5),"")</f>
        <v/>
      </c>
      <c r="Q471" s="303" t="str">
        <f t="shared" si="12"/>
        <v/>
      </c>
      <c r="R471" s="214"/>
      <c r="S471" s="11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</row>
    <row r="472" ht="3.75" hidden="1" customHeight="1">
      <c r="A472" s="90"/>
      <c r="B472" s="6"/>
      <c r="C472" s="90"/>
      <c r="D472" s="90"/>
      <c r="E472" s="156"/>
      <c r="F472" s="102"/>
      <c r="G472" s="102"/>
      <c r="H472" s="102"/>
      <c r="I472" s="102"/>
      <c r="J472" s="156"/>
      <c r="K472" s="222"/>
      <c r="L472" s="201"/>
      <c r="M472" s="211"/>
      <c r="N472" s="47"/>
      <c r="O472" s="47"/>
      <c r="P472" s="122"/>
      <c r="Q472" s="304" t="str">
        <f t="shared" si="12"/>
        <v/>
      </c>
      <c r="R472" s="214"/>
      <c r="S472" s="11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</row>
    <row r="473" ht="30.75" customHeight="1">
      <c r="A473" s="90"/>
      <c r="B473" s="6"/>
      <c r="C473" s="90"/>
      <c r="D473" s="202" t="s">
        <v>49</v>
      </c>
      <c r="E473" s="105" t="s">
        <v>15</v>
      </c>
      <c r="F473" s="106" t="s">
        <v>16</v>
      </c>
      <c r="G473" s="106" t="s">
        <v>17</v>
      </c>
      <c r="H473" s="107"/>
      <c r="I473" s="106" t="s">
        <v>18</v>
      </c>
      <c r="J473" s="108" t="s">
        <v>19</v>
      </c>
      <c r="L473" s="109" t="s">
        <v>20</v>
      </c>
      <c r="M473" s="110" t="s">
        <v>21</v>
      </c>
      <c r="N473" s="111" t="s">
        <v>22</v>
      </c>
      <c r="P473" s="112"/>
      <c r="Q473" s="113" t="s">
        <v>23</v>
      </c>
      <c r="R473" s="114" t="s">
        <v>50</v>
      </c>
      <c r="S473" s="11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</row>
    <row r="474" ht="14.25" customHeight="1">
      <c r="A474" s="90"/>
      <c r="B474" s="6"/>
      <c r="C474" s="90"/>
      <c r="D474" s="116" t="s">
        <v>25</v>
      </c>
      <c r="E474" s="117" t="s">
        <v>26</v>
      </c>
      <c r="H474" s="107"/>
      <c r="N474" s="111" t="s">
        <v>27</v>
      </c>
      <c r="O474" s="111" t="s">
        <v>28</v>
      </c>
      <c r="P474" s="112" t="s">
        <v>29</v>
      </c>
      <c r="R474" s="118" t="s">
        <v>30</v>
      </c>
      <c r="S474" s="11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</row>
    <row r="475" ht="3.75" customHeight="1">
      <c r="A475" s="191"/>
      <c r="B475" s="6"/>
      <c r="C475" s="192"/>
      <c r="D475" s="203"/>
      <c r="E475" s="203"/>
      <c r="F475" s="205"/>
      <c r="G475" s="205"/>
      <c r="H475" s="205"/>
      <c r="I475" s="225"/>
      <c r="J475" s="226"/>
      <c r="K475" s="209"/>
      <c r="L475" s="210"/>
      <c r="M475" s="211"/>
      <c r="N475" s="47"/>
      <c r="O475" s="47"/>
      <c r="P475" s="122"/>
      <c r="Q475" s="304" t="str">
        <f t="shared" ref="Q475:Q495" si="13">IF(OR(ISBLANK(I475), ISBLANK(I340)), "", IF(I475 - I340 = 0, "", I475 - I340))</f>
        <v/>
      </c>
      <c r="R475" s="212"/>
      <c r="S475" s="157"/>
      <c r="T475" s="5"/>
      <c r="U475" s="5"/>
      <c r="V475" s="158"/>
      <c r="W475" s="158"/>
      <c r="X475" s="158"/>
      <c r="Y475" s="158"/>
      <c r="Z475" s="158"/>
      <c r="AA475" s="158"/>
      <c r="AB475" s="158"/>
      <c r="AC475" s="158"/>
      <c r="AD475" s="158"/>
      <c r="AE475" s="158"/>
      <c r="AF475" s="158"/>
      <c r="AG475" s="158"/>
    </row>
    <row r="476" ht="15.75" customHeight="1">
      <c r="A476" s="124"/>
      <c r="B476" s="6"/>
      <c r="C476" s="124"/>
      <c r="D476" s="125" t="s">
        <v>90</v>
      </c>
      <c r="E476" s="126"/>
      <c r="F476" s="127">
        <v>1.0</v>
      </c>
      <c r="G476" s="240">
        <v>4.0</v>
      </c>
      <c r="H476" s="129"/>
      <c r="I476" s="130">
        <v>430.0</v>
      </c>
      <c r="J476" s="151">
        <v>7.5</v>
      </c>
      <c r="K476" s="213"/>
      <c r="L476" s="133">
        <v>8.0</v>
      </c>
      <c r="M476" s="134">
        <f>I341</f>
        <v>408</v>
      </c>
      <c r="N476" s="135">
        <f>iferror(mround($P341*((VLOOKUP($J476,Sheet1!$D:$N,$G476+1,FALSE)-0.03)),2.5)," ")</f>
        <v>400</v>
      </c>
      <c r="O476" s="135">
        <f>iferror(mround($P341*((VLOOKUP($J476,Sheet1!$D:$N,$G476+1,FALSE)+0.02)),2.5)," ")</f>
        <v>425</v>
      </c>
      <c r="P476" s="112">
        <f>iferror(mround(I476/VLOOKUP(L476,Sheet1!$D$7:$N$16,G476+1,FALSE),2.5),"")</f>
        <v>512.5</v>
      </c>
      <c r="Q476" s="303">
        <f t="shared" si="13"/>
        <v>22</v>
      </c>
      <c r="R476" s="214"/>
      <c r="S476" s="11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</row>
    <row r="477" ht="3.75" customHeight="1">
      <c r="A477" s="124"/>
      <c r="B477" s="6"/>
      <c r="C477" s="124"/>
      <c r="D477" s="138"/>
      <c r="E477" s="139"/>
      <c r="F477" s="140"/>
      <c r="G477" s="140"/>
      <c r="H477" s="140"/>
      <c r="I477" s="140"/>
      <c r="J477" s="141"/>
      <c r="K477" s="217"/>
      <c r="L477" s="218"/>
      <c r="M477" s="144"/>
      <c r="N477" s="145"/>
      <c r="O477" s="145"/>
      <c r="P477" s="122"/>
      <c r="Q477" s="304" t="str">
        <f t="shared" si="13"/>
        <v/>
      </c>
      <c r="R477" s="214"/>
      <c r="S477" s="11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</row>
    <row r="478" ht="15.75" customHeight="1">
      <c r="A478" s="90"/>
      <c r="B478" s="6"/>
      <c r="C478" s="90"/>
      <c r="D478" s="125" t="s">
        <v>77</v>
      </c>
      <c r="E478" s="126"/>
      <c r="F478" s="127">
        <v>4.0</v>
      </c>
      <c r="G478" s="240">
        <v>5.0</v>
      </c>
      <c r="H478" s="129"/>
      <c r="I478" s="164">
        <f>MROUND(I476*(1+J478),5)</f>
        <v>380</v>
      </c>
      <c r="J478" s="165">
        <v>-0.12</v>
      </c>
      <c r="K478" s="213"/>
      <c r="L478" s="133">
        <v>6.5</v>
      </c>
      <c r="M478" s="134">
        <f>I343</f>
        <v>365</v>
      </c>
      <c r="N478" s="135" t="str">
        <f>iferror(mround($P343*((VLOOKUP($J478,Sheet1!$D:$N,$G478+1,FALSE)-0.03)),2.5)," ")</f>
        <v> </v>
      </c>
      <c r="O478" s="135" t="str">
        <f>iferror(mround($P343*((VLOOKUP($J478,Sheet1!$D:$N,$G478+1,FALSE)+0.02)),2.5)," ")</f>
        <v> </v>
      </c>
      <c r="P478" s="112">
        <f>iferror(mround(I478/VLOOKUP(L478,Sheet1!$D$7:$N$16,G478+1,FALSE),2.5),"")</f>
        <v>487.5</v>
      </c>
      <c r="Q478" s="303">
        <f t="shared" si="13"/>
        <v>15</v>
      </c>
      <c r="R478" s="214"/>
      <c r="S478" s="11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</row>
    <row r="479" ht="3.75" customHeight="1">
      <c r="A479" s="90"/>
      <c r="B479" s="6"/>
      <c r="C479" s="90"/>
      <c r="D479" s="138"/>
      <c r="E479" s="215"/>
      <c r="F479" s="102"/>
      <c r="G479" s="102"/>
      <c r="H479" s="102"/>
      <c r="I479" s="102"/>
      <c r="J479" s="156"/>
      <c r="K479" s="217"/>
      <c r="L479" s="218"/>
      <c r="M479" s="144"/>
      <c r="N479" s="145"/>
      <c r="O479" s="145"/>
      <c r="P479" s="122"/>
      <c r="Q479" s="304" t="str">
        <f t="shared" si="13"/>
        <v/>
      </c>
      <c r="R479" s="214"/>
      <c r="S479" s="11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</row>
    <row r="480" ht="15.75" customHeight="1">
      <c r="A480" s="90"/>
      <c r="B480" s="6"/>
      <c r="C480" s="90"/>
      <c r="D480" s="159" t="s">
        <v>33</v>
      </c>
      <c r="E480" s="160" t="s">
        <v>34</v>
      </c>
      <c r="F480" s="127">
        <v>3.0</v>
      </c>
      <c r="G480" s="161">
        <v>2.0</v>
      </c>
      <c r="H480" s="129"/>
      <c r="I480" s="130">
        <v>285.0</v>
      </c>
      <c r="J480" s="151">
        <v>7.0</v>
      </c>
      <c r="K480" s="219" t="s">
        <v>91</v>
      </c>
      <c r="L480" s="133">
        <v>7.0</v>
      </c>
      <c r="M480" s="134">
        <f>I345</f>
        <v>281</v>
      </c>
      <c r="N480" s="135">
        <f>iferror(mround($P345*((VLOOKUP($J480,Sheet1!$D:$N,$G480+1,FALSE)-0.03)),2.5)," ")</f>
        <v>272.5</v>
      </c>
      <c r="O480" s="135">
        <f>iferror(mround($P345*((VLOOKUP($J480,Sheet1!$D:$N,$G480+1,FALSE)+0.02)),2.5)," ")</f>
        <v>287.5</v>
      </c>
      <c r="P480" s="112">
        <f>iferror(mround(I480/VLOOKUP(L480,Sheet1!$D$7:$N$16,G480+1,FALSE),2.5),"")</f>
        <v>330</v>
      </c>
      <c r="Q480" s="303">
        <f t="shared" si="13"/>
        <v>4</v>
      </c>
      <c r="R480" s="214"/>
      <c r="S480" s="11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</row>
    <row r="481" ht="3.75" customHeight="1">
      <c r="A481" s="90"/>
      <c r="B481" s="6"/>
      <c r="C481" s="90"/>
      <c r="D481" s="138"/>
      <c r="E481" s="154"/>
      <c r="F481" s="155"/>
      <c r="G481" s="102"/>
      <c r="H481" s="102"/>
      <c r="I481" s="102"/>
      <c r="J481" s="156"/>
      <c r="K481" s="217"/>
      <c r="L481" s="218"/>
      <c r="M481" s="144"/>
      <c r="N481" s="145"/>
      <c r="O481" s="145"/>
      <c r="P481" s="122"/>
      <c r="Q481" s="304" t="str">
        <f t="shared" si="13"/>
        <v/>
      </c>
      <c r="R481" s="214"/>
      <c r="S481" s="11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</row>
    <row r="482" ht="15.75" customHeight="1">
      <c r="A482" s="90"/>
      <c r="B482" s="6"/>
      <c r="C482" s="90"/>
      <c r="D482" s="159" t="s">
        <v>45</v>
      </c>
      <c r="E482" s="220"/>
      <c r="F482" s="127">
        <v>3.0</v>
      </c>
      <c r="G482" s="127" t="s">
        <v>41</v>
      </c>
      <c r="H482" s="195"/>
      <c r="I482" s="164"/>
      <c r="J482" s="151"/>
      <c r="K482" s="213"/>
      <c r="L482" s="183"/>
      <c r="M482" s="134" t="str">
        <f>I347</f>
        <v/>
      </c>
      <c r="N482" s="135" t="str">
        <f>iferror(mround($P347*((VLOOKUP($J482,Sheet1!$D:$N,$G482+1,FALSE)-0.03)),2.5)," ")</f>
        <v> </v>
      </c>
      <c r="O482" s="135" t="str">
        <f>iferror(mround($P347*((VLOOKUP($J482,Sheet1!$D:$N,$G482+1,FALSE)+0.02)),2.5)," ")</f>
        <v> </v>
      </c>
      <c r="P482" s="112" t="str">
        <f>iferror(mround(I482/VLOOKUP(L482,Sheet1!$D$7:$N$16,G482+1,FALSE),2.5),"")</f>
        <v/>
      </c>
      <c r="Q482" s="303" t="str">
        <f t="shared" si="13"/>
        <v/>
      </c>
      <c r="R482" s="214"/>
      <c r="S482" s="11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</row>
    <row r="483" ht="3.75" customHeight="1">
      <c r="A483" s="90"/>
      <c r="B483" s="6"/>
      <c r="C483" s="90"/>
      <c r="D483" s="138"/>
      <c r="E483" s="215"/>
      <c r="F483" s="102"/>
      <c r="G483" s="102"/>
      <c r="H483" s="102"/>
      <c r="I483" s="102"/>
      <c r="J483" s="156"/>
      <c r="K483" s="217"/>
      <c r="L483" s="218"/>
      <c r="M483" s="144"/>
      <c r="N483" s="145"/>
      <c r="O483" s="145"/>
      <c r="P483" s="122"/>
      <c r="Q483" s="304" t="str">
        <f t="shared" si="13"/>
        <v/>
      </c>
      <c r="R483" s="214"/>
      <c r="S483" s="11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</row>
    <row r="484" ht="15.75" customHeight="1">
      <c r="A484" s="90"/>
      <c r="B484" s="6"/>
      <c r="C484" s="90"/>
      <c r="D484" s="159" t="s">
        <v>94</v>
      </c>
      <c r="E484" s="220"/>
      <c r="F484" s="127">
        <v>3.0</v>
      </c>
      <c r="G484" s="221">
        <v>45641.0</v>
      </c>
      <c r="H484" s="195"/>
      <c r="I484" s="164"/>
      <c r="J484" s="151">
        <v>9.0</v>
      </c>
      <c r="K484" s="213"/>
      <c r="L484" s="183"/>
      <c r="M484" s="134" t="str">
        <f>I349</f>
        <v/>
      </c>
      <c r="N484" s="135" t="str">
        <f>iferror(mround($P349*((VLOOKUP($J484,Sheet1!$D:$N,$G484+1,FALSE)-0.03)),2.5)," ")</f>
        <v> </v>
      </c>
      <c r="O484" s="135" t="str">
        <f>iferror(mround($P349*((VLOOKUP($J484,Sheet1!$D:$N,$G484+1,FALSE)+0.02)),2.5)," ")</f>
        <v> </v>
      </c>
      <c r="P484" s="112" t="str">
        <f>iferror(mround(I484/VLOOKUP(L484,Sheet1!$D$7:$N$16,G484+1,FALSE),2.5),"")</f>
        <v/>
      </c>
      <c r="Q484" s="303" t="str">
        <f t="shared" si="13"/>
        <v/>
      </c>
      <c r="R484" s="214"/>
      <c r="S484" s="11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</row>
    <row r="485" ht="3.75" customHeight="1">
      <c r="A485" s="90"/>
      <c r="B485" s="6"/>
      <c r="C485" s="90"/>
      <c r="D485" s="138"/>
      <c r="E485" s="215"/>
      <c r="F485" s="102"/>
      <c r="G485" s="102"/>
      <c r="H485" s="102"/>
      <c r="I485" s="102"/>
      <c r="J485" s="156"/>
      <c r="K485" s="222"/>
      <c r="L485" s="218"/>
      <c r="M485" s="144"/>
      <c r="N485" s="145"/>
      <c r="O485" s="145"/>
      <c r="P485" s="122"/>
      <c r="Q485" s="304" t="str">
        <f t="shared" si="13"/>
        <v/>
      </c>
      <c r="R485" s="214"/>
      <c r="S485" s="11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</row>
    <row r="486" ht="15.75" hidden="1" customHeight="1">
      <c r="A486" s="90"/>
      <c r="B486" s="6"/>
      <c r="C486" s="90"/>
      <c r="D486" s="185"/>
      <c r="E486" s="220"/>
      <c r="F486" s="187"/>
      <c r="G486" s="229"/>
      <c r="H486" s="195"/>
      <c r="I486" s="164"/>
      <c r="J486" s="189"/>
      <c r="K486" s="190"/>
      <c r="L486" s="183"/>
      <c r="M486" s="134" t="str">
        <f>I351</f>
        <v/>
      </c>
      <c r="N486" s="135" t="str">
        <f>iferror(mround($P351*((VLOOKUP($J486,Sheet1!$D:$N,$G486+1,FALSE)-0.03)),2.5)," ")</f>
        <v> </v>
      </c>
      <c r="O486" s="135" t="str">
        <f>iferror(mround($P351*((VLOOKUP($J486,Sheet1!$D:$N,$G486+1,FALSE)+0.02)),2.5)," ")</f>
        <v> </v>
      </c>
      <c r="P486" s="112" t="str">
        <f>iferror(mround(I486/VLOOKUP(L486,Sheet1!$D$7:$N$16,G486+1,FALSE),2.5),"")</f>
        <v/>
      </c>
      <c r="Q486" s="303" t="str">
        <f t="shared" si="13"/>
        <v/>
      </c>
      <c r="R486" s="214"/>
      <c r="S486" s="11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</row>
    <row r="487" ht="3.75" hidden="1" customHeight="1">
      <c r="A487" s="90"/>
      <c r="B487" s="6"/>
      <c r="C487" s="90"/>
      <c r="D487" s="138"/>
      <c r="E487" s="215"/>
      <c r="F487" s="102"/>
      <c r="G487" s="102"/>
      <c r="H487" s="102"/>
      <c r="I487" s="102"/>
      <c r="J487" s="216"/>
      <c r="K487" s="222"/>
      <c r="L487" s="218"/>
      <c r="M487" s="144"/>
      <c r="N487" s="145"/>
      <c r="O487" s="145"/>
      <c r="P487" s="122"/>
      <c r="Q487" s="304" t="str">
        <f t="shared" si="13"/>
        <v/>
      </c>
      <c r="R487" s="214"/>
      <c r="S487" s="11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</row>
    <row r="488" ht="15.75" hidden="1" customHeight="1">
      <c r="A488" s="90"/>
      <c r="B488" s="6"/>
      <c r="C488" s="90"/>
      <c r="D488" s="185"/>
      <c r="E488" s="220"/>
      <c r="F488" s="187"/>
      <c r="G488" s="229"/>
      <c r="H488" s="195"/>
      <c r="I488" s="164"/>
      <c r="J488" s="189"/>
      <c r="K488" s="190"/>
      <c r="L488" s="183"/>
      <c r="M488" s="134" t="str">
        <f>I353</f>
        <v/>
      </c>
      <c r="N488" s="135" t="str">
        <f>iferror(mround($P353*((VLOOKUP($J488,Sheet1!$D:$N,$G488+1,FALSE)-0.03)),2.5)," ")</f>
        <v> </v>
      </c>
      <c r="O488" s="135" t="str">
        <f>iferror(mround($P353*((VLOOKUP($J488,Sheet1!$D:$N,$G488+1,FALSE)+0.02)),2.5)," ")</f>
        <v> </v>
      </c>
      <c r="P488" s="112" t="str">
        <f>iferror(mround(I488/VLOOKUP(L488,Sheet1!$D$7:$N$16,G488+1,FALSE),2.5),"")</f>
        <v/>
      </c>
      <c r="Q488" s="303" t="str">
        <f t="shared" si="13"/>
        <v/>
      </c>
      <c r="R488" s="214"/>
      <c r="S488" s="11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</row>
    <row r="489" ht="3.75" hidden="1" customHeight="1">
      <c r="A489" s="191"/>
      <c r="B489" s="6"/>
      <c r="C489" s="192"/>
      <c r="D489" s="138"/>
      <c r="E489" s="184"/>
      <c r="F489" s="102"/>
      <c r="G489" s="102"/>
      <c r="H489" s="102"/>
      <c r="I489" s="102"/>
      <c r="J489" s="156"/>
      <c r="K489" s="222"/>
      <c r="L489" s="218"/>
      <c r="M489" s="144"/>
      <c r="N489" s="145"/>
      <c r="O489" s="145"/>
      <c r="P489" s="122"/>
      <c r="Q489" s="304" t="str">
        <f t="shared" si="13"/>
        <v/>
      </c>
      <c r="R489" s="214"/>
      <c r="S489" s="157"/>
      <c r="T489" s="5"/>
      <c r="U489" s="5"/>
      <c r="V489" s="158"/>
      <c r="W489" s="158"/>
      <c r="X489" s="158"/>
      <c r="Y489" s="158"/>
      <c r="Z489" s="158"/>
      <c r="AA489" s="158"/>
      <c r="AB489" s="158"/>
      <c r="AC489" s="158"/>
      <c r="AD489" s="158"/>
      <c r="AE489" s="158"/>
      <c r="AF489" s="158"/>
      <c r="AG489" s="158"/>
    </row>
    <row r="490" ht="15.75" hidden="1" customHeight="1">
      <c r="A490" s="90"/>
      <c r="B490" s="6"/>
      <c r="C490" s="90"/>
      <c r="D490" s="185"/>
      <c r="E490" s="224"/>
      <c r="F490" s="187"/>
      <c r="G490" s="187"/>
      <c r="H490" s="195"/>
      <c r="I490" s="164"/>
      <c r="J490" s="230"/>
      <c r="K490" s="190"/>
      <c r="L490" s="183"/>
      <c r="M490" s="134" t="str">
        <f>I355</f>
        <v/>
      </c>
      <c r="N490" s="135" t="str">
        <f>iferror(mround($P355*((VLOOKUP($J490,Sheet1!$D:$N,$G490+1,FALSE)-0.03)),2.5)," ")</f>
        <v> </v>
      </c>
      <c r="O490" s="135" t="str">
        <f>iferror(mround($P355*((VLOOKUP($J490,Sheet1!$D:$N,$G490+1,FALSE)+0.02)),2.5)," ")</f>
        <v> </v>
      </c>
      <c r="P490" s="112" t="str">
        <f>iferror(mround(I490/VLOOKUP(L490,Sheet1!$D$7:$N$16,G490+1,FALSE),2.5),"")</f>
        <v/>
      </c>
      <c r="Q490" s="303" t="str">
        <f t="shared" si="13"/>
        <v/>
      </c>
      <c r="R490" s="214"/>
      <c r="S490" s="11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</row>
    <row r="491" ht="3.75" hidden="1" customHeight="1">
      <c r="A491" s="90"/>
      <c r="B491" s="6"/>
      <c r="C491" s="90"/>
      <c r="D491" s="138"/>
      <c r="E491" s="184"/>
      <c r="F491" s="102"/>
      <c r="G491" s="102"/>
      <c r="H491" s="102"/>
      <c r="I491" s="102"/>
      <c r="J491" s="156"/>
      <c r="K491" s="222"/>
      <c r="L491" s="218"/>
      <c r="M491" s="144"/>
      <c r="N491" s="145"/>
      <c r="O491" s="145"/>
      <c r="P491" s="122"/>
      <c r="Q491" s="304" t="str">
        <f t="shared" si="13"/>
        <v/>
      </c>
      <c r="R491" s="214"/>
      <c r="S491" s="11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</row>
    <row r="492" ht="15.75" hidden="1" customHeight="1">
      <c r="A492" s="90"/>
      <c r="B492" s="6"/>
      <c r="C492" s="90"/>
      <c r="D492" s="231"/>
      <c r="E492" s="232"/>
      <c r="F492" s="187"/>
      <c r="G492" s="187"/>
      <c r="H492" s="195"/>
      <c r="I492" s="164"/>
      <c r="J492" s="230"/>
      <c r="K492" s="190"/>
      <c r="L492" s="183"/>
      <c r="M492" s="134" t="str">
        <f>I357</f>
        <v/>
      </c>
      <c r="N492" s="135" t="str">
        <f>iferror(mround($P357*((VLOOKUP($J492,Sheet1!$D:$N,$G492+1,FALSE)-0.03)),2.5)," ")</f>
        <v> </v>
      </c>
      <c r="O492" s="135" t="str">
        <f>iferror(mround($P357*((VLOOKUP($J492,Sheet1!$D:$N,$G492+1,FALSE)+0.02)),2.5)," ")</f>
        <v> </v>
      </c>
      <c r="P492" s="112" t="str">
        <f>iferror(mround(I492/VLOOKUP(L492,Sheet1!$D$7:$N$16,G492+1,FALSE),2.5),"")</f>
        <v/>
      </c>
      <c r="Q492" s="303" t="str">
        <f t="shared" si="13"/>
        <v/>
      </c>
      <c r="R492" s="214"/>
      <c r="S492" s="11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</row>
    <row r="493" ht="3.75" hidden="1" customHeight="1">
      <c r="A493" s="191"/>
      <c r="B493" s="6"/>
      <c r="C493" s="233"/>
      <c r="D493" s="234"/>
      <c r="E493" s="235"/>
      <c r="F493" s="236"/>
      <c r="G493" s="194"/>
      <c r="H493" s="155"/>
      <c r="I493" s="210"/>
      <c r="J493" s="216"/>
      <c r="K493" s="222"/>
      <c r="L493" s="218"/>
      <c r="M493" s="144"/>
      <c r="N493" s="145"/>
      <c r="O493" s="145"/>
      <c r="P493" s="122"/>
      <c r="Q493" s="304" t="str">
        <f t="shared" si="13"/>
        <v/>
      </c>
      <c r="R493" s="214"/>
      <c r="S493" s="157"/>
      <c r="T493" s="5"/>
      <c r="U493" s="5"/>
      <c r="V493" s="158"/>
      <c r="W493" s="158"/>
      <c r="X493" s="158"/>
      <c r="Y493" s="158"/>
      <c r="Z493" s="158"/>
      <c r="AA493" s="158"/>
      <c r="AB493" s="158"/>
      <c r="AC493" s="158"/>
      <c r="AD493" s="158"/>
      <c r="AE493" s="158"/>
      <c r="AF493" s="158"/>
      <c r="AG493" s="158"/>
    </row>
    <row r="494" ht="15.75" hidden="1" customHeight="1">
      <c r="A494" s="90"/>
      <c r="B494" s="6"/>
      <c r="C494" s="90"/>
      <c r="D494" s="197"/>
      <c r="E494" s="198"/>
      <c r="F494" s="199"/>
      <c r="G494" s="187"/>
      <c r="H494" s="195"/>
      <c r="I494" s="164"/>
      <c r="J494" s="189"/>
      <c r="K494" s="190"/>
      <c r="L494" s="183"/>
      <c r="M494" s="134" t="str">
        <f>I359</f>
        <v/>
      </c>
      <c r="N494" s="135" t="str">
        <f>iferror(mround($P359*((VLOOKUP($J494,Sheet1!$D:$N,$G494+1,FALSE)-0.03)),2.5)," ")</f>
        <v> </v>
      </c>
      <c r="O494" s="135" t="str">
        <f>iferror(mround($P359*((VLOOKUP($J494,Sheet1!$D:$N,$G494+1,FALSE)+0.02)),2.5)," ")</f>
        <v> </v>
      </c>
      <c r="P494" s="112" t="str">
        <f>iferror(mround(I494/VLOOKUP(L494,Sheet1!$D$7:$N$16,G494+1,FALSE),2.5),"")</f>
        <v/>
      </c>
      <c r="Q494" s="303" t="str">
        <f t="shared" si="13"/>
        <v/>
      </c>
      <c r="R494" s="214"/>
      <c r="S494" s="11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</row>
    <row r="495" ht="3.75" customHeight="1">
      <c r="A495" s="90"/>
      <c r="B495" s="6"/>
      <c r="C495" s="90"/>
      <c r="D495" s="90"/>
      <c r="E495" s="156"/>
      <c r="F495" s="102"/>
      <c r="G495" s="102"/>
      <c r="H495" s="102"/>
      <c r="I495" s="102"/>
      <c r="J495" s="156"/>
      <c r="K495" s="200"/>
      <c r="L495" s="201"/>
      <c r="M495" s="211"/>
      <c r="N495" s="47"/>
      <c r="O495" s="47"/>
      <c r="P495" s="122"/>
      <c r="Q495" s="304" t="str">
        <f t="shared" si="13"/>
        <v/>
      </c>
      <c r="R495" s="214"/>
      <c r="S495" s="11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</row>
    <row r="496" ht="30.0" customHeight="1">
      <c r="A496" s="90"/>
      <c r="B496" s="6"/>
      <c r="C496" s="90"/>
      <c r="D496" s="202" t="s">
        <v>55</v>
      </c>
      <c r="E496" s="105" t="s">
        <v>15</v>
      </c>
      <c r="F496" s="106" t="s">
        <v>16</v>
      </c>
      <c r="G496" s="106" t="s">
        <v>17</v>
      </c>
      <c r="H496" s="107"/>
      <c r="I496" s="106" t="s">
        <v>18</v>
      </c>
      <c r="J496" s="108" t="s">
        <v>19</v>
      </c>
      <c r="L496" s="109" t="s">
        <v>20</v>
      </c>
      <c r="M496" s="110" t="s">
        <v>21</v>
      </c>
      <c r="N496" s="111" t="s">
        <v>22</v>
      </c>
      <c r="P496" s="112"/>
      <c r="Q496" s="113" t="s">
        <v>23</v>
      </c>
      <c r="R496" s="114" t="s">
        <v>56</v>
      </c>
      <c r="S496" s="11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</row>
    <row r="497" ht="14.25" customHeight="1">
      <c r="A497" s="90"/>
      <c r="B497" s="6"/>
      <c r="C497" s="90"/>
      <c r="D497" s="257" t="s">
        <v>25</v>
      </c>
      <c r="E497" s="117" t="s">
        <v>26</v>
      </c>
      <c r="H497" s="107"/>
      <c r="N497" s="111" t="s">
        <v>27</v>
      </c>
      <c r="O497" s="111" t="s">
        <v>28</v>
      </c>
      <c r="P497" s="112" t="s">
        <v>29</v>
      </c>
      <c r="R497" s="118" t="s">
        <v>30</v>
      </c>
      <c r="S497" s="11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</row>
    <row r="498" ht="3.75" customHeight="1">
      <c r="A498" s="191"/>
      <c r="B498" s="6"/>
      <c r="C498" s="192"/>
      <c r="D498" s="203"/>
      <c r="E498" s="204"/>
      <c r="F498" s="205"/>
      <c r="G498" s="205"/>
      <c r="H498" s="205"/>
      <c r="I498" s="225"/>
      <c r="J498" s="237"/>
      <c r="K498" s="209"/>
      <c r="L498" s="238"/>
      <c r="M498" s="211"/>
      <c r="N498" s="47"/>
      <c r="O498" s="47"/>
      <c r="P498" s="122"/>
      <c r="Q498" s="304" t="str">
        <f t="shared" ref="Q498:Q518" si="14">IF(OR(ISBLANK(I498), ISBLANK(I363)), "", IF(I498 - I363 = 0, "", I498 - I363))</f>
        <v/>
      </c>
      <c r="R498" s="239"/>
      <c r="S498" s="157"/>
      <c r="T498" s="5"/>
      <c r="U498" s="5"/>
      <c r="V498" s="158"/>
      <c r="W498" s="158"/>
      <c r="X498" s="158"/>
      <c r="Y498" s="158"/>
      <c r="Z498" s="158"/>
      <c r="AA498" s="158"/>
      <c r="AB498" s="158"/>
      <c r="AC498" s="158"/>
      <c r="AD498" s="158"/>
      <c r="AE498" s="158"/>
      <c r="AF498" s="158"/>
      <c r="AG498" s="158"/>
    </row>
    <row r="499" ht="15.75" customHeight="1">
      <c r="A499" s="124"/>
      <c r="B499" s="6"/>
      <c r="C499" s="124"/>
      <c r="D499" s="125" t="s">
        <v>97</v>
      </c>
      <c r="E499" s="126"/>
      <c r="F499" s="127">
        <v>1.0</v>
      </c>
      <c r="G499" s="240">
        <v>4.0</v>
      </c>
      <c r="H499" s="129"/>
      <c r="I499" s="130">
        <v>518.0</v>
      </c>
      <c r="J499" s="151">
        <v>7.5</v>
      </c>
      <c r="K499" s="241"/>
      <c r="L499" s="130">
        <v>7.5</v>
      </c>
      <c r="M499" s="134">
        <f>I364</f>
        <v>485</v>
      </c>
      <c r="N499" s="135">
        <f>iferror(mround($P364*((VLOOKUP($J499,Sheet1!$D:$N,$G499+1,FALSE)-0.03)),2.5)," ")</f>
        <v>475</v>
      </c>
      <c r="O499" s="135">
        <f>iferror(mround($P364*((VLOOKUP($J499,Sheet1!$D:$N,$G499+1,FALSE)+0.02)),2.5)," ")</f>
        <v>505</v>
      </c>
      <c r="P499" s="112">
        <f>iferror(mround(I499/VLOOKUP(L499,Sheet1!$D$7:$N$16,G499+1,FALSE),2.5),"")</f>
        <v>625</v>
      </c>
      <c r="Q499" s="303">
        <f t="shared" si="14"/>
        <v>33</v>
      </c>
      <c r="R499" s="242"/>
      <c r="S499" s="11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</row>
    <row r="500" ht="3.75" customHeight="1">
      <c r="A500" s="124"/>
      <c r="B500" s="6"/>
      <c r="C500" s="124"/>
      <c r="D500" s="138"/>
      <c r="E500" s="139"/>
      <c r="F500" s="140"/>
      <c r="G500" s="140"/>
      <c r="H500" s="140"/>
      <c r="I500" s="140"/>
      <c r="J500" s="141"/>
      <c r="K500" s="243"/>
      <c r="L500" s="210"/>
      <c r="M500" s="144"/>
      <c r="N500" s="145"/>
      <c r="O500" s="145"/>
      <c r="P500" s="122"/>
      <c r="Q500" s="304" t="str">
        <f t="shared" si="14"/>
        <v/>
      </c>
      <c r="R500" s="242"/>
      <c r="S500" s="11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</row>
    <row r="501" ht="15.0" customHeight="1">
      <c r="A501" s="124"/>
      <c r="B501" s="6"/>
      <c r="C501" s="124"/>
      <c r="D501" s="125" t="s">
        <v>97</v>
      </c>
      <c r="E501" s="126"/>
      <c r="F501" s="127">
        <v>3.0</v>
      </c>
      <c r="G501" s="240">
        <v>4.0</v>
      </c>
      <c r="H501" s="129"/>
      <c r="I501" s="130">
        <v>452.0</v>
      </c>
      <c r="J501" s="151" t="s">
        <v>116</v>
      </c>
      <c r="K501" s="241"/>
      <c r="L501" s="130">
        <v>6.5</v>
      </c>
      <c r="M501" s="134">
        <f>I366</f>
        <v>435</v>
      </c>
      <c r="N501" s="135" t="str">
        <f>iferror(mround($P366*((VLOOKUP($J501,Sheet1!$D:$N,$G501+1,FALSE)-0.03)),2.5)," ")</f>
        <v> </v>
      </c>
      <c r="O501" s="135" t="str">
        <f>iferror(mround($P366*((VLOOKUP($J501,Sheet1!$D:$N,$G501+1,FALSE)+0.02)),2.5)," ")</f>
        <v> </v>
      </c>
      <c r="P501" s="112">
        <f>iferror(mround(I501/VLOOKUP(L501,Sheet1!$D$7:$N$16,G501+1,FALSE),2.5),"")</f>
        <v>562.5</v>
      </c>
      <c r="Q501" s="303">
        <f t="shared" si="14"/>
        <v>17</v>
      </c>
      <c r="R501" s="242"/>
      <c r="S501" s="11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</row>
    <row r="502" ht="3.75" customHeight="1">
      <c r="A502" s="124"/>
      <c r="B502" s="6"/>
      <c r="C502" s="124"/>
      <c r="D502" s="138"/>
      <c r="E502" s="215"/>
      <c r="F502" s="102"/>
      <c r="G502" s="102"/>
      <c r="H502" s="102"/>
      <c r="I502" s="102"/>
      <c r="J502" s="156"/>
      <c r="K502" s="243"/>
      <c r="L502" s="210"/>
      <c r="M502" s="144"/>
      <c r="N502" s="145"/>
      <c r="O502" s="145"/>
      <c r="P502" s="122"/>
      <c r="Q502" s="304" t="str">
        <f t="shared" si="14"/>
        <v/>
      </c>
      <c r="R502" s="242"/>
      <c r="S502" s="11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</row>
    <row r="503" ht="15.75" customHeight="1">
      <c r="A503" s="124"/>
      <c r="B503" s="6"/>
      <c r="C503" s="124"/>
      <c r="D503" s="159" t="s">
        <v>33</v>
      </c>
      <c r="E503" s="126"/>
      <c r="F503" s="127">
        <v>1.0</v>
      </c>
      <c r="G503" s="161">
        <v>1.0</v>
      </c>
      <c r="H503" s="129"/>
      <c r="I503" s="130">
        <v>342.0</v>
      </c>
      <c r="J503" s="151">
        <v>8.0</v>
      </c>
      <c r="K503" s="244"/>
      <c r="L503" s="130">
        <v>8.5</v>
      </c>
      <c r="M503" s="134">
        <f>I368</f>
        <v>325</v>
      </c>
      <c r="N503" s="135">
        <f>iferror(mround($P368*((VLOOKUP($J503,Sheet1!$D:$N,$G503+1,FALSE)-0.03)),2.5)," ")</f>
        <v>320</v>
      </c>
      <c r="O503" s="135">
        <f>iferror(mround($P368*((VLOOKUP($J503,Sheet1!$D:$N,$G503+1,FALSE)+0.02)),2.5)," ")</f>
        <v>337.5</v>
      </c>
      <c r="P503" s="112">
        <f>iferror(mround(I503/VLOOKUP(L503,Sheet1!$D$7:$N$16,G503+1,FALSE),2.5),"")</f>
        <v>362.5</v>
      </c>
      <c r="Q503" s="303">
        <f t="shared" si="14"/>
        <v>17</v>
      </c>
      <c r="R503" s="242"/>
      <c r="S503" s="11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</row>
    <row r="504" ht="3.75" customHeight="1">
      <c r="A504" s="124"/>
      <c r="B504" s="6"/>
      <c r="C504" s="124"/>
      <c r="D504" s="138"/>
      <c r="E504" s="154"/>
      <c r="F504" s="155"/>
      <c r="G504" s="102"/>
      <c r="H504" s="102"/>
      <c r="I504" s="102"/>
      <c r="J504" s="156"/>
      <c r="K504" s="243"/>
      <c r="L504" s="210"/>
      <c r="M504" s="144"/>
      <c r="N504" s="145"/>
      <c r="O504" s="145"/>
      <c r="P504" s="122"/>
      <c r="Q504" s="304" t="str">
        <f t="shared" si="14"/>
        <v/>
      </c>
      <c r="R504" s="242"/>
      <c r="S504" s="11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</row>
    <row r="505" ht="15.75" customHeight="1">
      <c r="A505" s="124"/>
      <c r="B505" s="6"/>
      <c r="C505" s="124"/>
      <c r="D505" s="159" t="s">
        <v>33</v>
      </c>
      <c r="E505" s="126"/>
      <c r="F505" s="127">
        <v>4.0</v>
      </c>
      <c r="G505" s="161">
        <v>4.0</v>
      </c>
      <c r="H505" s="129"/>
      <c r="I505" s="130"/>
      <c r="J505" s="151">
        <v>7.5</v>
      </c>
      <c r="K505" s="241" t="s">
        <v>91</v>
      </c>
      <c r="L505" s="164"/>
      <c r="M505" s="134">
        <f>I370</f>
        <v>275</v>
      </c>
      <c r="N505" s="135">
        <f>iferror(mround($P370*((VLOOKUP($J505,Sheet1!$D:$N,$G505+1,FALSE)-0.03)),2.5)," ")</f>
        <v>265</v>
      </c>
      <c r="O505" s="135">
        <f>iferror(mround($P370*((VLOOKUP($J505,Sheet1!$D:$N,$G505+1,FALSE)+0.02)),2.5)," ")</f>
        <v>282.5</v>
      </c>
      <c r="P505" s="112" t="str">
        <f>iferror(mround(I505/VLOOKUP(L505,Sheet1!$D$7:$N$16,G505+1,FALSE),2.5),"")</f>
        <v/>
      </c>
      <c r="Q505" s="303" t="str">
        <f t="shared" si="14"/>
        <v/>
      </c>
      <c r="R505" s="242"/>
      <c r="S505" s="11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</row>
    <row r="506" ht="3.75" customHeight="1">
      <c r="A506" s="90"/>
      <c r="B506" s="6"/>
      <c r="C506" s="90"/>
      <c r="D506" s="138"/>
      <c r="E506" s="245"/>
      <c r="F506" s="102"/>
      <c r="G506" s="102"/>
      <c r="H506" s="102"/>
      <c r="I506" s="102"/>
      <c r="J506" s="156"/>
      <c r="K506" s="243"/>
      <c r="L506" s="210"/>
      <c r="M506" s="144"/>
      <c r="N506" s="145"/>
      <c r="O506" s="145"/>
      <c r="P506" s="122"/>
      <c r="Q506" s="304" t="str">
        <f t="shared" si="14"/>
        <v/>
      </c>
      <c r="R506" s="242"/>
      <c r="S506" s="11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</row>
    <row r="507" ht="15.75" customHeight="1">
      <c r="A507" s="90"/>
      <c r="B507" s="6"/>
      <c r="C507" s="90"/>
      <c r="D507" s="159" t="s">
        <v>54</v>
      </c>
      <c r="E507" s="227"/>
      <c r="F507" s="127">
        <v>3.0</v>
      </c>
      <c r="G507" s="221">
        <v>45577.0</v>
      </c>
      <c r="H507" s="195"/>
      <c r="I507" s="164"/>
      <c r="J507" s="228">
        <v>8.0</v>
      </c>
      <c r="K507" s="241"/>
      <c r="L507" s="164"/>
      <c r="M507" s="134" t="str">
        <f>I372</f>
        <v/>
      </c>
      <c r="N507" s="135" t="str">
        <f>iferror(mround($P372*((VLOOKUP($J507,Sheet1!$D:$N,$G507+1,FALSE)-0.03)),2.5)," ")</f>
        <v> </v>
      </c>
      <c r="O507" s="135" t="str">
        <f>iferror(mround($P372*((VLOOKUP($J507,Sheet1!$D:$N,$G507+1,FALSE)+0.02)),2.5)," ")</f>
        <v> </v>
      </c>
      <c r="P507" s="112" t="str">
        <f>iferror(mround(I507/VLOOKUP(L507,Sheet1!$D$7:$N$16,G507+1,FALSE),2.5),"")</f>
        <v/>
      </c>
      <c r="Q507" s="303" t="str">
        <f t="shared" si="14"/>
        <v/>
      </c>
      <c r="R507" s="242"/>
      <c r="S507" s="11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</row>
    <row r="508" ht="3.75" customHeight="1">
      <c r="A508" s="191"/>
      <c r="B508" s="6"/>
      <c r="C508" s="192"/>
      <c r="D508" s="138"/>
      <c r="E508" s="245"/>
      <c r="F508" s="102"/>
      <c r="G508" s="102"/>
      <c r="H508" s="102"/>
      <c r="I508" s="102"/>
      <c r="J508" s="156"/>
      <c r="K508" s="243"/>
      <c r="L508" s="210"/>
      <c r="M508" s="144"/>
      <c r="N508" s="145"/>
      <c r="O508" s="145"/>
      <c r="P508" s="122"/>
      <c r="Q508" s="304" t="str">
        <f t="shared" si="14"/>
        <v/>
      </c>
      <c r="R508" s="242"/>
      <c r="S508" s="157"/>
      <c r="T508" s="5"/>
      <c r="U508" s="5"/>
      <c r="V508" s="158"/>
      <c r="W508" s="158"/>
      <c r="X508" s="158"/>
      <c r="Y508" s="158"/>
      <c r="Z508" s="158"/>
      <c r="AA508" s="158"/>
      <c r="AB508" s="158"/>
      <c r="AC508" s="158"/>
      <c r="AD508" s="158"/>
      <c r="AE508" s="158"/>
      <c r="AF508" s="158"/>
      <c r="AG508" s="158"/>
    </row>
    <row r="509" ht="15.75" customHeight="1">
      <c r="A509" s="90"/>
      <c r="B509" s="6"/>
      <c r="C509" s="90"/>
      <c r="D509" s="159" t="s">
        <v>99</v>
      </c>
      <c r="E509" s="246" t="s">
        <v>100</v>
      </c>
      <c r="F509" s="127">
        <v>3.0</v>
      </c>
      <c r="G509" s="221">
        <v>45577.0</v>
      </c>
      <c r="H509" s="195"/>
      <c r="I509" s="164"/>
      <c r="J509" s="228">
        <v>9.0</v>
      </c>
      <c r="K509" s="241"/>
      <c r="L509" s="164"/>
      <c r="M509" s="134" t="str">
        <f>I374</f>
        <v/>
      </c>
      <c r="N509" s="135" t="str">
        <f>iferror(mround($P374*((VLOOKUP($J509,Sheet1!$D:$N,$G509+1,FALSE)-0.03)),2.5)," ")</f>
        <v> </v>
      </c>
      <c r="O509" s="135" t="str">
        <f>iferror(mround($P374*((VLOOKUP($J509,Sheet1!$D:$N,$G509+1,FALSE)+0.02)),2.5)," ")</f>
        <v> </v>
      </c>
      <c r="P509" s="112" t="str">
        <f>iferror(mround(I509/VLOOKUP(L509,Sheet1!$D$7:$N$16,G509+1,FALSE),2.5),"")</f>
        <v/>
      </c>
      <c r="Q509" s="303" t="str">
        <f t="shared" si="14"/>
        <v/>
      </c>
      <c r="R509" s="242"/>
      <c r="S509" s="11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</row>
    <row r="510" ht="3.75" customHeight="1">
      <c r="A510" s="90"/>
      <c r="B510" s="6"/>
      <c r="C510" s="90"/>
      <c r="D510" s="138"/>
      <c r="E510" s="245"/>
      <c r="F510" s="102"/>
      <c r="G510" s="102"/>
      <c r="H510" s="102"/>
      <c r="I510" s="102"/>
      <c r="J510" s="156"/>
      <c r="K510" s="243"/>
      <c r="L510" s="210"/>
      <c r="M510" s="144"/>
      <c r="N510" s="145"/>
      <c r="O510" s="145"/>
      <c r="P510" s="122"/>
      <c r="Q510" s="304" t="str">
        <f t="shared" si="14"/>
        <v/>
      </c>
      <c r="R510" s="242"/>
      <c r="S510" s="11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</row>
    <row r="511" ht="15.75" hidden="1" customHeight="1">
      <c r="A511" s="90"/>
      <c r="B511" s="6"/>
      <c r="C511" s="90"/>
      <c r="D511" s="185"/>
      <c r="E511" s="227"/>
      <c r="F511" s="187"/>
      <c r="G511" s="229"/>
      <c r="H511" s="195"/>
      <c r="I511" s="247"/>
      <c r="J511" s="248"/>
      <c r="K511" s="241"/>
      <c r="L511" s="164"/>
      <c r="M511" s="134" t="str">
        <f>I376</f>
        <v/>
      </c>
      <c r="N511" s="135" t="str">
        <f>iferror(mround($P376*((VLOOKUP($J511,Sheet1!$D:$N,$G511+1,FALSE)-0.03)),2.5)," ")</f>
        <v> </v>
      </c>
      <c r="O511" s="135" t="str">
        <f>iferror(mround($P376*((VLOOKUP($J511,Sheet1!$D:$N,$G511+1,FALSE)+0.02)),2.5)," ")</f>
        <v> </v>
      </c>
      <c r="P511" s="112" t="str">
        <f>iferror(mround(I511/VLOOKUP(L511,Sheet1!$D$7:$N$16,G511+1,FALSE),2.5),"")</f>
        <v/>
      </c>
      <c r="Q511" s="303" t="str">
        <f t="shared" si="14"/>
        <v/>
      </c>
      <c r="R511" s="242"/>
      <c r="S511" s="11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</row>
    <row r="512" ht="3.75" hidden="1" customHeight="1">
      <c r="A512" s="90"/>
      <c r="B512" s="6"/>
      <c r="C512" s="90"/>
      <c r="D512" s="138"/>
      <c r="E512" s="215"/>
      <c r="F512" s="102"/>
      <c r="G512" s="102"/>
      <c r="H512" s="102"/>
      <c r="I512" s="102"/>
      <c r="J512" s="156"/>
      <c r="K512" s="243"/>
      <c r="L512" s="210"/>
      <c r="M512" s="144"/>
      <c r="N512" s="145"/>
      <c r="O512" s="145"/>
      <c r="P512" s="122"/>
      <c r="Q512" s="304" t="str">
        <f t="shared" si="14"/>
        <v/>
      </c>
      <c r="R512" s="242"/>
      <c r="S512" s="11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</row>
    <row r="513" ht="15.75" hidden="1" customHeight="1">
      <c r="A513" s="90"/>
      <c r="B513" s="6"/>
      <c r="C513" s="90"/>
      <c r="D513" s="185"/>
      <c r="E513" s="220"/>
      <c r="F513" s="187"/>
      <c r="G513" s="229"/>
      <c r="H513" s="195"/>
      <c r="I513" s="247"/>
      <c r="J513" s="248"/>
      <c r="K513" s="241"/>
      <c r="L513" s="164"/>
      <c r="M513" s="134" t="str">
        <f>I378</f>
        <v/>
      </c>
      <c r="N513" s="135" t="str">
        <f>iferror(mround($P378*((VLOOKUP($J513,Sheet1!$D:$N,$G513+1,FALSE)-0.03)),2.5)," ")</f>
        <v> </v>
      </c>
      <c r="O513" s="135" t="str">
        <f>iferror(mround($P378*((VLOOKUP($J513,Sheet1!$D:$N,$G513+1,FALSE)+0.02)),2.5)," ")</f>
        <v> </v>
      </c>
      <c r="P513" s="112" t="str">
        <f>iferror(mround(I513/VLOOKUP(L513,Sheet1!$D$7:$N$16,G513+1,FALSE),2.5),"")</f>
        <v/>
      </c>
      <c r="Q513" s="303" t="str">
        <f t="shared" si="14"/>
        <v/>
      </c>
      <c r="R513" s="242"/>
      <c r="S513" s="11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</row>
    <row r="514" ht="3.75" hidden="1" customHeight="1">
      <c r="A514" s="90"/>
      <c r="B514" s="6"/>
      <c r="C514" s="90"/>
      <c r="D514" s="196"/>
      <c r="E514" s="184"/>
      <c r="F514" s="102"/>
      <c r="G514" s="102"/>
      <c r="H514" s="102"/>
      <c r="I514" s="102"/>
      <c r="J514" s="156"/>
      <c r="K514" s="249"/>
      <c r="L514" s="210"/>
      <c r="M514" s="144"/>
      <c r="N514" s="145"/>
      <c r="O514" s="145"/>
      <c r="P514" s="122"/>
      <c r="Q514" s="304" t="str">
        <f t="shared" si="14"/>
        <v/>
      </c>
      <c r="R514" s="242"/>
      <c r="S514" s="11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</row>
    <row r="515" ht="15.75" hidden="1" customHeight="1">
      <c r="A515" s="90"/>
      <c r="B515" s="6"/>
      <c r="C515" s="90"/>
      <c r="D515" s="197"/>
      <c r="E515" s="250"/>
      <c r="F515" s="129"/>
      <c r="G515" s="199"/>
      <c r="H515" s="195"/>
      <c r="I515" s="247"/>
      <c r="J515" s="248"/>
      <c r="K515" s="251"/>
      <c r="L515" s="164"/>
      <c r="M515" s="134" t="str">
        <f>I380</f>
        <v/>
      </c>
      <c r="N515" s="135" t="str">
        <f>iferror(mround($P380*((VLOOKUP($J515,Sheet1!$D:$N,$G515+1,FALSE)-0.03)),2.5)," ")</f>
        <v> </v>
      </c>
      <c r="O515" s="135" t="str">
        <f>iferror(mround($P380*((VLOOKUP($J515,Sheet1!$D:$N,$G515+1,FALSE)+0.02)),2.5)," ")</f>
        <v> </v>
      </c>
      <c r="P515" s="112" t="str">
        <f>iferror(mround(I515/VLOOKUP(L515,Sheet1!$D$7:$N$16,G515+1,FALSE),2.5),"")</f>
        <v/>
      </c>
      <c r="Q515" s="303" t="str">
        <f t="shared" si="14"/>
        <v/>
      </c>
      <c r="R515" s="242"/>
      <c r="S515" s="11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</row>
    <row r="516" ht="3.75" hidden="1" customHeight="1">
      <c r="A516" s="90"/>
      <c r="B516" s="6"/>
      <c r="C516" s="90"/>
      <c r="D516" s="234"/>
      <c r="E516" s="184"/>
      <c r="F516" s="102"/>
      <c r="G516" s="102"/>
      <c r="H516" s="102"/>
      <c r="I516" s="102"/>
      <c r="J516" s="156"/>
      <c r="K516" s="249"/>
      <c r="L516" s="210"/>
      <c r="M516" s="144"/>
      <c r="N516" s="145"/>
      <c r="O516" s="145"/>
      <c r="P516" s="122"/>
      <c r="Q516" s="304" t="str">
        <f t="shared" si="14"/>
        <v/>
      </c>
      <c r="R516" s="242"/>
      <c r="S516" s="11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</row>
    <row r="517" ht="15.75" hidden="1" customHeight="1">
      <c r="A517" s="90"/>
      <c r="B517" s="6"/>
      <c r="C517" s="90"/>
      <c r="D517" s="197"/>
      <c r="E517" s="198"/>
      <c r="F517" s="129"/>
      <c r="G517" s="199"/>
      <c r="H517" s="195"/>
      <c r="I517" s="164"/>
      <c r="J517" s="248"/>
      <c r="K517" s="251"/>
      <c r="L517" s="164"/>
      <c r="M517" s="134" t="str">
        <f>I382</f>
        <v/>
      </c>
      <c r="N517" s="135" t="str">
        <f>iferror(mround($P382*((VLOOKUP($J517,Sheet1!$D:$N,$G517+1,FALSE)-0.03)),2.5)," ")</f>
        <v> </v>
      </c>
      <c r="O517" s="135" t="str">
        <f>iferror(mround($P382*((VLOOKUP($J517,Sheet1!$D:$N,$G517+1,FALSE)+0.02)),2.5)," ")</f>
        <v> </v>
      </c>
      <c r="P517" s="112" t="str">
        <f>iferror(mround(I517/VLOOKUP(L517,Sheet1!$D$7:$N$16,G517+1,FALSE),2.5),"")</f>
        <v/>
      </c>
      <c r="Q517" s="303" t="str">
        <f t="shared" si="14"/>
        <v/>
      </c>
      <c r="R517" s="242"/>
      <c r="S517" s="11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</row>
    <row r="518" ht="3.75" hidden="1" customHeight="1">
      <c r="A518" s="124"/>
      <c r="B518" s="6"/>
      <c r="C518" s="124"/>
      <c r="D518" s="252"/>
      <c r="E518" s="252"/>
      <c r="F518" s="102"/>
      <c r="G518" s="102"/>
      <c r="H518" s="102"/>
      <c r="I518" s="102"/>
      <c r="J518" s="156"/>
      <c r="K518" s="253"/>
      <c r="L518" s="201"/>
      <c r="M518" s="211"/>
      <c r="N518" s="47"/>
      <c r="O518" s="47"/>
      <c r="P518" s="122"/>
      <c r="Q518" s="304" t="str">
        <f t="shared" si="14"/>
        <v/>
      </c>
      <c r="R518" s="242"/>
      <c r="S518" s="11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</row>
    <row r="519" ht="30.75" hidden="1" customHeight="1">
      <c r="A519" s="90"/>
      <c r="B519" s="6"/>
      <c r="C519" s="90"/>
      <c r="D519" s="254" t="s">
        <v>57</v>
      </c>
      <c r="E519" s="255" t="s">
        <v>15</v>
      </c>
      <c r="F519" s="106" t="s">
        <v>16</v>
      </c>
      <c r="G519" s="106" t="s">
        <v>17</v>
      </c>
      <c r="H519" s="107"/>
      <c r="I519" s="106" t="s">
        <v>18</v>
      </c>
      <c r="J519" s="108" t="s">
        <v>19</v>
      </c>
      <c r="L519" s="109" t="s">
        <v>20</v>
      </c>
      <c r="M519" s="110" t="s">
        <v>21</v>
      </c>
      <c r="N519" s="111" t="s">
        <v>22</v>
      </c>
      <c r="P519" s="112"/>
      <c r="Q519" s="113" t="s">
        <v>23</v>
      </c>
      <c r="R519" s="256" t="s">
        <v>58</v>
      </c>
      <c r="S519" s="11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</row>
    <row r="520" ht="14.25" hidden="1" customHeight="1">
      <c r="A520" s="90"/>
      <c r="B520" s="6"/>
      <c r="C520" s="90"/>
      <c r="D520" s="257" t="s">
        <v>25</v>
      </c>
      <c r="E520" s="258" t="s">
        <v>26</v>
      </c>
      <c r="H520" s="107"/>
      <c r="N520" s="111" t="s">
        <v>27</v>
      </c>
      <c r="O520" s="111" t="s">
        <v>28</v>
      </c>
      <c r="P520" s="112" t="s">
        <v>29</v>
      </c>
      <c r="R520" s="118" t="s">
        <v>30</v>
      </c>
      <c r="S520" s="11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</row>
    <row r="521" ht="3.75" hidden="1" customHeight="1">
      <c r="A521" s="124"/>
      <c r="B521" s="6"/>
      <c r="C521" s="124"/>
      <c r="D521" s="252"/>
      <c r="E521" s="252"/>
      <c r="F521" s="102"/>
      <c r="G521" s="102"/>
      <c r="H521" s="102"/>
      <c r="I521" s="102"/>
      <c r="J521" s="156"/>
      <c r="K521" s="253"/>
      <c r="L521" s="201"/>
      <c r="M521" s="211"/>
      <c r="N521" s="47"/>
      <c r="O521" s="47"/>
      <c r="P521" s="122"/>
      <c r="Q521" s="304" t="str">
        <f t="shared" ref="Q521:Q544" si="15">IF(OR(ISBLANK(I521), ISBLANK(I386)), "", IF(I521 - I386 = 0, "", I521 - I386))</f>
        <v/>
      </c>
      <c r="R521" s="259"/>
      <c r="S521" s="11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</row>
    <row r="522" ht="14.25" hidden="1" customHeight="1">
      <c r="A522" s="124"/>
      <c r="B522" s="6"/>
      <c r="C522" s="124"/>
      <c r="D522" s="260"/>
      <c r="E522" s="126"/>
      <c r="F522" s="187"/>
      <c r="G522" s="229"/>
      <c r="H522" s="129"/>
      <c r="I522" s="164"/>
      <c r="J522" s="189"/>
      <c r="K522" s="251"/>
      <c r="L522" s="164"/>
      <c r="M522" s="134" t="str">
        <f>I389</f>
        <v/>
      </c>
      <c r="N522" s="135" t="str">
        <f>iferror(mround($P389*((VLOOKUP($J522,Sheet1!$D:$N,$G522+1,FALSE)-0.03)),2.5)," ")</f>
        <v> </v>
      </c>
      <c r="O522" s="135" t="str">
        <f>iferror(mround($P389*((VLOOKUP($J522,Sheet1!$D:$N,$G522+1,FALSE)+0.02)),2.5)," ")</f>
        <v> </v>
      </c>
      <c r="P522" s="56" t="str">
        <f>iferror(mround(I522/VLOOKUP(L522,Sheet1!$D$7:$N$16,G522+1,FALSE),2.5),"")</f>
        <v/>
      </c>
      <c r="Q522" s="303" t="str">
        <f t="shared" si="15"/>
        <v/>
      </c>
      <c r="S522" s="11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</row>
    <row r="523" ht="3.75" hidden="1" customHeight="1">
      <c r="A523" s="124"/>
      <c r="B523" s="6"/>
      <c r="C523" s="124"/>
      <c r="D523" s="138"/>
      <c r="E523" s="215"/>
      <c r="F523" s="102"/>
      <c r="G523" s="102"/>
      <c r="H523" s="102"/>
      <c r="I523" s="102"/>
      <c r="J523" s="156"/>
      <c r="K523" s="249"/>
      <c r="L523" s="210"/>
      <c r="M523" s="144"/>
      <c r="N523" s="145"/>
      <c r="O523" s="145"/>
      <c r="P523" s="122"/>
      <c r="Q523" s="304" t="str">
        <f t="shared" si="15"/>
        <v/>
      </c>
      <c r="S523" s="11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</row>
    <row r="524" ht="14.25" hidden="1" customHeight="1">
      <c r="A524" s="124"/>
      <c r="B524" s="6"/>
      <c r="C524" s="124"/>
      <c r="D524" s="185"/>
      <c r="E524" s="227"/>
      <c r="F524" s="187"/>
      <c r="G524" s="229"/>
      <c r="H524" s="195"/>
      <c r="I524" s="164"/>
      <c r="J524" s="248"/>
      <c r="K524" s="251"/>
      <c r="L524" s="164"/>
      <c r="M524" s="134" t="str">
        <f>I389</f>
        <v/>
      </c>
      <c r="N524" s="135" t="str">
        <f>iferror(mround($P389*((VLOOKUP($J524,Sheet1!$D:$N,$G524+1,FALSE)-0.03)),2.5)," ")</f>
        <v> </v>
      </c>
      <c r="O524" s="135" t="str">
        <f>iferror(mround($P389*((VLOOKUP($J524,Sheet1!$D:$N,$G524+1,FALSE)+0.02)),2.5)," ")</f>
        <v> </v>
      </c>
      <c r="P524" s="112" t="str">
        <f>iferror(mround(I524/VLOOKUP(L524,Sheet1!$D$7:$N$16,G524+1,FALSE),2.5),"")</f>
        <v/>
      </c>
      <c r="Q524" s="303" t="str">
        <f t="shared" si="15"/>
        <v/>
      </c>
      <c r="S524" s="11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</row>
    <row r="525" ht="3.75" hidden="1" customHeight="1">
      <c r="A525" s="124"/>
      <c r="B525" s="6"/>
      <c r="C525" s="124"/>
      <c r="D525" s="138"/>
      <c r="E525" s="245"/>
      <c r="F525" s="102"/>
      <c r="G525" s="102"/>
      <c r="H525" s="102"/>
      <c r="I525" s="102"/>
      <c r="J525" s="156"/>
      <c r="K525" s="249"/>
      <c r="L525" s="210"/>
      <c r="M525" s="144"/>
      <c r="N525" s="145"/>
      <c r="O525" s="145"/>
      <c r="P525" s="122"/>
      <c r="Q525" s="304" t="str">
        <f t="shared" si="15"/>
        <v/>
      </c>
      <c r="S525" s="11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</row>
    <row r="526" ht="14.25" hidden="1" customHeight="1">
      <c r="A526" s="124"/>
      <c r="B526" s="6"/>
      <c r="C526" s="124"/>
      <c r="D526" s="185"/>
      <c r="E526" s="227"/>
      <c r="F526" s="187"/>
      <c r="G526" s="229"/>
      <c r="H526" s="195"/>
      <c r="I526" s="164"/>
      <c r="J526" s="248"/>
      <c r="K526" s="251"/>
      <c r="L526" s="164"/>
      <c r="M526" s="134" t="str">
        <f>I391</f>
        <v/>
      </c>
      <c r="N526" s="135" t="str">
        <f>iferror(mround($P391*((VLOOKUP($J526,Sheet1!$D:$N,$G526+1,FALSE)-0.03)),2.5)," ")</f>
        <v> </v>
      </c>
      <c r="O526" s="135" t="str">
        <f>iferror(mround($P391*((VLOOKUP($J526,Sheet1!$D:$N,$G526+1,FALSE)+0.02)),2.5)," ")</f>
        <v> </v>
      </c>
      <c r="P526" s="112" t="str">
        <f>iferror(mround(I526/VLOOKUP(L526,Sheet1!$D$7:$N$16,G526+1,FALSE),2.5),"")</f>
        <v/>
      </c>
      <c r="Q526" s="303" t="str">
        <f t="shared" si="15"/>
        <v/>
      </c>
      <c r="S526" s="11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</row>
    <row r="527" ht="3.75" hidden="1" customHeight="1">
      <c r="A527" s="124"/>
      <c r="B527" s="6"/>
      <c r="C527" s="124"/>
      <c r="D527" s="138"/>
      <c r="E527" s="245"/>
      <c r="F527" s="102"/>
      <c r="G527" s="102"/>
      <c r="H527" s="102"/>
      <c r="I527" s="102"/>
      <c r="J527" s="156"/>
      <c r="K527" s="249"/>
      <c r="L527" s="210"/>
      <c r="M527" s="144"/>
      <c r="N527" s="145"/>
      <c r="O527" s="145"/>
      <c r="P527" s="122"/>
      <c r="Q527" s="304" t="str">
        <f t="shared" si="15"/>
        <v/>
      </c>
      <c r="S527" s="11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</row>
    <row r="528" ht="14.25" hidden="1" customHeight="1">
      <c r="A528" s="124"/>
      <c r="B528" s="6"/>
      <c r="C528" s="124"/>
      <c r="D528" s="185"/>
      <c r="E528" s="227"/>
      <c r="F528" s="187"/>
      <c r="G528" s="229"/>
      <c r="H528" s="195"/>
      <c r="I528" s="164"/>
      <c r="J528" s="248"/>
      <c r="K528" s="251"/>
      <c r="L528" s="164"/>
      <c r="M528" s="134"/>
      <c r="N528" s="135" t="str">
        <f>iferror(mround($P393*((VLOOKUP($J528,Sheet1!$D:$N,$G528+1,FALSE)-0.03)),2.5)," ")</f>
        <v> </v>
      </c>
      <c r="O528" s="135" t="str">
        <f>iferror(mround($P393*((VLOOKUP($J528,Sheet1!$D:$N,$G528+1,FALSE)+0.02)),2.5)," ")</f>
        <v> </v>
      </c>
      <c r="P528" s="112" t="str">
        <f>iferror(mround(I528/VLOOKUP(L528,Sheet1!$D$7:$N$16,G528+1,FALSE),2.5),"")</f>
        <v/>
      </c>
      <c r="Q528" s="303" t="str">
        <f t="shared" si="15"/>
        <v/>
      </c>
      <c r="S528" s="11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</row>
    <row r="529" ht="3.75" hidden="1" customHeight="1">
      <c r="A529" s="124"/>
      <c r="B529" s="6"/>
      <c r="C529" s="124"/>
      <c r="D529" s="138"/>
      <c r="E529" s="245"/>
      <c r="F529" s="102"/>
      <c r="G529" s="102"/>
      <c r="H529" s="102"/>
      <c r="I529" s="102"/>
      <c r="J529" s="156"/>
      <c r="K529" s="249"/>
      <c r="L529" s="210"/>
      <c r="M529" s="144"/>
      <c r="N529" s="145" t="str">
        <f>iferror(mround($P394*((VLOOKUP($J529,Sheet1!$D:$N,$G529+1,FALSE)-0.03)),2.5)," ")</f>
        <v> </v>
      </c>
      <c r="O529" s="145" t="str">
        <f>iferror(mround($P394*((VLOOKUP($J529,Sheet1!$D:$N,$G529+1,FALSE)+0.02)),2.5)," ")</f>
        <v> </v>
      </c>
      <c r="P529" s="122"/>
      <c r="Q529" s="304" t="str">
        <f t="shared" si="15"/>
        <v/>
      </c>
      <c r="S529" s="11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</row>
    <row r="530" ht="14.25" hidden="1" customHeight="1">
      <c r="A530" s="124"/>
      <c r="B530" s="6"/>
      <c r="C530" s="124"/>
      <c r="D530" s="185"/>
      <c r="E530" s="227"/>
      <c r="F530" s="187"/>
      <c r="G530" s="187"/>
      <c r="H530" s="195"/>
      <c r="I530" s="164"/>
      <c r="J530" s="248"/>
      <c r="K530" s="251"/>
      <c r="L530" s="164"/>
      <c r="M530" s="134" t="str">
        <f>I395</f>
        <v/>
      </c>
      <c r="N530" s="135" t="str">
        <f>iferror(mround($P395*((VLOOKUP($J530,Sheet1!$D:$N,$G530+1,FALSE)-0.03)),2.5)," ")</f>
        <v> </v>
      </c>
      <c r="O530" s="135" t="str">
        <f>iferror(mround($P395*((VLOOKUP($J530,Sheet1!$D:$N,$G530+1,FALSE)+0.02)),2.5)," ")</f>
        <v> </v>
      </c>
      <c r="P530" s="112" t="str">
        <f>iferror(mround(I530/VLOOKUP(L530,Sheet1!$D$7:$N$16,G530+1,FALSE),2.5),"")</f>
        <v/>
      </c>
      <c r="Q530" s="303" t="str">
        <f t="shared" si="15"/>
        <v/>
      </c>
      <c r="S530" s="11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</row>
    <row r="531" ht="3.75" hidden="1" customHeight="1">
      <c r="A531" s="261"/>
      <c r="B531" s="6"/>
      <c r="C531" s="262"/>
      <c r="D531" s="138"/>
      <c r="E531" s="245"/>
      <c r="F531" s="102"/>
      <c r="G531" s="102"/>
      <c r="H531" s="102"/>
      <c r="I531" s="102"/>
      <c r="J531" s="156"/>
      <c r="K531" s="249"/>
      <c r="L531" s="210"/>
      <c r="M531" s="144"/>
      <c r="N531" s="145"/>
      <c r="O531" s="145"/>
      <c r="P531" s="122"/>
      <c r="Q531" s="304" t="str">
        <f t="shared" si="15"/>
        <v/>
      </c>
      <c r="S531" s="157"/>
      <c r="T531" s="5"/>
      <c r="U531" s="5"/>
      <c r="V531" s="158"/>
      <c r="W531" s="158"/>
      <c r="X531" s="158"/>
      <c r="Y531" s="158"/>
      <c r="Z531" s="158"/>
      <c r="AA531" s="158"/>
      <c r="AB531" s="158"/>
      <c r="AC531" s="158"/>
      <c r="AD531" s="158"/>
      <c r="AE531" s="158"/>
      <c r="AF531" s="158"/>
      <c r="AG531" s="158"/>
    </row>
    <row r="532" ht="14.25" hidden="1" customHeight="1">
      <c r="A532" s="124"/>
      <c r="B532" s="6"/>
      <c r="C532" s="124"/>
      <c r="D532" s="185"/>
      <c r="E532" s="227"/>
      <c r="F532" s="187"/>
      <c r="G532" s="187"/>
      <c r="H532" s="195"/>
      <c r="I532" s="164"/>
      <c r="J532" s="248"/>
      <c r="K532" s="251"/>
      <c r="L532" s="164"/>
      <c r="M532" s="134" t="str">
        <f>I397</f>
        <v/>
      </c>
      <c r="N532" s="135" t="str">
        <f>iferror(mround($P397*((VLOOKUP($J532,Sheet1!$D:$N,$G532+1,FALSE)-0.03)),2.5)," ")</f>
        <v> </v>
      </c>
      <c r="O532" s="135" t="str">
        <f>iferror(mround($P397*((VLOOKUP($J532,Sheet1!$D:$N,$G532+1,FALSE)+0.02)),2.5)," ")</f>
        <v> </v>
      </c>
      <c r="P532" s="112" t="str">
        <f>iferror(mround(I532/VLOOKUP(L532,Sheet1!$D$7:$N$16,G532+1,FALSE),2.5),"")</f>
        <v/>
      </c>
      <c r="Q532" s="303" t="str">
        <f t="shared" si="15"/>
        <v/>
      </c>
      <c r="S532" s="11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</row>
    <row r="533" ht="3.75" hidden="1" customHeight="1">
      <c r="A533" s="261"/>
      <c r="B533" s="6"/>
      <c r="C533" s="262"/>
      <c r="D533" s="138"/>
      <c r="E533" s="252"/>
      <c r="F533" s="102"/>
      <c r="G533" s="102"/>
      <c r="H533" s="102"/>
      <c r="I533" s="102"/>
      <c r="J533" s="156"/>
      <c r="K533" s="249"/>
      <c r="L533" s="210"/>
      <c r="M533" s="144"/>
      <c r="N533" s="145"/>
      <c r="O533" s="145"/>
      <c r="P533" s="122"/>
      <c r="Q533" s="304" t="str">
        <f t="shared" si="15"/>
        <v/>
      </c>
      <c r="S533" s="157"/>
      <c r="T533" s="5"/>
      <c r="U533" s="5"/>
      <c r="V533" s="158"/>
      <c r="W533" s="158"/>
      <c r="X533" s="158"/>
      <c r="Y533" s="158"/>
      <c r="Z533" s="158"/>
      <c r="AA533" s="158"/>
      <c r="AB533" s="158"/>
      <c r="AC533" s="158"/>
      <c r="AD533" s="158"/>
      <c r="AE533" s="158"/>
      <c r="AF533" s="158"/>
      <c r="AG533" s="158"/>
    </row>
    <row r="534" ht="15.75" hidden="1" customHeight="1">
      <c r="A534" s="124"/>
      <c r="B534" s="6"/>
      <c r="C534" s="124"/>
      <c r="D534" s="185"/>
      <c r="E534" s="260"/>
      <c r="F534" s="187"/>
      <c r="G534" s="187"/>
      <c r="H534" s="195"/>
      <c r="I534" s="247"/>
      <c r="J534" s="248"/>
      <c r="K534" s="251"/>
      <c r="L534" s="164"/>
      <c r="M534" s="134"/>
      <c r="N534" s="135" t="str">
        <f>iferror(mround($P399*((VLOOKUP($J534,Sheet1!$D:$N,$G534+1,FALSE)-0.03)),2.5)," ")</f>
        <v> </v>
      </c>
      <c r="O534" s="135" t="str">
        <f>iferror(mround($P399*((VLOOKUP($J534,Sheet1!$D:$N,$G534+1,FALSE)+0.02)),2.5)," ")</f>
        <v> </v>
      </c>
      <c r="P534" s="112" t="str">
        <f>iferror(mround(I534/VLOOKUP(L534,Sheet1!$D$7:$N$16,G534+1,FALSE),2.5),"")</f>
        <v/>
      </c>
      <c r="Q534" s="303" t="str">
        <f t="shared" si="15"/>
        <v/>
      </c>
      <c r="S534" s="11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</row>
    <row r="535" ht="3.75" hidden="1" customHeight="1">
      <c r="A535" s="124"/>
      <c r="B535" s="6"/>
      <c r="C535" s="124"/>
      <c r="D535" s="263"/>
      <c r="E535" s="252"/>
      <c r="F535" s="102"/>
      <c r="G535" s="102"/>
      <c r="H535" s="102"/>
      <c r="I535" s="102"/>
      <c r="J535" s="156"/>
      <c r="K535" s="249"/>
      <c r="L535" s="210"/>
      <c r="M535" s="144"/>
      <c r="N535" s="145" t="str">
        <f>iferror(mround($P400*((VLOOKUP($J535,Sheet1!$D:$N,$G535+1,FALSE)-0.03)),2.5)," ")</f>
        <v> </v>
      </c>
      <c r="O535" s="145" t="str">
        <f>iferror(mround($P400*((VLOOKUP($J535,Sheet1!$D:$N,$G535+1,FALSE)+0.02)),2.5)," ")</f>
        <v> </v>
      </c>
      <c r="P535" s="122"/>
      <c r="Q535" s="304" t="str">
        <f t="shared" si="15"/>
        <v/>
      </c>
      <c r="S535" s="11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</row>
    <row r="536" ht="14.25" hidden="1" customHeight="1">
      <c r="A536" s="90"/>
      <c r="B536" s="6"/>
      <c r="C536" s="90"/>
      <c r="D536" s="185"/>
      <c r="E536" s="264"/>
      <c r="F536" s="187"/>
      <c r="G536" s="187"/>
      <c r="H536" s="195"/>
      <c r="I536" s="164"/>
      <c r="J536" s="248"/>
      <c r="K536" s="251"/>
      <c r="L536" s="164"/>
      <c r="M536" s="134" t="str">
        <f>I401</f>
        <v/>
      </c>
      <c r="N536" s="135" t="str">
        <f>iferror(mround($P401*((VLOOKUP($J536,Sheet1!$D:$N,$G536+1,FALSE)-0.03)),2.5)," ")</f>
        <v> </v>
      </c>
      <c r="O536" s="135" t="str">
        <f>iferror(mround($P401*((VLOOKUP($J536,Sheet1!$D:$N,$G536+1,FALSE)+0.02)),2.5)," ")</f>
        <v> </v>
      </c>
      <c r="P536" s="112" t="str">
        <f>iferror(mround(I536/VLOOKUP(L536,Sheet1!$D$7:$N$16,G536+1,FALSE),2.5),"")</f>
        <v/>
      </c>
      <c r="Q536" s="303" t="str">
        <f t="shared" si="15"/>
        <v/>
      </c>
      <c r="S536" s="11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</row>
    <row r="537" ht="3.75" hidden="1" customHeight="1">
      <c r="A537" s="261"/>
      <c r="B537" s="6"/>
      <c r="C537" s="262"/>
      <c r="D537" s="263"/>
      <c r="E537" s="263"/>
      <c r="F537" s="194"/>
      <c r="G537" s="194"/>
      <c r="H537" s="155"/>
      <c r="I537" s="210"/>
      <c r="J537" s="265"/>
      <c r="K537" s="249"/>
      <c r="L537" s="210"/>
      <c r="M537" s="144"/>
      <c r="N537" s="145"/>
      <c r="O537" s="145"/>
      <c r="P537" s="122"/>
      <c r="Q537" s="304" t="str">
        <f t="shared" si="15"/>
        <v/>
      </c>
      <c r="S537" s="157"/>
      <c r="T537" s="5"/>
      <c r="U537" s="5"/>
      <c r="V537" s="158"/>
      <c r="W537" s="158"/>
      <c r="X537" s="158"/>
      <c r="Y537" s="158"/>
      <c r="Z537" s="158"/>
      <c r="AA537" s="158"/>
      <c r="AB537" s="158"/>
      <c r="AC537" s="158"/>
      <c r="AD537" s="158"/>
      <c r="AE537" s="158"/>
      <c r="AF537" s="158"/>
      <c r="AG537" s="158"/>
    </row>
    <row r="538" ht="15.75" hidden="1" customHeight="1">
      <c r="A538" s="90"/>
      <c r="B538" s="6"/>
      <c r="C538" s="90"/>
      <c r="D538" s="185"/>
      <c r="E538" s="266"/>
      <c r="F538" s="187"/>
      <c r="G538" s="187"/>
      <c r="H538" s="195"/>
      <c r="I538" s="164"/>
      <c r="J538" s="248"/>
      <c r="K538" s="251"/>
      <c r="L538" s="164"/>
      <c r="M538" s="134"/>
      <c r="N538" s="135" t="str">
        <f>iferror(mround($P403*((VLOOKUP($J538,Sheet1!$D:$N,$G538+1,FALSE)-0.03)),2.5)," ")</f>
        <v> </v>
      </c>
      <c r="O538" s="135" t="str">
        <f>iferror(mround($P403*((VLOOKUP($J538,Sheet1!$D:$N,$G538+1,FALSE)+0.02)),2.5)," ")</f>
        <v> </v>
      </c>
      <c r="P538" s="112" t="str">
        <f>iferror(mround(I538/VLOOKUP(L538,Sheet1!$D$7:$N$16,G538+1,FALSE),2.5),"")</f>
        <v/>
      </c>
      <c r="Q538" s="303" t="str">
        <f t="shared" si="15"/>
        <v/>
      </c>
      <c r="S538" s="11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</row>
    <row r="539" ht="3.75" hidden="1" customHeight="1">
      <c r="A539" s="90"/>
      <c r="B539" s="6"/>
      <c r="C539" s="90"/>
      <c r="D539" s="138"/>
      <c r="E539" s="252"/>
      <c r="F539" s="102"/>
      <c r="G539" s="102"/>
      <c r="H539" s="102"/>
      <c r="I539" s="102"/>
      <c r="J539" s="156"/>
      <c r="K539" s="249"/>
      <c r="L539" s="210"/>
      <c r="M539" s="144"/>
      <c r="N539" s="145" t="str">
        <f>iferror(mround($P404*((VLOOKUP($J539,Sheet1!$D:$N,$G539+1,FALSE)-0.03)),2.5)," ")</f>
        <v> </v>
      </c>
      <c r="O539" s="145" t="str">
        <f>iferror(mround($P404*((VLOOKUP($J539,Sheet1!$D:$N,$G539+1,FALSE)+0.02)),2.5)," ")</f>
        <v> </v>
      </c>
      <c r="P539" s="122"/>
      <c r="Q539" s="304" t="str">
        <f t="shared" si="15"/>
        <v/>
      </c>
      <c r="S539" s="11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</row>
    <row r="540" ht="15.75" hidden="1" customHeight="1">
      <c r="A540" s="90"/>
      <c r="B540" s="6"/>
      <c r="C540" s="90"/>
      <c r="D540" s="185"/>
      <c r="E540" s="264"/>
      <c r="F540" s="187"/>
      <c r="G540" s="187"/>
      <c r="H540" s="195"/>
      <c r="I540" s="164"/>
      <c r="J540" s="248"/>
      <c r="K540" s="251"/>
      <c r="L540" s="164"/>
      <c r="M540" s="134" t="str">
        <f>I405</f>
        <v/>
      </c>
      <c r="N540" s="135" t="str">
        <f>iferror(mround($P405*((VLOOKUP($J540,Sheet1!$D:$N,$G540+1,FALSE)-0.03)),2.5)," ")</f>
        <v> </v>
      </c>
      <c r="O540" s="135" t="str">
        <f>iferror(mround($P405*((VLOOKUP($J540,Sheet1!$D:$N,$G540+1,FALSE)+0.02)),2.5)," ")</f>
        <v> </v>
      </c>
      <c r="P540" s="112" t="str">
        <f>iferror(mround(I540/VLOOKUP(L540,Sheet1!$D$7:$N$16,G540+1,FALSE),2.5),"")</f>
        <v/>
      </c>
      <c r="Q540" s="303" t="str">
        <f t="shared" si="15"/>
        <v/>
      </c>
      <c r="S540" s="11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</row>
    <row r="541" ht="3.75" hidden="1" customHeight="1">
      <c r="A541" s="191"/>
      <c r="B541" s="6"/>
      <c r="C541" s="192"/>
      <c r="D541" s="138"/>
      <c r="E541" s="252"/>
      <c r="F541" s="102"/>
      <c r="G541" s="102"/>
      <c r="H541" s="102"/>
      <c r="I541" s="102"/>
      <c r="J541" s="156"/>
      <c r="K541" s="249"/>
      <c r="L541" s="210"/>
      <c r="M541" s="144"/>
      <c r="N541" s="145"/>
      <c r="O541" s="145"/>
      <c r="P541" s="122"/>
      <c r="Q541" s="304" t="str">
        <f t="shared" si="15"/>
        <v/>
      </c>
      <c r="S541" s="157"/>
      <c r="T541" s="5"/>
      <c r="U541" s="5"/>
      <c r="V541" s="158"/>
      <c r="W541" s="158"/>
      <c r="X541" s="158"/>
      <c r="Y541" s="158"/>
      <c r="Z541" s="158"/>
      <c r="AA541" s="158"/>
      <c r="AB541" s="158"/>
      <c r="AC541" s="158"/>
      <c r="AD541" s="158"/>
      <c r="AE541" s="158"/>
      <c r="AF541" s="158"/>
      <c r="AG541" s="158"/>
    </row>
    <row r="542" ht="15.75" hidden="1" customHeight="1">
      <c r="A542" s="90"/>
      <c r="B542" s="6"/>
      <c r="C542" s="90"/>
      <c r="D542" s="185"/>
      <c r="E542" s="260"/>
      <c r="F542" s="187"/>
      <c r="G542" s="187"/>
      <c r="H542" s="195"/>
      <c r="I542" s="164"/>
      <c r="J542" s="248"/>
      <c r="K542" s="251"/>
      <c r="L542" s="164"/>
      <c r="M542" s="134" t="str">
        <f>I407</f>
        <v/>
      </c>
      <c r="N542" s="135" t="str">
        <f>iferror(mround($P407*((VLOOKUP($J542,Sheet1!$D:$N,$G542+1,FALSE)-0.03)),2.5)," ")</f>
        <v> </v>
      </c>
      <c r="O542" s="135" t="str">
        <f>iferror(mround($P407*((VLOOKUP($J542,Sheet1!$D:$N,$G542+1,FALSE)+0.02)),2.5)," ")</f>
        <v> </v>
      </c>
      <c r="P542" s="112" t="str">
        <f>iferror(mround(I542/VLOOKUP(L542,Sheet1!$D$7:$N$16,G542+1,FALSE),2.5),"")</f>
        <v/>
      </c>
      <c r="Q542" s="303" t="str">
        <f t="shared" si="15"/>
        <v/>
      </c>
      <c r="S542" s="11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</row>
    <row r="543" ht="3.75" hidden="1" customHeight="1">
      <c r="A543" s="90"/>
      <c r="B543" s="6"/>
      <c r="C543" s="90"/>
      <c r="D543" s="263"/>
      <c r="E543" s="252"/>
      <c r="F543" s="102"/>
      <c r="G543" s="102"/>
      <c r="H543" s="102"/>
      <c r="I543" s="102"/>
      <c r="J543" s="156"/>
      <c r="K543" s="249"/>
      <c r="L543" s="210"/>
      <c r="M543" s="144"/>
      <c r="N543" s="145"/>
      <c r="O543" s="145"/>
      <c r="P543" s="122"/>
      <c r="Q543" s="304" t="str">
        <f t="shared" si="15"/>
        <v/>
      </c>
      <c r="S543" s="11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</row>
    <row r="544" ht="15.75" hidden="1" customHeight="1">
      <c r="A544" s="90"/>
      <c r="B544" s="6"/>
      <c r="C544" s="90"/>
      <c r="D544" s="185"/>
      <c r="E544" s="266"/>
      <c r="F544" s="187"/>
      <c r="G544" s="187"/>
      <c r="H544" s="195"/>
      <c r="I544" s="164"/>
      <c r="J544" s="248"/>
      <c r="K544" s="251"/>
      <c r="L544" s="164"/>
      <c r="M544" s="134" t="str">
        <f>I409</f>
        <v/>
      </c>
      <c r="N544" s="135" t="str">
        <f>iferror(mround($P409*((VLOOKUP($J544,Sheet1!$D:$N,$G544+1,FALSE)-0.03)),2.5)," ")</f>
        <v> </v>
      </c>
      <c r="O544" s="135" t="str">
        <f>iferror(mround($P409*((VLOOKUP($J544,Sheet1!$D:$N,$G544+1,FALSE)+0.02)),2.5)," ")</f>
        <v> </v>
      </c>
      <c r="P544" s="112" t="str">
        <f>iferror(mround(I544/VLOOKUP(L544,Sheet1!$D$7:$N$16,G544+1,FALSE),2.5),"")</f>
        <v/>
      </c>
      <c r="Q544" s="303" t="str">
        <f t="shared" si="15"/>
        <v/>
      </c>
      <c r="S544" s="11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</row>
    <row r="545" ht="3.75" customHeight="1">
      <c r="A545" s="191"/>
      <c r="B545" s="6"/>
      <c r="C545" s="192"/>
      <c r="D545" s="192"/>
      <c r="E545" s="267"/>
      <c r="F545" s="194"/>
      <c r="G545" s="194"/>
      <c r="H545" s="155"/>
      <c r="I545" s="210"/>
      <c r="J545" s="268"/>
      <c r="K545" s="249"/>
      <c r="L545" s="269"/>
      <c r="M545" s="270"/>
      <c r="N545" s="269"/>
      <c r="O545" s="269"/>
      <c r="P545" s="271"/>
      <c r="Q545" s="272"/>
      <c r="R545" s="273"/>
      <c r="S545" s="157"/>
      <c r="T545" s="5"/>
      <c r="U545" s="5"/>
      <c r="V545" s="158"/>
      <c r="W545" s="158"/>
      <c r="X545" s="158"/>
      <c r="Y545" s="158"/>
      <c r="Z545" s="158"/>
      <c r="AA545" s="158"/>
      <c r="AB545" s="158"/>
      <c r="AC545" s="158"/>
      <c r="AD545" s="158"/>
      <c r="AE545" s="158"/>
      <c r="AF545" s="158"/>
      <c r="AG545" s="158"/>
    </row>
    <row r="546" ht="14.25" customHeight="1">
      <c r="A546" s="5"/>
      <c r="B546" s="6"/>
      <c r="C546" s="5"/>
      <c r="D546" s="333" t="s">
        <v>113</v>
      </c>
      <c r="E546" s="266"/>
      <c r="F546" s="187"/>
      <c r="G546" s="187"/>
      <c r="H546" s="195"/>
      <c r="I546" s="129"/>
      <c r="J546" s="275"/>
      <c r="K546" s="276"/>
      <c r="L546" s="187"/>
      <c r="M546" s="187"/>
      <c r="N546" s="187"/>
      <c r="O546" s="187"/>
      <c r="P546" s="277"/>
      <c r="Q546" s="278"/>
      <c r="R546" s="279"/>
      <c r="S546" s="11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</row>
    <row r="547" ht="14.25" customHeight="1">
      <c r="A547" s="5"/>
      <c r="B547" s="6"/>
      <c r="C547" s="5"/>
      <c r="D547" s="274" t="s">
        <v>59</v>
      </c>
      <c r="E547" s="266" t="s">
        <v>16</v>
      </c>
      <c r="F547" s="187" t="s">
        <v>17</v>
      </c>
      <c r="G547" s="187" t="s">
        <v>60</v>
      </c>
      <c r="H547" s="187"/>
      <c r="I547" s="280" t="s">
        <v>61</v>
      </c>
      <c r="J547" s="266" t="s">
        <v>62</v>
      </c>
      <c r="K547" s="274"/>
      <c r="L547" s="187"/>
      <c r="M547" s="285"/>
      <c r="N547" s="285"/>
      <c r="O547" s="285"/>
      <c r="P547" s="282"/>
      <c r="Q547" s="278"/>
      <c r="R547" s="157"/>
      <c r="S547" s="11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</row>
    <row r="548" ht="14.25" customHeight="1">
      <c r="A548" s="5"/>
      <c r="B548" s="6"/>
      <c r="C548" s="5"/>
      <c r="D548" s="274" t="s">
        <v>6</v>
      </c>
      <c r="E548" s="283">
        <f>IFERROR(__xludf.DUMMYFUNCTION("SUM(FILTER(F423:F547, ISNUMBER(SEARCH(""squat"", D423:D547))))"),8.0)</f>
        <v>8</v>
      </c>
      <c r="F548" s="284">
        <f>IFERROR(__xludf.DUMMYFUNCTION("SUMPRODUCT(FILTER(F423:F547 * G423:G547, ISNUMBER(SEARCH(""squat"", D423:D547))))"),42.0)</f>
        <v>42</v>
      </c>
      <c r="G548" s="135">
        <f>IFERROR(__xludf.DUMMYFUNCTION("ROUND(SUMPRODUCT(FILTER(F423:F547 * G423:G547 * I423:I547, ISNUMBER(SEARCH(""squat"", D423:D547)))), 0)"),16676.0)</f>
        <v>16676</v>
      </c>
      <c r="H548" s="285"/>
      <c r="I548" s="135">
        <f>IFERROR(__xludf.DUMMYFUNCTION("ROUND(AVERAGE(FILTER(I423:I547, ISNUMBER(SEARCH(""squat"", D423:D547)), I423:I547 &lt;&gt; """")) / J548 * 100, 0)"),80.0)</f>
        <v>80</v>
      </c>
      <c r="J548" s="283">
        <f>IFERROR(__xludf.DUMMYFUNCTION("IFERROR(MROUND(AVERAGE(FILTER(P423:P547, D423:D547 = ""comp squat"", P423:P547 &lt;&gt; """", P423:P547 &gt;= 0.9 * MAX(FILTER(P423:P547, D423:D547 = ""comp squat"", P423:P547 &lt;&gt; """")), P423:P547 &lt;= 1.1 * MAX(FILTER(P423:P547, D423:D547 = ""comp squat"", P423:P54"&amp;"7 &lt;&gt; """")))), 2.5), ""No valid data"")"),510.0)</f>
        <v>510</v>
      </c>
      <c r="K548" s="286"/>
      <c r="L548" s="287">
        <f>MROUND(J548/2.2046,2.5)-$O$10</f>
        <v>-10</v>
      </c>
      <c r="M548" s="305"/>
      <c r="N548" s="305"/>
      <c r="O548" s="305"/>
      <c r="P548" s="282"/>
      <c r="Q548" s="278"/>
      <c r="R548" s="291"/>
      <c r="S548" s="11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</row>
    <row r="549" ht="3.0" customHeight="1">
      <c r="A549" s="5"/>
      <c r="B549" s="6"/>
      <c r="C549" s="5"/>
      <c r="D549" s="90"/>
      <c r="E549" s="156"/>
      <c r="F549" s="102"/>
      <c r="G549" s="145"/>
      <c r="H549" s="102"/>
      <c r="I549" s="145"/>
      <c r="J549" s="156"/>
      <c r="K549" s="286"/>
      <c r="L549" s="292"/>
      <c r="M549" s="284"/>
      <c r="N549" s="284"/>
      <c r="O549" s="305"/>
      <c r="P549" s="282"/>
      <c r="Q549" s="278"/>
      <c r="R549" s="115"/>
      <c r="S549" s="11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</row>
    <row r="550" ht="15.75" customHeight="1">
      <c r="A550" s="5"/>
      <c r="B550" s="6"/>
      <c r="C550" s="5"/>
      <c r="D550" s="274" t="s">
        <v>66</v>
      </c>
      <c r="E550" s="293">
        <f>IFERROR(__xludf.DUMMYFUNCTION("SUM(FILTER(F423:F547, ISNUMBER(SEARCH(""bench press"", D423:D547))))"),18.0)</f>
        <v>18</v>
      </c>
      <c r="F550" s="284">
        <f>IFERROR(__xludf.DUMMYFUNCTION("SUMPRODUCT(FILTER(F424:F548 * G424:G548, ISNUMBER(SEARCH(""bench press"", D424:D548))))"),68.0)</f>
        <v>68</v>
      </c>
      <c r="G550" s="135">
        <f>IFERROR(__xludf.DUMMYFUNCTION("ROUND(SUMPRODUCT(FILTER(F423:F547 * G423:G547 * I423:I547, ISNUMBER(SEARCH(""bench press"", D423:D547)))), 0)"),10432.0)</f>
        <v>10432</v>
      </c>
      <c r="H550" s="285"/>
      <c r="I550" s="135">
        <f>IFERROR(__xludf.DUMMYFUNCTION("ROUND(AVERAGE(FILTER(I423:I547, ISNUMBER(SEARCH(""bench press"", D423:D547)), I423:I547 &lt;&gt; """")) / J550 * 100, 0)"),86.0)</f>
        <v>86</v>
      </c>
      <c r="J550" s="293">
        <f>IFERROR(__xludf.DUMMYFUNCTION("IFERROR(MROUND(AVERAGE(FILTER(P423:P547, D423:D547 = ""comp bench press"", P423:P547 &lt;&gt; """", P423:P547 &gt;= 0.9 * MAX(FILTER(P423:P547, D423:D547 = ""comp bench press"", P423:P547 &lt;&gt; """")), P423:P547 &lt;= 1.1 * MAX(FILTER(P423:P547, D423:D547 = ""comp bench"&amp;" press"", P423:P547 &lt;&gt; """")))), 2.5), ""No valid data"")"),342.5)</f>
        <v>342.5</v>
      </c>
      <c r="K550" s="286"/>
      <c r="L550" s="294">
        <f>MROUND(J550/2.2046,2.5)-$O$11</f>
        <v>2.5</v>
      </c>
      <c r="M550" s="285"/>
      <c r="N550" s="285"/>
      <c r="O550" s="305"/>
      <c r="P550" s="282"/>
      <c r="Q550" s="278"/>
      <c r="R550" s="157"/>
      <c r="S550" s="11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</row>
    <row r="551" ht="3.0" customHeight="1">
      <c r="A551" s="5"/>
      <c r="B551" s="6"/>
      <c r="C551" s="5"/>
      <c r="D551" s="90"/>
      <c r="E551" s="156"/>
      <c r="F551" s="102"/>
      <c r="G551" s="145"/>
      <c r="H551" s="102"/>
      <c r="I551" s="145"/>
      <c r="J551" s="156"/>
      <c r="K551" s="286"/>
      <c r="L551" s="292"/>
      <c r="M551" s="285"/>
      <c r="N551" s="285"/>
      <c r="O551" s="284"/>
      <c r="P551" s="282"/>
      <c r="Q551" s="278"/>
      <c r="R551" s="157"/>
      <c r="S551" s="11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</row>
    <row r="552" ht="14.25" customHeight="1">
      <c r="A552" s="5"/>
      <c r="B552" s="6"/>
      <c r="C552" s="5"/>
      <c r="D552" s="274" t="s">
        <v>10</v>
      </c>
      <c r="E552" s="293">
        <f>IFERROR(__xludf.DUMMYFUNCTION("SUM(FILTER(F423:F547, ISNUMBER(SEARCH(""deadlift"", D423:D547))))"),7.0)</f>
        <v>7</v>
      </c>
      <c r="F552" s="284">
        <f>IFERROR(__xludf.DUMMYFUNCTION("SUMPRODUCT(FILTER(F423:F547 * G423:G547, ISNUMBER(SEARCH(""deadlift"", D423:D547))))"),25.0)</f>
        <v>25</v>
      </c>
      <c r="G552" s="135">
        <f>IFERROR(__xludf.DUMMYFUNCTION("ROUND(SUMPRODUCT(FILTER(F423:F547 * G423:G547 * I423:I547, ISNUMBER(SEARCH(""deadlift"", D423:D547)))), 0)"),11366.0)</f>
        <v>11366</v>
      </c>
      <c r="H552" s="285"/>
      <c r="I552" s="135">
        <f>IFERROR(__xludf.DUMMYFUNCTION("ROUND(AVERAGE(FILTER(I423:I547, ISNUMBER(SEARCH(""deadlift"", D423:D547)), I423:I547 &lt;&gt; """")) / J552 * 100, 0)"),78.0)</f>
        <v>78</v>
      </c>
      <c r="J552" s="293">
        <f>IFERROR(__xludf.DUMMYFUNCTION("IFERROR(MROUND(AVERAGE(FILTER(P423:P547, D423:D547 = ""comp deadlift"", P423:P547 &lt;&gt; """", P423:P547 &gt;= 0.9 * MAX(FILTER(P423:P547, D423:D547 = ""comp deadlift"", P423:P547 &lt;&gt; """")), P423:P547 &lt;= 1.1 * MAX(FILTER(P423:P547, D423:D547 = ""comp deadlift"","&amp;" P423:P547 &lt;&gt; """")))), 2.5), ""No valid data"")"),595.0)</f>
        <v>595</v>
      </c>
      <c r="K552" s="286"/>
      <c r="L552" s="294">
        <f>MROUND(J552/2.2046,2.5)-$O$12</f>
        <v>5</v>
      </c>
      <c r="M552" s="285"/>
      <c r="N552" s="285"/>
      <c r="O552" s="285"/>
      <c r="P552" s="282"/>
      <c r="Q552" s="278"/>
      <c r="R552" s="157"/>
      <c r="S552" s="11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</row>
    <row r="553" ht="14.25" customHeight="1">
      <c r="A553" s="5"/>
      <c r="B553" s="6"/>
      <c r="C553" s="5"/>
      <c r="D553" s="274"/>
      <c r="E553" s="266"/>
      <c r="F553" s="187"/>
      <c r="G553" s="187"/>
      <c r="H553" s="187"/>
      <c r="I553" s="187"/>
      <c r="J553" s="295"/>
      <c r="K553" s="274"/>
      <c r="L553" s="187"/>
      <c r="M553" s="285"/>
      <c r="N553" s="285"/>
      <c r="O553" s="285"/>
      <c r="P553" s="282"/>
      <c r="Q553" s="278"/>
      <c r="R553" s="157"/>
      <c r="S553" s="11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</row>
    <row r="554" ht="14.25" customHeight="1">
      <c r="A554" s="5"/>
      <c r="B554" s="2"/>
      <c r="C554" s="5"/>
      <c r="D554" s="5"/>
      <c r="E554" s="75"/>
      <c r="F554" s="3"/>
      <c r="G554" s="3"/>
      <c r="H554" s="3"/>
      <c r="I554" s="3"/>
      <c r="J554" s="75"/>
      <c r="K554" s="5"/>
      <c r="L554" s="3"/>
      <c r="M554" s="47"/>
      <c r="N554" s="3"/>
      <c r="O554" s="3"/>
      <c r="P554" s="3"/>
      <c r="Q554" s="4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</row>
    <row r="555" ht="18.75" customHeight="1">
      <c r="A555" s="90"/>
      <c r="B555" s="6"/>
      <c r="C555" s="91"/>
      <c r="D555" s="79" t="s">
        <v>72</v>
      </c>
      <c r="E555" s="80" t="s">
        <v>13</v>
      </c>
      <c r="G555" s="81"/>
      <c r="H555" s="81"/>
      <c r="I555" s="81"/>
      <c r="J555" s="82"/>
      <c r="K555" s="83"/>
      <c r="L555" s="83"/>
      <c r="M555" s="93"/>
      <c r="N555" s="93"/>
      <c r="O555" s="93"/>
      <c r="P555" s="296"/>
      <c r="Q555" s="297"/>
      <c r="R555" s="298"/>
      <c r="S555" s="10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</row>
    <row r="556" ht="18.75" customHeight="1">
      <c r="A556" s="90"/>
      <c r="B556" s="6"/>
      <c r="C556" s="91"/>
      <c r="D556" s="299" t="s">
        <v>74</v>
      </c>
      <c r="E556" s="300" t="str">
        <f>IF(E421 = "", "", E421 - 1)</f>
        <v/>
      </c>
      <c r="G556" s="301"/>
      <c r="H556" s="301"/>
      <c r="I556" s="301"/>
      <c r="J556" s="92"/>
      <c r="K556" s="93"/>
      <c r="L556" s="93"/>
      <c r="M556" s="93"/>
      <c r="N556" s="93"/>
      <c r="O556" s="93"/>
      <c r="P556" s="94"/>
      <c r="Q556" s="95"/>
      <c r="R556" s="96"/>
      <c r="S556" s="10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</row>
    <row r="557" ht="5.25" customHeight="1">
      <c r="A557" s="90"/>
      <c r="B557" s="6"/>
      <c r="C557" s="90"/>
      <c r="D557" s="97"/>
      <c r="E557" s="98"/>
      <c r="F557" s="99"/>
      <c r="G557" s="99"/>
      <c r="H557" s="99"/>
      <c r="I557" s="100"/>
      <c r="J557" s="101"/>
      <c r="K557" s="90"/>
      <c r="L557" s="102"/>
      <c r="M557" s="102"/>
      <c r="N557" s="102"/>
      <c r="O557" s="102"/>
      <c r="P557" s="103"/>
      <c r="Q557" s="4"/>
      <c r="R557" s="90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</row>
    <row r="558" ht="30.75" customHeight="1">
      <c r="A558" s="90"/>
      <c r="B558" s="6"/>
      <c r="C558" s="90"/>
      <c r="D558" s="202" t="s">
        <v>73</v>
      </c>
      <c r="E558" s="105" t="s">
        <v>75</v>
      </c>
      <c r="F558" s="106" t="s">
        <v>16</v>
      </c>
      <c r="G558" s="106" t="s">
        <v>17</v>
      </c>
      <c r="H558" s="107"/>
      <c r="I558" s="106" t="s">
        <v>18</v>
      </c>
      <c r="J558" s="108" t="s">
        <v>19</v>
      </c>
      <c r="L558" s="109" t="s">
        <v>20</v>
      </c>
      <c r="M558" s="110" t="s">
        <v>21</v>
      </c>
      <c r="N558" s="111" t="s">
        <v>22</v>
      </c>
      <c r="P558" s="112"/>
      <c r="Q558" s="113" t="s">
        <v>23</v>
      </c>
      <c r="R558" s="114" t="s">
        <v>24</v>
      </c>
      <c r="S558" s="11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</row>
    <row r="559" ht="14.25" customHeight="1">
      <c r="A559" s="90"/>
      <c r="B559" s="6"/>
      <c r="C559" s="90"/>
      <c r="D559" s="116">
        <v>3.0</v>
      </c>
      <c r="E559" s="117">
        <v>3.0</v>
      </c>
      <c r="H559" s="107"/>
      <c r="N559" s="111" t="s">
        <v>27</v>
      </c>
      <c r="O559" s="111" t="s">
        <v>28</v>
      </c>
      <c r="P559" s="112" t="s">
        <v>29</v>
      </c>
      <c r="R559" s="118" t="s">
        <v>30</v>
      </c>
      <c r="S559" s="11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</row>
    <row r="560" ht="3.75" customHeight="1">
      <c r="A560" s="90"/>
      <c r="B560" s="6"/>
      <c r="C560" s="90"/>
      <c r="D560" s="97"/>
      <c r="E560" s="98"/>
      <c r="F560" s="99"/>
      <c r="G560" s="99"/>
      <c r="H560" s="99"/>
      <c r="I560" s="100"/>
      <c r="J560" s="302"/>
      <c r="K560" s="90"/>
      <c r="L560" s="102"/>
      <c r="M560" s="121"/>
      <c r="N560" s="102"/>
      <c r="O560" s="102"/>
      <c r="P560" s="122"/>
      <c r="Q560" s="4"/>
      <c r="R560" s="123"/>
      <c r="S560" s="11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</row>
    <row r="561" ht="15.75" customHeight="1">
      <c r="A561" s="124"/>
      <c r="B561" s="6"/>
      <c r="C561" s="124"/>
      <c r="D561" s="125" t="s">
        <v>77</v>
      </c>
      <c r="E561" s="126"/>
      <c r="F561" s="127">
        <v>1.0</v>
      </c>
      <c r="G561" s="240">
        <v>6.0</v>
      </c>
      <c r="H561" s="129"/>
      <c r="I561" s="130">
        <v>350.0</v>
      </c>
      <c r="J561" s="151">
        <v>5.0</v>
      </c>
      <c r="K561" s="132"/>
      <c r="L561" s="133">
        <v>5.0</v>
      </c>
      <c r="M561" s="134">
        <f>I426</f>
        <v>397</v>
      </c>
      <c r="N561" s="135">
        <f>iferror(mround($P426*((VLOOKUP($J561,Sheet1!$D:$N,$G561+1,FALSE)-0.03)),2.5)," ")</f>
        <v>342.5</v>
      </c>
      <c r="O561" s="135">
        <f>iferror(mround($P426*((VLOOKUP($J561,Sheet1!$D:$N,$G561+1,FALSE)+0.02)),2.5)," ")</f>
        <v>367.5</v>
      </c>
      <c r="P561" s="56" t="str">
        <f>iferror(mround(I561/VLOOKUP(L561,Sheet1!$D$7:$N$16,G561+1,FALSE),2.5),"")</f>
        <v/>
      </c>
      <c r="Q561" s="303">
        <f t="shared" ref="Q561:Q582" si="16">IF(OR(ISBLANK(I561), ISBLANK(I426)), "", IF(I561 - I426 = 0, "", I561 - I426))</f>
        <v>-47</v>
      </c>
      <c r="S561" s="11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</row>
    <row r="562" ht="3.75" customHeight="1">
      <c r="A562" s="137"/>
      <c r="B562" s="70"/>
      <c r="C562" s="137"/>
      <c r="D562" s="138"/>
      <c r="E562" s="139"/>
      <c r="F562" s="140"/>
      <c r="G562" s="140"/>
      <c r="H562" s="140"/>
      <c r="I562" s="140"/>
      <c r="J562" s="141"/>
      <c r="K562" s="142"/>
      <c r="L562" s="143"/>
      <c r="M562" s="144"/>
      <c r="N562" s="145"/>
      <c r="O562" s="145"/>
      <c r="P562" s="122"/>
      <c r="Q562" s="304" t="str">
        <f t="shared" si="16"/>
        <v/>
      </c>
      <c r="S562" s="147"/>
      <c r="T562" s="148"/>
      <c r="U562" s="148"/>
      <c r="V562" s="148"/>
      <c r="W562" s="148"/>
      <c r="X562" s="148"/>
      <c r="Y562" s="148"/>
      <c r="Z562" s="148"/>
      <c r="AA562" s="148"/>
      <c r="AB562" s="148"/>
      <c r="AC562" s="148"/>
      <c r="AD562" s="148"/>
      <c r="AE562" s="148"/>
      <c r="AF562" s="148"/>
      <c r="AG562" s="148"/>
    </row>
    <row r="563" ht="15.75" customHeight="1">
      <c r="A563" s="149"/>
      <c r="B563" s="150"/>
      <c r="C563" s="149"/>
      <c r="D563" s="125" t="s">
        <v>77</v>
      </c>
      <c r="E563" s="126"/>
      <c r="F563" s="127">
        <v>1.0</v>
      </c>
      <c r="G563" s="240">
        <v>6.0</v>
      </c>
      <c r="H563" s="129"/>
      <c r="I563" s="130">
        <v>380.0</v>
      </c>
      <c r="J563" s="151">
        <v>6.0</v>
      </c>
      <c r="K563" s="132"/>
      <c r="L563" s="133">
        <v>6.0</v>
      </c>
      <c r="M563" s="134">
        <f>I428</f>
        <v>424</v>
      </c>
      <c r="N563" s="135">
        <f>iferror(mround($P428*((VLOOKUP($J563,Sheet1!$D:$N,$G563+1,FALSE)-0.03)),2.5)," ")</f>
        <v>375</v>
      </c>
      <c r="O563" s="135">
        <f>iferror(mround($P428*((VLOOKUP($J563,Sheet1!$D:$N,$G563+1,FALSE)+0.02)),2.5)," ")</f>
        <v>400</v>
      </c>
      <c r="P563" s="56">
        <f>iferror(mround(I563/VLOOKUP(L563,Sheet1!$D$7:$N$16,G563+1,FALSE),2.5),"")</f>
        <v>512.5</v>
      </c>
      <c r="Q563" s="303">
        <f t="shared" si="16"/>
        <v>-44</v>
      </c>
      <c r="S563" s="11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</row>
    <row r="564" ht="3.75" customHeight="1">
      <c r="A564" s="152"/>
      <c r="B564" s="150"/>
      <c r="C564" s="153"/>
      <c r="D564" s="138"/>
      <c r="E564" s="154"/>
      <c r="F564" s="155"/>
      <c r="G564" s="102"/>
      <c r="H564" s="102"/>
      <c r="I564" s="102"/>
      <c r="J564" s="156"/>
      <c r="K564" s="142"/>
      <c r="L564" s="143"/>
      <c r="M564" s="144"/>
      <c r="N564" s="145"/>
      <c r="O564" s="145"/>
      <c r="P564" s="122"/>
      <c r="Q564" s="304" t="str">
        <f t="shared" si="16"/>
        <v/>
      </c>
      <c r="S564" s="157"/>
      <c r="T564" s="5"/>
      <c r="U564" s="5"/>
      <c r="V564" s="158"/>
      <c r="W564" s="158"/>
      <c r="X564" s="158"/>
      <c r="Y564" s="158"/>
      <c r="Z564" s="158"/>
      <c r="AA564" s="158"/>
      <c r="AB564" s="158"/>
      <c r="AC564" s="158"/>
      <c r="AD564" s="158"/>
      <c r="AE564" s="158"/>
      <c r="AF564" s="158"/>
      <c r="AG564" s="158"/>
    </row>
    <row r="565" ht="15.75" customHeight="1">
      <c r="A565" s="149"/>
      <c r="B565" s="150"/>
      <c r="C565" s="149"/>
      <c r="D565" s="125" t="s">
        <v>77</v>
      </c>
      <c r="E565" s="126"/>
      <c r="F565" s="127">
        <v>1.0</v>
      </c>
      <c r="G565" s="161">
        <v>5.0</v>
      </c>
      <c r="H565" s="129"/>
      <c r="I565" s="164">
        <f>MROUND(I563*(1+J565),5)</f>
        <v>340</v>
      </c>
      <c r="J565" s="165">
        <v>-0.1</v>
      </c>
      <c r="K565" s="132"/>
      <c r="L565" s="133">
        <v>4.5</v>
      </c>
      <c r="M565" s="134">
        <f>I430</f>
        <v>405</v>
      </c>
      <c r="N565" s="135" t="str">
        <f>iferror(mround($P430*((VLOOKUP($J565,Sheet1!$D:$N,$G565+1,FALSE)-0.03)),2.5)," ")</f>
        <v> </v>
      </c>
      <c r="O565" s="135" t="str">
        <f>iferror(mround($P430*((VLOOKUP($J565,Sheet1!$D:$N,$G565+1,FALSE)+0.02)),2.5)," ")</f>
        <v> </v>
      </c>
      <c r="P565" s="56" t="str">
        <f>iferror(mround(I565/VLOOKUP(L565,Sheet1!$D$7:$N$16,G565+1,FALSE),2.5),"")</f>
        <v/>
      </c>
      <c r="Q565" s="303">
        <f t="shared" si="16"/>
        <v>-65</v>
      </c>
      <c r="S565" s="11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</row>
    <row r="566" ht="3.75" customHeight="1">
      <c r="A566" s="162"/>
      <c r="B566" s="163"/>
      <c r="C566" s="162"/>
      <c r="D566" s="138"/>
      <c r="E566" s="154"/>
      <c r="F566" s="155"/>
      <c r="G566" s="102"/>
      <c r="H566" s="102"/>
      <c r="I566" s="102"/>
      <c r="J566" s="156"/>
      <c r="K566" s="142"/>
      <c r="L566" s="143"/>
      <c r="M566" s="144"/>
      <c r="N566" s="145"/>
      <c r="O566" s="145"/>
      <c r="P566" s="122"/>
      <c r="Q566" s="304" t="str">
        <f t="shared" si="16"/>
        <v/>
      </c>
      <c r="S566" s="147"/>
      <c r="T566" s="148"/>
      <c r="U566" s="148"/>
      <c r="V566" s="148"/>
      <c r="W566" s="148"/>
      <c r="X566" s="148"/>
      <c r="Y566" s="148"/>
      <c r="Z566" s="148"/>
      <c r="AA566" s="148"/>
      <c r="AB566" s="148"/>
      <c r="AC566" s="148"/>
      <c r="AD566" s="148"/>
      <c r="AE566" s="148"/>
      <c r="AF566" s="148"/>
      <c r="AG566" s="148"/>
    </row>
    <row r="567" ht="15.75" customHeight="1">
      <c r="A567" s="149"/>
      <c r="B567" s="150"/>
      <c r="C567" s="149"/>
      <c r="D567" s="159" t="s">
        <v>33</v>
      </c>
      <c r="E567" s="160" t="s">
        <v>34</v>
      </c>
      <c r="F567" s="127">
        <v>1.0</v>
      </c>
      <c r="G567" s="161">
        <v>5.0</v>
      </c>
      <c r="H567" s="129"/>
      <c r="I567" s="130">
        <v>245.0</v>
      </c>
      <c r="J567" s="151">
        <v>7.0</v>
      </c>
      <c r="K567" s="132"/>
      <c r="L567" s="133">
        <v>6.0</v>
      </c>
      <c r="M567" s="134">
        <f>I432</f>
        <v>271</v>
      </c>
      <c r="N567" s="135">
        <f>iferror(mround($P432*((VLOOKUP($J567,Sheet1!$D:$N,$G567+1,FALSE)-0.03)),2.5)," ")</f>
        <v>252.5</v>
      </c>
      <c r="O567" s="135">
        <f>iferror(mround($P432*((VLOOKUP($J567,Sheet1!$D:$N,$G567+1,FALSE)+0.02)),2.5)," ")</f>
        <v>270</v>
      </c>
      <c r="P567" s="56">
        <f>iferror(mround(I567/VLOOKUP(L567,Sheet1!$D$7:$N$16,G567+1,FALSE),2.5),"")</f>
        <v>320</v>
      </c>
      <c r="Q567" s="303">
        <f t="shared" si="16"/>
        <v>-26</v>
      </c>
      <c r="S567" s="11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</row>
    <row r="568" ht="3.75" customHeight="1">
      <c r="A568" s="162"/>
      <c r="B568" s="163"/>
      <c r="C568" s="162"/>
      <c r="D568" s="138"/>
      <c r="E568" s="139"/>
      <c r="F568" s="140"/>
      <c r="G568" s="140"/>
      <c r="H568" s="140"/>
      <c r="I568" s="140"/>
      <c r="J568" s="141"/>
      <c r="K568" s="142"/>
      <c r="L568" s="143"/>
      <c r="M568" s="144"/>
      <c r="N568" s="145"/>
      <c r="O568" s="145"/>
      <c r="P568" s="122"/>
      <c r="Q568" s="304" t="str">
        <f t="shared" si="16"/>
        <v/>
      </c>
      <c r="S568" s="147"/>
      <c r="T568" s="148"/>
      <c r="U568" s="148"/>
      <c r="V568" s="148"/>
      <c r="W568" s="148"/>
      <c r="X568" s="148"/>
      <c r="Y568" s="148"/>
      <c r="Z568" s="148"/>
      <c r="AA568" s="148"/>
      <c r="AB568" s="148"/>
      <c r="AC568" s="148"/>
      <c r="AD568" s="148"/>
      <c r="AE568" s="148"/>
      <c r="AF568" s="148"/>
      <c r="AG568" s="148"/>
    </row>
    <row r="569" ht="15.75" customHeight="1">
      <c r="A569" s="90"/>
      <c r="B569" s="6"/>
      <c r="C569" s="90"/>
      <c r="D569" s="159" t="s">
        <v>33</v>
      </c>
      <c r="E569" s="160" t="s">
        <v>34</v>
      </c>
      <c r="F569" s="127">
        <v>2.0</v>
      </c>
      <c r="G569" s="161">
        <v>5.0</v>
      </c>
      <c r="H569" s="129"/>
      <c r="I569" s="164">
        <f>MROUND(I567*(1+J569),5)</f>
        <v>220</v>
      </c>
      <c r="J569" s="165">
        <v>-0.1</v>
      </c>
      <c r="K569" s="132"/>
      <c r="L569" s="133">
        <v>5.0</v>
      </c>
      <c r="M569" s="134">
        <f>I434</f>
        <v>245</v>
      </c>
      <c r="N569" s="135" t="str">
        <f>iferror(mround($P434*((VLOOKUP($J569,Sheet1!$D:$N,$G569+1,FALSE)-0.03)),2.5)," ")</f>
        <v> </v>
      </c>
      <c r="O569" s="135" t="str">
        <f>iferror(mround($P434*((VLOOKUP($J569,Sheet1!$D:$N,$G569+1,FALSE)+0.02)),2.5)," ")</f>
        <v> </v>
      </c>
      <c r="P569" s="56" t="str">
        <f>iferror(mround(I569/VLOOKUP(L569,Sheet1!$D$7:$N$16,G569+1,FALSE),2.5),"")</f>
        <v/>
      </c>
      <c r="Q569" s="303">
        <f t="shared" si="16"/>
        <v>-25</v>
      </c>
      <c r="S569" s="11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</row>
    <row r="570" ht="3.75" customHeight="1">
      <c r="A570" s="168"/>
      <c r="B570" s="70"/>
      <c r="C570" s="168"/>
      <c r="D570" s="138"/>
      <c r="E570" s="139"/>
      <c r="F570" s="102"/>
      <c r="G570" s="102"/>
      <c r="H570" s="102"/>
      <c r="I570" s="102"/>
      <c r="J570" s="156"/>
      <c r="K570" s="142"/>
      <c r="L570" s="143"/>
      <c r="M570" s="144"/>
      <c r="N570" s="145"/>
      <c r="O570" s="145"/>
      <c r="P570" s="122"/>
      <c r="Q570" s="304" t="str">
        <f t="shared" si="16"/>
        <v/>
      </c>
      <c r="S570" s="147"/>
      <c r="T570" s="148"/>
      <c r="U570" s="148"/>
      <c r="V570" s="148"/>
      <c r="W570" s="148"/>
      <c r="X570" s="148"/>
      <c r="Y570" s="148"/>
      <c r="Z570" s="148"/>
      <c r="AA570" s="148"/>
      <c r="AB570" s="148"/>
      <c r="AC570" s="148"/>
      <c r="AD570" s="148"/>
      <c r="AE570" s="148"/>
      <c r="AF570" s="148"/>
      <c r="AG570" s="148"/>
    </row>
    <row r="571" ht="15.75" customHeight="1">
      <c r="A571" s="90"/>
      <c r="B571" s="6"/>
      <c r="C571" s="90"/>
      <c r="D571" s="166" t="s">
        <v>35</v>
      </c>
      <c r="E571" s="160"/>
      <c r="F571" s="127">
        <v>1.0</v>
      </c>
      <c r="G571" s="161">
        <v>7.0</v>
      </c>
      <c r="H571" s="129"/>
      <c r="I571" s="130">
        <v>245.0</v>
      </c>
      <c r="J571" s="151">
        <v>8.0</v>
      </c>
      <c r="K571" s="170" t="s">
        <v>80</v>
      </c>
      <c r="L571" s="133">
        <v>7.5</v>
      </c>
      <c r="M571" s="134" t="str">
        <f>I436</f>
        <v/>
      </c>
      <c r="N571" s="135">
        <f>iferror(mround($P436*((VLOOKUP($J571,Sheet1!$D:$N,$G571+1,FALSE)-0.03)),2.5)," ")</f>
        <v>0</v>
      </c>
      <c r="O571" s="135">
        <f>iferror(mround($P436*((VLOOKUP($J571,Sheet1!$D:$N,$G571+1,FALSE)+0.02)),2.5)," ")</f>
        <v>0</v>
      </c>
      <c r="P571" s="56">
        <f>iferror(mround(I571/VLOOKUP(L571,Sheet1!$D$7:$N$16,G571+1,FALSE),2.5),"")</f>
        <v>325</v>
      </c>
      <c r="Q571" s="303" t="str">
        <f t="shared" si="16"/>
        <v/>
      </c>
      <c r="S571" s="11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</row>
    <row r="572" ht="3.75" customHeight="1">
      <c r="A572" s="90"/>
      <c r="B572" s="6"/>
      <c r="C572" s="90"/>
      <c r="D572" s="171"/>
      <c r="E572" s="172"/>
      <c r="F572" s="173"/>
      <c r="G572" s="173"/>
      <c r="H572" s="173"/>
      <c r="I572" s="173"/>
      <c r="J572" s="174"/>
      <c r="K572" s="142"/>
      <c r="L572" s="143"/>
      <c r="M572" s="144"/>
      <c r="N572" s="145"/>
      <c r="O572" s="145"/>
      <c r="P572" s="122"/>
      <c r="Q572" s="304" t="str">
        <f t="shared" si="16"/>
        <v/>
      </c>
      <c r="S572" s="11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</row>
    <row r="573" ht="15.75" customHeight="1">
      <c r="A573" s="90"/>
      <c r="B573" s="6"/>
      <c r="C573" s="90"/>
      <c r="D573" s="166" t="s">
        <v>37</v>
      </c>
      <c r="E573" s="160" t="s">
        <v>81</v>
      </c>
      <c r="F573" s="127">
        <v>2.0</v>
      </c>
      <c r="G573" s="169">
        <v>45577.0</v>
      </c>
      <c r="H573" s="129"/>
      <c r="I573" s="130">
        <v>270.0</v>
      </c>
      <c r="J573" s="151">
        <v>7.0</v>
      </c>
      <c r="K573" s="132"/>
      <c r="L573" s="133">
        <v>7.0</v>
      </c>
      <c r="M573" s="134" t="str">
        <f>I438</f>
        <v/>
      </c>
      <c r="N573" s="135" t="str">
        <f>iferror(mround($P438*((VLOOKUP($J573,Sheet1!$D:$N,$G573+1,FALSE)-0.03)),2.5)," ")</f>
        <v> </v>
      </c>
      <c r="O573" s="135" t="str">
        <f>iferror(mround($P438*((VLOOKUP($J573,Sheet1!$D:$N,$G573+1,FALSE)+0.02)),2.5)," ")</f>
        <v> </v>
      </c>
      <c r="P573" s="56" t="str">
        <f>iferror(mround(I573/VLOOKUP(L573,Sheet1!$D$7:$N$16,G573+1,FALSE),2.5),"")</f>
        <v/>
      </c>
      <c r="Q573" s="303" t="str">
        <f t="shared" si="16"/>
        <v/>
      </c>
      <c r="S573" s="11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</row>
    <row r="574" ht="3.75" customHeight="1">
      <c r="A574" s="90"/>
      <c r="B574" s="6"/>
      <c r="C574" s="90"/>
      <c r="D574" s="171"/>
      <c r="E574" s="172"/>
      <c r="F574" s="173"/>
      <c r="G574" s="173"/>
      <c r="H574" s="173"/>
      <c r="I574" s="173"/>
      <c r="J574" s="174"/>
      <c r="K574" s="142"/>
      <c r="L574" s="143"/>
      <c r="M574" s="144"/>
      <c r="N574" s="145"/>
      <c r="O574" s="145"/>
      <c r="P574" s="122"/>
      <c r="Q574" s="304" t="str">
        <f t="shared" si="16"/>
        <v/>
      </c>
      <c r="S574" s="11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</row>
    <row r="575" ht="15.75" hidden="1" customHeight="1">
      <c r="A575" s="90"/>
      <c r="B575" s="6"/>
      <c r="C575" s="90"/>
      <c r="D575" s="175" t="s">
        <v>40</v>
      </c>
      <c r="E575" s="176"/>
      <c r="F575" s="177">
        <v>3.0</v>
      </c>
      <c r="G575" s="178" t="s">
        <v>41</v>
      </c>
      <c r="H575" s="179"/>
      <c r="I575" s="180"/>
      <c r="J575" s="181">
        <v>8.0</v>
      </c>
      <c r="K575" s="182"/>
      <c r="L575" s="183"/>
      <c r="M575" s="134" t="str">
        <f>I440</f>
        <v/>
      </c>
      <c r="N575" s="135" t="str">
        <f>iferror(mround($P440*((VLOOKUP($J575,Sheet1!$D:$N,$G575+1,FALSE)-0.03)),2.5)," ")</f>
        <v> </v>
      </c>
      <c r="O575" s="135" t="str">
        <f>iferror(mround($P440*((VLOOKUP($J575,Sheet1!$D:$N,$G575+1,FALSE)+0.02)),2.5)," ")</f>
        <v> </v>
      </c>
      <c r="P575" s="56" t="str">
        <f>iferror(mround(I575/VLOOKUP(L575,Sheet1!$D$7:$N$16,G575+1,FALSE),2.5),"")</f>
        <v/>
      </c>
      <c r="Q575" s="303" t="str">
        <f t="shared" si="16"/>
        <v/>
      </c>
      <c r="S575" s="11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</row>
    <row r="576" ht="3.75" hidden="1" customHeight="1">
      <c r="A576" s="90"/>
      <c r="B576" s="6"/>
      <c r="C576" s="90"/>
      <c r="D576" s="138"/>
      <c r="E576" s="184"/>
      <c r="F576" s="102"/>
      <c r="G576" s="102"/>
      <c r="H576" s="102"/>
      <c r="I576" s="102"/>
      <c r="J576" s="156"/>
      <c r="K576" s="103"/>
      <c r="L576" s="143"/>
      <c r="M576" s="144"/>
      <c r="N576" s="145"/>
      <c r="O576" s="145"/>
      <c r="P576" s="122"/>
      <c r="Q576" s="304" t="str">
        <f t="shared" si="16"/>
        <v/>
      </c>
      <c r="S576" s="11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</row>
    <row r="577" ht="15.75" hidden="1" customHeight="1">
      <c r="A577" s="90"/>
      <c r="B577" s="6"/>
      <c r="C577" s="90"/>
      <c r="D577" s="185"/>
      <c r="E577" s="186"/>
      <c r="F577" s="187"/>
      <c r="G577" s="188"/>
      <c r="H577" s="129"/>
      <c r="I577" s="164"/>
      <c r="J577" s="189"/>
      <c r="K577" s="190"/>
      <c r="L577" s="183"/>
      <c r="M577" s="134" t="str">
        <f>I442</f>
        <v/>
      </c>
      <c r="N577" s="135" t="str">
        <f>iferror(mround($P442*((VLOOKUP($J577,Sheet1!$D:$N,$G577+1,FALSE)-0.03)),2.5)," ")</f>
        <v> </v>
      </c>
      <c r="O577" s="135" t="str">
        <f>iferror(mround($P442*((VLOOKUP($J577,Sheet1!$D:$N,$G577+1,FALSE)+0.02)),2.5)," ")</f>
        <v> </v>
      </c>
      <c r="P577" s="56" t="str">
        <f>iferror(mround(I577/VLOOKUP(L577,Sheet1!$D$7:$N$16,G577+1,FALSE),2.5),"")</f>
        <v/>
      </c>
      <c r="Q577" s="303" t="str">
        <f t="shared" si="16"/>
        <v/>
      </c>
      <c r="S577" s="11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</row>
    <row r="578" ht="3.75" hidden="1" customHeight="1">
      <c r="A578" s="191"/>
      <c r="B578" s="6"/>
      <c r="C578" s="192"/>
      <c r="D578" s="138"/>
      <c r="E578" s="193"/>
      <c r="F578" s="194"/>
      <c r="G578" s="155"/>
      <c r="H578" s="102"/>
      <c r="I578" s="102"/>
      <c r="J578" s="156"/>
      <c r="K578" s="103"/>
      <c r="L578" s="143"/>
      <c r="M578" s="144"/>
      <c r="N578" s="145"/>
      <c r="O578" s="145"/>
      <c r="P578" s="122"/>
      <c r="Q578" s="304" t="str">
        <f t="shared" si="16"/>
        <v/>
      </c>
      <c r="S578" s="157"/>
      <c r="T578" s="5"/>
      <c r="U578" s="5"/>
      <c r="V578" s="158"/>
      <c r="W578" s="158"/>
      <c r="X578" s="158"/>
      <c r="Y578" s="158"/>
      <c r="Z578" s="158"/>
      <c r="AA578" s="158"/>
      <c r="AB578" s="158"/>
      <c r="AC578" s="158"/>
      <c r="AD578" s="158"/>
      <c r="AE578" s="158"/>
      <c r="AF578" s="158"/>
      <c r="AG578" s="158"/>
    </row>
    <row r="579" ht="15.75" hidden="1" customHeight="1">
      <c r="A579" s="90"/>
      <c r="B579" s="6"/>
      <c r="C579" s="90"/>
      <c r="D579" s="185"/>
      <c r="E579" s="186"/>
      <c r="F579" s="187"/>
      <c r="G579" s="195"/>
      <c r="H579" s="129"/>
      <c r="I579" s="164"/>
      <c r="J579" s="189"/>
      <c r="K579" s="190"/>
      <c r="L579" s="183"/>
      <c r="M579" s="134" t="str">
        <f>I444</f>
        <v/>
      </c>
      <c r="N579" s="135" t="str">
        <f>iferror(mround($P444*((VLOOKUP($J579,Sheet1!$D:$N,$G579+1,FALSE)-0.03)),2.5)," ")</f>
        <v> </v>
      </c>
      <c r="O579" s="135" t="str">
        <f>iferror(mround($P444*((VLOOKUP($J579,Sheet1!$D:$N,$G579+1,FALSE)+0.02)),2.5)," ")</f>
        <v> </v>
      </c>
      <c r="P579" s="56" t="str">
        <f>iferror(mround(I579/VLOOKUP(L579,Sheet1!$D$7:$N$16,G579+1,FALSE),2.5),"")</f>
        <v/>
      </c>
      <c r="Q579" s="303" t="str">
        <f t="shared" si="16"/>
        <v/>
      </c>
      <c r="S579" s="11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</row>
    <row r="580" ht="3.75" hidden="1" customHeight="1">
      <c r="A580" s="90"/>
      <c r="B580" s="6"/>
      <c r="C580" s="90"/>
      <c r="D580" s="196"/>
      <c r="E580" s="184"/>
      <c r="F580" s="102"/>
      <c r="G580" s="102"/>
      <c r="H580" s="102"/>
      <c r="I580" s="102"/>
      <c r="J580" s="156"/>
      <c r="K580" s="103"/>
      <c r="L580" s="143"/>
      <c r="M580" s="144"/>
      <c r="N580" s="145"/>
      <c r="O580" s="145"/>
      <c r="P580" s="122"/>
      <c r="Q580" s="304" t="str">
        <f t="shared" si="16"/>
        <v/>
      </c>
      <c r="S580" s="11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</row>
    <row r="581" ht="15.75" hidden="1" customHeight="1">
      <c r="A581" s="90"/>
      <c r="B581" s="6"/>
      <c r="C581" s="90"/>
      <c r="D581" s="197"/>
      <c r="E581" s="198"/>
      <c r="F581" s="199"/>
      <c r="G581" s="195"/>
      <c r="H581" s="129"/>
      <c r="I581" s="164"/>
      <c r="J581" s="189"/>
      <c r="K581" s="190"/>
      <c r="L581" s="183"/>
      <c r="M581" s="134" t="str">
        <f>I446</f>
        <v/>
      </c>
      <c r="N581" s="135" t="str">
        <f>iferror(mround($P446*((VLOOKUP($J581,Sheet1!$D:$N,$G581+1,FALSE)-0.03)),2.5)," ")</f>
        <v> </v>
      </c>
      <c r="O581" s="135" t="str">
        <f>iferror(mround($P446*((VLOOKUP($J581,Sheet1!$D:$N,$G581+1,FALSE)+0.02)),2.5)," ")</f>
        <v> </v>
      </c>
      <c r="P581" s="56" t="str">
        <f>iferror(mround(I581/VLOOKUP(L581,Sheet1!$D$7:$N$16,G581+1,FALSE),2.5),"")</f>
        <v/>
      </c>
      <c r="Q581" s="303" t="str">
        <f t="shared" si="16"/>
        <v/>
      </c>
      <c r="S581" s="11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</row>
    <row r="582" ht="3.75" customHeight="1">
      <c r="A582" s="90"/>
      <c r="B582" s="6"/>
      <c r="C582" s="90"/>
      <c r="D582" s="90"/>
      <c r="E582" s="156"/>
      <c r="F582" s="102"/>
      <c r="G582" s="102"/>
      <c r="H582" s="102"/>
      <c r="I582" s="102"/>
      <c r="J582" s="156"/>
      <c r="K582" s="200"/>
      <c r="L582" s="201"/>
      <c r="M582" s="144"/>
      <c r="N582" s="47"/>
      <c r="O582" s="47"/>
      <c r="P582" s="122"/>
      <c r="Q582" s="304" t="str">
        <f t="shared" si="16"/>
        <v/>
      </c>
      <c r="S582" s="11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</row>
    <row r="583" ht="30.0" customHeight="1">
      <c r="A583" s="90"/>
      <c r="B583" s="6"/>
      <c r="C583" s="90"/>
      <c r="D583" s="202" t="s">
        <v>42</v>
      </c>
      <c r="E583" s="105" t="s">
        <v>82</v>
      </c>
      <c r="F583" s="106" t="s">
        <v>16</v>
      </c>
      <c r="G583" s="106" t="s">
        <v>17</v>
      </c>
      <c r="H583" s="107"/>
      <c r="I583" s="106" t="s">
        <v>18</v>
      </c>
      <c r="J583" s="108" t="s">
        <v>19</v>
      </c>
      <c r="L583" s="109" t="s">
        <v>20</v>
      </c>
      <c r="M583" s="110" t="s">
        <v>21</v>
      </c>
      <c r="N583" s="111" t="s">
        <v>22</v>
      </c>
      <c r="P583" s="112"/>
      <c r="Q583" s="113" t="s">
        <v>23</v>
      </c>
      <c r="R583" s="114" t="s">
        <v>43</v>
      </c>
      <c r="S583" s="11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</row>
    <row r="584" ht="14.25" customHeight="1">
      <c r="A584" s="90"/>
      <c r="B584" s="6"/>
      <c r="C584" s="90"/>
      <c r="D584" s="116">
        <v>4.0</v>
      </c>
      <c r="E584" s="117">
        <v>2.0</v>
      </c>
      <c r="H584" s="107"/>
      <c r="N584" s="111" t="s">
        <v>27</v>
      </c>
      <c r="O584" s="111" t="s">
        <v>28</v>
      </c>
      <c r="P584" s="112" t="s">
        <v>29</v>
      </c>
      <c r="R584" s="118" t="s">
        <v>30</v>
      </c>
      <c r="S584" s="11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</row>
    <row r="585" ht="3.75" customHeight="1">
      <c r="A585" s="191"/>
      <c r="B585" s="6"/>
      <c r="C585" s="192"/>
      <c r="D585" s="203"/>
      <c r="E585" s="204"/>
      <c r="F585" s="205"/>
      <c r="G585" s="205"/>
      <c r="H585" s="206"/>
      <c r="I585" s="207"/>
      <c r="J585" s="208"/>
      <c r="K585" s="209"/>
      <c r="L585" s="210"/>
      <c r="M585" s="211"/>
      <c r="N585" s="47"/>
      <c r="O585" s="47"/>
      <c r="P585" s="122"/>
      <c r="Q585" s="304" t="str">
        <f t="shared" ref="Q585:Q607" si="17">IF(OR(ISBLANK(I585), ISBLANK(I450)), "", IF(I585 - I450 = 0, "", I585 - I450))</f>
        <v/>
      </c>
      <c r="R585" s="212"/>
      <c r="S585" s="157"/>
      <c r="T585" s="5"/>
      <c r="U585" s="5"/>
      <c r="V585" s="158"/>
      <c r="W585" s="158"/>
      <c r="X585" s="158"/>
      <c r="Y585" s="158"/>
      <c r="Z585" s="158"/>
      <c r="AA585" s="158"/>
      <c r="AB585" s="158"/>
      <c r="AC585" s="158"/>
      <c r="AD585" s="158"/>
      <c r="AE585" s="158"/>
      <c r="AF585" s="158"/>
      <c r="AG585" s="158"/>
    </row>
    <row r="586" ht="15.75" customHeight="1">
      <c r="A586" s="124"/>
      <c r="B586" s="6"/>
      <c r="C586" s="124"/>
      <c r="D586" s="159" t="s">
        <v>83</v>
      </c>
      <c r="E586" s="167" t="s">
        <v>84</v>
      </c>
      <c r="F586" s="127">
        <v>2.0</v>
      </c>
      <c r="G586" s="127">
        <v>3.0</v>
      </c>
      <c r="H586" s="195"/>
      <c r="I586" s="130">
        <v>397.0</v>
      </c>
      <c r="J586" s="151">
        <v>5.0</v>
      </c>
      <c r="K586" s="213"/>
      <c r="L586" s="133">
        <v>5.0</v>
      </c>
      <c r="M586" s="134">
        <f>I451</f>
        <v>430</v>
      </c>
      <c r="N586" s="135">
        <f>iferror(mround($P451*((VLOOKUP($J586,Sheet1!$D:$N,$G586+1,FALSE)-0.03)),2.5)," ")</f>
        <v>392.5</v>
      </c>
      <c r="O586" s="135">
        <f>iferror(mround($P451*((VLOOKUP($J586,Sheet1!$D:$N,$G586+1,FALSE)+0.02)),2.5)," ")</f>
        <v>420</v>
      </c>
      <c r="P586" s="112" t="str">
        <f>iferror(mround(I586/VLOOKUP(L586,Sheet1!$D$7:$N$16,G586+1,FALSE),2.5),"")</f>
        <v/>
      </c>
      <c r="Q586" s="303">
        <f t="shared" si="17"/>
        <v>-33</v>
      </c>
      <c r="R586" s="214"/>
      <c r="S586" s="11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</row>
    <row r="587" ht="3.75" customHeight="1">
      <c r="A587" s="124"/>
      <c r="B587" s="6"/>
      <c r="C587" s="124"/>
      <c r="D587" s="138"/>
      <c r="E587" s="215"/>
      <c r="F587" s="102"/>
      <c r="G587" s="102"/>
      <c r="H587" s="102"/>
      <c r="I587" s="102"/>
      <c r="J587" s="216"/>
      <c r="K587" s="217"/>
      <c r="L587" s="218"/>
      <c r="M587" s="144"/>
      <c r="N587" s="145"/>
      <c r="O587" s="145"/>
      <c r="P587" s="122"/>
      <c r="Q587" s="304" t="str">
        <f t="shared" si="17"/>
        <v/>
      </c>
      <c r="R587" s="214"/>
      <c r="S587" s="11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</row>
    <row r="588" ht="15.75" customHeight="1">
      <c r="A588" s="90"/>
      <c r="B588" s="6"/>
      <c r="C588" s="90"/>
      <c r="D588" s="159" t="s">
        <v>33</v>
      </c>
      <c r="E588" s="167"/>
      <c r="F588" s="127">
        <v>1.0</v>
      </c>
      <c r="G588" s="127">
        <v>2.0</v>
      </c>
      <c r="H588" s="195"/>
      <c r="I588" s="130">
        <v>265.0</v>
      </c>
      <c r="J588" s="151">
        <v>6.0</v>
      </c>
      <c r="K588" s="219"/>
      <c r="L588" s="133">
        <v>5.0</v>
      </c>
      <c r="M588" s="134">
        <f>I453</f>
        <v>325</v>
      </c>
      <c r="N588" s="135">
        <f>iferror(mround($P453*((VLOOKUP($J588,Sheet1!$D:$N,$G588+1,FALSE)-0.03)),2.5)," ")</f>
        <v>282.5</v>
      </c>
      <c r="O588" s="135">
        <f>iferror(mround($P453*((VLOOKUP($J588,Sheet1!$D:$N,$G588+1,FALSE)+0.02)),2.5)," ")</f>
        <v>300</v>
      </c>
      <c r="P588" s="112" t="str">
        <f>iferror(mround(I588/VLOOKUP(L588,Sheet1!$D$7:$N$16,G588+1,FALSE),2.5),"")</f>
        <v/>
      </c>
      <c r="Q588" s="303">
        <f t="shared" si="17"/>
        <v>-60</v>
      </c>
      <c r="R588" s="214"/>
      <c r="S588" s="11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</row>
    <row r="589" ht="3.75" customHeight="1">
      <c r="A589" s="90"/>
      <c r="B589" s="6"/>
      <c r="C589" s="90"/>
      <c r="D589" s="138"/>
      <c r="E589" s="215"/>
      <c r="F589" s="102"/>
      <c r="G589" s="102"/>
      <c r="H589" s="102"/>
      <c r="I589" s="102"/>
      <c r="J589" s="216"/>
      <c r="K589" s="217"/>
      <c r="L589" s="218"/>
      <c r="M589" s="144"/>
      <c r="N589" s="145"/>
      <c r="O589" s="145"/>
      <c r="P589" s="122"/>
      <c r="Q589" s="304" t="str">
        <f t="shared" si="17"/>
        <v/>
      </c>
      <c r="R589" s="214"/>
      <c r="S589" s="11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</row>
    <row r="590" ht="15.75" customHeight="1">
      <c r="A590" s="90"/>
      <c r="B590" s="6"/>
      <c r="C590" s="90"/>
      <c r="D590" s="159" t="s">
        <v>33</v>
      </c>
      <c r="E590" s="167"/>
      <c r="F590" s="127">
        <v>3.0</v>
      </c>
      <c r="G590" s="161">
        <v>3.0</v>
      </c>
      <c r="H590" s="195"/>
      <c r="I590" s="164">
        <f>MROUND(I588*(1+J590),5)</f>
        <v>245</v>
      </c>
      <c r="J590" s="165">
        <v>-0.08</v>
      </c>
      <c r="K590" s="219"/>
      <c r="L590" s="133">
        <v>5.0</v>
      </c>
      <c r="M590" s="134">
        <f>I455</f>
        <v>300</v>
      </c>
      <c r="N590" s="135" t="str">
        <f>iferror(mround($P455*((VLOOKUP($J590,Sheet1!$D:$N,$G590+1,FALSE)-0.03)),2.5)," ")</f>
        <v> </v>
      </c>
      <c r="O590" s="135" t="str">
        <f>iferror(mround($P455*((VLOOKUP($J590,Sheet1!$D:$N,$G590+1,FALSE)+0.02)),2.5)," ")</f>
        <v> </v>
      </c>
      <c r="P590" s="112" t="str">
        <f>iferror(mround(I590/VLOOKUP(L590,Sheet1!$D$7:$N$16,G590+1,FALSE),2.5),"")</f>
        <v/>
      </c>
      <c r="Q590" s="303">
        <f t="shared" si="17"/>
        <v>-55</v>
      </c>
      <c r="R590" s="214"/>
      <c r="S590" s="11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</row>
    <row r="591" ht="3.75" customHeight="1">
      <c r="A591" s="90"/>
      <c r="B591" s="6"/>
      <c r="C591" s="90"/>
      <c r="D591" s="138"/>
      <c r="E591" s="215"/>
      <c r="F591" s="102"/>
      <c r="G591" s="102"/>
      <c r="H591" s="102"/>
      <c r="I591" s="102"/>
      <c r="J591" s="156"/>
      <c r="K591" s="217"/>
      <c r="L591" s="143"/>
      <c r="M591" s="144"/>
      <c r="N591" s="145"/>
      <c r="O591" s="145"/>
      <c r="P591" s="122"/>
      <c r="Q591" s="304" t="str">
        <f t="shared" si="17"/>
        <v/>
      </c>
      <c r="R591" s="214"/>
      <c r="S591" s="11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</row>
    <row r="592" ht="15.75" customHeight="1">
      <c r="A592" s="90"/>
      <c r="B592" s="6"/>
      <c r="C592" s="90"/>
      <c r="D592" s="159" t="s">
        <v>86</v>
      </c>
      <c r="E592" s="167" t="s">
        <v>87</v>
      </c>
      <c r="F592" s="127">
        <v>2.0</v>
      </c>
      <c r="G592" s="169">
        <v>45577.0</v>
      </c>
      <c r="H592" s="195"/>
      <c r="I592" s="130">
        <v>110.0</v>
      </c>
      <c r="J592" s="151">
        <v>7.0</v>
      </c>
      <c r="K592" s="213"/>
      <c r="L592" s="133">
        <v>7.0</v>
      </c>
      <c r="M592" s="134" t="str">
        <f>I457</f>
        <v/>
      </c>
      <c r="N592" s="135" t="str">
        <f>iferror(mround($P457*((VLOOKUP($J592,Sheet1!$D:$N,$G592+1,FALSE)-0.03)),2.5)," ")</f>
        <v> </v>
      </c>
      <c r="O592" s="135" t="str">
        <f>iferror(mround($P457*((VLOOKUP($J592,Sheet1!$D:$N,$G592+1,FALSE)+0.02)),2.5)," ")</f>
        <v> </v>
      </c>
      <c r="P592" s="112" t="str">
        <f>iferror(mround(I592/VLOOKUP(L592,Sheet1!$D$7:$N$16,G592+1,FALSE),2.5),"")</f>
        <v/>
      </c>
      <c r="Q592" s="303" t="str">
        <f t="shared" si="17"/>
        <v/>
      </c>
      <c r="R592" s="214"/>
      <c r="S592" s="11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</row>
    <row r="593" ht="3.75" customHeight="1">
      <c r="A593" s="90"/>
      <c r="B593" s="6"/>
      <c r="C593" s="90"/>
      <c r="D593" s="138"/>
      <c r="E593" s="215"/>
      <c r="F593" s="102"/>
      <c r="G593" s="102"/>
      <c r="H593" s="102"/>
      <c r="I593" s="102"/>
      <c r="J593" s="156"/>
      <c r="K593" s="217"/>
      <c r="L593" s="143"/>
      <c r="M593" s="144"/>
      <c r="N593" s="145"/>
      <c r="O593" s="145"/>
      <c r="P593" s="122"/>
      <c r="Q593" s="304" t="str">
        <f t="shared" si="17"/>
        <v/>
      </c>
      <c r="R593" s="214"/>
      <c r="S593" s="11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</row>
    <row r="594" ht="15.75" customHeight="1">
      <c r="A594" s="90"/>
      <c r="B594" s="6"/>
      <c r="C594" s="90"/>
      <c r="D594" s="159" t="s">
        <v>88</v>
      </c>
      <c r="E594" s="220"/>
      <c r="F594" s="127">
        <v>2.0</v>
      </c>
      <c r="G594" s="221">
        <v>45641.0</v>
      </c>
      <c r="H594" s="195"/>
      <c r="I594" s="130">
        <v>10.0</v>
      </c>
      <c r="J594" s="151">
        <v>9.0</v>
      </c>
      <c r="K594" s="213"/>
      <c r="L594" s="133">
        <v>9.0</v>
      </c>
      <c r="M594" s="134" t="str">
        <f>I459</f>
        <v/>
      </c>
      <c r="N594" s="135" t="str">
        <f>iferror(mround($P459*((VLOOKUP($J594,Sheet1!$D:$N,$G594+1,FALSE)-0.03)),2.5)," ")</f>
        <v> </v>
      </c>
      <c r="O594" s="135" t="str">
        <f>iferror(mround($P459*((VLOOKUP($J594,Sheet1!$D:$N,$G594+1,FALSE)+0.02)),2.5)," ")</f>
        <v> </v>
      </c>
      <c r="P594" s="112" t="str">
        <f>iferror(mround(I594/VLOOKUP(L594,Sheet1!$D$7:$N$16,G594+1,FALSE),2.5),"")</f>
        <v/>
      </c>
      <c r="Q594" s="303" t="str">
        <f t="shared" si="17"/>
        <v/>
      </c>
      <c r="R594" s="214"/>
      <c r="S594" s="11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</row>
    <row r="595" ht="3.75" customHeight="1">
      <c r="A595" s="90"/>
      <c r="B595" s="6"/>
      <c r="C595" s="90"/>
      <c r="D595" s="138"/>
      <c r="E595" s="215"/>
      <c r="F595" s="102"/>
      <c r="G595" s="102"/>
      <c r="H595" s="102"/>
      <c r="I595" s="102"/>
      <c r="J595" s="156"/>
      <c r="K595" s="217"/>
      <c r="L595" s="143"/>
      <c r="M595" s="144"/>
      <c r="N595" s="145"/>
      <c r="O595" s="145"/>
      <c r="P595" s="122"/>
      <c r="Q595" s="304" t="str">
        <f t="shared" si="17"/>
        <v/>
      </c>
      <c r="R595" s="214"/>
      <c r="S595" s="11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</row>
    <row r="596" ht="15.75" customHeight="1">
      <c r="A596" s="90"/>
      <c r="B596" s="6"/>
      <c r="C596" s="90"/>
      <c r="D596" s="159" t="s">
        <v>47</v>
      </c>
      <c r="E596" s="220"/>
      <c r="F596" s="127">
        <v>2.0</v>
      </c>
      <c r="G596" s="221">
        <v>45641.0</v>
      </c>
      <c r="H596" s="195"/>
      <c r="I596" s="130">
        <v>65.0</v>
      </c>
      <c r="J596" s="151">
        <v>9.0</v>
      </c>
      <c r="K596" s="213"/>
      <c r="L596" s="183"/>
      <c r="M596" s="134" t="str">
        <f>I461</f>
        <v/>
      </c>
      <c r="N596" s="135" t="str">
        <f>iferror(mround($P461*((VLOOKUP($J596,Sheet1!$D:$N,$G596+1,FALSE)-0.03)),2.5)," ")</f>
        <v> </v>
      </c>
      <c r="O596" s="135" t="str">
        <f>iferror(mround($P461*((VLOOKUP($J596,Sheet1!$D:$N,$G596+1,FALSE)+0.02)),2.5)," ")</f>
        <v> </v>
      </c>
      <c r="P596" s="112" t="str">
        <f>iferror(mround(I596/VLOOKUP(L596,Sheet1!$D$7:$N$16,G596+1,FALSE),2.5),"")</f>
        <v/>
      </c>
      <c r="Q596" s="303" t="str">
        <f t="shared" si="17"/>
        <v/>
      </c>
      <c r="R596" s="214"/>
      <c r="S596" s="11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</row>
    <row r="597" ht="3.75" customHeight="1">
      <c r="A597" s="90"/>
      <c r="B597" s="6"/>
      <c r="C597" s="90"/>
      <c r="D597" s="138"/>
      <c r="E597" s="326"/>
      <c r="F597" s="102"/>
      <c r="G597" s="102"/>
      <c r="H597" s="102"/>
      <c r="I597" s="102"/>
      <c r="J597" s="216"/>
      <c r="K597" s="222"/>
      <c r="L597" s="143"/>
      <c r="M597" s="144"/>
      <c r="N597" s="145"/>
      <c r="O597" s="145"/>
      <c r="P597" s="122"/>
      <c r="Q597" s="304" t="str">
        <f t="shared" si="17"/>
        <v/>
      </c>
      <c r="R597" s="214"/>
      <c r="S597" s="11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</row>
    <row r="598" ht="18.0" hidden="1" customHeight="1">
      <c r="A598" s="90"/>
      <c r="B598" s="6"/>
      <c r="C598" s="90"/>
      <c r="D598" s="185"/>
      <c r="E598" s="327"/>
      <c r="F598" s="187"/>
      <c r="G598" s="187"/>
      <c r="H598" s="195"/>
      <c r="I598" s="164"/>
      <c r="J598" s="189"/>
      <c r="K598" s="190"/>
      <c r="L598" s="183"/>
      <c r="M598" s="134" t="str">
        <f>I463</f>
        <v/>
      </c>
      <c r="N598" s="135" t="str">
        <f>iferror(mround($P463*((VLOOKUP($J598,Sheet1!$D:$N,$G598+1,FALSE)-0.03)),2.5)," ")</f>
        <v> </v>
      </c>
      <c r="O598" s="135" t="str">
        <f>iferror(mround($P463*((VLOOKUP($J598,Sheet1!$D:$N,$G598+1,FALSE)+0.02)),2.5)," ")</f>
        <v> </v>
      </c>
      <c r="P598" s="112" t="str">
        <f>iferror(mround(I598/VLOOKUP(L598,Sheet1!$D$7:$N$16,G598+1,FALSE),2.5),"")</f>
        <v/>
      </c>
      <c r="Q598" s="303" t="str">
        <f t="shared" si="17"/>
        <v/>
      </c>
      <c r="R598" s="214"/>
      <c r="S598" s="11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</row>
    <row r="599" ht="3.75" hidden="1" customHeight="1">
      <c r="A599" s="191"/>
      <c r="B599" s="6"/>
      <c r="C599" s="192"/>
      <c r="D599" s="138"/>
      <c r="E599" s="223"/>
      <c r="F599" s="194"/>
      <c r="G599" s="194"/>
      <c r="H599" s="155"/>
      <c r="I599" s="210"/>
      <c r="J599" s="216"/>
      <c r="K599" s="222"/>
      <c r="L599" s="143"/>
      <c r="M599" s="144"/>
      <c r="N599" s="145"/>
      <c r="O599" s="145"/>
      <c r="P599" s="122"/>
      <c r="Q599" s="304" t="str">
        <f t="shared" si="17"/>
        <v/>
      </c>
      <c r="R599" s="214"/>
      <c r="S599" s="157"/>
      <c r="T599" s="5"/>
      <c r="U599" s="5"/>
      <c r="V599" s="158"/>
      <c r="W599" s="158"/>
      <c r="X599" s="158"/>
      <c r="Y599" s="158"/>
      <c r="Z599" s="158"/>
      <c r="AA599" s="158"/>
      <c r="AB599" s="158"/>
      <c r="AC599" s="158"/>
      <c r="AD599" s="158"/>
      <c r="AE599" s="158"/>
      <c r="AF599" s="158"/>
      <c r="AG599" s="158"/>
    </row>
    <row r="600" ht="15.75" hidden="1" customHeight="1">
      <c r="A600" s="90"/>
      <c r="B600" s="6"/>
      <c r="C600" s="90"/>
      <c r="D600" s="185"/>
      <c r="E600" s="186"/>
      <c r="F600" s="187"/>
      <c r="G600" s="187"/>
      <c r="H600" s="195"/>
      <c r="I600" s="164"/>
      <c r="J600" s="189"/>
      <c r="K600" s="190"/>
      <c r="L600" s="183"/>
      <c r="M600" s="134" t="str">
        <f>I465</f>
        <v/>
      </c>
      <c r="N600" s="135" t="str">
        <f>iferror(mround($P465*((VLOOKUP($J600,Sheet1!$D:$N,$G600+1,FALSE)-0.03)),2.5)," ")</f>
        <v> </v>
      </c>
      <c r="O600" s="135" t="str">
        <f>iferror(mround($P465*((VLOOKUP($J600,Sheet1!$D:$N,$G600+1,FALSE)+0.02)),2.5)," ")</f>
        <v> </v>
      </c>
      <c r="P600" s="112" t="str">
        <f>iferror(mround(I600/VLOOKUP(L600,Sheet1!$D$7:$N$16,G600+1,FALSE),2.5),"")</f>
        <v/>
      </c>
      <c r="Q600" s="303" t="str">
        <f t="shared" si="17"/>
        <v/>
      </c>
      <c r="R600" s="214"/>
      <c r="S600" s="11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</row>
    <row r="601" ht="3.75" hidden="1" customHeight="1">
      <c r="A601" s="90"/>
      <c r="B601" s="6"/>
      <c r="C601" s="90"/>
      <c r="D601" s="138"/>
      <c r="E601" s="184"/>
      <c r="F601" s="102"/>
      <c r="G601" s="102"/>
      <c r="H601" s="102"/>
      <c r="I601" s="102"/>
      <c r="J601" s="156"/>
      <c r="K601" s="222"/>
      <c r="L601" s="143"/>
      <c r="M601" s="144"/>
      <c r="N601" s="145"/>
      <c r="O601" s="145"/>
      <c r="P601" s="122"/>
      <c r="Q601" s="304" t="str">
        <f t="shared" si="17"/>
        <v/>
      </c>
      <c r="R601" s="214"/>
      <c r="S601" s="11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</row>
    <row r="602" ht="15.75" hidden="1" customHeight="1">
      <c r="A602" s="90"/>
      <c r="B602" s="6"/>
      <c r="C602" s="90"/>
      <c r="D602" s="185"/>
      <c r="E602" s="224"/>
      <c r="F602" s="187"/>
      <c r="G602" s="187"/>
      <c r="H602" s="195"/>
      <c r="I602" s="164"/>
      <c r="J602" s="189"/>
      <c r="K602" s="190"/>
      <c r="L602" s="183"/>
      <c r="M602" s="134" t="str">
        <f>I467</f>
        <v/>
      </c>
      <c r="N602" s="135" t="str">
        <f>iferror(mround($P467*((VLOOKUP($J602,Sheet1!$D:$N,$G602+1,FALSE)-0.03)),2.5)," ")</f>
        <v> </v>
      </c>
      <c r="O602" s="135" t="str">
        <f>iferror(mround($P467*((VLOOKUP($J602,Sheet1!$D:$N,$G602+1,FALSE)+0.02)),2.5)," ")</f>
        <v> </v>
      </c>
      <c r="P602" s="112" t="str">
        <f>iferror(mround(I602/VLOOKUP(L602,Sheet1!$D$7:$N$16,G602+1,FALSE),2.5),"")</f>
        <v/>
      </c>
      <c r="Q602" s="303" t="str">
        <f t="shared" si="17"/>
        <v/>
      </c>
      <c r="R602" s="214"/>
      <c r="S602" s="11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</row>
    <row r="603" ht="3.75" hidden="1" customHeight="1">
      <c r="A603" s="191"/>
      <c r="B603" s="6"/>
      <c r="C603" s="192"/>
      <c r="D603" s="138"/>
      <c r="E603" s="193"/>
      <c r="F603" s="194"/>
      <c r="G603" s="194"/>
      <c r="H603" s="155"/>
      <c r="I603" s="210"/>
      <c r="J603" s="216"/>
      <c r="K603" s="222"/>
      <c r="L603" s="143"/>
      <c r="M603" s="144"/>
      <c r="N603" s="145"/>
      <c r="O603" s="145"/>
      <c r="P603" s="122"/>
      <c r="Q603" s="304" t="str">
        <f t="shared" si="17"/>
        <v/>
      </c>
      <c r="R603" s="214"/>
      <c r="S603" s="157"/>
      <c r="T603" s="5"/>
      <c r="U603" s="5"/>
      <c r="V603" s="158"/>
      <c r="W603" s="158"/>
      <c r="X603" s="158"/>
      <c r="Y603" s="158"/>
      <c r="Z603" s="158"/>
      <c r="AA603" s="158"/>
      <c r="AB603" s="158"/>
      <c r="AC603" s="158"/>
      <c r="AD603" s="158"/>
      <c r="AE603" s="158"/>
      <c r="AF603" s="158"/>
      <c r="AG603" s="158"/>
    </row>
    <row r="604" ht="15.75" hidden="1" customHeight="1">
      <c r="A604" s="90"/>
      <c r="B604" s="6"/>
      <c r="C604" s="90"/>
      <c r="D604" s="185"/>
      <c r="E604" s="186"/>
      <c r="F604" s="187"/>
      <c r="G604" s="187"/>
      <c r="H604" s="195"/>
      <c r="I604" s="164"/>
      <c r="J604" s="189"/>
      <c r="K604" s="190"/>
      <c r="L604" s="183"/>
      <c r="M604" s="134" t="str">
        <f>I469</f>
        <v/>
      </c>
      <c r="N604" s="135" t="str">
        <f>iferror(mround($P469*((VLOOKUP($J604,Sheet1!$D:$N,$G604+1,FALSE)-0.03)),2.5)," ")</f>
        <v> </v>
      </c>
      <c r="O604" s="135" t="str">
        <f>iferror(mround($P469*((VLOOKUP($J604,Sheet1!$D:$N,$G604+1,FALSE)+0.02)),2.5)," ")</f>
        <v> </v>
      </c>
      <c r="P604" s="112" t="str">
        <f>iferror(mround(I604/VLOOKUP(L604,Sheet1!$D$7:$N$16,G604+1,FALSE),2.5),"")</f>
        <v/>
      </c>
      <c r="Q604" s="303" t="str">
        <f t="shared" si="17"/>
        <v/>
      </c>
      <c r="R604" s="214"/>
      <c r="S604" s="11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</row>
    <row r="605" ht="3.75" hidden="1" customHeight="1">
      <c r="A605" s="90"/>
      <c r="B605" s="6"/>
      <c r="C605" s="90"/>
      <c r="D605" s="196"/>
      <c r="E605" s="184"/>
      <c r="F605" s="102"/>
      <c r="G605" s="102"/>
      <c r="H605" s="102"/>
      <c r="I605" s="102"/>
      <c r="J605" s="156"/>
      <c r="K605" s="222"/>
      <c r="L605" s="143"/>
      <c r="M605" s="144"/>
      <c r="N605" s="145"/>
      <c r="O605" s="145"/>
      <c r="P605" s="122"/>
      <c r="Q605" s="304" t="str">
        <f t="shared" si="17"/>
        <v/>
      </c>
      <c r="R605" s="214"/>
      <c r="S605" s="11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</row>
    <row r="606" ht="15.75" hidden="1" customHeight="1">
      <c r="A606" s="90"/>
      <c r="B606" s="6"/>
      <c r="C606" s="90"/>
      <c r="D606" s="197"/>
      <c r="E606" s="198"/>
      <c r="F606" s="199"/>
      <c r="G606" s="187"/>
      <c r="H606" s="195"/>
      <c r="I606" s="164"/>
      <c r="J606" s="189"/>
      <c r="K606" s="190"/>
      <c r="L606" s="183"/>
      <c r="M606" s="134" t="str">
        <f>I471</f>
        <v/>
      </c>
      <c r="N606" s="135" t="str">
        <f>iferror(mround($P471*((VLOOKUP($J606,Sheet1!$D:$N,$G606+1,FALSE)-0.03)),2.5)," ")</f>
        <v> </v>
      </c>
      <c r="O606" s="135" t="str">
        <f>iferror(mround($P471*((VLOOKUP($J606,Sheet1!$D:$N,$G606+1,FALSE)+0.02)),2.5)," ")</f>
        <v> </v>
      </c>
      <c r="P606" s="112" t="str">
        <f>iferror(mround(I606/VLOOKUP(L606,Sheet1!$D$7:$N$16,G606+1,FALSE),2.5),"")</f>
        <v/>
      </c>
      <c r="Q606" s="303" t="str">
        <f t="shared" si="17"/>
        <v/>
      </c>
      <c r="R606" s="214"/>
      <c r="S606" s="11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</row>
    <row r="607" ht="3.75" hidden="1" customHeight="1">
      <c r="A607" s="90"/>
      <c r="B607" s="6"/>
      <c r="C607" s="90"/>
      <c r="D607" s="90"/>
      <c r="E607" s="156"/>
      <c r="F607" s="102"/>
      <c r="G607" s="102"/>
      <c r="H607" s="102"/>
      <c r="I607" s="102"/>
      <c r="J607" s="156"/>
      <c r="K607" s="222"/>
      <c r="L607" s="201"/>
      <c r="M607" s="211"/>
      <c r="N607" s="47"/>
      <c r="O607" s="47"/>
      <c r="P607" s="122"/>
      <c r="Q607" s="304" t="str">
        <f t="shared" si="17"/>
        <v/>
      </c>
      <c r="R607" s="214"/>
      <c r="S607" s="11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</row>
    <row r="608" ht="30.75" customHeight="1">
      <c r="A608" s="90"/>
      <c r="B608" s="6"/>
      <c r="C608" s="90"/>
      <c r="D608" s="202" t="s">
        <v>49</v>
      </c>
      <c r="E608" s="105" t="s">
        <v>89</v>
      </c>
      <c r="F608" s="106" t="s">
        <v>16</v>
      </c>
      <c r="G608" s="106" t="s">
        <v>17</v>
      </c>
      <c r="H608" s="107"/>
      <c r="I608" s="106" t="s">
        <v>18</v>
      </c>
      <c r="J608" s="108" t="s">
        <v>19</v>
      </c>
      <c r="L608" s="109" t="s">
        <v>20</v>
      </c>
      <c r="M608" s="110" t="s">
        <v>21</v>
      </c>
      <c r="N608" s="111" t="s">
        <v>22</v>
      </c>
      <c r="P608" s="112"/>
      <c r="Q608" s="113" t="s">
        <v>23</v>
      </c>
      <c r="R608" s="114" t="s">
        <v>50</v>
      </c>
      <c r="S608" s="11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</row>
    <row r="609" ht="14.25" customHeight="1">
      <c r="A609" s="90"/>
      <c r="B609" s="6"/>
      <c r="C609" s="90"/>
      <c r="D609" s="116">
        <v>4.0</v>
      </c>
      <c r="E609" s="117">
        <v>3.0</v>
      </c>
      <c r="H609" s="107"/>
      <c r="N609" s="111" t="s">
        <v>27</v>
      </c>
      <c r="O609" s="111" t="s">
        <v>28</v>
      </c>
      <c r="P609" s="112" t="s">
        <v>29</v>
      </c>
      <c r="R609" s="118" t="s">
        <v>30</v>
      </c>
      <c r="S609" s="11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</row>
    <row r="610" ht="3.75" customHeight="1">
      <c r="A610" s="191"/>
      <c r="B610" s="6"/>
      <c r="C610" s="192"/>
      <c r="D610" s="203"/>
      <c r="E610" s="203"/>
      <c r="F610" s="205"/>
      <c r="G610" s="205"/>
      <c r="H610" s="205"/>
      <c r="I610" s="225"/>
      <c r="J610" s="226"/>
      <c r="K610" s="209"/>
      <c r="L610" s="210"/>
      <c r="M610" s="211"/>
      <c r="N610" s="47"/>
      <c r="O610" s="47"/>
      <c r="P610" s="122"/>
      <c r="Q610" s="304" t="str">
        <f t="shared" ref="Q610:Q630" si="18">IF(OR(ISBLANK(I610), ISBLANK(I475)), "", IF(I610 - I475 = 0, "", I610 - I475))</f>
        <v/>
      </c>
      <c r="R610" s="212"/>
      <c r="S610" s="157"/>
      <c r="T610" s="5"/>
      <c r="U610" s="5"/>
      <c r="V610" s="158"/>
      <c r="W610" s="158"/>
      <c r="X610" s="158"/>
      <c r="Y610" s="158"/>
      <c r="Z610" s="158"/>
      <c r="AA610" s="158"/>
      <c r="AB610" s="158"/>
      <c r="AC610" s="158"/>
      <c r="AD610" s="158"/>
      <c r="AE610" s="158"/>
      <c r="AF610" s="158"/>
      <c r="AG610" s="158"/>
    </row>
    <row r="611" ht="15.75" customHeight="1">
      <c r="A611" s="124"/>
      <c r="B611" s="6"/>
      <c r="C611" s="124"/>
      <c r="D611" s="125" t="s">
        <v>90</v>
      </c>
      <c r="E611" s="126"/>
      <c r="F611" s="127">
        <v>1.0</v>
      </c>
      <c r="G611" s="240">
        <v>5.0</v>
      </c>
      <c r="H611" s="129"/>
      <c r="I611" s="130">
        <v>365.0</v>
      </c>
      <c r="J611" s="151">
        <v>6.0</v>
      </c>
      <c r="K611" s="213"/>
      <c r="L611" s="133">
        <v>6.0</v>
      </c>
      <c r="M611" s="134">
        <f>I476</f>
        <v>430</v>
      </c>
      <c r="N611" s="135">
        <f>iferror(mround($P476*((VLOOKUP($J611,Sheet1!$D:$N,$G611+1,FALSE)-0.03)),2.5)," ")</f>
        <v>377.5</v>
      </c>
      <c r="O611" s="135">
        <f>iferror(mround($P476*((VLOOKUP($J611,Sheet1!$D:$N,$G611+1,FALSE)+0.02)),2.5)," ")</f>
        <v>402.5</v>
      </c>
      <c r="P611" s="112">
        <f>iferror(mround(I611/VLOOKUP(L611,Sheet1!$D$7:$N$16,G611+1,FALSE),2.5),"")</f>
        <v>477.5</v>
      </c>
      <c r="Q611" s="303">
        <f t="shared" si="18"/>
        <v>-65</v>
      </c>
      <c r="R611" s="214"/>
      <c r="S611" s="11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</row>
    <row r="612" ht="3.75" customHeight="1">
      <c r="A612" s="124"/>
      <c r="B612" s="6"/>
      <c r="C612" s="124"/>
      <c r="D612" s="138"/>
      <c r="E612" s="139"/>
      <c r="F612" s="140"/>
      <c r="G612" s="140"/>
      <c r="H612" s="140"/>
      <c r="I612" s="140"/>
      <c r="J612" s="141"/>
      <c r="K612" s="217"/>
      <c r="L612" s="218"/>
      <c r="M612" s="144"/>
      <c r="N612" s="145"/>
      <c r="O612" s="145"/>
      <c r="P612" s="122"/>
      <c r="Q612" s="304" t="str">
        <f t="shared" si="18"/>
        <v/>
      </c>
      <c r="R612" s="214"/>
      <c r="S612" s="11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</row>
    <row r="613" ht="15.75" customHeight="1">
      <c r="A613" s="90"/>
      <c r="B613" s="6"/>
      <c r="C613" s="90"/>
      <c r="D613" s="125" t="s">
        <v>77</v>
      </c>
      <c r="E613" s="126"/>
      <c r="F613" s="127">
        <v>2.0</v>
      </c>
      <c r="G613" s="240">
        <v>4.0</v>
      </c>
      <c r="H613" s="129"/>
      <c r="I613" s="164">
        <f>MROUND(I611*(1+J613),5)</f>
        <v>330</v>
      </c>
      <c r="J613" s="165">
        <v>-0.1</v>
      </c>
      <c r="K613" s="213"/>
      <c r="L613" s="133">
        <v>5.0</v>
      </c>
      <c r="M613" s="134">
        <f>I478</f>
        <v>380</v>
      </c>
      <c r="N613" s="135" t="str">
        <f>iferror(mround($P478*((VLOOKUP($J613,Sheet1!$D:$N,$G613+1,FALSE)-0.03)),2.5)," ")</f>
        <v> </v>
      </c>
      <c r="O613" s="135" t="str">
        <f>iferror(mround($P478*((VLOOKUP($J613,Sheet1!$D:$N,$G613+1,FALSE)+0.02)),2.5)," ")</f>
        <v> </v>
      </c>
      <c r="P613" s="112" t="str">
        <f>iferror(mround(I613/VLOOKUP(L613,Sheet1!$D$7:$N$16,G613+1,FALSE),2.5),"")</f>
        <v/>
      </c>
      <c r="Q613" s="303">
        <f t="shared" si="18"/>
        <v>-50</v>
      </c>
      <c r="R613" s="214"/>
      <c r="S613" s="11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</row>
    <row r="614" ht="3.75" customHeight="1">
      <c r="A614" s="90"/>
      <c r="B614" s="6"/>
      <c r="C614" s="90"/>
      <c r="D614" s="138"/>
      <c r="E614" s="215"/>
      <c r="F614" s="102"/>
      <c r="G614" s="102"/>
      <c r="H614" s="102"/>
      <c r="I614" s="102"/>
      <c r="J614" s="156"/>
      <c r="K614" s="217"/>
      <c r="L614" s="218"/>
      <c r="M614" s="144"/>
      <c r="N614" s="145"/>
      <c r="O614" s="145"/>
      <c r="P614" s="122"/>
      <c r="Q614" s="304" t="str">
        <f t="shared" si="18"/>
        <v/>
      </c>
      <c r="R614" s="214"/>
      <c r="S614" s="11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</row>
    <row r="615" ht="15.75" customHeight="1">
      <c r="A615" s="90"/>
      <c r="B615" s="6"/>
      <c r="C615" s="90"/>
      <c r="D615" s="159" t="s">
        <v>33</v>
      </c>
      <c r="E615" s="160" t="s">
        <v>34</v>
      </c>
      <c r="F615" s="127">
        <v>3.0</v>
      </c>
      <c r="G615" s="161">
        <v>2.0</v>
      </c>
      <c r="H615" s="129"/>
      <c r="I615" s="130">
        <v>255.0</v>
      </c>
      <c r="J615" s="151">
        <v>6.0</v>
      </c>
      <c r="K615" s="219" t="s">
        <v>91</v>
      </c>
      <c r="L615" s="183"/>
      <c r="M615" s="134">
        <f>I480</f>
        <v>285</v>
      </c>
      <c r="N615" s="135">
        <f>iferror(mround($P480*((VLOOKUP($J615,Sheet1!$D:$N,$G615+1,FALSE)-0.03)),2.5)," ")</f>
        <v>267.5</v>
      </c>
      <c r="O615" s="135">
        <f>iferror(mround($P480*((VLOOKUP($J615,Sheet1!$D:$N,$G615+1,FALSE)+0.02)),2.5)," ")</f>
        <v>285</v>
      </c>
      <c r="P615" s="112" t="str">
        <f>iferror(mround(I615/VLOOKUP(L615,Sheet1!$D$7:$N$16,G615+1,FALSE),2.5),"")</f>
        <v/>
      </c>
      <c r="Q615" s="303">
        <f t="shared" si="18"/>
        <v>-30</v>
      </c>
      <c r="R615" s="214"/>
      <c r="S615" s="11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</row>
    <row r="616" ht="3.75" customHeight="1">
      <c r="A616" s="90"/>
      <c r="B616" s="6"/>
      <c r="C616" s="90"/>
      <c r="D616" s="138"/>
      <c r="E616" s="154"/>
      <c r="F616" s="155"/>
      <c r="G616" s="102"/>
      <c r="H616" s="102"/>
      <c r="I616" s="102"/>
      <c r="J616" s="156"/>
      <c r="K616" s="217"/>
      <c r="L616" s="218"/>
      <c r="M616" s="144"/>
      <c r="N616" s="145"/>
      <c r="O616" s="145"/>
      <c r="P616" s="122"/>
      <c r="Q616" s="304" t="str">
        <f t="shared" si="18"/>
        <v/>
      </c>
      <c r="R616" s="214"/>
      <c r="S616" s="11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</row>
    <row r="617" ht="15.75" customHeight="1">
      <c r="A617" s="90"/>
      <c r="B617" s="6"/>
      <c r="C617" s="90"/>
      <c r="D617" s="159" t="s">
        <v>45</v>
      </c>
      <c r="E617" s="220"/>
      <c r="F617" s="127">
        <v>2.0</v>
      </c>
      <c r="G617" s="127" t="s">
        <v>41</v>
      </c>
      <c r="H617" s="195"/>
      <c r="I617" s="164"/>
      <c r="J617" s="151"/>
      <c r="K617" s="213"/>
      <c r="L617" s="183"/>
      <c r="M617" s="134" t="str">
        <f>I482</f>
        <v/>
      </c>
      <c r="N617" s="135" t="str">
        <f>iferror(mround($P482*((VLOOKUP($J617,Sheet1!$D:$N,$G617+1,FALSE)-0.03)),2.5)," ")</f>
        <v> </v>
      </c>
      <c r="O617" s="135" t="str">
        <f>iferror(mround($P482*((VLOOKUP($J617,Sheet1!$D:$N,$G617+1,FALSE)+0.02)),2.5)," ")</f>
        <v> </v>
      </c>
      <c r="P617" s="112" t="str">
        <f>iferror(mround(I617/VLOOKUP(L617,Sheet1!$D$7:$N$16,G617+1,FALSE),2.5),"")</f>
        <v/>
      </c>
      <c r="Q617" s="303" t="str">
        <f t="shared" si="18"/>
        <v/>
      </c>
      <c r="R617" s="214"/>
      <c r="S617" s="11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</row>
    <row r="618" ht="3.75" customHeight="1">
      <c r="A618" s="90"/>
      <c r="B618" s="6"/>
      <c r="C618" s="90"/>
      <c r="D618" s="138"/>
      <c r="E618" s="215"/>
      <c r="F618" s="102"/>
      <c r="G618" s="102"/>
      <c r="H618" s="102"/>
      <c r="I618" s="102"/>
      <c r="J618" s="156"/>
      <c r="K618" s="217"/>
      <c r="L618" s="218"/>
      <c r="M618" s="144"/>
      <c r="N618" s="145"/>
      <c r="O618" s="145"/>
      <c r="P618" s="122"/>
      <c r="Q618" s="304" t="str">
        <f t="shared" si="18"/>
        <v/>
      </c>
      <c r="R618" s="214"/>
      <c r="S618" s="11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</row>
    <row r="619" ht="15.75" customHeight="1">
      <c r="A619" s="90"/>
      <c r="B619" s="6"/>
      <c r="C619" s="90"/>
      <c r="D619" s="159" t="s">
        <v>94</v>
      </c>
      <c r="E619" s="220"/>
      <c r="F619" s="127">
        <v>2.0</v>
      </c>
      <c r="G619" s="221">
        <v>45641.0</v>
      </c>
      <c r="H619" s="195"/>
      <c r="I619" s="130">
        <v>15.0</v>
      </c>
      <c r="J619" s="151">
        <v>9.0</v>
      </c>
      <c r="K619" s="213"/>
      <c r="L619" s="133">
        <v>9.0</v>
      </c>
      <c r="M619" s="134" t="str">
        <f>I484</f>
        <v/>
      </c>
      <c r="N619" s="135" t="str">
        <f>iferror(mround($P484*((VLOOKUP($J619,Sheet1!$D:$N,$G619+1,FALSE)-0.03)),2.5)," ")</f>
        <v> </v>
      </c>
      <c r="O619" s="135" t="str">
        <f>iferror(mround($P484*((VLOOKUP($J619,Sheet1!$D:$N,$G619+1,FALSE)+0.02)),2.5)," ")</f>
        <v> </v>
      </c>
      <c r="P619" s="112" t="str">
        <f>iferror(mround(I619/VLOOKUP(L619,Sheet1!$D$7:$N$16,G619+1,FALSE),2.5),"")</f>
        <v/>
      </c>
      <c r="Q619" s="303" t="str">
        <f t="shared" si="18"/>
        <v/>
      </c>
      <c r="R619" s="214"/>
      <c r="S619" s="11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</row>
    <row r="620" ht="3.75" customHeight="1">
      <c r="A620" s="90"/>
      <c r="B620" s="6"/>
      <c r="C620" s="90"/>
      <c r="D620" s="138"/>
      <c r="E620" s="215"/>
      <c r="F620" s="102"/>
      <c r="G620" s="102"/>
      <c r="H620" s="102"/>
      <c r="I620" s="102"/>
      <c r="J620" s="156"/>
      <c r="K620" s="222"/>
      <c r="L620" s="218"/>
      <c r="M620" s="144"/>
      <c r="N620" s="145"/>
      <c r="O620" s="145"/>
      <c r="P620" s="122"/>
      <c r="Q620" s="304" t="str">
        <f t="shared" si="18"/>
        <v/>
      </c>
      <c r="R620" s="214"/>
      <c r="S620" s="11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</row>
    <row r="621" ht="15.75" hidden="1" customHeight="1">
      <c r="A621" s="90"/>
      <c r="B621" s="6"/>
      <c r="C621" s="90"/>
      <c r="D621" s="185"/>
      <c r="E621" s="220"/>
      <c r="F621" s="187"/>
      <c r="G621" s="229"/>
      <c r="H621" s="195"/>
      <c r="I621" s="164"/>
      <c r="J621" s="189"/>
      <c r="K621" s="190"/>
      <c r="L621" s="183"/>
      <c r="M621" s="134" t="str">
        <f>I486</f>
        <v/>
      </c>
      <c r="N621" s="135" t="str">
        <f>iferror(mround($P486*((VLOOKUP($J621,Sheet1!$D:$N,$G621+1,FALSE)-0.03)),2.5)," ")</f>
        <v> </v>
      </c>
      <c r="O621" s="135" t="str">
        <f>iferror(mround($P486*((VLOOKUP($J621,Sheet1!$D:$N,$G621+1,FALSE)+0.02)),2.5)," ")</f>
        <v> </v>
      </c>
      <c r="P621" s="112" t="str">
        <f>iferror(mround(I621/VLOOKUP(L621,Sheet1!$D$7:$N$16,G621+1,FALSE),2.5),"")</f>
        <v/>
      </c>
      <c r="Q621" s="303" t="str">
        <f t="shared" si="18"/>
        <v/>
      </c>
      <c r="R621" s="214"/>
      <c r="S621" s="11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</row>
    <row r="622" ht="3.75" hidden="1" customHeight="1">
      <c r="A622" s="90"/>
      <c r="B622" s="6"/>
      <c r="C622" s="90"/>
      <c r="D622" s="138"/>
      <c r="E622" s="215"/>
      <c r="F622" s="102"/>
      <c r="G622" s="102"/>
      <c r="H622" s="102"/>
      <c r="I622" s="102"/>
      <c r="J622" s="216"/>
      <c r="K622" s="222"/>
      <c r="L622" s="218"/>
      <c r="M622" s="144"/>
      <c r="N622" s="145"/>
      <c r="O622" s="145"/>
      <c r="P622" s="122"/>
      <c r="Q622" s="304" t="str">
        <f t="shared" si="18"/>
        <v/>
      </c>
      <c r="R622" s="214"/>
      <c r="S622" s="11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</row>
    <row r="623" ht="15.75" hidden="1" customHeight="1">
      <c r="A623" s="90"/>
      <c r="B623" s="6"/>
      <c r="C623" s="90"/>
      <c r="D623" s="185"/>
      <c r="E623" s="220"/>
      <c r="F623" s="187"/>
      <c r="G623" s="229"/>
      <c r="H623" s="195"/>
      <c r="I623" s="164"/>
      <c r="J623" s="189"/>
      <c r="K623" s="190"/>
      <c r="L623" s="183"/>
      <c r="M623" s="134" t="str">
        <f>I488</f>
        <v/>
      </c>
      <c r="N623" s="135" t="str">
        <f>iferror(mround($P488*((VLOOKUP($J623,Sheet1!$D:$N,$G623+1,FALSE)-0.03)),2.5)," ")</f>
        <v> </v>
      </c>
      <c r="O623" s="135" t="str">
        <f>iferror(mround($P488*((VLOOKUP($J623,Sheet1!$D:$N,$G623+1,FALSE)+0.02)),2.5)," ")</f>
        <v> </v>
      </c>
      <c r="P623" s="112" t="str">
        <f>iferror(mround(I623/VLOOKUP(L623,Sheet1!$D$7:$N$16,G623+1,FALSE),2.5),"")</f>
        <v/>
      </c>
      <c r="Q623" s="303" t="str">
        <f t="shared" si="18"/>
        <v/>
      </c>
      <c r="R623" s="214"/>
      <c r="S623" s="11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</row>
    <row r="624" ht="3.75" hidden="1" customHeight="1">
      <c r="A624" s="191"/>
      <c r="B624" s="6"/>
      <c r="C624" s="192"/>
      <c r="D624" s="138"/>
      <c r="E624" s="184"/>
      <c r="F624" s="102"/>
      <c r="G624" s="102"/>
      <c r="H624" s="102"/>
      <c r="I624" s="102"/>
      <c r="J624" s="156"/>
      <c r="K624" s="222"/>
      <c r="L624" s="218"/>
      <c r="M624" s="144"/>
      <c r="N624" s="145"/>
      <c r="O624" s="145"/>
      <c r="P624" s="122"/>
      <c r="Q624" s="304" t="str">
        <f t="shared" si="18"/>
        <v/>
      </c>
      <c r="R624" s="214"/>
      <c r="S624" s="157"/>
      <c r="T624" s="5"/>
      <c r="U624" s="5"/>
      <c r="V624" s="158"/>
      <c r="W624" s="158"/>
      <c r="X624" s="158"/>
      <c r="Y624" s="158"/>
      <c r="Z624" s="158"/>
      <c r="AA624" s="158"/>
      <c r="AB624" s="158"/>
      <c r="AC624" s="158"/>
      <c r="AD624" s="158"/>
      <c r="AE624" s="158"/>
      <c r="AF624" s="158"/>
      <c r="AG624" s="158"/>
    </row>
    <row r="625" ht="15.75" hidden="1" customHeight="1">
      <c r="A625" s="90"/>
      <c r="B625" s="6"/>
      <c r="C625" s="90"/>
      <c r="D625" s="185"/>
      <c r="E625" s="224"/>
      <c r="F625" s="187"/>
      <c r="G625" s="187"/>
      <c r="H625" s="195"/>
      <c r="I625" s="164"/>
      <c r="J625" s="230"/>
      <c r="K625" s="190"/>
      <c r="L625" s="183"/>
      <c r="M625" s="134" t="str">
        <f>I490</f>
        <v/>
      </c>
      <c r="N625" s="135" t="str">
        <f>iferror(mround($P490*((VLOOKUP($J625,Sheet1!$D:$N,$G625+1,FALSE)-0.03)),2.5)," ")</f>
        <v> </v>
      </c>
      <c r="O625" s="135" t="str">
        <f>iferror(mround($P490*((VLOOKUP($J625,Sheet1!$D:$N,$G625+1,FALSE)+0.02)),2.5)," ")</f>
        <v> </v>
      </c>
      <c r="P625" s="112" t="str">
        <f>iferror(mround(I625/VLOOKUP(L625,Sheet1!$D$7:$N$16,G625+1,FALSE),2.5),"")</f>
        <v/>
      </c>
      <c r="Q625" s="303" t="str">
        <f t="shared" si="18"/>
        <v/>
      </c>
      <c r="R625" s="214"/>
      <c r="S625" s="11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</row>
    <row r="626" ht="3.75" hidden="1" customHeight="1">
      <c r="A626" s="90"/>
      <c r="B626" s="6"/>
      <c r="C626" s="90"/>
      <c r="D626" s="138"/>
      <c r="E626" s="184"/>
      <c r="F626" s="102"/>
      <c r="G626" s="102"/>
      <c r="H626" s="102"/>
      <c r="I626" s="102"/>
      <c r="J626" s="156"/>
      <c r="K626" s="222"/>
      <c r="L626" s="218"/>
      <c r="M626" s="144"/>
      <c r="N626" s="145"/>
      <c r="O626" s="145"/>
      <c r="P626" s="122"/>
      <c r="Q626" s="304" t="str">
        <f t="shared" si="18"/>
        <v/>
      </c>
      <c r="R626" s="214"/>
      <c r="S626" s="11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</row>
    <row r="627" ht="15.75" hidden="1" customHeight="1">
      <c r="A627" s="90"/>
      <c r="B627" s="6"/>
      <c r="C627" s="90"/>
      <c r="D627" s="231"/>
      <c r="E627" s="232"/>
      <c r="F627" s="187"/>
      <c r="G627" s="187"/>
      <c r="H627" s="195"/>
      <c r="I627" s="164"/>
      <c r="J627" s="230"/>
      <c r="K627" s="190"/>
      <c r="L627" s="183"/>
      <c r="M627" s="134" t="str">
        <f>I492</f>
        <v/>
      </c>
      <c r="N627" s="135" t="str">
        <f>iferror(mround($P492*((VLOOKUP($J627,Sheet1!$D:$N,$G627+1,FALSE)-0.03)),2.5)," ")</f>
        <v> </v>
      </c>
      <c r="O627" s="135" t="str">
        <f>iferror(mround($P492*((VLOOKUP($J627,Sheet1!$D:$N,$G627+1,FALSE)+0.02)),2.5)," ")</f>
        <v> </v>
      </c>
      <c r="P627" s="112" t="str">
        <f>iferror(mround(I627/VLOOKUP(L627,Sheet1!$D$7:$N$16,G627+1,FALSE),2.5),"")</f>
        <v/>
      </c>
      <c r="Q627" s="303" t="str">
        <f t="shared" si="18"/>
        <v/>
      </c>
      <c r="R627" s="214"/>
      <c r="S627" s="11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</row>
    <row r="628" ht="3.75" hidden="1" customHeight="1">
      <c r="A628" s="191"/>
      <c r="B628" s="6"/>
      <c r="C628" s="233"/>
      <c r="D628" s="234"/>
      <c r="E628" s="235"/>
      <c r="F628" s="236"/>
      <c r="G628" s="194"/>
      <c r="H628" s="155"/>
      <c r="I628" s="210"/>
      <c r="J628" s="216"/>
      <c r="K628" s="222"/>
      <c r="L628" s="218"/>
      <c r="M628" s="144"/>
      <c r="N628" s="145"/>
      <c r="O628" s="145"/>
      <c r="P628" s="122"/>
      <c r="Q628" s="304" t="str">
        <f t="shared" si="18"/>
        <v/>
      </c>
      <c r="R628" s="214"/>
      <c r="S628" s="157"/>
      <c r="T628" s="5"/>
      <c r="U628" s="5"/>
      <c r="V628" s="158"/>
      <c r="W628" s="158"/>
      <c r="X628" s="158"/>
      <c r="Y628" s="158"/>
      <c r="Z628" s="158"/>
      <c r="AA628" s="158"/>
      <c r="AB628" s="158"/>
      <c r="AC628" s="158"/>
      <c r="AD628" s="158"/>
      <c r="AE628" s="158"/>
      <c r="AF628" s="158"/>
      <c r="AG628" s="158"/>
    </row>
    <row r="629" ht="15.75" hidden="1" customHeight="1">
      <c r="A629" s="90"/>
      <c r="B629" s="6"/>
      <c r="C629" s="90"/>
      <c r="D629" s="197"/>
      <c r="E629" s="198"/>
      <c r="F629" s="199"/>
      <c r="G629" s="187"/>
      <c r="H629" s="195"/>
      <c r="I629" s="164"/>
      <c r="J629" s="189"/>
      <c r="K629" s="190"/>
      <c r="L629" s="183"/>
      <c r="M629" s="134" t="str">
        <f>I494</f>
        <v/>
      </c>
      <c r="N629" s="135" t="str">
        <f>iferror(mround($P494*((VLOOKUP($J629,Sheet1!$D:$N,$G629+1,FALSE)-0.03)),2.5)," ")</f>
        <v> </v>
      </c>
      <c r="O629" s="135" t="str">
        <f>iferror(mround($P494*((VLOOKUP($J629,Sheet1!$D:$N,$G629+1,FALSE)+0.02)),2.5)," ")</f>
        <v> </v>
      </c>
      <c r="P629" s="112" t="str">
        <f>iferror(mround(I629/VLOOKUP(L629,Sheet1!$D$7:$N$16,G629+1,FALSE),2.5),"")</f>
        <v/>
      </c>
      <c r="Q629" s="303" t="str">
        <f t="shared" si="18"/>
        <v/>
      </c>
      <c r="R629" s="214"/>
      <c r="S629" s="11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</row>
    <row r="630" ht="3.75" customHeight="1">
      <c r="A630" s="90"/>
      <c r="B630" s="6"/>
      <c r="C630" s="90"/>
      <c r="D630" s="90"/>
      <c r="E630" s="156"/>
      <c r="F630" s="102"/>
      <c r="G630" s="102"/>
      <c r="H630" s="102"/>
      <c r="I630" s="102"/>
      <c r="J630" s="156"/>
      <c r="K630" s="200"/>
      <c r="L630" s="201"/>
      <c r="M630" s="211"/>
      <c r="N630" s="47"/>
      <c r="O630" s="47"/>
      <c r="P630" s="122"/>
      <c r="Q630" s="304" t="str">
        <f t="shared" si="18"/>
        <v/>
      </c>
      <c r="R630" s="214"/>
      <c r="S630" s="11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</row>
    <row r="631" ht="30.0" customHeight="1">
      <c r="A631" s="90"/>
      <c r="B631" s="6"/>
      <c r="C631" s="90"/>
      <c r="D631" s="202" t="s">
        <v>55</v>
      </c>
      <c r="E631" s="105" t="s">
        <v>117</v>
      </c>
      <c r="F631" s="106" t="s">
        <v>16</v>
      </c>
      <c r="G631" s="106" t="s">
        <v>17</v>
      </c>
      <c r="H631" s="107"/>
      <c r="I631" s="106" t="s">
        <v>18</v>
      </c>
      <c r="J631" s="108" t="s">
        <v>19</v>
      </c>
      <c r="L631" s="109" t="s">
        <v>20</v>
      </c>
      <c r="M631" s="110" t="s">
        <v>21</v>
      </c>
      <c r="N631" s="111" t="s">
        <v>22</v>
      </c>
      <c r="P631" s="112"/>
      <c r="Q631" s="113" t="s">
        <v>23</v>
      </c>
      <c r="R631" s="114" t="s">
        <v>56</v>
      </c>
      <c r="S631" s="11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</row>
    <row r="632" ht="14.25" customHeight="1">
      <c r="A632" s="90"/>
      <c r="B632" s="6"/>
      <c r="C632" s="90"/>
      <c r="D632" s="257" t="s">
        <v>25</v>
      </c>
      <c r="E632" s="117">
        <v>2.0</v>
      </c>
      <c r="H632" s="107"/>
      <c r="N632" s="111" t="s">
        <v>27</v>
      </c>
      <c r="O632" s="111" t="s">
        <v>28</v>
      </c>
      <c r="P632" s="112" t="s">
        <v>29</v>
      </c>
      <c r="R632" s="118" t="s">
        <v>30</v>
      </c>
      <c r="S632" s="11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</row>
    <row r="633" ht="3.75" customHeight="1">
      <c r="A633" s="191"/>
      <c r="B633" s="6"/>
      <c r="C633" s="192"/>
      <c r="D633" s="203"/>
      <c r="E633" s="204"/>
      <c r="F633" s="205"/>
      <c r="G633" s="205"/>
      <c r="H633" s="205"/>
      <c r="I633" s="225"/>
      <c r="J633" s="237"/>
      <c r="K633" s="209"/>
      <c r="L633" s="238"/>
      <c r="M633" s="211"/>
      <c r="N633" s="47"/>
      <c r="O633" s="47"/>
      <c r="P633" s="122"/>
      <c r="Q633" s="304" t="str">
        <f t="shared" ref="Q633:Q653" si="19">IF(OR(ISBLANK(I633), ISBLANK(I498)), "", IF(I633 - I498 = 0, "", I633 - I498))</f>
        <v/>
      </c>
      <c r="R633" s="239"/>
      <c r="S633" s="157"/>
      <c r="T633" s="5"/>
      <c r="U633" s="5"/>
      <c r="V633" s="158"/>
      <c r="W633" s="158"/>
      <c r="X633" s="158"/>
      <c r="Y633" s="158"/>
      <c r="Z633" s="158"/>
      <c r="AA633" s="158"/>
      <c r="AB633" s="158"/>
      <c r="AC633" s="158"/>
      <c r="AD633" s="158"/>
      <c r="AE633" s="158"/>
      <c r="AF633" s="158"/>
      <c r="AG633" s="158"/>
    </row>
    <row r="634" ht="15.75" customHeight="1">
      <c r="A634" s="124"/>
      <c r="B634" s="6"/>
      <c r="C634" s="124"/>
      <c r="D634" s="125" t="s">
        <v>97</v>
      </c>
      <c r="E634" s="126"/>
      <c r="F634" s="127">
        <v>1.0</v>
      </c>
      <c r="G634" s="240">
        <v>4.0</v>
      </c>
      <c r="H634" s="129"/>
      <c r="I634" s="130">
        <v>441.0</v>
      </c>
      <c r="J634" s="151">
        <v>6.0</v>
      </c>
      <c r="K634" s="241"/>
      <c r="L634" s="130">
        <v>5.0</v>
      </c>
      <c r="M634" s="134">
        <f>I499</f>
        <v>518</v>
      </c>
      <c r="N634" s="135">
        <f>iferror(mround($P499*((VLOOKUP($J634,Sheet1!$D:$N,$G634+1,FALSE)-0.03)),2.5)," ")</f>
        <v>475</v>
      </c>
      <c r="O634" s="135">
        <f>iferror(mround($P499*((VLOOKUP($J634,Sheet1!$D:$N,$G634+1,FALSE)+0.02)),2.5)," ")</f>
        <v>507.5</v>
      </c>
      <c r="P634" s="112" t="str">
        <f>iferror(mround(I634/VLOOKUP(L634,Sheet1!$D$7:$N$16,G634+1,FALSE),2.5),"")</f>
        <v/>
      </c>
      <c r="Q634" s="303">
        <f t="shared" si="19"/>
        <v>-77</v>
      </c>
      <c r="R634" s="242"/>
      <c r="S634" s="11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</row>
    <row r="635" ht="3.75" customHeight="1">
      <c r="A635" s="124"/>
      <c r="B635" s="6"/>
      <c r="C635" s="124"/>
      <c r="D635" s="138"/>
      <c r="E635" s="139"/>
      <c r="F635" s="140"/>
      <c r="G635" s="140"/>
      <c r="H635" s="140"/>
      <c r="I635" s="140"/>
      <c r="J635" s="141"/>
      <c r="K635" s="243"/>
      <c r="L635" s="210"/>
      <c r="M635" s="144"/>
      <c r="N635" s="145"/>
      <c r="O635" s="145"/>
      <c r="P635" s="122"/>
      <c r="Q635" s="304" t="str">
        <f t="shared" si="19"/>
        <v/>
      </c>
      <c r="R635" s="242"/>
      <c r="S635" s="11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</row>
    <row r="636" ht="15.0" customHeight="1">
      <c r="A636" s="124"/>
      <c r="B636" s="6"/>
      <c r="C636" s="124"/>
      <c r="D636" s="125" t="s">
        <v>97</v>
      </c>
      <c r="E636" s="126"/>
      <c r="F636" s="127">
        <v>2.0</v>
      </c>
      <c r="G636" s="240">
        <v>4.0</v>
      </c>
      <c r="H636" s="129"/>
      <c r="I636" s="164">
        <f>MROUND(I634*(1+J636),5)</f>
        <v>395</v>
      </c>
      <c r="J636" s="165">
        <v>-0.1</v>
      </c>
      <c r="K636" s="241"/>
      <c r="L636" s="164"/>
      <c r="M636" s="134">
        <f>I501</f>
        <v>452</v>
      </c>
      <c r="N636" s="135" t="str">
        <f>iferror(mround($P501*((VLOOKUP($J636,Sheet1!$D:$N,$G636+1,FALSE)-0.03)),2.5)," ")</f>
        <v> </v>
      </c>
      <c r="O636" s="135" t="str">
        <f>iferror(mround($P501*((VLOOKUP($J636,Sheet1!$D:$N,$G636+1,FALSE)+0.02)),2.5)," ")</f>
        <v> </v>
      </c>
      <c r="P636" s="112" t="str">
        <f>iferror(mround(I636/VLOOKUP(L636,Sheet1!$D$7:$N$16,G636+1,FALSE),2.5),"")</f>
        <v/>
      </c>
      <c r="Q636" s="303">
        <f t="shared" si="19"/>
        <v>-57</v>
      </c>
      <c r="R636" s="242"/>
      <c r="S636" s="11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</row>
    <row r="637" ht="3.75" customHeight="1">
      <c r="A637" s="124"/>
      <c r="B637" s="6"/>
      <c r="C637" s="124"/>
      <c r="D637" s="138"/>
      <c r="E637" s="215"/>
      <c r="F637" s="102"/>
      <c r="G637" s="102"/>
      <c r="H637" s="102"/>
      <c r="I637" s="102"/>
      <c r="J637" s="156"/>
      <c r="K637" s="243"/>
      <c r="L637" s="210"/>
      <c r="M637" s="144"/>
      <c r="N637" s="145"/>
      <c r="O637" s="145"/>
      <c r="P637" s="122"/>
      <c r="Q637" s="304" t="str">
        <f t="shared" si="19"/>
        <v/>
      </c>
      <c r="R637" s="242"/>
      <c r="S637" s="11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</row>
    <row r="638" ht="15.75" customHeight="1">
      <c r="A638" s="124"/>
      <c r="B638" s="6"/>
      <c r="C638" s="124"/>
      <c r="D638" s="159" t="s">
        <v>33</v>
      </c>
      <c r="E638" s="126"/>
      <c r="F638" s="127">
        <v>1.0</v>
      </c>
      <c r="G638" s="161">
        <v>1.0</v>
      </c>
      <c r="H638" s="129"/>
      <c r="I638" s="130">
        <v>292.0</v>
      </c>
      <c r="J638" s="189">
        <v>6.0</v>
      </c>
      <c r="K638" s="244" t="s">
        <v>98</v>
      </c>
      <c r="L638" s="130">
        <v>6.0</v>
      </c>
      <c r="M638" s="134">
        <f>I503</f>
        <v>342</v>
      </c>
      <c r="N638" s="135">
        <f>iferror(mround($P503*((VLOOKUP($J638,Sheet1!$D:$N,$G638+1,FALSE)-0.03)),2.5)," ")</f>
        <v>302.5</v>
      </c>
      <c r="O638" s="135">
        <f>iferror(mround($P503*((VLOOKUP($J638,Sheet1!$D:$N,$G638+1,FALSE)+0.02)),2.5)," ")</f>
        <v>320</v>
      </c>
      <c r="P638" s="112">
        <f>iferror(mround(I638/VLOOKUP(L638,Sheet1!$D$7:$N$16,G638+1,FALSE),2.5),"")</f>
        <v>337.5</v>
      </c>
      <c r="Q638" s="303">
        <f t="shared" si="19"/>
        <v>-50</v>
      </c>
      <c r="R638" s="242"/>
      <c r="S638" s="11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</row>
    <row r="639" ht="3.75" customHeight="1">
      <c r="A639" s="124"/>
      <c r="B639" s="6"/>
      <c r="C639" s="124"/>
      <c r="D639" s="138"/>
      <c r="E639" s="154"/>
      <c r="F639" s="155"/>
      <c r="G639" s="102"/>
      <c r="H639" s="102"/>
      <c r="I639" s="102"/>
      <c r="J639" s="156"/>
      <c r="K639" s="243"/>
      <c r="L639" s="210"/>
      <c r="M639" s="144"/>
      <c r="N639" s="145"/>
      <c r="O639" s="145"/>
      <c r="P639" s="122"/>
      <c r="Q639" s="304" t="str">
        <f t="shared" si="19"/>
        <v/>
      </c>
      <c r="R639" s="242"/>
      <c r="S639" s="11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</row>
    <row r="640" ht="15.75" customHeight="1">
      <c r="A640" s="124"/>
      <c r="B640" s="6"/>
      <c r="C640" s="124"/>
      <c r="D640" s="159" t="s">
        <v>33</v>
      </c>
      <c r="E640" s="126"/>
      <c r="F640" s="127">
        <v>3.0</v>
      </c>
      <c r="G640" s="161">
        <v>3.0</v>
      </c>
      <c r="H640" s="129"/>
      <c r="I640" s="130">
        <v>265.0</v>
      </c>
      <c r="J640" s="151">
        <v>6.0</v>
      </c>
      <c r="K640" s="241" t="s">
        <v>91</v>
      </c>
      <c r="L640" s="164"/>
      <c r="M640" s="134" t="str">
        <f>I505</f>
        <v/>
      </c>
      <c r="N640" s="135">
        <f>iferror(mround($P505*((VLOOKUP($J640,Sheet1!$D:$N,$G640+1,FALSE)-0.03)),2.5)," ")</f>
        <v>0</v>
      </c>
      <c r="O640" s="135">
        <f>iferror(mround($P505*((VLOOKUP($J640,Sheet1!$D:$N,$G640+1,FALSE)+0.02)),2.5)," ")</f>
        <v>0</v>
      </c>
      <c r="P640" s="112" t="str">
        <f>iferror(mround(I640/VLOOKUP(L640,Sheet1!$D$7:$N$16,G640+1,FALSE),2.5),"")</f>
        <v/>
      </c>
      <c r="Q640" s="303" t="str">
        <f t="shared" si="19"/>
        <v/>
      </c>
      <c r="R640" s="242"/>
      <c r="S640" s="11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</row>
    <row r="641" ht="3.75" customHeight="1">
      <c r="A641" s="90"/>
      <c r="B641" s="6"/>
      <c r="C641" s="90"/>
      <c r="D641" s="138"/>
      <c r="E641" s="245"/>
      <c r="F641" s="102"/>
      <c r="G641" s="102"/>
      <c r="H641" s="102"/>
      <c r="I641" s="102"/>
      <c r="J641" s="156"/>
      <c r="K641" s="243"/>
      <c r="L641" s="210"/>
      <c r="M641" s="144"/>
      <c r="N641" s="145"/>
      <c r="O641" s="145"/>
      <c r="P641" s="122"/>
      <c r="Q641" s="304" t="str">
        <f t="shared" si="19"/>
        <v/>
      </c>
      <c r="R641" s="242"/>
      <c r="S641" s="11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</row>
    <row r="642" ht="15.75" customHeight="1">
      <c r="A642" s="90"/>
      <c r="B642" s="6"/>
      <c r="C642" s="90"/>
      <c r="D642" s="159" t="s">
        <v>54</v>
      </c>
      <c r="E642" s="227"/>
      <c r="F642" s="127">
        <v>2.0</v>
      </c>
      <c r="G642" s="221">
        <v>45577.0</v>
      </c>
      <c r="H642" s="195"/>
      <c r="I642" s="164"/>
      <c r="J642" s="228">
        <v>8.0</v>
      </c>
      <c r="K642" s="241"/>
      <c r="L642" s="164"/>
      <c r="M642" s="134" t="str">
        <f>I507</f>
        <v/>
      </c>
      <c r="N642" s="135" t="str">
        <f>iferror(mround($P507*((VLOOKUP($J642,Sheet1!$D:$N,$G642+1,FALSE)-0.03)),2.5)," ")</f>
        <v> </v>
      </c>
      <c r="O642" s="135" t="str">
        <f>iferror(mround($P507*((VLOOKUP($J642,Sheet1!$D:$N,$G642+1,FALSE)+0.02)),2.5)," ")</f>
        <v> </v>
      </c>
      <c r="P642" s="112" t="str">
        <f>iferror(mround(I642/VLOOKUP(L642,Sheet1!$D$7:$N$16,G642+1,FALSE),2.5),"")</f>
        <v/>
      </c>
      <c r="Q642" s="303" t="str">
        <f t="shared" si="19"/>
        <v/>
      </c>
      <c r="R642" s="242"/>
      <c r="S642" s="11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</row>
    <row r="643" ht="3.75" customHeight="1">
      <c r="A643" s="191"/>
      <c r="B643" s="6"/>
      <c r="C643" s="192"/>
      <c r="D643" s="138"/>
      <c r="E643" s="245"/>
      <c r="F643" s="102"/>
      <c r="G643" s="102"/>
      <c r="H643" s="102"/>
      <c r="I643" s="102"/>
      <c r="J643" s="156"/>
      <c r="K643" s="243"/>
      <c r="L643" s="210"/>
      <c r="M643" s="144"/>
      <c r="N643" s="145"/>
      <c r="O643" s="145"/>
      <c r="P643" s="122"/>
      <c r="Q643" s="304" t="str">
        <f t="shared" si="19"/>
        <v/>
      </c>
      <c r="R643" s="242"/>
      <c r="S643" s="157"/>
      <c r="T643" s="5"/>
      <c r="U643" s="5"/>
      <c r="V643" s="158"/>
      <c r="W643" s="158"/>
      <c r="X643" s="158"/>
      <c r="Y643" s="158"/>
      <c r="Z643" s="158"/>
      <c r="AA643" s="158"/>
      <c r="AB643" s="158"/>
      <c r="AC643" s="158"/>
      <c r="AD643" s="158"/>
      <c r="AE643" s="158"/>
      <c r="AF643" s="158"/>
      <c r="AG643" s="158"/>
    </row>
    <row r="644" ht="15.75" customHeight="1">
      <c r="A644" s="90"/>
      <c r="B644" s="6"/>
      <c r="C644" s="90"/>
      <c r="D644" s="159" t="s">
        <v>99</v>
      </c>
      <c r="E644" s="246" t="s">
        <v>100</v>
      </c>
      <c r="F644" s="127">
        <v>3.0</v>
      </c>
      <c r="G644" s="221">
        <v>45577.0</v>
      </c>
      <c r="H644" s="195"/>
      <c r="I644" s="164"/>
      <c r="J644" s="228">
        <v>9.0</v>
      </c>
      <c r="K644" s="241"/>
      <c r="L644" s="164"/>
      <c r="M644" s="134" t="str">
        <f>I509</f>
        <v/>
      </c>
      <c r="N644" s="135" t="str">
        <f>iferror(mround($P509*((VLOOKUP($J644,Sheet1!$D:$N,$G644+1,FALSE)-0.03)),2.5)," ")</f>
        <v> </v>
      </c>
      <c r="O644" s="135" t="str">
        <f>iferror(mround($P509*((VLOOKUP($J644,Sheet1!$D:$N,$G644+1,FALSE)+0.02)),2.5)," ")</f>
        <v> </v>
      </c>
      <c r="P644" s="112" t="str">
        <f>iferror(mround(I644/VLOOKUP(L644,Sheet1!$D$7:$N$16,G644+1,FALSE),2.5),"")</f>
        <v/>
      </c>
      <c r="Q644" s="303" t="str">
        <f t="shared" si="19"/>
        <v/>
      </c>
      <c r="R644" s="242"/>
      <c r="S644" s="11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</row>
    <row r="645" ht="3.75" customHeight="1">
      <c r="A645" s="90"/>
      <c r="B645" s="6"/>
      <c r="C645" s="90"/>
      <c r="D645" s="138"/>
      <c r="E645" s="245"/>
      <c r="F645" s="102"/>
      <c r="G645" s="102"/>
      <c r="H645" s="102"/>
      <c r="I645" s="102"/>
      <c r="J645" s="156"/>
      <c r="K645" s="243"/>
      <c r="L645" s="210"/>
      <c r="M645" s="144"/>
      <c r="N645" s="145"/>
      <c r="O645" s="145"/>
      <c r="P645" s="122"/>
      <c r="Q645" s="304" t="str">
        <f t="shared" si="19"/>
        <v/>
      </c>
      <c r="R645" s="242"/>
      <c r="S645" s="11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</row>
    <row r="646" ht="15.75" hidden="1" customHeight="1">
      <c r="A646" s="90"/>
      <c r="B646" s="6"/>
      <c r="C646" s="90"/>
      <c r="D646" s="185"/>
      <c r="E646" s="227"/>
      <c r="F646" s="187"/>
      <c r="G646" s="229"/>
      <c r="H646" s="195"/>
      <c r="I646" s="247"/>
      <c r="J646" s="248"/>
      <c r="K646" s="241"/>
      <c r="L646" s="164"/>
      <c r="M646" s="134" t="str">
        <f>I511</f>
        <v/>
      </c>
      <c r="N646" s="135" t="str">
        <f>iferror(mround($P511*((VLOOKUP($J646,Sheet1!$D:$N,$G646+1,FALSE)-0.03)),2.5)," ")</f>
        <v> </v>
      </c>
      <c r="O646" s="135" t="str">
        <f>iferror(mround($P511*((VLOOKUP($J646,Sheet1!$D:$N,$G646+1,FALSE)+0.02)),2.5)," ")</f>
        <v> </v>
      </c>
      <c r="P646" s="112" t="str">
        <f>iferror(mround(I646/VLOOKUP(L646,Sheet1!$D$7:$N$16,G646+1,FALSE),2.5),"")</f>
        <v/>
      </c>
      <c r="Q646" s="303" t="str">
        <f t="shared" si="19"/>
        <v/>
      </c>
      <c r="R646" s="242"/>
      <c r="S646" s="11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</row>
    <row r="647" ht="3.75" hidden="1" customHeight="1">
      <c r="A647" s="90"/>
      <c r="B647" s="6"/>
      <c r="C647" s="90"/>
      <c r="D647" s="138"/>
      <c r="E647" s="215"/>
      <c r="F647" s="102"/>
      <c r="G647" s="102"/>
      <c r="H647" s="102"/>
      <c r="I647" s="102"/>
      <c r="J647" s="156"/>
      <c r="K647" s="243"/>
      <c r="L647" s="210"/>
      <c r="M647" s="144"/>
      <c r="N647" s="145"/>
      <c r="O647" s="145"/>
      <c r="P647" s="122"/>
      <c r="Q647" s="304" t="str">
        <f t="shared" si="19"/>
        <v/>
      </c>
      <c r="R647" s="242"/>
      <c r="S647" s="11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</row>
    <row r="648" ht="15.75" hidden="1" customHeight="1">
      <c r="A648" s="90"/>
      <c r="B648" s="6"/>
      <c r="C648" s="90"/>
      <c r="D648" s="185"/>
      <c r="E648" s="220"/>
      <c r="F648" s="187"/>
      <c r="G648" s="229"/>
      <c r="H648" s="195"/>
      <c r="I648" s="247"/>
      <c r="J648" s="248"/>
      <c r="K648" s="241"/>
      <c r="L648" s="164"/>
      <c r="M648" s="134" t="str">
        <f>I513</f>
        <v/>
      </c>
      <c r="N648" s="135" t="str">
        <f>iferror(mround($P513*((VLOOKUP($J648,Sheet1!$D:$N,$G648+1,FALSE)-0.03)),2.5)," ")</f>
        <v> </v>
      </c>
      <c r="O648" s="135" t="str">
        <f>iferror(mround($P513*((VLOOKUP($J648,Sheet1!$D:$N,$G648+1,FALSE)+0.02)),2.5)," ")</f>
        <v> </v>
      </c>
      <c r="P648" s="112" t="str">
        <f>iferror(mround(I648/VLOOKUP(L648,Sheet1!$D$7:$N$16,G648+1,FALSE),2.5),"")</f>
        <v/>
      </c>
      <c r="Q648" s="303" t="str">
        <f t="shared" si="19"/>
        <v/>
      </c>
      <c r="R648" s="242"/>
      <c r="S648" s="11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</row>
    <row r="649" ht="3.75" hidden="1" customHeight="1">
      <c r="A649" s="90"/>
      <c r="B649" s="6"/>
      <c r="C649" s="90"/>
      <c r="D649" s="196"/>
      <c r="E649" s="184"/>
      <c r="F649" s="102"/>
      <c r="G649" s="102"/>
      <c r="H649" s="102"/>
      <c r="I649" s="102"/>
      <c r="J649" s="156"/>
      <c r="K649" s="249"/>
      <c r="L649" s="210"/>
      <c r="M649" s="144"/>
      <c r="N649" s="145"/>
      <c r="O649" s="145"/>
      <c r="P649" s="122"/>
      <c r="Q649" s="304" t="str">
        <f t="shared" si="19"/>
        <v/>
      </c>
      <c r="R649" s="242"/>
      <c r="S649" s="11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</row>
    <row r="650" ht="15.75" hidden="1" customHeight="1">
      <c r="A650" s="90"/>
      <c r="B650" s="6"/>
      <c r="C650" s="90"/>
      <c r="D650" s="197"/>
      <c r="E650" s="250"/>
      <c r="F650" s="129"/>
      <c r="G650" s="199"/>
      <c r="H650" s="195"/>
      <c r="I650" s="247"/>
      <c r="J650" s="248"/>
      <c r="K650" s="251"/>
      <c r="L650" s="164"/>
      <c r="M650" s="134" t="str">
        <f>I515</f>
        <v/>
      </c>
      <c r="N650" s="135" t="str">
        <f>iferror(mround($P515*((VLOOKUP($J650,Sheet1!$D:$N,$G650+1,FALSE)-0.03)),2.5)," ")</f>
        <v> </v>
      </c>
      <c r="O650" s="135" t="str">
        <f>iferror(mround($P515*((VLOOKUP($J650,Sheet1!$D:$N,$G650+1,FALSE)+0.02)),2.5)," ")</f>
        <v> </v>
      </c>
      <c r="P650" s="112" t="str">
        <f>iferror(mround(I650/VLOOKUP(L650,Sheet1!$D$7:$N$16,G650+1,FALSE),2.5),"")</f>
        <v/>
      </c>
      <c r="Q650" s="303" t="str">
        <f t="shared" si="19"/>
        <v/>
      </c>
      <c r="R650" s="242"/>
      <c r="S650" s="11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</row>
    <row r="651" ht="3.75" hidden="1" customHeight="1">
      <c r="A651" s="90"/>
      <c r="B651" s="6"/>
      <c r="C651" s="90"/>
      <c r="D651" s="234"/>
      <c r="E651" s="184"/>
      <c r="F651" s="102"/>
      <c r="G651" s="102"/>
      <c r="H651" s="102"/>
      <c r="I651" s="102"/>
      <c r="J651" s="156"/>
      <c r="K651" s="249"/>
      <c r="L651" s="210"/>
      <c r="M651" s="144"/>
      <c r="N651" s="145"/>
      <c r="O651" s="145"/>
      <c r="P651" s="122"/>
      <c r="Q651" s="304" t="str">
        <f t="shared" si="19"/>
        <v/>
      </c>
      <c r="R651" s="242"/>
      <c r="S651" s="11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</row>
    <row r="652" ht="15.75" hidden="1" customHeight="1">
      <c r="A652" s="90"/>
      <c r="B652" s="6"/>
      <c r="C652" s="90"/>
      <c r="D652" s="197"/>
      <c r="E652" s="198"/>
      <c r="F652" s="129"/>
      <c r="G652" s="199"/>
      <c r="H652" s="195"/>
      <c r="I652" s="164"/>
      <c r="J652" s="248"/>
      <c r="K652" s="251"/>
      <c r="L652" s="164"/>
      <c r="M652" s="134" t="str">
        <f>I517</f>
        <v/>
      </c>
      <c r="N652" s="135" t="str">
        <f>iferror(mround($P517*((VLOOKUP($J652,Sheet1!$D:$N,$G652+1,FALSE)-0.03)),2.5)," ")</f>
        <v> </v>
      </c>
      <c r="O652" s="135" t="str">
        <f>iferror(mround($P517*((VLOOKUP($J652,Sheet1!$D:$N,$G652+1,FALSE)+0.02)),2.5)," ")</f>
        <v> </v>
      </c>
      <c r="P652" s="112" t="str">
        <f>iferror(mround(I652/VLOOKUP(L652,Sheet1!$D$7:$N$16,G652+1,FALSE),2.5),"")</f>
        <v/>
      </c>
      <c r="Q652" s="303" t="str">
        <f t="shared" si="19"/>
        <v/>
      </c>
      <c r="R652" s="242"/>
      <c r="S652" s="11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</row>
    <row r="653" ht="3.75" hidden="1" customHeight="1">
      <c r="A653" s="124"/>
      <c r="B653" s="6"/>
      <c r="C653" s="124"/>
      <c r="D653" s="252"/>
      <c r="E653" s="252"/>
      <c r="F653" s="102"/>
      <c r="G653" s="102"/>
      <c r="H653" s="102"/>
      <c r="I653" s="102"/>
      <c r="J653" s="156"/>
      <c r="K653" s="253"/>
      <c r="L653" s="201"/>
      <c r="M653" s="211"/>
      <c r="N653" s="47"/>
      <c r="O653" s="47"/>
      <c r="P653" s="122"/>
      <c r="Q653" s="304" t="str">
        <f t="shared" si="19"/>
        <v/>
      </c>
      <c r="R653" s="242"/>
      <c r="S653" s="11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</row>
    <row r="654" ht="30.75" hidden="1" customHeight="1">
      <c r="A654" s="90"/>
      <c r="B654" s="6"/>
      <c r="C654" s="90"/>
      <c r="D654" s="254" t="s">
        <v>57</v>
      </c>
      <c r="E654" s="255" t="s">
        <v>15</v>
      </c>
      <c r="F654" s="106" t="s">
        <v>16</v>
      </c>
      <c r="G654" s="106" t="s">
        <v>17</v>
      </c>
      <c r="H654" s="107"/>
      <c r="I654" s="106" t="s">
        <v>18</v>
      </c>
      <c r="J654" s="108" t="s">
        <v>19</v>
      </c>
      <c r="L654" s="109" t="s">
        <v>20</v>
      </c>
      <c r="M654" s="110" t="s">
        <v>21</v>
      </c>
      <c r="N654" s="111" t="s">
        <v>22</v>
      </c>
      <c r="P654" s="112"/>
      <c r="Q654" s="113" t="s">
        <v>23</v>
      </c>
      <c r="R654" s="256" t="s">
        <v>58</v>
      </c>
      <c r="S654" s="11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</row>
    <row r="655" ht="14.25" hidden="1" customHeight="1">
      <c r="A655" s="90"/>
      <c r="B655" s="6"/>
      <c r="C655" s="90"/>
      <c r="D655" s="257" t="s">
        <v>25</v>
      </c>
      <c r="E655" s="258" t="s">
        <v>26</v>
      </c>
      <c r="H655" s="107"/>
      <c r="N655" s="111" t="s">
        <v>27</v>
      </c>
      <c r="O655" s="111" t="s">
        <v>28</v>
      </c>
      <c r="P655" s="112" t="s">
        <v>29</v>
      </c>
      <c r="R655" s="118" t="s">
        <v>30</v>
      </c>
      <c r="S655" s="11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</row>
    <row r="656" ht="3.75" hidden="1" customHeight="1">
      <c r="A656" s="124"/>
      <c r="B656" s="6"/>
      <c r="C656" s="124"/>
      <c r="D656" s="252"/>
      <c r="E656" s="252"/>
      <c r="F656" s="102"/>
      <c r="G656" s="102"/>
      <c r="H656" s="102"/>
      <c r="I656" s="102"/>
      <c r="J656" s="156"/>
      <c r="K656" s="253"/>
      <c r="L656" s="201"/>
      <c r="M656" s="211"/>
      <c r="N656" s="47"/>
      <c r="O656" s="47"/>
      <c r="P656" s="122"/>
      <c r="Q656" s="304" t="str">
        <f t="shared" ref="Q656:Q679" si="20">IF(OR(ISBLANK(I656), ISBLANK(I521)), "", IF(I656 - I521 = 0, "", I656 - I521))</f>
        <v/>
      </c>
      <c r="R656" s="259"/>
      <c r="S656" s="11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</row>
    <row r="657" ht="14.25" hidden="1" customHeight="1">
      <c r="A657" s="124"/>
      <c r="B657" s="6"/>
      <c r="C657" s="124"/>
      <c r="D657" s="260"/>
      <c r="E657" s="126"/>
      <c r="F657" s="187"/>
      <c r="G657" s="229"/>
      <c r="H657" s="129"/>
      <c r="I657" s="164"/>
      <c r="J657" s="189"/>
      <c r="K657" s="251"/>
      <c r="L657" s="164"/>
      <c r="M657" s="134" t="str">
        <f>I524</f>
        <v/>
      </c>
      <c r="N657" s="135" t="str">
        <f>iferror(mround($P524*((VLOOKUP($J657,Sheet1!$D:$N,$G657+1,FALSE)-0.03)),2.5)," ")</f>
        <v> </v>
      </c>
      <c r="O657" s="135" t="str">
        <f>iferror(mround($P524*((VLOOKUP($J657,Sheet1!$D:$N,$G657+1,FALSE)+0.02)),2.5)," ")</f>
        <v> </v>
      </c>
      <c r="P657" s="56" t="str">
        <f>iferror(mround(I657/VLOOKUP(L657,Sheet1!$D$7:$N$16,G657+1,FALSE),2.5),"")</f>
        <v/>
      </c>
      <c r="Q657" s="303" t="str">
        <f t="shared" si="20"/>
        <v/>
      </c>
      <c r="S657" s="11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</row>
    <row r="658" ht="3.75" hidden="1" customHeight="1">
      <c r="A658" s="124"/>
      <c r="B658" s="6"/>
      <c r="C658" s="124"/>
      <c r="D658" s="138"/>
      <c r="E658" s="215"/>
      <c r="F658" s="102"/>
      <c r="G658" s="102"/>
      <c r="H658" s="102"/>
      <c r="I658" s="102"/>
      <c r="J658" s="156"/>
      <c r="K658" s="249"/>
      <c r="L658" s="210"/>
      <c r="M658" s="144"/>
      <c r="N658" s="145"/>
      <c r="O658" s="145"/>
      <c r="P658" s="122"/>
      <c r="Q658" s="304" t="str">
        <f t="shared" si="20"/>
        <v/>
      </c>
      <c r="S658" s="11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</row>
    <row r="659" ht="14.25" hidden="1" customHeight="1">
      <c r="A659" s="124"/>
      <c r="B659" s="6"/>
      <c r="C659" s="124"/>
      <c r="D659" s="185"/>
      <c r="E659" s="227"/>
      <c r="F659" s="187"/>
      <c r="G659" s="229"/>
      <c r="H659" s="195"/>
      <c r="I659" s="164"/>
      <c r="J659" s="248"/>
      <c r="K659" s="251"/>
      <c r="L659" s="164"/>
      <c r="M659" s="134" t="str">
        <f>I524</f>
        <v/>
      </c>
      <c r="N659" s="135" t="str">
        <f>iferror(mround($P524*((VLOOKUP($J659,Sheet1!$D:$N,$G659+1,FALSE)-0.03)),2.5)," ")</f>
        <v> </v>
      </c>
      <c r="O659" s="135" t="str">
        <f>iferror(mround($P524*((VLOOKUP($J659,Sheet1!$D:$N,$G659+1,FALSE)+0.02)),2.5)," ")</f>
        <v> </v>
      </c>
      <c r="P659" s="112" t="str">
        <f>iferror(mround(I659/VLOOKUP(L659,Sheet1!$D$7:$N$16,G659+1,FALSE),2.5),"")</f>
        <v/>
      </c>
      <c r="Q659" s="303" t="str">
        <f t="shared" si="20"/>
        <v/>
      </c>
      <c r="S659" s="11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</row>
    <row r="660" ht="3.75" hidden="1" customHeight="1">
      <c r="A660" s="124"/>
      <c r="B660" s="6"/>
      <c r="C660" s="124"/>
      <c r="D660" s="138"/>
      <c r="E660" s="245"/>
      <c r="F660" s="102"/>
      <c r="G660" s="102"/>
      <c r="H660" s="102"/>
      <c r="I660" s="102"/>
      <c r="J660" s="156"/>
      <c r="K660" s="249"/>
      <c r="L660" s="210"/>
      <c r="M660" s="144"/>
      <c r="N660" s="145"/>
      <c r="O660" s="145"/>
      <c r="P660" s="122"/>
      <c r="Q660" s="304" t="str">
        <f t="shared" si="20"/>
        <v/>
      </c>
      <c r="S660" s="11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</row>
    <row r="661" ht="14.25" hidden="1" customHeight="1">
      <c r="A661" s="124"/>
      <c r="B661" s="6"/>
      <c r="C661" s="124"/>
      <c r="D661" s="185"/>
      <c r="E661" s="227"/>
      <c r="F661" s="187"/>
      <c r="G661" s="229"/>
      <c r="H661" s="195"/>
      <c r="I661" s="164"/>
      <c r="J661" s="248"/>
      <c r="K661" s="251"/>
      <c r="L661" s="164"/>
      <c r="M661" s="134" t="str">
        <f>I526</f>
        <v/>
      </c>
      <c r="N661" s="135" t="str">
        <f>iferror(mround($P526*((VLOOKUP($J661,Sheet1!$D:$N,$G661+1,FALSE)-0.03)),2.5)," ")</f>
        <v> </v>
      </c>
      <c r="O661" s="135" t="str">
        <f>iferror(mround($P526*((VLOOKUP($J661,Sheet1!$D:$N,$G661+1,FALSE)+0.02)),2.5)," ")</f>
        <v> </v>
      </c>
      <c r="P661" s="112" t="str">
        <f>iferror(mround(I661/VLOOKUP(L661,Sheet1!$D$7:$N$16,G661+1,FALSE),2.5),"")</f>
        <v/>
      </c>
      <c r="Q661" s="303" t="str">
        <f t="shared" si="20"/>
        <v/>
      </c>
      <c r="S661" s="11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</row>
    <row r="662" ht="3.75" hidden="1" customHeight="1">
      <c r="A662" s="124"/>
      <c r="B662" s="6"/>
      <c r="C662" s="124"/>
      <c r="D662" s="138"/>
      <c r="E662" s="245"/>
      <c r="F662" s="102"/>
      <c r="G662" s="102"/>
      <c r="H662" s="102"/>
      <c r="I662" s="102"/>
      <c r="J662" s="156"/>
      <c r="K662" s="249"/>
      <c r="L662" s="210"/>
      <c r="M662" s="144"/>
      <c r="N662" s="145"/>
      <c r="O662" s="145"/>
      <c r="P662" s="122"/>
      <c r="Q662" s="304" t="str">
        <f t="shared" si="20"/>
        <v/>
      </c>
      <c r="S662" s="11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</row>
    <row r="663" ht="14.25" hidden="1" customHeight="1">
      <c r="A663" s="124"/>
      <c r="B663" s="6"/>
      <c r="C663" s="124"/>
      <c r="D663" s="185"/>
      <c r="E663" s="227"/>
      <c r="F663" s="187"/>
      <c r="G663" s="229"/>
      <c r="H663" s="195"/>
      <c r="I663" s="164"/>
      <c r="J663" s="248"/>
      <c r="K663" s="251"/>
      <c r="L663" s="164"/>
      <c r="M663" s="134"/>
      <c r="N663" s="135" t="str">
        <f>iferror(mround($P528*((VLOOKUP($J663,Sheet1!$D:$N,$G663+1,FALSE)-0.03)),2.5)," ")</f>
        <v> </v>
      </c>
      <c r="O663" s="135" t="str">
        <f>iferror(mround($P528*((VLOOKUP($J663,Sheet1!$D:$N,$G663+1,FALSE)+0.02)),2.5)," ")</f>
        <v> </v>
      </c>
      <c r="P663" s="112" t="str">
        <f>iferror(mround(I663/VLOOKUP(L663,Sheet1!$D$7:$N$16,G663+1,FALSE),2.5),"")</f>
        <v/>
      </c>
      <c r="Q663" s="303" t="str">
        <f t="shared" si="20"/>
        <v/>
      </c>
      <c r="S663" s="11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</row>
    <row r="664" ht="3.75" hidden="1" customHeight="1">
      <c r="A664" s="124"/>
      <c r="B664" s="6"/>
      <c r="C664" s="124"/>
      <c r="D664" s="138"/>
      <c r="E664" s="245"/>
      <c r="F664" s="102"/>
      <c r="G664" s="102"/>
      <c r="H664" s="102"/>
      <c r="I664" s="102"/>
      <c r="J664" s="156"/>
      <c r="K664" s="249"/>
      <c r="L664" s="210"/>
      <c r="M664" s="144"/>
      <c r="N664" s="145" t="str">
        <f>iferror(mround($P529*((VLOOKUP($J664,Sheet1!$D:$N,$G664+1,FALSE)-0.03)),2.5)," ")</f>
        <v> </v>
      </c>
      <c r="O664" s="145" t="str">
        <f>iferror(mround($P529*((VLOOKUP($J664,Sheet1!$D:$N,$G664+1,FALSE)+0.02)),2.5)," ")</f>
        <v> </v>
      </c>
      <c r="P664" s="122"/>
      <c r="Q664" s="304" t="str">
        <f t="shared" si="20"/>
        <v/>
      </c>
      <c r="S664" s="11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</row>
    <row r="665" ht="14.25" hidden="1" customHeight="1">
      <c r="A665" s="124"/>
      <c r="B665" s="6"/>
      <c r="C665" s="124"/>
      <c r="D665" s="185"/>
      <c r="E665" s="227"/>
      <c r="F665" s="187"/>
      <c r="G665" s="187"/>
      <c r="H665" s="195"/>
      <c r="I665" s="164"/>
      <c r="J665" s="248"/>
      <c r="K665" s="251"/>
      <c r="L665" s="164"/>
      <c r="M665" s="134" t="str">
        <f>I530</f>
        <v/>
      </c>
      <c r="N665" s="135" t="str">
        <f>iferror(mround($P530*((VLOOKUP($J665,Sheet1!$D:$N,$G665+1,FALSE)-0.03)),2.5)," ")</f>
        <v> </v>
      </c>
      <c r="O665" s="135" t="str">
        <f>iferror(mround($P530*((VLOOKUP($J665,Sheet1!$D:$N,$G665+1,FALSE)+0.02)),2.5)," ")</f>
        <v> </v>
      </c>
      <c r="P665" s="112" t="str">
        <f>iferror(mround(I665/VLOOKUP(L665,Sheet1!$D$7:$N$16,G665+1,FALSE),2.5),"")</f>
        <v/>
      </c>
      <c r="Q665" s="303" t="str">
        <f t="shared" si="20"/>
        <v/>
      </c>
      <c r="S665" s="11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</row>
    <row r="666" ht="3.75" hidden="1" customHeight="1">
      <c r="A666" s="261"/>
      <c r="B666" s="6"/>
      <c r="C666" s="262"/>
      <c r="D666" s="138"/>
      <c r="E666" s="245"/>
      <c r="F666" s="102"/>
      <c r="G666" s="102"/>
      <c r="H666" s="102"/>
      <c r="I666" s="102"/>
      <c r="J666" s="156"/>
      <c r="K666" s="249"/>
      <c r="L666" s="210"/>
      <c r="M666" s="144"/>
      <c r="N666" s="145"/>
      <c r="O666" s="145"/>
      <c r="P666" s="122"/>
      <c r="Q666" s="304" t="str">
        <f t="shared" si="20"/>
        <v/>
      </c>
      <c r="S666" s="157"/>
      <c r="T666" s="5"/>
      <c r="U666" s="5"/>
      <c r="V666" s="158"/>
      <c r="W666" s="158"/>
      <c r="X666" s="158"/>
      <c r="Y666" s="158"/>
      <c r="Z666" s="158"/>
      <c r="AA666" s="158"/>
      <c r="AB666" s="158"/>
      <c r="AC666" s="158"/>
      <c r="AD666" s="158"/>
      <c r="AE666" s="158"/>
      <c r="AF666" s="158"/>
      <c r="AG666" s="158"/>
    </row>
    <row r="667" ht="14.25" hidden="1" customHeight="1">
      <c r="A667" s="124"/>
      <c r="B667" s="6"/>
      <c r="C667" s="124"/>
      <c r="D667" s="185"/>
      <c r="E667" s="227"/>
      <c r="F667" s="187"/>
      <c r="G667" s="187"/>
      <c r="H667" s="195"/>
      <c r="I667" s="164"/>
      <c r="J667" s="248"/>
      <c r="K667" s="251"/>
      <c r="L667" s="164"/>
      <c r="M667" s="134" t="str">
        <f>I532</f>
        <v/>
      </c>
      <c r="N667" s="135" t="str">
        <f>iferror(mround($P532*((VLOOKUP($J667,Sheet1!$D:$N,$G667+1,FALSE)-0.03)),2.5)," ")</f>
        <v> </v>
      </c>
      <c r="O667" s="135" t="str">
        <f>iferror(mround($P532*((VLOOKUP($J667,Sheet1!$D:$N,$G667+1,FALSE)+0.02)),2.5)," ")</f>
        <v> </v>
      </c>
      <c r="P667" s="112" t="str">
        <f>iferror(mround(I667/VLOOKUP(L667,Sheet1!$D$7:$N$16,G667+1,FALSE),2.5),"")</f>
        <v/>
      </c>
      <c r="Q667" s="303" t="str">
        <f t="shared" si="20"/>
        <v/>
      </c>
      <c r="S667" s="11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</row>
    <row r="668" ht="3.75" hidden="1" customHeight="1">
      <c r="A668" s="261"/>
      <c r="B668" s="6"/>
      <c r="C668" s="262"/>
      <c r="D668" s="138"/>
      <c r="E668" s="252"/>
      <c r="F668" s="102"/>
      <c r="G668" s="102"/>
      <c r="H668" s="102"/>
      <c r="I668" s="102"/>
      <c r="J668" s="156"/>
      <c r="K668" s="249"/>
      <c r="L668" s="210"/>
      <c r="M668" s="144"/>
      <c r="N668" s="145"/>
      <c r="O668" s="145"/>
      <c r="P668" s="122"/>
      <c r="Q668" s="304" t="str">
        <f t="shared" si="20"/>
        <v/>
      </c>
      <c r="S668" s="157"/>
      <c r="T668" s="5"/>
      <c r="U668" s="5"/>
      <c r="V668" s="158"/>
      <c r="W668" s="158"/>
      <c r="X668" s="158"/>
      <c r="Y668" s="158"/>
      <c r="Z668" s="158"/>
      <c r="AA668" s="158"/>
      <c r="AB668" s="158"/>
      <c r="AC668" s="158"/>
      <c r="AD668" s="158"/>
      <c r="AE668" s="158"/>
      <c r="AF668" s="158"/>
      <c r="AG668" s="158"/>
    </row>
    <row r="669" ht="15.75" hidden="1" customHeight="1">
      <c r="A669" s="124"/>
      <c r="B669" s="6"/>
      <c r="C669" s="124"/>
      <c r="D669" s="185"/>
      <c r="E669" s="260"/>
      <c r="F669" s="187"/>
      <c r="G669" s="187"/>
      <c r="H669" s="195"/>
      <c r="I669" s="247"/>
      <c r="J669" s="248"/>
      <c r="K669" s="251"/>
      <c r="L669" s="164"/>
      <c r="M669" s="134"/>
      <c r="N669" s="135" t="str">
        <f>iferror(mround($P534*((VLOOKUP($J669,Sheet1!$D:$N,$G669+1,FALSE)-0.03)),2.5)," ")</f>
        <v> </v>
      </c>
      <c r="O669" s="135" t="str">
        <f>iferror(mround($P534*((VLOOKUP($J669,Sheet1!$D:$N,$G669+1,FALSE)+0.02)),2.5)," ")</f>
        <v> </v>
      </c>
      <c r="P669" s="112" t="str">
        <f>iferror(mround(I669/VLOOKUP(L669,Sheet1!$D$7:$N$16,G669+1,FALSE),2.5),"")</f>
        <v/>
      </c>
      <c r="Q669" s="303" t="str">
        <f t="shared" si="20"/>
        <v/>
      </c>
      <c r="S669" s="11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</row>
    <row r="670" ht="3.75" hidden="1" customHeight="1">
      <c r="A670" s="124"/>
      <c r="B670" s="6"/>
      <c r="C670" s="124"/>
      <c r="D670" s="263"/>
      <c r="E670" s="252"/>
      <c r="F670" s="102"/>
      <c r="G670" s="102"/>
      <c r="H670" s="102"/>
      <c r="I670" s="102"/>
      <c r="J670" s="156"/>
      <c r="K670" s="249"/>
      <c r="L670" s="210"/>
      <c r="M670" s="144"/>
      <c r="N670" s="145" t="str">
        <f>iferror(mround($P535*((VLOOKUP($J670,Sheet1!$D:$N,$G670+1,FALSE)-0.03)),2.5)," ")</f>
        <v> </v>
      </c>
      <c r="O670" s="145" t="str">
        <f>iferror(mround($P535*((VLOOKUP($J670,Sheet1!$D:$N,$G670+1,FALSE)+0.02)),2.5)," ")</f>
        <v> </v>
      </c>
      <c r="P670" s="122"/>
      <c r="Q670" s="304" t="str">
        <f t="shared" si="20"/>
        <v/>
      </c>
      <c r="S670" s="11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</row>
    <row r="671" ht="14.25" hidden="1" customHeight="1">
      <c r="A671" s="90"/>
      <c r="B671" s="6"/>
      <c r="C671" s="90"/>
      <c r="D671" s="185"/>
      <c r="E671" s="264"/>
      <c r="F671" s="187"/>
      <c r="G671" s="187"/>
      <c r="H671" s="195"/>
      <c r="I671" s="164"/>
      <c r="J671" s="248"/>
      <c r="K671" s="251"/>
      <c r="L671" s="164"/>
      <c r="M671" s="134" t="str">
        <f>I536</f>
        <v/>
      </c>
      <c r="N671" s="135" t="str">
        <f>iferror(mround($P536*((VLOOKUP($J671,Sheet1!$D:$N,$G671+1,FALSE)-0.03)),2.5)," ")</f>
        <v> </v>
      </c>
      <c r="O671" s="135" t="str">
        <f>iferror(mround($P536*((VLOOKUP($J671,Sheet1!$D:$N,$G671+1,FALSE)+0.02)),2.5)," ")</f>
        <v> </v>
      </c>
      <c r="P671" s="112" t="str">
        <f>iferror(mround(I671/VLOOKUP(L671,Sheet1!$D$7:$N$16,G671+1,FALSE),2.5),"")</f>
        <v/>
      </c>
      <c r="Q671" s="303" t="str">
        <f t="shared" si="20"/>
        <v/>
      </c>
      <c r="S671" s="11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</row>
    <row r="672" ht="3.75" hidden="1" customHeight="1">
      <c r="A672" s="261"/>
      <c r="B672" s="6"/>
      <c r="C672" s="262"/>
      <c r="D672" s="263"/>
      <c r="E672" s="263"/>
      <c r="F672" s="194"/>
      <c r="G672" s="194"/>
      <c r="H672" s="155"/>
      <c r="I672" s="210"/>
      <c r="J672" s="265"/>
      <c r="K672" s="249"/>
      <c r="L672" s="210"/>
      <c r="M672" s="144"/>
      <c r="N672" s="145"/>
      <c r="O672" s="145"/>
      <c r="P672" s="122"/>
      <c r="Q672" s="304" t="str">
        <f t="shared" si="20"/>
        <v/>
      </c>
      <c r="S672" s="157"/>
      <c r="T672" s="5"/>
      <c r="U672" s="5"/>
      <c r="V672" s="158"/>
      <c r="W672" s="158"/>
      <c r="X672" s="158"/>
      <c r="Y672" s="158"/>
      <c r="Z672" s="158"/>
      <c r="AA672" s="158"/>
      <c r="AB672" s="158"/>
      <c r="AC672" s="158"/>
      <c r="AD672" s="158"/>
      <c r="AE672" s="158"/>
      <c r="AF672" s="158"/>
      <c r="AG672" s="158"/>
    </row>
    <row r="673" ht="15.75" hidden="1" customHeight="1">
      <c r="A673" s="90"/>
      <c r="B673" s="6"/>
      <c r="C673" s="90"/>
      <c r="D673" s="185"/>
      <c r="E673" s="266"/>
      <c r="F673" s="187"/>
      <c r="G673" s="187"/>
      <c r="H673" s="195"/>
      <c r="I673" s="164"/>
      <c r="J673" s="248"/>
      <c r="K673" s="251"/>
      <c r="L673" s="164"/>
      <c r="M673" s="134"/>
      <c r="N673" s="135" t="str">
        <f>iferror(mround($P538*((VLOOKUP($J673,Sheet1!$D:$N,$G673+1,FALSE)-0.03)),2.5)," ")</f>
        <v> </v>
      </c>
      <c r="O673" s="135" t="str">
        <f>iferror(mround($P538*((VLOOKUP($J673,Sheet1!$D:$N,$G673+1,FALSE)+0.02)),2.5)," ")</f>
        <v> </v>
      </c>
      <c r="P673" s="112" t="str">
        <f>iferror(mround(I673/VLOOKUP(L673,Sheet1!$D$7:$N$16,G673+1,FALSE),2.5),"")</f>
        <v/>
      </c>
      <c r="Q673" s="303" t="str">
        <f t="shared" si="20"/>
        <v/>
      </c>
      <c r="S673" s="11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</row>
    <row r="674" ht="3.75" hidden="1" customHeight="1">
      <c r="A674" s="90"/>
      <c r="B674" s="6"/>
      <c r="C674" s="90"/>
      <c r="D674" s="138"/>
      <c r="E674" s="252"/>
      <c r="F674" s="102"/>
      <c r="G674" s="102"/>
      <c r="H674" s="102"/>
      <c r="I674" s="102"/>
      <c r="J674" s="156"/>
      <c r="K674" s="249"/>
      <c r="L674" s="210"/>
      <c r="M674" s="144"/>
      <c r="N674" s="145" t="str">
        <f>iferror(mround($P539*((VLOOKUP($J674,Sheet1!$D:$N,$G674+1,FALSE)-0.03)),2.5)," ")</f>
        <v> </v>
      </c>
      <c r="O674" s="145" t="str">
        <f>iferror(mround($P539*((VLOOKUP($J674,Sheet1!$D:$N,$G674+1,FALSE)+0.02)),2.5)," ")</f>
        <v> </v>
      </c>
      <c r="P674" s="122"/>
      <c r="Q674" s="304" t="str">
        <f t="shared" si="20"/>
        <v/>
      </c>
      <c r="S674" s="11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</row>
    <row r="675" ht="15.75" hidden="1" customHeight="1">
      <c r="A675" s="90"/>
      <c r="B675" s="6"/>
      <c r="C675" s="90"/>
      <c r="D675" s="185"/>
      <c r="E675" s="264"/>
      <c r="F675" s="187"/>
      <c r="G675" s="187"/>
      <c r="H675" s="195"/>
      <c r="I675" s="164"/>
      <c r="J675" s="248"/>
      <c r="K675" s="251"/>
      <c r="L675" s="164"/>
      <c r="M675" s="134" t="str">
        <f>I540</f>
        <v/>
      </c>
      <c r="N675" s="135" t="str">
        <f>iferror(mround($P540*((VLOOKUP($J675,Sheet1!$D:$N,$G675+1,FALSE)-0.03)),2.5)," ")</f>
        <v> </v>
      </c>
      <c r="O675" s="135" t="str">
        <f>iferror(mround($P540*((VLOOKUP($J675,Sheet1!$D:$N,$G675+1,FALSE)+0.02)),2.5)," ")</f>
        <v> </v>
      </c>
      <c r="P675" s="112" t="str">
        <f>iferror(mround(I675/VLOOKUP(L675,Sheet1!$D$7:$N$16,G675+1,FALSE),2.5),"")</f>
        <v/>
      </c>
      <c r="Q675" s="303" t="str">
        <f t="shared" si="20"/>
        <v/>
      </c>
      <c r="S675" s="11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</row>
    <row r="676" ht="3.75" hidden="1" customHeight="1">
      <c r="A676" s="191"/>
      <c r="B676" s="6"/>
      <c r="C676" s="192"/>
      <c r="D676" s="138"/>
      <c r="E676" s="252"/>
      <c r="F676" s="102"/>
      <c r="G676" s="102"/>
      <c r="H676" s="102"/>
      <c r="I676" s="102"/>
      <c r="J676" s="156"/>
      <c r="K676" s="249"/>
      <c r="L676" s="210"/>
      <c r="M676" s="144"/>
      <c r="N676" s="145"/>
      <c r="O676" s="145"/>
      <c r="P676" s="122"/>
      <c r="Q676" s="304" t="str">
        <f t="shared" si="20"/>
        <v/>
      </c>
      <c r="S676" s="157"/>
      <c r="T676" s="5"/>
      <c r="U676" s="5"/>
      <c r="V676" s="158"/>
      <c r="W676" s="158"/>
      <c r="X676" s="158"/>
      <c r="Y676" s="158"/>
      <c r="Z676" s="158"/>
      <c r="AA676" s="158"/>
      <c r="AB676" s="158"/>
      <c r="AC676" s="158"/>
      <c r="AD676" s="158"/>
      <c r="AE676" s="158"/>
      <c r="AF676" s="158"/>
      <c r="AG676" s="158"/>
    </row>
    <row r="677" ht="15.75" hidden="1" customHeight="1">
      <c r="A677" s="90"/>
      <c r="B677" s="6"/>
      <c r="C677" s="90"/>
      <c r="D677" s="185"/>
      <c r="E677" s="260"/>
      <c r="F677" s="187"/>
      <c r="G677" s="187"/>
      <c r="H677" s="195"/>
      <c r="I677" s="164"/>
      <c r="J677" s="248"/>
      <c r="K677" s="251"/>
      <c r="L677" s="164"/>
      <c r="M677" s="134" t="str">
        <f>I542</f>
        <v/>
      </c>
      <c r="N677" s="135" t="str">
        <f>iferror(mround($P542*((VLOOKUP($J677,Sheet1!$D:$N,$G677+1,FALSE)-0.03)),2.5)," ")</f>
        <v> </v>
      </c>
      <c r="O677" s="135" t="str">
        <f>iferror(mround($P542*((VLOOKUP($J677,Sheet1!$D:$N,$G677+1,FALSE)+0.02)),2.5)," ")</f>
        <v> </v>
      </c>
      <c r="P677" s="112" t="str">
        <f>iferror(mround(I677/VLOOKUP(L677,Sheet1!$D$7:$N$16,G677+1,FALSE),2.5),"")</f>
        <v/>
      </c>
      <c r="Q677" s="303" t="str">
        <f t="shared" si="20"/>
        <v/>
      </c>
      <c r="S677" s="11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</row>
    <row r="678" ht="3.75" hidden="1" customHeight="1">
      <c r="A678" s="90"/>
      <c r="B678" s="6"/>
      <c r="C678" s="90"/>
      <c r="D678" s="263"/>
      <c r="E678" s="252"/>
      <c r="F678" s="102"/>
      <c r="G678" s="102"/>
      <c r="H678" s="102"/>
      <c r="I678" s="102"/>
      <c r="J678" s="156"/>
      <c r="K678" s="249"/>
      <c r="L678" s="210"/>
      <c r="M678" s="144"/>
      <c r="N678" s="145"/>
      <c r="O678" s="145"/>
      <c r="P678" s="122"/>
      <c r="Q678" s="304" t="str">
        <f t="shared" si="20"/>
        <v/>
      </c>
      <c r="S678" s="11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</row>
    <row r="679" ht="15.75" hidden="1" customHeight="1">
      <c r="A679" s="90"/>
      <c r="B679" s="6"/>
      <c r="C679" s="90"/>
      <c r="D679" s="185"/>
      <c r="E679" s="266"/>
      <c r="F679" s="187"/>
      <c r="G679" s="187"/>
      <c r="H679" s="195"/>
      <c r="I679" s="164"/>
      <c r="J679" s="248"/>
      <c r="K679" s="251"/>
      <c r="L679" s="164"/>
      <c r="M679" s="134" t="str">
        <f>I544</f>
        <v/>
      </c>
      <c r="N679" s="135" t="str">
        <f>iferror(mround($P544*((VLOOKUP($J679,Sheet1!$D:$N,$G679+1,FALSE)-0.03)),2.5)," ")</f>
        <v> </v>
      </c>
      <c r="O679" s="135" t="str">
        <f>iferror(mround($P544*((VLOOKUP($J679,Sheet1!$D:$N,$G679+1,FALSE)+0.02)),2.5)," ")</f>
        <v> </v>
      </c>
      <c r="P679" s="112" t="str">
        <f>iferror(mround(I679/VLOOKUP(L679,Sheet1!$D$7:$N$16,G679+1,FALSE),2.5),"")</f>
        <v/>
      </c>
      <c r="Q679" s="303" t="str">
        <f t="shared" si="20"/>
        <v/>
      </c>
      <c r="S679" s="11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</row>
    <row r="680" ht="3.75" hidden="1" customHeight="1">
      <c r="A680" s="191"/>
      <c r="B680" s="6"/>
      <c r="C680" s="192"/>
      <c r="D680" s="192"/>
      <c r="E680" s="267"/>
      <c r="F680" s="194"/>
      <c r="G680" s="194"/>
      <c r="H680" s="155"/>
      <c r="I680" s="210"/>
      <c r="J680" s="268"/>
      <c r="K680" s="249"/>
      <c r="L680" s="269"/>
      <c r="M680" s="270"/>
      <c r="N680" s="269"/>
      <c r="O680" s="269"/>
      <c r="P680" s="271"/>
      <c r="Q680" s="272"/>
      <c r="R680" s="273"/>
      <c r="S680" s="157"/>
      <c r="T680" s="5"/>
      <c r="U680" s="5"/>
      <c r="V680" s="158"/>
      <c r="W680" s="158"/>
      <c r="X680" s="158"/>
      <c r="Y680" s="158"/>
      <c r="Z680" s="158"/>
      <c r="AA680" s="158"/>
      <c r="AB680" s="158"/>
      <c r="AC680" s="158"/>
      <c r="AD680" s="158"/>
      <c r="AE680" s="158"/>
      <c r="AF680" s="158"/>
      <c r="AG680" s="158"/>
    </row>
    <row r="681" ht="14.25" customHeight="1">
      <c r="A681" s="5"/>
      <c r="B681" s="6"/>
      <c r="C681" s="5"/>
      <c r="D681" s="274"/>
      <c r="E681" s="266"/>
      <c r="F681" s="187"/>
      <c r="G681" s="187"/>
      <c r="H681" s="195"/>
      <c r="I681" s="129"/>
      <c r="J681" s="275"/>
      <c r="K681" s="276"/>
      <c r="L681" s="187"/>
      <c r="M681" s="187"/>
      <c r="N681" s="187"/>
      <c r="O681" s="187"/>
      <c r="P681" s="277"/>
      <c r="Q681" s="278"/>
      <c r="R681" s="279"/>
      <c r="S681" s="11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</row>
    <row r="682" ht="14.25" customHeight="1">
      <c r="A682" s="5"/>
      <c r="B682" s="6"/>
      <c r="C682" s="5"/>
      <c r="D682" s="274" t="s">
        <v>59</v>
      </c>
      <c r="E682" s="266" t="s">
        <v>16</v>
      </c>
      <c r="F682" s="187" t="s">
        <v>17</v>
      </c>
      <c r="G682" s="187" t="s">
        <v>60</v>
      </c>
      <c r="H682" s="187"/>
      <c r="I682" s="280" t="s">
        <v>61</v>
      </c>
      <c r="J682" s="266" t="s">
        <v>62</v>
      </c>
      <c r="K682" s="274"/>
      <c r="L682" s="187"/>
      <c r="M682" s="285"/>
      <c r="N682" s="285"/>
      <c r="O682" s="285"/>
      <c r="P682" s="282"/>
      <c r="Q682" s="278"/>
      <c r="R682" s="157"/>
      <c r="S682" s="11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</row>
    <row r="683" ht="14.25" customHeight="1">
      <c r="A683" s="5"/>
      <c r="B683" s="6"/>
      <c r="C683" s="5"/>
      <c r="D683" s="274" t="s">
        <v>6</v>
      </c>
      <c r="E683" s="283">
        <f>IFERROR(__xludf.DUMMYFUNCTION("SUM(FILTER(F558:F682, ISNUMBER(SEARCH(""squat"", D558:D682))))"),6.0)</f>
        <v>6</v>
      </c>
      <c r="F683" s="284">
        <f>IFERROR(__xludf.DUMMYFUNCTION("SUMPRODUCT(FILTER(F558:F682 * G558:G682, ISNUMBER(SEARCH(""squat"", D558:D682))))"),30.0)</f>
        <v>30</v>
      </c>
      <c r="G683" s="135">
        <f>IFERROR(__xludf.DUMMYFUNCTION("ROUND(SUMPRODUCT(FILTER(F558:F682 * G558:G682 * I558:I682, ISNUMBER(SEARCH(""squat"", D558:D682)))), 0)"),10545.0)</f>
        <v>10545</v>
      </c>
      <c r="H683" s="285"/>
      <c r="I683" s="135">
        <f>IFERROR(__xludf.DUMMYFUNCTION("ROUND(AVERAGE(FILTER(I558:I682, ISNUMBER(SEARCH(""squat"", D558:D682)), I558:I682 &lt;&gt; """")) / J683 * 100, 0)"),69.0)</f>
        <v>69</v>
      </c>
      <c r="J683" s="283">
        <f>IFERROR(__xludf.DUMMYFUNCTION("IFERROR(MROUND(AVERAGE(FILTER(P558:P682, D558:D682 = ""comp squat"", P558:P682 &lt;&gt; """", P558:P682 &gt;= 0.9 * MAX(FILTER(P558:P682, D558:D682 = ""comp squat"", P558:P682 &lt;&gt; """")), P558:P682 &lt;= 1.1 * MAX(FILTER(P558:P682, D558:D682 = ""comp squat"", P558:P68"&amp;"2 &lt;&gt; """")))), 2.5), ""No valid data"")"),512.5)</f>
        <v>512.5</v>
      </c>
      <c r="K683" s="286"/>
      <c r="L683" s="287">
        <f>MROUND(J683/2.2046,2.5)-$O$10</f>
        <v>-10</v>
      </c>
      <c r="M683" s="305"/>
      <c r="N683" s="334">
        <f>ROUND(ABS((F683 - F548) / F548) * 100, 0)</f>
        <v>29</v>
      </c>
      <c r="O683" s="335" t="s">
        <v>114</v>
      </c>
      <c r="P683" s="282"/>
      <c r="Q683" s="278"/>
      <c r="R683" s="291"/>
      <c r="S683" s="11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</row>
    <row r="684" ht="3.0" customHeight="1">
      <c r="A684" s="5"/>
      <c r="B684" s="6"/>
      <c r="C684" s="5"/>
      <c r="D684" s="90"/>
      <c r="E684" s="156"/>
      <c r="F684" s="102"/>
      <c r="G684" s="145"/>
      <c r="H684" s="102"/>
      <c r="I684" s="145"/>
      <c r="J684" s="156"/>
      <c r="K684" s="286"/>
      <c r="L684" s="292"/>
      <c r="M684" s="284"/>
      <c r="N684" s="336"/>
      <c r="O684" s="336"/>
      <c r="P684" s="282"/>
      <c r="Q684" s="278"/>
      <c r="R684" s="115"/>
      <c r="S684" s="11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</row>
    <row r="685" ht="15.75" customHeight="1">
      <c r="A685" s="5"/>
      <c r="B685" s="6"/>
      <c r="C685" s="5"/>
      <c r="D685" s="274" t="s">
        <v>66</v>
      </c>
      <c r="E685" s="293">
        <f>IFERROR(__xludf.DUMMYFUNCTION("SUM(FILTER(F558:F682, ISNUMBER(SEARCH(""bench press"", D558:D682))))"),15.0)</f>
        <v>15</v>
      </c>
      <c r="F685" s="284">
        <f>IFERROR(__xludf.DUMMYFUNCTION("SUMPRODUCT(FILTER(F559:F683 * G559:G683, ISNUMBER(SEARCH(""bench press"", D559:D683))))"),49.0)</f>
        <v>49</v>
      </c>
      <c r="G685" s="135">
        <f>IFERROR(__xludf.DUMMYFUNCTION("ROUND(SUMPRODUCT(FILTER(F558:F682 * G558:G682 * I558:I682, ISNUMBER(SEARCH(""bench press"", D558:D682)))), 0)"),12082.0)</f>
        <v>12082</v>
      </c>
      <c r="H685" s="285"/>
      <c r="I685" s="135">
        <f>IFERROR(__xludf.DUMMYFUNCTION("ROUND(AVERAGE(FILTER(I558:I682, ISNUMBER(SEARCH(""bench press"", D558:D682)), I558:I682 &lt;&gt; """")) / J685 * 100, 0)"),77.0)</f>
        <v>77</v>
      </c>
      <c r="J685" s="293">
        <f>IFERROR(__xludf.DUMMYFUNCTION("IFERROR(MROUND(AVERAGE(FILTER(P558:P682, D558:D682 = ""comp bench press"", P558:P682 &lt;&gt; """", P558:P682 &gt;= 0.9 * MAX(FILTER(P558:P682, D558:D682 = ""comp bench press"", P558:P682 &lt;&gt; """")), P558:P682 &lt;= 1.1 * MAX(FILTER(P558:P682, D558:D682 = ""comp bench"&amp;" press"", P558:P682 &lt;&gt; """")))), 2.5), ""No valid data"")"),330.0)</f>
        <v>330</v>
      </c>
      <c r="K685" s="286"/>
      <c r="L685" s="294">
        <f>MROUND(J685/2.2046,2.5)-$O$11</f>
        <v>-2.5</v>
      </c>
      <c r="M685" s="285"/>
      <c r="N685" s="337">
        <f>ROUND(ABS((F685 - F550) / F550) * 100, 0)</f>
        <v>28</v>
      </c>
      <c r="O685" s="335" t="s">
        <v>114</v>
      </c>
      <c r="P685" s="282"/>
      <c r="Q685" s="278"/>
      <c r="R685" s="157"/>
      <c r="S685" s="11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</row>
    <row r="686" ht="3.0" customHeight="1">
      <c r="A686" s="5"/>
      <c r="B686" s="6"/>
      <c r="C686" s="5"/>
      <c r="D686" s="90"/>
      <c r="E686" s="156"/>
      <c r="F686" s="102"/>
      <c r="G686" s="145"/>
      <c r="H686" s="102"/>
      <c r="I686" s="145"/>
      <c r="J686" s="156"/>
      <c r="K686" s="286"/>
      <c r="L686" s="292"/>
      <c r="M686" s="285"/>
      <c r="N686" s="338"/>
      <c r="O686" s="336"/>
      <c r="P686" s="282"/>
      <c r="Q686" s="278"/>
      <c r="R686" s="157"/>
      <c r="S686" s="11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</row>
    <row r="687" ht="14.25" customHeight="1">
      <c r="A687" s="5"/>
      <c r="B687" s="6"/>
      <c r="C687" s="5"/>
      <c r="D687" s="274" t="s">
        <v>10</v>
      </c>
      <c r="E687" s="293">
        <f>IFERROR(__xludf.DUMMYFUNCTION("SUM(FILTER(F558:F682, ISNUMBER(SEARCH(""deadlift"", D558:D682))))"),5.0)</f>
        <v>5</v>
      </c>
      <c r="F687" s="284">
        <f>IFERROR(__xludf.DUMMYFUNCTION("SUMPRODUCT(FILTER(F558:F682 * G558:G682, ISNUMBER(SEARCH(""deadlift"", D558:D682))))"),18.0)</f>
        <v>18</v>
      </c>
      <c r="G687" s="135">
        <f>IFERROR(__xludf.DUMMYFUNCTION("ROUND(SUMPRODUCT(FILTER(F558:F682 * G558:G682 * I558:I682, ISNUMBER(SEARCH(""deadlift"", D558:D682)))), 0)"),7306.0)</f>
        <v>7306</v>
      </c>
      <c r="H687" s="285"/>
      <c r="I687" s="135" t="str">
        <f>IFERROR(__xludf.DUMMYFUNCTION("ROUND(AVERAGE(FILTER(I558:I682, ISNUMBER(SEARCH(""deadlift"", D558:D682)), I558:I682 &lt;&gt; """")) / J687 * 100, 0)"),"#VALUE!")</f>
        <v>#VALUE!</v>
      </c>
      <c r="J687" s="293" t="str">
        <f>IFERROR(__xludf.DUMMYFUNCTION("IFERROR(MROUND(AVERAGE(FILTER(P558:P682, D558:D682 = ""comp deadlift"", P558:P682 &lt;&gt; """", P558:P682 &gt;= 0.9 * MAX(FILTER(P558:P682, D558:D682 = ""comp deadlift"", P558:P682 &lt;&gt; """")), P558:P682 &lt;= 1.1 * MAX(FILTER(P558:P682, D558:D682 = ""comp deadlift"","&amp;" P558:P682 &lt;&gt; """")))), 2.5), ""No valid data"")"),"No valid data")</f>
        <v>No valid data</v>
      </c>
      <c r="K687" s="286"/>
      <c r="L687" s="294" t="str">
        <f>MROUND(J687/2.2046,2.5)-$O$12</f>
        <v>#VALUE!</v>
      </c>
      <c r="M687" s="285"/>
      <c r="N687" s="337">
        <f>ROUND(ABS((F687 - F552) / F552) * 100, 0)</f>
        <v>28</v>
      </c>
      <c r="O687" s="339" t="s">
        <v>114</v>
      </c>
      <c r="P687" s="282"/>
      <c r="Q687" s="278"/>
      <c r="R687" s="157"/>
      <c r="S687" s="11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</row>
    <row r="688" ht="14.25" customHeight="1">
      <c r="A688" s="5"/>
      <c r="B688" s="6"/>
      <c r="C688" s="5"/>
      <c r="D688" s="274"/>
      <c r="E688" s="266"/>
      <c r="F688" s="187"/>
      <c r="G688" s="187"/>
      <c r="H688" s="187"/>
      <c r="I688" s="187"/>
      <c r="J688" s="295"/>
      <c r="K688" s="274"/>
      <c r="L688" s="187"/>
      <c r="M688" s="285"/>
      <c r="N688" s="285"/>
      <c r="O688" s="285"/>
      <c r="P688" s="282"/>
      <c r="Q688" s="278"/>
      <c r="R688" s="157"/>
      <c r="S688" s="11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</row>
    <row r="689" ht="14.25" customHeight="1">
      <c r="A689" s="5"/>
      <c r="B689" s="2"/>
      <c r="C689" s="5"/>
      <c r="D689" s="5"/>
      <c r="E689" s="75"/>
      <c r="F689" s="3"/>
      <c r="G689" s="3"/>
      <c r="H689" s="3"/>
      <c r="I689" s="3"/>
      <c r="J689" s="75"/>
      <c r="K689" s="5"/>
      <c r="L689" s="3"/>
      <c r="M689" s="47"/>
      <c r="N689" s="3"/>
      <c r="O689" s="3"/>
      <c r="P689" s="3"/>
      <c r="Q689" s="4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</row>
    <row r="690" ht="14.25" customHeight="1">
      <c r="A690" s="5"/>
      <c r="B690" s="2"/>
      <c r="C690" s="5"/>
      <c r="D690" s="5"/>
      <c r="E690" s="75"/>
      <c r="F690" s="3"/>
      <c r="G690" s="3"/>
      <c r="H690" s="3"/>
      <c r="I690" s="3"/>
      <c r="J690" s="75"/>
      <c r="K690" s="5"/>
      <c r="L690" s="3"/>
      <c r="M690" s="47"/>
      <c r="N690" s="3"/>
      <c r="O690" s="3"/>
      <c r="P690" s="3"/>
      <c r="Q690" s="4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</row>
  </sheetData>
  <mergeCells count="245">
    <mergeCell ref="G496:G497"/>
    <mergeCell ref="I496:I497"/>
    <mergeCell ref="J496:K497"/>
    <mergeCell ref="L496:L497"/>
    <mergeCell ref="M496:M497"/>
    <mergeCell ref="N496:O496"/>
    <mergeCell ref="Q496:Q497"/>
    <mergeCell ref="F496:F497"/>
    <mergeCell ref="F519:F520"/>
    <mergeCell ref="G519:G520"/>
    <mergeCell ref="I519:I520"/>
    <mergeCell ref="J519:K520"/>
    <mergeCell ref="L519:L520"/>
    <mergeCell ref="M519:M520"/>
    <mergeCell ref="L583:L584"/>
    <mergeCell ref="M583:M584"/>
    <mergeCell ref="L558:L559"/>
    <mergeCell ref="M558:M559"/>
    <mergeCell ref="N558:O558"/>
    <mergeCell ref="Q558:Q559"/>
    <mergeCell ref="R560:R582"/>
    <mergeCell ref="F583:F584"/>
    <mergeCell ref="G583:G584"/>
    <mergeCell ref="I583:I584"/>
    <mergeCell ref="J583:K584"/>
    <mergeCell ref="G608:G609"/>
    <mergeCell ref="I608:I609"/>
    <mergeCell ref="J608:K609"/>
    <mergeCell ref="L608:L609"/>
    <mergeCell ref="M608:M609"/>
    <mergeCell ref="R610:R630"/>
    <mergeCell ref="R633:R653"/>
    <mergeCell ref="R656:R679"/>
    <mergeCell ref="N583:O583"/>
    <mergeCell ref="Q583:Q584"/>
    <mergeCell ref="R585:R607"/>
    <mergeCell ref="N608:O608"/>
    <mergeCell ref="Q608:Q609"/>
    <mergeCell ref="N631:O631"/>
    <mergeCell ref="Q631:Q632"/>
    <mergeCell ref="F654:F655"/>
    <mergeCell ref="G654:G655"/>
    <mergeCell ref="I654:I655"/>
    <mergeCell ref="J654:K655"/>
    <mergeCell ref="L654:L655"/>
    <mergeCell ref="M654:M655"/>
    <mergeCell ref="N654:O654"/>
    <mergeCell ref="Q654:Q655"/>
    <mergeCell ref="F608:F609"/>
    <mergeCell ref="F631:F632"/>
    <mergeCell ref="G631:G632"/>
    <mergeCell ref="I631:I632"/>
    <mergeCell ref="J631:K632"/>
    <mergeCell ref="L631:L632"/>
    <mergeCell ref="M631:M632"/>
    <mergeCell ref="J423:K424"/>
    <mergeCell ref="L423:L424"/>
    <mergeCell ref="M423:M424"/>
    <mergeCell ref="N423:O423"/>
    <mergeCell ref="Q423:Q424"/>
    <mergeCell ref="F384:F385"/>
    <mergeCell ref="E420:F420"/>
    <mergeCell ref="J420:L420"/>
    <mergeCell ref="E421:F421"/>
    <mergeCell ref="F423:F424"/>
    <mergeCell ref="G423:G424"/>
    <mergeCell ref="I423:I424"/>
    <mergeCell ref="G448:G449"/>
    <mergeCell ref="I448:I449"/>
    <mergeCell ref="J448:K449"/>
    <mergeCell ref="L448:L449"/>
    <mergeCell ref="M448:M449"/>
    <mergeCell ref="N448:O448"/>
    <mergeCell ref="Q448:Q449"/>
    <mergeCell ref="N473:O473"/>
    <mergeCell ref="Q473:Q474"/>
    <mergeCell ref="F448:F449"/>
    <mergeCell ref="F473:F474"/>
    <mergeCell ref="G473:G474"/>
    <mergeCell ref="I473:I474"/>
    <mergeCell ref="J473:K474"/>
    <mergeCell ref="L473:L474"/>
    <mergeCell ref="M473:M474"/>
    <mergeCell ref="N519:O519"/>
    <mergeCell ref="Q519:Q520"/>
    <mergeCell ref="E555:F555"/>
    <mergeCell ref="J555:L555"/>
    <mergeCell ref="E556:F556"/>
    <mergeCell ref="F558:F559"/>
    <mergeCell ref="G558:G559"/>
    <mergeCell ref="I558:I559"/>
    <mergeCell ref="J558:K559"/>
    <mergeCell ref="F43:F44"/>
    <mergeCell ref="F68:F69"/>
    <mergeCell ref="G68:G69"/>
    <mergeCell ref="I68:I69"/>
    <mergeCell ref="J68:K69"/>
    <mergeCell ref="L68:L69"/>
    <mergeCell ref="F91:F92"/>
    <mergeCell ref="G91:G92"/>
    <mergeCell ref="I91:I92"/>
    <mergeCell ref="F114:F115"/>
    <mergeCell ref="G114:G115"/>
    <mergeCell ref="I114:I115"/>
    <mergeCell ref="J114:K115"/>
    <mergeCell ref="L114:L115"/>
    <mergeCell ref="I153:I154"/>
    <mergeCell ref="J153:K154"/>
    <mergeCell ref="N153:O153"/>
    <mergeCell ref="Q153:Q154"/>
    <mergeCell ref="M114:M115"/>
    <mergeCell ref="N114:O114"/>
    <mergeCell ref="Q114:Q115"/>
    <mergeCell ref="E150:F150"/>
    <mergeCell ref="J150:L150"/>
    <mergeCell ref="F153:F154"/>
    <mergeCell ref="G153:G154"/>
    <mergeCell ref="M178:M179"/>
    <mergeCell ref="N178:O178"/>
    <mergeCell ref="Q178:Q179"/>
    <mergeCell ref="L153:L154"/>
    <mergeCell ref="M153:M154"/>
    <mergeCell ref="F178:F179"/>
    <mergeCell ref="G178:G179"/>
    <mergeCell ref="I178:I179"/>
    <mergeCell ref="J178:K179"/>
    <mergeCell ref="L178:L179"/>
    <mergeCell ref="G203:G204"/>
    <mergeCell ref="I203:I204"/>
    <mergeCell ref="J203:K204"/>
    <mergeCell ref="L203:L204"/>
    <mergeCell ref="M203:M204"/>
    <mergeCell ref="N203:O203"/>
    <mergeCell ref="Q203:Q204"/>
    <mergeCell ref="F203:F204"/>
    <mergeCell ref="F226:F227"/>
    <mergeCell ref="G226:G227"/>
    <mergeCell ref="I226:I227"/>
    <mergeCell ref="J226:K227"/>
    <mergeCell ref="L226:L227"/>
    <mergeCell ref="M226:M227"/>
    <mergeCell ref="R45:R67"/>
    <mergeCell ref="R70:R90"/>
    <mergeCell ref="R93:R113"/>
    <mergeCell ref="R116:R139"/>
    <mergeCell ref="R155:R177"/>
    <mergeCell ref="R180:R202"/>
    <mergeCell ref="R205:R225"/>
    <mergeCell ref="R425:R447"/>
    <mergeCell ref="R450:R472"/>
    <mergeCell ref="R475:R495"/>
    <mergeCell ref="R498:R518"/>
    <mergeCell ref="R521:R544"/>
    <mergeCell ref="R228:R248"/>
    <mergeCell ref="R251:R274"/>
    <mergeCell ref="R290:R312"/>
    <mergeCell ref="R315:R337"/>
    <mergeCell ref="R340:R360"/>
    <mergeCell ref="R363:R383"/>
    <mergeCell ref="R386:R409"/>
    <mergeCell ref="E8:F8"/>
    <mergeCell ref="I8:K8"/>
    <mergeCell ref="N8:O8"/>
    <mergeCell ref="I10:J10"/>
    <mergeCell ref="R10:R11"/>
    <mergeCell ref="I11:L11"/>
    <mergeCell ref="J15:L15"/>
    <mergeCell ref="E15:F15"/>
    <mergeCell ref="E16:F16"/>
    <mergeCell ref="F18:F19"/>
    <mergeCell ref="G18:G19"/>
    <mergeCell ref="I18:I19"/>
    <mergeCell ref="J18:K19"/>
    <mergeCell ref="L18:L19"/>
    <mergeCell ref="G43:G44"/>
    <mergeCell ref="I43:I44"/>
    <mergeCell ref="J43:K44"/>
    <mergeCell ref="L43:L44"/>
    <mergeCell ref="M43:M44"/>
    <mergeCell ref="N43:O43"/>
    <mergeCell ref="Q43:Q44"/>
    <mergeCell ref="M18:M19"/>
    <mergeCell ref="N18:O18"/>
    <mergeCell ref="Q18:Q19"/>
    <mergeCell ref="R20:R42"/>
    <mergeCell ref="M68:M69"/>
    <mergeCell ref="N68:O68"/>
    <mergeCell ref="Q68:Q69"/>
    <mergeCell ref="J91:K92"/>
    <mergeCell ref="L91:L92"/>
    <mergeCell ref="M91:M92"/>
    <mergeCell ref="N91:O91"/>
    <mergeCell ref="Q91:Q92"/>
    <mergeCell ref="N226:O226"/>
    <mergeCell ref="Q226:Q227"/>
    <mergeCell ref="F249:F250"/>
    <mergeCell ref="G249:G250"/>
    <mergeCell ref="I249:I250"/>
    <mergeCell ref="J249:K250"/>
    <mergeCell ref="L249:L250"/>
    <mergeCell ref="Q249:Q250"/>
    <mergeCell ref="L288:L289"/>
    <mergeCell ref="M288:M289"/>
    <mergeCell ref="Q288:Q289"/>
    <mergeCell ref="M249:M250"/>
    <mergeCell ref="N249:O249"/>
    <mergeCell ref="E285:F285"/>
    <mergeCell ref="J285:L285"/>
    <mergeCell ref="E286:F286"/>
    <mergeCell ref="F288:F289"/>
    <mergeCell ref="G288:G289"/>
    <mergeCell ref="N288:O288"/>
    <mergeCell ref="M313:M314"/>
    <mergeCell ref="N313:O313"/>
    <mergeCell ref="Q313:Q314"/>
    <mergeCell ref="I288:I289"/>
    <mergeCell ref="J288:K289"/>
    <mergeCell ref="F313:F314"/>
    <mergeCell ref="G313:G314"/>
    <mergeCell ref="I313:I314"/>
    <mergeCell ref="J313:K314"/>
    <mergeCell ref="L313:L314"/>
    <mergeCell ref="G338:G339"/>
    <mergeCell ref="I338:I339"/>
    <mergeCell ref="J338:K339"/>
    <mergeCell ref="L338:L339"/>
    <mergeCell ref="M338:M339"/>
    <mergeCell ref="N338:O338"/>
    <mergeCell ref="Q338:Q339"/>
    <mergeCell ref="N361:O361"/>
    <mergeCell ref="Q361:Q362"/>
    <mergeCell ref="F338:F339"/>
    <mergeCell ref="F361:F362"/>
    <mergeCell ref="G361:G362"/>
    <mergeCell ref="I361:I362"/>
    <mergeCell ref="J361:K362"/>
    <mergeCell ref="L361:L362"/>
    <mergeCell ref="M361:M362"/>
    <mergeCell ref="G384:G385"/>
    <mergeCell ref="I384:I385"/>
    <mergeCell ref="J384:K385"/>
    <mergeCell ref="L384:L385"/>
    <mergeCell ref="M384:M385"/>
    <mergeCell ref="N384:O384"/>
    <mergeCell ref="Q384:Q385"/>
  </mergeCells>
  <conditionalFormatting sqref="Q20:Q42 Q45:Q67 Q70:Q90 Q93:Q113 Q116:Q139 Q155:Q274 Q290:Q409 Q425:Q544 Q560:Q679">
    <cfRule type="cellIs" dxfId="0" priority="1" operator="greaterThan">
      <formula>0</formula>
    </cfRule>
  </conditionalFormatting>
  <conditionalFormatting sqref="Q20:Q42 Q45:Q67 Q70:Q90 Q93:Q113 Q116:Q139 Q155:Q274 Q290:Q409 Q425:Q544 Q560:Q679">
    <cfRule type="cellIs" dxfId="1" priority="2" operator="lessThan">
      <formula>0</formula>
    </cfRule>
  </conditionalFormatting>
  <conditionalFormatting sqref="D1:D15 F9:F13 O10:O13 D17:D150 D152:D285 D287:D420 D422:D690">
    <cfRule type="containsText" dxfId="2" priority="3" operator="containsText" text="squat">
      <formula>NOT(ISERROR(SEARCH(("squat"),(D1))))</formula>
    </cfRule>
  </conditionalFormatting>
  <conditionalFormatting sqref="D1:D15 F9:F13 O10:O13 D17:D150 D152:D285 D287:D420 D422:D690">
    <cfRule type="containsText" dxfId="3" priority="4" operator="containsText" text="bench press">
      <formula>NOT(ISERROR(SEARCH(("bench press"),(D1))))</formula>
    </cfRule>
  </conditionalFormatting>
  <conditionalFormatting sqref="D1:D15 F9:F13 O10:O13 D17:D150 D152:D285 D287:D420 D422:D690">
    <cfRule type="containsText" dxfId="4" priority="5" operator="containsText" text="deadlift">
      <formula>NOT(ISERROR(SEARCH(("deadlift"),(D1))))</formula>
    </cfRule>
  </conditionalFormatting>
  <conditionalFormatting sqref="I1:I690">
    <cfRule type="expression" dxfId="5" priority="6">
      <formula>isformula(I1:I690)</formula>
    </cfRule>
  </conditionalFormatting>
  <conditionalFormatting sqref="L143:L147 L278:L282 L413:L417 L548:L552 L683:L687">
    <cfRule type="cellIs" dxfId="6" priority="7" operator="greaterThanOrEqual">
      <formula>0</formula>
    </cfRule>
  </conditionalFormatting>
  <conditionalFormatting sqref="L143:L147 L278:L282 L413:L417 L548:L552 L683:L687">
    <cfRule type="cellIs" dxfId="7" priority="8" operator="lessThan">
      <formula>0</formula>
    </cfRule>
  </conditionalFormatting>
  <dataValidations>
    <dataValidation type="list" allowBlank="1" showErrorMessage="1" sqref="E18 E43 E68 E91 E153 E178 E203 E226 E288 E313 E338 E361 E423 E448 E473 E496 E558 E583 E608 E631">
      <formula1>"day,Sun,Mon,Tues,Wed,Thurs,Fri,Sat"</formula1>
    </dataValidation>
    <dataValidation type="list" allowBlank="1" showErrorMessage="1" sqref="D19 D44 D69 D92 D115 D154 D179 D204 D227 D250 D289 D314 D339 D362 D385 D424 D449 D474 D497 D520 D559 D584 D609 D632 D655">
      <formula1>"motivation,5 (high),4,3,2,1 (low)"</formula1>
    </dataValidation>
    <dataValidation type="list" allowBlank="1" showErrorMessage="1" sqref="E19 E44 E69 E92 E115 E154 E179 E204 E227 E250 E289 E314 E339 E362 E385 E424 E449 E474 E497 E520 E559 E584 E609 E632 E655">
      <formula1>"fatigue,5 (high),4,3,2,1 (low)"</formula1>
    </dataValidation>
    <dataValidation type="list" allowBlank="1" showErrorMessage="1" sqref="E114 E249 E384 E519 E654">
      <formula1>"day,Sunday,Monday,Tuesday,Wednesday,Thursday,Friday,Saturday"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.0"/>
    <col customWidth="1" min="2" max="2" width="2.38"/>
    <col customWidth="1" min="3" max="3" width="1.0"/>
    <col customWidth="1" min="4" max="4" width="20.88"/>
    <col customWidth="1" min="5" max="5" width="8.25"/>
    <col customWidth="1" min="6" max="6" width="4.38"/>
    <col customWidth="1" min="7" max="7" width="4.88"/>
    <col customWidth="1" min="8" max="8" width="0.38"/>
    <col customWidth="1" min="9" max="9" width="5.38"/>
    <col customWidth="1" min="10" max="10" width="4.25"/>
    <col customWidth="1" min="11" max="11" width="8.13"/>
    <col customWidth="1" min="12" max="12" width="5.88"/>
    <col customWidth="1" min="13" max="13" width="5.13"/>
    <col customWidth="1" min="14" max="14" width="5.5"/>
    <col customWidth="1" min="15" max="15" width="4.63"/>
    <col customWidth="1" min="16" max="16" width="5.13"/>
    <col customWidth="1" min="17" max="17" width="4.75"/>
    <col customWidth="1" min="18" max="18" width="31.5"/>
    <col customWidth="1" min="19" max="33" width="9.0"/>
  </cols>
  <sheetData>
    <row r="1" ht="5.2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3"/>
      <c r="L1" s="3"/>
      <c r="M1" s="3"/>
      <c r="N1" s="3"/>
      <c r="O1" s="3"/>
      <c r="P1" s="3"/>
      <c r="Q1" s="4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ht="13.5" customHeight="1">
      <c r="A2" s="1"/>
      <c r="B2" s="6"/>
      <c r="C2" s="7"/>
      <c r="D2" s="7"/>
      <c r="E2" s="7"/>
      <c r="F2" s="7"/>
      <c r="G2" s="7"/>
      <c r="H2" s="7"/>
      <c r="I2" s="7"/>
      <c r="J2" s="7"/>
      <c r="K2" s="8"/>
      <c r="L2" s="8"/>
      <c r="M2" s="8"/>
      <c r="N2" s="8"/>
      <c r="O2" s="8"/>
      <c r="P2" s="8"/>
      <c r="Q2" s="9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1"/>
      <c r="AF2" s="11"/>
      <c r="AG2" s="11"/>
    </row>
    <row r="3" ht="5.25" customHeight="1">
      <c r="A3" s="12"/>
      <c r="B3" s="13"/>
      <c r="C3" s="12"/>
      <c r="D3" s="12"/>
      <c r="E3" s="12"/>
      <c r="F3" s="12"/>
      <c r="G3" s="12"/>
      <c r="H3" s="12"/>
      <c r="I3" s="12"/>
      <c r="J3" s="12"/>
      <c r="K3" s="3"/>
      <c r="L3" s="3"/>
      <c r="M3" s="3"/>
      <c r="N3" s="3"/>
      <c r="O3" s="3"/>
      <c r="P3" s="3"/>
      <c r="Q3" s="4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</row>
    <row r="4" ht="18.75" customHeight="1">
      <c r="A4" s="12"/>
      <c r="B4" s="13"/>
      <c r="C4" s="12"/>
      <c r="D4" s="14"/>
      <c r="E4" s="14"/>
      <c r="F4" s="14"/>
      <c r="G4" s="14"/>
      <c r="H4" s="14"/>
      <c r="I4" s="14"/>
      <c r="J4" s="14"/>
      <c r="K4" s="15"/>
      <c r="L4" s="15"/>
      <c r="M4" s="15"/>
      <c r="N4" s="15"/>
      <c r="O4" s="15"/>
      <c r="P4" s="15"/>
      <c r="Q4" s="16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8"/>
      <c r="AF4" s="18"/>
      <c r="AG4" s="18"/>
    </row>
    <row r="5" ht="3.75" customHeight="1">
      <c r="A5" s="12"/>
      <c r="B5" s="13"/>
      <c r="C5" s="12"/>
      <c r="D5" s="12"/>
      <c r="E5" s="12"/>
      <c r="F5" s="19"/>
      <c r="G5" s="19"/>
      <c r="H5" s="19"/>
      <c r="I5" s="19"/>
      <c r="J5" s="12"/>
      <c r="K5" s="3"/>
      <c r="L5" s="3"/>
      <c r="M5" s="3"/>
      <c r="N5" s="3"/>
      <c r="O5" s="3"/>
      <c r="P5" s="3"/>
      <c r="Q5" s="4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</row>
    <row r="6" ht="22.5" customHeight="1">
      <c r="A6" s="12"/>
      <c r="B6" s="13"/>
      <c r="C6" s="12"/>
      <c r="D6" s="20"/>
      <c r="E6" s="20"/>
      <c r="F6" s="21"/>
      <c r="G6" s="21"/>
      <c r="H6" s="21"/>
      <c r="I6" s="21"/>
      <c r="J6" s="20"/>
      <c r="K6" s="22"/>
      <c r="L6" s="22"/>
      <c r="M6" s="22"/>
      <c r="N6" s="22"/>
      <c r="O6" s="22"/>
      <c r="P6" s="22"/>
      <c r="Q6" s="23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5"/>
      <c r="AF6" s="25"/>
      <c r="AG6" s="25"/>
    </row>
    <row r="7" ht="5.25" customHeight="1">
      <c r="A7" s="26"/>
      <c r="B7" s="27"/>
      <c r="C7" s="28"/>
      <c r="D7" s="29"/>
      <c r="E7" s="29"/>
      <c r="F7" s="30"/>
      <c r="G7" s="30"/>
      <c r="H7" s="30"/>
      <c r="I7" s="30"/>
      <c r="J7" s="29"/>
      <c r="K7" s="31"/>
      <c r="L7" s="31"/>
      <c r="M7" s="31"/>
      <c r="N7" s="31"/>
      <c r="O7" s="31"/>
      <c r="P7" s="31"/>
      <c r="Q7" s="30"/>
      <c r="R7" s="32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ht="13.5" customHeight="1">
      <c r="A8" s="5"/>
      <c r="B8" s="6"/>
      <c r="C8" s="10"/>
      <c r="D8" s="34" t="s">
        <v>0</v>
      </c>
      <c r="E8" s="35" t="s">
        <v>1</v>
      </c>
      <c r="G8" s="36"/>
      <c r="H8" s="36"/>
      <c r="I8" s="36" t="s">
        <v>2</v>
      </c>
      <c r="J8" s="37"/>
      <c r="K8" s="37"/>
      <c r="L8" s="38"/>
      <c r="M8" s="38"/>
      <c r="N8" s="35" t="s">
        <v>3</v>
      </c>
      <c r="P8" s="38"/>
      <c r="Q8" s="39"/>
      <c r="R8" s="40" t="s">
        <v>4</v>
      </c>
      <c r="S8" s="10"/>
      <c r="T8" s="5"/>
      <c r="U8" s="5"/>
      <c r="V8" s="5"/>
      <c r="W8" s="5"/>
      <c r="X8" s="5"/>
      <c r="Y8" s="5"/>
      <c r="Z8" s="5"/>
      <c r="AA8" s="5"/>
      <c r="AB8" s="5"/>
      <c r="AC8" s="5"/>
      <c r="AD8" s="5"/>
    </row>
    <row r="9" ht="5.25" customHeight="1">
      <c r="A9" s="41"/>
      <c r="B9" s="42"/>
      <c r="C9" s="41"/>
      <c r="D9" s="43"/>
      <c r="E9" s="44"/>
      <c r="F9" s="45"/>
      <c r="G9" s="46"/>
      <c r="H9" s="46"/>
      <c r="I9" s="46"/>
      <c r="J9" s="46"/>
      <c r="K9" s="47"/>
      <c r="L9" s="47"/>
      <c r="M9" s="47"/>
      <c r="N9" s="47"/>
      <c r="O9" s="47"/>
      <c r="P9" s="47"/>
      <c r="Q9" s="48"/>
      <c r="R9" s="49"/>
    </row>
    <row r="10" ht="12.75" customHeight="1">
      <c r="A10" s="41"/>
      <c r="B10" s="42"/>
      <c r="C10" s="41"/>
      <c r="D10" s="50" t="s">
        <v>5</v>
      </c>
      <c r="E10" s="51" t="s">
        <v>6</v>
      </c>
      <c r="F10" s="52">
        <v>245.0</v>
      </c>
      <c r="G10" s="53"/>
      <c r="H10" s="53"/>
      <c r="I10" s="54"/>
      <c r="J10" s="55"/>
      <c r="K10" s="56"/>
      <c r="L10" s="56"/>
      <c r="M10" s="57"/>
      <c r="N10" s="51" t="s">
        <v>6</v>
      </c>
      <c r="O10" s="52">
        <v>242.5</v>
      </c>
      <c r="P10" s="57"/>
      <c r="Q10" s="58"/>
      <c r="R10" s="59" t="s">
        <v>7</v>
      </c>
      <c r="S10" s="60"/>
    </row>
    <row r="11" ht="12.75" customHeight="1">
      <c r="A11" s="41"/>
      <c r="B11" s="42"/>
      <c r="C11" s="41"/>
      <c r="D11" s="50" t="s">
        <v>8</v>
      </c>
      <c r="E11" s="61" t="s">
        <v>9</v>
      </c>
      <c r="F11" s="52">
        <v>155.0</v>
      </c>
      <c r="G11" s="57"/>
      <c r="H11" s="57"/>
      <c r="I11" s="62"/>
      <c r="J11" s="63"/>
      <c r="K11" s="63"/>
      <c r="L11" s="55"/>
      <c r="M11" s="57"/>
      <c r="N11" s="61" t="s">
        <v>9</v>
      </c>
      <c r="O11" s="52">
        <v>152.5</v>
      </c>
      <c r="P11" s="57"/>
      <c r="Q11" s="58"/>
      <c r="S11" s="60"/>
    </row>
    <row r="12" ht="12.75" customHeight="1">
      <c r="A12" s="41"/>
      <c r="B12" s="42"/>
      <c r="C12" s="41"/>
      <c r="D12" s="64"/>
      <c r="E12" s="65" t="s">
        <v>10</v>
      </c>
      <c r="F12" s="52">
        <v>270.0</v>
      </c>
      <c r="G12" s="57"/>
      <c r="H12" s="57"/>
      <c r="I12" s="66" t="str">
        <f>IF(I10 = "", "", INT((I10 - TODAY()) / 7) &amp; " weeks, " &amp; MOD(I10 - TODAY(), 7) &amp; " day(s) out")</f>
        <v/>
      </c>
      <c r="J12" s="67"/>
      <c r="K12" s="67"/>
      <c r="L12" s="67"/>
      <c r="M12" s="57"/>
      <c r="N12" s="65" t="s">
        <v>10</v>
      </c>
      <c r="O12" s="52">
        <v>265.0</v>
      </c>
      <c r="P12" s="57"/>
      <c r="Q12" s="58"/>
      <c r="R12" s="68"/>
      <c r="S12" s="60"/>
    </row>
    <row r="13" ht="12.75" customHeight="1">
      <c r="A13" s="69"/>
      <c r="B13" s="70"/>
      <c r="C13" s="69"/>
      <c r="D13" s="71"/>
      <c r="E13" s="72" t="s">
        <v>11</v>
      </c>
      <c r="F13" s="73">
        <f>SUM(F10:F12)</f>
        <v>670</v>
      </c>
      <c r="G13" s="57"/>
      <c r="H13" s="57"/>
      <c r="I13" s="57"/>
      <c r="J13" s="74"/>
      <c r="K13" s="57"/>
      <c r="L13" s="57"/>
      <c r="M13" s="57"/>
      <c r="N13" s="72" t="s">
        <v>11</v>
      </c>
      <c r="O13" s="73">
        <f>SUM(O10:O12)</f>
        <v>660</v>
      </c>
      <c r="P13" s="57"/>
      <c r="Q13" s="58"/>
      <c r="R13" s="68"/>
      <c r="S13" s="60"/>
    </row>
    <row r="14" ht="5.25" customHeight="1">
      <c r="A14" s="5"/>
      <c r="B14" s="2"/>
      <c r="C14" s="5"/>
      <c r="D14" s="5"/>
      <c r="E14" s="75"/>
      <c r="F14" s="3"/>
      <c r="G14" s="3"/>
      <c r="H14" s="3"/>
      <c r="I14" s="3"/>
      <c r="J14" s="75"/>
      <c r="K14" s="3"/>
      <c r="L14" s="3"/>
      <c r="M14" s="3"/>
      <c r="N14" s="3"/>
      <c r="O14" s="3"/>
      <c r="P14" s="3"/>
      <c r="Q14" s="4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</row>
    <row r="15" ht="18.75" customHeight="1">
      <c r="A15" s="76"/>
      <c r="B15" s="77"/>
      <c r="C15" s="78"/>
      <c r="D15" s="79" t="s">
        <v>12</v>
      </c>
      <c r="E15" s="80" t="s">
        <v>13</v>
      </c>
      <c r="G15" s="81"/>
      <c r="H15" s="81"/>
      <c r="I15" s="81"/>
      <c r="J15" s="82"/>
      <c r="K15" s="83"/>
      <c r="L15" s="83"/>
      <c r="M15" s="84"/>
      <c r="N15" s="84"/>
      <c r="O15" s="84"/>
      <c r="P15" s="85"/>
      <c r="Q15" s="86"/>
      <c r="R15" s="87"/>
      <c r="S15" s="88"/>
      <c r="T15" s="89"/>
      <c r="U15" s="89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</row>
    <row r="16" ht="18.75" customHeight="1">
      <c r="A16" s="90"/>
      <c r="B16" s="6"/>
      <c r="C16" s="91"/>
      <c r="D16" s="36">
        <v>1.0</v>
      </c>
      <c r="E16" s="36"/>
      <c r="F16" s="37"/>
      <c r="G16" s="81"/>
      <c r="H16" s="81"/>
      <c r="I16" s="81"/>
      <c r="J16" s="92"/>
      <c r="K16" s="93"/>
      <c r="L16" s="93"/>
      <c r="M16" s="93"/>
      <c r="N16" s="93"/>
      <c r="O16" s="93"/>
      <c r="P16" s="94"/>
      <c r="Q16" s="95"/>
      <c r="R16" s="96"/>
      <c r="S16" s="10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</row>
    <row r="17" ht="5.25" customHeight="1">
      <c r="A17" s="90"/>
      <c r="B17" s="6"/>
      <c r="C17" s="90"/>
      <c r="D17" s="97"/>
      <c r="E17" s="98"/>
      <c r="F17" s="99"/>
      <c r="G17" s="99"/>
      <c r="H17" s="99"/>
      <c r="I17" s="100"/>
      <c r="J17" s="101"/>
      <c r="K17" s="90"/>
      <c r="L17" s="102"/>
      <c r="M17" s="102"/>
      <c r="N17" s="102"/>
      <c r="O17" s="102"/>
      <c r="P17" s="103"/>
      <c r="Q17" s="4"/>
      <c r="R17" s="90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</row>
    <row r="18" ht="32.25" customHeight="1">
      <c r="A18" s="90"/>
      <c r="B18" s="6"/>
      <c r="C18" s="90"/>
      <c r="D18" s="104" t="s">
        <v>14</v>
      </c>
      <c r="E18" s="105" t="s">
        <v>75</v>
      </c>
      <c r="F18" s="106" t="s">
        <v>16</v>
      </c>
      <c r="G18" s="106" t="s">
        <v>17</v>
      </c>
      <c r="H18" s="107"/>
      <c r="I18" s="106" t="s">
        <v>18</v>
      </c>
      <c r="J18" s="108" t="s">
        <v>19</v>
      </c>
      <c r="L18" s="109" t="s">
        <v>20</v>
      </c>
      <c r="M18" s="110" t="s">
        <v>21</v>
      </c>
      <c r="N18" s="111" t="s">
        <v>22</v>
      </c>
      <c r="P18" s="112"/>
      <c r="Q18" s="113" t="s">
        <v>23</v>
      </c>
      <c r="R18" s="114" t="s">
        <v>24</v>
      </c>
      <c r="S18" s="11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</row>
    <row r="19" ht="14.25" customHeight="1">
      <c r="A19" s="90"/>
      <c r="B19" s="6"/>
      <c r="C19" s="90"/>
      <c r="D19" s="116" t="s">
        <v>102</v>
      </c>
      <c r="E19" s="117" t="s">
        <v>76</v>
      </c>
      <c r="H19" s="107"/>
      <c r="N19" s="111" t="s">
        <v>27</v>
      </c>
      <c r="O19" s="111" t="s">
        <v>28</v>
      </c>
      <c r="P19" s="112" t="s">
        <v>29</v>
      </c>
      <c r="R19" s="118" t="s">
        <v>30</v>
      </c>
      <c r="S19" s="11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</row>
    <row r="20" ht="3.75" customHeight="1">
      <c r="A20" s="90"/>
      <c r="B20" s="6"/>
      <c r="C20" s="90"/>
      <c r="D20" s="97"/>
      <c r="E20" s="119"/>
      <c r="F20" s="99"/>
      <c r="G20" s="99"/>
      <c r="H20" s="99"/>
      <c r="I20" s="100"/>
      <c r="J20" s="101"/>
      <c r="K20" s="120"/>
      <c r="L20" s="102"/>
      <c r="M20" s="121"/>
      <c r="N20" s="102"/>
      <c r="O20" s="102"/>
      <c r="P20" s="122"/>
      <c r="Q20" s="4"/>
      <c r="R20" s="123"/>
      <c r="S20" s="11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</row>
    <row r="21" ht="15.75" customHeight="1">
      <c r="A21" s="124"/>
      <c r="B21" s="6"/>
      <c r="C21" s="124"/>
      <c r="D21" s="125" t="s">
        <v>77</v>
      </c>
      <c r="E21" s="126"/>
      <c r="F21" s="127">
        <v>1.0</v>
      </c>
      <c r="G21" s="240">
        <v>6.0</v>
      </c>
      <c r="H21" s="129"/>
      <c r="I21" s="130">
        <v>375.0</v>
      </c>
      <c r="J21" s="151">
        <v>5.0</v>
      </c>
      <c r="K21" s="132"/>
      <c r="L21" s="133">
        <v>5.0</v>
      </c>
      <c r="M21" s="134"/>
      <c r="N21" s="135" t="str">
        <f>iferror(mround(#REF!*((VLOOKUP($J21,Sheet1!$D:$N,$G21+1,FALSE)-0.03)),2.5)," ")</f>
        <v> </v>
      </c>
      <c r="O21" s="135" t="str">
        <f>iferror(mround(#REF!*((VLOOKUP($J21,Sheet1!$D:$N,$G21+1,FALSE)+0.02)),2.5)," ")</f>
        <v> </v>
      </c>
      <c r="P21" s="56" t="str">
        <f>iferror(mround(I21/VLOOKUP(L21,Sheet1!$D$7:$N$16,G21+1,FALSE),2.5),"")</f>
        <v/>
      </c>
      <c r="Q21" s="136"/>
      <c r="S21" s="11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</row>
    <row r="22" ht="3.75" customHeight="1">
      <c r="A22" s="137"/>
      <c r="B22" s="70"/>
      <c r="C22" s="137"/>
      <c r="D22" s="138"/>
      <c r="E22" s="139"/>
      <c r="F22" s="140"/>
      <c r="G22" s="140"/>
      <c r="H22" s="140"/>
      <c r="I22" s="140"/>
      <c r="J22" s="141"/>
      <c r="K22" s="142"/>
      <c r="L22" s="143"/>
      <c r="M22" s="144"/>
      <c r="N22" s="145"/>
      <c r="O22" s="145"/>
      <c r="P22" s="122"/>
      <c r="Q22" s="146"/>
      <c r="S22" s="147"/>
      <c r="T22" s="148"/>
      <c r="U22" s="148"/>
      <c r="V22" s="148"/>
      <c r="W22" s="148"/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</row>
    <row r="23" ht="15.75" customHeight="1">
      <c r="A23" s="149"/>
      <c r="B23" s="150"/>
      <c r="C23" s="149"/>
      <c r="D23" s="125" t="s">
        <v>77</v>
      </c>
      <c r="E23" s="126"/>
      <c r="F23" s="127">
        <v>1.0</v>
      </c>
      <c r="G23" s="240">
        <v>6.0</v>
      </c>
      <c r="H23" s="129"/>
      <c r="I23" s="130">
        <v>402.0</v>
      </c>
      <c r="J23" s="151">
        <v>6.0</v>
      </c>
      <c r="K23" s="132"/>
      <c r="L23" s="133">
        <v>6.0</v>
      </c>
      <c r="M23" s="134"/>
      <c r="N23" s="135" t="str">
        <f>iferror(mround(#REF!*((VLOOKUP($J23,Sheet1!$D:$N,$G23+1,FALSE)-0.03)),2.5)," ")</f>
        <v> </v>
      </c>
      <c r="O23" s="135" t="str">
        <f>iferror(mround(#REF!*((VLOOKUP($J23,Sheet1!$D:$N,$G23+1,FALSE)+0.02)),2.5)," ")</f>
        <v> </v>
      </c>
      <c r="P23" s="56">
        <f>iferror(mround(I23/VLOOKUP(L23,Sheet1!$D$7:$N$16,G23+1,FALSE),2.5),"")</f>
        <v>542.5</v>
      </c>
      <c r="Q23" s="136"/>
      <c r="S23" s="11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</row>
    <row r="24" ht="3.75" customHeight="1">
      <c r="A24" s="152"/>
      <c r="B24" s="150"/>
      <c r="C24" s="153"/>
      <c r="D24" s="138"/>
      <c r="E24" s="154"/>
      <c r="F24" s="155"/>
      <c r="G24" s="102"/>
      <c r="H24" s="102"/>
      <c r="I24" s="102"/>
      <c r="J24" s="156"/>
      <c r="K24" s="142"/>
      <c r="L24" s="143"/>
      <c r="M24" s="144"/>
      <c r="N24" s="145"/>
      <c r="O24" s="145"/>
      <c r="P24" s="122"/>
      <c r="Q24" s="146"/>
      <c r="S24" s="157"/>
      <c r="T24" s="5"/>
      <c r="U24" s="5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</row>
    <row r="25" ht="15.75" customHeight="1">
      <c r="A25" s="149"/>
      <c r="B25" s="150"/>
      <c r="C25" s="149"/>
      <c r="D25" s="125" t="s">
        <v>77</v>
      </c>
      <c r="E25" s="126"/>
      <c r="F25" s="127">
        <v>1.0</v>
      </c>
      <c r="G25" s="161">
        <v>6.0</v>
      </c>
      <c r="H25" s="129"/>
      <c r="I25" s="130">
        <v>397.0</v>
      </c>
      <c r="J25" s="151" t="s">
        <v>78</v>
      </c>
      <c r="K25" s="132"/>
      <c r="L25" s="133">
        <v>6.0</v>
      </c>
      <c r="M25" s="134"/>
      <c r="N25" s="135" t="str">
        <f>iferror(mround(#REF!*((VLOOKUP($J25,Sheet1!$D:$N,$G25+1,FALSE)-0.03)),2.5)," ")</f>
        <v> </v>
      </c>
      <c r="O25" s="135" t="str">
        <f>iferror(mround(#REF!*((VLOOKUP($J25,Sheet1!$D:$N,$G25+1,FALSE)+0.02)),2.5)," ")</f>
        <v> </v>
      </c>
      <c r="P25" s="56">
        <f>iferror(mround(I25/VLOOKUP(L25,Sheet1!$D$7:$N$16,G25+1,FALSE),2.5),"")</f>
        <v>537.5</v>
      </c>
      <c r="Q25" s="136"/>
      <c r="S25" s="11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</row>
    <row r="26" ht="3.75" customHeight="1">
      <c r="A26" s="162"/>
      <c r="B26" s="163"/>
      <c r="C26" s="162"/>
      <c r="D26" s="138"/>
      <c r="E26" s="154"/>
      <c r="F26" s="155"/>
      <c r="G26" s="102"/>
      <c r="H26" s="102"/>
      <c r="I26" s="102"/>
      <c r="J26" s="156"/>
      <c r="K26" s="142"/>
      <c r="L26" s="143"/>
      <c r="M26" s="144"/>
      <c r="N26" s="145"/>
      <c r="O26" s="145"/>
      <c r="P26" s="122"/>
      <c r="Q26" s="146"/>
      <c r="S26" s="147"/>
      <c r="T26" s="148"/>
      <c r="U26" s="148"/>
      <c r="V26" s="148"/>
      <c r="W26" s="148"/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</row>
    <row r="27" ht="15.75" customHeight="1">
      <c r="A27" s="149"/>
      <c r="B27" s="150"/>
      <c r="C27" s="149"/>
      <c r="D27" s="159" t="s">
        <v>33</v>
      </c>
      <c r="E27" s="160" t="s">
        <v>34</v>
      </c>
      <c r="F27" s="127">
        <v>1.0</v>
      </c>
      <c r="G27" s="161">
        <v>5.0</v>
      </c>
      <c r="H27" s="129"/>
      <c r="I27" s="130">
        <v>253.0</v>
      </c>
      <c r="J27" s="151">
        <v>7.0</v>
      </c>
      <c r="K27" s="132"/>
      <c r="L27" s="133">
        <v>6.5</v>
      </c>
      <c r="M27" s="134"/>
      <c r="N27" s="135" t="str">
        <f>iferror(mround(#REF!*((VLOOKUP($J27,Sheet1!$D:$N,$G27+1,FALSE)-0.03)),2.5)," ")</f>
        <v> </v>
      </c>
      <c r="O27" s="135" t="str">
        <f>iferror(mround(#REF!*((VLOOKUP($J27,Sheet1!$D:$N,$G27+1,FALSE)+0.02)),2.5)," ")</f>
        <v> </v>
      </c>
      <c r="P27" s="56">
        <f>iferror(mround(I27/VLOOKUP(L27,Sheet1!$D$7:$N$16,G27+1,FALSE),2.5),"")</f>
        <v>325</v>
      </c>
      <c r="Q27" s="136"/>
      <c r="S27" s="11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</row>
    <row r="28" ht="3.75" customHeight="1">
      <c r="A28" s="162"/>
      <c r="B28" s="163"/>
      <c r="C28" s="162"/>
      <c r="D28" s="138"/>
      <c r="E28" s="139"/>
      <c r="F28" s="140"/>
      <c r="G28" s="140"/>
      <c r="H28" s="140"/>
      <c r="I28" s="140"/>
      <c r="J28" s="141"/>
      <c r="K28" s="142"/>
      <c r="L28" s="143"/>
      <c r="M28" s="144"/>
      <c r="N28" s="145"/>
      <c r="O28" s="145"/>
      <c r="P28" s="122"/>
      <c r="Q28" s="146"/>
      <c r="S28" s="147"/>
      <c r="T28" s="148"/>
      <c r="U28" s="148"/>
      <c r="V28" s="148"/>
      <c r="W28" s="148"/>
      <c r="X28" s="148"/>
      <c r="Y28" s="148"/>
      <c r="Z28" s="148"/>
      <c r="AA28" s="148"/>
      <c r="AB28" s="148"/>
      <c r="AC28" s="148"/>
      <c r="AD28" s="148"/>
      <c r="AE28" s="148"/>
      <c r="AF28" s="148"/>
      <c r="AG28" s="148"/>
    </row>
    <row r="29" ht="15.75" customHeight="1">
      <c r="A29" s="90"/>
      <c r="B29" s="6"/>
      <c r="C29" s="90"/>
      <c r="D29" s="159" t="s">
        <v>33</v>
      </c>
      <c r="E29" s="160" t="s">
        <v>34</v>
      </c>
      <c r="F29" s="127">
        <v>3.0</v>
      </c>
      <c r="G29" s="161">
        <v>5.0</v>
      </c>
      <c r="H29" s="129"/>
      <c r="I29" s="164">
        <f>MROUND(I27*(1+J29),5)</f>
        <v>230</v>
      </c>
      <c r="J29" s="165">
        <v>-0.1</v>
      </c>
      <c r="K29" s="132"/>
      <c r="L29" s="133">
        <v>5.0</v>
      </c>
      <c r="M29" s="134"/>
      <c r="N29" s="135" t="str">
        <f>iferror(mround(#REF!*((VLOOKUP($J29,Sheet1!$D:$N,$G29+1,FALSE)-0.03)),2.5)," ")</f>
        <v> </v>
      </c>
      <c r="O29" s="135" t="str">
        <f>iferror(mround(#REF!*((VLOOKUP($J29,Sheet1!$D:$N,$G29+1,FALSE)+0.02)),2.5)," ")</f>
        <v> </v>
      </c>
      <c r="P29" s="56" t="str">
        <f>iferror(mround(I29/VLOOKUP(L29,Sheet1!$D$7:$N$16,G29+1,FALSE),2.5),"")</f>
        <v/>
      </c>
      <c r="Q29" s="136"/>
      <c r="S29" s="11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</row>
    <row r="30" ht="3.75" customHeight="1">
      <c r="A30" s="168"/>
      <c r="B30" s="70"/>
      <c r="C30" s="168"/>
      <c r="D30" s="138"/>
      <c r="E30" s="139"/>
      <c r="F30" s="102"/>
      <c r="G30" s="102"/>
      <c r="H30" s="102"/>
      <c r="I30" s="102"/>
      <c r="J30" s="156"/>
      <c r="K30" s="142"/>
      <c r="L30" s="143"/>
      <c r="M30" s="144"/>
      <c r="N30" s="145"/>
      <c r="O30" s="145"/>
      <c r="P30" s="122"/>
      <c r="Q30" s="146"/>
      <c r="S30" s="147"/>
      <c r="T30" s="148"/>
      <c r="U30" s="148"/>
      <c r="V30" s="148"/>
      <c r="W30" s="148"/>
      <c r="X30" s="148"/>
      <c r="Y30" s="148"/>
      <c r="Z30" s="148"/>
      <c r="AA30" s="148"/>
      <c r="AB30" s="148"/>
      <c r="AC30" s="148"/>
      <c r="AD30" s="148"/>
      <c r="AE30" s="148"/>
      <c r="AF30" s="148"/>
      <c r="AG30" s="148"/>
    </row>
    <row r="31" ht="15.75" customHeight="1">
      <c r="A31" s="90"/>
      <c r="B31" s="6"/>
      <c r="C31" s="90"/>
      <c r="D31" s="166" t="s">
        <v>35</v>
      </c>
      <c r="E31" s="167" t="s">
        <v>79</v>
      </c>
      <c r="F31" s="127">
        <v>2.0</v>
      </c>
      <c r="G31" s="161">
        <v>7.0</v>
      </c>
      <c r="H31" s="129"/>
      <c r="I31" s="130">
        <v>248.0</v>
      </c>
      <c r="J31" s="151">
        <v>8.0</v>
      </c>
      <c r="K31" s="170" t="s">
        <v>80</v>
      </c>
      <c r="L31" s="133">
        <v>8.0</v>
      </c>
      <c r="M31" s="134"/>
      <c r="N31" s="135" t="str">
        <f>iferror(mround(#REF!*((VLOOKUP($J31,Sheet1!$D:$N,$G31+1,FALSE)-0.03)),2.5)," ")</f>
        <v> </v>
      </c>
      <c r="O31" s="135" t="str">
        <f>iferror(mround(#REF!*((VLOOKUP($J31,Sheet1!$D:$N,$G31+1,FALSE)+0.02)),2.5)," ")</f>
        <v> </v>
      </c>
      <c r="P31" s="56">
        <f>iferror(mround(I31/VLOOKUP(L31,Sheet1!$D$7:$N$16,G31+1,FALSE),2.5),"")</f>
        <v>325</v>
      </c>
      <c r="Q31" s="136"/>
      <c r="S31" s="11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</row>
    <row r="32" ht="3.75" customHeight="1">
      <c r="A32" s="90"/>
      <c r="B32" s="6"/>
      <c r="C32" s="90"/>
      <c r="D32" s="171"/>
      <c r="E32" s="172"/>
      <c r="F32" s="173"/>
      <c r="G32" s="173"/>
      <c r="H32" s="173"/>
      <c r="I32" s="173"/>
      <c r="J32" s="174"/>
      <c r="K32" s="142"/>
      <c r="L32" s="143"/>
      <c r="M32" s="144"/>
      <c r="N32" s="145"/>
      <c r="O32" s="145"/>
      <c r="P32" s="122"/>
      <c r="Q32" s="146"/>
      <c r="S32" s="11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</row>
    <row r="33" ht="15.75" customHeight="1">
      <c r="A33" s="90"/>
      <c r="B33" s="6"/>
      <c r="C33" s="90"/>
      <c r="D33" s="166" t="s">
        <v>37</v>
      </c>
      <c r="E33" s="160" t="s">
        <v>81</v>
      </c>
      <c r="F33" s="127">
        <v>3.0</v>
      </c>
      <c r="G33" s="169">
        <v>45577.0</v>
      </c>
      <c r="H33" s="129"/>
      <c r="I33" s="130">
        <v>385.0</v>
      </c>
      <c r="J33" s="151">
        <v>8.0</v>
      </c>
      <c r="K33" s="132"/>
      <c r="L33" s="133"/>
      <c r="M33" s="134"/>
      <c r="N33" s="135" t="str">
        <f>iferror(mround(#REF!*((VLOOKUP($J33,Sheet1!$D:$N,$G33+1,FALSE)-0.03)),2.5)," ")</f>
        <v> </v>
      </c>
      <c r="O33" s="135" t="str">
        <f>iferror(mround(#REF!*((VLOOKUP($J33,Sheet1!$D:$N,$G33+1,FALSE)+0.02)),2.5)," ")</f>
        <v> </v>
      </c>
      <c r="P33" s="56" t="str">
        <f>iferror(mround(I33/VLOOKUP(L33,Sheet1!$D$7:$N$16,G33+1,FALSE),2.5),"")</f>
        <v/>
      </c>
      <c r="Q33" s="136"/>
      <c r="S33" s="11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</row>
    <row r="34" ht="3.75" customHeight="1">
      <c r="A34" s="90"/>
      <c r="B34" s="6"/>
      <c r="C34" s="90"/>
      <c r="D34" s="171"/>
      <c r="E34" s="172"/>
      <c r="F34" s="173"/>
      <c r="G34" s="173"/>
      <c r="H34" s="173"/>
      <c r="I34" s="173"/>
      <c r="J34" s="174"/>
      <c r="K34" s="142"/>
      <c r="L34" s="143"/>
      <c r="M34" s="144"/>
      <c r="N34" s="145"/>
      <c r="O34" s="145"/>
      <c r="P34" s="122"/>
      <c r="Q34" s="146"/>
      <c r="S34" s="11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</row>
    <row r="35" ht="15.75" customHeight="1">
      <c r="A35" s="90"/>
      <c r="B35" s="6"/>
      <c r="C35" s="90"/>
      <c r="D35" s="175" t="s">
        <v>40</v>
      </c>
      <c r="E35" s="176"/>
      <c r="F35" s="177">
        <v>3.0</v>
      </c>
      <c r="G35" s="178" t="s">
        <v>41</v>
      </c>
      <c r="H35" s="179"/>
      <c r="I35" s="180"/>
      <c r="J35" s="181">
        <v>8.0</v>
      </c>
      <c r="K35" s="182"/>
      <c r="L35" s="183"/>
      <c r="M35" s="134"/>
      <c r="N35" s="135" t="str">
        <f>iferror(mround(#REF!*((VLOOKUP($J35,Sheet1!$D:$N,$G35+1,FALSE)-0.03)),2.5)," ")</f>
        <v> </v>
      </c>
      <c r="O35" s="135" t="str">
        <f>iferror(mround(#REF!*((VLOOKUP($J35,Sheet1!$D:$N,$G35+1,FALSE)+0.02)),2.5)," ")</f>
        <v> </v>
      </c>
      <c r="P35" s="56" t="str">
        <f>iferror(mround(I35/VLOOKUP(L35,Sheet1!$D$7:$N$16,G35+1,FALSE),2.5),"")</f>
        <v/>
      </c>
      <c r="Q35" s="136"/>
      <c r="S35" s="11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</row>
    <row r="36" ht="3.75" customHeight="1">
      <c r="A36" s="90"/>
      <c r="B36" s="6"/>
      <c r="C36" s="90"/>
      <c r="D36" s="138"/>
      <c r="E36" s="139"/>
      <c r="F36" s="102"/>
      <c r="G36" s="102"/>
      <c r="H36" s="102"/>
      <c r="I36" s="102"/>
      <c r="J36" s="156"/>
      <c r="K36" s="307"/>
      <c r="L36" s="143"/>
      <c r="M36" s="144"/>
      <c r="N36" s="145"/>
      <c r="O36" s="145"/>
      <c r="P36" s="122"/>
      <c r="Q36" s="146"/>
      <c r="S36" s="11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</row>
    <row r="37" ht="15.75" hidden="1" customHeight="1">
      <c r="A37" s="90"/>
      <c r="B37" s="6"/>
      <c r="C37" s="90"/>
      <c r="D37" s="185"/>
      <c r="E37" s="126"/>
      <c r="F37" s="187"/>
      <c r="G37" s="188"/>
      <c r="H37" s="129"/>
      <c r="I37" s="164"/>
      <c r="J37" s="189"/>
      <c r="K37" s="182"/>
      <c r="L37" s="183"/>
      <c r="M37" s="134"/>
      <c r="N37" s="135" t="str">
        <f>iferror(mround(#REF!*((VLOOKUP($J37,Sheet1!$D:$N,$G37+1,FALSE)-0.03)),2.5)," ")</f>
        <v> </v>
      </c>
      <c r="O37" s="135" t="str">
        <f>iferror(mround(#REF!*((VLOOKUP($J37,Sheet1!$D:$N,$G37+1,FALSE)+0.02)),2.5)," ")</f>
        <v> </v>
      </c>
      <c r="P37" s="56" t="str">
        <f>iferror(mround(I37/VLOOKUP(L37,Sheet1!$D$7:$N$16,G37+1,FALSE),2.5),"")</f>
        <v/>
      </c>
      <c r="Q37" s="136"/>
      <c r="S37" s="11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</row>
    <row r="38" ht="3.75" hidden="1" customHeight="1">
      <c r="A38" s="191"/>
      <c r="B38" s="6"/>
      <c r="C38" s="192"/>
      <c r="D38" s="138"/>
      <c r="E38" s="154"/>
      <c r="F38" s="194"/>
      <c r="G38" s="155"/>
      <c r="H38" s="102"/>
      <c r="I38" s="102"/>
      <c r="J38" s="156"/>
      <c r="K38" s="307"/>
      <c r="L38" s="143"/>
      <c r="M38" s="144"/>
      <c r="N38" s="145"/>
      <c r="O38" s="145"/>
      <c r="P38" s="122"/>
      <c r="Q38" s="146"/>
      <c r="S38" s="157"/>
      <c r="T38" s="5"/>
      <c r="U38" s="5"/>
      <c r="V38" s="158"/>
      <c r="W38" s="158"/>
      <c r="X38" s="158"/>
      <c r="Y38" s="158"/>
      <c r="Z38" s="158"/>
      <c r="AA38" s="158"/>
      <c r="AB38" s="158"/>
      <c r="AC38" s="158"/>
      <c r="AD38" s="158"/>
      <c r="AE38" s="158"/>
      <c r="AF38" s="158"/>
      <c r="AG38" s="158"/>
    </row>
    <row r="39" ht="15.75" hidden="1" customHeight="1">
      <c r="A39" s="90"/>
      <c r="B39" s="6"/>
      <c r="C39" s="90"/>
      <c r="D39" s="185"/>
      <c r="E39" s="126"/>
      <c r="F39" s="187"/>
      <c r="G39" s="195"/>
      <c r="H39" s="129"/>
      <c r="I39" s="164"/>
      <c r="J39" s="189"/>
      <c r="K39" s="182"/>
      <c r="L39" s="183"/>
      <c r="M39" s="134"/>
      <c r="N39" s="135" t="str">
        <f>iferror(mround(#REF!*((VLOOKUP($J39,Sheet1!$D:$N,$G39+1,FALSE)-0.03)),2.5)," ")</f>
        <v> </v>
      </c>
      <c r="O39" s="135" t="str">
        <f>iferror(mround(#REF!*((VLOOKUP($J39,Sheet1!$D:$N,$G39+1,FALSE)+0.02)),2.5)," ")</f>
        <v> </v>
      </c>
      <c r="P39" s="56" t="str">
        <f>iferror(mround(I39/VLOOKUP(L39,Sheet1!$D$7:$N$16,G39+1,FALSE),2.5),"")</f>
        <v/>
      </c>
      <c r="Q39" s="136"/>
      <c r="S39" s="11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</row>
    <row r="40" ht="3.75" hidden="1" customHeight="1">
      <c r="A40" s="90"/>
      <c r="B40" s="6"/>
      <c r="C40" s="90"/>
      <c r="D40" s="196"/>
      <c r="E40" s="139"/>
      <c r="F40" s="102"/>
      <c r="G40" s="102"/>
      <c r="H40" s="102"/>
      <c r="I40" s="102"/>
      <c r="J40" s="156"/>
      <c r="K40" s="307"/>
      <c r="L40" s="143"/>
      <c r="M40" s="144"/>
      <c r="N40" s="145"/>
      <c r="O40" s="145"/>
      <c r="P40" s="122"/>
      <c r="Q40" s="146"/>
      <c r="S40" s="11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</row>
    <row r="41" ht="15.75" hidden="1" customHeight="1">
      <c r="A41" s="90"/>
      <c r="B41" s="6"/>
      <c r="C41" s="90"/>
      <c r="D41" s="197"/>
      <c r="E41" s="308"/>
      <c r="F41" s="199"/>
      <c r="G41" s="195"/>
      <c r="H41" s="129"/>
      <c r="I41" s="164"/>
      <c r="J41" s="189"/>
      <c r="K41" s="182"/>
      <c r="L41" s="183"/>
      <c r="M41" s="134"/>
      <c r="N41" s="135" t="str">
        <f>iferror(mround(#REF!*((VLOOKUP($J41,Sheet1!$D:$N,$G41+1,FALSE)-0.03)),2.5)," ")</f>
        <v> </v>
      </c>
      <c r="O41" s="135" t="str">
        <f>iferror(mround(#REF!*((VLOOKUP($J41,Sheet1!$D:$N,$G41+1,FALSE)+0.02)),2.5)," ")</f>
        <v> </v>
      </c>
      <c r="P41" s="56" t="str">
        <f>iferror(mround(I41/VLOOKUP(L41,Sheet1!$D$7:$N$16,G41+1,FALSE),2.5),"")</f>
        <v/>
      </c>
      <c r="Q41" s="136"/>
      <c r="S41" s="11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</row>
    <row r="42" ht="3.75" customHeight="1">
      <c r="A42" s="90"/>
      <c r="B42" s="6"/>
      <c r="C42" s="90"/>
      <c r="D42" s="90"/>
      <c r="E42" s="309"/>
      <c r="F42" s="102"/>
      <c r="G42" s="102"/>
      <c r="H42" s="102"/>
      <c r="I42" s="102"/>
      <c r="J42" s="156"/>
      <c r="K42" s="200"/>
      <c r="L42" s="201"/>
      <c r="M42" s="144"/>
      <c r="N42" s="47"/>
      <c r="O42" s="47"/>
      <c r="P42" s="122"/>
      <c r="Q42" s="146"/>
      <c r="S42" s="11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</row>
    <row r="43" ht="30.0" customHeight="1">
      <c r="A43" s="90"/>
      <c r="B43" s="6"/>
      <c r="C43" s="90"/>
      <c r="D43" s="104" t="s">
        <v>42</v>
      </c>
      <c r="E43" s="105" t="s">
        <v>82</v>
      </c>
      <c r="F43" s="106" t="s">
        <v>16</v>
      </c>
      <c r="G43" s="106" t="s">
        <v>17</v>
      </c>
      <c r="H43" s="107"/>
      <c r="I43" s="106" t="s">
        <v>18</v>
      </c>
      <c r="J43" s="108" t="s">
        <v>19</v>
      </c>
      <c r="L43" s="109" t="s">
        <v>20</v>
      </c>
      <c r="M43" s="110" t="s">
        <v>21</v>
      </c>
      <c r="N43" s="111" t="s">
        <v>22</v>
      </c>
      <c r="P43" s="112"/>
      <c r="Q43" s="113" t="s">
        <v>23</v>
      </c>
      <c r="R43" s="114" t="s">
        <v>43</v>
      </c>
      <c r="S43" s="11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</row>
    <row r="44" ht="14.25" customHeight="1">
      <c r="A44" s="90"/>
      <c r="B44" s="6"/>
      <c r="C44" s="90"/>
      <c r="D44" s="116">
        <v>4.0</v>
      </c>
      <c r="E44" s="117">
        <v>2.0</v>
      </c>
      <c r="H44" s="107"/>
      <c r="N44" s="111" t="s">
        <v>27</v>
      </c>
      <c r="O44" s="111" t="s">
        <v>28</v>
      </c>
      <c r="P44" s="112" t="s">
        <v>29</v>
      </c>
      <c r="R44" s="118" t="s">
        <v>30</v>
      </c>
      <c r="S44" s="11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</row>
    <row r="45" ht="3.75" customHeight="1">
      <c r="A45" s="191"/>
      <c r="B45" s="6"/>
      <c r="C45" s="192"/>
      <c r="D45" s="310"/>
      <c r="E45" s="204"/>
      <c r="F45" s="205"/>
      <c r="G45" s="205"/>
      <c r="H45" s="206"/>
      <c r="I45" s="207"/>
      <c r="J45" s="208"/>
      <c r="K45" s="209"/>
      <c r="L45" s="210"/>
      <c r="M45" s="211"/>
      <c r="N45" s="47"/>
      <c r="O45" s="47"/>
      <c r="P45" s="122"/>
      <c r="Q45" s="146"/>
      <c r="R45" s="212"/>
      <c r="S45" s="157"/>
      <c r="T45" s="5"/>
      <c r="U45" s="5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</row>
    <row r="46" ht="15.75" customHeight="1">
      <c r="A46" s="124"/>
      <c r="B46" s="6"/>
      <c r="C46" s="124"/>
      <c r="D46" s="159" t="s">
        <v>83</v>
      </c>
      <c r="E46" s="167" t="s">
        <v>84</v>
      </c>
      <c r="F46" s="127">
        <v>3.0</v>
      </c>
      <c r="G46" s="127">
        <v>3.0</v>
      </c>
      <c r="H46" s="195"/>
      <c r="I46" s="130">
        <v>435.0</v>
      </c>
      <c r="J46" s="151">
        <v>6.0</v>
      </c>
      <c r="K46" s="213"/>
      <c r="L46" s="133">
        <v>5.5</v>
      </c>
      <c r="M46" s="134"/>
      <c r="N46" s="135"/>
      <c r="O46" s="135"/>
      <c r="P46" s="112" t="str">
        <f>iferror(mround(I46/VLOOKUP(L46,Sheet1!$D$7:$N$16,G46+1,FALSE),2.5),"")</f>
        <v/>
      </c>
      <c r="Q46" s="136"/>
      <c r="R46" s="214"/>
      <c r="S46" s="11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</row>
    <row r="47" ht="3.75" customHeight="1">
      <c r="A47" s="124"/>
      <c r="B47" s="6"/>
      <c r="C47" s="124"/>
      <c r="D47" s="138"/>
      <c r="E47" s="215"/>
      <c r="F47" s="102"/>
      <c r="G47" s="102"/>
      <c r="H47" s="102"/>
      <c r="I47" s="102"/>
      <c r="J47" s="216"/>
      <c r="K47" s="217"/>
      <c r="L47" s="218"/>
      <c r="M47" s="144"/>
      <c r="N47" s="145"/>
      <c r="O47" s="145"/>
      <c r="P47" s="122"/>
      <c r="Q47" s="146"/>
      <c r="R47" s="214"/>
      <c r="S47" s="11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</row>
    <row r="48" ht="15.75" customHeight="1">
      <c r="A48" s="90"/>
      <c r="B48" s="6"/>
      <c r="C48" s="90"/>
      <c r="D48" s="159" t="s">
        <v>33</v>
      </c>
      <c r="E48" s="167"/>
      <c r="F48" s="127">
        <v>1.0</v>
      </c>
      <c r="G48" s="127">
        <v>2.0</v>
      </c>
      <c r="H48" s="195"/>
      <c r="I48" s="130">
        <v>292.0</v>
      </c>
      <c r="J48" s="151">
        <v>7.5</v>
      </c>
      <c r="K48" s="219" t="s">
        <v>85</v>
      </c>
      <c r="L48" s="133">
        <v>7.0</v>
      </c>
      <c r="M48" s="134"/>
      <c r="N48" s="135"/>
      <c r="O48" s="135"/>
      <c r="P48" s="112">
        <f>iferror(mround(I48/VLOOKUP(L48,Sheet1!$D$7:$N$16,G48+1,FALSE),2.5),"")</f>
        <v>337.5</v>
      </c>
      <c r="Q48" s="136"/>
      <c r="R48" s="214"/>
      <c r="S48" s="11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</row>
    <row r="49" ht="3.75" customHeight="1">
      <c r="A49" s="90"/>
      <c r="B49" s="6"/>
      <c r="C49" s="90"/>
      <c r="D49" s="138"/>
      <c r="E49" s="215"/>
      <c r="F49" s="102"/>
      <c r="G49" s="102"/>
      <c r="H49" s="102"/>
      <c r="I49" s="102"/>
      <c r="J49" s="216"/>
      <c r="K49" s="217"/>
      <c r="L49" s="218"/>
      <c r="M49" s="144"/>
      <c r="N49" s="145"/>
      <c r="O49" s="145"/>
      <c r="P49" s="122"/>
      <c r="Q49" s="146"/>
      <c r="R49" s="214"/>
      <c r="S49" s="11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</row>
    <row r="50" ht="15.75" customHeight="1">
      <c r="A50" s="90"/>
      <c r="B50" s="6"/>
      <c r="C50" s="90"/>
      <c r="D50" s="159" t="s">
        <v>33</v>
      </c>
      <c r="E50" s="167"/>
      <c r="F50" s="127">
        <v>3.0</v>
      </c>
      <c r="G50" s="161">
        <v>3.0</v>
      </c>
      <c r="H50" s="195"/>
      <c r="I50" s="164">
        <f>MROUND(I48*(1+J50),5)</f>
        <v>270</v>
      </c>
      <c r="J50" s="165">
        <v>-0.08</v>
      </c>
      <c r="K50" s="219"/>
      <c r="L50" s="133">
        <v>6.0</v>
      </c>
      <c r="M50" s="134"/>
      <c r="N50" s="135"/>
      <c r="O50" s="135"/>
      <c r="P50" s="112">
        <f>iferror(mround(I50/VLOOKUP(L50,Sheet1!$D$7:$N$16,G50+1,FALSE),2.5),"")</f>
        <v>332.5</v>
      </c>
      <c r="Q50" s="136"/>
      <c r="R50" s="214"/>
      <c r="S50" s="11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</row>
    <row r="51" ht="3.75" customHeight="1">
      <c r="A51" s="90"/>
      <c r="B51" s="6"/>
      <c r="C51" s="90"/>
      <c r="D51" s="138"/>
      <c r="E51" s="215"/>
      <c r="F51" s="102"/>
      <c r="G51" s="102"/>
      <c r="H51" s="102"/>
      <c r="I51" s="102"/>
      <c r="J51" s="156"/>
      <c r="K51" s="217"/>
      <c r="L51" s="143"/>
      <c r="M51" s="144"/>
      <c r="N51" s="145"/>
      <c r="O51" s="145"/>
      <c r="P51" s="122"/>
      <c r="Q51" s="146"/>
      <c r="R51" s="214"/>
      <c r="S51" s="11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</row>
    <row r="52" ht="15.75" customHeight="1">
      <c r="A52" s="90"/>
      <c r="B52" s="6"/>
      <c r="C52" s="90"/>
      <c r="D52" s="159" t="s">
        <v>86</v>
      </c>
      <c r="E52" s="167" t="s">
        <v>87</v>
      </c>
      <c r="F52" s="127">
        <v>3.0</v>
      </c>
      <c r="G52" s="169">
        <v>45577.0</v>
      </c>
      <c r="H52" s="195"/>
      <c r="I52" s="130">
        <v>120.0</v>
      </c>
      <c r="J52" s="151">
        <v>8.0</v>
      </c>
      <c r="K52" s="213"/>
      <c r="L52" s="133">
        <v>8.0</v>
      </c>
      <c r="M52" s="134"/>
      <c r="N52" s="135"/>
      <c r="O52" s="135"/>
      <c r="P52" s="112" t="str">
        <f>iferror(mround(I52/VLOOKUP(L52,Sheet1!$D$7:$N$16,G52+1,FALSE),2.5),"")</f>
        <v/>
      </c>
      <c r="Q52" s="136"/>
      <c r="R52" s="214"/>
      <c r="S52" s="11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</row>
    <row r="53" ht="3.75" customHeight="1">
      <c r="A53" s="90"/>
      <c r="B53" s="6"/>
      <c r="C53" s="90"/>
      <c r="D53" s="138"/>
      <c r="E53" s="215"/>
      <c r="F53" s="102"/>
      <c r="G53" s="102"/>
      <c r="H53" s="102"/>
      <c r="I53" s="102"/>
      <c r="J53" s="156"/>
      <c r="K53" s="217"/>
      <c r="L53" s="143"/>
      <c r="M53" s="144"/>
      <c r="N53" s="145"/>
      <c r="O53" s="145"/>
      <c r="P53" s="122"/>
      <c r="Q53" s="146"/>
      <c r="R53" s="214"/>
      <c r="S53" s="11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</row>
    <row r="54" ht="15.75" customHeight="1">
      <c r="A54" s="90"/>
      <c r="B54" s="6"/>
      <c r="C54" s="90"/>
      <c r="D54" s="159" t="s">
        <v>88</v>
      </c>
      <c r="E54" s="220"/>
      <c r="F54" s="127">
        <v>3.0</v>
      </c>
      <c r="G54" s="221">
        <v>45641.0</v>
      </c>
      <c r="H54" s="195"/>
      <c r="I54" s="130">
        <v>25.0</v>
      </c>
      <c r="J54" s="151">
        <v>9.0</v>
      </c>
      <c r="K54" s="213"/>
      <c r="L54" s="133">
        <v>9.0</v>
      </c>
      <c r="M54" s="134"/>
      <c r="N54" s="135"/>
      <c r="O54" s="135"/>
      <c r="P54" s="112" t="str">
        <f>iferror(mround(I54/VLOOKUP(L54,Sheet1!$D$7:$N$16,G54+1,FALSE),2.5),"")</f>
        <v/>
      </c>
      <c r="Q54" s="136"/>
      <c r="R54" s="214"/>
      <c r="S54" s="11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</row>
    <row r="55" ht="3.75" customHeight="1">
      <c r="A55" s="90"/>
      <c r="B55" s="6"/>
      <c r="C55" s="90"/>
      <c r="D55" s="138"/>
      <c r="E55" s="215"/>
      <c r="F55" s="102"/>
      <c r="G55" s="102"/>
      <c r="H55" s="102"/>
      <c r="I55" s="102"/>
      <c r="J55" s="156"/>
      <c r="K55" s="217"/>
      <c r="L55" s="143"/>
      <c r="M55" s="144"/>
      <c r="N55" s="145"/>
      <c r="O55" s="145"/>
      <c r="P55" s="122"/>
      <c r="Q55" s="146"/>
      <c r="R55" s="214"/>
      <c r="S55" s="11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</row>
    <row r="56" ht="15.75" customHeight="1">
      <c r="A56" s="90"/>
      <c r="B56" s="6"/>
      <c r="C56" s="90"/>
      <c r="D56" s="159" t="s">
        <v>47</v>
      </c>
      <c r="E56" s="220"/>
      <c r="F56" s="127">
        <v>3.0</v>
      </c>
      <c r="G56" s="221">
        <v>45641.0</v>
      </c>
      <c r="H56" s="195"/>
      <c r="I56" s="130">
        <v>130.0</v>
      </c>
      <c r="J56" s="151">
        <v>9.0</v>
      </c>
      <c r="K56" s="213"/>
      <c r="L56" s="133">
        <v>9.0</v>
      </c>
      <c r="M56" s="134"/>
      <c r="N56" s="135"/>
      <c r="O56" s="135"/>
      <c r="P56" s="112" t="str">
        <f>iferror(mround(I56/VLOOKUP(L56,Sheet1!$D$7:$N$16,G56+1,FALSE),2.5),"")</f>
        <v/>
      </c>
      <c r="Q56" s="136"/>
      <c r="R56" s="214"/>
      <c r="S56" s="11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</row>
    <row r="57" ht="3.75" customHeight="1">
      <c r="A57" s="90"/>
      <c r="B57" s="6"/>
      <c r="C57" s="90"/>
      <c r="D57" s="138"/>
      <c r="E57" s="215"/>
      <c r="F57" s="102"/>
      <c r="G57" s="102"/>
      <c r="H57" s="102"/>
      <c r="I57" s="102"/>
      <c r="J57" s="216"/>
      <c r="K57" s="217"/>
      <c r="L57" s="143"/>
      <c r="M57" s="144"/>
      <c r="N57" s="145"/>
      <c r="O57" s="145"/>
      <c r="P57" s="122"/>
      <c r="Q57" s="146"/>
      <c r="R57" s="214"/>
      <c r="S57" s="11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</row>
    <row r="58" ht="18.0" hidden="1" customHeight="1">
      <c r="A58" s="90"/>
      <c r="B58" s="6"/>
      <c r="C58" s="90"/>
      <c r="D58" s="185"/>
      <c r="E58" s="220"/>
      <c r="F58" s="187"/>
      <c r="G58" s="187"/>
      <c r="H58" s="195"/>
      <c r="I58" s="164"/>
      <c r="J58" s="189"/>
      <c r="K58" s="213"/>
      <c r="L58" s="183"/>
      <c r="M58" s="134"/>
      <c r="N58" s="135"/>
      <c r="O58" s="135"/>
      <c r="P58" s="112" t="str">
        <f>iferror(mround(I58/VLOOKUP(L58,Sheet1!$D$7:$N$16,G58+1,FALSE),2.5),"")</f>
        <v/>
      </c>
      <c r="Q58" s="136"/>
      <c r="R58" s="214"/>
      <c r="S58" s="11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</row>
    <row r="59" ht="3.75" hidden="1" customHeight="1">
      <c r="A59" s="191"/>
      <c r="B59" s="6"/>
      <c r="C59" s="192"/>
      <c r="D59" s="138"/>
      <c r="E59" s="311"/>
      <c r="F59" s="194"/>
      <c r="G59" s="194"/>
      <c r="H59" s="155"/>
      <c r="I59" s="210"/>
      <c r="J59" s="216"/>
      <c r="K59" s="217"/>
      <c r="L59" s="143"/>
      <c r="M59" s="144"/>
      <c r="N59" s="145"/>
      <c r="O59" s="145"/>
      <c r="P59" s="122"/>
      <c r="Q59" s="146"/>
      <c r="R59" s="214"/>
      <c r="S59" s="157"/>
      <c r="T59" s="5"/>
      <c r="U59" s="5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</row>
    <row r="60" ht="15.75" hidden="1" customHeight="1">
      <c r="A60" s="90"/>
      <c r="B60" s="6"/>
      <c r="C60" s="90"/>
      <c r="D60" s="185"/>
      <c r="E60" s="312"/>
      <c r="F60" s="187"/>
      <c r="G60" s="187"/>
      <c r="H60" s="195"/>
      <c r="I60" s="164"/>
      <c r="J60" s="189"/>
      <c r="K60" s="213"/>
      <c r="L60" s="183"/>
      <c r="M60" s="134"/>
      <c r="N60" s="135"/>
      <c r="O60" s="135"/>
      <c r="P60" s="112" t="str">
        <f>iferror(mround(I60/VLOOKUP(L60,Sheet1!$D$7:$N$16,G60+1,FALSE),2.5),"")</f>
        <v/>
      </c>
      <c r="Q60" s="136"/>
      <c r="R60" s="214"/>
      <c r="S60" s="11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</row>
    <row r="61" ht="3.75" hidden="1" customHeight="1">
      <c r="A61" s="90"/>
      <c r="B61" s="6"/>
      <c r="C61" s="90"/>
      <c r="D61" s="138"/>
      <c r="E61" s="215"/>
      <c r="F61" s="102"/>
      <c r="G61" s="102"/>
      <c r="H61" s="102"/>
      <c r="I61" s="102"/>
      <c r="J61" s="156"/>
      <c r="K61" s="217"/>
      <c r="L61" s="143"/>
      <c r="M61" s="144"/>
      <c r="N61" s="145"/>
      <c r="O61" s="145"/>
      <c r="P61" s="122"/>
      <c r="Q61" s="146"/>
      <c r="R61" s="214"/>
      <c r="S61" s="11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</row>
    <row r="62" ht="15.75" hidden="1" customHeight="1">
      <c r="A62" s="90"/>
      <c r="B62" s="6"/>
      <c r="C62" s="90"/>
      <c r="D62" s="185"/>
      <c r="E62" s="220"/>
      <c r="F62" s="187"/>
      <c r="G62" s="187"/>
      <c r="H62" s="195"/>
      <c r="I62" s="164"/>
      <c r="J62" s="189"/>
      <c r="K62" s="213"/>
      <c r="L62" s="183"/>
      <c r="M62" s="134"/>
      <c r="N62" s="135"/>
      <c r="O62" s="135"/>
      <c r="P62" s="112" t="str">
        <f>iferror(mround(I62/VLOOKUP(L62,Sheet1!$D$7:$N$16,G62+1,FALSE),2.5),"")</f>
        <v/>
      </c>
      <c r="Q62" s="136"/>
      <c r="R62" s="214"/>
      <c r="S62" s="11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</row>
    <row r="63" ht="3.75" hidden="1" customHeight="1">
      <c r="A63" s="191"/>
      <c r="B63" s="6"/>
      <c r="C63" s="192"/>
      <c r="D63" s="138"/>
      <c r="E63" s="313"/>
      <c r="F63" s="194"/>
      <c r="G63" s="194"/>
      <c r="H63" s="155"/>
      <c r="I63" s="210"/>
      <c r="J63" s="216"/>
      <c r="K63" s="217"/>
      <c r="L63" s="143"/>
      <c r="M63" s="144"/>
      <c r="N63" s="145"/>
      <c r="O63" s="145"/>
      <c r="P63" s="122"/>
      <c r="Q63" s="146"/>
      <c r="R63" s="214"/>
      <c r="S63" s="157"/>
      <c r="T63" s="5"/>
      <c r="U63" s="5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</row>
    <row r="64" ht="15.75" hidden="1" customHeight="1">
      <c r="A64" s="90"/>
      <c r="B64" s="6"/>
      <c r="C64" s="90"/>
      <c r="D64" s="185"/>
      <c r="E64" s="312"/>
      <c r="F64" s="187"/>
      <c r="G64" s="187"/>
      <c r="H64" s="195"/>
      <c r="I64" s="164"/>
      <c r="J64" s="189"/>
      <c r="K64" s="213"/>
      <c r="L64" s="183"/>
      <c r="M64" s="134"/>
      <c r="N64" s="135"/>
      <c r="O64" s="135"/>
      <c r="P64" s="112" t="str">
        <f>iferror(mround(I64/VLOOKUP(L64,Sheet1!$D$7:$N$16,G64+1,FALSE),2.5),"")</f>
        <v/>
      </c>
      <c r="Q64" s="136"/>
      <c r="R64" s="214"/>
      <c r="S64" s="11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</row>
    <row r="65" ht="3.75" hidden="1" customHeight="1">
      <c r="A65" s="90"/>
      <c r="B65" s="6"/>
      <c r="C65" s="90"/>
      <c r="D65" s="196"/>
      <c r="E65" s="215"/>
      <c r="F65" s="102"/>
      <c r="G65" s="102"/>
      <c r="H65" s="102"/>
      <c r="I65" s="102"/>
      <c r="J65" s="156"/>
      <c r="K65" s="217"/>
      <c r="L65" s="143"/>
      <c r="M65" s="144"/>
      <c r="N65" s="145"/>
      <c r="O65" s="145"/>
      <c r="P65" s="122"/>
      <c r="Q65" s="146"/>
      <c r="R65" s="214"/>
      <c r="S65" s="11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</row>
    <row r="66" ht="15.75" hidden="1" customHeight="1">
      <c r="A66" s="90"/>
      <c r="B66" s="6"/>
      <c r="C66" s="90"/>
      <c r="D66" s="197"/>
      <c r="E66" s="314"/>
      <c r="F66" s="199"/>
      <c r="G66" s="187"/>
      <c r="H66" s="195"/>
      <c r="I66" s="164"/>
      <c r="J66" s="189"/>
      <c r="K66" s="213"/>
      <c r="L66" s="183"/>
      <c r="M66" s="134"/>
      <c r="N66" s="135"/>
      <c r="O66" s="135"/>
      <c r="P66" s="112" t="str">
        <f>iferror(mround(I66/VLOOKUP(L66,Sheet1!$D$7:$N$16,G66+1,FALSE),2.5),"")</f>
        <v/>
      </c>
      <c r="Q66" s="136"/>
      <c r="R66" s="214"/>
      <c r="S66" s="11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</row>
    <row r="67" ht="3.75" hidden="1" customHeight="1">
      <c r="A67" s="90"/>
      <c r="B67" s="6"/>
      <c r="C67" s="90"/>
      <c r="D67" s="90"/>
      <c r="E67" s="120"/>
      <c r="F67" s="102"/>
      <c r="G67" s="102"/>
      <c r="H67" s="102"/>
      <c r="I67" s="102"/>
      <c r="J67" s="156"/>
      <c r="K67" s="315"/>
      <c r="L67" s="201"/>
      <c r="M67" s="211"/>
      <c r="N67" s="47"/>
      <c r="O67" s="47"/>
      <c r="P67" s="122"/>
      <c r="Q67" s="146"/>
      <c r="R67" s="214"/>
      <c r="S67" s="11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</row>
    <row r="68" ht="30.75" customHeight="1">
      <c r="A68" s="90"/>
      <c r="B68" s="6"/>
      <c r="C68" s="90"/>
      <c r="D68" s="104" t="s">
        <v>49</v>
      </c>
      <c r="E68" s="105" t="s">
        <v>89</v>
      </c>
      <c r="F68" s="106" t="s">
        <v>16</v>
      </c>
      <c r="G68" s="106" t="s">
        <v>17</v>
      </c>
      <c r="H68" s="107"/>
      <c r="I68" s="106" t="s">
        <v>18</v>
      </c>
      <c r="J68" s="108" t="s">
        <v>19</v>
      </c>
      <c r="L68" s="109" t="s">
        <v>20</v>
      </c>
      <c r="M68" s="110" t="s">
        <v>21</v>
      </c>
      <c r="N68" s="111" t="s">
        <v>22</v>
      </c>
      <c r="P68" s="112"/>
      <c r="Q68" s="113" t="s">
        <v>23</v>
      </c>
      <c r="R68" s="114" t="s">
        <v>50</v>
      </c>
      <c r="S68" s="11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</row>
    <row r="69" ht="14.25" customHeight="1">
      <c r="A69" s="90"/>
      <c r="B69" s="6"/>
      <c r="C69" s="90"/>
      <c r="D69" s="116" t="s">
        <v>102</v>
      </c>
      <c r="E69" s="117">
        <v>2.0</v>
      </c>
      <c r="H69" s="107"/>
      <c r="N69" s="111" t="s">
        <v>27</v>
      </c>
      <c r="O69" s="111" t="s">
        <v>28</v>
      </c>
      <c r="P69" s="112" t="s">
        <v>29</v>
      </c>
      <c r="R69" s="118" t="s">
        <v>30</v>
      </c>
      <c r="S69" s="11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</row>
    <row r="70" ht="3.75" customHeight="1">
      <c r="A70" s="191"/>
      <c r="B70" s="6"/>
      <c r="C70" s="192"/>
      <c r="D70" s="203"/>
      <c r="E70" s="203"/>
      <c r="F70" s="205"/>
      <c r="G70" s="205"/>
      <c r="H70" s="205"/>
      <c r="I70" s="225"/>
      <c r="J70" s="226"/>
      <c r="K70" s="316"/>
      <c r="L70" s="210"/>
      <c r="M70" s="211"/>
      <c r="N70" s="47"/>
      <c r="O70" s="47"/>
      <c r="P70" s="122"/>
      <c r="Q70" s="146"/>
      <c r="R70" s="212"/>
      <c r="S70" s="157"/>
      <c r="T70" s="5"/>
      <c r="U70" s="5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</row>
    <row r="71" ht="15.75" customHeight="1">
      <c r="A71" s="124"/>
      <c r="B71" s="6"/>
      <c r="C71" s="124"/>
      <c r="D71" s="125" t="s">
        <v>90</v>
      </c>
      <c r="E71" s="126"/>
      <c r="F71" s="127">
        <v>1.0</v>
      </c>
      <c r="G71" s="240">
        <v>4.0</v>
      </c>
      <c r="H71" s="129"/>
      <c r="I71" s="130">
        <v>397.0</v>
      </c>
      <c r="J71" s="151">
        <v>6.5</v>
      </c>
      <c r="K71" s="213"/>
      <c r="L71" s="133">
        <v>6.5</v>
      </c>
      <c r="M71" s="134"/>
      <c r="N71" s="135" t="str">
        <f>iferror(mround(#REF!*((VLOOKUP($J71,Sheet1!$D:$N,$G71+1,FALSE)-0.03)),2.5)," ")</f>
        <v> </v>
      </c>
      <c r="O71" s="135" t="str">
        <f>iferror(mround(#REF!*((VLOOKUP($J71,Sheet1!$D:$N,$G71+1,FALSE)+0.02)),2.5)," ")</f>
        <v> </v>
      </c>
      <c r="P71" s="112">
        <f>iferror(mround(I71/VLOOKUP(L71,Sheet1!$D$7:$N$16,G71+1,FALSE),2.5),"")</f>
        <v>495</v>
      </c>
      <c r="Q71" s="136"/>
      <c r="R71" s="214"/>
      <c r="S71" s="11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</row>
    <row r="72" ht="3.75" customHeight="1">
      <c r="A72" s="124"/>
      <c r="B72" s="6"/>
      <c r="C72" s="124"/>
      <c r="D72" s="138"/>
      <c r="E72" s="139"/>
      <c r="F72" s="140"/>
      <c r="G72" s="140"/>
      <c r="H72" s="140"/>
      <c r="I72" s="140"/>
      <c r="J72" s="141"/>
      <c r="K72" s="217"/>
      <c r="L72" s="218"/>
      <c r="M72" s="144"/>
      <c r="N72" s="145"/>
      <c r="O72" s="145"/>
      <c r="P72" s="122"/>
      <c r="Q72" s="146"/>
      <c r="R72" s="214"/>
      <c r="S72" s="11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</row>
    <row r="73" ht="15.75" customHeight="1">
      <c r="A73" s="90"/>
      <c r="B73" s="6"/>
      <c r="C73" s="90"/>
      <c r="D73" s="125" t="s">
        <v>77</v>
      </c>
      <c r="E73" s="126"/>
      <c r="F73" s="127">
        <v>3.0</v>
      </c>
      <c r="G73" s="240">
        <v>5.0</v>
      </c>
      <c r="H73" s="129"/>
      <c r="I73" s="164">
        <f>MROUND(I71*(1+J73),5)</f>
        <v>355</v>
      </c>
      <c r="J73" s="165">
        <v>-0.1</v>
      </c>
      <c r="K73" s="213"/>
      <c r="L73" s="133"/>
      <c r="M73" s="134"/>
      <c r="N73" s="135" t="str">
        <f>iferror(mround(#REF!*((VLOOKUP($J73,Sheet1!$D:$N,$G73+1,FALSE)-0.03)),2.5)," ")</f>
        <v> </v>
      </c>
      <c r="O73" s="135" t="str">
        <f>iferror(mround(#REF!*((VLOOKUP($J73,Sheet1!$D:$N,$G73+1,FALSE)+0.02)),2.5)," ")</f>
        <v> </v>
      </c>
      <c r="P73" s="112" t="str">
        <f>iferror(mround(I73/VLOOKUP(L73,Sheet1!$D$7:$N$16,G73+1,FALSE),2.5),"")</f>
        <v/>
      </c>
      <c r="Q73" s="136"/>
      <c r="R73" s="214"/>
      <c r="S73" s="11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</row>
    <row r="74" ht="3.75" customHeight="1">
      <c r="A74" s="90"/>
      <c r="B74" s="6"/>
      <c r="C74" s="90"/>
      <c r="D74" s="138"/>
      <c r="E74" s="215"/>
      <c r="F74" s="102"/>
      <c r="G74" s="102"/>
      <c r="H74" s="102"/>
      <c r="I74" s="102"/>
      <c r="J74" s="156"/>
      <c r="K74" s="217"/>
      <c r="L74" s="218"/>
      <c r="M74" s="144"/>
      <c r="N74" s="145"/>
      <c r="O74" s="145"/>
      <c r="P74" s="122"/>
      <c r="Q74" s="146"/>
      <c r="R74" s="214"/>
      <c r="S74" s="11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</row>
    <row r="75" ht="15.75" customHeight="1">
      <c r="A75" s="90"/>
      <c r="B75" s="6"/>
      <c r="C75" s="90"/>
      <c r="D75" s="159" t="s">
        <v>33</v>
      </c>
      <c r="E75" s="160" t="s">
        <v>34</v>
      </c>
      <c r="F75" s="127">
        <v>3.0</v>
      </c>
      <c r="G75" s="161">
        <v>2.0</v>
      </c>
      <c r="H75" s="129"/>
      <c r="I75" s="130">
        <v>271.0</v>
      </c>
      <c r="J75" s="151">
        <v>7.0</v>
      </c>
      <c r="K75" s="219" t="s">
        <v>91</v>
      </c>
      <c r="L75" s="133"/>
      <c r="M75" s="134"/>
      <c r="N75" s="135" t="str">
        <f>iferror(mround(#REF!*((VLOOKUP($J75,Sheet1!$D:$N,$G75+1,FALSE)-0.03)),2.5)," ")</f>
        <v> </v>
      </c>
      <c r="O75" s="135" t="str">
        <f>iferror(mround(#REF!*((VLOOKUP($J75,Sheet1!$D:$N,$G75+1,FALSE)+0.02)),2.5)," ")</f>
        <v> </v>
      </c>
      <c r="P75" s="112" t="str">
        <f>iferror(mround(I75/VLOOKUP(L75,Sheet1!$D$7:$N$16,G75+1,FALSE),2.5),"")</f>
        <v/>
      </c>
      <c r="Q75" s="136"/>
      <c r="R75" s="214"/>
      <c r="S75" s="11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</row>
    <row r="76" ht="3.75" customHeight="1">
      <c r="A76" s="90"/>
      <c r="B76" s="6"/>
      <c r="C76" s="90"/>
      <c r="D76" s="138"/>
      <c r="E76" s="154"/>
      <c r="F76" s="155"/>
      <c r="G76" s="102"/>
      <c r="H76" s="102"/>
      <c r="I76" s="102"/>
      <c r="J76" s="156"/>
      <c r="K76" s="217"/>
      <c r="L76" s="218"/>
      <c r="M76" s="144"/>
      <c r="N76" s="145"/>
      <c r="O76" s="145"/>
      <c r="P76" s="122"/>
      <c r="Q76" s="146"/>
      <c r="R76" s="214"/>
      <c r="S76" s="11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</row>
    <row r="77" ht="15.75" customHeight="1">
      <c r="A77" s="90"/>
      <c r="B77" s="6"/>
      <c r="C77" s="90"/>
      <c r="D77" s="159" t="s">
        <v>45</v>
      </c>
      <c r="E77" s="220"/>
      <c r="F77" s="127">
        <v>3.0</v>
      </c>
      <c r="G77" s="127" t="s">
        <v>41</v>
      </c>
      <c r="H77" s="195"/>
      <c r="I77" s="130"/>
      <c r="J77" s="151"/>
      <c r="K77" s="213"/>
      <c r="L77" s="133"/>
      <c r="M77" s="134"/>
      <c r="N77" s="135" t="str">
        <f>iferror(mround(#REF!*((VLOOKUP($J77,Sheet1!$D:$N,$G77+1,FALSE)-0.03)),2.5)," ")</f>
        <v> </v>
      </c>
      <c r="O77" s="135" t="str">
        <f>iferror(mround(#REF!*((VLOOKUP($J77,Sheet1!$D:$N,$G77+1,FALSE)+0.02)),2.5)," ")</f>
        <v> </v>
      </c>
      <c r="P77" s="112" t="str">
        <f>iferror(mround(I77/VLOOKUP(L77,Sheet1!$D$7:$N$16,G77+1,FALSE),2.5),"")</f>
        <v/>
      </c>
      <c r="Q77" s="136"/>
      <c r="R77" s="214"/>
      <c r="S77" s="11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</row>
    <row r="78" ht="3.75" customHeight="1">
      <c r="A78" s="90"/>
      <c r="B78" s="6"/>
      <c r="C78" s="90"/>
      <c r="D78" s="138"/>
      <c r="E78" s="215"/>
      <c r="F78" s="102"/>
      <c r="G78" s="102"/>
      <c r="H78" s="102"/>
      <c r="I78" s="102"/>
      <c r="J78" s="156"/>
      <c r="K78" s="217"/>
      <c r="L78" s="218"/>
      <c r="M78" s="144"/>
      <c r="N78" s="145"/>
      <c r="O78" s="145"/>
      <c r="P78" s="122"/>
      <c r="Q78" s="146"/>
      <c r="R78" s="214"/>
      <c r="S78" s="11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</row>
    <row r="79" ht="15.75" customHeight="1">
      <c r="A79" s="90"/>
      <c r="B79" s="6"/>
      <c r="C79" s="90"/>
      <c r="D79" s="159" t="s">
        <v>94</v>
      </c>
      <c r="E79" s="220"/>
      <c r="F79" s="127">
        <v>3.0</v>
      </c>
      <c r="G79" s="221">
        <v>45641.0</v>
      </c>
      <c r="H79" s="195"/>
      <c r="I79" s="130"/>
      <c r="J79" s="151">
        <v>9.0</v>
      </c>
      <c r="K79" s="213"/>
      <c r="L79" s="133"/>
      <c r="M79" s="134"/>
      <c r="N79" s="135" t="str">
        <f>iferror(mround(#REF!*((VLOOKUP($J79,Sheet1!$D:$N,$G79+1,FALSE)-0.03)),2.5)," ")</f>
        <v> </v>
      </c>
      <c r="O79" s="135" t="str">
        <f>iferror(mround(#REF!*((VLOOKUP($J79,Sheet1!$D:$N,$G79+1,FALSE)+0.02)),2.5)," ")</f>
        <v> </v>
      </c>
      <c r="P79" s="112" t="str">
        <f>iferror(mround(I79/VLOOKUP(L79,Sheet1!$D$7:$N$16,G79+1,FALSE),2.5),"")</f>
        <v/>
      </c>
      <c r="Q79" s="136"/>
      <c r="R79" s="214"/>
      <c r="S79" s="11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</row>
    <row r="80" ht="3.75" customHeight="1">
      <c r="A80" s="90"/>
      <c r="B80" s="6"/>
      <c r="C80" s="90"/>
      <c r="D80" s="138"/>
      <c r="E80" s="215"/>
      <c r="F80" s="102"/>
      <c r="G80" s="102"/>
      <c r="H80" s="102"/>
      <c r="I80" s="102"/>
      <c r="J80" s="156"/>
      <c r="K80" s="217"/>
      <c r="L80" s="218"/>
      <c r="M80" s="144"/>
      <c r="N80" s="145"/>
      <c r="O80" s="145"/>
      <c r="P80" s="122"/>
      <c r="Q80" s="146"/>
      <c r="R80" s="214"/>
      <c r="S80" s="11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</row>
    <row r="81" ht="15.75" hidden="1" customHeight="1">
      <c r="A81" s="90"/>
      <c r="B81" s="6"/>
      <c r="C81" s="90"/>
      <c r="D81" s="185"/>
      <c r="E81" s="220"/>
      <c r="F81" s="187"/>
      <c r="G81" s="229"/>
      <c r="H81" s="195"/>
      <c r="I81" s="164"/>
      <c r="J81" s="189"/>
      <c r="K81" s="213"/>
      <c r="L81" s="183"/>
      <c r="M81" s="134"/>
      <c r="N81" s="135" t="str">
        <f>iferror(mround(#REF!*((VLOOKUP($J81,Sheet1!$D:$N,$G81+1,FALSE)-0.03)),2.5)," ")</f>
        <v> </v>
      </c>
      <c r="O81" s="135" t="str">
        <f>iferror(mround(#REF!*((VLOOKUP($J81,Sheet1!$D:$N,$G81+1,FALSE)+0.02)),2.5)," ")</f>
        <v> </v>
      </c>
      <c r="P81" s="112" t="str">
        <f>iferror(mround(I81/VLOOKUP(L81,Sheet1!$D$7:$N$16,G81+1,FALSE),2.5),"")</f>
        <v/>
      </c>
      <c r="Q81" s="136"/>
      <c r="R81" s="214"/>
      <c r="S81" s="11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</row>
    <row r="82" ht="3.75" hidden="1" customHeight="1">
      <c r="A82" s="90"/>
      <c r="B82" s="6"/>
      <c r="C82" s="90"/>
      <c r="D82" s="138"/>
      <c r="E82" s="215"/>
      <c r="F82" s="102"/>
      <c r="G82" s="102"/>
      <c r="H82" s="102"/>
      <c r="I82" s="102"/>
      <c r="J82" s="216"/>
      <c r="K82" s="217"/>
      <c r="L82" s="218"/>
      <c r="M82" s="144"/>
      <c r="N82" s="145"/>
      <c r="O82" s="145"/>
      <c r="P82" s="122"/>
      <c r="Q82" s="146"/>
      <c r="R82" s="214"/>
      <c r="S82" s="11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</row>
    <row r="83" ht="15.75" hidden="1" customHeight="1">
      <c r="A83" s="90"/>
      <c r="B83" s="6"/>
      <c r="C83" s="90"/>
      <c r="D83" s="185"/>
      <c r="E83" s="220"/>
      <c r="F83" s="187"/>
      <c r="G83" s="229"/>
      <c r="H83" s="195"/>
      <c r="I83" s="164"/>
      <c r="J83" s="189"/>
      <c r="K83" s="213"/>
      <c r="L83" s="183"/>
      <c r="M83" s="134"/>
      <c r="N83" s="135" t="str">
        <f>iferror(mround(#REF!*((VLOOKUP($J83,Sheet1!$D:$N,$G83+1,FALSE)-0.03)),2.5)," ")</f>
        <v> </v>
      </c>
      <c r="O83" s="135" t="str">
        <f>iferror(mround(#REF!*((VLOOKUP($J83,Sheet1!$D:$N,$G83+1,FALSE)+0.02)),2.5)," ")</f>
        <v> </v>
      </c>
      <c r="P83" s="112" t="str">
        <f>iferror(mround(I83/VLOOKUP(L83,Sheet1!$D$7:$N$16,G83+1,FALSE),2.5),"")</f>
        <v/>
      </c>
      <c r="Q83" s="136"/>
      <c r="R83" s="214"/>
      <c r="S83" s="11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</row>
    <row r="84" ht="3.75" hidden="1" customHeight="1">
      <c r="A84" s="191"/>
      <c r="B84" s="6"/>
      <c r="C84" s="192"/>
      <c r="D84" s="138"/>
      <c r="E84" s="215"/>
      <c r="F84" s="102"/>
      <c r="G84" s="102"/>
      <c r="H84" s="102"/>
      <c r="I84" s="102"/>
      <c r="J84" s="156"/>
      <c r="K84" s="217"/>
      <c r="L84" s="218"/>
      <c r="M84" s="144"/>
      <c r="N84" s="145"/>
      <c r="O84" s="145"/>
      <c r="P84" s="122"/>
      <c r="Q84" s="146"/>
      <c r="R84" s="214"/>
      <c r="S84" s="157"/>
      <c r="T84" s="5"/>
      <c r="U84" s="5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</row>
    <row r="85" ht="15.75" hidden="1" customHeight="1">
      <c r="A85" s="90"/>
      <c r="B85" s="6"/>
      <c r="C85" s="90"/>
      <c r="D85" s="185"/>
      <c r="E85" s="220"/>
      <c r="F85" s="187"/>
      <c r="G85" s="187"/>
      <c r="H85" s="195"/>
      <c r="I85" s="164"/>
      <c r="J85" s="230"/>
      <c r="K85" s="213"/>
      <c r="L85" s="183"/>
      <c r="M85" s="134"/>
      <c r="N85" s="135" t="str">
        <f>iferror(mround(#REF!*((VLOOKUP($J85,Sheet1!$D:$N,$G85+1,FALSE)-0.03)),2.5)," ")</f>
        <v> </v>
      </c>
      <c r="O85" s="135" t="str">
        <f>iferror(mround(#REF!*((VLOOKUP($J85,Sheet1!$D:$N,$G85+1,FALSE)+0.02)),2.5)," ")</f>
        <v> </v>
      </c>
      <c r="P85" s="112" t="str">
        <f>iferror(mround(I85/VLOOKUP(L85,Sheet1!$D$7:$N$16,G85+1,FALSE),2.5),"")</f>
        <v/>
      </c>
      <c r="Q85" s="136"/>
      <c r="R85" s="214"/>
      <c r="S85" s="11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</row>
    <row r="86" ht="3.75" hidden="1" customHeight="1">
      <c r="A86" s="90"/>
      <c r="B86" s="6"/>
      <c r="C86" s="90"/>
      <c r="D86" s="138"/>
      <c r="E86" s="215"/>
      <c r="F86" s="102"/>
      <c r="G86" s="102"/>
      <c r="H86" s="102"/>
      <c r="I86" s="102"/>
      <c r="J86" s="156"/>
      <c r="K86" s="217"/>
      <c r="L86" s="218"/>
      <c r="M86" s="144"/>
      <c r="N86" s="145"/>
      <c r="O86" s="145"/>
      <c r="P86" s="122"/>
      <c r="Q86" s="146"/>
      <c r="R86" s="214"/>
      <c r="S86" s="11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</row>
    <row r="87" ht="15.75" hidden="1" customHeight="1">
      <c r="A87" s="90"/>
      <c r="B87" s="6"/>
      <c r="C87" s="90"/>
      <c r="D87" s="231"/>
      <c r="E87" s="317"/>
      <c r="F87" s="187"/>
      <c r="G87" s="187"/>
      <c r="H87" s="195"/>
      <c r="I87" s="164"/>
      <c r="J87" s="230"/>
      <c r="K87" s="213"/>
      <c r="L87" s="183"/>
      <c r="M87" s="134"/>
      <c r="N87" s="135" t="str">
        <f>iferror(mround(#REF!*((VLOOKUP($J87,Sheet1!$D:$N,$G87+1,FALSE)-0.03)),2.5)," ")</f>
        <v> </v>
      </c>
      <c r="O87" s="135" t="str">
        <f>iferror(mround(#REF!*((VLOOKUP($J87,Sheet1!$D:$N,$G87+1,FALSE)+0.02)),2.5)," ")</f>
        <v> </v>
      </c>
      <c r="P87" s="112" t="str">
        <f>iferror(mround(I87/VLOOKUP(L87,Sheet1!$D$7:$N$16,G87+1,FALSE),2.5),"")</f>
        <v/>
      </c>
      <c r="Q87" s="136"/>
      <c r="R87" s="214"/>
      <c r="S87" s="11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</row>
    <row r="88" ht="3.75" hidden="1" customHeight="1">
      <c r="A88" s="191"/>
      <c r="B88" s="6"/>
      <c r="C88" s="233"/>
      <c r="D88" s="234"/>
      <c r="E88" s="318"/>
      <c r="F88" s="236"/>
      <c r="G88" s="194"/>
      <c r="H88" s="155"/>
      <c r="I88" s="210"/>
      <c r="J88" s="216"/>
      <c r="K88" s="217"/>
      <c r="L88" s="218"/>
      <c r="M88" s="144"/>
      <c r="N88" s="145"/>
      <c r="O88" s="145"/>
      <c r="P88" s="122"/>
      <c r="Q88" s="146"/>
      <c r="R88" s="214"/>
      <c r="S88" s="157"/>
      <c r="T88" s="5"/>
      <c r="U88" s="5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</row>
    <row r="89" ht="15.75" hidden="1" customHeight="1">
      <c r="A89" s="90"/>
      <c r="B89" s="6"/>
      <c r="C89" s="90"/>
      <c r="D89" s="197"/>
      <c r="E89" s="314"/>
      <c r="F89" s="199"/>
      <c r="G89" s="187"/>
      <c r="H89" s="195"/>
      <c r="I89" s="164"/>
      <c r="J89" s="189"/>
      <c r="K89" s="213"/>
      <c r="L89" s="183"/>
      <c r="M89" s="134"/>
      <c r="N89" s="135" t="str">
        <f>iferror(mround(#REF!*((VLOOKUP($J89,Sheet1!$D:$N,$G89+1,FALSE)-0.03)),2.5)," ")</f>
        <v> </v>
      </c>
      <c r="O89" s="135" t="str">
        <f>iferror(mround(#REF!*((VLOOKUP($J89,Sheet1!$D:$N,$G89+1,FALSE)+0.02)),2.5)," ")</f>
        <v> </v>
      </c>
      <c r="P89" s="112" t="str">
        <f>iferror(mround(I89/VLOOKUP(L89,Sheet1!$D$7:$N$16,G89+1,FALSE),2.5),"")</f>
        <v/>
      </c>
      <c r="Q89" s="136"/>
      <c r="R89" s="214"/>
      <c r="S89" s="11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</row>
    <row r="90" ht="3.75" customHeight="1">
      <c r="A90" s="90"/>
      <c r="B90" s="6"/>
      <c r="C90" s="90"/>
      <c r="D90" s="90"/>
      <c r="E90" s="120"/>
      <c r="F90" s="102"/>
      <c r="G90" s="102"/>
      <c r="H90" s="102"/>
      <c r="I90" s="102"/>
      <c r="J90" s="156"/>
      <c r="K90" s="200"/>
      <c r="L90" s="201"/>
      <c r="M90" s="211"/>
      <c r="N90" s="47"/>
      <c r="O90" s="47"/>
      <c r="P90" s="122"/>
      <c r="Q90" s="146"/>
      <c r="R90" s="214"/>
      <c r="S90" s="11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</row>
    <row r="91" ht="30.0" customHeight="1">
      <c r="A91" s="90"/>
      <c r="B91" s="6"/>
      <c r="C91" s="90"/>
      <c r="D91" s="104" t="s">
        <v>55</v>
      </c>
      <c r="E91" s="105" t="s">
        <v>15</v>
      </c>
      <c r="F91" s="106" t="s">
        <v>16</v>
      </c>
      <c r="G91" s="106" t="s">
        <v>17</v>
      </c>
      <c r="H91" s="107"/>
      <c r="I91" s="106" t="s">
        <v>18</v>
      </c>
      <c r="J91" s="108" t="s">
        <v>19</v>
      </c>
      <c r="L91" s="109" t="s">
        <v>20</v>
      </c>
      <c r="M91" s="110" t="s">
        <v>21</v>
      </c>
      <c r="N91" s="111" t="s">
        <v>22</v>
      </c>
      <c r="P91" s="112"/>
      <c r="Q91" s="113" t="s">
        <v>23</v>
      </c>
      <c r="R91" s="114" t="s">
        <v>56</v>
      </c>
      <c r="S91" s="11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</row>
    <row r="92" ht="14.25" customHeight="1">
      <c r="A92" s="90"/>
      <c r="B92" s="6"/>
      <c r="C92" s="90"/>
      <c r="D92" s="116" t="s">
        <v>25</v>
      </c>
      <c r="E92" s="117" t="s">
        <v>26</v>
      </c>
      <c r="H92" s="107"/>
      <c r="N92" s="111" t="s">
        <v>27</v>
      </c>
      <c r="O92" s="111" t="s">
        <v>28</v>
      </c>
      <c r="P92" s="112" t="s">
        <v>29</v>
      </c>
      <c r="R92" s="118" t="s">
        <v>30</v>
      </c>
      <c r="S92" s="11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</row>
    <row r="93" ht="3.75" customHeight="1">
      <c r="A93" s="191"/>
      <c r="B93" s="6"/>
      <c r="C93" s="192"/>
      <c r="D93" s="310"/>
      <c r="E93" s="204"/>
      <c r="F93" s="205"/>
      <c r="G93" s="205"/>
      <c r="H93" s="205"/>
      <c r="I93" s="225"/>
      <c r="J93" s="319"/>
      <c r="K93" s="243"/>
      <c r="L93" s="238"/>
      <c r="M93" s="211"/>
      <c r="N93" s="47" t="str">
        <f>iferror(mround(#REF!*((VLOOKUP($J93,Sheet1!$D:$N,$G93+1,FALSE)-0.03)),2.5)," ")</f>
        <v> </v>
      </c>
      <c r="O93" s="47" t="str">
        <f>iferror(mround(#REF!*((VLOOKUP($J93,Sheet1!$D:$N,$G93+1,FALSE)+0.02)),2.5)," ")</f>
        <v> </v>
      </c>
      <c r="P93" s="122"/>
      <c r="Q93" s="146"/>
      <c r="R93" s="239"/>
      <c r="S93" s="157"/>
      <c r="T93" s="5"/>
      <c r="U93" s="5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</row>
    <row r="94" ht="15.75" customHeight="1">
      <c r="A94" s="124"/>
      <c r="B94" s="6"/>
      <c r="C94" s="124"/>
      <c r="D94" s="125" t="s">
        <v>97</v>
      </c>
      <c r="E94" s="126"/>
      <c r="F94" s="127">
        <v>1.0</v>
      </c>
      <c r="G94" s="240">
        <v>4.0</v>
      </c>
      <c r="H94" s="129"/>
      <c r="I94" s="130"/>
      <c r="J94" s="151">
        <v>6.5</v>
      </c>
      <c r="K94" s="241"/>
      <c r="L94" s="130"/>
      <c r="M94" s="134"/>
      <c r="N94" s="135" t="str">
        <f>iferror(mround(#REF!*((VLOOKUP($J94,Sheet1!$D:$N,$G94+1,FALSE)-0.03)),2.5)," ")</f>
        <v> </v>
      </c>
      <c r="O94" s="135" t="str">
        <f>iferror(mround(#REF!*((VLOOKUP($J94,Sheet1!$D:$N,$G94+1,FALSE)+0.02)),2.5)," ")</f>
        <v> </v>
      </c>
      <c r="P94" s="112" t="str">
        <f>iferror(mround(I94/VLOOKUP(L94,Sheet1!$D$7:$N$16,G94+1,FALSE),2.5),"")</f>
        <v/>
      </c>
      <c r="Q94" s="136"/>
      <c r="R94" s="242"/>
      <c r="S94" s="11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</row>
    <row r="95" ht="3.75" customHeight="1">
      <c r="A95" s="124"/>
      <c r="B95" s="6"/>
      <c r="C95" s="124"/>
      <c r="D95" s="138"/>
      <c r="E95" s="139"/>
      <c r="F95" s="140"/>
      <c r="G95" s="140"/>
      <c r="H95" s="140"/>
      <c r="I95" s="140"/>
      <c r="J95" s="141"/>
      <c r="K95" s="243"/>
      <c r="L95" s="210"/>
      <c r="M95" s="144"/>
      <c r="N95" s="145" t="str">
        <f>iferror(mround(#REF!*((VLOOKUP($J95,Sheet1!$D:$N,$G95+1,FALSE)-0.03)),2.5)," ")</f>
        <v> </v>
      </c>
      <c r="O95" s="145" t="str">
        <f>iferror(mround(#REF!*((VLOOKUP($J95,Sheet1!$D:$N,$G95+1,FALSE)+0.02)),2.5)," ")</f>
        <v> </v>
      </c>
      <c r="P95" s="122"/>
      <c r="Q95" s="146"/>
      <c r="R95" s="242"/>
      <c r="S95" s="11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</row>
    <row r="96" ht="15.0" customHeight="1">
      <c r="A96" s="124"/>
      <c r="B96" s="6"/>
      <c r="C96" s="124"/>
      <c r="D96" s="125" t="s">
        <v>97</v>
      </c>
      <c r="E96" s="126"/>
      <c r="F96" s="127">
        <v>3.0</v>
      </c>
      <c r="G96" s="240">
        <v>4.0</v>
      </c>
      <c r="H96" s="129"/>
      <c r="I96" s="164">
        <f>MROUND(I94*(1+J96),5)</f>
        <v>0</v>
      </c>
      <c r="J96" s="165">
        <v>-0.1</v>
      </c>
      <c r="K96" s="241"/>
      <c r="L96" s="130"/>
      <c r="M96" s="134"/>
      <c r="N96" s="135" t="str">
        <f>iferror(mround(#REF!*((VLOOKUP($J96,Sheet1!$D:$N,$G96+1,FALSE)-0.03)),2.5)," ")</f>
        <v> </v>
      </c>
      <c r="O96" s="135" t="str">
        <f>iferror(mround(#REF!*((VLOOKUP($J96,Sheet1!$D:$N,$G96+1,FALSE)+0.02)),2.5)," ")</f>
        <v> </v>
      </c>
      <c r="P96" s="112" t="str">
        <f>iferror(mround(I96/VLOOKUP(L96,Sheet1!$D$7:$N$16,G96+1,FALSE),2.5),"")</f>
        <v/>
      </c>
      <c r="Q96" s="136"/>
      <c r="R96" s="242"/>
      <c r="S96" s="11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</row>
    <row r="97" ht="3.75" customHeight="1">
      <c r="A97" s="124"/>
      <c r="B97" s="6"/>
      <c r="C97" s="124"/>
      <c r="D97" s="138"/>
      <c r="E97" s="215"/>
      <c r="F97" s="102"/>
      <c r="G97" s="102"/>
      <c r="H97" s="102"/>
      <c r="I97" s="102"/>
      <c r="J97" s="156"/>
      <c r="K97" s="243"/>
      <c r="L97" s="210"/>
      <c r="M97" s="144"/>
      <c r="N97" s="145" t="str">
        <f>iferror(mround(#REF!*((VLOOKUP($J97,Sheet1!$D:$N,$G97+1,FALSE)-0.03)),2.5)," ")</f>
        <v> </v>
      </c>
      <c r="O97" s="145" t="str">
        <f>iferror(mround(#REF!*((VLOOKUP($J97,Sheet1!$D:$N,$G97+1,FALSE)+0.02)),2.5)," ")</f>
        <v> </v>
      </c>
      <c r="P97" s="122"/>
      <c r="Q97" s="146"/>
      <c r="R97" s="242"/>
      <c r="S97" s="11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</row>
    <row r="98" ht="15.75" customHeight="1">
      <c r="A98" s="124"/>
      <c r="B98" s="6"/>
      <c r="C98" s="124"/>
      <c r="D98" s="159" t="s">
        <v>33</v>
      </c>
      <c r="E98" s="126"/>
      <c r="F98" s="127">
        <v>2.0</v>
      </c>
      <c r="G98" s="161">
        <v>1.0</v>
      </c>
      <c r="H98" s="129"/>
      <c r="I98" s="130"/>
      <c r="J98" s="189">
        <v>6.0</v>
      </c>
      <c r="K98" s="244" t="s">
        <v>98</v>
      </c>
      <c r="L98" s="130"/>
      <c r="M98" s="134"/>
      <c r="N98" s="135" t="str">
        <f>iferror(mround(#REF!*((VLOOKUP($J98,Sheet1!$D:$N,$G98+1,FALSE)-0.03)),2.5)," ")</f>
        <v> </v>
      </c>
      <c r="O98" s="135" t="str">
        <f>iferror(mround(#REF!*((VLOOKUP($J98,Sheet1!$D:$N,$G98+1,FALSE)+0.02)),2.5)," ")</f>
        <v> </v>
      </c>
      <c r="P98" s="112" t="str">
        <f>iferror(mround(I98/VLOOKUP(L98,Sheet1!$D$7:$N$16,G98+1,FALSE),2.5),"")</f>
        <v/>
      </c>
      <c r="Q98" s="136"/>
      <c r="R98" s="242"/>
      <c r="S98" s="11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</row>
    <row r="99" ht="3.75" customHeight="1">
      <c r="A99" s="124"/>
      <c r="B99" s="6"/>
      <c r="C99" s="124"/>
      <c r="D99" s="138"/>
      <c r="E99" s="154"/>
      <c r="F99" s="155"/>
      <c r="G99" s="102"/>
      <c r="H99" s="102"/>
      <c r="I99" s="102"/>
      <c r="J99" s="156"/>
      <c r="K99" s="243"/>
      <c r="L99" s="210"/>
      <c r="M99" s="144"/>
      <c r="N99" s="145" t="str">
        <f>iferror(mround(#REF!*((VLOOKUP($J99,Sheet1!$D:$N,$G99+1,FALSE)-0.03)),2.5)," ")</f>
        <v> </v>
      </c>
      <c r="O99" s="145" t="str">
        <f>iferror(mround(#REF!*((VLOOKUP($J99,Sheet1!$D:$N,$G99+1,FALSE)+0.02)),2.5)," ")</f>
        <v> </v>
      </c>
      <c r="P99" s="122"/>
      <c r="Q99" s="146"/>
      <c r="R99" s="242"/>
      <c r="S99" s="11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</row>
    <row r="100" ht="15.75" customHeight="1">
      <c r="A100" s="124"/>
      <c r="B100" s="6"/>
      <c r="C100" s="124"/>
      <c r="D100" s="159" t="s">
        <v>33</v>
      </c>
      <c r="E100" s="126"/>
      <c r="F100" s="127">
        <v>4.0</v>
      </c>
      <c r="G100" s="161">
        <v>4.0</v>
      </c>
      <c r="H100" s="129"/>
      <c r="I100" s="130"/>
      <c r="J100" s="151">
        <v>6.0</v>
      </c>
      <c r="K100" s="241" t="s">
        <v>91</v>
      </c>
      <c r="L100" s="130"/>
      <c r="M100" s="134"/>
      <c r="N100" s="135" t="str">
        <f>iferror(mround(#REF!*((VLOOKUP($J100,Sheet1!$D:$N,$G100+1,FALSE)-0.03)),2.5)," ")</f>
        <v> </v>
      </c>
      <c r="O100" s="135" t="str">
        <f>iferror(mround(#REF!*((VLOOKUP($J100,Sheet1!$D:$N,$G100+1,FALSE)+0.02)),2.5)," ")</f>
        <v> </v>
      </c>
      <c r="P100" s="112" t="str">
        <f>iferror(mround(I100/VLOOKUP(L100,Sheet1!$D$7:$N$16,G100+1,FALSE),2.5),"")</f>
        <v/>
      </c>
      <c r="Q100" s="136"/>
      <c r="R100" s="242"/>
      <c r="S100" s="11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</row>
    <row r="101" ht="3.75" customHeight="1">
      <c r="A101" s="90"/>
      <c r="B101" s="6"/>
      <c r="C101" s="90"/>
      <c r="D101" s="138"/>
      <c r="E101" s="245"/>
      <c r="F101" s="102"/>
      <c r="G101" s="102"/>
      <c r="H101" s="102"/>
      <c r="I101" s="102"/>
      <c r="J101" s="156"/>
      <c r="K101" s="243"/>
      <c r="L101" s="210"/>
      <c r="M101" s="144"/>
      <c r="N101" s="145" t="str">
        <f>iferror(mround(#REF!*((VLOOKUP($J101,Sheet1!$D:$N,$G101+1,FALSE)-0.03)),2.5)," ")</f>
        <v> </v>
      </c>
      <c r="O101" s="145" t="str">
        <f>iferror(mround(#REF!*((VLOOKUP($J101,Sheet1!$D:$N,$G101+1,FALSE)+0.02)),2.5)," ")</f>
        <v> </v>
      </c>
      <c r="P101" s="122"/>
      <c r="Q101" s="146"/>
      <c r="R101" s="242"/>
      <c r="S101" s="11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</row>
    <row r="102" ht="15.75" customHeight="1">
      <c r="A102" s="90"/>
      <c r="B102" s="6"/>
      <c r="C102" s="90"/>
      <c r="D102" s="159" t="s">
        <v>54</v>
      </c>
      <c r="E102" s="227"/>
      <c r="F102" s="127">
        <v>3.0</v>
      </c>
      <c r="G102" s="221">
        <v>45577.0</v>
      </c>
      <c r="H102" s="195"/>
      <c r="I102" s="130"/>
      <c r="J102" s="228">
        <v>8.0</v>
      </c>
      <c r="K102" s="241"/>
      <c r="L102" s="130"/>
      <c r="M102" s="134"/>
      <c r="N102" s="135" t="str">
        <f>iferror(mround(#REF!*((VLOOKUP($J102,Sheet1!$D:$N,$G102+1,FALSE)-0.03)),2.5)," ")</f>
        <v> </v>
      </c>
      <c r="O102" s="135" t="str">
        <f>iferror(mround(#REF!*((VLOOKUP($J102,Sheet1!$D:$N,$G102+1,FALSE)+0.02)),2.5)," ")</f>
        <v> </v>
      </c>
      <c r="P102" s="112" t="str">
        <f>iferror(mround(I102/VLOOKUP(L102,Sheet1!$D$7:$N$16,G102+1,FALSE),2.5),"")</f>
        <v/>
      </c>
      <c r="Q102" s="136"/>
      <c r="R102" s="242"/>
      <c r="S102" s="11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</row>
    <row r="103" ht="3.75" customHeight="1">
      <c r="A103" s="191"/>
      <c r="B103" s="6"/>
      <c r="C103" s="192"/>
      <c r="D103" s="138"/>
      <c r="E103" s="245"/>
      <c r="F103" s="102"/>
      <c r="G103" s="102"/>
      <c r="H103" s="102"/>
      <c r="I103" s="102"/>
      <c r="J103" s="156"/>
      <c r="K103" s="243"/>
      <c r="L103" s="210"/>
      <c r="M103" s="144"/>
      <c r="N103" s="145" t="str">
        <f>iferror(mround(#REF!*((VLOOKUP($J103,Sheet1!$D:$N,$G103+1,FALSE)-0.03)),2.5)," ")</f>
        <v> </v>
      </c>
      <c r="O103" s="145" t="str">
        <f>iferror(mround(#REF!*((VLOOKUP($J103,Sheet1!$D:$N,$G103+1,FALSE)+0.02)),2.5)," ")</f>
        <v> </v>
      </c>
      <c r="P103" s="122"/>
      <c r="Q103" s="146"/>
      <c r="R103" s="242"/>
      <c r="S103" s="157"/>
      <c r="T103" s="5"/>
      <c r="U103" s="5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</row>
    <row r="104" ht="15.75" customHeight="1">
      <c r="A104" s="90"/>
      <c r="B104" s="6"/>
      <c r="C104" s="90"/>
      <c r="D104" s="159" t="s">
        <v>99</v>
      </c>
      <c r="E104" s="246" t="s">
        <v>100</v>
      </c>
      <c r="F104" s="127">
        <v>3.0</v>
      </c>
      <c r="G104" s="221">
        <v>45577.0</v>
      </c>
      <c r="H104" s="195"/>
      <c r="I104" s="130"/>
      <c r="J104" s="228">
        <v>9.0</v>
      </c>
      <c r="K104" s="241"/>
      <c r="L104" s="130"/>
      <c r="M104" s="134"/>
      <c r="N104" s="135" t="str">
        <f>iferror(mround(#REF!*((VLOOKUP($J104,Sheet1!$D:$N,$G104+1,FALSE)-0.03)),2.5)," ")</f>
        <v> </v>
      </c>
      <c r="O104" s="135" t="str">
        <f>iferror(mround(#REF!*((VLOOKUP($J104,Sheet1!$D:$N,$G104+1,FALSE)+0.02)),2.5)," ")</f>
        <v> </v>
      </c>
      <c r="P104" s="112" t="str">
        <f>iferror(mround(I104/VLOOKUP(L104,Sheet1!$D$7:$N$16,G104+1,FALSE),2.5),"")</f>
        <v/>
      </c>
      <c r="Q104" s="136"/>
      <c r="R104" s="242"/>
      <c r="S104" s="11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</row>
    <row r="105" ht="3.75" customHeight="1">
      <c r="A105" s="90"/>
      <c r="B105" s="6"/>
      <c r="C105" s="90"/>
      <c r="D105" s="138"/>
      <c r="E105" s="245"/>
      <c r="F105" s="102"/>
      <c r="G105" s="102"/>
      <c r="H105" s="102"/>
      <c r="I105" s="102"/>
      <c r="J105" s="156"/>
      <c r="K105" s="243"/>
      <c r="L105" s="210"/>
      <c r="M105" s="144"/>
      <c r="N105" s="145" t="str">
        <f>iferror(mround(#REF!*((VLOOKUP($J105,Sheet1!$D:$N,$G105+1,FALSE)-0.03)),2.5)," ")</f>
        <v> </v>
      </c>
      <c r="O105" s="145" t="str">
        <f>iferror(mround(#REF!*((VLOOKUP($J105,Sheet1!$D:$N,$G105+1,FALSE)+0.02)),2.5)," ")</f>
        <v> </v>
      </c>
      <c r="P105" s="122"/>
      <c r="Q105" s="146"/>
      <c r="R105" s="242"/>
      <c r="S105" s="11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</row>
    <row r="106" ht="15.75" hidden="1" customHeight="1">
      <c r="A106" s="90"/>
      <c r="B106" s="6"/>
      <c r="C106" s="90"/>
      <c r="D106" s="185"/>
      <c r="E106" s="227"/>
      <c r="F106" s="187"/>
      <c r="G106" s="229"/>
      <c r="H106" s="195"/>
      <c r="I106" s="247"/>
      <c r="J106" s="248"/>
      <c r="K106" s="241"/>
      <c r="L106" s="164"/>
      <c r="M106" s="134"/>
      <c r="N106" s="135" t="str">
        <f>iferror(mround(#REF!*((VLOOKUP($J106,Sheet1!$D:$N,$G106+1,FALSE)-0.03)),2.5)," ")</f>
        <v> </v>
      </c>
      <c r="O106" s="135" t="str">
        <f>iferror(mround(#REF!*((VLOOKUP($J106,Sheet1!$D:$N,$G106+1,FALSE)+0.02)),2.5)," ")</f>
        <v> </v>
      </c>
      <c r="P106" s="112" t="str">
        <f>iferror(mround(I106/VLOOKUP(L106,Sheet1!$D$7:$N$16,G106+1,FALSE),2.5),"")</f>
        <v/>
      </c>
      <c r="Q106" s="136"/>
      <c r="R106" s="242"/>
      <c r="S106" s="11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</row>
    <row r="107" ht="3.75" hidden="1" customHeight="1">
      <c r="A107" s="90"/>
      <c r="B107" s="6"/>
      <c r="C107" s="90"/>
      <c r="D107" s="138"/>
      <c r="E107" s="215"/>
      <c r="F107" s="102"/>
      <c r="G107" s="102"/>
      <c r="H107" s="102"/>
      <c r="I107" s="102"/>
      <c r="J107" s="156"/>
      <c r="K107" s="243"/>
      <c r="L107" s="210"/>
      <c r="M107" s="144"/>
      <c r="N107" s="145" t="str">
        <f>iferror(mround(#REF!*((VLOOKUP($J107,Sheet1!$D:$N,$G107+1,FALSE)-0.03)),2.5)," ")</f>
        <v> </v>
      </c>
      <c r="O107" s="145" t="str">
        <f>iferror(mround(#REF!*((VLOOKUP($J107,Sheet1!$D:$N,$G107+1,FALSE)+0.02)),2.5)," ")</f>
        <v> </v>
      </c>
      <c r="P107" s="122"/>
      <c r="Q107" s="146"/>
      <c r="R107" s="242"/>
      <c r="S107" s="11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</row>
    <row r="108" ht="15.75" hidden="1" customHeight="1">
      <c r="A108" s="90"/>
      <c r="B108" s="6"/>
      <c r="C108" s="90"/>
      <c r="D108" s="185"/>
      <c r="E108" s="220"/>
      <c r="F108" s="187"/>
      <c r="G108" s="229"/>
      <c r="H108" s="195"/>
      <c r="I108" s="247"/>
      <c r="J108" s="248"/>
      <c r="K108" s="241"/>
      <c r="L108" s="164"/>
      <c r="M108" s="134"/>
      <c r="N108" s="135" t="str">
        <f>iferror(mround(#REF!*((VLOOKUP($J108,Sheet1!$D:$N,$G108+1,FALSE)-0.03)),2.5)," ")</f>
        <v> </v>
      </c>
      <c r="O108" s="135" t="str">
        <f>iferror(mround(#REF!*((VLOOKUP($J108,Sheet1!$D:$N,$G108+1,FALSE)+0.02)),2.5)," ")</f>
        <v> </v>
      </c>
      <c r="P108" s="112" t="str">
        <f>iferror(mround(I108/VLOOKUP(L108,Sheet1!$D$7:$N$16,G108+1,FALSE),2.5),"")</f>
        <v/>
      </c>
      <c r="Q108" s="136"/>
      <c r="R108" s="242"/>
      <c r="S108" s="11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</row>
    <row r="109" ht="3.75" customHeight="1">
      <c r="A109" s="90"/>
      <c r="B109" s="6"/>
      <c r="C109" s="90"/>
      <c r="D109" s="196"/>
      <c r="E109" s="215"/>
      <c r="F109" s="102"/>
      <c r="G109" s="102"/>
      <c r="H109" s="102"/>
      <c r="I109" s="102"/>
      <c r="J109" s="156"/>
      <c r="K109" s="243"/>
      <c r="L109" s="210"/>
      <c r="M109" s="144"/>
      <c r="N109" s="145" t="str">
        <f>iferror(mround(#REF!*((VLOOKUP($J109,Sheet1!$D:$N,$G109+1,FALSE)-0.03)),2.5)," ")</f>
        <v> </v>
      </c>
      <c r="O109" s="145" t="str">
        <f>iferror(mround(#REF!*((VLOOKUP($J109,Sheet1!$D:$N,$G109+1,FALSE)+0.02)),2.5)," ")</f>
        <v> </v>
      </c>
      <c r="P109" s="122"/>
      <c r="Q109" s="146"/>
      <c r="R109" s="242"/>
      <c r="S109" s="11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</row>
    <row r="110" ht="15.75" hidden="1" customHeight="1">
      <c r="A110" s="90"/>
      <c r="B110" s="6"/>
      <c r="C110" s="90"/>
      <c r="D110" s="197"/>
      <c r="E110" s="320"/>
      <c r="F110" s="129"/>
      <c r="G110" s="199"/>
      <c r="H110" s="195"/>
      <c r="I110" s="247"/>
      <c r="J110" s="248"/>
      <c r="K110" s="241"/>
      <c r="L110" s="164"/>
      <c r="M110" s="134"/>
      <c r="N110" s="135" t="str">
        <f>iferror(mround(#REF!*((VLOOKUP($J110,Sheet1!$D:$N,$G110+1,FALSE)-0.03)),2.5)," ")</f>
        <v> </v>
      </c>
      <c r="O110" s="135" t="str">
        <f>iferror(mround(#REF!*((VLOOKUP($J110,Sheet1!$D:$N,$G110+1,FALSE)+0.02)),2.5)," ")</f>
        <v> </v>
      </c>
      <c r="P110" s="112" t="str">
        <f>iferror(mround(I110/VLOOKUP(L110,Sheet1!$D$7:$N$16,G110+1,FALSE),2.5),"")</f>
        <v/>
      </c>
      <c r="Q110" s="136"/>
      <c r="R110" s="242"/>
      <c r="S110" s="11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</row>
    <row r="111" ht="3.75" hidden="1" customHeight="1">
      <c r="A111" s="90"/>
      <c r="B111" s="6"/>
      <c r="C111" s="90"/>
      <c r="D111" s="234"/>
      <c r="E111" s="215"/>
      <c r="F111" s="102"/>
      <c r="G111" s="102"/>
      <c r="H111" s="102"/>
      <c r="I111" s="102"/>
      <c r="J111" s="156"/>
      <c r="K111" s="243"/>
      <c r="L111" s="210"/>
      <c r="M111" s="144"/>
      <c r="N111" s="145" t="str">
        <f>iferror(mround(#REF!*((VLOOKUP($J111,Sheet1!$D:$N,$G111+1,FALSE)-0.03)),2.5)," ")</f>
        <v> </v>
      </c>
      <c r="O111" s="145" t="str">
        <f>iferror(mround(#REF!*((VLOOKUP($J111,Sheet1!$D:$N,$G111+1,FALSE)+0.02)),2.5)," ")</f>
        <v> </v>
      </c>
      <c r="P111" s="122"/>
      <c r="Q111" s="146"/>
      <c r="R111" s="242"/>
      <c r="S111" s="11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</row>
    <row r="112" ht="15.75" hidden="1" customHeight="1">
      <c r="A112" s="90"/>
      <c r="B112" s="6"/>
      <c r="C112" s="90"/>
      <c r="D112" s="197"/>
      <c r="E112" s="314"/>
      <c r="F112" s="129"/>
      <c r="G112" s="199"/>
      <c r="H112" s="195"/>
      <c r="I112" s="164"/>
      <c r="J112" s="248"/>
      <c r="K112" s="241"/>
      <c r="L112" s="164"/>
      <c r="M112" s="134"/>
      <c r="N112" s="135" t="str">
        <f>iferror(mround(#REF!*((VLOOKUP($J112,Sheet1!$D:$N,$G112+1,FALSE)-0.03)),2.5)," ")</f>
        <v> </v>
      </c>
      <c r="O112" s="135" t="str">
        <f>iferror(mround(#REF!*((VLOOKUP($J112,Sheet1!$D:$N,$G112+1,FALSE)+0.02)),2.5)," ")</f>
        <v> </v>
      </c>
      <c r="P112" s="112" t="str">
        <f>iferror(mround(I112/VLOOKUP(L112,Sheet1!$D$7:$N$16,G112+1,FALSE),2.5),"")</f>
        <v/>
      </c>
      <c r="Q112" s="136"/>
      <c r="R112" s="242"/>
      <c r="S112" s="11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</row>
    <row r="113" ht="3.75" hidden="1" customHeight="1">
      <c r="A113" s="124"/>
      <c r="B113" s="6"/>
      <c r="C113" s="124"/>
      <c r="D113" s="252"/>
      <c r="E113" s="321"/>
      <c r="F113" s="102"/>
      <c r="G113" s="102"/>
      <c r="H113" s="102"/>
      <c r="I113" s="102"/>
      <c r="J113" s="156"/>
      <c r="K113" s="253"/>
      <c r="L113" s="201"/>
      <c r="M113" s="211" t="str">
        <f>#REF!</f>
        <v>#REF!</v>
      </c>
      <c r="N113" s="47" t="str">
        <f>iferror(mround(#REF!*((VLOOKUP($J113,Sheet1!$D:$N,$G113+1,FALSE)-0.03)),2.5)," ")</f>
        <v> </v>
      </c>
      <c r="O113" s="47" t="str">
        <f>iferror(mround(#REF!*((VLOOKUP($J113,Sheet1!$D:$N,$G113+1,FALSE)+0.02)),2.5)," ")</f>
        <v> </v>
      </c>
      <c r="P113" s="122"/>
      <c r="Q113" s="146"/>
      <c r="R113" s="242"/>
      <c r="S113" s="11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</row>
    <row r="114" ht="30.75" hidden="1" customHeight="1">
      <c r="A114" s="90"/>
      <c r="B114" s="6"/>
      <c r="C114" s="90"/>
      <c r="D114" s="322" t="s">
        <v>57</v>
      </c>
      <c r="E114" s="255" t="s">
        <v>15</v>
      </c>
      <c r="F114" s="106" t="s">
        <v>16</v>
      </c>
      <c r="G114" s="106" t="s">
        <v>17</v>
      </c>
      <c r="H114" s="107"/>
      <c r="I114" s="106" t="s">
        <v>18</v>
      </c>
      <c r="J114" s="108" t="s">
        <v>19</v>
      </c>
      <c r="L114" s="109" t="s">
        <v>20</v>
      </c>
      <c r="M114" s="110" t="s">
        <v>21</v>
      </c>
      <c r="N114" s="111" t="s">
        <v>22</v>
      </c>
      <c r="P114" s="112"/>
      <c r="Q114" s="113" t="s">
        <v>23</v>
      </c>
      <c r="R114" s="256" t="s">
        <v>58</v>
      </c>
      <c r="S114" s="11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</row>
    <row r="115" ht="14.25" hidden="1" customHeight="1">
      <c r="A115" s="90"/>
      <c r="B115" s="6"/>
      <c r="C115" s="90"/>
      <c r="D115" s="257" t="s">
        <v>25</v>
      </c>
      <c r="E115" s="258" t="s">
        <v>26</v>
      </c>
      <c r="H115" s="107"/>
      <c r="N115" s="111" t="s">
        <v>27</v>
      </c>
      <c r="O115" s="111" t="s">
        <v>28</v>
      </c>
      <c r="P115" s="112" t="s">
        <v>29</v>
      </c>
      <c r="R115" s="118" t="s">
        <v>30</v>
      </c>
      <c r="S115" s="11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</row>
    <row r="116" ht="3.75" hidden="1" customHeight="1">
      <c r="A116" s="124"/>
      <c r="B116" s="6"/>
      <c r="C116" s="124"/>
      <c r="D116" s="252"/>
      <c r="E116" s="321"/>
      <c r="F116" s="102"/>
      <c r="G116" s="102"/>
      <c r="H116" s="102"/>
      <c r="I116" s="102"/>
      <c r="J116" s="156"/>
      <c r="K116" s="200"/>
      <c r="L116" s="201"/>
      <c r="M116" s="211"/>
      <c r="N116" s="47"/>
      <c r="O116" s="47"/>
      <c r="P116" s="122"/>
      <c r="Q116" s="146"/>
      <c r="R116" s="259"/>
      <c r="S116" s="11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</row>
    <row r="117" ht="14.25" hidden="1" customHeight="1">
      <c r="A117" s="124"/>
      <c r="B117" s="6"/>
      <c r="C117" s="124"/>
      <c r="D117" s="260"/>
      <c r="E117" s="126"/>
      <c r="F117" s="187"/>
      <c r="G117" s="229"/>
      <c r="H117" s="129"/>
      <c r="I117" s="164"/>
      <c r="J117" s="189"/>
      <c r="K117" s="132"/>
      <c r="L117" s="164"/>
      <c r="M117" s="134"/>
      <c r="N117" s="135" t="str">
        <f>iferror(mround(#REF!*((VLOOKUP($J117,Sheet1!$D:$N,$G117+1,FALSE)-0.03)),2.5)," ")</f>
        <v> </v>
      </c>
      <c r="O117" s="135" t="str">
        <f>iferror(mround(#REF!*((VLOOKUP($J117,Sheet1!$D:$N,$G117+1,FALSE)+0.02)),2.5)," ")</f>
        <v> </v>
      </c>
      <c r="P117" s="56" t="str">
        <f>iferror(mround(I117/VLOOKUP(L117,Sheet1!$D$7:$N$16,G117+1,FALSE),2.5),"")</f>
        <v/>
      </c>
      <c r="Q117" s="136"/>
      <c r="S117" s="11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</row>
    <row r="118" ht="3.75" hidden="1" customHeight="1">
      <c r="A118" s="124"/>
      <c r="B118" s="6"/>
      <c r="C118" s="124"/>
      <c r="D118" s="138"/>
      <c r="E118" s="215"/>
      <c r="F118" s="102"/>
      <c r="G118" s="102"/>
      <c r="H118" s="102"/>
      <c r="I118" s="102"/>
      <c r="J118" s="156"/>
      <c r="K118" s="243"/>
      <c r="L118" s="210"/>
      <c r="M118" s="144"/>
      <c r="N118" s="145"/>
      <c r="O118" s="145"/>
      <c r="P118" s="122"/>
      <c r="Q118" s="146"/>
      <c r="S118" s="11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</row>
    <row r="119" ht="14.25" hidden="1" customHeight="1">
      <c r="A119" s="124"/>
      <c r="B119" s="6"/>
      <c r="C119" s="124"/>
      <c r="D119" s="185"/>
      <c r="E119" s="227"/>
      <c r="F119" s="187"/>
      <c r="G119" s="229"/>
      <c r="H119" s="195"/>
      <c r="I119" s="164"/>
      <c r="J119" s="248"/>
      <c r="K119" s="241"/>
      <c r="L119" s="164"/>
      <c r="M119" s="134"/>
      <c r="N119" s="135" t="str">
        <f>iferror(mround(#REF!*((VLOOKUP($J119,Sheet1!$D:$N,$G119+1,FALSE)-0.03)),2.5)," ")</f>
        <v> </v>
      </c>
      <c r="O119" s="135" t="str">
        <f>iferror(mround(#REF!*((VLOOKUP($J119,Sheet1!$D:$N,$G119+1,FALSE)+0.02)),2.5)," ")</f>
        <v> </v>
      </c>
      <c r="P119" s="112" t="str">
        <f>iferror(mround(I119/VLOOKUP(L119,Sheet1!$D$7:$N$16,G119+1,FALSE),2.5),"")</f>
        <v/>
      </c>
      <c r="Q119" s="136"/>
      <c r="S119" s="11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</row>
    <row r="120" ht="3.75" hidden="1" customHeight="1">
      <c r="A120" s="124"/>
      <c r="B120" s="6"/>
      <c r="C120" s="124"/>
      <c r="D120" s="138"/>
      <c r="E120" s="245"/>
      <c r="F120" s="102"/>
      <c r="G120" s="102"/>
      <c r="H120" s="102"/>
      <c r="I120" s="102"/>
      <c r="J120" s="156"/>
      <c r="K120" s="243"/>
      <c r="L120" s="210"/>
      <c r="M120" s="144"/>
      <c r="N120" s="145"/>
      <c r="O120" s="145"/>
      <c r="P120" s="122"/>
      <c r="Q120" s="146"/>
      <c r="S120" s="11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</row>
    <row r="121" ht="14.25" hidden="1" customHeight="1">
      <c r="A121" s="124"/>
      <c r="B121" s="6"/>
      <c r="C121" s="124"/>
      <c r="D121" s="185"/>
      <c r="E121" s="227"/>
      <c r="F121" s="187"/>
      <c r="G121" s="229"/>
      <c r="H121" s="195"/>
      <c r="I121" s="164"/>
      <c r="J121" s="248"/>
      <c r="K121" s="241"/>
      <c r="L121" s="164"/>
      <c r="M121" s="134"/>
      <c r="N121" s="135" t="str">
        <f>iferror(mround(#REF!*((VLOOKUP($J121,Sheet1!$D:$N,$G121+1,FALSE)-0.03)),2.5)," ")</f>
        <v> </v>
      </c>
      <c r="O121" s="135" t="str">
        <f>iferror(mround(#REF!*((VLOOKUP($J121,Sheet1!$D:$N,$G121+1,FALSE)+0.02)),2.5)," ")</f>
        <v> </v>
      </c>
      <c r="P121" s="112" t="str">
        <f>iferror(mround(I121/VLOOKUP(L121,Sheet1!$D$7:$N$16,G121+1,FALSE),2.5),"")</f>
        <v/>
      </c>
      <c r="Q121" s="136"/>
      <c r="S121" s="11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</row>
    <row r="122" ht="3.75" hidden="1" customHeight="1">
      <c r="A122" s="124"/>
      <c r="B122" s="6"/>
      <c r="C122" s="124"/>
      <c r="D122" s="138"/>
      <c r="E122" s="245"/>
      <c r="F122" s="102"/>
      <c r="G122" s="102"/>
      <c r="H122" s="102"/>
      <c r="I122" s="102"/>
      <c r="J122" s="156"/>
      <c r="K122" s="243"/>
      <c r="L122" s="210"/>
      <c r="M122" s="144"/>
      <c r="N122" s="145"/>
      <c r="O122" s="145"/>
      <c r="P122" s="122"/>
      <c r="Q122" s="146"/>
      <c r="S122" s="11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</row>
    <row r="123" ht="14.25" hidden="1" customHeight="1">
      <c r="A123" s="124"/>
      <c r="B123" s="6"/>
      <c r="C123" s="124"/>
      <c r="D123" s="185"/>
      <c r="E123" s="227"/>
      <c r="F123" s="187"/>
      <c r="G123" s="229"/>
      <c r="H123" s="195"/>
      <c r="I123" s="164"/>
      <c r="J123" s="248"/>
      <c r="K123" s="241"/>
      <c r="L123" s="164"/>
      <c r="M123" s="134"/>
      <c r="N123" s="135" t="str">
        <f>iferror(mround(#REF!*((VLOOKUP($J123,Sheet1!$D:$N,$G123+1,FALSE)-0.03)),2.5)," ")</f>
        <v> </v>
      </c>
      <c r="O123" s="135" t="str">
        <f>iferror(mround(#REF!*((VLOOKUP($J123,Sheet1!$D:$N,$G123+1,FALSE)+0.02)),2.5)," ")</f>
        <v> </v>
      </c>
      <c r="P123" s="112" t="str">
        <f>iferror(mround(I123/VLOOKUP(L123,Sheet1!$D$7:$N$16,G123+1,FALSE),2.5),"")</f>
        <v/>
      </c>
      <c r="Q123" s="136"/>
      <c r="S123" s="11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</row>
    <row r="124" ht="3.75" hidden="1" customHeight="1">
      <c r="A124" s="124"/>
      <c r="B124" s="6"/>
      <c r="C124" s="124"/>
      <c r="D124" s="138"/>
      <c r="E124" s="245"/>
      <c r="F124" s="102"/>
      <c r="G124" s="102"/>
      <c r="H124" s="102"/>
      <c r="I124" s="102"/>
      <c r="J124" s="156"/>
      <c r="K124" s="243"/>
      <c r="L124" s="210"/>
      <c r="M124" s="144"/>
      <c r="N124" s="145"/>
      <c r="O124" s="145"/>
      <c r="P124" s="122"/>
      <c r="Q124" s="146"/>
      <c r="S124" s="11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</row>
    <row r="125" ht="14.25" hidden="1" customHeight="1">
      <c r="A125" s="124"/>
      <c r="B125" s="6"/>
      <c r="C125" s="124"/>
      <c r="D125" s="185"/>
      <c r="E125" s="227"/>
      <c r="F125" s="187"/>
      <c r="G125" s="187"/>
      <c r="H125" s="195"/>
      <c r="I125" s="164"/>
      <c r="J125" s="248"/>
      <c r="K125" s="241"/>
      <c r="L125" s="164"/>
      <c r="M125" s="134"/>
      <c r="N125" s="135" t="str">
        <f>iferror(mround(#REF!*((VLOOKUP($J125,Sheet1!$D:$N,$G125+1,FALSE)-0.03)),2.5)," ")</f>
        <v> </v>
      </c>
      <c r="O125" s="135" t="str">
        <f>iferror(mround(#REF!*((VLOOKUP($J125,Sheet1!$D:$N,$G125+1,FALSE)+0.02)),2.5)," ")</f>
        <v> </v>
      </c>
      <c r="P125" s="112" t="str">
        <f>iferror(mround(I125/VLOOKUP(L125,Sheet1!$D$7:$N$16,G125+1,FALSE),2.5),"")</f>
        <v/>
      </c>
      <c r="Q125" s="136"/>
      <c r="S125" s="11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</row>
    <row r="126" ht="3.75" hidden="1" customHeight="1">
      <c r="A126" s="261"/>
      <c r="B126" s="6"/>
      <c r="C126" s="262"/>
      <c r="D126" s="138"/>
      <c r="E126" s="245"/>
      <c r="F126" s="102"/>
      <c r="G126" s="102"/>
      <c r="H126" s="102"/>
      <c r="I126" s="102"/>
      <c r="J126" s="156"/>
      <c r="K126" s="243"/>
      <c r="L126" s="210"/>
      <c r="M126" s="144"/>
      <c r="N126" s="145"/>
      <c r="O126" s="145"/>
      <c r="P126" s="122"/>
      <c r="Q126" s="146"/>
      <c r="S126" s="157"/>
      <c r="T126" s="5"/>
      <c r="U126" s="5"/>
      <c r="V126" s="158"/>
      <c r="W126" s="158"/>
      <c r="X126" s="158"/>
      <c r="Y126" s="158"/>
      <c r="Z126" s="158"/>
      <c r="AA126" s="158"/>
      <c r="AB126" s="158"/>
      <c r="AC126" s="158"/>
      <c r="AD126" s="158"/>
      <c r="AE126" s="158"/>
      <c r="AF126" s="158"/>
      <c r="AG126" s="158"/>
    </row>
    <row r="127" ht="14.25" hidden="1" customHeight="1">
      <c r="A127" s="124"/>
      <c r="B127" s="6"/>
      <c r="C127" s="124"/>
      <c r="D127" s="185"/>
      <c r="E127" s="227"/>
      <c r="F127" s="187"/>
      <c r="G127" s="187"/>
      <c r="H127" s="195"/>
      <c r="I127" s="164"/>
      <c r="J127" s="248"/>
      <c r="K127" s="241"/>
      <c r="L127" s="164"/>
      <c r="M127" s="134"/>
      <c r="N127" s="135" t="str">
        <f>iferror(mround(#REF!*((VLOOKUP($J127,Sheet1!$D:$N,$G127+1,FALSE)-0.03)),2.5)," ")</f>
        <v> </v>
      </c>
      <c r="O127" s="135" t="str">
        <f>iferror(mround(#REF!*((VLOOKUP($J127,Sheet1!$D:$N,$G127+1,FALSE)+0.02)),2.5)," ")</f>
        <v> </v>
      </c>
      <c r="P127" s="112" t="str">
        <f>iferror(mround(I127/VLOOKUP(L127,Sheet1!$D$7:$N$16,G127+1,FALSE),2.5),"")</f>
        <v/>
      </c>
      <c r="Q127" s="136"/>
      <c r="S127" s="11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</row>
    <row r="128" ht="3.75" hidden="1" customHeight="1">
      <c r="A128" s="261"/>
      <c r="B128" s="6"/>
      <c r="C128" s="262"/>
      <c r="D128" s="138"/>
      <c r="E128" s="245"/>
      <c r="F128" s="102"/>
      <c r="G128" s="102"/>
      <c r="H128" s="102"/>
      <c r="I128" s="102"/>
      <c r="J128" s="156"/>
      <c r="K128" s="243"/>
      <c r="L128" s="210"/>
      <c r="M128" s="144"/>
      <c r="N128" s="145"/>
      <c r="O128" s="145"/>
      <c r="P128" s="122"/>
      <c r="Q128" s="146"/>
      <c r="S128" s="157"/>
      <c r="T128" s="5"/>
      <c r="U128" s="5"/>
      <c r="V128" s="158"/>
      <c r="W128" s="158"/>
      <c r="X128" s="158"/>
      <c r="Y128" s="158"/>
      <c r="Z128" s="158"/>
      <c r="AA128" s="158"/>
      <c r="AB128" s="158"/>
      <c r="AC128" s="158"/>
      <c r="AD128" s="158"/>
      <c r="AE128" s="158"/>
      <c r="AF128" s="158"/>
      <c r="AG128" s="158"/>
    </row>
    <row r="129" ht="15.75" hidden="1" customHeight="1">
      <c r="A129" s="124"/>
      <c r="B129" s="6"/>
      <c r="C129" s="124"/>
      <c r="D129" s="185"/>
      <c r="E129" s="227"/>
      <c r="F129" s="187"/>
      <c r="G129" s="187"/>
      <c r="H129" s="195"/>
      <c r="I129" s="247"/>
      <c r="J129" s="248"/>
      <c r="K129" s="241"/>
      <c r="L129" s="164"/>
      <c r="M129" s="134"/>
      <c r="N129" s="135" t="str">
        <f>iferror(mround(#REF!*((VLOOKUP($J129,Sheet1!$D:$N,$G129+1,FALSE)-0.03)),2.5)," ")</f>
        <v> </v>
      </c>
      <c r="O129" s="135" t="str">
        <f>iferror(mround(#REF!*((VLOOKUP($J129,Sheet1!$D:$N,$G129+1,FALSE)+0.02)),2.5)," ")</f>
        <v> </v>
      </c>
      <c r="P129" s="112" t="str">
        <f>iferror(mround(I129/VLOOKUP(L129,Sheet1!$D$7:$N$16,G129+1,FALSE),2.5),"")</f>
        <v/>
      </c>
      <c r="Q129" s="136"/>
      <c r="S129" s="11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</row>
    <row r="130" ht="3.75" hidden="1" customHeight="1">
      <c r="A130" s="124"/>
      <c r="B130" s="6"/>
      <c r="C130" s="124"/>
      <c r="D130" s="263"/>
      <c r="E130" s="245"/>
      <c r="F130" s="102"/>
      <c r="G130" s="102"/>
      <c r="H130" s="102"/>
      <c r="I130" s="102"/>
      <c r="J130" s="156"/>
      <c r="K130" s="243"/>
      <c r="L130" s="210"/>
      <c r="M130" s="144"/>
      <c r="N130" s="145"/>
      <c r="O130" s="145"/>
      <c r="P130" s="122"/>
      <c r="Q130" s="146"/>
      <c r="S130" s="11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</row>
    <row r="131" ht="14.25" hidden="1" customHeight="1">
      <c r="A131" s="90"/>
      <c r="B131" s="6"/>
      <c r="C131" s="90"/>
      <c r="D131" s="185"/>
      <c r="E131" s="227"/>
      <c r="F131" s="187"/>
      <c r="G131" s="187"/>
      <c r="H131" s="195"/>
      <c r="I131" s="164"/>
      <c r="J131" s="248"/>
      <c r="K131" s="241"/>
      <c r="L131" s="164"/>
      <c r="M131" s="134"/>
      <c r="N131" s="135" t="str">
        <f>iferror(mround(#REF!*((VLOOKUP($J131,Sheet1!$D:$N,$G131+1,FALSE)-0.03)),2.5)," ")</f>
        <v> </v>
      </c>
      <c r="O131" s="135" t="str">
        <f>iferror(mround(#REF!*((VLOOKUP($J131,Sheet1!$D:$N,$G131+1,FALSE)+0.02)),2.5)," ")</f>
        <v> </v>
      </c>
      <c r="P131" s="112" t="str">
        <f>iferror(mround(I131/VLOOKUP(L131,Sheet1!$D$7:$N$16,G131+1,FALSE),2.5),"")</f>
        <v/>
      </c>
      <c r="Q131" s="136"/>
      <c r="S131" s="11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</row>
    <row r="132" ht="3.75" hidden="1" customHeight="1">
      <c r="A132" s="261"/>
      <c r="B132" s="6"/>
      <c r="C132" s="262"/>
      <c r="D132" s="263"/>
      <c r="E132" s="323"/>
      <c r="F132" s="194"/>
      <c r="G132" s="194"/>
      <c r="H132" s="155"/>
      <c r="I132" s="210"/>
      <c r="J132" s="265"/>
      <c r="K132" s="243"/>
      <c r="L132" s="210"/>
      <c r="M132" s="144"/>
      <c r="N132" s="145"/>
      <c r="O132" s="145"/>
      <c r="P132" s="122"/>
      <c r="Q132" s="146"/>
      <c r="S132" s="157"/>
      <c r="T132" s="5"/>
      <c r="U132" s="5"/>
      <c r="V132" s="158"/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</row>
    <row r="133" ht="15.75" hidden="1" customHeight="1">
      <c r="A133" s="90"/>
      <c r="B133" s="6"/>
      <c r="C133" s="90"/>
      <c r="D133" s="185"/>
      <c r="E133" s="324"/>
      <c r="F133" s="187"/>
      <c r="G133" s="187"/>
      <c r="H133" s="195"/>
      <c r="I133" s="164"/>
      <c r="J133" s="248"/>
      <c r="K133" s="241"/>
      <c r="L133" s="164"/>
      <c r="M133" s="134"/>
      <c r="N133" s="135" t="str">
        <f>iferror(mround(#REF!*((VLOOKUP($J133,Sheet1!$D:$N,$G133+1,FALSE)-0.03)),2.5)," ")</f>
        <v> </v>
      </c>
      <c r="O133" s="135" t="str">
        <f>iferror(mround(#REF!*((VLOOKUP($J133,Sheet1!$D:$N,$G133+1,FALSE)+0.02)),2.5)," ")</f>
        <v> </v>
      </c>
      <c r="P133" s="112" t="str">
        <f>iferror(mround(I133/VLOOKUP(L133,Sheet1!$D$7:$N$16,G133+1,FALSE),2.5),"")</f>
        <v/>
      </c>
      <c r="Q133" s="136"/>
      <c r="S133" s="11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</row>
    <row r="134" ht="3.75" hidden="1" customHeight="1">
      <c r="A134" s="90"/>
      <c r="B134" s="6"/>
      <c r="C134" s="90"/>
      <c r="D134" s="138"/>
      <c r="E134" s="245"/>
      <c r="F134" s="102"/>
      <c r="G134" s="102"/>
      <c r="H134" s="102"/>
      <c r="I134" s="102"/>
      <c r="J134" s="156"/>
      <c r="K134" s="243"/>
      <c r="L134" s="210"/>
      <c r="M134" s="144"/>
      <c r="N134" s="145"/>
      <c r="O134" s="145"/>
      <c r="P134" s="122"/>
      <c r="Q134" s="146"/>
      <c r="S134" s="11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</row>
    <row r="135" ht="15.75" hidden="1" customHeight="1">
      <c r="A135" s="90"/>
      <c r="B135" s="6"/>
      <c r="C135" s="90"/>
      <c r="D135" s="185"/>
      <c r="E135" s="227"/>
      <c r="F135" s="187"/>
      <c r="G135" s="187"/>
      <c r="H135" s="195"/>
      <c r="I135" s="164"/>
      <c r="J135" s="248"/>
      <c r="K135" s="241"/>
      <c r="L135" s="164"/>
      <c r="M135" s="134"/>
      <c r="N135" s="135" t="str">
        <f>iferror(mround(#REF!*((VLOOKUP($J135,Sheet1!$D:$N,$G135+1,FALSE)-0.03)),2.5)," ")</f>
        <v> </v>
      </c>
      <c r="O135" s="135" t="str">
        <f>iferror(mround(#REF!*((VLOOKUP($J135,Sheet1!$D:$N,$G135+1,FALSE)+0.02)),2.5)," ")</f>
        <v> </v>
      </c>
      <c r="P135" s="112" t="str">
        <f>iferror(mround(I135/VLOOKUP(L135,Sheet1!$D$7:$N$16,G135+1,FALSE),2.5),"")</f>
        <v/>
      </c>
      <c r="Q135" s="136"/>
      <c r="S135" s="11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</row>
    <row r="136" ht="3.75" hidden="1" customHeight="1">
      <c r="A136" s="191"/>
      <c r="B136" s="6"/>
      <c r="C136" s="192"/>
      <c r="D136" s="138"/>
      <c r="E136" s="245"/>
      <c r="F136" s="102"/>
      <c r="G136" s="102"/>
      <c r="H136" s="102"/>
      <c r="I136" s="102"/>
      <c r="J136" s="156"/>
      <c r="K136" s="243"/>
      <c r="L136" s="210"/>
      <c r="M136" s="144"/>
      <c r="N136" s="145"/>
      <c r="O136" s="145"/>
      <c r="P136" s="122"/>
      <c r="Q136" s="146"/>
      <c r="S136" s="157"/>
      <c r="T136" s="5"/>
      <c r="U136" s="5"/>
      <c r="V136" s="158"/>
      <c r="W136" s="158"/>
      <c r="X136" s="158"/>
      <c r="Y136" s="158"/>
      <c r="Z136" s="158"/>
      <c r="AA136" s="158"/>
      <c r="AB136" s="158"/>
      <c r="AC136" s="158"/>
      <c r="AD136" s="158"/>
      <c r="AE136" s="158"/>
      <c r="AF136" s="158"/>
      <c r="AG136" s="158"/>
    </row>
    <row r="137" ht="15.75" hidden="1" customHeight="1">
      <c r="A137" s="90"/>
      <c r="B137" s="6"/>
      <c r="C137" s="90"/>
      <c r="D137" s="185"/>
      <c r="E137" s="227"/>
      <c r="F137" s="187"/>
      <c r="G137" s="187"/>
      <c r="H137" s="195"/>
      <c r="I137" s="164"/>
      <c r="J137" s="248"/>
      <c r="K137" s="241"/>
      <c r="L137" s="164"/>
      <c r="M137" s="134"/>
      <c r="N137" s="135" t="str">
        <f>iferror(mround(#REF!*((VLOOKUP($J137,Sheet1!$D:$N,$G137+1,FALSE)-0.03)),2.5)," ")</f>
        <v> </v>
      </c>
      <c r="O137" s="135" t="str">
        <f>iferror(mround(#REF!*((VLOOKUP($J137,Sheet1!$D:$N,$G137+1,FALSE)+0.02)),2.5)," ")</f>
        <v> </v>
      </c>
      <c r="P137" s="112" t="str">
        <f>iferror(mround(I137/VLOOKUP(L137,Sheet1!$D$7:$N$16,G137+1,FALSE),2.5),"")</f>
        <v/>
      </c>
      <c r="Q137" s="136"/>
      <c r="S137" s="11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</row>
    <row r="138" ht="3.75" hidden="1" customHeight="1">
      <c r="A138" s="90"/>
      <c r="B138" s="6"/>
      <c r="C138" s="90"/>
      <c r="D138" s="263"/>
      <c r="E138" s="245"/>
      <c r="F138" s="102"/>
      <c r="G138" s="102"/>
      <c r="H138" s="102"/>
      <c r="I138" s="102"/>
      <c r="J138" s="156"/>
      <c r="K138" s="243"/>
      <c r="L138" s="210"/>
      <c r="M138" s="144"/>
      <c r="N138" s="145"/>
      <c r="O138" s="145"/>
      <c r="P138" s="122"/>
      <c r="Q138" s="146"/>
      <c r="S138" s="11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</row>
    <row r="139" ht="15.75" hidden="1" customHeight="1">
      <c r="A139" s="90"/>
      <c r="B139" s="6"/>
      <c r="C139" s="90"/>
      <c r="D139" s="185"/>
      <c r="E139" s="324"/>
      <c r="F139" s="187"/>
      <c r="G139" s="187"/>
      <c r="H139" s="195"/>
      <c r="I139" s="164"/>
      <c r="J139" s="248"/>
      <c r="K139" s="241"/>
      <c r="L139" s="164"/>
      <c r="M139" s="134"/>
      <c r="N139" s="135" t="str">
        <f>iferror(mround(#REF!*((VLOOKUP($J139,Sheet1!$D:$N,$G139+1,FALSE)-0.03)),2.5)," ")</f>
        <v> </v>
      </c>
      <c r="O139" s="135" t="str">
        <f>iferror(mround(#REF!*((VLOOKUP($J139,Sheet1!$D:$N,$G139+1,FALSE)+0.02)),2.5)," ")</f>
        <v> </v>
      </c>
      <c r="P139" s="112" t="str">
        <f>iferror(mround(I139/VLOOKUP(L139,Sheet1!$D$7:$N$16,G139+1,FALSE),2.5),"")</f>
        <v/>
      </c>
      <c r="Q139" s="136"/>
      <c r="S139" s="11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</row>
    <row r="140" ht="3.75" hidden="1" customHeight="1">
      <c r="A140" s="191"/>
      <c r="B140" s="6"/>
      <c r="C140" s="192"/>
      <c r="D140" s="192"/>
      <c r="E140" s="325"/>
      <c r="F140" s="194"/>
      <c r="G140" s="194"/>
      <c r="H140" s="155"/>
      <c r="I140" s="210"/>
      <c r="J140" s="268"/>
      <c r="K140" s="316"/>
      <c r="L140" s="269"/>
      <c r="M140" s="270"/>
      <c r="N140" s="269"/>
      <c r="O140" s="269"/>
      <c r="P140" s="271"/>
      <c r="Q140" s="272"/>
      <c r="R140" s="273"/>
      <c r="S140" s="157"/>
      <c r="T140" s="5"/>
      <c r="U140" s="5"/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</row>
    <row r="141" ht="14.25" customHeight="1">
      <c r="A141" s="5"/>
      <c r="B141" s="6"/>
      <c r="C141" s="5"/>
      <c r="D141" s="274"/>
      <c r="E141" s="266"/>
      <c r="F141" s="187"/>
      <c r="G141" s="187"/>
      <c r="H141" s="195"/>
      <c r="I141" s="129"/>
      <c r="J141" s="275"/>
      <c r="K141" s="276"/>
      <c r="L141" s="187"/>
      <c r="M141" s="187"/>
      <c r="N141" s="187"/>
      <c r="O141" s="187"/>
      <c r="P141" s="277"/>
      <c r="Q141" s="278"/>
      <c r="R141" s="279"/>
      <c r="S141" s="11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</row>
    <row r="142" ht="14.25" customHeight="1">
      <c r="A142" s="5"/>
      <c r="B142" s="6"/>
      <c r="C142" s="5"/>
      <c r="D142" s="274" t="s">
        <v>59</v>
      </c>
      <c r="E142" s="266" t="s">
        <v>16</v>
      </c>
      <c r="F142" s="187" t="s">
        <v>17</v>
      </c>
      <c r="G142" s="187" t="s">
        <v>60</v>
      </c>
      <c r="H142" s="187"/>
      <c r="I142" s="280" t="s">
        <v>61</v>
      </c>
      <c r="J142" s="266" t="s">
        <v>62</v>
      </c>
      <c r="K142" s="274"/>
      <c r="L142" s="187"/>
      <c r="M142" s="281" t="s">
        <v>63</v>
      </c>
      <c r="N142" s="281"/>
      <c r="O142" s="282"/>
      <c r="P142" s="282"/>
      <c r="Q142" s="278"/>
      <c r="R142" s="157"/>
      <c r="S142" s="11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</row>
    <row r="143" ht="14.25" customHeight="1">
      <c r="A143" s="5"/>
      <c r="B143" s="6"/>
      <c r="C143" s="5"/>
      <c r="D143" s="274" t="s">
        <v>6</v>
      </c>
      <c r="E143" s="283">
        <f>IFERROR(__xludf.DUMMYFUNCTION("SUM(FILTER(F18:F142, ISNUMBER(SEARCH(""squat"", D18:D142))))"),7.0)</f>
        <v>7</v>
      </c>
      <c r="F143" s="284">
        <f>IFERROR(__xludf.DUMMYFUNCTION("SUMPRODUCT(FILTER(F18:F142 * G18:G142, ISNUMBER(SEARCH(""squat"", D18:D142))))"),37.0)</f>
        <v>37</v>
      </c>
      <c r="G143" s="135">
        <f>IFERROR(__xludf.DUMMYFUNCTION("ROUND(SUMPRODUCT(FILTER(F18:F142 * G18:G142 * I18:I142, ISNUMBER(SEARCH(""squat"", D18:D142)))), 0)"),13957.0)</f>
        <v>13957</v>
      </c>
      <c r="H143" s="285"/>
      <c r="I143" s="135">
        <f>IFERROR(__xludf.DUMMYFUNCTION("ROUND(AVERAGE(FILTER(I18:I142, ISNUMBER(SEARCH(""squat"", D18:D142)), I18:I142 &lt;&gt; """")) / J143 * 100, 0)"),71.0)</f>
        <v>71</v>
      </c>
      <c r="J143" s="283">
        <f>IFERROR(__xludf.DUMMYFUNCTION("IFERROR(MROUND(AVERAGE(FILTER(P18:P142, D18:D142 = ""comp squat"", P18:P142 &lt;&gt; """", P18:P142 &gt;= 0.9 * MAX(FILTER(P18:P142, D18:D142 = ""comp squat"", P18:P142 &lt;&gt; """")), P18:P142 &lt;= 1.1 * MAX(FILTER(P18:P142, D18:D142 = ""comp squat"", P18:P142 &lt;&gt; """"))"&amp;")), 2.5), ""No valid data"")"),540.0)</f>
        <v>540</v>
      </c>
      <c r="K143" s="286"/>
      <c r="L143" s="287">
        <f>MROUND(J143/2.2046,2.5)-$O$10</f>
        <v>2.5</v>
      </c>
      <c r="M143" s="288" t="s">
        <v>64</v>
      </c>
      <c r="N143" s="288">
        <v>1.0</v>
      </c>
      <c r="O143" s="289" t="s">
        <v>65</v>
      </c>
      <c r="P143" s="290">
        <v>1.0</v>
      </c>
      <c r="Q143" s="278"/>
      <c r="R143" s="291"/>
      <c r="S143" s="11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</row>
    <row r="144" ht="3.0" customHeight="1">
      <c r="A144" s="5"/>
      <c r="B144" s="6"/>
      <c r="C144" s="5"/>
      <c r="D144" s="90"/>
      <c r="E144" s="156"/>
      <c r="F144" s="102"/>
      <c r="G144" s="145"/>
      <c r="H144" s="102"/>
      <c r="I144" s="145"/>
      <c r="J144" s="156"/>
      <c r="K144" s="286"/>
      <c r="L144" s="292"/>
      <c r="M144" s="251"/>
      <c r="N144" s="251"/>
      <c r="O144" s="289"/>
      <c r="P144" s="282"/>
      <c r="Q144" s="278"/>
      <c r="R144" s="115"/>
      <c r="S144" s="11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</row>
    <row r="145" ht="15.75" customHeight="1">
      <c r="A145" s="5"/>
      <c r="B145" s="6"/>
      <c r="C145" s="5"/>
      <c r="D145" s="274" t="s">
        <v>66</v>
      </c>
      <c r="E145" s="293">
        <f>IFERROR(__xludf.DUMMYFUNCTION("SUM(FILTER(F18:F142, ISNUMBER(SEARCH(""bench press"", D18:D142))))"),19.0)</f>
        <v>19</v>
      </c>
      <c r="F145" s="284">
        <f>IFERROR(__xludf.DUMMYFUNCTION("SUMPRODUCT(FILTER(F19:F143 * G19:G143, ISNUMBER(SEARCH(""bench press"", D19:D143))))"),69.0)</f>
        <v>69</v>
      </c>
      <c r="G145" s="135">
        <f>IFERROR(__xludf.DUMMYFUNCTION("ROUND(SUMPRODUCT(FILTER(F18:F142 * G18:G142 * I18:I142, ISNUMBER(SEARCH(""bench press"", D18:D142)))), 0)"),12827.0)</f>
        <v>12827</v>
      </c>
      <c r="H145" s="285"/>
      <c r="I145" s="135">
        <f>IFERROR(__xludf.DUMMYFUNCTION("ROUND(AVERAGE(FILTER(I18:I142, ISNUMBER(SEARCH(""bench press"", D18:D142)), I18:I142 &lt;&gt; """")) / J145 * 100, 0)"),78.0)</f>
        <v>78</v>
      </c>
      <c r="J145" s="293">
        <f>IFERROR(__xludf.DUMMYFUNCTION("IFERROR(MROUND(AVERAGE(FILTER(P18:P142, D18:D142 = ""comp bench press"", P18:P142 &lt;&gt; """", P18:P142 &gt;= 0.9 * MAX(FILTER(P18:P142, D18:D142 = ""comp bench press"", P18:P142 &lt;&gt; """")), P18:P142 &lt;= 1.1 * MAX(FILTER(P18:P142, D18:D142 = ""comp bench press"", "&amp;"P18:P142 &lt;&gt; """")))), 2.5), ""No valid data"")"),332.5)</f>
        <v>332.5</v>
      </c>
      <c r="K145" s="286"/>
      <c r="L145" s="294">
        <f>MROUND(J145/2.2046,2.5)-$O$11</f>
        <v>-2.5</v>
      </c>
      <c r="M145" s="282" t="s">
        <v>67</v>
      </c>
      <c r="N145" s="290">
        <v>3.0</v>
      </c>
      <c r="O145" s="288" t="s">
        <v>68</v>
      </c>
      <c r="P145" s="290">
        <v>1.0</v>
      </c>
      <c r="Q145" s="278"/>
      <c r="R145" s="157"/>
      <c r="S145" s="11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</row>
    <row r="146" ht="3.0" customHeight="1">
      <c r="A146" s="5"/>
      <c r="B146" s="6"/>
      <c r="C146" s="5"/>
      <c r="D146" s="90"/>
      <c r="E146" s="156"/>
      <c r="F146" s="102"/>
      <c r="G146" s="145"/>
      <c r="H146" s="102"/>
      <c r="I146" s="145"/>
      <c r="J146" s="156"/>
      <c r="K146" s="286"/>
      <c r="L146" s="292"/>
      <c r="M146" s="282"/>
      <c r="N146" s="282"/>
      <c r="O146" s="251"/>
      <c r="P146" s="282"/>
      <c r="Q146" s="278"/>
      <c r="R146" s="157"/>
      <c r="S146" s="11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</row>
    <row r="147" ht="14.25" customHeight="1">
      <c r="A147" s="5"/>
      <c r="B147" s="6"/>
      <c r="C147" s="5"/>
      <c r="D147" s="274" t="s">
        <v>10</v>
      </c>
      <c r="E147" s="293">
        <f>IFERROR(__xludf.DUMMYFUNCTION("SUM(FILTER(F18:F142, ISNUMBER(SEARCH(""deadlift"", D18:D142))))"),7.0)</f>
        <v>7</v>
      </c>
      <c r="F147" s="284">
        <f>IFERROR(__xludf.DUMMYFUNCTION("SUMPRODUCT(FILTER(F18:F142 * G18:G142, ISNUMBER(SEARCH(""deadlift"", D18:D142))))"),25.0)</f>
        <v>25</v>
      </c>
      <c r="G147" s="135">
        <f>IFERROR(__xludf.DUMMYFUNCTION("ROUND(SUMPRODUCT(FILTER(F18:F142 * G18:G142 * I18:I142, ISNUMBER(SEARCH(""deadlift"", D18:D142)))), 0)"),3915.0)</f>
        <v>3915</v>
      </c>
      <c r="H147" s="285"/>
      <c r="I147" s="135" t="str">
        <f>IFERROR(__xludf.DUMMYFUNCTION("ROUND(AVERAGE(FILTER(I18:I142, ISNUMBER(SEARCH(""deadlift"", D18:D142)), I18:I142 &lt;&gt; """")) / J147 * 100, 0)"),"#VALUE!")</f>
        <v>#VALUE!</v>
      </c>
      <c r="J147" s="293" t="str">
        <f>IFERROR(__xludf.DUMMYFUNCTION("IFERROR(MROUND(AVERAGE(FILTER(P18:P142, D18:D142 = ""comp deadlift"", P18:P142 &lt;&gt; """", P18:P142 &gt;= 0.9 * MAX(FILTER(P18:P142, D18:D142 = ""comp deadlift"", P18:P142 &lt;&gt; """")), P18:P142 &lt;= 1.1 * MAX(FILTER(P18:P142, D18:D142 = ""comp deadlift"", P18:P142 "&amp;"&lt;&gt; """")))), 2.5), ""No valid data"")"),"No valid data")</f>
        <v>No valid data</v>
      </c>
      <c r="K147" s="286"/>
      <c r="L147" s="294" t="str">
        <f>MROUND(J147/2.2046,2.5)-$O$12</f>
        <v>#VALUE!</v>
      </c>
      <c r="M147" s="282" t="s">
        <v>69</v>
      </c>
      <c r="N147" s="290">
        <v>2.0</v>
      </c>
      <c r="O147" s="290" t="s">
        <v>70</v>
      </c>
      <c r="P147" s="290">
        <v>1.0</v>
      </c>
      <c r="Q147" s="278"/>
      <c r="R147" s="157"/>
      <c r="S147" s="11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</row>
    <row r="148" ht="14.25" customHeight="1">
      <c r="A148" s="5"/>
      <c r="B148" s="6"/>
      <c r="C148" s="5"/>
      <c r="D148" s="274"/>
      <c r="E148" s="266"/>
      <c r="F148" s="187"/>
      <c r="G148" s="187"/>
      <c r="H148" s="187"/>
      <c r="I148" s="187"/>
      <c r="J148" s="295"/>
      <c r="K148" s="274"/>
      <c r="L148" s="187"/>
      <c r="M148" s="282" t="s">
        <v>71</v>
      </c>
      <c r="N148" s="290">
        <v>1.0</v>
      </c>
      <c r="O148" s="282"/>
      <c r="P148" s="282"/>
      <c r="Q148" s="278"/>
      <c r="R148" s="157"/>
      <c r="S148" s="11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</row>
    <row r="149" ht="14.25" customHeight="1">
      <c r="A149" s="5"/>
      <c r="B149" s="2"/>
      <c r="C149" s="5"/>
      <c r="D149" s="5"/>
      <c r="E149" s="75"/>
      <c r="F149" s="3"/>
      <c r="G149" s="3"/>
      <c r="H149" s="3"/>
      <c r="I149" s="3"/>
      <c r="J149" s="75"/>
      <c r="K149" s="5"/>
      <c r="L149" s="3"/>
      <c r="M149" s="47"/>
      <c r="N149" s="3"/>
      <c r="O149" s="3"/>
      <c r="P149" s="3"/>
      <c r="Q149" s="4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</row>
    <row r="150" ht="18.75" customHeight="1">
      <c r="A150" s="90"/>
      <c r="B150" s="6"/>
      <c r="C150" s="91"/>
      <c r="D150" s="79" t="s">
        <v>72</v>
      </c>
      <c r="E150" s="80" t="s">
        <v>13</v>
      </c>
      <c r="G150" s="81"/>
      <c r="H150" s="81"/>
      <c r="I150" s="81"/>
      <c r="J150" s="82"/>
      <c r="K150" s="83"/>
      <c r="L150" s="83"/>
      <c r="M150" s="93"/>
      <c r="N150" s="93"/>
      <c r="O150" s="93"/>
      <c r="P150" s="296"/>
      <c r="Q150" s="297"/>
      <c r="R150" s="298"/>
      <c r="S150" s="10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</row>
    <row r="151" ht="18.75" customHeight="1">
      <c r="A151" s="90"/>
      <c r="B151" s="6"/>
      <c r="C151" s="91"/>
      <c r="D151" s="299">
        <f>D16+1</f>
        <v>2</v>
      </c>
      <c r="E151" s="300" t="str">
        <f>IF(E16 = "", "", E16 - 1)</f>
        <v/>
      </c>
      <c r="F151" s="36"/>
      <c r="G151" s="301"/>
      <c r="H151" s="301"/>
      <c r="I151" s="301"/>
      <c r="J151" s="92"/>
      <c r="K151" s="93"/>
      <c r="L151" s="93"/>
      <c r="M151" s="93"/>
      <c r="N151" s="93"/>
      <c r="O151" s="93"/>
      <c r="P151" s="94"/>
      <c r="Q151" s="95"/>
      <c r="R151" s="96"/>
      <c r="S151" s="10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</row>
    <row r="152" ht="5.25" customHeight="1">
      <c r="A152" s="90"/>
      <c r="B152" s="6"/>
      <c r="C152" s="90"/>
      <c r="D152" s="97"/>
      <c r="E152" s="98"/>
      <c r="F152" s="99"/>
      <c r="G152" s="99"/>
      <c r="H152" s="99"/>
      <c r="I152" s="100"/>
      <c r="J152" s="101"/>
      <c r="K152" s="90"/>
      <c r="L152" s="102"/>
      <c r="M152" s="102"/>
      <c r="N152" s="102"/>
      <c r="O152" s="102"/>
      <c r="P152" s="103"/>
      <c r="Q152" s="4"/>
      <c r="R152" s="90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</row>
    <row r="153" ht="30.75" customHeight="1">
      <c r="A153" s="90"/>
      <c r="B153" s="6"/>
      <c r="C153" s="90"/>
      <c r="D153" s="202" t="s">
        <v>73</v>
      </c>
      <c r="E153" s="105" t="s">
        <v>75</v>
      </c>
      <c r="F153" s="106" t="s">
        <v>16</v>
      </c>
      <c r="G153" s="106" t="s">
        <v>17</v>
      </c>
      <c r="H153" s="107"/>
      <c r="I153" s="106" t="s">
        <v>18</v>
      </c>
      <c r="J153" s="108" t="s">
        <v>19</v>
      </c>
      <c r="L153" s="109" t="s">
        <v>20</v>
      </c>
      <c r="M153" s="110" t="s">
        <v>21</v>
      </c>
      <c r="N153" s="111" t="s">
        <v>22</v>
      </c>
      <c r="P153" s="112"/>
      <c r="Q153" s="113" t="s">
        <v>23</v>
      </c>
      <c r="R153" s="114" t="s">
        <v>24</v>
      </c>
      <c r="S153" s="11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</row>
    <row r="154" ht="14.25" customHeight="1">
      <c r="A154" s="90"/>
      <c r="B154" s="6"/>
      <c r="C154" s="90"/>
      <c r="D154" s="116" t="s">
        <v>102</v>
      </c>
      <c r="E154" s="117" t="s">
        <v>76</v>
      </c>
      <c r="H154" s="107"/>
      <c r="N154" s="111" t="s">
        <v>27</v>
      </c>
      <c r="O154" s="111" t="s">
        <v>28</v>
      </c>
      <c r="P154" s="112" t="s">
        <v>29</v>
      </c>
      <c r="R154" s="118" t="s">
        <v>30</v>
      </c>
      <c r="S154" s="11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</row>
    <row r="155" ht="3.75" customHeight="1">
      <c r="A155" s="90"/>
      <c r="B155" s="6"/>
      <c r="C155" s="90"/>
      <c r="D155" s="97"/>
      <c r="E155" s="98"/>
      <c r="F155" s="99"/>
      <c r="G155" s="99"/>
      <c r="H155" s="99"/>
      <c r="I155" s="100"/>
      <c r="J155" s="302"/>
      <c r="K155" s="90"/>
      <c r="L155" s="102"/>
      <c r="M155" s="121"/>
      <c r="N155" s="102"/>
      <c r="O155" s="102"/>
      <c r="P155" s="122"/>
      <c r="Q155" s="4"/>
      <c r="R155" s="123"/>
      <c r="S155" s="11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</row>
    <row r="156" ht="15.75" customHeight="1">
      <c r="A156" s="124"/>
      <c r="B156" s="6"/>
      <c r="C156" s="124"/>
      <c r="D156" s="125" t="s">
        <v>77</v>
      </c>
      <c r="E156" s="126"/>
      <c r="F156" s="127">
        <v>1.0</v>
      </c>
      <c r="G156" s="240">
        <v>6.0</v>
      </c>
      <c r="H156" s="129"/>
      <c r="I156" s="130">
        <v>386.0</v>
      </c>
      <c r="J156" s="151">
        <v>5.0</v>
      </c>
      <c r="K156" s="132"/>
      <c r="L156" s="133">
        <v>5.0</v>
      </c>
      <c r="M156" s="134">
        <f>I21</f>
        <v>375</v>
      </c>
      <c r="N156" s="135">
        <f>iferror(mround($P21*((VLOOKUP($J156,Sheet1!$D:$N,$G156+1,FALSE)-0.03)),2.5)," ")</f>
        <v>0</v>
      </c>
      <c r="O156" s="135">
        <f>iferror(mround($P21*((VLOOKUP($J156,Sheet1!$D:$N,$G156+1,FALSE)+0.02)),2.5)," ")</f>
        <v>0</v>
      </c>
      <c r="P156" s="56" t="str">
        <f>iferror(mround(I156/VLOOKUP(L156,Sheet1!$D$7:$N$16,G156+1,FALSE),2.5),"")</f>
        <v/>
      </c>
      <c r="Q156" s="303">
        <f t="shared" ref="Q156:Q177" si="1">IF(OR(ISBLANK(I156), ISBLANK(I21)), "", IF(I156 - I21 = 0, "", I156 - I21))</f>
        <v>11</v>
      </c>
      <c r="S156" s="11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</row>
    <row r="157" ht="3.75" customHeight="1">
      <c r="A157" s="137"/>
      <c r="B157" s="70"/>
      <c r="C157" s="137"/>
      <c r="D157" s="138"/>
      <c r="E157" s="139"/>
      <c r="F157" s="140"/>
      <c r="G157" s="140"/>
      <c r="H157" s="140"/>
      <c r="I157" s="140"/>
      <c r="J157" s="141"/>
      <c r="K157" s="142"/>
      <c r="L157" s="143"/>
      <c r="M157" s="144"/>
      <c r="N157" s="145"/>
      <c r="O157" s="145"/>
      <c r="P157" s="122"/>
      <c r="Q157" s="304" t="str">
        <f t="shared" si="1"/>
        <v/>
      </c>
      <c r="S157" s="147"/>
      <c r="T157" s="148"/>
      <c r="U157" s="148"/>
      <c r="V157" s="148"/>
      <c r="W157" s="148"/>
      <c r="X157" s="148"/>
      <c r="Y157" s="148"/>
      <c r="Z157" s="148"/>
      <c r="AA157" s="148"/>
      <c r="AB157" s="148"/>
      <c r="AC157" s="148"/>
      <c r="AD157" s="148"/>
      <c r="AE157" s="148"/>
      <c r="AF157" s="148"/>
      <c r="AG157" s="148"/>
    </row>
    <row r="158" ht="15.75" customHeight="1">
      <c r="A158" s="149"/>
      <c r="B158" s="150"/>
      <c r="C158" s="149"/>
      <c r="D158" s="125" t="s">
        <v>77</v>
      </c>
      <c r="E158" s="126"/>
      <c r="F158" s="127">
        <v>1.0</v>
      </c>
      <c r="G158" s="240">
        <v>6.0</v>
      </c>
      <c r="H158" s="129"/>
      <c r="I158" s="130">
        <v>419.0</v>
      </c>
      <c r="J158" s="151">
        <v>6.5</v>
      </c>
      <c r="K158" s="132"/>
      <c r="L158" s="133">
        <v>6.5</v>
      </c>
      <c r="M158" s="134">
        <f>I23</f>
        <v>402</v>
      </c>
      <c r="N158" s="135">
        <f>iferror(mround($P23*((VLOOKUP($J158,Sheet1!$D:$N,$G158+1,FALSE)-0.03)),2.5)," ")</f>
        <v>392.5</v>
      </c>
      <c r="O158" s="135">
        <f>iferror(mround($P23*((VLOOKUP($J158,Sheet1!$D:$N,$G158+1,FALSE)+0.02)),2.5)," ")</f>
        <v>420</v>
      </c>
      <c r="P158" s="56">
        <f>iferror(mround(I158/VLOOKUP(L158,Sheet1!$D$7:$N$16,G158+1,FALSE),2.5),"")</f>
        <v>557.5</v>
      </c>
      <c r="Q158" s="303">
        <f t="shared" si="1"/>
        <v>17</v>
      </c>
      <c r="S158" s="11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</row>
    <row r="159" ht="3.75" customHeight="1">
      <c r="A159" s="152"/>
      <c r="B159" s="150"/>
      <c r="C159" s="153"/>
      <c r="D159" s="138"/>
      <c r="E159" s="154"/>
      <c r="F159" s="155"/>
      <c r="G159" s="102"/>
      <c r="H159" s="102"/>
      <c r="I159" s="102"/>
      <c r="J159" s="156"/>
      <c r="K159" s="142"/>
      <c r="L159" s="143"/>
      <c r="M159" s="144"/>
      <c r="N159" s="145"/>
      <c r="O159" s="145"/>
      <c r="P159" s="122"/>
      <c r="Q159" s="304" t="str">
        <f t="shared" si="1"/>
        <v/>
      </c>
      <c r="S159" s="157"/>
      <c r="T159" s="5"/>
      <c r="U159" s="5"/>
      <c r="V159" s="158"/>
      <c r="W159" s="158"/>
      <c r="X159" s="158"/>
      <c r="Y159" s="158"/>
      <c r="Z159" s="158"/>
      <c r="AA159" s="158"/>
      <c r="AB159" s="158"/>
      <c r="AC159" s="158"/>
      <c r="AD159" s="158"/>
      <c r="AE159" s="158"/>
      <c r="AF159" s="158"/>
      <c r="AG159" s="158"/>
    </row>
    <row r="160" ht="15.75" customHeight="1">
      <c r="A160" s="149"/>
      <c r="B160" s="150"/>
      <c r="C160" s="149"/>
      <c r="D160" s="125" t="s">
        <v>77</v>
      </c>
      <c r="E160" s="126"/>
      <c r="F160" s="127">
        <v>1.0</v>
      </c>
      <c r="G160" s="161">
        <v>6.0</v>
      </c>
      <c r="H160" s="129"/>
      <c r="I160" s="130">
        <v>408.0</v>
      </c>
      <c r="J160" s="151" t="s">
        <v>78</v>
      </c>
      <c r="K160" s="132"/>
      <c r="L160" s="133">
        <v>6.5</v>
      </c>
      <c r="M160" s="134">
        <f>I25</f>
        <v>397</v>
      </c>
      <c r="N160" s="135" t="str">
        <f>iferror(mround($P25*((VLOOKUP($J160,Sheet1!$D:$N,$G160+1,FALSE)-0.03)),2.5)," ")</f>
        <v> </v>
      </c>
      <c r="O160" s="135" t="str">
        <f>iferror(mround($P25*((VLOOKUP($J160,Sheet1!$D:$N,$G160+1,FALSE)+0.02)),2.5)," ")</f>
        <v> </v>
      </c>
      <c r="P160" s="56">
        <f>iferror(mround(I160/VLOOKUP(L160,Sheet1!$D$7:$N$16,G160+1,FALSE),2.5),"")</f>
        <v>542.5</v>
      </c>
      <c r="Q160" s="303">
        <f t="shared" si="1"/>
        <v>11</v>
      </c>
      <c r="S160" s="11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</row>
    <row r="161" ht="3.75" customHeight="1">
      <c r="A161" s="162"/>
      <c r="B161" s="163"/>
      <c r="C161" s="162"/>
      <c r="D161" s="138"/>
      <c r="E161" s="154"/>
      <c r="F161" s="155"/>
      <c r="G161" s="102"/>
      <c r="H161" s="102"/>
      <c r="I161" s="102"/>
      <c r="J161" s="156"/>
      <c r="K161" s="142"/>
      <c r="L161" s="143"/>
      <c r="M161" s="144"/>
      <c r="N161" s="145"/>
      <c r="O161" s="145"/>
      <c r="P161" s="122"/>
      <c r="Q161" s="304" t="str">
        <f t="shared" si="1"/>
        <v/>
      </c>
      <c r="S161" s="147"/>
      <c r="T161" s="148"/>
      <c r="U161" s="148"/>
      <c r="V161" s="148"/>
      <c r="W161" s="148"/>
      <c r="X161" s="148"/>
      <c r="Y161" s="148"/>
      <c r="Z161" s="148"/>
      <c r="AA161" s="148"/>
      <c r="AB161" s="148"/>
      <c r="AC161" s="148"/>
      <c r="AD161" s="148"/>
      <c r="AE161" s="148"/>
      <c r="AF161" s="148"/>
      <c r="AG161" s="148"/>
    </row>
    <row r="162" ht="15.75" customHeight="1">
      <c r="A162" s="149"/>
      <c r="B162" s="150"/>
      <c r="C162" s="149"/>
      <c r="D162" s="159" t="s">
        <v>33</v>
      </c>
      <c r="E162" s="160" t="s">
        <v>34</v>
      </c>
      <c r="F162" s="127">
        <v>1.0</v>
      </c>
      <c r="G162" s="161">
        <v>5.0</v>
      </c>
      <c r="H162" s="129"/>
      <c r="I162" s="130">
        <v>265.0</v>
      </c>
      <c r="J162" s="151">
        <v>7.0</v>
      </c>
      <c r="K162" s="132"/>
      <c r="L162" s="133">
        <v>7.0</v>
      </c>
      <c r="M162" s="134">
        <f>I27</f>
        <v>253</v>
      </c>
      <c r="N162" s="135">
        <f>iferror(mround($P27*((VLOOKUP($J162,Sheet1!$D:$N,$G162+1,FALSE)-0.03)),2.5)," ")</f>
        <v>247.5</v>
      </c>
      <c r="O162" s="135">
        <f>iferror(mround($P27*((VLOOKUP($J162,Sheet1!$D:$N,$G162+1,FALSE)+0.02)),2.5)," ")</f>
        <v>262.5</v>
      </c>
      <c r="P162" s="56">
        <f>iferror(mround(I162/VLOOKUP(L162,Sheet1!$D$7:$N$16,G162+1,FALSE),2.5),"")</f>
        <v>335</v>
      </c>
      <c r="Q162" s="303">
        <f t="shared" si="1"/>
        <v>12</v>
      </c>
      <c r="S162" s="11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</row>
    <row r="163" ht="3.75" customHeight="1">
      <c r="A163" s="162"/>
      <c r="B163" s="163"/>
      <c r="C163" s="162"/>
      <c r="D163" s="138"/>
      <c r="E163" s="139"/>
      <c r="F163" s="140"/>
      <c r="G163" s="140"/>
      <c r="H163" s="140"/>
      <c r="I163" s="140"/>
      <c r="J163" s="141"/>
      <c r="K163" s="142"/>
      <c r="L163" s="143"/>
      <c r="M163" s="144"/>
      <c r="N163" s="145"/>
      <c r="O163" s="145"/>
      <c r="P163" s="122"/>
      <c r="Q163" s="304" t="str">
        <f t="shared" si="1"/>
        <v/>
      </c>
      <c r="S163" s="147"/>
      <c r="T163" s="148"/>
      <c r="U163" s="148"/>
      <c r="V163" s="148"/>
      <c r="W163" s="148"/>
      <c r="X163" s="148"/>
      <c r="Y163" s="148"/>
      <c r="Z163" s="148"/>
      <c r="AA163" s="148"/>
      <c r="AB163" s="148"/>
      <c r="AC163" s="148"/>
      <c r="AD163" s="148"/>
      <c r="AE163" s="148"/>
      <c r="AF163" s="148"/>
      <c r="AG163" s="148"/>
    </row>
    <row r="164" ht="15.75" customHeight="1">
      <c r="A164" s="90"/>
      <c r="B164" s="6"/>
      <c r="C164" s="90"/>
      <c r="D164" s="159" t="s">
        <v>33</v>
      </c>
      <c r="E164" s="160" t="s">
        <v>34</v>
      </c>
      <c r="F164" s="127">
        <v>3.0</v>
      </c>
      <c r="G164" s="161">
        <v>5.0</v>
      </c>
      <c r="H164" s="129"/>
      <c r="I164" s="164">
        <f>MROUND(I162*(1+J164),5)</f>
        <v>240</v>
      </c>
      <c r="J164" s="165">
        <v>-0.1</v>
      </c>
      <c r="K164" s="132"/>
      <c r="L164" s="133">
        <v>5.0</v>
      </c>
      <c r="M164" s="134">
        <f>I29</f>
        <v>230</v>
      </c>
      <c r="N164" s="135" t="str">
        <f>iferror(mround($P29*((VLOOKUP($J164,Sheet1!$D:$N,$G164+1,FALSE)-0.03)),2.5)," ")</f>
        <v> </v>
      </c>
      <c r="O164" s="135" t="str">
        <f>iferror(mround($P29*((VLOOKUP($J164,Sheet1!$D:$N,$G164+1,FALSE)+0.02)),2.5)," ")</f>
        <v> </v>
      </c>
      <c r="P164" s="56" t="str">
        <f>iferror(mround(I164/VLOOKUP(L164,Sheet1!$D$7:$N$16,G164+1,FALSE),2.5),"")</f>
        <v/>
      </c>
      <c r="Q164" s="303">
        <f t="shared" si="1"/>
        <v>10</v>
      </c>
      <c r="S164" s="11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</row>
    <row r="165" ht="3.75" customHeight="1">
      <c r="A165" s="168"/>
      <c r="B165" s="70"/>
      <c r="C165" s="168"/>
      <c r="D165" s="138"/>
      <c r="E165" s="139"/>
      <c r="F165" s="102"/>
      <c r="G165" s="102"/>
      <c r="H165" s="102"/>
      <c r="I165" s="102"/>
      <c r="J165" s="156"/>
      <c r="K165" s="142"/>
      <c r="L165" s="143"/>
      <c r="M165" s="144"/>
      <c r="N165" s="145"/>
      <c r="O165" s="145"/>
      <c r="P165" s="122"/>
      <c r="Q165" s="304" t="str">
        <f t="shared" si="1"/>
        <v/>
      </c>
      <c r="S165" s="147"/>
      <c r="T165" s="148"/>
      <c r="U165" s="148"/>
      <c r="V165" s="148"/>
      <c r="W165" s="148"/>
      <c r="X165" s="148"/>
      <c r="Y165" s="148"/>
      <c r="Z165" s="148"/>
      <c r="AA165" s="148"/>
      <c r="AB165" s="148"/>
      <c r="AC165" s="148"/>
      <c r="AD165" s="148"/>
      <c r="AE165" s="148"/>
      <c r="AF165" s="148"/>
      <c r="AG165" s="148"/>
    </row>
    <row r="166" ht="15.75" customHeight="1">
      <c r="A166" s="90"/>
      <c r="B166" s="6"/>
      <c r="C166" s="90"/>
      <c r="D166" s="166" t="s">
        <v>35</v>
      </c>
      <c r="E166" s="167" t="s">
        <v>79</v>
      </c>
      <c r="F166" s="127">
        <v>2.0</v>
      </c>
      <c r="G166" s="161">
        <v>7.0</v>
      </c>
      <c r="H166" s="129"/>
      <c r="I166" s="130">
        <v>253.0</v>
      </c>
      <c r="J166" s="151">
        <v>8.0</v>
      </c>
      <c r="K166" s="170" t="s">
        <v>80</v>
      </c>
      <c r="L166" s="133">
        <v>8.0</v>
      </c>
      <c r="M166" s="134">
        <f>I31</f>
        <v>248</v>
      </c>
      <c r="N166" s="135">
        <f>iferror(mround($P31*((VLOOKUP($J166,Sheet1!$D:$N,$G166+1,FALSE)-0.03)),2.5)," ")</f>
        <v>240</v>
      </c>
      <c r="O166" s="135">
        <f>iferror(mround($P31*((VLOOKUP($J166,Sheet1!$D:$N,$G166+1,FALSE)+0.02)),2.5)," ")</f>
        <v>255</v>
      </c>
      <c r="P166" s="56">
        <f>iferror(mround(I166/VLOOKUP(L166,Sheet1!$D$7:$N$16,G166+1,FALSE),2.5),"")</f>
        <v>330</v>
      </c>
      <c r="Q166" s="303">
        <f t="shared" si="1"/>
        <v>5</v>
      </c>
      <c r="S166" s="11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</row>
    <row r="167" ht="3.75" customHeight="1">
      <c r="A167" s="90"/>
      <c r="B167" s="6"/>
      <c r="C167" s="90"/>
      <c r="D167" s="171"/>
      <c r="E167" s="172"/>
      <c r="F167" s="173"/>
      <c r="G167" s="173"/>
      <c r="H167" s="173"/>
      <c r="I167" s="173"/>
      <c r="J167" s="174"/>
      <c r="K167" s="142"/>
      <c r="L167" s="143"/>
      <c r="M167" s="144"/>
      <c r="N167" s="145"/>
      <c r="O167" s="145"/>
      <c r="P167" s="122"/>
      <c r="Q167" s="304" t="str">
        <f t="shared" si="1"/>
        <v/>
      </c>
      <c r="S167" s="11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</row>
    <row r="168" ht="15.75" customHeight="1">
      <c r="A168" s="90"/>
      <c r="B168" s="6"/>
      <c r="C168" s="90"/>
      <c r="D168" s="166" t="s">
        <v>37</v>
      </c>
      <c r="E168" s="160" t="s">
        <v>81</v>
      </c>
      <c r="F168" s="127">
        <v>3.0</v>
      </c>
      <c r="G168" s="169">
        <v>45577.0</v>
      </c>
      <c r="H168" s="129"/>
      <c r="I168" s="130">
        <v>400.0</v>
      </c>
      <c r="J168" s="151">
        <v>8.0</v>
      </c>
      <c r="K168" s="132"/>
      <c r="L168" s="133">
        <v>8.0</v>
      </c>
      <c r="M168" s="134">
        <f>I33</f>
        <v>385</v>
      </c>
      <c r="N168" s="135" t="str">
        <f>iferror(mround($P33*((VLOOKUP($J168,Sheet1!$D:$N,$G168+1,FALSE)-0.03)),2.5)," ")</f>
        <v> </v>
      </c>
      <c r="O168" s="135" t="str">
        <f>iferror(mround($P33*((VLOOKUP($J168,Sheet1!$D:$N,$G168+1,FALSE)+0.02)),2.5)," ")</f>
        <v> </v>
      </c>
      <c r="P168" s="56" t="str">
        <f>iferror(mround(I168/VLOOKUP(L168,Sheet1!$D$7:$N$16,G168+1,FALSE),2.5),"")</f>
        <v/>
      </c>
      <c r="Q168" s="303">
        <f t="shared" si="1"/>
        <v>15</v>
      </c>
      <c r="S168" s="11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</row>
    <row r="169" ht="3.75" customHeight="1">
      <c r="A169" s="90"/>
      <c r="B169" s="6"/>
      <c r="C169" s="90"/>
      <c r="D169" s="171"/>
      <c r="E169" s="172"/>
      <c r="F169" s="173"/>
      <c r="G169" s="173"/>
      <c r="H169" s="173"/>
      <c r="I169" s="173"/>
      <c r="J169" s="174"/>
      <c r="K169" s="142"/>
      <c r="L169" s="143"/>
      <c r="M169" s="144"/>
      <c r="N169" s="145"/>
      <c r="O169" s="145"/>
      <c r="P169" s="122"/>
      <c r="Q169" s="304" t="str">
        <f t="shared" si="1"/>
        <v/>
      </c>
      <c r="S169" s="11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</row>
    <row r="170" ht="15.75" hidden="1" customHeight="1">
      <c r="A170" s="90"/>
      <c r="B170" s="6"/>
      <c r="C170" s="90"/>
      <c r="D170" s="175" t="s">
        <v>40</v>
      </c>
      <c r="E170" s="176"/>
      <c r="F170" s="177">
        <v>3.0</v>
      </c>
      <c r="G170" s="178" t="s">
        <v>41</v>
      </c>
      <c r="H170" s="179"/>
      <c r="I170" s="180"/>
      <c r="J170" s="181">
        <v>8.0</v>
      </c>
      <c r="K170" s="182"/>
      <c r="L170" s="183"/>
      <c r="M170" s="134" t="str">
        <f>I35</f>
        <v/>
      </c>
      <c r="N170" s="135" t="str">
        <f>iferror(mround($P35*((VLOOKUP($J170,Sheet1!$D:$N,$G170+1,FALSE)-0.03)),2.5)," ")</f>
        <v> </v>
      </c>
      <c r="O170" s="135" t="str">
        <f>iferror(mround($P35*((VLOOKUP($J170,Sheet1!$D:$N,$G170+1,FALSE)+0.02)),2.5)," ")</f>
        <v> </v>
      </c>
      <c r="P170" s="56" t="str">
        <f>iferror(mround(I170/VLOOKUP(L170,Sheet1!$D$7:$N$16,G170+1,FALSE),2.5),"")</f>
        <v/>
      </c>
      <c r="Q170" s="303" t="str">
        <f t="shared" si="1"/>
        <v/>
      </c>
      <c r="S170" s="11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</row>
    <row r="171" ht="3.75" hidden="1" customHeight="1">
      <c r="A171" s="90"/>
      <c r="B171" s="6"/>
      <c r="C171" s="90"/>
      <c r="D171" s="138"/>
      <c r="E171" s="184"/>
      <c r="F171" s="102"/>
      <c r="G171" s="102"/>
      <c r="H171" s="102"/>
      <c r="I171" s="102"/>
      <c r="J171" s="156"/>
      <c r="K171" s="103"/>
      <c r="L171" s="143"/>
      <c r="M171" s="144"/>
      <c r="N171" s="145"/>
      <c r="O171" s="145"/>
      <c r="P171" s="122"/>
      <c r="Q171" s="304" t="str">
        <f t="shared" si="1"/>
        <v/>
      </c>
      <c r="S171" s="11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</row>
    <row r="172" ht="15.75" hidden="1" customHeight="1">
      <c r="A172" s="90"/>
      <c r="B172" s="6"/>
      <c r="C172" s="90"/>
      <c r="D172" s="185"/>
      <c r="E172" s="186"/>
      <c r="F172" s="187"/>
      <c r="G172" s="188"/>
      <c r="H172" s="129"/>
      <c r="I172" s="164"/>
      <c r="J172" s="189"/>
      <c r="K172" s="190"/>
      <c r="L172" s="183"/>
      <c r="M172" s="134" t="str">
        <f>I37</f>
        <v/>
      </c>
      <c r="N172" s="135" t="str">
        <f>iferror(mround($P37*((VLOOKUP($J172,Sheet1!$D:$N,$G172+1,FALSE)-0.03)),2.5)," ")</f>
        <v> </v>
      </c>
      <c r="O172" s="135" t="str">
        <f>iferror(mround($P37*((VLOOKUP($J172,Sheet1!$D:$N,$G172+1,FALSE)+0.02)),2.5)," ")</f>
        <v> </v>
      </c>
      <c r="P172" s="56" t="str">
        <f>iferror(mround(I172/VLOOKUP(L172,Sheet1!$D$7:$N$16,G172+1,FALSE),2.5),"")</f>
        <v/>
      </c>
      <c r="Q172" s="303" t="str">
        <f t="shared" si="1"/>
        <v/>
      </c>
      <c r="S172" s="11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</row>
    <row r="173" ht="3.75" hidden="1" customHeight="1">
      <c r="A173" s="191"/>
      <c r="B173" s="6"/>
      <c r="C173" s="192"/>
      <c r="D173" s="138"/>
      <c r="E173" s="193"/>
      <c r="F173" s="194"/>
      <c r="G173" s="155"/>
      <c r="H173" s="102"/>
      <c r="I173" s="102"/>
      <c r="J173" s="156"/>
      <c r="K173" s="103"/>
      <c r="L173" s="143"/>
      <c r="M173" s="144"/>
      <c r="N173" s="145"/>
      <c r="O173" s="145"/>
      <c r="P173" s="122"/>
      <c r="Q173" s="304" t="str">
        <f t="shared" si="1"/>
        <v/>
      </c>
      <c r="S173" s="157"/>
      <c r="T173" s="5"/>
      <c r="U173" s="5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</row>
    <row r="174" ht="15.75" hidden="1" customHeight="1">
      <c r="A174" s="90"/>
      <c r="B174" s="6"/>
      <c r="C174" s="90"/>
      <c r="D174" s="185"/>
      <c r="E174" s="186"/>
      <c r="F174" s="187"/>
      <c r="G174" s="195"/>
      <c r="H174" s="129"/>
      <c r="I174" s="164"/>
      <c r="J174" s="189"/>
      <c r="K174" s="190"/>
      <c r="L174" s="183"/>
      <c r="M174" s="134" t="str">
        <f>I39</f>
        <v/>
      </c>
      <c r="N174" s="135" t="str">
        <f>iferror(mround($P39*((VLOOKUP($J174,Sheet1!$D:$N,$G174+1,FALSE)-0.03)),2.5)," ")</f>
        <v> </v>
      </c>
      <c r="O174" s="135" t="str">
        <f>iferror(mround($P39*((VLOOKUP($J174,Sheet1!$D:$N,$G174+1,FALSE)+0.02)),2.5)," ")</f>
        <v> </v>
      </c>
      <c r="P174" s="56" t="str">
        <f>iferror(mround(I174/VLOOKUP(L174,Sheet1!$D$7:$N$16,G174+1,FALSE),2.5),"")</f>
        <v/>
      </c>
      <c r="Q174" s="303" t="str">
        <f t="shared" si="1"/>
        <v/>
      </c>
      <c r="S174" s="11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</row>
    <row r="175" ht="3.75" hidden="1" customHeight="1">
      <c r="A175" s="90"/>
      <c r="B175" s="6"/>
      <c r="C175" s="90"/>
      <c r="D175" s="196"/>
      <c r="E175" s="184"/>
      <c r="F175" s="102"/>
      <c r="G175" s="102"/>
      <c r="H175" s="102"/>
      <c r="I175" s="102"/>
      <c r="J175" s="156"/>
      <c r="K175" s="103"/>
      <c r="L175" s="143"/>
      <c r="M175" s="144"/>
      <c r="N175" s="145"/>
      <c r="O175" s="145"/>
      <c r="P175" s="122"/>
      <c r="Q175" s="304" t="str">
        <f t="shared" si="1"/>
        <v/>
      </c>
      <c r="S175" s="11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</row>
    <row r="176" ht="15.75" hidden="1" customHeight="1">
      <c r="A176" s="90"/>
      <c r="B176" s="6"/>
      <c r="C176" s="90"/>
      <c r="D176" s="197"/>
      <c r="E176" s="198"/>
      <c r="F176" s="199"/>
      <c r="G176" s="195"/>
      <c r="H176" s="129"/>
      <c r="I176" s="164"/>
      <c r="J176" s="189"/>
      <c r="K176" s="190"/>
      <c r="L176" s="183"/>
      <c r="M176" s="134" t="str">
        <f>I41</f>
        <v/>
      </c>
      <c r="N176" s="135" t="str">
        <f>iferror(mround($P41*((VLOOKUP($J176,Sheet1!$D:$N,$G176+1,FALSE)-0.03)),2.5)," ")</f>
        <v> </v>
      </c>
      <c r="O176" s="135" t="str">
        <f>iferror(mround($P41*((VLOOKUP($J176,Sheet1!$D:$N,$G176+1,FALSE)+0.02)),2.5)," ")</f>
        <v> </v>
      </c>
      <c r="P176" s="56" t="str">
        <f>iferror(mround(I176/VLOOKUP(L176,Sheet1!$D$7:$N$16,G176+1,FALSE),2.5),"")</f>
        <v/>
      </c>
      <c r="Q176" s="303" t="str">
        <f t="shared" si="1"/>
        <v/>
      </c>
      <c r="S176" s="11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</row>
    <row r="177" ht="3.75" customHeight="1">
      <c r="A177" s="90"/>
      <c r="B177" s="6"/>
      <c r="C177" s="90"/>
      <c r="D177" s="90"/>
      <c r="E177" s="156"/>
      <c r="F177" s="102"/>
      <c r="G177" s="102"/>
      <c r="H177" s="102"/>
      <c r="I177" s="102"/>
      <c r="J177" s="156"/>
      <c r="K177" s="200"/>
      <c r="L177" s="201"/>
      <c r="M177" s="144"/>
      <c r="N177" s="47"/>
      <c r="O177" s="47"/>
      <c r="P177" s="122"/>
      <c r="Q177" s="304" t="str">
        <f t="shared" si="1"/>
        <v/>
      </c>
      <c r="S177" s="11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</row>
    <row r="178" ht="30.0" customHeight="1">
      <c r="A178" s="90"/>
      <c r="B178" s="6"/>
      <c r="C178" s="90"/>
      <c r="D178" s="202" t="s">
        <v>42</v>
      </c>
      <c r="E178" s="105" t="s">
        <v>82</v>
      </c>
      <c r="F178" s="106" t="s">
        <v>16</v>
      </c>
      <c r="G178" s="106" t="s">
        <v>17</v>
      </c>
      <c r="H178" s="107"/>
      <c r="I178" s="106" t="s">
        <v>18</v>
      </c>
      <c r="J178" s="108" t="s">
        <v>19</v>
      </c>
      <c r="L178" s="109" t="s">
        <v>20</v>
      </c>
      <c r="M178" s="110" t="s">
        <v>21</v>
      </c>
      <c r="N178" s="111" t="s">
        <v>22</v>
      </c>
      <c r="P178" s="112"/>
      <c r="Q178" s="113" t="s">
        <v>23</v>
      </c>
      <c r="R178" s="114" t="s">
        <v>43</v>
      </c>
      <c r="S178" s="11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</row>
    <row r="179" ht="14.25" customHeight="1">
      <c r="A179" s="90"/>
      <c r="B179" s="6"/>
      <c r="C179" s="90"/>
      <c r="D179" s="116">
        <v>4.0</v>
      </c>
      <c r="E179" s="117">
        <v>2.0</v>
      </c>
      <c r="H179" s="107"/>
      <c r="N179" s="111" t="s">
        <v>27</v>
      </c>
      <c r="O179" s="111" t="s">
        <v>28</v>
      </c>
      <c r="P179" s="112" t="s">
        <v>29</v>
      </c>
      <c r="R179" s="118" t="s">
        <v>30</v>
      </c>
      <c r="S179" s="11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</row>
    <row r="180" ht="3.75" customHeight="1">
      <c r="A180" s="191"/>
      <c r="B180" s="6"/>
      <c r="C180" s="192"/>
      <c r="D180" s="203"/>
      <c r="E180" s="204"/>
      <c r="F180" s="205"/>
      <c r="G180" s="205"/>
      <c r="H180" s="206"/>
      <c r="I180" s="207"/>
      <c r="J180" s="208"/>
      <c r="K180" s="209"/>
      <c r="L180" s="210"/>
      <c r="M180" s="211"/>
      <c r="N180" s="47"/>
      <c r="O180" s="47"/>
      <c r="P180" s="122"/>
      <c r="Q180" s="304" t="str">
        <f t="shared" ref="Q180:Q202" si="2">IF(OR(ISBLANK(I180), ISBLANK(I45)), "", IF(I180 - I45 = 0, "", I180 - I45))</f>
        <v/>
      </c>
      <c r="R180" s="212"/>
      <c r="S180" s="157"/>
      <c r="T180" s="5"/>
      <c r="U180" s="5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</row>
    <row r="181" ht="15.75" customHeight="1">
      <c r="A181" s="124"/>
      <c r="B181" s="6"/>
      <c r="C181" s="124"/>
      <c r="D181" s="159" t="s">
        <v>83</v>
      </c>
      <c r="E181" s="167" t="s">
        <v>84</v>
      </c>
      <c r="F181" s="127">
        <v>3.0</v>
      </c>
      <c r="G181" s="127">
        <v>3.0</v>
      </c>
      <c r="H181" s="195"/>
      <c r="I181" s="130">
        <v>446.0</v>
      </c>
      <c r="J181" s="151">
        <v>6.0</v>
      </c>
      <c r="K181" s="213"/>
      <c r="L181" s="133">
        <v>6.0</v>
      </c>
      <c r="M181" s="134">
        <f>I46</f>
        <v>435</v>
      </c>
      <c r="N181" s="135">
        <f>iferror(mround($P46*((VLOOKUP($J181,Sheet1!$D:$N,$G181+1,FALSE)-0.03)),2.5)," ")</f>
        <v>0</v>
      </c>
      <c r="O181" s="135">
        <f>iferror(mround($P46*((VLOOKUP($J181,Sheet1!$D:$N,$G181+1,FALSE)+0.02)),2.5)," ")</f>
        <v>0</v>
      </c>
      <c r="P181" s="112">
        <f>iferror(mround(I181/VLOOKUP(L181,Sheet1!$D$7:$N$16,G181+1,FALSE),2.5),"")</f>
        <v>547.5</v>
      </c>
      <c r="Q181" s="303">
        <f t="shared" si="2"/>
        <v>11</v>
      </c>
      <c r="R181" s="214"/>
      <c r="S181" s="11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</row>
    <row r="182" ht="3.75" customHeight="1">
      <c r="A182" s="124"/>
      <c r="B182" s="6"/>
      <c r="C182" s="124"/>
      <c r="D182" s="138"/>
      <c r="E182" s="215"/>
      <c r="F182" s="102"/>
      <c r="G182" s="102"/>
      <c r="H182" s="102"/>
      <c r="I182" s="102"/>
      <c r="J182" s="216"/>
      <c r="K182" s="217"/>
      <c r="L182" s="218"/>
      <c r="M182" s="144"/>
      <c r="N182" s="145"/>
      <c r="O182" s="145"/>
      <c r="P182" s="122"/>
      <c r="Q182" s="304" t="str">
        <f t="shared" si="2"/>
        <v/>
      </c>
      <c r="R182" s="214"/>
      <c r="S182" s="11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</row>
    <row r="183" ht="15.75" customHeight="1">
      <c r="A183" s="90"/>
      <c r="B183" s="6"/>
      <c r="C183" s="90"/>
      <c r="D183" s="159" t="s">
        <v>33</v>
      </c>
      <c r="E183" s="167"/>
      <c r="F183" s="127">
        <v>1.0</v>
      </c>
      <c r="G183" s="127">
        <v>2.0</v>
      </c>
      <c r="H183" s="195"/>
      <c r="I183" s="130">
        <v>303.0</v>
      </c>
      <c r="J183" s="151">
        <v>7.5</v>
      </c>
      <c r="K183" s="219" t="s">
        <v>85</v>
      </c>
      <c r="L183" s="133">
        <v>8.0</v>
      </c>
      <c r="M183" s="134">
        <f>I48</f>
        <v>292</v>
      </c>
      <c r="N183" s="135">
        <f>iferror(mround($P48*((VLOOKUP($J183,Sheet1!$D:$N,$G183+1,FALSE)-0.03)),2.5)," ")</f>
        <v>285</v>
      </c>
      <c r="O183" s="135">
        <f>iferror(mround($P48*((VLOOKUP($J183,Sheet1!$D:$N,$G183+1,FALSE)+0.02)),2.5)," ")</f>
        <v>302.5</v>
      </c>
      <c r="P183" s="112">
        <f>iferror(mround(I183/VLOOKUP(L183,Sheet1!$D$7:$N$16,G183+1,FALSE),2.5),"")</f>
        <v>340</v>
      </c>
      <c r="Q183" s="303">
        <f t="shared" si="2"/>
        <v>11</v>
      </c>
      <c r="R183" s="214"/>
      <c r="S183" s="11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</row>
    <row r="184" ht="3.75" customHeight="1">
      <c r="A184" s="90"/>
      <c r="B184" s="6"/>
      <c r="C184" s="90"/>
      <c r="D184" s="138"/>
      <c r="E184" s="215"/>
      <c r="F184" s="102"/>
      <c r="G184" s="102"/>
      <c r="H184" s="102"/>
      <c r="I184" s="102"/>
      <c r="J184" s="216"/>
      <c r="K184" s="217"/>
      <c r="L184" s="218"/>
      <c r="M184" s="144"/>
      <c r="N184" s="145"/>
      <c r="O184" s="145"/>
      <c r="P184" s="122"/>
      <c r="Q184" s="304" t="str">
        <f t="shared" si="2"/>
        <v/>
      </c>
      <c r="R184" s="214"/>
      <c r="S184" s="11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</row>
    <row r="185" ht="15.75" customHeight="1">
      <c r="A185" s="90"/>
      <c r="B185" s="6"/>
      <c r="C185" s="90"/>
      <c r="D185" s="159" t="s">
        <v>33</v>
      </c>
      <c r="E185" s="167"/>
      <c r="F185" s="127">
        <v>3.0</v>
      </c>
      <c r="G185" s="161">
        <v>3.0</v>
      </c>
      <c r="H185" s="195"/>
      <c r="I185" s="164">
        <f>MROUND(I183*(1+J185),5)</f>
        <v>280</v>
      </c>
      <c r="J185" s="165">
        <v>-0.08</v>
      </c>
      <c r="K185" s="219"/>
      <c r="L185" s="133">
        <v>8.0</v>
      </c>
      <c r="M185" s="134">
        <f>I50</f>
        <v>270</v>
      </c>
      <c r="N185" s="135" t="str">
        <f>iferror(mround($P50*((VLOOKUP($J185,Sheet1!$D:$N,$G185+1,FALSE)-0.03)),2.5)," ")</f>
        <v> </v>
      </c>
      <c r="O185" s="135" t="str">
        <f>iferror(mround($P50*((VLOOKUP($J185,Sheet1!$D:$N,$G185+1,FALSE)+0.02)),2.5)," ")</f>
        <v> </v>
      </c>
      <c r="P185" s="112">
        <f>iferror(mround(I185/VLOOKUP(L185,Sheet1!$D$7:$N$16,G185+1,FALSE),2.5),"")</f>
        <v>322.5</v>
      </c>
      <c r="Q185" s="303">
        <f t="shared" si="2"/>
        <v>10</v>
      </c>
      <c r="R185" s="214"/>
      <c r="S185" s="11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</row>
    <row r="186" ht="3.75" customHeight="1">
      <c r="A186" s="90"/>
      <c r="B186" s="6"/>
      <c r="C186" s="90"/>
      <c r="D186" s="138"/>
      <c r="E186" s="215"/>
      <c r="F186" s="102"/>
      <c r="G186" s="102"/>
      <c r="H186" s="102"/>
      <c r="I186" s="102"/>
      <c r="J186" s="156"/>
      <c r="K186" s="217"/>
      <c r="L186" s="143"/>
      <c r="M186" s="144"/>
      <c r="N186" s="145"/>
      <c r="O186" s="145"/>
      <c r="P186" s="122"/>
      <c r="Q186" s="304" t="str">
        <f t="shared" si="2"/>
        <v/>
      </c>
      <c r="R186" s="214"/>
      <c r="S186" s="11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</row>
    <row r="187" ht="15.75" customHeight="1">
      <c r="A187" s="90"/>
      <c r="B187" s="6"/>
      <c r="C187" s="90"/>
      <c r="D187" s="159" t="s">
        <v>86</v>
      </c>
      <c r="E187" s="167" t="s">
        <v>87</v>
      </c>
      <c r="F187" s="127">
        <v>3.0</v>
      </c>
      <c r="G187" s="169">
        <v>45577.0</v>
      </c>
      <c r="H187" s="195"/>
      <c r="I187" s="130">
        <v>130.0</v>
      </c>
      <c r="J187" s="151">
        <v>8.0</v>
      </c>
      <c r="K187" s="213"/>
      <c r="L187" s="133">
        <v>8.0</v>
      </c>
      <c r="M187" s="134">
        <f>I52</f>
        <v>120</v>
      </c>
      <c r="N187" s="135" t="str">
        <f>iferror(mround($P52*((VLOOKUP($J187,Sheet1!$D:$N,$G187+1,FALSE)-0.03)),2.5)," ")</f>
        <v> </v>
      </c>
      <c r="O187" s="135" t="str">
        <f>iferror(mround($P52*((VLOOKUP($J187,Sheet1!$D:$N,$G187+1,FALSE)+0.02)),2.5)," ")</f>
        <v> </v>
      </c>
      <c r="P187" s="112" t="str">
        <f>iferror(mround(I187/VLOOKUP(L187,Sheet1!$D$7:$N$16,G187+1,FALSE),2.5),"")</f>
        <v/>
      </c>
      <c r="Q187" s="303">
        <f t="shared" si="2"/>
        <v>10</v>
      </c>
      <c r="R187" s="214"/>
      <c r="S187" s="11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</row>
    <row r="188" ht="3.75" customHeight="1">
      <c r="A188" s="90"/>
      <c r="B188" s="6"/>
      <c r="C188" s="90"/>
      <c r="D188" s="138"/>
      <c r="E188" s="215"/>
      <c r="F188" s="102"/>
      <c r="G188" s="102"/>
      <c r="H188" s="102"/>
      <c r="I188" s="102"/>
      <c r="J188" s="156"/>
      <c r="K188" s="217"/>
      <c r="L188" s="143"/>
      <c r="M188" s="144"/>
      <c r="N188" s="145"/>
      <c r="O188" s="145"/>
      <c r="P188" s="122"/>
      <c r="Q188" s="304" t="str">
        <f t="shared" si="2"/>
        <v/>
      </c>
      <c r="R188" s="214"/>
      <c r="S188" s="11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</row>
    <row r="189" ht="15.75" customHeight="1">
      <c r="A189" s="90"/>
      <c r="B189" s="6"/>
      <c r="C189" s="90"/>
      <c r="D189" s="159" t="s">
        <v>88</v>
      </c>
      <c r="E189" s="220"/>
      <c r="F189" s="127">
        <v>3.0</v>
      </c>
      <c r="G189" s="221">
        <v>45641.0</v>
      </c>
      <c r="H189" s="195"/>
      <c r="I189" s="130">
        <v>30.0</v>
      </c>
      <c r="J189" s="151">
        <v>9.0</v>
      </c>
      <c r="K189" s="213"/>
      <c r="L189" s="133">
        <v>9.0</v>
      </c>
      <c r="M189" s="134">
        <f>I54</f>
        <v>25</v>
      </c>
      <c r="N189" s="135" t="str">
        <f>iferror(mround($P54*((VLOOKUP($J189,Sheet1!$D:$N,$G189+1,FALSE)-0.03)),2.5)," ")</f>
        <v> </v>
      </c>
      <c r="O189" s="135" t="str">
        <f>iferror(mround($P54*((VLOOKUP($J189,Sheet1!$D:$N,$G189+1,FALSE)+0.02)),2.5)," ")</f>
        <v> </v>
      </c>
      <c r="P189" s="112" t="str">
        <f>iferror(mround(I189/VLOOKUP(L189,Sheet1!$D$7:$N$16,G189+1,FALSE),2.5),"")</f>
        <v/>
      </c>
      <c r="Q189" s="303">
        <f t="shared" si="2"/>
        <v>5</v>
      </c>
      <c r="R189" s="214"/>
      <c r="S189" s="11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</row>
    <row r="190" ht="3.75" customHeight="1">
      <c r="A190" s="90"/>
      <c r="B190" s="6"/>
      <c r="C190" s="90"/>
      <c r="D190" s="138"/>
      <c r="E190" s="215"/>
      <c r="F190" s="102"/>
      <c r="G190" s="102"/>
      <c r="H190" s="102"/>
      <c r="I190" s="102"/>
      <c r="J190" s="156"/>
      <c r="K190" s="217"/>
      <c r="L190" s="143"/>
      <c r="M190" s="144"/>
      <c r="N190" s="145"/>
      <c r="O190" s="145"/>
      <c r="P190" s="122"/>
      <c r="Q190" s="304" t="str">
        <f t="shared" si="2"/>
        <v/>
      </c>
      <c r="R190" s="214"/>
      <c r="S190" s="11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</row>
    <row r="191" ht="15.75" customHeight="1">
      <c r="A191" s="90"/>
      <c r="B191" s="6"/>
      <c r="C191" s="90"/>
      <c r="D191" s="159" t="s">
        <v>47</v>
      </c>
      <c r="E191" s="220"/>
      <c r="F191" s="127">
        <v>3.0</v>
      </c>
      <c r="G191" s="221">
        <v>45641.0</v>
      </c>
      <c r="H191" s="195"/>
      <c r="I191" s="130"/>
      <c r="J191" s="151">
        <v>9.0</v>
      </c>
      <c r="K191" s="213"/>
      <c r="L191" s="183"/>
      <c r="M191" s="134">
        <f>I56</f>
        <v>130</v>
      </c>
      <c r="N191" s="135" t="str">
        <f>iferror(mround($P56*((VLOOKUP($J191,Sheet1!$D:$N,$G191+1,FALSE)-0.03)),2.5)," ")</f>
        <v> </v>
      </c>
      <c r="O191" s="135" t="str">
        <f>iferror(mround($P56*((VLOOKUP($J191,Sheet1!$D:$N,$G191+1,FALSE)+0.02)),2.5)," ")</f>
        <v> </v>
      </c>
      <c r="P191" s="112" t="str">
        <f>iferror(mround(I191/VLOOKUP(L191,Sheet1!$D$7:$N$16,G191+1,FALSE),2.5),"")</f>
        <v/>
      </c>
      <c r="Q191" s="303" t="str">
        <f t="shared" si="2"/>
        <v/>
      </c>
      <c r="R191" s="214"/>
      <c r="S191" s="11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</row>
    <row r="192" ht="3.75" customHeight="1">
      <c r="A192" s="90"/>
      <c r="B192" s="6"/>
      <c r="C192" s="90"/>
      <c r="D192" s="138"/>
      <c r="E192" s="326"/>
      <c r="F192" s="102"/>
      <c r="G192" s="102"/>
      <c r="H192" s="102"/>
      <c r="I192" s="102"/>
      <c r="J192" s="216"/>
      <c r="K192" s="222"/>
      <c r="L192" s="143"/>
      <c r="M192" s="144"/>
      <c r="N192" s="145"/>
      <c r="O192" s="145"/>
      <c r="P192" s="122"/>
      <c r="Q192" s="304" t="str">
        <f t="shared" si="2"/>
        <v/>
      </c>
      <c r="R192" s="214"/>
      <c r="S192" s="11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</row>
    <row r="193" ht="18.0" hidden="1" customHeight="1">
      <c r="A193" s="90"/>
      <c r="B193" s="6"/>
      <c r="C193" s="90"/>
      <c r="D193" s="185"/>
      <c r="E193" s="327"/>
      <c r="F193" s="187"/>
      <c r="G193" s="187"/>
      <c r="H193" s="195"/>
      <c r="I193" s="164"/>
      <c r="J193" s="189"/>
      <c r="K193" s="190"/>
      <c r="L193" s="183"/>
      <c r="M193" s="134" t="str">
        <f>I58</f>
        <v/>
      </c>
      <c r="N193" s="135" t="str">
        <f>iferror(mround($P58*((VLOOKUP($J193,Sheet1!$D:$N,$G193+1,FALSE)-0.03)),2.5)," ")</f>
        <v> </v>
      </c>
      <c r="O193" s="135" t="str">
        <f>iferror(mround($P58*((VLOOKUP($J193,Sheet1!$D:$N,$G193+1,FALSE)+0.02)),2.5)," ")</f>
        <v> </v>
      </c>
      <c r="P193" s="112" t="str">
        <f>iferror(mround(I193/VLOOKUP(L193,Sheet1!$D$7:$N$16,G193+1,FALSE),2.5),"")</f>
        <v/>
      </c>
      <c r="Q193" s="303" t="str">
        <f t="shared" si="2"/>
        <v/>
      </c>
      <c r="R193" s="214"/>
      <c r="S193" s="11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</row>
    <row r="194" ht="3.75" hidden="1" customHeight="1">
      <c r="A194" s="191"/>
      <c r="B194" s="6"/>
      <c r="C194" s="192"/>
      <c r="D194" s="138"/>
      <c r="E194" s="223"/>
      <c r="F194" s="194"/>
      <c r="G194" s="194"/>
      <c r="H194" s="155"/>
      <c r="I194" s="210"/>
      <c r="J194" s="216"/>
      <c r="K194" s="222"/>
      <c r="L194" s="143"/>
      <c r="M194" s="144"/>
      <c r="N194" s="145"/>
      <c r="O194" s="145"/>
      <c r="P194" s="122"/>
      <c r="Q194" s="304" t="str">
        <f t="shared" si="2"/>
        <v/>
      </c>
      <c r="R194" s="214"/>
      <c r="S194" s="157"/>
      <c r="T194" s="5"/>
      <c r="U194" s="5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</row>
    <row r="195" ht="15.75" hidden="1" customHeight="1">
      <c r="A195" s="90"/>
      <c r="B195" s="6"/>
      <c r="C195" s="90"/>
      <c r="D195" s="185"/>
      <c r="E195" s="186"/>
      <c r="F195" s="187"/>
      <c r="G195" s="187"/>
      <c r="H195" s="195"/>
      <c r="I195" s="164"/>
      <c r="J195" s="189"/>
      <c r="K195" s="190"/>
      <c r="L195" s="183"/>
      <c r="M195" s="134" t="str">
        <f>I60</f>
        <v/>
      </c>
      <c r="N195" s="135" t="str">
        <f>iferror(mround($P60*((VLOOKUP($J195,Sheet1!$D:$N,$G195+1,FALSE)-0.03)),2.5)," ")</f>
        <v> </v>
      </c>
      <c r="O195" s="135" t="str">
        <f>iferror(mround($P60*((VLOOKUP($J195,Sheet1!$D:$N,$G195+1,FALSE)+0.02)),2.5)," ")</f>
        <v> </v>
      </c>
      <c r="P195" s="112" t="str">
        <f>iferror(mround(I195/VLOOKUP(L195,Sheet1!$D$7:$N$16,G195+1,FALSE),2.5),"")</f>
        <v/>
      </c>
      <c r="Q195" s="303" t="str">
        <f t="shared" si="2"/>
        <v/>
      </c>
      <c r="R195" s="214"/>
      <c r="S195" s="11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</row>
    <row r="196" ht="3.75" hidden="1" customHeight="1">
      <c r="A196" s="90"/>
      <c r="B196" s="6"/>
      <c r="C196" s="90"/>
      <c r="D196" s="138"/>
      <c r="E196" s="184"/>
      <c r="F196" s="102"/>
      <c r="G196" s="102"/>
      <c r="H196" s="102"/>
      <c r="I196" s="102"/>
      <c r="J196" s="156"/>
      <c r="K196" s="222"/>
      <c r="L196" s="143"/>
      <c r="M196" s="144"/>
      <c r="N196" s="145"/>
      <c r="O196" s="145"/>
      <c r="P196" s="122"/>
      <c r="Q196" s="304" t="str">
        <f t="shared" si="2"/>
        <v/>
      </c>
      <c r="R196" s="214"/>
      <c r="S196" s="11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</row>
    <row r="197" ht="15.75" hidden="1" customHeight="1">
      <c r="A197" s="90"/>
      <c r="B197" s="6"/>
      <c r="C197" s="90"/>
      <c r="D197" s="185"/>
      <c r="E197" s="224"/>
      <c r="F197" s="187"/>
      <c r="G197" s="187"/>
      <c r="H197" s="195"/>
      <c r="I197" s="164"/>
      <c r="J197" s="189"/>
      <c r="K197" s="190"/>
      <c r="L197" s="183"/>
      <c r="M197" s="134" t="str">
        <f>I62</f>
        <v/>
      </c>
      <c r="N197" s="135" t="str">
        <f>iferror(mround($P62*((VLOOKUP($J197,Sheet1!$D:$N,$G197+1,FALSE)-0.03)),2.5)," ")</f>
        <v> </v>
      </c>
      <c r="O197" s="135" t="str">
        <f>iferror(mround($P62*((VLOOKUP($J197,Sheet1!$D:$N,$G197+1,FALSE)+0.02)),2.5)," ")</f>
        <v> </v>
      </c>
      <c r="P197" s="112" t="str">
        <f>iferror(mround(I197/VLOOKUP(L197,Sheet1!$D$7:$N$16,G197+1,FALSE),2.5),"")</f>
        <v/>
      </c>
      <c r="Q197" s="303" t="str">
        <f t="shared" si="2"/>
        <v/>
      </c>
      <c r="R197" s="214"/>
      <c r="S197" s="11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</row>
    <row r="198" ht="3.75" hidden="1" customHeight="1">
      <c r="A198" s="191"/>
      <c r="B198" s="6"/>
      <c r="C198" s="192"/>
      <c r="D198" s="138"/>
      <c r="E198" s="193"/>
      <c r="F198" s="194"/>
      <c r="G198" s="194"/>
      <c r="H198" s="155"/>
      <c r="I198" s="210"/>
      <c r="J198" s="216"/>
      <c r="K198" s="222"/>
      <c r="L198" s="143"/>
      <c r="M198" s="144"/>
      <c r="N198" s="145"/>
      <c r="O198" s="145"/>
      <c r="P198" s="122"/>
      <c r="Q198" s="304" t="str">
        <f t="shared" si="2"/>
        <v/>
      </c>
      <c r="R198" s="214"/>
      <c r="S198" s="157"/>
      <c r="T198" s="5"/>
      <c r="U198" s="5"/>
      <c r="V198" s="158"/>
      <c r="W198" s="158"/>
      <c r="X198" s="158"/>
      <c r="Y198" s="158"/>
      <c r="Z198" s="158"/>
      <c r="AA198" s="158"/>
      <c r="AB198" s="158"/>
      <c r="AC198" s="158"/>
      <c r="AD198" s="158"/>
      <c r="AE198" s="158"/>
      <c r="AF198" s="158"/>
      <c r="AG198" s="158"/>
    </row>
    <row r="199" ht="15.75" hidden="1" customHeight="1">
      <c r="A199" s="90"/>
      <c r="B199" s="6"/>
      <c r="C199" s="90"/>
      <c r="D199" s="185"/>
      <c r="E199" s="186"/>
      <c r="F199" s="187"/>
      <c r="G199" s="187"/>
      <c r="H199" s="195"/>
      <c r="I199" s="164"/>
      <c r="J199" s="189"/>
      <c r="K199" s="190"/>
      <c r="L199" s="183"/>
      <c r="M199" s="134" t="str">
        <f>I64</f>
        <v/>
      </c>
      <c r="N199" s="135" t="str">
        <f>iferror(mround($P64*((VLOOKUP($J199,Sheet1!$D:$N,$G199+1,FALSE)-0.03)),2.5)," ")</f>
        <v> </v>
      </c>
      <c r="O199" s="135" t="str">
        <f>iferror(mround($P64*((VLOOKUP($J199,Sheet1!$D:$N,$G199+1,FALSE)+0.02)),2.5)," ")</f>
        <v> </v>
      </c>
      <c r="P199" s="112" t="str">
        <f>iferror(mround(I199/VLOOKUP(L199,Sheet1!$D$7:$N$16,G199+1,FALSE),2.5),"")</f>
        <v/>
      </c>
      <c r="Q199" s="303" t="str">
        <f t="shared" si="2"/>
        <v/>
      </c>
      <c r="R199" s="214"/>
      <c r="S199" s="11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</row>
    <row r="200" ht="3.75" hidden="1" customHeight="1">
      <c r="A200" s="90"/>
      <c r="B200" s="6"/>
      <c r="C200" s="90"/>
      <c r="D200" s="196"/>
      <c r="E200" s="184"/>
      <c r="F200" s="102"/>
      <c r="G200" s="102"/>
      <c r="H200" s="102"/>
      <c r="I200" s="102"/>
      <c r="J200" s="156"/>
      <c r="K200" s="222"/>
      <c r="L200" s="143"/>
      <c r="M200" s="144"/>
      <c r="N200" s="145"/>
      <c r="O200" s="145"/>
      <c r="P200" s="122"/>
      <c r="Q200" s="304" t="str">
        <f t="shared" si="2"/>
        <v/>
      </c>
      <c r="R200" s="214"/>
      <c r="S200" s="11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</row>
    <row r="201" ht="15.75" hidden="1" customHeight="1">
      <c r="A201" s="90"/>
      <c r="B201" s="6"/>
      <c r="C201" s="90"/>
      <c r="D201" s="197"/>
      <c r="E201" s="198"/>
      <c r="F201" s="199"/>
      <c r="G201" s="187"/>
      <c r="H201" s="195"/>
      <c r="I201" s="164"/>
      <c r="J201" s="189"/>
      <c r="K201" s="190"/>
      <c r="L201" s="183"/>
      <c r="M201" s="134" t="str">
        <f>I66</f>
        <v/>
      </c>
      <c r="N201" s="135" t="str">
        <f>iferror(mround($P66*((VLOOKUP($J201,Sheet1!$D:$N,$G201+1,FALSE)-0.03)),2.5)," ")</f>
        <v> </v>
      </c>
      <c r="O201" s="135" t="str">
        <f>iferror(mround($P66*((VLOOKUP($J201,Sheet1!$D:$N,$G201+1,FALSE)+0.02)),2.5)," ")</f>
        <v> </v>
      </c>
      <c r="P201" s="112" t="str">
        <f>iferror(mround(I201/VLOOKUP(L201,Sheet1!$D$7:$N$16,G201+1,FALSE),2.5),"")</f>
        <v/>
      </c>
      <c r="Q201" s="303" t="str">
        <f t="shared" si="2"/>
        <v/>
      </c>
      <c r="R201" s="214"/>
      <c r="S201" s="11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</row>
    <row r="202" ht="3.75" customHeight="1">
      <c r="A202" s="90"/>
      <c r="B202" s="6"/>
      <c r="C202" s="90"/>
      <c r="D202" s="90"/>
      <c r="E202" s="156"/>
      <c r="F202" s="102"/>
      <c r="G202" s="102"/>
      <c r="H202" s="102"/>
      <c r="I202" s="102"/>
      <c r="J202" s="156"/>
      <c r="K202" s="222"/>
      <c r="L202" s="201"/>
      <c r="M202" s="211"/>
      <c r="N202" s="47"/>
      <c r="O202" s="47"/>
      <c r="P202" s="122"/>
      <c r="Q202" s="304" t="str">
        <f t="shared" si="2"/>
        <v/>
      </c>
      <c r="R202" s="214"/>
      <c r="S202" s="11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</row>
    <row r="203" ht="30.75" customHeight="1">
      <c r="A203" s="90"/>
      <c r="B203" s="6"/>
      <c r="C203" s="90"/>
      <c r="D203" s="202" t="s">
        <v>49</v>
      </c>
      <c r="E203" s="105" t="s">
        <v>89</v>
      </c>
      <c r="F203" s="106" t="s">
        <v>16</v>
      </c>
      <c r="G203" s="106" t="s">
        <v>17</v>
      </c>
      <c r="H203" s="107"/>
      <c r="I203" s="106" t="s">
        <v>18</v>
      </c>
      <c r="J203" s="108" t="s">
        <v>19</v>
      </c>
      <c r="L203" s="109" t="s">
        <v>20</v>
      </c>
      <c r="M203" s="110" t="s">
        <v>21</v>
      </c>
      <c r="N203" s="111" t="s">
        <v>22</v>
      </c>
      <c r="P203" s="112"/>
      <c r="Q203" s="113" t="s">
        <v>23</v>
      </c>
      <c r="R203" s="114" t="s">
        <v>50</v>
      </c>
      <c r="S203" s="11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</row>
    <row r="204" ht="14.25" customHeight="1">
      <c r="A204" s="90"/>
      <c r="B204" s="6"/>
      <c r="C204" s="90"/>
      <c r="D204" s="116" t="s">
        <v>102</v>
      </c>
      <c r="E204" s="117" t="s">
        <v>76</v>
      </c>
      <c r="H204" s="107"/>
      <c r="N204" s="111" t="s">
        <v>27</v>
      </c>
      <c r="O204" s="111" t="s">
        <v>28</v>
      </c>
      <c r="P204" s="112" t="s">
        <v>29</v>
      </c>
      <c r="R204" s="118" t="s">
        <v>30</v>
      </c>
      <c r="S204" s="11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</row>
    <row r="205" ht="3.75" customHeight="1">
      <c r="A205" s="191"/>
      <c r="B205" s="6"/>
      <c r="C205" s="192"/>
      <c r="D205" s="203"/>
      <c r="E205" s="203"/>
      <c r="F205" s="205"/>
      <c r="G205" s="205"/>
      <c r="H205" s="205"/>
      <c r="I205" s="225"/>
      <c r="J205" s="226"/>
      <c r="K205" s="209"/>
      <c r="L205" s="210"/>
      <c r="M205" s="211"/>
      <c r="N205" s="47"/>
      <c r="O205" s="47"/>
      <c r="P205" s="122"/>
      <c r="Q205" s="304" t="str">
        <f t="shared" ref="Q205:Q225" si="3">IF(OR(ISBLANK(I205), ISBLANK(I70)), "", IF(I205 - I70 = 0, "", I205 - I70))</f>
        <v/>
      </c>
      <c r="R205" s="212"/>
      <c r="S205" s="157"/>
      <c r="T205" s="5"/>
      <c r="U205" s="5"/>
      <c r="V205" s="158"/>
      <c r="W205" s="158"/>
      <c r="X205" s="158"/>
      <c r="Y205" s="158"/>
      <c r="Z205" s="158"/>
      <c r="AA205" s="158"/>
      <c r="AB205" s="158"/>
      <c r="AC205" s="158"/>
      <c r="AD205" s="158"/>
      <c r="AE205" s="158"/>
      <c r="AF205" s="158"/>
      <c r="AG205" s="158"/>
    </row>
    <row r="206" ht="15.75" customHeight="1">
      <c r="A206" s="124"/>
      <c r="B206" s="6"/>
      <c r="C206" s="124"/>
      <c r="D206" s="125" t="s">
        <v>90</v>
      </c>
      <c r="E206" s="126"/>
      <c r="F206" s="127">
        <v>1.0</v>
      </c>
      <c r="G206" s="240">
        <v>4.0</v>
      </c>
      <c r="H206" s="129"/>
      <c r="I206" s="130">
        <v>413.0</v>
      </c>
      <c r="J206" s="151">
        <v>7.0</v>
      </c>
      <c r="K206" s="213"/>
      <c r="L206" s="133">
        <v>7.0</v>
      </c>
      <c r="M206" s="134">
        <f>I71</f>
        <v>397</v>
      </c>
      <c r="N206" s="135">
        <f>iferror(mround($P71*((VLOOKUP($J206,Sheet1!$D:$N,$G206+1,FALSE)-0.03)),2.5)," ")</f>
        <v>387.5</v>
      </c>
      <c r="O206" s="135">
        <f>iferror(mround($P71*((VLOOKUP($J206,Sheet1!$D:$N,$G206+1,FALSE)+0.02)),2.5)," ")</f>
        <v>412.5</v>
      </c>
      <c r="P206" s="112">
        <f>iferror(mround(I206/VLOOKUP(L206,Sheet1!$D$7:$N$16,G206+1,FALSE),2.5),"")</f>
        <v>507.5</v>
      </c>
      <c r="Q206" s="303">
        <f t="shared" si="3"/>
        <v>16</v>
      </c>
      <c r="R206" s="214"/>
      <c r="S206" s="11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</row>
    <row r="207" ht="3.75" customHeight="1">
      <c r="A207" s="124"/>
      <c r="B207" s="6"/>
      <c r="C207" s="124"/>
      <c r="D207" s="138"/>
      <c r="E207" s="139"/>
      <c r="F207" s="140"/>
      <c r="G207" s="140"/>
      <c r="H207" s="140"/>
      <c r="I207" s="140"/>
      <c r="J207" s="141"/>
      <c r="K207" s="217"/>
      <c r="L207" s="218"/>
      <c r="M207" s="144"/>
      <c r="N207" s="145"/>
      <c r="O207" s="145"/>
      <c r="P207" s="122"/>
      <c r="Q207" s="304" t="str">
        <f t="shared" si="3"/>
        <v/>
      </c>
      <c r="R207" s="214"/>
      <c r="S207" s="11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</row>
    <row r="208" ht="15.75" customHeight="1">
      <c r="A208" s="90"/>
      <c r="B208" s="6"/>
      <c r="C208" s="90"/>
      <c r="D208" s="125" t="s">
        <v>77</v>
      </c>
      <c r="E208" s="126"/>
      <c r="F208" s="127">
        <v>4.0</v>
      </c>
      <c r="G208" s="240">
        <v>5.0</v>
      </c>
      <c r="H208" s="129"/>
      <c r="I208" s="164">
        <f>MROUND(I206*(1+J208),5)</f>
        <v>365</v>
      </c>
      <c r="J208" s="165">
        <v>-0.12</v>
      </c>
      <c r="K208" s="213"/>
      <c r="L208" s="133">
        <v>5.5</v>
      </c>
      <c r="M208" s="134">
        <f>I73</f>
        <v>355</v>
      </c>
      <c r="N208" s="135" t="str">
        <f>iferror(mround($P73*((VLOOKUP($J208,Sheet1!$D:$N,$G208+1,FALSE)-0.03)),2.5)," ")</f>
        <v> </v>
      </c>
      <c r="O208" s="135" t="str">
        <f>iferror(mround($P73*((VLOOKUP($J208,Sheet1!$D:$N,$G208+1,FALSE)+0.02)),2.5)," ")</f>
        <v> </v>
      </c>
      <c r="P208" s="112" t="str">
        <f>iferror(mround(I208/VLOOKUP(L208,Sheet1!$D$7:$N$16,G208+1,FALSE),2.5),"")</f>
        <v/>
      </c>
      <c r="Q208" s="303">
        <f t="shared" si="3"/>
        <v>10</v>
      </c>
      <c r="R208" s="214"/>
      <c r="S208" s="11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</row>
    <row r="209" ht="3.75" customHeight="1">
      <c r="A209" s="90"/>
      <c r="B209" s="6"/>
      <c r="C209" s="90"/>
      <c r="D209" s="138"/>
      <c r="E209" s="215"/>
      <c r="F209" s="102"/>
      <c r="G209" s="102"/>
      <c r="H209" s="102"/>
      <c r="I209" s="102"/>
      <c r="J209" s="156"/>
      <c r="K209" s="217"/>
      <c r="L209" s="218"/>
      <c r="M209" s="144"/>
      <c r="N209" s="145"/>
      <c r="O209" s="145"/>
      <c r="P209" s="122"/>
      <c r="Q209" s="304" t="str">
        <f t="shared" si="3"/>
        <v/>
      </c>
      <c r="R209" s="214"/>
      <c r="S209" s="11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</row>
    <row r="210" ht="15.75" customHeight="1">
      <c r="A210" s="90"/>
      <c r="B210" s="6"/>
      <c r="C210" s="90"/>
      <c r="D210" s="159" t="s">
        <v>33</v>
      </c>
      <c r="E210" s="160" t="s">
        <v>34</v>
      </c>
      <c r="F210" s="127">
        <v>3.0</v>
      </c>
      <c r="G210" s="161">
        <v>2.0</v>
      </c>
      <c r="H210" s="129"/>
      <c r="I210" s="130">
        <v>281.0</v>
      </c>
      <c r="J210" s="151">
        <v>7.0</v>
      </c>
      <c r="K210" s="219" t="s">
        <v>91</v>
      </c>
      <c r="L210" s="133"/>
      <c r="M210" s="134">
        <f>I75</f>
        <v>271</v>
      </c>
      <c r="N210" s="135">
        <f>iferror(mround($P75*((VLOOKUP($J210,Sheet1!$D:$N,$G210+1,FALSE)-0.03)),2.5)," ")</f>
        <v>0</v>
      </c>
      <c r="O210" s="135">
        <f>iferror(mround($P75*((VLOOKUP($J210,Sheet1!$D:$N,$G210+1,FALSE)+0.02)),2.5)," ")</f>
        <v>0</v>
      </c>
      <c r="P210" s="112" t="str">
        <f>iferror(mround(I210/VLOOKUP(L210,Sheet1!$D$7:$N$16,G210+1,FALSE),2.5),"")</f>
        <v/>
      </c>
      <c r="Q210" s="303">
        <f t="shared" si="3"/>
        <v>10</v>
      </c>
      <c r="R210" s="214"/>
      <c r="S210" s="11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</row>
    <row r="211" ht="3.75" customHeight="1">
      <c r="A211" s="90"/>
      <c r="B211" s="6"/>
      <c r="C211" s="90"/>
      <c r="D211" s="138"/>
      <c r="E211" s="154"/>
      <c r="F211" s="155"/>
      <c r="G211" s="102"/>
      <c r="H211" s="102"/>
      <c r="I211" s="102"/>
      <c r="J211" s="156"/>
      <c r="K211" s="217"/>
      <c r="L211" s="218"/>
      <c r="M211" s="144"/>
      <c r="N211" s="145"/>
      <c r="O211" s="145"/>
      <c r="P211" s="122"/>
      <c r="Q211" s="304" t="str">
        <f t="shared" si="3"/>
        <v/>
      </c>
      <c r="R211" s="214"/>
      <c r="S211" s="11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</row>
    <row r="212" ht="15.75" customHeight="1">
      <c r="A212" s="90"/>
      <c r="B212" s="6"/>
      <c r="C212" s="90"/>
      <c r="D212" s="159" t="s">
        <v>45</v>
      </c>
      <c r="E212" s="220"/>
      <c r="F212" s="127">
        <v>3.0</v>
      </c>
      <c r="G212" s="127" t="s">
        <v>41</v>
      </c>
      <c r="H212" s="195"/>
      <c r="I212" s="164"/>
      <c r="J212" s="151"/>
      <c r="K212" s="213"/>
      <c r="L212" s="183"/>
      <c r="M212" s="134" t="str">
        <f>I77</f>
        <v/>
      </c>
      <c r="N212" s="135" t="str">
        <f>iferror(mround($P77*((VLOOKUP($J212,Sheet1!$D:$N,$G212+1,FALSE)-0.03)),2.5)," ")</f>
        <v> </v>
      </c>
      <c r="O212" s="135" t="str">
        <f>iferror(mround($P77*((VLOOKUP($J212,Sheet1!$D:$N,$G212+1,FALSE)+0.02)),2.5)," ")</f>
        <v> </v>
      </c>
      <c r="P212" s="112" t="str">
        <f>iferror(mround(I212/VLOOKUP(L212,Sheet1!$D$7:$N$16,G212+1,FALSE),2.5),"")</f>
        <v/>
      </c>
      <c r="Q212" s="303" t="str">
        <f t="shared" si="3"/>
        <v/>
      </c>
      <c r="R212" s="214"/>
      <c r="S212" s="11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</row>
    <row r="213" ht="3.75" customHeight="1">
      <c r="A213" s="90"/>
      <c r="B213" s="6"/>
      <c r="C213" s="90"/>
      <c r="D213" s="138"/>
      <c r="E213" s="215"/>
      <c r="F213" s="102"/>
      <c r="G213" s="102"/>
      <c r="H213" s="102"/>
      <c r="I213" s="102"/>
      <c r="J213" s="156"/>
      <c r="K213" s="217"/>
      <c r="L213" s="218"/>
      <c r="M213" s="144"/>
      <c r="N213" s="145"/>
      <c r="O213" s="145"/>
      <c r="P213" s="122"/>
      <c r="Q213" s="304" t="str">
        <f t="shared" si="3"/>
        <v/>
      </c>
      <c r="R213" s="214"/>
      <c r="S213" s="11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</row>
    <row r="214" ht="15.75" customHeight="1">
      <c r="A214" s="90"/>
      <c r="B214" s="6"/>
      <c r="C214" s="90"/>
      <c r="D214" s="159" t="s">
        <v>94</v>
      </c>
      <c r="E214" s="220"/>
      <c r="F214" s="127">
        <v>3.0</v>
      </c>
      <c r="G214" s="221">
        <v>45641.0</v>
      </c>
      <c r="H214" s="195"/>
      <c r="I214" s="164"/>
      <c r="J214" s="151">
        <v>9.0</v>
      </c>
      <c r="K214" s="213"/>
      <c r="L214" s="183"/>
      <c r="M214" s="134" t="str">
        <f>I79</f>
        <v/>
      </c>
      <c r="N214" s="135" t="str">
        <f>iferror(mround($P79*((VLOOKUP($J214,Sheet1!$D:$N,$G214+1,FALSE)-0.03)),2.5)," ")</f>
        <v> </v>
      </c>
      <c r="O214" s="135" t="str">
        <f>iferror(mround($P79*((VLOOKUP($J214,Sheet1!$D:$N,$G214+1,FALSE)+0.02)),2.5)," ")</f>
        <v> </v>
      </c>
      <c r="P214" s="112" t="str">
        <f>iferror(mround(I214/VLOOKUP(L214,Sheet1!$D$7:$N$16,G214+1,FALSE),2.5),"")</f>
        <v/>
      </c>
      <c r="Q214" s="303" t="str">
        <f t="shared" si="3"/>
        <v/>
      </c>
      <c r="R214" s="214"/>
      <c r="S214" s="11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</row>
    <row r="215" ht="3.75" customHeight="1">
      <c r="A215" s="90"/>
      <c r="B215" s="6"/>
      <c r="C215" s="90"/>
      <c r="D215" s="138"/>
      <c r="E215" s="215"/>
      <c r="F215" s="102"/>
      <c r="G215" s="102"/>
      <c r="H215" s="102"/>
      <c r="I215" s="102"/>
      <c r="J215" s="156"/>
      <c r="K215" s="222"/>
      <c r="L215" s="218"/>
      <c r="M215" s="144"/>
      <c r="N215" s="145"/>
      <c r="O215" s="145"/>
      <c r="P215" s="122"/>
      <c r="Q215" s="304" t="str">
        <f t="shared" si="3"/>
        <v/>
      </c>
      <c r="R215" s="214"/>
      <c r="S215" s="11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</row>
    <row r="216" ht="15.75" hidden="1" customHeight="1">
      <c r="A216" s="90"/>
      <c r="B216" s="6"/>
      <c r="C216" s="90"/>
      <c r="D216" s="185"/>
      <c r="E216" s="220"/>
      <c r="F216" s="187"/>
      <c r="G216" s="229"/>
      <c r="H216" s="195"/>
      <c r="I216" s="164"/>
      <c r="J216" s="189"/>
      <c r="K216" s="190"/>
      <c r="L216" s="183"/>
      <c r="M216" s="134" t="str">
        <f>I81</f>
        <v/>
      </c>
      <c r="N216" s="135" t="str">
        <f>iferror(mround($P81*((VLOOKUP($J216,Sheet1!$D:$N,$G216+1,FALSE)-0.03)),2.5)," ")</f>
        <v> </v>
      </c>
      <c r="O216" s="135" t="str">
        <f>iferror(mround($P81*((VLOOKUP($J216,Sheet1!$D:$N,$G216+1,FALSE)+0.02)),2.5)," ")</f>
        <v> </v>
      </c>
      <c r="P216" s="112" t="str">
        <f>iferror(mround(I216/VLOOKUP(L216,Sheet1!$D$7:$N$16,G216+1,FALSE),2.5),"")</f>
        <v/>
      </c>
      <c r="Q216" s="303" t="str">
        <f t="shared" si="3"/>
        <v/>
      </c>
      <c r="R216" s="214"/>
      <c r="S216" s="11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</row>
    <row r="217" ht="3.75" hidden="1" customHeight="1">
      <c r="A217" s="90"/>
      <c r="B217" s="6"/>
      <c r="C217" s="90"/>
      <c r="D217" s="138"/>
      <c r="E217" s="215"/>
      <c r="F217" s="102"/>
      <c r="G217" s="102"/>
      <c r="H217" s="102"/>
      <c r="I217" s="102"/>
      <c r="J217" s="216"/>
      <c r="K217" s="222"/>
      <c r="L217" s="218"/>
      <c r="M217" s="144"/>
      <c r="N217" s="145"/>
      <c r="O217" s="145"/>
      <c r="P217" s="122"/>
      <c r="Q217" s="304" t="str">
        <f t="shared" si="3"/>
        <v/>
      </c>
      <c r="R217" s="214"/>
      <c r="S217" s="11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</row>
    <row r="218" ht="15.75" hidden="1" customHeight="1">
      <c r="A218" s="90"/>
      <c r="B218" s="6"/>
      <c r="C218" s="90"/>
      <c r="D218" s="185"/>
      <c r="E218" s="220"/>
      <c r="F218" s="187"/>
      <c r="G218" s="229"/>
      <c r="H218" s="195"/>
      <c r="I218" s="164"/>
      <c r="J218" s="189"/>
      <c r="K218" s="190"/>
      <c r="L218" s="183"/>
      <c r="M218" s="134" t="str">
        <f>I83</f>
        <v/>
      </c>
      <c r="N218" s="135" t="str">
        <f>iferror(mround($P83*((VLOOKUP($J218,Sheet1!$D:$N,$G218+1,FALSE)-0.03)),2.5)," ")</f>
        <v> </v>
      </c>
      <c r="O218" s="135" t="str">
        <f>iferror(mround($P83*((VLOOKUP($J218,Sheet1!$D:$N,$G218+1,FALSE)+0.02)),2.5)," ")</f>
        <v> </v>
      </c>
      <c r="P218" s="112" t="str">
        <f>iferror(mround(I218/VLOOKUP(L218,Sheet1!$D$7:$N$16,G218+1,FALSE),2.5),"")</f>
        <v/>
      </c>
      <c r="Q218" s="303" t="str">
        <f t="shared" si="3"/>
        <v/>
      </c>
      <c r="R218" s="214"/>
      <c r="S218" s="11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</row>
    <row r="219" ht="3.75" hidden="1" customHeight="1">
      <c r="A219" s="191"/>
      <c r="B219" s="6"/>
      <c r="C219" s="192"/>
      <c r="D219" s="138"/>
      <c r="E219" s="184"/>
      <c r="F219" s="102"/>
      <c r="G219" s="102"/>
      <c r="H219" s="102"/>
      <c r="I219" s="102"/>
      <c r="J219" s="156"/>
      <c r="K219" s="222"/>
      <c r="L219" s="218"/>
      <c r="M219" s="144"/>
      <c r="N219" s="145"/>
      <c r="O219" s="145"/>
      <c r="P219" s="122"/>
      <c r="Q219" s="304" t="str">
        <f t="shared" si="3"/>
        <v/>
      </c>
      <c r="R219" s="214"/>
      <c r="S219" s="157"/>
      <c r="T219" s="5"/>
      <c r="U219" s="5"/>
      <c r="V219" s="158"/>
      <c r="W219" s="158"/>
      <c r="X219" s="158"/>
      <c r="Y219" s="158"/>
      <c r="Z219" s="158"/>
      <c r="AA219" s="158"/>
      <c r="AB219" s="158"/>
      <c r="AC219" s="158"/>
      <c r="AD219" s="158"/>
      <c r="AE219" s="158"/>
      <c r="AF219" s="158"/>
      <c r="AG219" s="158"/>
    </row>
    <row r="220" ht="15.75" hidden="1" customHeight="1">
      <c r="A220" s="90"/>
      <c r="B220" s="6"/>
      <c r="C220" s="90"/>
      <c r="D220" s="185"/>
      <c r="E220" s="224"/>
      <c r="F220" s="187"/>
      <c r="G220" s="187"/>
      <c r="H220" s="195"/>
      <c r="I220" s="164"/>
      <c r="J220" s="230"/>
      <c r="K220" s="190"/>
      <c r="L220" s="183"/>
      <c r="M220" s="134" t="str">
        <f>I85</f>
        <v/>
      </c>
      <c r="N220" s="135" t="str">
        <f>iferror(mround($P85*((VLOOKUP($J220,Sheet1!$D:$N,$G220+1,FALSE)-0.03)),2.5)," ")</f>
        <v> </v>
      </c>
      <c r="O220" s="135" t="str">
        <f>iferror(mround($P85*((VLOOKUP($J220,Sheet1!$D:$N,$G220+1,FALSE)+0.02)),2.5)," ")</f>
        <v> </v>
      </c>
      <c r="P220" s="112" t="str">
        <f>iferror(mround(I220/VLOOKUP(L220,Sheet1!$D$7:$N$16,G220+1,FALSE),2.5),"")</f>
        <v/>
      </c>
      <c r="Q220" s="303" t="str">
        <f t="shared" si="3"/>
        <v/>
      </c>
      <c r="R220" s="214"/>
      <c r="S220" s="11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</row>
    <row r="221" ht="3.75" hidden="1" customHeight="1">
      <c r="A221" s="90"/>
      <c r="B221" s="6"/>
      <c r="C221" s="90"/>
      <c r="D221" s="138"/>
      <c r="E221" s="184"/>
      <c r="F221" s="102"/>
      <c r="G221" s="102"/>
      <c r="H221" s="102"/>
      <c r="I221" s="102"/>
      <c r="J221" s="156"/>
      <c r="K221" s="222"/>
      <c r="L221" s="218"/>
      <c r="M221" s="144"/>
      <c r="N221" s="145"/>
      <c r="O221" s="145"/>
      <c r="P221" s="122"/>
      <c r="Q221" s="304" t="str">
        <f t="shared" si="3"/>
        <v/>
      </c>
      <c r="R221" s="214"/>
      <c r="S221" s="11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</row>
    <row r="222" ht="15.75" hidden="1" customHeight="1">
      <c r="A222" s="90"/>
      <c r="B222" s="6"/>
      <c r="C222" s="90"/>
      <c r="D222" s="231"/>
      <c r="E222" s="232"/>
      <c r="F222" s="187"/>
      <c r="G222" s="187"/>
      <c r="H222" s="195"/>
      <c r="I222" s="164"/>
      <c r="J222" s="230"/>
      <c r="K222" s="190"/>
      <c r="L222" s="183"/>
      <c r="M222" s="134" t="str">
        <f>I87</f>
        <v/>
      </c>
      <c r="N222" s="135" t="str">
        <f>iferror(mround($P87*((VLOOKUP($J222,Sheet1!$D:$N,$G222+1,FALSE)-0.03)),2.5)," ")</f>
        <v> </v>
      </c>
      <c r="O222" s="135" t="str">
        <f>iferror(mround($P87*((VLOOKUP($J222,Sheet1!$D:$N,$G222+1,FALSE)+0.02)),2.5)," ")</f>
        <v> </v>
      </c>
      <c r="P222" s="112" t="str">
        <f>iferror(mround(I222/VLOOKUP(L222,Sheet1!$D$7:$N$16,G222+1,FALSE),2.5),"")</f>
        <v/>
      </c>
      <c r="Q222" s="303" t="str">
        <f t="shared" si="3"/>
        <v/>
      </c>
      <c r="R222" s="214"/>
      <c r="S222" s="11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</row>
    <row r="223" ht="3.75" hidden="1" customHeight="1">
      <c r="A223" s="191"/>
      <c r="B223" s="6"/>
      <c r="C223" s="233"/>
      <c r="D223" s="234"/>
      <c r="E223" s="235"/>
      <c r="F223" s="236"/>
      <c r="G223" s="194"/>
      <c r="H223" s="155"/>
      <c r="I223" s="210"/>
      <c r="J223" s="216"/>
      <c r="K223" s="222"/>
      <c r="L223" s="218"/>
      <c r="M223" s="144"/>
      <c r="N223" s="145"/>
      <c r="O223" s="145"/>
      <c r="P223" s="122"/>
      <c r="Q223" s="304" t="str">
        <f t="shared" si="3"/>
        <v/>
      </c>
      <c r="R223" s="214"/>
      <c r="S223" s="157"/>
      <c r="T223" s="5"/>
      <c r="U223" s="5"/>
      <c r="V223" s="158"/>
      <c r="W223" s="158"/>
      <c r="X223" s="158"/>
      <c r="Y223" s="158"/>
      <c r="Z223" s="158"/>
      <c r="AA223" s="158"/>
      <c r="AB223" s="158"/>
      <c r="AC223" s="158"/>
      <c r="AD223" s="158"/>
      <c r="AE223" s="158"/>
      <c r="AF223" s="158"/>
      <c r="AG223" s="158"/>
    </row>
    <row r="224" ht="15.75" hidden="1" customHeight="1">
      <c r="A224" s="90"/>
      <c r="B224" s="6"/>
      <c r="C224" s="90"/>
      <c r="D224" s="197"/>
      <c r="E224" s="198"/>
      <c r="F224" s="199"/>
      <c r="G224" s="187"/>
      <c r="H224" s="195"/>
      <c r="I224" s="164"/>
      <c r="J224" s="189"/>
      <c r="K224" s="190"/>
      <c r="L224" s="183"/>
      <c r="M224" s="134" t="str">
        <f>I89</f>
        <v/>
      </c>
      <c r="N224" s="135" t="str">
        <f>iferror(mround($P89*((VLOOKUP($J224,Sheet1!$D:$N,$G224+1,FALSE)-0.03)),2.5)," ")</f>
        <v> </v>
      </c>
      <c r="O224" s="135" t="str">
        <f>iferror(mround($P89*((VLOOKUP($J224,Sheet1!$D:$N,$G224+1,FALSE)+0.02)),2.5)," ")</f>
        <v> </v>
      </c>
      <c r="P224" s="112" t="str">
        <f>iferror(mround(I224/VLOOKUP(L224,Sheet1!$D$7:$N$16,G224+1,FALSE),2.5),"")</f>
        <v/>
      </c>
      <c r="Q224" s="303" t="str">
        <f t="shared" si="3"/>
        <v/>
      </c>
      <c r="R224" s="214"/>
      <c r="S224" s="11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</row>
    <row r="225" ht="3.75" customHeight="1">
      <c r="A225" s="90"/>
      <c r="B225" s="6"/>
      <c r="C225" s="90"/>
      <c r="D225" s="90"/>
      <c r="E225" s="156"/>
      <c r="F225" s="102"/>
      <c r="G225" s="102"/>
      <c r="H225" s="102"/>
      <c r="I225" s="102"/>
      <c r="J225" s="156"/>
      <c r="K225" s="200"/>
      <c r="L225" s="201"/>
      <c r="M225" s="211"/>
      <c r="N225" s="47"/>
      <c r="O225" s="47"/>
      <c r="P225" s="122"/>
      <c r="Q225" s="304" t="str">
        <f t="shared" si="3"/>
        <v/>
      </c>
      <c r="R225" s="214"/>
      <c r="S225" s="11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</row>
    <row r="226" ht="30.0" customHeight="1">
      <c r="A226" s="90"/>
      <c r="B226" s="6"/>
      <c r="C226" s="90"/>
      <c r="D226" s="202" t="s">
        <v>55</v>
      </c>
      <c r="E226" s="105" t="s">
        <v>117</v>
      </c>
      <c r="F226" s="106" t="s">
        <v>16</v>
      </c>
      <c r="G226" s="106" t="s">
        <v>17</v>
      </c>
      <c r="H226" s="107"/>
      <c r="I226" s="106" t="s">
        <v>18</v>
      </c>
      <c r="J226" s="108" t="s">
        <v>19</v>
      </c>
      <c r="L226" s="109" t="s">
        <v>20</v>
      </c>
      <c r="M226" s="110" t="s">
        <v>21</v>
      </c>
      <c r="N226" s="111" t="s">
        <v>22</v>
      </c>
      <c r="P226" s="112"/>
      <c r="Q226" s="113" t="s">
        <v>23</v>
      </c>
      <c r="R226" s="114" t="s">
        <v>56</v>
      </c>
      <c r="S226" s="11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</row>
    <row r="227" ht="14.25" customHeight="1">
      <c r="A227" s="90"/>
      <c r="B227" s="6"/>
      <c r="C227" s="90"/>
      <c r="D227" s="116">
        <v>4.0</v>
      </c>
      <c r="E227" s="117">
        <v>2.0</v>
      </c>
      <c r="H227" s="107"/>
      <c r="N227" s="111" t="s">
        <v>27</v>
      </c>
      <c r="O227" s="111" t="s">
        <v>28</v>
      </c>
      <c r="P227" s="112" t="s">
        <v>29</v>
      </c>
      <c r="R227" s="118" t="s">
        <v>30</v>
      </c>
      <c r="S227" s="11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</row>
    <row r="228" ht="3.75" customHeight="1">
      <c r="A228" s="191"/>
      <c r="B228" s="6"/>
      <c r="C228" s="192"/>
      <c r="D228" s="203"/>
      <c r="E228" s="204"/>
      <c r="F228" s="205"/>
      <c r="G228" s="205"/>
      <c r="H228" s="205"/>
      <c r="I228" s="225"/>
      <c r="J228" s="237"/>
      <c r="K228" s="209"/>
      <c r="L228" s="238"/>
      <c r="M228" s="211"/>
      <c r="N228" s="47"/>
      <c r="O228" s="47"/>
      <c r="P228" s="122"/>
      <c r="Q228" s="304" t="str">
        <f t="shared" ref="Q228:Q248" si="4">IF(OR(ISBLANK(I228), ISBLANK(I93)), "", IF(I228 - I93 = 0, "", I228 - I93))</f>
        <v/>
      </c>
      <c r="R228" s="239"/>
      <c r="S228" s="157"/>
      <c r="T228" s="5"/>
      <c r="U228" s="5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</row>
    <row r="229" ht="15.75" customHeight="1">
      <c r="A229" s="124"/>
      <c r="B229" s="6"/>
      <c r="C229" s="124"/>
      <c r="D229" s="125" t="s">
        <v>97</v>
      </c>
      <c r="E229" s="126"/>
      <c r="F229" s="127">
        <v>1.0</v>
      </c>
      <c r="G229" s="240">
        <v>4.0</v>
      </c>
      <c r="H229" s="129"/>
      <c r="I229" s="130">
        <v>485.0</v>
      </c>
      <c r="J229" s="151">
        <v>7.0</v>
      </c>
      <c r="K229" s="241"/>
      <c r="L229" s="130">
        <v>7.0</v>
      </c>
      <c r="M229" s="134" t="str">
        <f>I94</f>
        <v/>
      </c>
      <c r="N229" s="135">
        <f>iferror(mround($P94*((VLOOKUP($J229,Sheet1!$D:$N,$G229+1,FALSE)-0.03)),2.5)," ")</f>
        <v>0</v>
      </c>
      <c r="O229" s="135">
        <f>iferror(mround($P94*((VLOOKUP($J229,Sheet1!$D:$N,$G229+1,FALSE)+0.02)),2.5)," ")</f>
        <v>0</v>
      </c>
      <c r="P229" s="112">
        <f>iferror(mround(I229/VLOOKUP(L229,Sheet1!$D$7:$N$16,G229+1,FALSE),2.5),"")</f>
        <v>595</v>
      </c>
      <c r="Q229" s="303" t="str">
        <f t="shared" si="4"/>
        <v/>
      </c>
      <c r="R229" s="242"/>
      <c r="S229" s="11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</row>
    <row r="230" ht="3.75" customHeight="1">
      <c r="A230" s="124"/>
      <c r="B230" s="6"/>
      <c r="C230" s="124"/>
      <c r="D230" s="138"/>
      <c r="E230" s="139"/>
      <c r="F230" s="140"/>
      <c r="G230" s="140"/>
      <c r="H230" s="140"/>
      <c r="I230" s="140"/>
      <c r="J230" s="141"/>
      <c r="K230" s="243"/>
      <c r="L230" s="210"/>
      <c r="M230" s="144"/>
      <c r="N230" s="145"/>
      <c r="O230" s="145"/>
      <c r="P230" s="122"/>
      <c r="Q230" s="304" t="str">
        <f t="shared" si="4"/>
        <v/>
      </c>
      <c r="R230" s="242"/>
      <c r="S230" s="11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</row>
    <row r="231" ht="15.0" customHeight="1">
      <c r="A231" s="124"/>
      <c r="B231" s="6"/>
      <c r="C231" s="124"/>
      <c r="D231" s="125" t="s">
        <v>97</v>
      </c>
      <c r="E231" s="126"/>
      <c r="F231" s="127">
        <v>3.0</v>
      </c>
      <c r="G231" s="240">
        <v>4.0</v>
      </c>
      <c r="H231" s="129"/>
      <c r="I231" s="164">
        <f>MROUND(I229*(1+J231),5)</f>
        <v>435</v>
      </c>
      <c r="J231" s="165">
        <v>-0.1</v>
      </c>
      <c r="K231" s="241"/>
      <c r="L231" s="130">
        <v>6.5</v>
      </c>
      <c r="M231" s="134">
        <f>I96</f>
        <v>0</v>
      </c>
      <c r="N231" s="135" t="str">
        <f>iferror(mround($P96*((VLOOKUP($J231,Sheet1!$D:$N,$G231+1,FALSE)-0.03)),2.5)," ")</f>
        <v> </v>
      </c>
      <c r="O231" s="135" t="str">
        <f>iferror(mround($P96*((VLOOKUP($J231,Sheet1!$D:$N,$G231+1,FALSE)+0.02)),2.5)," ")</f>
        <v> </v>
      </c>
      <c r="P231" s="112">
        <f>iferror(mround(I231/VLOOKUP(L231,Sheet1!$D$7:$N$16,G231+1,FALSE),2.5),"")</f>
        <v>542.5</v>
      </c>
      <c r="Q231" s="303">
        <f t="shared" si="4"/>
        <v>435</v>
      </c>
      <c r="R231" s="242"/>
      <c r="S231" s="11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</row>
    <row r="232" ht="3.75" customHeight="1">
      <c r="A232" s="124"/>
      <c r="B232" s="6"/>
      <c r="C232" s="124"/>
      <c r="D232" s="138"/>
      <c r="E232" s="215"/>
      <c r="F232" s="102"/>
      <c r="G232" s="102"/>
      <c r="H232" s="102"/>
      <c r="I232" s="102"/>
      <c r="J232" s="156"/>
      <c r="K232" s="243"/>
      <c r="L232" s="210"/>
      <c r="M232" s="144"/>
      <c r="N232" s="145"/>
      <c r="O232" s="145"/>
      <c r="P232" s="122"/>
      <c r="Q232" s="304" t="str">
        <f t="shared" si="4"/>
        <v/>
      </c>
      <c r="R232" s="242"/>
      <c r="S232" s="11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</row>
    <row r="233" ht="15.75" customHeight="1">
      <c r="A233" s="124"/>
      <c r="B233" s="6"/>
      <c r="C233" s="124"/>
      <c r="D233" s="159" t="s">
        <v>33</v>
      </c>
      <c r="E233" s="126"/>
      <c r="F233" s="127">
        <v>2.0</v>
      </c>
      <c r="G233" s="161">
        <v>1.0</v>
      </c>
      <c r="H233" s="129"/>
      <c r="I233" s="130">
        <v>308.0</v>
      </c>
      <c r="J233" s="151">
        <v>7.0</v>
      </c>
      <c r="K233" s="244" t="s">
        <v>98</v>
      </c>
      <c r="L233" s="130">
        <v>7.0</v>
      </c>
      <c r="M233" s="134" t="str">
        <f>I98</f>
        <v/>
      </c>
      <c r="N233" s="135">
        <f>iferror(mround($P98*((VLOOKUP($J233,Sheet1!$D:$N,$G233+1,FALSE)-0.03)),2.5)," ")</f>
        <v>0</v>
      </c>
      <c r="O233" s="135">
        <f>iferror(mround($P98*((VLOOKUP($J233,Sheet1!$D:$N,$G233+1,FALSE)+0.02)),2.5)," ")</f>
        <v>0</v>
      </c>
      <c r="P233" s="112">
        <f>iferror(mround(I233/VLOOKUP(L233,Sheet1!$D$7:$N$16,G233+1,FALSE),2.5),"")</f>
        <v>345</v>
      </c>
      <c r="Q233" s="303" t="str">
        <f t="shared" si="4"/>
        <v/>
      </c>
      <c r="R233" s="242"/>
      <c r="S233" s="11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</row>
    <row r="234" ht="3.75" customHeight="1">
      <c r="A234" s="124"/>
      <c r="B234" s="6"/>
      <c r="C234" s="124"/>
      <c r="D234" s="138"/>
      <c r="E234" s="154"/>
      <c r="F234" s="155"/>
      <c r="G234" s="102"/>
      <c r="H234" s="102"/>
      <c r="I234" s="102"/>
      <c r="J234" s="156"/>
      <c r="K234" s="243"/>
      <c r="L234" s="210"/>
      <c r="M234" s="144"/>
      <c r="N234" s="145"/>
      <c r="O234" s="145"/>
      <c r="P234" s="122"/>
      <c r="Q234" s="304" t="str">
        <f t="shared" si="4"/>
        <v/>
      </c>
      <c r="R234" s="242"/>
      <c r="S234" s="11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</row>
    <row r="235" ht="15.75" customHeight="1">
      <c r="A235" s="124"/>
      <c r="B235" s="6"/>
      <c r="C235" s="124"/>
      <c r="D235" s="159" t="s">
        <v>33</v>
      </c>
      <c r="E235" s="126"/>
      <c r="F235" s="127">
        <v>4.0</v>
      </c>
      <c r="G235" s="161">
        <v>4.0</v>
      </c>
      <c r="H235" s="129"/>
      <c r="I235" s="130">
        <v>265.0</v>
      </c>
      <c r="J235" s="151">
        <v>6.5</v>
      </c>
      <c r="K235" s="241" t="s">
        <v>91</v>
      </c>
      <c r="L235" s="130">
        <v>6.5</v>
      </c>
      <c r="M235" s="134" t="str">
        <f>I100</f>
        <v/>
      </c>
      <c r="N235" s="135">
        <f>iferror(mround($P100*((VLOOKUP($J235,Sheet1!$D:$N,$G235+1,FALSE)-0.03)),2.5)," ")</f>
        <v>0</v>
      </c>
      <c r="O235" s="135">
        <f>iferror(mround($P100*((VLOOKUP($J235,Sheet1!$D:$N,$G235+1,FALSE)+0.02)),2.5)," ")</f>
        <v>0</v>
      </c>
      <c r="P235" s="112">
        <f>iferror(mround(I235/VLOOKUP(L235,Sheet1!$D$7:$N$16,G235+1,FALSE),2.5),"")</f>
        <v>330</v>
      </c>
      <c r="Q235" s="303" t="str">
        <f t="shared" si="4"/>
        <v/>
      </c>
      <c r="R235" s="242"/>
      <c r="S235" s="11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</row>
    <row r="236" ht="3.75" customHeight="1">
      <c r="A236" s="90"/>
      <c r="B236" s="6"/>
      <c r="C236" s="90"/>
      <c r="D236" s="138"/>
      <c r="E236" s="245"/>
      <c r="F236" s="102"/>
      <c r="G236" s="102"/>
      <c r="H236" s="102"/>
      <c r="I236" s="102"/>
      <c r="J236" s="156"/>
      <c r="K236" s="243"/>
      <c r="L236" s="210"/>
      <c r="M236" s="144"/>
      <c r="N236" s="145"/>
      <c r="O236" s="145"/>
      <c r="P236" s="122"/>
      <c r="Q236" s="304" t="str">
        <f t="shared" si="4"/>
        <v/>
      </c>
      <c r="R236" s="242"/>
      <c r="S236" s="11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</row>
    <row r="237" ht="15.75" customHeight="1">
      <c r="A237" s="90"/>
      <c r="B237" s="6"/>
      <c r="C237" s="90"/>
      <c r="D237" s="159" t="s">
        <v>54</v>
      </c>
      <c r="E237" s="227"/>
      <c r="F237" s="127">
        <v>3.0</v>
      </c>
      <c r="G237" s="221">
        <v>45577.0</v>
      </c>
      <c r="H237" s="195"/>
      <c r="I237" s="130"/>
      <c r="J237" s="228">
        <v>8.0</v>
      </c>
      <c r="K237" s="241"/>
      <c r="L237" s="130"/>
      <c r="M237" s="134" t="str">
        <f>I102</f>
        <v/>
      </c>
      <c r="N237" s="135" t="str">
        <f>iferror(mround($P102*((VLOOKUP($J237,Sheet1!$D:$N,$G237+1,FALSE)-0.03)),2.5)," ")</f>
        <v> </v>
      </c>
      <c r="O237" s="135" t="str">
        <f>iferror(mround($P102*((VLOOKUP($J237,Sheet1!$D:$N,$G237+1,FALSE)+0.02)),2.5)," ")</f>
        <v> </v>
      </c>
      <c r="P237" s="112" t="str">
        <f>iferror(mround(I237/VLOOKUP(L237,Sheet1!$D$7:$N$16,G237+1,FALSE),2.5),"")</f>
        <v/>
      </c>
      <c r="Q237" s="303" t="str">
        <f t="shared" si="4"/>
        <v/>
      </c>
      <c r="R237" s="242"/>
      <c r="S237" s="11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</row>
    <row r="238" ht="3.75" customHeight="1">
      <c r="A238" s="191"/>
      <c r="B238" s="6"/>
      <c r="C238" s="192"/>
      <c r="D238" s="138"/>
      <c r="E238" s="245"/>
      <c r="F238" s="102"/>
      <c r="G238" s="102"/>
      <c r="H238" s="102"/>
      <c r="I238" s="102"/>
      <c r="J238" s="156"/>
      <c r="K238" s="243"/>
      <c r="L238" s="210"/>
      <c r="M238" s="144"/>
      <c r="N238" s="145"/>
      <c r="O238" s="145"/>
      <c r="P238" s="122"/>
      <c r="Q238" s="304" t="str">
        <f t="shared" si="4"/>
        <v/>
      </c>
      <c r="R238" s="242"/>
      <c r="S238" s="157"/>
      <c r="T238" s="5"/>
      <c r="U238" s="5"/>
      <c r="V238" s="158"/>
      <c r="W238" s="158"/>
      <c r="X238" s="158"/>
      <c r="Y238" s="158"/>
      <c r="Z238" s="158"/>
      <c r="AA238" s="158"/>
      <c r="AB238" s="158"/>
      <c r="AC238" s="158"/>
      <c r="AD238" s="158"/>
      <c r="AE238" s="158"/>
      <c r="AF238" s="158"/>
      <c r="AG238" s="158"/>
    </row>
    <row r="239" ht="15.75" customHeight="1">
      <c r="A239" s="90"/>
      <c r="B239" s="6"/>
      <c r="C239" s="90"/>
      <c r="D239" s="159" t="s">
        <v>99</v>
      </c>
      <c r="E239" s="246" t="s">
        <v>100</v>
      </c>
      <c r="F239" s="127">
        <v>3.0</v>
      </c>
      <c r="G239" s="221">
        <v>45577.0</v>
      </c>
      <c r="H239" s="195"/>
      <c r="I239" s="130"/>
      <c r="J239" s="228">
        <v>9.0</v>
      </c>
      <c r="K239" s="241"/>
      <c r="L239" s="130"/>
      <c r="M239" s="134" t="str">
        <f>I104</f>
        <v/>
      </c>
      <c r="N239" s="135" t="str">
        <f>iferror(mround($P104*((VLOOKUP($J239,Sheet1!$D:$N,$G239+1,FALSE)-0.03)),2.5)," ")</f>
        <v> </v>
      </c>
      <c r="O239" s="135" t="str">
        <f>iferror(mround($P104*((VLOOKUP($J239,Sheet1!$D:$N,$G239+1,FALSE)+0.02)),2.5)," ")</f>
        <v> </v>
      </c>
      <c r="P239" s="112" t="str">
        <f>iferror(mround(I239/VLOOKUP(L239,Sheet1!$D$7:$N$16,G239+1,FALSE),2.5),"")</f>
        <v/>
      </c>
      <c r="Q239" s="303" t="str">
        <f t="shared" si="4"/>
        <v/>
      </c>
      <c r="R239" s="242"/>
      <c r="S239" s="11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</row>
    <row r="240" ht="3.75" customHeight="1">
      <c r="A240" s="90"/>
      <c r="B240" s="6"/>
      <c r="C240" s="90"/>
      <c r="D240" s="138"/>
      <c r="E240" s="245"/>
      <c r="F240" s="102"/>
      <c r="G240" s="102"/>
      <c r="H240" s="102"/>
      <c r="I240" s="102"/>
      <c r="J240" s="156"/>
      <c r="K240" s="243"/>
      <c r="L240" s="210"/>
      <c r="M240" s="144"/>
      <c r="N240" s="145"/>
      <c r="O240" s="145"/>
      <c r="P240" s="122"/>
      <c r="Q240" s="304" t="str">
        <f t="shared" si="4"/>
        <v/>
      </c>
      <c r="R240" s="242"/>
      <c r="S240" s="11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</row>
    <row r="241" ht="15.75" hidden="1" customHeight="1">
      <c r="A241" s="90"/>
      <c r="B241" s="6"/>
      <c r="C241" s="90"/>
      <c r="D241" s="185"/>
      <c r="E241" s="227"/>
      <c r="F241" s="187"/>
      <c r="G241" s="229"/>
      <c r="H241" s="195"/>
      <c r="I241" s="247"/>
      <c r="J241" s="248"/>
      <c r="K241" s="241"/>
      <c r="L241" s="164"/>
      <c r="M241" s="134" t="str">
        <f>I106</f>
        <v/>
      </c>
      <c r="N241" s="135" t="str">
        <f>iferror(mround($P106*((VLOOKUP($J241,Sheet1!$D:$N,$G241+1,FALSE)-0.03)),2.5)," ")</f>
        <v> </v>
      </c>
      <c r="O241" s="135" t="str">
        <f>iferror(mround($P106*((VLOOKUP($J241,Sheet1!$D:$N,$G241+1,FALSE)+0.02)),2.5)," ")</f>
        <v> </v>
      </c>
      <c r="P241" s="112" t="str">
        <f>iferror(mround(I241/VLOOKUP(L241,Sheet1!$D$7:$N$16,G241+1,FALSE),2.5),"")</f>
        <v/>
      </c>
      <c r="Q241" s="303" t="str">
        <f t="shared" si="4"/>
        <v/>
      </c>
      <c r="R241" s="242"/>
      <c r="S241" s="11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</row>
    <row r="242" ht="3.75" hidden="1" customHeight="1">
      <c r="A242" s="90"/>
      <c r="B242" s="6"/>
      <c r="C242" s="90"/>
      <c r="D242" s="138"/>
      <c r="E242" s="215"/>
      <c r="F242" s="102"/>
      <c r="G242" s="102"/>
      <c r="H242" s="102"/>
      <c r="I242" s="102"/>
      <c r="J242" s="156"/>
      <c r="K242" s="243"/>
      <c r="L242" s="210"/>
      <c r="M242" s="144"/>
      <c r="N242" s="145"/>
      <c r="O242" s="145"/>
      <c r="P242" s="122"/>
      <c r="Q242" s="304" t="str">
        <f t="shared" si="4"/>
        <v/>
      </c>
      <c r="R242" s="242"/>
      <c r="S242" s="11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</row>
    <row r="243" ht="15.75" hidden="1" customHeight="1">
      <c r="A243" s="90"/>
      <c r="B243" s="6"/>
      <c r="C243" s="90"/>
      <c r="D243" s="185"/>
      <c r="E243" s="220"/>
      <c r="F243" s="187"/>
      <c r="G243" s="229"/>
      <c r="H243" s="195"/>
      <c r="I243" s="247"/>
      <c r="J243" s="248"/>
      <c r="K243" s="241"/>
      <c r="L243" s="164"/>
      <c r="M243" s="134" t="str">
        <f>I108</f>
        <v/>
      </c>
      <c r="N243" s="135" t="str">
        <f>iferror(mround($P108*((VLOOKUP($J243,Sheet1!$D:$N,$G243+1,FALSE)-0.03)),2.5)," ")</f>
        <v> </v>
      </c>
      <c r="O243" s="135" t="str">
        <f>iferror(mround($P108*((VLOOKUP($J243,Sheet1!$D:$N,$G243+1,FALSE)+0.02)),2.5)," ")</f>
        <v> </v>
      </c>
      <c r="P243" s="112" t="str">
        <f>iferror(mround(I243/VLOOKUP(L243,Sheet1!$D$7:$N$16,G243+1,FALSE),2.5),"")</f>
        <v/>
      </c>
      <c r="Q243" s="303" t="str">
        <f t="shared" si="4"/>
        <v/>
      </c>
      <c r="R243" s="242"/>
      <c r="S243" s="11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</row>
    <row r="244" ht="3.75" hidden="1" customHeight="1">
      <c r="A244" s="90"/>
      <c r="B244" s="6"/>
      <c r="C244" s="90"/>
      <c r="D244" s="196"/>
      <c r="E244" s="184"/>
      <c r="F244" s="102"/>
      <c r="G244" s="102"/>
      <c r="H244" s="102"/>
      <c r="I244" s="102"/>
      <c r="J244" s="156"/>
      <c r="K244" s="249"/>
      <c r="L244" s="210"/>
      <c r="M244" s="144"/>
      <c r="N244" s="145"/>
      <c r="O244" s="145"/>
      <c r="P244" s="122"/>
      <c r="Q244" s="304" t="str">
        <f t="shared" si="4"/>
        <v/>
      </c>
      <c r="R244" s="242"/>
      <c r="S244" s="11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</row>
    <row r="245" ht="15.75" hidden="1" customHeight="1">
      <c r="A245" s="90"/>
      <c r="B245" s="6"/>
      <c r="C245" s="90"/>
      <c r="D245" s="197"/>
      <c r="E245" s="250"/>
      <c r="F245" s="129"/>
      <c r="G245" s="199"/>
      <c r="H245" s="195"/>
      <c r="I245" s="247"/>
      <c r="J245" s="248"/>
      <c r="K245" s="251"/>
      <c r="L245" s="164"/>
      <c r="M245" s="134" t="str">
        <f>I110</f>
        <v/>
      </c>
      <c r="N245" s="135" t="str">
        <f>iferror(mround($P110*((VLOOKUP($J245,Sheet1!$D:$N,$G245+1,FALSE)-0.03)),2.5)," ")</f>
        <v> </v>
      </c>
      <c r="O245" s="135" t="str">
        <f>iferror(mround($P110*((VLOOKUP($J245,Sheet1!$D:$N,$G245+1,FALSE)+0.02)),2.5)," ")</f>
        <v> </v>
      </c>
      <c r="P245" s="112" t="str">
        <f>iferror(mround(I245/VLOOKUP(L245,Sheet1!$D$7:$N$16,G245+1,FALSE),2.5),"")</f>
        <v/>
      </c>
      <c r="Q245" s="303" t="str">
        <f t="shared" si="4"/>
        <v/>
      </c>
      <c r="R245" s="242"/>
      <c r="S245" s="11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</row>
    <row r="246" ht="3.75" hidden="1" customHeight="1">
      <c r="A246" s="90"/>
      <c r="B246" s="6"/>
      <c r="C246" s="90"/>
      <c r="D246" s="234"/>
      <c r="E246" s="184"/>
      <c r="F246" s="102"/>
      <c r="G246" s="102"/>
      <c r="H246" s="102"/>
      <c r="I246" s="102"/>
      <c r="J246" s="156"/>
      <c r="K246" s="249"/>
      <c r="L246" s="210"/>
      <c r="M246" s="144"/>
      <c r="N246" s="145"/>
      <c r="O246" s="145"/>
      <c r="P246" s="122"/>
      <c r="Q246" s="304" t="str">
        <f t="shared" si="4"/>
        <v/>
      </c>
      <c r="R246" s="242"/>
      <c r="S246" s="11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</row>
    <row r="247" ht="15.75" hidden="1" customHeight="1">
      <c r="A247" s="90"/>
      <c r="B247" s="6"/>
      <c r="C247" s="90"/>
      <c r="D247" s="197"/>
      <c r="E247" s="198"/>
      <c r="F247" s="129"/>
      <c r="G247" s="199"/>
      <c r="H247" s="195"/>
      <c r="I247" s="164"/>
      <c r="J247" s="248"/>
      <c r="K247" s="251"/>
      <c r="L247" s="164"/>
      <c r="M247" s="134" t="str">
        <f>I112</f>
        <v/>
      </c>
      <c r="N247" s="135" t="str">
        <f>iferror(mround($P112*((VLOOKUP($J247,Sheet1!$D:$N,$G247+1,FALSE)-0.03)),2.5)," ")</f>
        <v> </v>
      </c>
      <c r="O247" s="135" t="str">
        <f>iferror(mround($P112*((VLOOKUP($J247,Sheet1!$D:$N,$G247+1,FALSE)+0.02)),2.5)," ")</f>
        <v> </v>
      </c>
      <c r="P247" s="112" t="str">
        <f>iferror(mround(I247/VLOOKUP(L247,Sheet1!$D$7:$N$16,G247+1,FALSE),2.5),"")</f>
        <v/>
      </c>
      <c r="Q247" s="303" t="str">
        <f t="shared" si="4"/>
        <v/>
      </c>
      <c r="R247" s="242"/>
      <c r="S247" s="11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</row>
    <row r="248" ht="3.75" hidden="1" customHeight="1">
      <c r="A248" s="124"/>
      <c r="B248" s="6"/>
      <c r="C248" s="124"/>
      <c r="D248" s="252"/>
      <c r="E248" s="252"/>
      <c r="F248" s="102"/>
      <c r="G248" s="102"/>
      <c r="H248" s="102"/>
      <c r="I248" s="102"/>
      <c r="J248" s="156"/>
      <c r="K248" s="253"/>
      <c r="L248" s="201"/>
      <c r="M248" s="211"/>
      <c r="N248" s="47"/>
      <c r="O248" s="47"/>
      <c r="P248" s="122"/>
      <c r="Q248" s="304" t="str">
        <f t="shared" si="4"/>
        <v/>
      </c>
      <c r="R248" s="242"/>
      <c r="S248" s="11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</row>
    <row r="249" ht="30.75" hidden="1" customHeight="1">
      <c r="A249" s="90"/>
      <c r="B249" s="6"/>
      <c r="C249" s="90"/>
      <c r="D249" s="254" t="s">
        <v>57</v>
      </c>
      <c r="E249" s="255" t="s">
        <v>15</v>
      </c>
      <c r="F249" s="106" t="s">
        <v>16</v>
      </c>
      <c r="G249" s="106" t="s">
        <v>17</v>
      </c>
      <c r="H249" s="107"/>
      <c r="I249" s="106" t="s">
        <v>18</v>
      </c>
      <c r="J249" s="108" t="s">
        <v>19</v>
      </c>
      <c r="L249" s="109" t="s">
        <v>20</v>
      </c>
      <c r="M249" s="110" t="s">
        <v>21</v>
      </c>
      <c r="N249" s="111" t="s">
        <v>22</v>
      </c>
      <c r="P249" s="112"/>
      <c r="Q249" s="113" t="s">
        <v>23</v>
      </c>
      <c r="R249" s="256" t="s">
        <v>58</v>
      </c>
      <c r="S249" s="11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</row>
    <row r="250" ht="14.25" hidden="1" customHeight="1">
      <c r="A250" s="90"/>
      <c r="B250" s="6"/>
      <c r="C250" s="90"/>
      <c r="D250" s="257" t="s">
        <v>25</v>
      </c>
      <c r="E250" s="258" t="s">
        <v>26</v>
      </c>
      <c r="H250" s="107"/>
      <c r="N250" s="111" t="s">
        <v>27</v>
      </c>
      <c r="O250" s="111" t="s">
        <v>28</v>
      </c>
      <c r="P250" s="112" t="s">
        <v>29</v>
      </c>
      <c r="R250" s="118" t="s">
        <v>30</v>
      </c>
      <c r="S250" s="11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</row>
    <row r="251" ht="3.75" hidden="1" customHeight="1">
      <c r="A251" s="124"/>
      <c r="B251" s="6"/>
      <c r="C251" s="124"/>
      <c r="D251" s="252"/>
      <c r="E251" s="252"/>
      <c r="F251" s="102"/>
      <c r="G251" s="102"/>
      <c r="H251" s="102"/>
      <c r="I251" s="102"/>
      <c r="J251" s="156"/>
      <c r="K251" s="253"/>
      <c r="L251" s="201"/>
      <c r="M251" s="211"/>
      <c r="N251" s="47"/>
      <c r="O251" s="47"/>
      <c r="P251" s="122"/>
      <c r="Q251" s="304" t="str">
        <f t="shared" ref="Q251:Q274" si="5">IF(OR(ISBLANK(I251), ISBLANK(I116)), "", IF(I251 - I116 = 0, "", I251 - I116))</f>
        <v/>
      </c>
      <c r="R251" s="259"/>
      <c r="S251" s="11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</row>
    <row r="252" ht="14.25" hidden="1" customHeight="1">
      <c r="A252" s="124"/>
      <c r="B252" s="6"/>
      <c r="C252" s="124"/>
      <c r="D252" s="260"/>
      <c r="E252" s="126"/>
      <c r="F252" s="187"/>
      <c r="G252" s="229"/>
      <c r="H252" s="129"/>
      <c r="I252" s="164"/>
      <c r="J252" s="189"/>
      <c r="K252" s="251"/>
      <c r="L252" s="164"/>
      <c r="M252" s="134" t="str">
        <f>I119</f>
        <v/>
      </c>
      <c r="N252" s="135" t="str">
        <f>iferror(mround($P119*((VLOOKUP($J252,Sheet1!$D:$N,$G252+1,FALSE)-0.03)),2.5)," ")</f>
        <v> </v>
      </c>
      <c r="O252" s="135" t="str">
        <f>iferror(mround($P119*((VLOOKUP($J252,Sheet1!$D:$N,$G252+1,FALSE)+0.02)),2.5)," ")</f>
        <v> </v>
      </c>
      <c r="P252" s="56" t="str">
        <f>iferror(mround(I252/VLOOKUP(L252,Sheet1!$D$7:$N$16,G252+1,FALSE),2.5),"")</f>
        <v/>
      </c>
      <c r="Q252" s="303" t="str">
        <f t="shared" si="5"/>
        <v/>
      </c>
      <c r="S252" s="11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</row>
    <row r="253" ht="3.75" hidden="1" customHeight="1">
      <c r="A253" s="124"/>
      <c r="B253" s="6"/>
      <c r="C253" s="124"/>
      <c r="D253" s="138"/>
      <c r="E253" s="215"/>
      <c r="F253" s="102"/>
      <c r="G253" s="102"/>
      <c r="H253" s="102"/>
      <c r="I253" s="102"/>
      <c r="J253" s="156"/>
      <c r="K253" s="249"/>
      <c r="L253" s="210"/>
      <c r="M253" s="144"/>
      <c r="N253" s="145"/>
      <c r="O253" s="145"/>
      <c r="P253" s="122"/>
      <c r="Q253" s="304" t="str">
        <f t="shared" si="5"/>
        <v/>
      </c>
      <c r="S253" s="11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</row>
    <row r="254" ht="14.25" hidden="1" customHeight="1">
      <c r="A254" s="124"/>
      <c r="B254" s="6"/>
      <c r="C254" s="124"/>
      <c r="D254" s="185"/>
      <c r="E254" s="227"/>
      <c r="F254" s="187"/>
      <c r="G254" s="229"/>
      <c r="H254" s="195"/>
      <c r="I254" s="164"/>
      <c r="J254" s="248"/>
      <c r="K254" s="251"/>
      <c r="L254" s="164"/>
      <c r="M254" s="134" t="str">
        <f>I119</f>
        <v/>
      </c>
      <c r="N254" s="135" t="str">
        <f>iferror(mround($P119*((VLOOKUP($J254,Sheet1!$D:$N,$G254+1,FALSE)-0.03)),2.5)," ")</f>
        <v> </v>
      </c>
      <c r="O254" s="135" t="str">
        <f>iferror(mround($P119*((VLOOKUP($J254,Sheet1!$D:$N,$G254+1,FALSE)+0.02)),2.5)," ")</f>
        <v> </v>
      </c>
      <c r="P254" s="112" t="str">
        <f>iferror(mround(I254/VLOOKUP(L254,Sheet1!$D$7:$N$16,G254+1,FALSE),2.5),"")</f>
        <v/>
      </c>
      <c r="Q254" s="303" t="str">
        <f t="shared" si="5"/>
        <v/>
      </c>
      <c r="S254" s="11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</row>
    <row r="255" ht="3.75" hidden="1" customHeight="1">
      <c r="A255" s="124"/>
      <c r="B255" s="6"/>
      <c r="C255" s="124"/>
      <c r="D255" s="138"/>
      <c r="E255" s="245"/>
      <c r="F255" s="102"/>
      <c r="G255" s="102"/>
      <c r="H255" s="102"/>
      <c r="I255" s="102"/>
      <c r="J255" s="156"/>
      <c r="K255" s="249"/>
      <c r="L255" s="210"/>
      <c r="M255" s="144"/>
      <c r="N255" s="145"/>
      <c r="O255" s="145"/>
      <c r="P255" s="122"/>
      <c r="Q255" s="304" t="str">
        <f t="shared" si="5"/>
        <v/>
      </c>
      <c r="S255" s="11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</row>
    <row r="256" ht="14.25" hidden="1" customHeight="1">
      <c r="A256" s="124"/>
      <c r="B256" s="6"/>
      <c r="C256" s="124"/>
      <c r="D256" s="185"/>
      <c r="E256" s="227"/>
      <c r="F256" s="187"/>
      <c r="G256" s="229"/>
      <c r="H256" s="195"/>
      <c r="I256" s="164"/>
      <c r="J256" s="248"/>
      <c r="K256" s="251"/>
      <c r="L256" s="164"/>
      <c r="M256" s="134" t="str">
        <f>I121</f>
        <v/>
      </c>
      <c r="N256" s="135" t="str">
        <f>iferror(mround($P121*((VLOOKUP($J256,Sheet1!$D:$N,$G256+1,FALSE)-0.03)),2.5)," ")</f>
        <v> </v>
      </c>
      <c r="O256" s="135" t="str">
        <f>iferror(mround($P121*((VLOOKUP($J256,Sheet1!$D:$N,$G256+1,FALSE)+0.02)),2.5)," ")</f>
        <v> </v>
      </c>
      <c r="P256" s="112" t="str">
        <f>iferror(mround(I256/VLOOKUP(L256,Sheet1!$D$7:$N$16,G256+1,FALSE),2.5),"")</f>
        <v/>
      </c>
      <c r="Q256" s="303" t="str">
        <f t="shared" si="5"/>
        <v/>
      </c>
      <c r="S256" s="11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</row>
    <row r="257" ht="3.75" hidden="1" customHeight="1">
      <c r="A257" s="124"/>
      <c r="B257" s="6"/>
      <c r="C257" s="124"/>
      <c r="D257" s="138"/>
      <c r="E257" s="245"/>
      <c r="F257" s="102"/>
      <c r="G257" s="102"/>
      <c r="H257" s="102"/>
      <c r="I257" s="102"/>
      <c r="J257" s="156"/>
      <c r="K257" s="249"/>
      <c r="L257" s="210"/>
      <c r="M257" s="144"/>
      <c r="N257" s="145"/>
      <c r="O257" s="145"/>
      <c r="P257" s="122"/>
      <c r="Q257" s="304" t="str">
        <f t="shared" si="5"/>
        <v/>
      </c>
      <c r="S257" s="11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</row>
    <row r="258" ht="14.25" hidden="1" customHeight="1">
      <c r="A258" s="124"/>
      <c r="B258" s="6"/>
      <c r="C258" s="124"/>
      <c r="D258" s="185"/>
      <c r="E258" s="227"/>
      <c r="F258" s="187"/>
      <c r="G258" s="229"/>
      <c r="H258" s="195"/>
      <c r="I258" s="164"/>
      <c r="J258" s="248"/>
      <c r="K258" s="251"/>
      <c r="L258" s="164"/>
      <c r="M258" s="134"/>
      <c r="N258" s="135" t="str">
        <f>iferror(mround($P123*((VLOOKUP($J258,Sheet1!$D:$N,$G258+1,FALSE)-0.03)),2.5)," ")</f>
        <v> </v>
      </c>
      <c r="O258" s="135" t="str">
        <f>iferror(mround($P123*((VLOOKUP($J258,Sheet1!$D:$N,$G258+1,FALSE)+0.02)),2.5)," ")</f>
        <v> </v>
      </c>
      <c r="P258" s="112" t="str">
        <f>iferror(mround(I258/VLOOKUP(L258,Sheet1!$D$7:$N$16,G258+1,FALSE),2.5),"")</f>
        <v/>
      </c>
      <c r="Q258" s="303" t="str">
        <f t="shared" si="5"/>
        <v/>
      </c>
      <c r="S258" s="11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</row>
    <row r="259" ht="3.75" hidden="1" customHeight="1">
      <c r="A259" s="124"/>
      <c r="B259" s="6"/>
      <c r="C259" s="124"/>
      <c r="D259" s="138"/>
      <c r="E259" s="245"/>
      <c r="F259" s="102"/>
      <c r="G259" s="102"/>
      <c r="H259" s="102"/>
      <c r="I259" s="102"/>
      <c r="J259" s="156"/>
      <c r="K259" s="249"/>
      <c r="L259" s="210"/>
      <c r="M259" s="144"/>
      <c r="N259" s="145" t="str">
        <f>iferror(mround($P124*((VLOOKUP($J259,Sheet1!$D:$N,$G259+1,FALSE)-0.03)),2.5)," ")</f>
        <v> </v>
      </c>
      <c r="O259" s="145" t="str">
        <f>iferror(mround($P124*((VLOOKUP($J259,Sheet1!$D:$N,$G259+1,FALSE)+0.02)),2.5)," ")</f>
        <v> </v>
      </c>
      <c r="P259" s="122"/>
      <c r="Q259" s="304" t="str">
        <f t="shared" si="5"/>
        <v/>
      </c>
      <c r="S259" s="11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</row>
    <row r="260" ht="14.25" hidden="1" customHeight="1">
      <c r="A260" s="124"/>
      <c r="B260" s="6"/>
      <c r="C260" s="124"/>
      <c r="D260" s="185"/>
      <c r="E260" s="227"/>
      <c r="F260" s="187"/>
      <c r="G260" s="187"/>
      <c r="H260" s="195"/>
      <c r="I260" s="164"/>
      <c r="J260" s="248"/>
      <c r="K260" s="251"/>
      <c r="L260" s="164"/>
      <c r="M260" s="134" t="str">
        <f>I125</f>
        <v/>
      </c>
      <c r="N260" s="135" t="str">
        <f>iferror(mround($P125*((VLOOKUP($J260,Sheet1!$D:$N,$G260+1,FALSE)-0.03)),2.5)," ")</f>
        <v> </v>
      </c>
      <c r="O260" s="135" t="str">
        <f>iferror(mround($P125*((VLOOKUP($J260,Sheet1!$D:$N,$G260+1,FALSE)+0.02)),2.5)," ")</f>
        <v> </v>
      </c>
      <c r="P260" s="112" t="str">
        <f>iferror(mround(I260/VLOOKUP(L260,Sheet1!$D$7:$N$16,G260+1,FALSE),2.5),"")</f>
        <v/>
      </c>
      <c r="Q260" s="303" t="str">
        <f t="shared" si="5"/>
        <v/>
      </c>
      <c r="S260" s="11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</row>
    <row r="261" ht="3.75" hidden="1" customHeight="1">
      <c r="A261" s="261"/>
      <c r="B261" s="6"/>
      <c r="C261" s="262"/>
      <c r="D261" s="138"/>
      <c r="E261" s="245"/>
      <c r="F261" s="102"/>
      <c r="G261" s="102"/>
      <c r="H261" s="102"/>
      <c r="I261" s="102"/>
      <c r="J261" s="156"/>
      <c r="K261" s="249"/>
      <c r="L261" s="210"/>
      <c r="M261" s="144"/>
      <c r="N261" s="145"/>
      <c r="O261" s="145"/>
      <c r="P261" s="122"/>
      <c r="Q261" s="304" t="str">
        <f t="shared" si="5"/>
        <v/>
      </c>
      <c r="S261" s="157"/>
      <c r="T261" s="5"/>
      <c r="U261" s="5"/>
      <c r="V261" s="158"/>
      <c r="W261" s="158"/>
      <c r="X261" s="158"/>
      <c r="Y261" s="158"/>
      <c r="Z261" s="158"/>
      <c r="AA261" s="158"/>
      <c r="AB261" s="158"/>
      <c r="AC261" s="158"/>
      <c r="AD261" s="158"/>
      <c r="AE261" s="158"/>
      <c r="AF261" s="158"/>
      <c r="AG261" s="158"/>
    </row>
    <row r="262" ht="14.25" hidden="1" customHeight="1">
      <c r="A262" s="124"/>
      <c r="B262" s="6"/>
      <c r="C262" s="124"/>
      <c r="D262" s="185"/>
      <c r="E262" s="227"/>
      <c r="F262" s="187"/>
      <c r="G262" s="187"/>
      <c r="H262" s="195"/>
      <c r="I262" s="164"/>
      <c r="J262" s="248"/>
      <c r="K262" s="251"/>
      <c r="L262" s="164"/>
      <c r="M262" s="134" t="str">
        <f>I127</f>
        <v/>
      </c>
      <c r="N262" s="135" t="str">
        <f>iferror(mround($P127*((VLOOKUP($J262,Sheet1!$D:$N,$G262+1,FALSE)-0.03)),2.5)," ")</f>
        <v> </v>
      </c>
      <c r="O262" s="135" t="str">
        <f>iferror(mround($P127*((VLOOKUP($J262,Sheet1!$D:$N,$G262+1,FALSE)+0.02)),2.5)," ")</f>
        <v> </v>
      </c>
      <c r="P262" s="112" t="str">
        <f>iferror(mround(I262/VLOOKUP(L262,Sheet1!$D$7:$N$16,G262+1,FALSE),2.5),"")</f>
        <v/>
      </c>
      <c r="Q262" s="303" t="str">
        <f t="shared" si="5"/>
        <v/>
      </c>
      <c r="S262" s="11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</row>
    <row r="263" ht="3.75" hidden="1" customHeight="1">
      <c r="A263" s="261"/>
      <c r="B263" s="6"/>
      <c r="C263" s="262"/>
      <c r="D263" s="138"/>
      <c r="E263" s="252"/>
      <c r="F263" s="102"/>
      <c r="G263" s="102"/>
      <c r="H263" s="102"/>
      <c r="I263" s="102"/>
      <c r="J263" s="156"/>
      <c r="K263" s="249"/>
      <c r="L263" s="210"/>
      <c r="M263" s="144"/>
      <c r="N263" s="145"/>
      <c r="O263" s="145"/>
      <c r="P263" s="122"/>
      <c r="Q263" s="304" t="str">
        <f t="shared" si="5"/>
        <v/>
      </c>
      <c r="S263" s="157"/>
      <c r="T263" s="5"/>
      <c r="U263" s="5"/>
      <c r="V263" s="158"/>
      <c r="W263" s="158"/>
      <c r="X263" s="158"/>
      <c r="Y263" s="158"/>
      <c r="Z263" s="158"/>
      <c r="AA263" s="158"/>
      <c r="AB263" s="158"/>
      <c r="AC263" s="158"/>
      <c r="AD263" s="158"/>
      <c r="AE263" s="158"/>
      <c r="AF263" s="158"/>
      <c r="AG263" s="158"/>
    </row>
    <row r="264" ht="15.75" hidden="1" customHeight="1">
      <c r="A264" s="124"/>
      <c r="B264" s="6"/>
      <c r="C264" s="124"/>
      <c r="D264" s="185"/>
      <c r="E264" s="260"/>
      <c r="F264" s="187"/>
      <c r="G264" s="187"/>
      <c r="H264" s="195"/>
      <c r="I264" s="247"/>
      <c r="J264" s="248"/>
      <c r="K264" s="251"/>
      <c r="L264" s="164"/>
      <c r="M264" s="134"/>
      <c r="N264" s="135" t="str">
        <f>iferror(mround($P129*((VLOOKUP($J264,Sheet1!$D:$N,$G264+1,FALSE)-0.03)),2.5)," ")</f>
        <v> </v>
      </c>
      <c r="O264" s="135" t="str">
        <f>iferror(mround($P129*((VLOOKUP($J264,Sheet1!$D:$N,$G264+1,FALSE)+0.02)),2.5)," ")</f>
        <v> </v>
      </c>
      <c r="P264" s="112" t="str">
        <f>iferror(mround(I264/VLOOKUP(L264,Sheet1!$D$7:$N$16,G264+1,FALSE),2.5),"")</f>
        <v/>
      </c>
      <c r="Q264" s="303" t="str">
        <f t="shared" si="5"/>
        <v/>
      </c>
      <c r="S264" s="11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</row>
    <row r="265" ht="3.75" hidden="1" customHeight="1">
      <c r="A265" s="124"/>
      <c r="B265" s="6"/>
      <c r="C265" s="124"/>
      <c r="D265" s="263"/>
      <c r="E265" s="252"/>
      <c r="F265" s="102"/>
      <c r="G265" s="102"/>
      <c r="H265" s="102"/>
      <c r="I265" s="102"/>
      <c r="J265" s="156"/>
      <c r="K265" s="249"/>
      <c r="L265" s="210"/>
      <c r="M265" s="144"/>
      <c r="N265" s="145" t="str">
        <f>iferror(mround($P130*((VLOOKUP($J265,Sheet1!$D:$N,$G265+1,FALSE)-0.03)),2.5)," ")</f>
        <v> </v>
      </c>
      <c r="O265" s="145" t="str">
        <f>iferror(mround($P130*((VLOOKUP($J265,Sheet1!$D:$N,$G265+1,FALSE)+0.02)),2.5)," ")</f>
        <v> </v>
      </c>
      <c r="P265" s="122"/>
      <c r="Q265" s="304" t="str">
        <f t="shared" si="5"/>
        <v/>
      </c>
      <c r="S265" s="11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</row>
    <row r="266" ht="14.25" hidden="1" customHeight="1">
      <c r="A266" s="90"/>
      <c r="B266" s="6"/>
      <c r="C266" s="90"/>
      <c r="D266" s="185"/>
      <c r="E266" s="264"/>
      <c r="F266" s="187"/>
      <c r="G266" s="187"/>
      <c r="H266" s="195"/>
      <c r="I266" s="164"/>
      <c r="J266" s="248"/>
      <c r="K266" s="251"/>
      <c r="L266" s="164"/>
      <c r="M266" s="134" t="str">
        <f>I131</f>
        <v/>
      </c>
      <c r="N266" s="135" t="str">
        <f>iferror(mround($P131*((VLOOKUP($J266,Sheet1!$D:$N,$G266+1,FALSE)-0.03)),2.5)," ")</f>
        <v> </v>
      </c>
      <c r="O266" s="135" t="str">
        <f>iferror(mround($P131*((VLOOKUP($J266,Sheet1!$D:$N,$G266+1,FALSE)+0.02)),2.5)," ")</f>
        <v> </v>
      </c>
      <c r="P266" s="112" t="str">
        <f>iferror(mround(I266/VLOOKUP(L266,Sheet1!$D$7:$N$16,G266+1,FALSE),2.5),"")</f>
        <v/>
      </c>
      <c r="Q266" s="303" t="str">
        <f t="shared" si="5"/>
        <v/>
      </c>
      <c r="S266" s="11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</row>
    <row r="267" ht="3.75" hidden="1" customHeight="1">
      <c r="A267" s="261"/>
      <c r="B267" s="6"/>
      <c r="C267" s="262"/>
      <c r="D267" s="263"/>
      <c r="E267" s="263"/>
      <c r="F267" s="194"/>
      <c r="G267" s="194"/>
      <c r="H267" s="155"/>
      <c r="I267" s="210"/>
      <c r="J267" s="265"/>
      <c r="K267" s="249"/>
      <c r="L267" s="210"/>
      <c r="M267" s="144"/>
      <c r="N267" s="145"/>
      <c r="O267" s="145"/>
      <c r="P267" s="122"/>
      <c r="Q267" s="304" t="str">
        <f t="shared" si="5"/>
        <v/>
      </c>
      <c r="S267" s="157"/>
      <c r="T267" s="5"/>
      <c r="U267" s="5"/>
      <c r="V267" s="158"/>
      <c r="W267" s="158"/>
      <c r="X267" s="158"/>
      <c r="Y267" s="158"/>
      <c r="Z267" s="158"/>
      <c r="AA267" s="158"/>
      <c r="AB267" s="158"/>
      <c r="AC267" s="158"/>
      <c r="AD267" s="158"/>
      <c r="AE267" s="158"/>
      <c r="AF267" s="158"/>
      <c r="AG267" s="158"/>
    </row>
    <row r="268" ht="15.75" hidden="1" customHeight="1">
      <c r="A268" s="90"/>
      <c r="B268" s="6"/>
      <c r="C268" s="90"/>
      <c r="D268" s="185"/>
      <c r="E268" s="266"/>
      <c r="F268" s="187"/>
      <c r="G268" s="187"/>
      <c r="H268" s="195"/>
      <c r="I268" s="164"/>
      <c r="J268" s="248"/>
      <c r="K268" s="251"/>
      <c r="L268" s="164"/>
      <c r="M268" s="134"/>
      <c r="N268" s="135" t="str">
        <f>iferror(mround($P133*((VLOOKUP($J268,Sheet1!$D:$N,$G268+1,FALSE)-0.03)),2.5)," ")</f>
        <v> </v>
      </c>
      <c r="O268" s="135" t="str">
        <f>iferror(mround($P133*((VLOOKUP($J268,Sheet1!$D:$N,$G268+1,FALSE)+0.02)),2.5)," ")</f>
        <v> </v>
      </c>
      <c r="P268" s="112" t="str">
        <f>iferror(mround(I268/VLOOKUP(L268,Sheet1!$D$7:$N$16,G268+1,FALSE),2.5),"")</f>
        <v/>
      </c>
      <c r="Q268" s="303" t="str">
        <f t="shared" si="5"/>
        <v/>
      </c>
      <c r="S268" s="11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</row>
    <row r="269" ht="3.75" hidden="1" customHeight="1">
      <c r="A269" s="90"/>
      <c r="B269" s="6"/>
      <c r="C269" s="90"/>
      <c r="D269" s="138"/>
      <c r="E269" s="252"/>
      <c r="F269" s="102"/>
      <c r="G269" s="102"/>
      <c r="H269" s="102"/>
      <c r="I269" s="102"/>
      <c r="J269" s="156"/>
      <c r="K269" s="249"/>
      <c r="L269" s="210"/>
      <c r="M269" s="144"/>
      <c r="N269" s="145" t="str">
        <f>iferror(mround($P134*((VLOOKUP($J269,Sheet1!$D:$N,$G269+1,FALSE)-0.03)),2.5)," ")</f>
        <v> </v>
      </c>
      <c r="O269" s="145" t="str">
        <f>iferror(mround($P134*((VLOOKUP($J269,Sheet1!$D:$N,$G269+1,FALSE)+0.02)),2.5)," ")</f>
        <v> </v>
      </c>
      <c r="P269" s="122"/>
      <c r="Q269" s="304" t="str">
        <f t="shared" si="5"/>
        <v/>
      </c>
      <c r="S269" s="11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</row>
    <row r="270" ht="15.75" hidden="1" customHeight="1">
      <c r="A270" s="90"/>
      <c r="B270" s="6"/>
      <c r="C270" s="90"/>
      <c r="D270" s="185"/>
      <c r="E270" s="264"/>
      <c r="F270" s="187"/>
      <c r="G270" s="187"/>
      <c r="H270" s="195"/>
      <c r="I270" s="164"/>
      <c r="J270" s="248"/>
      <c r="K270" s="251"/>
      <c r="L270" s="164"/>
      <c r="M270" s="134" t="str">
        <f>I135</f>
        <v/>
      </c>
      <c r="N270" s="135" t="str">
        <f>iferror(mround($P135*((VLOOKUP($J270,Sheet1!$D:$N,$G270+1,FALSE)-0.03)),2.5)," ")</f>
        <v> </v>
      </c>
      <c r="O270" s="135" t="str">
        <f>iferror(mround($P135*((VLOOKUP($J270,Sheet1!$D:$N,$G270+1,FALSE)+0.02)),2.5)," ")</f>
        <v> </v>
      </c>
      <c r="P270" s="112" t="str">
        <f>iferror(mround(I270/VLOOKUP(L270,Sheet1!$D$7:$N$16,G270+1,FALSE),2.5),"")</f>
        <v/>
      </c>
      <c r="Q270" s="303" t="str">
        <f t="shared" si="5"/>
        <v/>
      </c>
      <c r="S270" s="11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</row>
    <row r="271" ht="3.75" hidden="1" customHeight="1">
      <c r="A271" s="191"/>
      <c r="B271" s="6"/>
      <c r="C271" s="192"/>
      <c r="D271" s="138"/>
      <c r="E271" s="252"/>
      <c r="F271" s="102"/>
      <c r="G271" s="102"/>
      <c r="H271" s="102"/>
      <c r="I271" s="102"/>
      <c r="J271" s="156"/>
      <c r="K271" s="249"/>
      <c r="L271" s="210"/>
      <c r="M271" s="144"/>
      <c r="N271" s="145"/>
      <c r="O271" s="145"/>
      <c r="P271" s="122"/>
      <c r="Q271" s="304" t="str">
        <f t="shared" si="5"/>
        <v/>
      </c>
      <c r="S271" s="157"/>
      <c r="T271" s="5"/>
      <c r="U271" s="5"/>
      <c r="V271" s="158"/>
      <c r="W271" s="158"/>
      <c r="X271" s="158"/>
      <c r="Y271" s="158"/>
      <c r="Z271" s="158"/>
      <c r="AA271" s="158"/>
      <c r="AB271" s="158"/>
      <c r="AC271" s="158"/>
      <c r="AD271" s="158"/>
      <c r="AE271" s="158"/>
      <c r="AF271" s="158"/>
      <c r="AG271" s="158"/>
    </row>
    <row r="272" ht="15.75" hidden="1" customHeight="1">
      <c r="A272" s="90"/>
      <c r="B272" s="6"/>
      <c r="C272" s="90"/>
      <c r="D272" s="185"/>
      <c r="E272" s="260"/>
      <c r="F272" s="187"/>
      <c r="G272" s="187"/>
      <c r="H272" s="195"/>
      <c r="I272" s="164"/>
      <c r="J272" s="248"/>
      <c r="K272" s="251"/>
      <c r="L272" s="164"/>
      <c r="M272" s="134" t="str">
        <f>I137</f>
        <v/>
      </c>
      <c r="N272" s="135" t="str">
        <f>iferror(mround($P137*((VLOOKUP($J272,Sheet1!$D:$N,$G272+1,FALSE)-0.03)),2.5)," ")</f>
        <v> </v>
      </c>
      <c r="O272" s="135" t="str">
        <f>iferror(mround($P137*((VLOOKUP($J272,Sheet1!$D:$N,$G272+1,FALSE)+0.02)),2.5)," ")</f>
        <v> </v>
      </c>
      <c r="P272" s="112" t="str">
        <f>iferror(mround(I272/VLOOKUP(L272,Sheet1!$D$7:$N$16,G272+1,FALSE),2.5),"")</f>
        <v/>
      </c>
      <c r="Q272" s="303" t="str">
        <f t="shared" si="5"/>
        <v/>
      </c>
      <c r="S272" s="11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</row>
    <row r="273" ht="3.75" hidden="1" customHeight="1">
      <c r="A273" s="90"/>
      <c r="B273" s="6"/>
      <c r="C273" s="90"/>
      <c r="D273" s="263"/>
      <c r="E273" s="252"/>
      <c r="F273" s="102"/>
      <c r="G273" s="102"/>
      <c r="H273" s="102"/>
      <c r="I273" s="102"/>
      <c r="J273" s="156"/>
      <c r="K273" s="249"/>
      <c r="L273" s="210"/>
      <c r="M273" s="144"/>
      <c r="N273" s="145"/>
      <c r="O273" s="145"/>
      <c r="P273" s="122"/>
      <c r="Q273" s="304" t="str">
        <f t="shared" si="5"/>
        <v/>
      </c>
      <c r="S273" s="11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</row>
    <row r="274" ht="15.75" hidden="1" customHeight="1">
      <c r="A274" s="90"/>
      <c r="B274" s="6"/>
      <c r="C274" s="90"/>
      <c r="D274" s="185"/>
      <c r="E274" s="266"/>
      <c r="F274" s="187"/>
      <c r="G274" s="187"/>
      <c r="H274" s="195"/>
      <c r="I274" s="164"/>
      <c r="J274" s="248"/>
      <c r="K274" s="251"/>
      <c r="L274" s="164"/>
      <c r="M274" s="134" t="str">
        <f>I139</f>
        <v/>
      </c>
      <c r="N274" s="135" t="str">
        <f>iferror(mround($P139*((VLOOKUP($J274,Sheet1!$D:$N,$G274+1,FALSE)-0.03)),2.5)," ")</f>
        <v> </v>
      </c>
      <c r="O274" s="135" t="str">
        <f>iferror(mround($P139*((VLOOKUP($J274,Sheet1!$D:$N,$G274+1,FALSE)+0.02)),2.5)," ")</f>
        <v> </v>
      </c>
      <c r="P274" s="112" t="str">
        <f>iferror(mround(I274/VLOOKUP(L274,Sheet1!$D$7:$N$16,G274+1,FALSE),2.5),"")</f>
        <v/>
      </c>
      <c r="Q274" s="303" t="str">
        <f t="shared" si="5"/>
        <v/>
      </c>
      <c r="S274" s="11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</row>
    <row r="275" ht="3.75" customHeight="1">
      <c r="A275" s="191"/>
      <c r="B275" s="6"/>
      <c r="C275" s="192"/>
      <c r="D275" s="192"/>
      <c r="E275" s="267"/>
      <c r="F275" s="194"/>
      <c r="G275" s="194"/>
      <c r="H275" s="155"/>
      <c r="I275" s="210"/>
      <c r="J275" s="268"/>
      <c r="K275" s="249"/>
      <c r="L275" s="269"/>
      <c r="M275" s="270"/>
      <c r="N275" s="269"/>
      <c r="O275" s="269"/>
      <c r="P275" s="271"/>
      <c r="Q275" s="272"/>
      <c r="R275" s="273"/>
      <c r="S275" s="157"/>
      <c r="T275" s="5"/>
      <c r="U275" s="5"/>
      <c r="V275" s="158"/>
      <c r="W275" s="158"/>
      <c r="X275" s="158"/>
      <c r="Y275" s="158"/>
      <c r="Z275" s="158"/>
      <c r="AA275" s="158"/>
      <c r="AB275" s="158"/>
      <c r="AC275" s="158"/>
      <c r="AD275" s="158"/>
      <c r="AE275" s="158"/>
      <c r="AF275" s="158"/>
      <c r="AG275" s="158"/>
    </row>
    <row r="276" ht="14.25" customHeight="1">
      <c r="A276" s="5"/>
      <c r="B276" s="6"/>
      <c r="C276" s="5"/>
      <c r="D276" s="274"/>
      <c r="E276" s="266"/>
      <c r="F276" s="187"/>
      <c r="G276" s="187"/>
      <c r="H276" s="195"/>
      <c r="I276" s="129"/>
      <c r="J276" s="275"/>
      <c r="K276" s="276"/>
      <c r="L276" s="187"/>
      <c r="M276" s="187"/>
      <c r="N276" s="187"/>
      <c r="O276" s="187"/>
      <c r="P276" s="277"/>
      <c r="Q276" s="278"/>
      <c r="R276" s="279"/>
      <c r="S276" s="11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</row>
    <row r="277" ht="14.25" customHeight="1">
      <c r="A277" s="5"/>
      <c r="B277" s="6"/>
      <c r="C277" s="5"/>
      <c r="D277" s="274" t="s">
        <v>59</v>
      </c>
      <c r="E277" s="266" t="s">
        <v>16</v>
      </c>
      <c r="F277" s="187" t="s">
        <v>17</v>
      </c>
      <c r="G277" s="187" t="s">
        <v>60</v>
      </c>
      <c r="H277" s="187"/>
      <c r="I277" s="280" t="s">
        <v>61</v>
      </c>
      <c r="J277" s="266" t="s">
        <v>62</v>
      </c>
      <c r="K277" s="274"/>
      <c r="L277" s="187"/>
      <c r="M277" s="285"/>
      <c r="N277" s="285"/>
      <c r="O277" s="285"/>
      <c r="P277" s="282"/>
      <c r="Q277" s="278"/>
      <c r="R277" s="157"/>
      <c r="S277" s="11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</row>
    <row r="278" ht="14.25" customHeight="1">
      <c r="A278" s="5"/>
      <c r="B278" s="6"/>
      <c r="C278" s="5"/>
      <c r="D278" s="274" t="s">
        <v>6</v>
      </c>
      <c r="E278" s="283">
        <f>IFERROR(__xludf.DUMMYFUNCTION("SUM(FILTER(F153:F277, ISNUMBER(SEARCH(""squat"", D153:D277))))"),8.0)</f>
        <v>8</v>
      </c>
      <c r="F278" s="284">
        <f>IFERROR(__xludf.DUMMYFUNCTION("SUMPRODUCT(FILTER(F153:F277 * G153:G277, ISNUMBER(SEARCH(""squat"", D153:D277))))"),42.0)</f>
        <v>42</v>
      </c>
      <c r="G278" s="135">
        <f>IFERROR(__xludf.DUMMYFUNCTION("ROUND(SUMPRODUCT(FILTER(F153:F277 * G153:G277 * I153:I277, ISNUMBER(SEARCH(""squat"", D153:D277)))), 0)"),16230.0)</f>
        <v>16230</v>
      </c>
      <c r="H278" s="285"/>
      <c r="I278" s="135">
        <f>IFERROR(__xludf.DUMMYFUNCTION("ROUND(AVERAGE(FILTER(I153:I277, ISNUMBER(SEARCH(""squat"", D153:D277)), I153:I277 &lt;&gt; """")) / J278 * 100, 0)"),72.0)</f>
        <v>72</v>
      </c>
      <c r="J278" s="283">
        <f>IFERROR(__xludf.DUMMYFUNCTION("IFERROR(MROUND(AVERAGE(FILTER(P153:P277, D153:D277 = ""comp squat"", P153:P277 &lt;&gt; """", P153:P277 &gt;= 0.9 * MAX(FILTER(P153:P277, D153:D277 = ""comp squat"", P153:P277 &lt;&gt; """")), P153:P277 &lt;= 1.1 * MAX(FILTER(P153:P277, D153:D277 = ""comp squat"", P153:P27"&amp;"7 &lt;&gt; """")))), 2.5), ""No valid data"")"),550.0)</f>
        <v>550</v>
      </c>
      <c r="K278" s="286"/>
      <c r="L278" s="287">
        <f>MROUND(J278/2.2046,2.5)-$O$10</f>
        <v>7.5</v>
      </c>
      <c r="M278" s="305"/>
      <c r="N278" s="305"/>
      <c r="O278" s="305"/>
      <c r="P278" s="282"/>
      <c r="Q278" s="278"/>
      <c r="R278" s="291"/>
      <c r="S278" s="11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</row>
    <row r="279" ht="3.0" customHeight="1">
      <c r="A279" s="5"/>
      <c r="B279" s="6"/>
      <c r="C279" s="5"/>
      <c r="D279" s="90"/>
      <c r="E279" s="156"/>
      <c r="F279" s="102"/>
      <c r="G279" s="145"/>
      <c r="H279" s="102"/>
      <c r="I279" s="145"/>
      <c r="J279" s="156"/>
      <c r="K279" s="286"/>
      <c r="L279" s="292"/>
      <c r="M279" s="284"/>
      <c r="N279" s="284"/>
      <c r="O279" s="305"/>
      <c r="P279" s="282"/>
      <c r="Q279" s="278"/>
      <c r="R279" s="115"/>
      <c r="S279" s="11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</row>
    <row r="280" ht="15.75" customHeight="1">
      <c r="A280" s="5"/>
      <c r="B280" s="6"/>
      <c r="C280" s="5"/>
      <c r="D280" s="274" t="s">
        <v>66</v>
      </c>
      <c r="E280" s="293">
        <f>IFERROR(__xludf.DUMMYFUNCTION("SUM(FILTER(F153:F277, ISNUMBER(SEARCH(""bench press"", D153:D277))))"),19.0)</f>
        <v>19</v>
      </c>
      <c r="F280" s="284">
        <f>IFERROR(__xludf.DUMMYFUNCTION("SUMPRODUCT(FILTER(F154:F278 * G154:G278, ISNUMBER(SEARCH(""bench press"", D154:D278))))"),69.0)</f>
        <v>69</v>
      </c>
      <c r="G280" s="135">
        <f>IFERROR(__xludf.DUMMYFUNCTION("ROUND(SUMPRODUCT(FILTER(F153:F277 * G153:G277 * I153:I277, ISNUMBER(SEARCH(""bench press"", D153:D277)))), 0)"),18135.0)</f>
        <v>18135</v>
      </c>
      <c r="H280" s="285"/>
      <c r="I280" s="135">
        <f>IFERROR(__xludf.DUMMYFUNCTION("ROUND(AVERAGE(FILTER(I153:I277, ISNUMBER(SEARCH(""bench press"", D153:D277)), I153:I277 &lt;&gt; """")) / J280 * 100, 0)"),82.0)</f>
        <v>82</v>
      </c>
      <c r="J280" s="293">
        <f>IFERROR(__xludf.DUMMYFUNCTION("IFERROR(MROUND(AVERAGE(FILTER(P153:P277, D153:D277 = ""comp bench press"", P153:P277 &lt;&gt; """", P153:P277 &gt;= 0.9 * MAX(FILTER(P153:P277, D153:D277 = ""comp bench press"", P153:P277 &lt;&gt; """")), P153:P277 &lt;= 1.1 * MAX(FILTER(P153:P277, D153:D277 = ""comp bench"&amp;" press"", P153:P277 &lt;&gt; """")))), 2.5), ""No valid data"")"),335.0)</f>
        <v>335</v>
      </c>
      <c r="K280" s="286"/>
      <c r="L280" s="294">
        <f>MROUND(J280/2.2046,2.5)-$O$11</f>
        <v>0</v>
      </c>
      <c r="M280" s="285"/>
      <c r="N280" s="285"/>
      <c r="O280" s="305"/>
      <c r="P280" s="282"/>
      <c r="Q280" s="278"/>
      <c r="R280" s="157"/>
      <c r="S280" s="11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</row>
    <row r="281" ht="3.0" customHeight="1">
      <c r="A281" s="5"/>
      <c r="B281" s="6"/>
      <c r="C281" s="5"/>
      <c r="D281" s="90"/>
      <c r="E281" s="156"/>
      <c r="F281" s="102"/>
      <c r="G281" s="145"/>
      <c r="H281" s="102"/>
      <c r="I281" s="145"/>
      <c r="J281" s="156"/>
      <c r="K281" s="286"/>
      <c r="L281" s="292"/>
      <c r="M281" s="285"/>
      <c r="N281" s="285"/>
      <c r="O281" s="284"/>
      <c r="P281" s="282"/>
      <c r="Q281" s="278"/>
      <c r="R281" s="157"/>
      <c r="S281" s="11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</row>
    <row r="282" ht="14.25" customHeight="1">
      <c r="A282" s="5"/>
      <c r="B282" s="6"/>
      <c r="C282" s="5"/>
      <c r="D282" s="274" t="s">
        <v>10</v>
      </c>
      <c r="E282" s="293">
        <f>IFERROR(__xludf.DUMMYFUNCTION("SUM(FILTER(F153:F277, ISNUMBER(SEARCH(""deadlift"", D153:D277))))"),7.0)</f>
        <v>7</v>
      </c>
      <c r="F282" s="284">
        <f>IFERROR(__xludf.DUMMYFUNCTION("SUMPRODUCT(FILTER(F153:F277 * G153:G277, ISNUMBER(SEARCH(""deadlift"", D153:D277))))"),25.0)</f>
        <v>25</v>
      </c>
      <c r="G282" s="135">
        <f>IFERROR(__xludf.DUMMYFUNCTION("ROUND(SUMPRODUCT(FILTER(F153:F277 * G153:G277 * I153:I277, ISNUMBER(SEARCH(""deadlift"", D153:D277)))), 0)"),11174.0)</f>
        <v>11174</v>
      </c>
      <c r="H282" s="285"/>
      <c r="I282" s="135">
        <f>IFERROR(__xludf.DUMMYFUNCTION("ROUND(AVERAGE(FILTER(I153:I277, ISNUMBER(SEARCH(""deadlift"", D153:D277)), I153:I277 &lt;&gt; """")) / J282 * 100, 0)"),80.0)</f>
        <v>80</v>
      </c>
      <c r="J282" s="293">
        <f>IFERROR(__xludf.DUMMYFUNCTION("IFERROR(MROUND(AVERAGE(FILTER(P153:P277, D153:D277 = ""comp deadlift"", P153:P277 &lt;&gt; """", P153:P277 &gt;= 0.9 * MAX(FILTER(P153:P277, D153:D277 = ""comp deadlift"", P153:P277 &lt;&gt; """")), P153:P277 &lt;= 1.1 * MAX(FILTER(P153:P277, D153:D277 = ""comp deadlift"","&amp;" P153:P277 &lt;&gt; """")))), 2.5), ""No valid data"")"),570.0)</f>
        <v>570</v>
      </c>
      <c r="K282" s="286"/>
      <c r="L282" s="294">
        <f>MROUND(J282/2.2046,2.5)-$O$12</f>
        <v>-7.5</v>
      </c>
      <c r="M282" s="285"/>
      <c r="N282" s="285"/>
      <c r="O282" s="285"/>
      <c r="P282" s="282"/>
      <c r="Q282" s="278"/>
      <c r="R282" s="157"/>
      <c r="S282" s="11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</row>
    <row r="283" ht="14.25" customHeight="1">
      <c r="A283" s="5"/>
      <c r="B283" s="6"/>
      <c r="C283" s="5"/>
      <c r="D283" s="274"/>
      <c r="E283" s="266"/>
      <c r="F283" s="187"/>
      <c r="G283" s="187"/>
      <c r="H283" s="187"/>
      <c r="I283" s="187"/>
      <c r="J283" s="295"/>
      <c r="K283" s="274"/>
      <c r="L283" s="187"/>
      <c r="M283" s="285"/>
      <c r="N283" s="285"/>
      <c r="O283" s="285"/>
      <c r="P283" s="282"/>
      <c r="Q283" s="278"/>
      <c r="R283" s="157"/>
      <c r="S283" s="11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</row>
    <row r="284" ht="14.25" customHeight="1">
      <c r="A284" s="5"/>
      <c r="B284" s="2"/>
      <c r="C284" s="5"/>
      <c r="D284" s="5"/>
      <c r="E284" s="75"/>
      <c r="F284" s="3"/>
      <c r="G284" s="3"/>
      <c r="H284" s="3"/>
      <c r="I284" s="3"/>
      <c r="J284" s="75"/>
      <c r="K284" s="5"/>
      <c r="L284" s="3"/>
      <c r="M284" s="47"/>
      <c r="N284" s="3"/>
      <c r="O284" s="3"/>
      <c r="P284" s="3"/>
      <c r="Q284" s="4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</row>
    <row r="285" ht="18.75" customHeight="1">
      <c r="A285" s="90"/>
      <c r="B285" s="6"/>
      <c r="C285" s="91"/>
      <c r="D285" s="79" t="s">
        <v>72</v>
      </c>
      <c r="E285" s="80" t="s">
        <v>13</v>
      </c>
      <c r="G285" s="81"/>
      <c r="H285" s="81"/>
      <c r="I285" s="81"/>
      <c r="J285" s="82"/>
      <c r="K285" s="83"/>
      <c r="L285" s="83"/>
      <c r="M285" s="93"/>
      <c r="N285" s="93"/>
      <c r="O285" s="93"/>
      <c r="P285" s="296"/>
      <c r="Q285" s="297"/>
      <c r="R285" s="298"/>
      <c r="S285" s="10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</row>
    <row r="286" ht="18.75" customHeight="1">
      <c r="A286" s="90"/>
      <c r="B286" s="6"/>
      <c r="C286" s="91"/>
      <c r="D286" s="299">
        <f>D151+1</f>
        <v>3</v>
      </c>
      <c r="E286" s="300" t="str">
        <f>IF(E151 = "", "", E151 - 1)</f>
        <v/>
      </c>
      <c r="G286" s="301"/>
      <c r="H286" s="301"/>
      <c r="I286" s="301"/>
      <c r="J286" s="92"/>
      <c r="K286" s="93"/>
      <c r="L286" s="93"/>
      <c r="M286" s="93"/>
      <c r="N286" s="93"/>
      <c r="O286" s="93"/>
      <c r="P286" s="94"/>
      <c r="Q286" s="95"/>
      <c r="R286" s="96"/>
      <c r="S286" s="10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</row>
    <row r="287" ht="5.25" customHeight="1">
      <c r="A287" s="90"/>
      <c r="B287" s="6"/>
      <c r="C287" s="90"/>
      <c r="D287" s="97"/>
      <c r="E287" s="98"/>
      <c r="F287" s="99"/>
      <c r="G287" s="99"/>
      <c r="H287" s="99"/>
      <c r="I287" s="100"/>
      <c r="J287" s="101"/>
      <c r="K287" s="90"/>
      <c r="L287" s="102"/>
      <c r="M287" s="102"/>
      <c r="N287" s="102"/>
      <c r="O287" s="102"/>
      <c r="P287" s="103"/>
      <c r="Q287" s="4"/>
      <c r="R287" s="90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</row>
    <row r="288" ht="30.75" customHeight="1">
      <c r="A288" s="90"/>
      <c r="B288" s="6"/>
      <c r="C288" s="90"/>
      <c r="D288" s="202" t="s">
        <v>73</v>
      </c>
      <c r="E288" s="105" t="s">
        <v>75</v>
      </c>
      <c r="F288" s="106" t="s">
        <v>16</v>
      </c>
      <c r="G288" s="106" t="s">
        <v>17</v>
      </c>
      <c r="H288" s="107"/>
      <c r="I288" s="106" t="s">
        <v>18</v>
      </c>
      <c r="J288" s="108" t="s">
        <v>19</v>
      </c>
      <c r="L288" s="109" t="s">
        <v>20</v>
      </c>
      <c r="M288" s="110" t="s">
        <v>21</v>
      </c>
      <c r="N288" s="111" t="s">
        <v>22</v>
      </c>
      <c r="P288" s="112"/>
      <c r="Q288" s="113" t="s">
        <v>23</v>
      </c>
      <c r="R288" s="114" t="s">
        <v>24</v>
      </c>
      <c r="S288" s="11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</row>
    <row r="289" ht="14.25" customHeight="1">
      <c r="A289" s="90"/>
      <c r="B289" s="6"/>
      <c r="C289" s="90"/>
      <c r="D289" s="116">
        <v>4.0</v>
      </c>
      <c r="E289" s="117">
        <v>2.0</v>
      </c>
      <c r="H289" s="107"/>
      <c r="N289" s="111" t="s">
        <v>27</v>
      </c>
      <c r="O289" s="111" t="s">
        <v>28</v>
      </c>
      <c r="P289" s="112" t="s">
        <v>29</v>
      </c>
      <c r="R289" s="118" t="s">
        <v>30</v>
      </c>
      <c r="S289" s="11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</row>
    <row r="290" ht="3.75" customHeight="1">
      <c r="A290" s="90"/>
      <c r="B290" s="6"/>
      <c r="C290" s="90"/>
      <c r="D290" s="97"/>
      <c r="E290" s="98"/>
      <c r="F290" s="99"/>
      <c r="G290" s="99"/>
      <c r="H290" s="99"/>
      <c r="I290" s="100"/>
      <c r="J290" s="302"/>
      <c r="K290" s="90"/>
      <c r="L290" s="102"/>
      <c r="M290" s="121"/>
      <c r="N290" s="102"/>
      <c r="O290" s="102"/>
      <c r="P290" s="122"/>
      <c r="Q290" s="4"/>
      <c r="R290" s="123"/>
      <c r="S290" s="11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</row>
    <row r="291" ht="15.75" customHeight="1">
      <c r="A291" s="124"/>
      <c r="B291" s="6"/>
      <c r="C291" s="124"/>
      <c r="D291" s="125" t="s">
        <v>77</v>
      </c>
      <c r="E291" s="126"/>
      <c r="F291" s="127">
        <v>1.0</v>
      </c>
      <c r="G291" s="240">
        <v>6.0</v>
      </c>
      <c r="H291" s="129"/>
      <c r="I291" s="130">
        <v>408.0</v>
      </c>
      <c r="J291" s="151">
        <v>6.0</v>
      </c>
      <c r="K291" s="132"/>
      <c r="L291" s="133">
        <v>6.0</v>
      </c>
      <c r="M291" s="134">
        <f>I156</f>
        <v>386</v>
      </c>
      <c r="N291" s="135">
        <f>iferror(mround($P156*((VLOOKUP($J291,Sheet1!$D:$N,$G291+1,FALSE)-0.03)),2.5)," ")</f>
        <v>0</v>
      </c>
      <c r="O291" s="135">
        <f>iferror(mround($P156*((VLOOKUP($J291,Sheet1!$D:$N,$G291+1,FALSE)+0.02)),2.5)," ")</f>
        <v>0</v>
      </c>
      <c r="P291" s="56">
        <f>iferror(mround(I291/VLOOKUP(L291,Sheet1!$D$7:$N$16,G291+1,FALSE),2.5),"")</f>
        <v>552.5</v>
      </c>
      <c r="Q291" s="303">
        <f t="shared" ref="Q291:Q312" si="6">IF(OR(ISBLANK(I291), ISBLANK(I156)), "", IF(I291 - I156 = 0, "", I291 - I156))</f>
        <v>22</v>
      </c>
      <c r="S291" s="11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</row>
    <row r="292" ht="3.75" customHeight="1">
      <c r="A292" s="137"/>
      <c r="B292" s="70"/>
      <c r="C292" s="137"/>
      <c r="D292" s="138"/>
      <c r="E292" s="139"/>
      <c r="F292" s="140"/>
      <c r="G292" s="140"/>
      <c r="H292" s="140"/>
      <c r="I292" s="140"/>
      <c r="J292" s="141"/>
      <c r="K292" s="142"/>
      <c r="L292" s="143"/>
      <c r="M292" s="144"/>
      <c r="N292" s="145"/>
      <c r="O292" s="145"/>
      <c r="P292" s="122"/>
      <c r="Q292" s="304" t="str">
        <f t="shared" si="6"/>
        <v/>
      </c>
      <c r="S292" s="147"/>
      <c r="T292" s="148"/>
      <c r="U292" s="148"/>
      <c r="V292" s="148"/>
      <c r="W292" s="148"/>
      <c r="X292" s="148"/>
      <c r="Y292" s="148"/>
      <c r="Z292" s="148"/>
      <c r="AA292" s="148"/>
      <c r="AB292" s="148"/>
      <c r="AC292" s="148"/>
      <c r="AD292" s="148"/>
      <c r="AE292" s="148"/>
      <c r="AF292" s="148"/>
      <c r="AG292" s="148"/>
    </row>
    <row r="293" ht="15.75" customHeight="1">
      <c r="A293" s="149"/>
      <c r="B293" s="150"/>
      <c r="C293" s="149"/>
      <c r="D293" s="125" t="s">
        <v>77</v>
      </c>
      <c r="E293" s="126"/>
      <c r="F293" s="127">
        <v>1.0</v>
      </c>
      <c r="G293" s="240">
        <v>6.0</v>
      </c>
      <c r="H293" s="129"/>
      <c r="I293" s="130">
        <v>435.0</v>
      </c>
      <c r="J293" s="151">
        <v>7.0</v>
      </c>
      <c r="K293" s="132"/>
      <c r="L293" s="133">
        <v>7.0</v>
      </c>
      <c r="M293" s="134">
        <f>I158</f>
        <v>419</v>
      </c>
      <c r="N293" s="135">
        <f>iferror(mround($P158*((VLOOKUP($J293,Sheet1!$D:$N,$G293+1,FALSE)-0.03)),2.5)," ")</f>
        <v>410</v>
      </c>
      <c r="O293" s="135">
        <f>iferror(mround($P158*((VLOOKUP($J293,Sheet1!$D:$N,$G293+1,FALSE)+0.02)),2.5)," ")</f>
        <v>437.5</v>
      </c>
      <c r="P293" s="56">
        <f>iferror(mround(I293/VLOOKUP(L293,Sheet1!$D$7:$N$16,G293+1,FALSE),2.5),"")</f>
        <v>567.5</v>
      </c>
      <c r="Q293" s="303">
        <f t="shared" si="6"/>
        <v>16</v>
      </c>
      <c r="S293" s="11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</row>
    <row r="294" ht="3.75" customHeight="1">
      <c r="A294" s="152"/>
      <c r="B294" s="150"/>
      <c r="C294" s="153"/>
      <c r="D294" s="138"/>
      <c r="E294" s="154"/>
      <c r="F294" s="155"/>
      <c r="G294" s="102"/>
      <c r="H294" s="102"/>
      <c r="I294" s="102"/>
      <c r="J294" s="156"/>
      <c r="K294" s="142"/>
      <c r="L294" s="143"/>
      <c r="M294" s="144"/>
      <c r="N294" s="145"/>
      <c r="O294" s="145"/>
      <c r="P294" s="122"/>
      <c r="Q294" s="304" t="str">
        <f t="shared" si="6"/>
        <v/>
      </c>
      <c r="S294" s="157"/>
      <c r="T294" s="5"/>
      <c r="U294" s="5"/>
      <c r="V294" s="158"/>
      <c r="W294" s="158"/>
      <c r="X294" s="158"/>
      <c r="Y294" s="158"/>
      <c r="Z294" s="158"/>
      <c r="AA294" s="158"/>
      <c r="AB294" s="158"/>
      <c r="AC294" s="158"/>
      <c r="AD294" s="158"/>
      <c r="AE294" s="158"/>
      <c r="AF294" s="158"/>
      <c r="AG294" s="158"/>
    </row>
    <row r="295" ht="15.75" customHeight="1">
      <c r="A295" s="149"/>
      <c r="B295" s="150"/>
      <c r="C295" s="149"/>
      <c r="D295" s="125" t="s">
        <v>77</v>
      </c>
      <c r="E295" s="126"/>
      <c r="F295" s="127">
        <v>1.0</v>
      </c>
      <c r="G295" s="161">
        <v>6.0</v>
      </c>
      <c r="H295" s="129"/>
      <c r="I295" s="164">
        <f>MROUND(I293*(1+J295),5)</f>
        <v>390</v>
      </c>
      <c r="J295" s="165">
        <v>-0.1</v>
      </c>
      <c r="K295" s="132"/>
      <c r="L295" s="133">
        <v>6.0</v>
      </c>
      <c r="M295" s="134">
        <f>I160</f>
        <v>408</v>
      </c>
      <c r="N295" s="135" t="str">
        <f>iferror(mround($P160*((VLOOKUP($J295,Sheet1!$D:$N,$G295+1,FALSE)-0.03)),2.5)," ")</f>
        <v> </v>
      </c>
      <c r="O295" s="135" t="str">
        <f>iferror(mround($P160*((VLOOKUP($J295,Sheet1!$D:$N,$G295+1,FALSE)+0.02)),2.5)," ")</f>
        <v> </v>
      </c>
      <c r="P295" s="56">
        <f>iferror(mround(I295/VLOOKUP(L295,Sheet1!$D$7:$N$16,G295+1,FALSE),2.5),"")</f>
        <v>527.5</v>
      </c>
      <c r="Q295" s="303">
        <f t="shared" si="6"/>
        <v>-18</v>
      </c>
      <c r="S295" s="11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</row>
    <row r="296" ht="3.75" customHeight="1">
      <c r="A296" s="162"/>
      <c r="B296" s="163"/>
      <c r="C296" s="162"/>
      <c r="D296" s="138"/>
      <c r="E296" s="154"/>
      <c r="F296" s="155"/>
      <c r="G296" s="102"/>
      <c r="H296" s="102"/>
      <c r="I296" s="102"/>
      <c r="J296" s="156"/>
      <c r="K296" s="142"/>
      <c r="L296" s="143"/>
      <c r="M296" s="144"/>
      <c r="N296" s="145"/>
      <c r="O296" s="145"/>
      <c r="P296" s="122"/>
      <c r="Q296" s="304" t="str">
        <f t="shared" si="6"/>
        <v/>
      </c>
      <c r="S296" s="147"/>
      <c r="T296" s="148"/>
      <c r="U296" s="148"/>
      <c r="V296" s="148"/>
      <c r="W296" s="148"/>
      <c r="X296" s="148"/>
      <c r="Y296" s="148"/>
      <c r="Z296" s="148"/>
      <c r="AA296" s="148"/>
      <c r="AB296" s="148"/>
      <c r="AC296" s="148"/>
      <c r="AD296" s="148"/>
      <c r="AE296" s="148"/>
      <c r="AF296" s="148"/>
      <c r="AG296" s="148"/>
    </row>
    <row r="297" ht="15.75" customHeight="1">
      <c r="A297" s="149"/>
      <c r="B297" s="150"/>
      <c r="C297" s="149"/>
      <c r="D297" s="159" t="s">
        <v>33</v>
      </c>
      <c r="E297" s="160" t="s">
        <v>34</v>
      </c>
      <c r="F297" s="127">
        <v>1.0</v>
      </c>
      <c r="G297" s="161">
        <v>5.0</v>
      </c>
      <c r="H297" s="129"/>
      <c r="I297" s="130">
        <v>275.0</v>
      </c>
      <c r="J297" s="151">
        <v>7.5</v>
      </c>
      <c r="K297" s="132"/>
      <c r="L297" s="133">
        <v>7.5</v>
      </c>
      <c r="M297" s="134">
        <f>I162</f>
        <v>265</v>
      </c>
      <c r="N297" s="135">
        <f>iferror(mround($P162*((VLOOKUP($J297,Sheet1!$D:$N,$G297+1,FALSE)-0.03)),2.5)," ")</f>
        <v>260</v>
      </c>
      <c r="O297" s="135">
        <f>iferror(mround($P162*((VLOOKUP($J297,Sheet1!$D:$N,$G297+1,FALSE)+0.02)),2.5)," ")</f>
        <v>275</v>
      </c>
      <c r="P297" s="56">
        <f>iferror(mround(I297/VLOOKUP(L297,Sheet1!$D$7:$N$16,G297+1,FALSE),2.5),"")</f>
        <v>342.5</v>
      </c>
      <c r="Q297" s="303">
        <f t="shared" si="6"/>
        <v>10</v>
      </c>
      <c r="S297" s="11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</row>
    <row r="298" ht="3.75" customHeight="1">
      <c r="A298" s="162"/>
      <c r="B298" s="163"/>
      <c r="C298" s="162"/>
      <c r="D298" s="138"/>
      <c r="E298" s="139"/>
      <c r="F298" s="140"/>
      <c r="G298" s="140"/>
      <c r="H298" s="140"/>
      <c r="I298" s="140"/>
      <c r="J298" s="141"/>
      <c r="K298" s="142"/>
      <c r="L298" s="143"/>
      <c r="M298" s="144"/>
      <c r="N298" s="145"/>
      <c r="O298" s="145"/>
      <c r="P298" s="122"/>
      <c r="Q298" s="304" t="str">
        <f t="shared" si="6"/>
        <v/>
      </c>
      <c r="S298" s="147"/>
      <c r="T298" s="148"/>
      <c r="U298" s="148"/>
      <c r="V298" s="148"/>
      <c r="W298" s="148"/>
      <c r="X298" s="148"/>
      <c r="Y298" s="148"/>
      <c r="Z298" s="148"/>
      <c r="AA298" s="148"/>
      <c r="AB298" s="148"/>
      <c r="AC298" s="148"/>
      <c r="AD298" s="148"/>
      <c r="AE298" s="148"/>
      <c r="AF298" s="148"/>
      <c r="AG298" s="148"/>
    </row>
    <row r="299" ht="15.75" customHeight="1">
      <c r="A299" s="90"/>
      <c r="B299" s="6"/>
      <c r="C299" s="90"/>
      <c r="D299" s="159" t="s">
        <v>33</v>
      </c>
      <c r="E299" s="160" t="s">
        <v>34</v>
      </c>
      <c r="F299" s="127">
        <v>3.0</v>
      </c>
      <c r="G299" s="161">
        <v>5.0</v>
      </c>
      <c r="H299" s="129"/>
      <c r="I299" s="164">
        <f>MROUND(I297*(1+J299),5)</f>
        <v>250</v>
      </c>
      <c r="J299" s="165">
        <v>-0.1</v>
      </c>
      <c r="K299" s="132"/>
      <c r="L299" s="133">
        <v>7.0</v>
      </c>
      <c r="M299" s="134">
        <f>I164</f>
        <v>240</v>
      </c>
      <c r="N299" s="135" t="str">
        <f>iferror(mround($P164*((VLOOKUP($J299,Sheet1!$D:$N,$G299+1,FALSE)-0.03)),2.5)," ")</f>
        <v> </v>
      </c>
      <c r="O299" s="135" t="str">
        <f>iferror(mround($P164*((VLOOKUP($J299,Sheet1!$D:$N,$G299+1,FALSE)+0.02)),2.5)," ")</f>
        <v> </v>
      </c>
      <c r="P299" s="56">
        <f>iferror(mround(I299/VLOOKUP(L299,Sheet1!$D$7:$N$16,G299+1,FALSE),2.5),"")</f>
        <v>317.5</v>
      </c>
      <c r="Q299" s="303">
        <f t="shared" si="6"/>
        <v>10</v>
      </c>
      <c r="S299" s="11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</row>
    <row r="300" ht="3.75" customHeight="1">
      <c r="A300" s="168"/>
      <c r="B300" s="70"/>
      <c r="C300" s="168"/>
      <c r="D300" s="138"/>
      <c r="E300" s="139"/>
      <c r="F300" s="102"/>
      <c r="G300" s="102"/>
      <c r="H300" s="102"/>
      <c r="I300" s="102"/>
      <c r="J300" s="156"/>
      <c r="K300" s="142"/>
      <c r="L300" s="143"/>
      <c r="M300" s="144"/>
      <c r="N300" s="145"/>
      <c r="O300" s="145"/>
      <c r="P300" s="122"/>
      <c r="Q300" s="304" t="str">
        <f t="shared" si="6"/>
        <v/>
      </c>
      <c r="S300" s="147"/>
      <c r="T300" s="148"/>
      <c r="U300" s="148"/>
      <c r="V300" s="148"/>
      <c r="W300" s="148"/>
      <c r="X300" s="148"/>
      <c r="Y300" s="148"/>
      <c r="Z300" s="148"/>
      <c r="AA300" s="148"/>
      <c r="AB300" s="148"/>
      <c r="AC300" s="148"/>
      <c r="AD300" s="148"/>
      <c r="AE300" s="148"/>
      <c r="AF300" s="148"/>
      <c r="AG300" s="148"/>
    </row>
    <row r="301" ht="15.75" customHeight="1">
      <c r="A301" s="90"/>
      <c r="B301" s="6"/>
      <c r="C301" s="90"/>
      <c r="D301" s="166" t="s">
        <v>35</v>
      </c>
      <c r="E301" s="167" t="s">
        <v>79</v>
      </c>
      <c r="F301" s="127">
        <v>2.0</v>
      </c>
      <c r="G301" s="161">
        <v>7.0</v>
      </c>
      <c r="H301" s="129"/>
      <c r="I301" s="130">
        <v>260.0</v>
      </c>
      <c r="J301" s="151">
        <v>8.0</v>
      </c>
      <c r="K301" s="170" t="s">
        <v>80</v>
      </c>
      <c r="L301" s="133">
        <v>8.0</v>
      </c>
      <c r="M301" s="134">
        <f>I166</f>
        <v>253</v>
      </c>
      <c r="N301" s="135">
        <f>iferror(mround($P166*((VLOOKUP($J301,Sheet1!$D:$N,$G301+1,FALSE)-0.03)),2.5)," ")</f>
        <v>242.5</v>
      </c>
      <c r="O301" s="135">
        <f>iferror(mround($P166*((VLOOKUP($J301,Sheet1!$D:$N,$G301+1,FALSE)+0.02)),2.5)," ")</f>
        <v>260</v>
      </c>
      <c r="P301" s="56">
        <f>iferror(mround(I301/VLOOKUP(L301,Sheet1!$D$7:$N$16,G301+1,FALSE),2.5),"")</f>
        <v>340</v>
      </c>
      <c r="Q301" s="303">
        <f t="shared" si="6"/>
        <v>7</v>
      </c>
      <c r="S301" s="11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</row>
    <row r="302" ht="3.75" customHeight="1">
      <c r="A302" s="90"/>
      <c r="B302" s="6"/>
      <c r="C302" s="90"/>
      <c r="D302" s="171"/>
      <c r="E302" s="172"/>
      <c r="F302" s="173"/>
      <c r="G302" s="173"/>
      <c r="H302" s="173"/>
      <c r="I302" s="173"/>
      <c r="J302" s="174"/>
      <c r="K302" s="142"/>
      <c r="L302" s="143"/>
      <c r="M302" s="144"/>
      <c r="N302" s="145"/>
      <c r="O302" s="145"/>
      <c r="P302" s="122"/>
      <c r="Q302" s="304" t="str">
        <f t="shared" si="6"/>
        <v/>
      </c>
      <c r="S302" s="11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</row>
    <row r="303" ht="15.75" customHeight="1">
      <c r="A303" s="90"/>
      <c r="B303" s="6"/>
      <c r="C303" s="90"/>
      <c r="D303" s="166" t="s">
        <v>37</v>
      </c>
      <c r="E303" s="160" t="s">
        <v>81</v>
      </c>
      <c r="F303" s="127">
        <v>3.0</v>
      </c>
      <c r="G303" s="169">
        <v>45577.0</v>
      </c>
      <c r="H303" s="129"/>
      <c r="I303" s="130">
        <v>410.0</v>
      </c>
      <c r="J303" s="151">
        <v>8.0</v>
      </c>
      <c r="K303" s="132"/>
      <c r="L303" s="183"/>
      <c r="M303" s="134">
        <f>I168</f>
        <v>400</v>
      </c>
      <c r="N303" s="135" t="str">
        <f>iferror(mround($P168*((VLOOKUP($J303,Sheet1!$D:$N,$G303+1,FALSE)-0.03)),2.5)," ")</f>
        <v> </v>
      </c>
      <c r="O303" s="135" t="str">
        <f>iferror(mround($P168*((VLOOKUP($J303,Sheet1!$D:$N,$G303+1,FALSE)+0.02)),2.5)," ")</f>
        <v> </v>
      </c>
      <c r="P303" s="56" t="str">
        <f>iferror(mround(I303/VLOOKUP(L303,Sheet1!$D$7:$N$16,G303+1,FALSE),2.5),"")</f>
        <v/>
      </c>
      <c r="Q303" s="303">
        <f t="shared" si="6"/>
        <v>10</v>
      </c>
      <c r="S303" s="11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</row>
    <row r="304" ht="3.75" customHeight="1">
      <c r="A304" s="90"/>
      <c r="B304" s="6"/>
      <c r="C304" s="90"/>
      <c r="D304" s="171"/>
      <c r="E304" s="172"/>
      <c r="F304" s="173"/>
      <c r="G304" s="173"/>
      <c r="H304" s="173"/>
      <c r="I304" s="173"/>
      <c r="J304" s="174"/>
      <c r="K304" s="142"/>
      <c r="L304" s="143"/>
      <c r="M304" s="144"/>
      <c r="N304" s="145"/>
      <c r="O304" s="145"/>
      <c r="P304" s="122"/>
      <c r="Q304" s="304" t="str">
        <f t="shared" si="6"/>
        <v/>
      </c>
      <c r="S304" s="11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</row>
    <row r="305" ht="15.75" hidden="1" customHeight="1">
      <c r="A305" s="90"/>
      <c r="B305" s="6"/>
      <c r="C305" s="90"/>
      <c r="D305" s="175" t="s">
        <v>40</v>
      </c>
      <c r="E305" s="176"/>
      <c r="F305" s="177">
        <v>3.0</v>
      </c>
      <c r="G305" s="178" t="s">
        <v>41</v>
      </c>
      <c r="H305" s="179"/>
      <c r="I305" s="180"/>
      <c r="J305" s="181">
        <v>8.0</v>
      </c>
      <c r="K305" s="182"/>
      <c r="L305" s="183"/>
      <c r="M305" s="134" t="str">
        <f>I170</f>
        <v/>
      </c>
      <c r="N305" s="135" t="str">
        <f>iferror(mround($P170*((VLOOKUP($J305,Sheet1!$D:$N,$G305+1,FALSE)-0.03)),2.5)," ")</f>
        <v> </v>
      </c>
      <c r="O305" s="135" t="str">
        <f>iferror(mround($P170*((VLOOKUP($J305,Sheet1!$D:$N,$G305+1,FALSE)+0.02)),2.5)," ")</f>
        <v> </v>
      </c>
      <c r="P305" s="56" t="str">
        <f>iferror(mround(I305/VLOOKUP(L305,Sheet1!$D$7:$N$16,G305+1,FALSE),2.5),"")</f>
        <v/>
      </c>
      <c r="Q305" s="303" t="str">
        <f t="shared" si="6"/>
        <v/>
      </c>
      <c r="S305" s="11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</row>
    <row r="306" ht="3.75" hidden="1" customHeight="1">
      <c r="A306" s="90"/>
      <c r="B306" s="6"/>
      <c r="C306" s="90"/>
      <c r="D306" s="138"/>
      <c r="E306" s="184"/>
      <c r="F306" s="102"/>
      <c r="G306" s="102"/>
      <c r="H306" s="102"/>
      <c r="I306" s="102"/>
      <c r="J306" s="156"/>
      <c r="K306" s="103"/>
      <c r="L306" s="143"/>
      <c r="M306" s="144"/>
      <c r="N306" s="145"/>
      <c r="O306" s="145"/>
      <c r="P306" s="122"/>
      <c r="Q306" s="304" t="str">
        <f t="shared" si="6"/>
        <v/>
      </c>
      <c r="S306" s="11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</row>
    <row r="307" ht="15.75" hidden="1" customHeight="1">
      <c r="A307" s="90"/>
      <c r="B307" s="6"/>
      <c r="C307" s="90"/>
      <c r="D307" s="185"/>
      <c r="E307" s="186"/>
      <c r="F307" s="187"/>
      <c r="G307" s="188"/>
      <c r="H307" s="129"/>
      <c r="I307" s="164"/>
      <c r="J307" s="189"/>
      <c r="K307" s="190"/>
      <c r="L307" s="183"/>
      <c r="M307" s="134" t="str">
        <f>I172</f>
        <v/>
      </c>
      <c r="N307" s="135" t="str">
        <f>iferror(mround($P172*((VLOOKUP($J307,Sheet1!$D:$N,$G307+1,FALSE)-0.03)),2.5)," ")</f>
        <v> </v>
      </c>
      <c r="O307" s="135" t="str">
        <f>iferror(mround($P172*((VLOOKUP($J307,Sheet1!$D:$N,$G307+1,FALSE)+0.02)),2.5)," ")</f>
        <v> </v>
      </c>
      <c r="P307" s="56" t="str">
        <f>iferror(mround(I307/VLOOKUP(L307,Sheet1!$D$7:$N$16,G307+1,FALSE),2.5),"")</f>
        <v/>
      </c>
      <c r="Q307" s="303" t="str">
        <f t="shared" si="6"/>
        <v/>
      </c>
      <c r="S307" s="11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</row>
    <row r="308" ht="3.75" hidden="1" customHeight="1">
      <c r="A308" s="191"/>
      <c r="B308" s="6"/>
      <c r="C308" s="192"/>
      <c r="D308" s="138"/>
      <c r="E308" s="193"/>
      <c r="F308" s="194"/>
      <c r="G308" s="155"/>
      <c r="H308" s="102"/>
      <c r="I308" s="102"/>
      <c r="J308" s="156"/>
      <c r="K308" s="103"/>
      <c r="L308" s="143"/>
      <c r="M308" s="144"/>
      <c r="N308" s="145"/>
      <c r="O308" s="145"/>
      <c r="P308" s="122"/>
      <c r="Q308" s="304" t="str">
        <f t="shared" si="6"/>
        <v/>
      </c>
      <c r="S308" s="157"/>
      <c r="T308" s="5"/>
      <c r="U308" s="5"/>
      <c r="V308" s="158"/>
      <c r="W308" s="158"/>
      <c r="X308" s="158"/>
      <c r="Y308" s="158"/>
      <c r="Z308" s="158"/>
      <c r="AA308" s="158"/>
      <c r="AB308" s="158"/>
      <c r="AC308" s="158"/>
      <c r="AD308" s="158"/>
      <c r="AE308" s="158"/>
      <c r="AF308" s="158"/>
      <c r="AG308" s="158"/>
    </row>
    <row r="309" ht="15.75" hidden="1" customHeight="1">
      <c r="A309" s="90"/>
      <c r="B309" s="6"/>
      <c r="C309" s="90"/>
      <c r="D309" s="185"/>
      <c r="E309" s="186"/>
      <c r="F309" s="187"/>
      <c r="G309" s="195"/>
      <c r="H309" s="129"/>
      <c r="I309" s="164"/>
      <c r="J309" s="189"/>
      <c r="K309" s="190"/>
      <c r="L309" s="183"/>
      <c r="M309" s="134" t="str">
        <f>I174</f>
        <v/>
      </c>
      <c r="N309" s="135" t="str">
        <f>iferror(mround($P174*((VLOOKUP($J309,Sheet1!$D:$N,$G309+1,FALSE)-0.03)),2.5)," ")</f>
        <v> </v>
      </c>
      <c r="O309" s="135" t="str">
        <f>iferror(mround($P174*((VLOOKUP($J309,Sheet1!$D:$N,$G309+1,FALSE)+0.02)),2.5)," ")</f>
        <v> </v>
      </c>
      <c r="P309" s="56" t="str">
        <f>iferror(mround(I309/VLOOKUP(L309,Sheet1!$D$7:$N$16,G309+1,FALSE),2.5),"")</f>
        <v/>
      </c>
      <c r="Q309" s="303" t="str">
        <f t="shared" si="6"/>
        <v/>
      </c>
      <c r="S309" s="11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</row>
    <row r="310" ht="3.75" hidden="1" customHeight="1">
      <c r="A310" s="90"/>
      <c r="B310" s="6"/>
      <c r="C310" s="90"/>
      <c r="D310" s="196"/>
      <c r="E310" s="184"/>
      <c r="F310" s="102"/>
      <c r="G310" s="102"/>
      <c r="H310" s="102"/>
      <c r="I310" s="102"/>
      <c r="J310" s="156"/>
      <c r="K310" s="103"/>
      <c r="L310" s="143"/>
      <c r="M310" s="144"/>
      <c r="N310" s="145"/>
      <c r="O310" s="145"/>
      <c r="P310" s="122"/>
      <c r="Q310" s="304" t="str">
        <f t="shared" si="6"/>
        <v/>
      </c>
      <c r="S310" s="11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</row>
    <row r="311" ht="15.75" hidden="1" customHeight="1">
      <c r="A311" s="90"/>
      <c r="B311" s="6"/>
      <c r="C311" s="90"/>
      <c r="D311" s="197"/>
      <c r="E311" s="198"/>
      <c r="F311" s="199"/>
      <c r="G311" s="195"/>
      <c r="H311" s="129"/>
      <c r="I311" s="164"/>
      <c r="J311" s="189"/>
      <c r="K311" s="190"/>
      <c r="L311" s="183"/>
      <c r="M311" s="134" t="str">
        <f>I176</f>
        <v/>
      </c>
      <c r="N311" s="135" t="str">
        <f>iferror(mround($P176*((VLOOKUP($J311,Sheet1!$D:$N,$G311+1,FALSE)-0.03)),2.5)," ")</f>
        <v> </v>
      </c>
      <c r="O311" s="135" t="str">
        <f>iferror(mround($P176*((VLOOKUP($J311,Sheet1!$D:$N,$G311+1,FALSE)+0.02)),2.5)," ")</f>
        <v> </v>
      </c>
      <c r="P311" s="56" t="str">
        <f>iferror(mround(I311/VLOOKUP(L311,Sheet1!$D$7:$N$16,G311+1,FALSE),2.5),"")</f>
        <v/>
      </c>
      <c r="Q311" s="303" t="str">
        <f t="shared" si="6"/>
        <v/>
      </c>
      <c r="S311" s="11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</row>
    <row r="312" ht="3.75" customHeight="1">
      <c r="A312" s="90"/>
      <c r="B312" s="6"/>
      <c r="C312" s="90"/>
      <c r="D312" s="90"/>
      <c r="E312" s="156"/>
      <c r="F312" s="102"/>
      <c r="G312" s="102"/>
      <c r="H312" s="102"/>
      <c r="I312" s="102"/>
      <c r="J312" s="156"/>
      <c r="K312" s="200"/>
      <c r="L312" s="201"/>
      <c r="M312" s="144"/>
      <c r="N312" s="47"/>
      <c r="O312" s="47"/>
      <c r="P312" s="122"/>
      <c r="Q312" s="304" t="str">
        <f t="shared" si="6"/>
        <v/>
      </c>
      <c r="S312" s="11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</row>
    <row r="313" ht="30.0" customHeight="1">
      <c r="A313" s="90"/>
      <c r="B313" s="6"/>
      <c r="C313" s="90"/>
      <c r="D313" s="202" t="s">
        <v>42</v>
      </c>
      <c r="E313" s="105" t="s">
        <v>15</v>
      </c>
      <c r="F313" s="106" t="s">
        <v>16</v>
      </c>
      <c r="G313" s="106" t="s">
        <v>17</v>
      </c>
      <c r="H313" s="107"/>
      <c r="I313" s="106" t="s">
        <v>18</v>
      </c>
      <c r="J313" s="108" t="s">
        <v>19</v>
      </c>
      <c r="L313" s="109" t="s">
        <v>20</v>
      </c>
      <c r="M313" s="110" t="s">
        <v>21</v>
      </c>
      <c r="N313" s="111" t="s">
        <v>22</v>
      </c>
      <c r="P313" s="112"/>
      <c r="Q313" s="113" t="s">
        <v>23</v>
      </c>
      <c r="R313" s="114" t="s">
        <v>43</v>
      </c>
      <c r="S313" s="11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</row>
    <row r="314" ht="14.25" customHeight="1">
      <c r="A314" s="90"/>
      <c r="B314" s="6"/>
      <c r="C314" s="90"/>
      <c r="D314" s="116" t="s">
        <v>25</v>
      </c>
      <c r="E314" s="117">
        <v>2.0</v>
      </c>
      <c r="H314" s="107"/>
      <c r="N314" s="111" t="s">
        <v>27</v>
      </c>
      <c r="O314" s="111" t="s">
        <v>28</v>
      </c>
      <c r="P314" s="112" t="s">
        <v>29</v>
      </c>
      <c r="R314" s="118" t="s">
        <v>30</v>
      </c>
      <c r="S314" s="11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</row>
    <row r="315" ht="3.75" customHeight="1">
      <c r="A315" s="191"/>
      <c r="B315" s="6"/>
      <c r="C315" s="192"/>
      <c r="D315" s="203"/>
      <c r="E315" s="204"/>
      <c r="F315" s="205"/>
      <c r="G315" s="205"/>
      <c r="H315" s="206"/>
      <c r="I315" s="207"/>
      <c r="J315" s="208"/>
      <c r="K315" s="209"/>
      <c r="L315" s="210"/>
      <c r="M315" s="211"/>
      <c r="N315" s="47"/>
      <c r="O315" s="47"/>
      <c r="P315" s="122"/>
      <c r="Q315" s="304" t="str">
        <f t="shared" ref="Q315:Q337" si="7">IF(OR(ISBLANK(I315), ISBLANK(I180)), "", IF(I315 - I180 = 0, "", I315 - I180))</f>
        <v/>
      </c>
      <c r="R315" s="212"/>
      <c r="S315" s="157"/>
      <c r="T315" s="5"/>
      <c r="U315" s="5"/>
      <c r="V315" s="158"/>
      <c r="W315" s="158"/>
      <c r="X315" s="158"/>
      <c r="Y315" s="158"/>
      <c r="Z315" s="158"/>
      <c r="AA315" s="158"/>
      <c r="AB315" s="158"/>
      <c r="AC315" s="158"/>
      <c r="AD315" s="158"/>
      <c r="AE315" s="158"/>
      <c r="AF315" s="158"/>
      <c r="AG315" s="158"/>
    </row>
    <row r="316" ht="15.75" customHeight="1">
      <c r="A316" s="124"/>
      <c r="B316" s="6"/>
      <c r="C316" s="124"/>
      <c r="D316" s="159" t="s">
        <v>83</v>
      </c>
      <c r="E316" s="167" t="s">
        <v>84</v>
      </c>
      <c r="F316" s="127">
        <v>3.0</v>
      </c>
      <c r="G316" s="127">
        <v>3.0</v>
      </c>
      <c r="H316" s="195"/>
      <c r="I316" s="130">
        <v>457.0</v>
      </c>
      <c r="J316" s="151">
        <v>6.0</v>
      </c>
      <c r="K316" s="213"/>
      <c r="L316" s="133">
        <v>6.5</v>
      </c>
      <c r="M316" s="134">
        <f>I181</f>
        <v>446</v>
      </c>
      <c r="N316" s="135">
        <f>iferror(mround($P181*((VLOOKUP($J316,Sheet1!$D:$N,$G316+1,FALSE)-0.03)),2.5)," ")</f>
        <v>430</v>
      </c>
      <c r="O316" s="135">
        <f>iferror(mround($P181*((VLOOKUP($J316,Sheet1!$D:$N,$G316+1,FALSE)+0.02)),2.5)," ")</f>
        <v>457.5</v>
      </c>
      <c r="P316" s="112">
        <f>iferror(mround(I316/VLOOKUP(L316,Sheet1!$D$7:$N$16,G316+1,FALSE),2.5),"")</f>
        <v>552.5</v>
      </c>
      <c r="Q316" s="303">
        <f t="shared" si="7"/>
        <v>11</v>
      </c>
      <c r="R316" s="214"/>
      <c r="S316" s="11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</row>
    <row r="317" ht="3.75" customHeight="1">
      <c r="A317" s="124"/>
      <c r="B317" s="6"/>
      <c r="C317" s="124"/>
      <c r="D317" s="138"/>
      <c r="E317" s="215"/>
      <c r="F317" s="102"/>
      <c r="G317" s="102"/>
      <c r="H317" s="102"/>
      <c r="I317" s="102"/>
      <c r="J317" s="216"/>
      <c r="K317" s="217"/>
      <c r="L317" s="218"/>
      <c r="M317" s="144"/>
      <c r="N317" s="145"/>
      <c r="O317" s="145"/>
      <c r="P317" s="122"/>
      <c r="Q317" s="304" t="str">
        <f t="shared" si="7"/>
        <v/>
      </c>
      <c r="R317" s="214"/>
      <c r="S317" s="11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</row>
    <row r="318" ht="15.75" customHeight="1">
      <c r="A318" s="90"/>
      <c r="B318" s="6"/>
      <c r="C318" s="90"/>
      <c r="D318" s="159" t="s">
        <v>33</v>
      </c>
      <c r="E318" s="167"/>
      <c r="F318" s="127">
        <v>1.0</v>
      </c>
      <c r="G318" s="127">
        <v>2.0</v>
      </c>
      <c r="H318" s="195"/>
      <c r="I318" s="130">
        <v>308.0</v>
      </c>
      <c r="J318" s="151">
        <v>8.0</v>
      </c>
      <c r="K318" s="219" t="s">
        <v>85</v>
      </c>
      <c r="L318" s="133">
        <v>8.0</v>
      </c>
      <c r="M318" s="134">
        <f>I183</f>
        <v>303</v>
      </c>
      <c r="N318" s="135">
        <f>iferror(mround($P183*((VLOOKUP($J318,Sheet1!$D:$N,$G318+1,FALSE)-0.03)),2.5)," ")</f>
        <v>292.5</v>
      </c>
      <c r="O318" s="135">
        <f>iferror(mround($P183*((VLOOKUP($J318,Sheet1!$D:$N,$G318+1,FALSE)+0.02)),2.5)," ")</f>
        <v>310</v>
      </c>
      <c r="P318" s="112">
        <f>iferror(mround(I318/VLOOKUP(L318,Sheet1!$D$7:$N$16,G318+1,FALSE),2.5),"")</f>
        <v>345</v>
      </c>
      <c r="Q318" s="303">
        <f t="shared" si="7"/>
        <v>5</v>
      </c>
      <c r="R318" s="214"/>
      <c r="S318" s="11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</row>
    <row r="319" ht="3.75" customHeight="1">
      <c r="A319" s="90"/>
      <c r="B319" s="6"/>
      <c r="C319" s="90"/>
      <c r="D319" s="138"/>
      <c r="E319" s="215"/>
      <c r="F319" s="102"/>
      <c r="G319" s="102"/>
      <c r="H319" s="102"/>
      <c r="I319" s="102"/>
      <c r="J319" s="216"/>
      <c r="K319" s="217"/>
      <c r="L319" s="218"/>
      <c r="M319" s="144"/>
      <c r="N319" s="145"/>
      <c r="O319" s="145"/>
      <c r="P319" s="122"/>
      <c r="Q319" s="304" t="str">
        <f t="shared" si="7"/>
        <v/>
      </c>
      <c r="R319" s="214"/>
      <c r="S319" s="11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</row>
    <row r="320" ht="15.75" customHeight="1">
      <c r="A320" s="90"/>
      <c r="B320" s="6"/>
      <c r="C320" s="90"/>
      <c r="D320" s="159" t="s">
        <v>33</v>
      </c>
      <c r="E320" s="167"/>
      <c r="F320" s="127">
        <v>3.0</v>
      </c>
      <c r="G320" s="161">
        <v>3.0</v>
      </c>
      <c r="H320" s="195"/>
      <c r="I320" s="164">
        <f>MROUND(I318*(1+J320),5)</f>
        <v>285</v>
      </c>
      <c r="J320" s="165">
        <v>-0.08</v>
      </c>
      <c r="K320" s="219"/>
      <c r="L320" s="133">
        <v>8.0</v>
      </c>
      <c r="M320" s="134">
        <f>I185</f>
        <v>280</v>
      </c>
      <c r="N320" s="135" t="str">
        <f>iferror(mround($P185*((VLOOKUP($J320,Sheet1!$D:$N,$G320+1,FALSE)-0.03)),2.5)," ")</f>
        <v> </v>
      </c>
      <c r="O320" s="135" t="str">
        <f>iferror(mround($P185*((VLOOKUP($J320,Sheet1!$D:$N,$G320+1,FALSE)+0.02)),2.5)," ")</f>
        <v> </v>
      </c>
      <c r="P320" s="112">
        <f>iferror(mround(I320/VLOOKUP(L320,Sheet1!$D$7:$N$16,G320+1,FALSE),2.5),"")</f>
        <v>330</v>
      </c>
      <c r="Q320" s="303">
        <f t="shared" si="7"/>
        <v>5</v>
      </c>
      <c r="R320" s="214"/>
      <c r="S320" s="11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</row>
    <row r="321" ht="3.75" customHeight="1">
      <c r="A321" s="90"/>
      <c r="B321" s="6"/>
      <c r="C321" s="90"/>
      <c r="D321" s="138"/>
      <c r="E321" s="215"/>
      <c r="F321" s="102"/>
      <c r="G321" s="102"/>
      <c r="H321" s="102"/>
      <c r="I321" s="102"/>
      <c r="J321" s="156"/>
      <c r="K321" s="217"/>
      <c r="L321" s="143"/>
      <c r="M321" s="144"/>
      <c r="N321" s="145"/>
      <c r="O321" s="145"/>
      <c r="P321" s="122"/>
      <c r="Q321" s="304" t="str">
        <f t="shared" si="7"/>
        <v/>
      </c>
      <c r="R321" s="214"/>
      <c r="S321" s="11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</row>
    <row r="322" ht="15.75" customHeight="1">
      <c r="A322" s="90"/>
      <c r="B322" s="6"/>
      <c r="C322" s="90"/>
      <c r="D322" s="159" t="s">
        <v>86</v>
      </c>
      <c r="E322" s="167" t="s">
        <v>87</v>
      </c>
      <c r="F322" s="127">
        <v>3.0</v>
      </c>
      <c r="G322" s="169">
        <v>45577.0</v>
      </c>
      <c r="H322" s="195"/>
      <c r="I322" s="130">
        <v>140.0</v>
      </c>
      <c r="J322" s="151">
        <v>8.0</v>
      </c>
      <c r="K322" s="213"/>
      <c r="L322" s="133">
        <v>8.0</v>
      </c>
      <c r="M322" s="134">
        <f>I187</f>
        <v>130</v>
      </c>
      <c r="N322" s="135" t="str">
        <f>iferror(mround($P187*((VLOOKUP($J322,Sheet1!$D:$N,$G322+1,FALSE)-0.03)),2.5)," ")</f>
        <v> </v>
      </c>
      <c r="O322" s="135" t="str">
        <f>iferror(mround($P187*((VLOOKUP($J322,Sheet1!$D:$N,$G322+1,FALSE)+0.02)),2.5)," ")</f>
        <v> </v>
      </c>
      <c r="P322" s="112" t="str">
        <f>iferror(mround(I322/VLOOKUP(L322,Sheet1!$D$7:$N$16,G322+1,FALSE),2.5),"")</f>
        <v/>
      </c>
      <c r="Q322" s="303">
        <f t="shared" si="7"/>
        <v>10</v>
      </c>
      <c r="R322" s="214"/>
      <c r="S322" s="11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</row>
    <row r="323" ht="3.75" customHeight="1">
      <c r="A323" s="90"/>
      <c r="B323" s="6"/>
      <c r="C323" s="90"/>
      <c r="D323" s="138"/>
      <c r="E323" s="215"/>
      <c r="F323" s="102"/>
      <c r="G323" s="102"/>
      <c r="H323" s="102"/>
      <c r="I323" s="102"/>
      <c r="J323" s="156"/>
      <c r="K323" s="217"/>
      <c r="L323" s="143"/>
      <c r="M323" s="144"/>
      <c r="N323" s="145"/>
      <c r="O323" s="145"/>
      <c r="P323" s="122"/>
      <c r="Q323" s="304" t="str">
        <f t="shared" si="7"/>
        <v/>
      </c>
      <c r="R323" s="214"/>
      <c r="S323" s="11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</row>
    <row r="324" ht="15.75" customHeight="1">
      <c r="A324" s="90"/>
      <c r="B324" s="6"/>
      <c r="C324" s="90"/>
      <c r="D324" s="159" t="s">
        <v>88</v>
      </c>
      <c r="E324" s="220"/>
      <c r="F324" s="127">
        <v>3.0</v>
      </c>
      <c r="G324" s="221">
        <v>45641.0</v>
      </c>
      <c r="H324" s="195"/>
      <c r="I324" s="130">
        <v>32.5</v>
      </c>
      <c r="J324" s="151">
        <v>9.0</v>
      </c>
      <c r="K324" s="213"/>
      <c r="L324" s="133">
        <v>9.0</v>
      </c>
      <c r="M324" s="134">
        <f>I189</f>
        <v>30</v>
      </c>
      <c r="N324" s="135" t="str">
        <f>iferror(mround($P189*((VLOOKUP($J324,Sheet1!$D:$N,$G324+1,FALSE)-0.03)),2.5)," ")</f>
        <v> </v>
      </c>
      <c r="O324" s="135" t="str">
        <f>iferror(mround($P189*((VLOOKUP($J324,Sheet1!$D:$N,$G324+1,FALSE)+0.02)),2.5)," ")</f>
        <v> </v>
      </c>
      <c r="P324" s="112" t="str">
        <f>iferror(mround(I324/VLOOKUP(L324,Sheet1!$D$7:$N$16,G324+1,FALSE),2.5),"")</f>
        <v/>
      </c>
      <c r="Q324" s="303">
        <f t="shared" si="7"/>
        <v>2.5</v>
      </c>
      <c r="R324" s="214"/>
      <c r="S324" s="11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</row>
    <row r="325" ht="3.75" customHeight="1">
      <c r="A325" s="90"/>
      <c r="B325" s="6"/>
      <c r="C325" s="90"/>
      <c r="D325" s="138"/>
      <c r="E325" s="215"/>
      <c r="F325" s="102"/>
      <c r="G325" s="102"/>
      <c r="H325" s="102"/>
      <c r="I325" s="102"/>
      <c r="J325" s="156"/>
      <c r="K325" s="217"/>
      <c r="L325" s="143"/>
      <c r="M325" s="144"/>
      <c r="N325" s="145"/>
      <c r="O325" s="145"/>
      <c r="P325" s="122"/>
      <c r="Q325" s="304" t="str">
        <f t="shared" si="7"/>
        <v/>
      </c>
      <c r="R325" s="214"/>
      <c r="S325" s="11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</row>
    <row r="326" ht="15.75" customHeight="1">
      <c r="A326" s="90"/>
      <c r="B326" s="6"/>
      <c r="C326" s="90"/>
      <c r="D326" s="159" t="s">
        <v>47</v>
      </c>
      <c r="E326" s="220"/>
      <c r="F326" s="127">
        <v>3.0</v>
      </c>
      <c r="G326" s="221">
        <v>45641.0</v>
      </c>
      <c r="H326" s="195"/>
      <c r="I326" s="130">
        <v>120.0</v>
      </c>
      <c r="J326" s="151">
        <v>9.0</v>
      </c>
      <c r="K326" s="213"/>
      <c r="L326" s="133">
        <v>9.0</v>
      </c>
      <c r="M326" s="134" t="str">
        <f>I191</f>
        <v/>
      </c>
      <c r="N326" s="135" t="str">
        <f>iferror(mround($P191*((VLOOKUP($J326,Sheet1!$D:$N,$G326+1,FALSE)-0.03)),2.5)," ")</f>
        <v> </v>
      </c>
      <c r="O326" s="135" t="str">
        <f>iferror(mround($P191*((VLOOKUP($J326,Sheet1!$D:$N,$G326+1,FALSE)+0.02)),2.5)," ")</f>
        <v> </v>
      </c>
      <c r="P326" s="112" t="str">
        <f>iferror(mround(I326/VLOOKUP(L326,Sheet1!$D$7:$N$16,G326+1,FALSE),2.5),"")</f>
        <v/>
      </c>
      <c r="Q326" s="303" t="str">
        <f t="shared" si="7"/>
        <v/>
      </c>
      <c r="R326" s="214"/>
      <c r="S326" s="11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</row>
    <row r="327" ht="3.75" customHeight="1">
      <c r="A327" s="90"/>
      <c r="B327" s="6"/>
      <c r="C327" s="90"/>
      <c r="D327" s="138"/>
      <c r="E327" s="326"/>
      <c r="F327" s="102"/>
      <c r="G327" s="102"/>
      <c r="H327" s="102"/>
      <c r="I327" s="102"/>
      <c r="J327" s="216"/>
      <c r="K327" s="222"/>
      <c r="L327" s="143"/>
      <c r="M327" s="144"/>
      <c r="N327" s="145"/>
      <c r="O327" s="145"/>
      <c r="P327" s="122"/>
      <c r="Q327" s="304" t="str">
        <f t="shared" si="7"/>
        <v/>
      </c>
      <c r="R327" s="214"/>
      <c r="S327" s="11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</row>
    <row r="328" ht="18.0" hidden="1" customHeight="1">
      <c r="A328" s="90"/>
      <c r="B328" s="6"/>
      <c r="C328" s="90"/>
      <c r="D328" s="185"/>
      <c r="E328" s="327"/>
      <c r="F328" s="187"/>
      <c r="G328" s="187"/>
      <c r="H328" s="195"/>
      <c r="I328" s="164"/>
      <c r="J328" s="189"/>
      <c r="K328" s="190"/>
      <c r="L328" s="183"/>
      <c r="M328" s="134" t="str">
        <f>I193</f>
        <v/>
      </c>
      <c r="N328" s="135" t="str">
        <f>iferror(mround($P193*((VLOOKUP($J328,Sheet1!$D:$N,$G328+1,FALSE)-0.03)),2.5)," ")</f>
        <v> </v>
      </c>
      <c r="O328" s="135" t="str">
        <f>iferror(mround($P193*((VLOOKUP($J328,Sheet1!$D:$N,$G328+1,FALSE)+0.02)),2.5)," ")</f>
        <v> </v>
      </c>
      <c r="P328" s="112" t="str">
        <f>iferror(mround(I328/VLOOKUP(L328,Sheet1!$D$7:$N$16,G328+1,FALSE),2.5),"")</f>
        <v/>
      </c>
      <c r="Q328" s="303" t="str">
        <f t="shared" si="7"/>
        <v/>
      </c>
      <c r="R328" s="214"/>
      <c r="S328" s="11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</row>
    <row r="329" ht="3.75" hidden="1" customHeight="1">
      <c r="A329" s="191"/>
      <c r="B329" s="6"/>
      <c r="C329" s="192"/>
      <c r="D329" s="138"/>
      <c r="E329" s="223"/>
      <c r="F329" s="194"/>
      <c r="G329" s="194"/>
      <c r="H329" s="155"/>
      <c r="I329" s="210"/>
      <c r="J329" s="216"/>
      <c r="K329" s="222"/>
      <c r="L329" s="143"/>
      <c r="M329" s="144"/>
      <c r="N329" s="145"/>
      <c r="O329" s="145"/>
      <c r="P329" s="122"/>
      <c r="Q329" s="304" t="str">
        <f t="shared" si="7"/>
        <v/>
      </c>
      <c r="R329" s="214"/>
      <c r="S329" s="157"/>
      <c r="T329" s="5"/>
      <c r="U329" s="5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</row>
    <row r="330" ht="15.75" hidden="1" customHeight="1">
      <c r="A330" s="90"/>
      <c r="B330" s="6"/>
      <c r="C330" s="90"/>
      <c r="D330" s="185"/>
      <c r="E330" s="186"/>
      <c r="F330" s="187"/>
      <c r="G330" s="187"/>
      <c r="H330" s="195"/>
      <c r="I330" s="164"/>
      <c r="J330" s="189"/>
      <c r="K330" s="190"/>
      <c r="L330" s="183"/>
      <c r="M330" s="134" t="str">
        <f>I195</f>
        <v/>
      </c>
      <c r="N330" s="135" t="str">
        <f>iferror(mround($P195*((VLOOKUP($J330,Sheet1!$D:$N,$G330+1,FALSE)-0.03)),2.5)," ")</f>
        <v> </v>
      </c>
      <c r="O330" s="135" t="str">
        <f>iferror(mround($P195*((VLOOKUP($J330,Sheet1!$D:$N,$G330+1,FALSE)+0.02)),2.5)," ")</f>
        <v> </v>
      </c>
      <c r="P330" s="112" t="str">
        <f>iferror(mround(I330/VLOOKUP(L330,Sheet1!$D$7:$N$16,G330+1,FALSE),2.5),"")</f>
        <v/>
      </c>
      <c r="Q330" s="303" t="str">
        <f t="shared" si="7"/>
        <v/>
      </c>
      <c r="R330" s="214"/>
      <c r="S330" s="11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</row>
    <row r="331" ht="3.75" hidden="1" customHeight="1">
      <c r="A331" s="90"/>
      <c r="B331" s="6"/>
      <c r="C331" s="90"/>
      <c r="D331" s="138"/>
      <c r="E331" s="184"/>
      <c r="F331" s="102"/>
      <c r="G331" s="102"/>
      <c r="H331" s="102"/>
      <c r="I331" s="102"/>
      <c r="J331" s="156"/>
      <c r="K331" s="222"/>
      <c r="L331" s="143"/>
      <c r="M331" s="144"/>
      <c r="N331" s="145"/>
      <c r="O331" s="145"/>
      <c r="P331" s="122"/>
      <c r="Q331" s="304" t="str">
        <f t="shared" si="7"/>
        <v/>
      </c>
      <c r="R331" s="214"/>
      <c r="S331" s="11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</row>
    <row r="332" ht="15.75" hidden="1" customHeight="1">
      <c r="A332" s="90"/>
      <c r="B332" s="6"/>
      <c r="C332" s="90"/>
      <c r="D332" s="185"/>
      <c r="E332" s="224"/>
      <c r="F332" s="187"/>
      <c r="G332" s="187"/>
      <c r="H332" s="195"/>
      <c r="I332" s="164"/>
      <c r="J332" s="189"/>
      <c r="K332" s="190"/>
      <c r="L332" s="183"/>
      <c r="M332" s="134" t="str">
        <f>I197</f>
        <v/>
      </c>
      <c r="N332" s="135" t="str">
        <f>iferror(mround($P197*((VLOOKUP($J332,Sheet1!$D:$N,$G332+1,FALSE)-0.03)),2.5)," ")</f>
        <v> </v>
      </c>
      <c r="O332" s="135" t="str">
        <f>iferror(mround($P197*((VLOOKUP($J332,Sheet1!$D:$N,$G332+1,FALSE)+0.02)),2.5)," ")</f>
        <v> </v>
      </c>
      <c r="P332" s="112" t="str">
        <f>iferror(mround(I332/VLOOKUP(L332,Sheet1!$D$7:$N$16,G332+1,FALSE),2.5),"")</f>
        <v/>
      </c>
      <c r="Q332" s="303" t="str">
        <f t="shared" si="7"/>
        <v/>
      </c>
      <c r="R332" s="214"/>
      <c r="S332" s="11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</row>
    <row r="333" ht="3.75" hidden="1" customHeight="1">
      <c r="A333" s="191"/>
      <c r="B333" s="6"/>
      <c r="C333" s="192"/>
      <c r="D333" s="138"/>
      <c r="E333" s="193"/>
      <c r="F333" s="194"/>
      <c r="G333" s="194"/>
      <c r="H333" s="155"/>
      <c r="I333" s="210"/>
      <c r="J333" s="216"/>
      <c r="K333" s="222"/>
      <c r="L333" s="143"/>
      <c r="M333" s="144"/>
      <c r="N333" s="145"/>
      <c r="O333" s="145"/>
      <c r="P333" s="122"/>
      <c r="Q333" s="304" t="str">
        <f t="shared" si="7"/>
        <v/>
      </c>
      <c r="R333" s="214"/>
      <c r="S333" s="157"/>
      <c r="T333" s="5"/>
      <c r="U333" s="5"/>
      <c r="V333" s="158"/>
      <c r="W333" s="158"/>
      <c r="X333" s="158"/>
      <c r="Y333" s="158"/>
      <c r="Z333" s="158"/>
      <c r="AA333" s="158"/>
      <c r="AB333" s="158"/>
      <c r="AC333" s="158"/>
      <c r="AD333" s="158"/>
      <c r="AE333" s="158"/>
      <c r="AF333" s="158"/>
      <c r="AG333" s="158"/>
    </row>
    <row r="334" ht="15.75" hidden="1" customHeight="1">
      <c r="A334" s="90"/>
      <c r="B334" s="6"/>
      <c r="C334" s="90"/>
      <c r="D334" s="185"/>
      <c r="E334" s="186"/>
      <c r="F334" s="187"/>
      <c r="G334" s="187"/>
      <c r="H334" s="195"/>
      <c r="I334" s="164"/>
      <c r="J334" s="189"/>
      <c r="K334" s="190"/>
      <c r="L334" s="183"/>
      <c r="M334" s="134" t="str">
        <f>I199</f>
        <v/>
      </c>
      <c r="N334" s="135" t="str">
        <f>iferror(mround($P199*((VLOOKUP($J334,Sheet1!$D:$N,$G334+1,FALSE)-0.03)),2.5)," ")</f>
        <v> </v>
      </c>
      <c r="O334" s="135" t="str">
        <f>iferror(mround($P199*((VLOOKUP($J334,Sheet1!$D:$N,$G334+1,FALSE)+0.02)),2.5)," ")</f>
        <v> </v>
      </c>
      <c r="P334" s="112" t="str">
        <f>iferror(mround(I334/VLOOKUP(L334,Sheet1!$D$7:$N$16,G334+1,FALSE),2.5),"")</f>
        <v/>
      </c>
      <c r="Q334" s="303" t="str">
        <f t="shared" si="7"/>
        <v/>
      </c>
      <c r="R334" s="214"/>
      <c r="S334" s="11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</row>
    <row r="335" ht="3.75" hidden="1" customHeight="1">
      <c r="A335" s="90"/>
      <c r="B335" s="6"/>
      <c r="C335" s="90"/>
      <c r="D335" s="196"/>
      <c r="E335" s="184"/>
      <c r="F335" s="102"/>
      <c r="G335" s="102"/>
      <c r="H335" s="102"/>
      <c r="I335" s="102"/>
      <c r="J335" s="156"/>
      <c r="K335" s="222"/>
      <c r="L335" s="143"/>
      <c r="M335" s="144"/>
      <c r="N335" s="145"/>
      <c r="O335" s="145"/>
      <c r="P335" s="122"/>
      <c r="Q335" s="304" t="str">
        <f t="shared" si="7"/>
        <v/>
      </c>
      <c r="R335" s="214"/>
      <c r="S335" s="11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</row>
    <row r="336" ht="15.75" hidden="1" customHeight="1">
      <c r="A336" s="90"/>
      <c r="B336" s="6"/>
      <c r="C336" s="90"/>
      <c r="D336" s="197"/>
      <c r="E336" s="198"/>
      <c r="F336" s="199"/>
      <c r="G336" s="187"/>
      <c r="H336" s="195"/>
      <c r="I336" s="164"/>
      <c r="J336" s="189"/>
      <c r="K336" s="190"/>
      <c r="L336" s="183"/>
      <c r="M336" s="134" t="str">
        <f>I201</f>
        <v/>
      </c>
      <c r="N336" s="135" t="str">
        <f>iferror(mround($P201*((VLOOKUP($J336,Sheet1!$D:$N,$G336+1,FALSE)-0.03)),2.5)," ")</f>
        <v> </v>
      </c>
      <c r="O336" s="135" t="str">
        <f>iferror(mround($P201*((VLOOKUP($J336,Sheet1!$D:$N,$G336+1,FALSE)+0.02)),2.5)," ")</f>
        <v> </v>
      </c>
      <c r="P336" s="112" t="str">
        <f>iferror(mround(I336/VLOOKUP(L336,Sheet1!$D$7:$N$16,G336+1,FALSE),2.5),"")</f>
        <v/>
      </c>
      <c r="Q336" s="303" t="str">
        <f t="shared" si="7"/>
        <v/>
      </c>
      <c r="R336" s="214"/>
      <c r="S336" s="11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</row>
    <row r="337" ht="3.75" hidden="1" customHeight="1">
      <c r="A337" s="90"/>
      <c r="B337" s="6"/>
      <c r="C337" s="90"/>
      <c r="D337" s="90"/>
      <c r="E337" s="156"/>
      <c r="F337" s="102"/>
      <c r="G337" s="102"/>
      <c r="H337" s="102"/>
      <c r="I337" s="102"/>
      <c r="J337" s="156"/>
      <c r="K337" s="222"/>
      <c r="L337" s="201"/>
      <c r="M337" s="211"/>
      <c r="N337" s="47"/>
      <c r="O337" s="47"/>
      <c r="P337" s="122"/>
      <c r="Q337" s="304" t="str">
        <f t="shared" si="7"/>
        <v/>
      </c>
      <c r="R337" s="214"/>
      <c r="S337" s="11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</row>
    <row r="338" ht="30.75" customHeight="1">
      <c r="A338" s="90"/>
      <c r="B338" s="6"/>
      <c r="C338" s="90"/>
      <c r="D338" s="202" t="s">
        <v>49</v>
      </c>
      <c r="E338" s="105" t="s">
        <v>106</v>
      </c>
      <c r="F338" s="106" t="s">
        <v>16</v>
      </c>
      <c r="G338" s="106" t="s">
        <v>17</v>
      </c>
      <c r="H338" s="107"/>
      <c r="I338" s="106" t="s">
        <v>18</v>
      </c>
      <c r="J338" s="108" t="s">
        <v>19</v>
      </c>
      <c r="L338" s="109" t="s">
        <v>20</v>
      </c>
      <c r="M338" s="110" t="s">
        <v>21</v>
      </c>
      <c r="N338" s="111" t="s">
        <v>22</v>
      </c>
      <c r="P338" s="112"/>
      <c r="Q338" s="113" t="s">
        <v>23</v>
      </c>
      <c r="R338" s="114" t="s">
        <v>50</v>
      </c>
      <c r="S338" s="11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</row>
    <row r="339" ht="14.25" customHeight="1">
      <c r="A339" s="90"/>
      <c r="B339" s="6"/>
      <c r="C339" s="90"/>
      <c r="D339" s="116">
        <v>4.0</v>
      </c>
      <c r="E339" s="117">
        <v>3.0</v>
      </c>
      <c r="H339" s="107"/>
      <c r="N339" s="111" t="s">
        <v>27</v>
      </c>
      <c r="O339" s="111" t="s">
        <v>28</v>
      </c>
      <c r="P339" s="112" t="s">
        <v>29</v>
      </c>
      <c r="R339" s="118" t="s">
        <v>30</v>
      </c>
      <c r="S339" s="11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</row>
    <row r="340" ht="3.75" customHeight="1">
      <c r="A340" s="191"/>
      <c r="B340" s="6"/>
      <c r="C340" s="192"/>
      <c r="D340" s="203"/>
      <c r="E340" s="203"/>
      <c r="F340" s="205"/>
      <c r="G340" s="205"/>
      <c r="H340" s="205"/>
      <c r="I340" s="225"/>
      <c r="J340" s="226"/>
      <c r="K340" s="209"/>
      <c r="L340" s="210"/>
      <c r="M340" s="211"/>
      <c r="N340" s="47"/>
      <c r="O340" s="47"/>
      <c r="P340" s="122"/>
      <c r="Q340" s="304" t="str">
        <f t="shared" ref="Q340:Q360" si="8">IF(OR(ISBLANK(I340), ISBLANK(I205)), "", IF(I340 - I205 = 0, "", I340 - I205))</f>
        <v/>
      </c>
      <c r="R340" s="212"/>
      <c r="S340" s="157"/>
      <c r="T340" s="5"/>
      <c r="U340" s="5"/>
      <c r="V340" s="158"/>
      <c r="W340" s="158"/>
      <c r="X340" s="158"/>
      <c r="Y340" s="158"/>
      <c r="Z340" s="158"/>
      <c r="AA340" s="158"/>
      <c r="AB340" s="158"/>
      <c r="AC340" s="158"/>
      <c r="AD340" s="158"/>
      <c r="AE340" s="158"/>
      <c r="AF340" s="158"/>
      <c r="AG340" s="158"/>
    </row>
    <row r="341" ht="15.75" customHeight="1">
      <c r="A341" s="124"/>
      <c r="B341" s="6"/>
      <c r="C341" s="124"/>
      <c r="D341" s="125" t="s">
        <v>90</v>
      </c>
      <c r="E341" s="126"/>
      <c r="F341" s="127">
        <v>1.0</v>
      </c>
      <c r="G341" s="240">
        <v>4.0</v>
      </c>
      <c r="H341" s="129"/>
      <c r="I341" s="130">
        <v>424.0</v>
      </c>
      <c r="J341" s="151">
        <v>7.0</v>
      </c>
      <c r="K341" s="219"/>
      <c r="L341" s="133">
        <v>7.5</v>
      </c>
      <c r="M341" s="134">
        <f>I206</f>
        <v>413</v>
      </c>
      <c r="N341" s="135">
        <f>iferror(mround($P206*((VLOOKUP($J341,Sheet1!$D:$N,$G341+1,FALSE)-0.03)),2.5)," ")</f>
        <v>397.5</v>
      </c>
      <c r="O341" s="135">
        <f>iferror(mround($P206*((VLOOKUP($J341,Sheet1!$D:$N,$G341+1,FALSE)+0.02)),2.5)," ")</f>
        <v>425</v>
      </c>
      <c r="P341" s="112">
        <f>iferror(mround(I341/VLOOKUP(L341,Sheet1!$D$7:$N$16,G341+1,FALSE),2.5),"")</f>
        <v>512.5</v>
      </c>
      <c r="Q341" s="303">
        <f t="shared" si="8"/>
        <v>11</v>
      </c>
      <c r="R341" s="214"/>
      <c r="S341" s="11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</row>
    <row r="342" ht="3.75" customHeight="1">
      <c r="A342" s="124"/>
      <c r="B342" s="6"/>
      <c r="C342" s="124"/>
      <c r="D342" s="138"/>
      <c r="E342" s="139"/>
      <c r="F342" s="140"/>
      <c r="G342" s="140"/>
      <c r="H342" s="140"/>
      <c r="I342" s="140"/>
      <c r="J342" s="141"/>
      <c r="K342" s="217"/>
      <c r="L342" s="218"/>
      <c r="M342" s="144"/>
      <c r="N342" s="145"/>
      <c r="O342" s="145"/>
      <c r="P342" s="122"/>
      <c r="Q342" s="304" t="str">
        <f t="shared" si="8"/>
        <v/>
      </c>
      <c r="R342" s="214"/>
      <c r="S342" s="11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</row>
    <row r="343" ht="15.75" customHeight="1">
      <c r="A343" s="90"/>
      <c r="B343" s="6"/>
      <c r="C343" s="90"/>
      <c r="D343" s="125" t="s">
        <v>77</v>
      </c>
      <c r="E343" s="126"/>
      <c r="F343" s="127">
        <v>4.0</v>
      </c>
      <c r="G343" s="240">
        <v>5.0</v>
      </c>
      <c r="H343" s="129"/>
      <c r="I343" s="164">
        <f>MROUND(I341*(1+J343),5)</f>
        <v>380</v>
      </c>
      <c r="J343" s="165">
        <v>-0.1</v>
      </c>
      <c r="K343" s="213"/>
      <c r="L343" s="133">
        <v>6.0</v>
      </c>
      <c r="M343" s="134">
        <f>I208</f>
        <v>365</v>
      </c>
      <c r="N343" s="135" t="str">
        <f>iferror(mround($P208*((VLOOKUP($J343,Sheet1!$D:$N,$G343+1,FALSE)-0.03)),2.5)," ")</f>
        <v> </v>
      </c>
      <c r="O343" s="135" t="str">
        <f>iferror(mround($P208*((VLOOKUP($J343,Sheet1!$D:$N,$G343+1,FALSE)+0.02)),2.5)," ")</f>
        <v> </v>
      </c>
      <c r="P343" s="112">
        <f>iferror(mround(I343/VLOOKUP(L343,Sheet1!$D$7:$N$16,G343+1,FALSE),2.5),"")</f>
        <v>497.5</v>
      </c>
      <c r="Q343" s="303">
        <f t="shared" si="8"/>
        <v>15</v>
      </c>
      <c r="R343" s="214"/>
      <c r="S343" s="11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</row>
    <row r="344" ht="3.75" customHeight="1">
      <c r="A344" s="90"/>
      <c r="B344" s="6"/>
      <c r="C344" s="90"/>
      <c r="D344" s="138"/>
      <c r="E344" s="215"/>
      <c r="F344" s="102"/>
      <c r="G344" s="102"/>
      <c r="H344" s="102"/>
      <c r="I344" s="102"/>
      <c r="J344" s="156"/>
      <c r="K344" s="217"/>
      <c r="L344" s="218"/>
      <c r="M344" s="144"/>
      <c r="N344" s="145"/>
      <c r="O344" s="145"/>
      <c r="P344" s="122"/>
      <c r="Q344" s="304" t="str">
        <f t="shared" si="8"/>
        <v/>
      </c>
      <c r="R344" s="214"/>
      <c r="S344" s="11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</row>
    <row r="345" ht="15.75" customHeight="1">
      <c r="A345" s="90"/>
      <c r="B345" s="6"/>
      <c r="C345" s="90"/>
      <c r="D345" s="159" t="s">
        <v>33</v>
      </c>
      <c r="E345" s="160" t="s">
        <v>34</v>
      </c>
      <c r="F345" s="127">
        <v>3.0</v>
      </c>
      <c r="G345" s="161">
        <v>2.0</v>
      </c>
      <c r="H345" s="129"/>
      <c r="I345" s="130">
        <v>287.0</v>
      </c>
      <c r="J345" s="151">
        <v>7.0</v>
      </c>
      <c r="K345" s="219" t="s">
        <v>91</v>
      </c>
      <c r="L345" s="133"/>
      <c r="M345" s="134">
        <f>I210</f>
        <v>281</v>
      </c>
      <c r="N345" s="135">
        <f>iferror(mround($P210*((VLOOKUP($J345,Sheet1!$D:$N,$G345+1,FALSE)-0.03)),2.5)," ")</f>
        <v>0</v>
      </c>
      <c r="O345" s="135">
        <f>iferror(mround($P210*((VLOOKUP($J345,Sheet1!$D:$N,$G345+1,FALSE)+0.02)),2.5)," ")</f>
        <v>0</v>
      </c>
      <c r="P345" s="112" t="str">
        <f>iferror(mround(I345/VLOOKUP(L345,Sheet1!$D$7:$N$16,G345+1,FALSE),2.5),"")</f>
        <v/>
      </c>
      <c r="Q345" s="303">
        <f t="shared" si="8"/>
        <v>6</v>
      </c>
      <c r="R345" s="214"/>
      <c r="S345" s="11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</row>
    <row r="346" ht="3.75" customHeight="1">
      <c r="A346" s="90"/>
      <c r="B346" s="6"/>
      <c r="C346" s="90"/>
      <c r="D346" s="138"/>
      <c r="E346" s="154"/>
      <c r="F346" s="155"/>
      <c r="G346" s="102"/>
      <c r="H346" s="102"/>
      <c r="I346" s="102"/>
      <c r="J346" s="156"/>
      <c r="K346" s="217"/>
      <c r="L346" s="218"/>
      <c r="M346" s="144"/>
      <c r="N346" s="145"/>
      <c r="O346" s="145"/>
      <c r="P346" s="122"/>
      <c r="Q346" s="304" t="str">
        <f t="shared" si="8"/>
        <v/>
      </c>
      <c r="R346" s="214"/>
      <c r="S346" s="11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</row>
    <row r="347" ht="15.75" customHeight="1">
      <c r="A347" s="90"/>
      <c r="B347" s="6"/>
      <c r="C347" s="90"/>
      <c r="D347" s="159" t="s">
        <v>45</v>
      </c>
      <c r="E347" s="220"/>
      <c r="F347" s="127">
        <v>3.0</v>
      </c>
      <c r="G347" s="127" t="s">
        <v>41</v>
      </c>
      <c r="H347" s="195"/>
      <c r="I347" s="164"/>
      <c r="J347" s="151"/>
      <c r="K347" s="213"/>
      <c r="L347" s="133"/>
      <c r="M347" s="134" t="str">
        <f>I212</f>
        <v/>
      </c>
      <c r="N347" s="135" t="str">
        <f>iferror(mround($P212*((VLOOKUP($J347,Sheet1!$D:$N,$G347+1,FALSE)-0.03)),2.5)," ")</f>
        <v> </v>
      </c>
      <c r="O347" s="135" t="str">
        <f>iferror(mround($P212*((VLOOKUP($J347,Sheet1!$D:$N,$G347+1,FALSE)+0.02)),2.5)," ")</f>
        <v> </v>
      </c>
      <c r="P347" s="112" t="str">
        <f>iferror(mround(I347/VLOOKUP(L347,Sheet1!$D$7:$N$16,G347+1,FALSE),2.5),"")</f>
        <v/>
      </c>
      <c r="Q347" s="303" t="str">
        <f t="shared" si="8"/>
        <v/>
      </c>
      <c r="R347" s="214"/>
      <c r="S347" s="11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</row>
    <row r="348" ht="3.75" customHeight="1">
      <c r="A348" s="90"/>
      <c r="B348" s="6"/>
      <c r="C348" s="90"/>
      <c r="D348" s="138"/>
      <c r="E348" s="215"/>
      <c r="F348" s="102"/>
      <c r="G348" s="102"/>
      <c r="H348" s="102"/>
      <c r="I348" s="102"/>
      <c r="J348" s="156"/>
      <c r="K348" s="217"/>
      <c r="L348" s="218"/>
      <c r="M348" s="144"/>
      <c r="N348" s="145"/>
      <c r="O348" s="145"/>
      <c r="P348" s="122"/>
      <c r="Q348" s="304" t="str">
        <f t="shared" si="8"/>
        <v/>
      </c>
      <c r="R348" s="214"/>
      <c r="S348" s="11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</row>
    <row r="349" ht="15.75" customHeight="1">
      <c r="A349" s="90"/>
      <c r="B349" s="6"/>
      <c r="C349" s="90"/>
      <c r="D349" s="159" t="s">
        <v>94</v>
      </c>
      <c r="E349" s="220"/>
      <c r="F349" s="127">
        <v>3.0</v>
      </c>
      <c r="G349" s="221">
        <v>45641.0</v>
      </c>
      <c r="H349" s="195"/>
      <c r="I349" s="130"/>
      <c r="J349" s="151">
        <v>9.0</v>
      </c>
      <c r="K349" s="213"/>
      <c r="L349" s="133"/>
      <c r="M349" s="134" t="str">
        <f>I214</f>
        <v/>
      </c>
      <c r="N349" s="135" t="str">
        <f>iferror(mround($P214*((VLOOKUP($J349,Sheet1!$D:$N,$G349+1,FALSE)-0.03)),2.5)," ")</f>
        <v> </v>
      </c>
      <c r="O349" s="135" t="str">
        <f>iferror(mround($P214*((VLOOKUP($J349,Sheet1!$D:$N,$G349+1,FALSE)+0.02)),2.5)," ")</f>
        <v> </v>
      </c>
      <c r="P349" s="112" t="str">
        <f>iferror(mround(I349/VLOOKUP(L349,Sheet1!$D$7:$N$16,G349+1,FALSE),2.5),"")</f>
        <v/>
      </c>
      <c r="Q349" s="303" t="str">
        <f t="shared" si="8"/>
        <v/>
      </c>
      <c r="R349" s="214"/>
      <c r="S349" s="11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</row>
    <row r="350" ht="3.75" customHeight="1">
      <c r="A350" s="90"/>
      <c r="B350" s="6"/>
      <c r="C350" s="90"/>
      <c r="D350" s="138"/>
      <c r="E350" s="215"/>
      <c r="F350" s="102"/>
      <c r="G350" s="102"/>
      <c r="H350" s="102"/>
      <c r="I350" s="102"/>
      <c r="J350" s="156"/>
      <c r="K350" s="222"/>
      <c r="L350" s="218"/>
      <c r="M350" s="144"/>
      <c r="N350" s="145"/>
      <c r="O350" s="145"/>
      <c r="P350" s="122"/>
      <c r="Q350" s="304" t="str">
        <f t="shared" si="8"/>
        <v/>
      </c>
      <c r="R350" s="214"/>
      <c r="S350" s="11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</row>
    <row r="351" ht="15.75" hidden="1" customHeight="1">
      <c r="A351" s="90"/>
      <c r="B351" s="6"/>
      <c r="C351" s="90"/>
      <c r="D351" s="185"/>
      <c r="E351" s="220"/>
      <c r="F351" s="187"/>
      <c r="G351" s="229"/>
      <c r="H351" s="195"/>
      <c r="I351" s="164"/>
      <c r="J351" s="189"/>
      <c r="K351" s="190"/>
      <c r="L351" s="183"/>
      <c r="M351" s="134" t="str">
        <f>I216</f>
        <v/>
      </c>
      <c r="N351" s="135" t="str">
        <f>iferror(mround($P216*((VLOOKUP($J351,Sheet1!$D:$N,$G351+1,FALSE)-0.03)),2.5)," ")</f>
        <v> </v>
      </c>
      <c r="O351" s="135" t="str">
        <f>iferror(mround($P216*((VLOOKUP($J351,Sheet1!$D:$N,$G351+1,FALSE)+0.02)),2.5)," ")</f>
        <v> </v>
      </c>
      <c r="P351" s="112" t="str">
        <f>iferror(mround(I351/VLOOKUP(L351,Sheet1!$D$7:$N$16,G351+1,FALSE),2.5),"")</f>
        <v/>
      </c>
      <c r="Q351" s="303" t="str">
        <f t="shared" si="8"/>
        <v/>
      </c>
      <c r="R351" s="214"/>
      <c r="S351" s="11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</row>
    <row r="352" ht="3.75" hidden="1" customHeight="1">
      <c r="A352" s="90"/>
      <c r="B352" s="6"/>
      <c r="C352" s="90"/>
      <c r="D352" s="138"/>
      <c r="E352" s="215"/>
      <c r="F352" s="102"/>
      <c r="G352" s="102"/>
      <c r="H352" s="102"/>
      <c r="I352" s="102"/>
      <c r="J352" s="216"/>
      <c r="K352" s="222"/>
      <c r="L352" s="218"/>
      <c r="M352" s="144"/>
      <c r="N352" s="145"/>
      <c r="O352" s="145"/>
      <c r="P352" s="122"/>
      <c r="Q352" s="304" t="str">
        <f t="shared" si="8"/>
        <v/>
      </c>
      <c r="R352" s="214"/>
      <c r="S352" s="11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</row>
    <row r="353" ht="15.75" hidden="1" customHeight="1">
      <c r="A353" s="90"/>
      <c r="B353" s="6"/>
      <c r="C353" s="90"/>
      <c r="D353" s="185"/>
      <c r="E353" s="220"/>
      <c r="F353" s="187"/>
      <c r="G353" s="229"/>
      <c r="H353" s="195"/>
      <c r="I353" s="164"/>
      <c r="J353" s="189"/>
      <c r="K353" s="190"/>
      <c r="L353" s="183"/>
      <c r="M353" s="134" t="str">
        <f>I218</f>
        <v/>
      </c>
      <c r="N353" s="135" t="str">
        <f>iferror(mround($P218*((VLOOKUP($J353,Sheet1!$D:$N,$G353+1,FALSE)-0.03)),2.5)," ")</f>
        <v> </v>
      </c>
      <c r="O353" s="135" t="str">
        <f>iferror(mround($P218*((VLOOKUP($J353,Sheet1!$D:$N,$G353+1,FALSE)+0.02)),2.5)," ")</f>
        <v> </v>
      </c>
      <c r="P353" s="112" t="str">
        <f>iferror(mround(I353/VLOOKUP(L353,Sheet1!$D$7:$N$16,G353+1,FALSE),2.5),"")</f>
        <v/>
      </c>
      <c r="Q353" s="303" t="str">
        <f t="shared" si="8"/>
        <v/>
      </c>
      <c r="R353" s="214"/>
      <c r="S353" s="11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</row>
    <row r="354" ht="3.75" hidden="1" customHeight="1">
      <c r="A354" s="191"/>
      <c r="B354" s="6"/>
      <c r="C354" s="192"/>
      <c r="D354" s="138"/>
      <c r="E354" s="184"/>
      <c r="F354" s="102"/>
      <c r="G354" s="102"/>
      <c r="H354" s="102"/>
      <c r="I354" s="102"/>
      <c r="J354" s="156"/>
      <c r="K354" s="222"/>
      <c r="L354" s="218"/>
      <c r="M354" s="144"/>
      <c r="N354" s="145"/>
      <c r="O354" s="145"/>
      <c r="P354" s="122"/>
      <c r="Q354" s="304" t="str">
        <f t="shared" si="8"/>
        <v/>
      </c>
      <c r="R354" s="214"/>
      <c r="S354" s="157"/>
      <c r="T354" s="5"/>
      <c r="U354" s="5"/>
      <c r="V354" s="158"/>
      <c r="W354" s="158"/>
      <c r="X354" s="158"/>
      <c r="Y354" s="158"/>
      <c r="Z354" s="158"/>
      <c r="AA354" s="158"/>
      <c r="AB354" s="158"/>
      <c r="AC354" s="158"/>
      <c r="AD354" s="158"/>
      <c r="AE354" s="158"/>
      <c r="AF354" s="158"/>
      <c r="AG354" s="158"/>
    </row>
    <row r="355" ht="15.75" hidden="1" customHeight="1">
      <c r="A355" s="90"/>
      <c r="B355" s="6"/>
      <c r="C355" s="90"/>
      <c r="D355" s="185"/>
      <c r="E355" s="224"/>
      <c r="F355" s="187"/>
      <c r="G355" s="187"/>
      <c r="H355" s="195"/>
      <c r="I355" s="164"/>
      <c r="J355" s="230"/>
      <c r="K355" s="190"/>
      <c r="L355" s="183"/>
      <c r="M355" s="134" t="str">
        <f>I220</f>
        <v/>
      </c>
      <c r="N355" s="135" t="str">
        <f>iferror(mround($P220*((VLOOKUP($J355,Sheet1!$D:$N,$G355+1,FALSE)-0.03)),2.5)," ")</f>
        <v> </v>
      </c>
      <c r="O355" s="135" t="str">
        <f>iferror(mround($P220*((VLOOKUP($J355,Sheet1!$D:$N,$G355+1,FALSE)+0.02)),2.5)," ")</f>
        <v> </v>
      </c>
      <c r="P355" s="112" t="str">
        <f>iferror(mround(I355/VLOOKUP(L355,Sheet1!$D$7:$N$16,G355+1,FALSE),2.5),"")</f>
        <v/>
      </c>
      <c r="Q355" s="303" t="str">
        <f t="shared" si="8"/>
        <v/>
      </c>
      <c r="R355" s="214"/>
      <c r="S355" s="11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</row>
    <row r="356" ht="3.75" hidden="1" customHeight="1">
      <c r="A356" s="90"/>
      <c r="B356" s="6"/>
      <c r="C356" s="90"/>
      <c r="D356" s="138"/>
      <c r="E356" s="184"/>
      <c r="F356" s="102"/>
      <c r="G356" s="102"/>
      <c r="H356" s="102"/>
      <c r="I356" s="102"/>
      <c r="J356" s="156"/>
      <c r="K356" s="222"/>
      <c r="L356" s="218"/>
      <c r="M356" s="144"/>
      <c r="N356" s="145"/>
      <c r="O356" s="145"/>
      <c r="P356" s="122"/>
      <c r="Q356" s="304" t="str">
        <f t="shared" si="8"/>
        <v/>
      </c>
      <c r="R356" s="214"/>
      <c r="S356" s="11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</row>
    <row r="357" ht="15.75" hidden="1" customHeight="1">
      <c r="A357" s="90"/>
      <c r="B357" s="6"/>
      <c r="C357" s="90"/>
      <c r="D357" s="231"/>
      <c r="E357" s="232"/>
      <c r="F357" s="187"/>
      <c r="G357" s="187"/>
      <c r="H357" s="195"/>
      <c r="I357" s="164"/>
      <c r="J357" s="230"/>
      <c r="K357" s="190"/>
      <c r="L357" s="183"/>
      <c r="M357" s="134" t="str">
        <f>I222</f>
        <v/>
      </c>
      <c r="N357" s="135" t="str">
        <f>iferror(mround($P222*((VLOOKUP($J357,Sheet1!$D:$N,$G357+1,FALSE)-0.03)),2.5)," ")</f>
        <v> </v>
      </c>
      <c r="O357" s="135" t="str">
        <f>iferror(mround($P222*((VLOOKUP($J357,Sheet1!$D:$N,$G357+1,FALSE)+0.02)),2.5)," ")</f>
        <v> </v>
      </c>
      <c r="P357" s="112" t="str">
        <f>iferror(mround(I357/VLOOKUP(L357,Sheet1!$D$7:$N$16,G357+1,FALSE),2.5),"")</f>
        <v/>
      </c>
      <c r="Q357" s="303" t="str">
        <f t="shared" si="8"/>
        <v/>
      </c>
      <c r="R357" s="214"/>
      <c r="S357" s="11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</row>
    <row r="358" ht="3.75" hidden="1" customHeight="1">
      <c r="A358" s="191"/>
      <c r="B358" s="6"/>
      <c r="C358" s="233"/>
      <c r="D358" s="234"/>
      <c r="E358" s="235"/>
      <c r="F358" s="236"/>
      <c r="G358" s="194"/>
      <c r="H358" s="155"/>
      <c r="I358" s="210"/>
      <c r="J358" s="216"/>
      <c r="K358" s="222"/>
      <c r="L358" s="218"/>
      <c r="M358" s="144"/>
      <c r="N358" s="145"/>
      <c r="O358" s="145"/>
      <c r="P358" s="122"/>
      <c r="Q358" s="304" t="str">
        <f t="shared" si="8"/>
        <v/>
      </c>
      <c r="R358" s="214"/>
      <c r="S358" s="157"/>
      <c r="T358" s="5"/>
      <c r="U358" s="5"/>
      <c r="V358" s="158"/>
      <c r="W358" s="158"/>
      <c r="X358" s="158"/>
      <c r="Y358" s="158"/>
      <c r="Z358" s="158"/>
      <c r="AA358" s="158"/>
      <c r="AB358" s="158"/>
      <c r="AC358" s="158"/>
      <c r="AD358" s="158"/>
      <c r="AE358" s="158"/>
      <c r="AF358" s="158"/>
      <c r="AG358" s="158"/>
    </row>
    <row r="359" ht="15.75" hidden="1" customHeight="1">
      <c r="A359" s="90"/>
      <c r="B359" s="6"/>
      <c r="C359" s="90"/>
      <c r="D359" s="197"/>
      <c r="E359" s="198"/>
      <c r="F359" s="199"/>
      <c r="G359" s="187"/>
      <c r="H359" s="195"/>
      <c r="I359" s="164"/>
      <c r="J359" s="189"/>
      <c r="K359" s="190"/>
      <c r="L359" s="183"/>
      <c r="M359" s="134" t="str">
        <f>I224</f>
        <v/>
      </c>
      <c r="N359" s="135" t="str">
        <f>iferror(mround($P224*((VLOOKUP($J359,Sheet1!$D:$N,$G359+1,FALSE)-0.03)),2.5)," ")</f>
        <v> </v>
      </c>
      <c r="O359" s="135" t="str">
        <f>iferror(mround($P224*((VLOOKUP($J359,Sheet1!$D:$N,$G359+1,FALSE)+0.02)),2.5)," ")</f>
        <v> </v>
      </c>
      <c r="P359" s="112" t="str">
        <f>iferror(mround(I359/VLOOKUP(L359,Sheet1!$D$7:$N$16,G359+1,FALSE),2.5),"")</f>
        <v/>
      </c>
      <c r="Q359" s="303" t="str">
        <f t="shared" si="8"/>
        <v/>
      </c>
      <c r="R359" s="214"/>
      <c r="S359" s="11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</row>
    <row r="360" ht="3.75" customHeight="1">
      <c r="A360" s="90"/>
      <c r="B360" s="6"/>
      <c r="C360" s="90"/>
      <c r="D360" s="90"/>
      <c r="E360" s="156"/>
      <c r="F360" s="102"/>
      <c r="G360" s="102"/>
      <c r="H360" s="102"/>
      <c r="I360" s="102"/>
      <c r="J360" s="156"/>
      <c r="K360" s="200"/>
      <c r="L360" s="201"/>
      <c r="M360" s="211"/>
      <c r="N360" s="47"/>
      <c r="O360" s="47"/>
      <c r="P360" s="122"/>
      <c r="Q360" s="304" t="str">
        <f t="shared" si="8"/>
        <v/>
      </c>
      <c r="R360" s="214"/>
      <c r="S360" s="11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</row>
    <row r="361" ht="30.0" customHeight="1">
      <c r="A361" s="90"/>
      <c r="B361" s="6"/>
      <c r="C361" s="90"/>
      <c r="D361" s="202" t="s">
        <v>55</v>
      </c>
      <c r="E361" s="105" t="s">
        <v>15</v>
      </c>
      <c r="F361" s="106" t="s">
        <v>16</v>
      </c>
      <c r="G361" s="106" t="s">
        <v>17</v>
      </c>
      <c r="H361" s="107"/>
      <c r="I361" s="106" t="s">
        <v>18</v>
      </c>
      <c r="J361" s="108" t="s">
        <v>19</v>
      </c>
      <c r="L361" s="109" t="s">
        <v>20</v>
      </c>
      <c r="M361" s="110" t="s">
        <v>21</v>
      </c>
      <c r="N361" s="111" t="s">
        <v>22</v>
      </c>
      <c r="P361" s="112"/>
      <c r="Q361" s="113" t="s">
        <v>23</v>
      </c>
      <c r="R361" s="114" t="s">
        <v>56</v>
      </c>
      <c r="S361" s="11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</row>
    <row r="362" ht="14.25" customHeight="1">
      <c r="A362" s="90"/>
      <c r="B362" s="6"/>
      <c r="C362" s="90"/>
      <c r="D362" s="116" t="s">
        <v>25</v>
      </c>
      <c r="E362" s="117" t="s">
        <v>26</v>
      </c>
      <c r="H362" s="107"/>
      <c r="N362" s="111" t="s">
        <v>27</v>
      </c>
      <c r="O362" s="111" t="s">
        <v>28</v>
      </c>
      <c r="P362" s="112" t="s">
        <v>29</v>
      </c>
      <c r="R362" s="118" t="s">
        <v>30</v>
      </c>
      <c r="S362" s="11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</row>
    <row r="363" ht="3.75" customHeight="1">
      <c r="A363" s="191"/>
      <c r="B363" s="6"/>
      <c r="C363" s="192"/>
      <c r="D363" s="203"/>
      <c r="E363" s="204"/>
      <c r="F363" s="205"/>
      <c r="G363" s="205"/>
      <c r="H363" s="205"/>
      <c r="I363" s="225"/>
      <c r="J363" s="237"/>
      <c r="K363" s="209"/>
      <c r="L363" s="238"/>
      <c r="M363" s="211"/>
      <c r="N363" s="47"/>
      <c r="O363" s="47"/>
      <c r="P363" s="122"/>
      <c r="Q363" s="304" t="str">
        <f t="shared" ref="Q363:Q383" si="9">IF(OR(ISBLANK(I363), ISBLANK(I228)), "", IF(I363 - I228 = 0, "", I363 - I228))</f>
        <v/>
      </c>
      <c r="R363" s="239"/>
      <c r="S363" s="157"/>
      <c r="T363" s="5"/>
      <c r="U363" s="5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</row>
    <row r="364" ht="15.75" customHeight="1">
      <c r="A364" s="124"/>
      <c r="B364" s="6"/>
      <c r="C364" s="124"/>
      <c r="D364" s="125" t="s">
        <v>97</v>
      </c>
      <c r="E364" s="126"/>
      <c r="F364" s="127">
        <v>1.0</v>
      </c>
      <c r="G364" s="240">
        <v>4.0</v>
      </c>
      <c r="H364" s="129"/>
      <c r="I364" s="130">
        <v>501.0</v>
      </c>
      <c r="J364" s="151">
        <v>7.0</v>
      </c>
      <c r="K364" s="241"/>
      <c r="L364" s="130">
        <v>7.5</v>
      </c>
      <c r="M364" s="134">
        <f>I229</f>
        <v>485</v>
      </c>
      <c r="N364" s="135">
        <f>iferror(mround($P229*((VLOOKUP($J364,Sheet1!$D:$N,$G364+1,FALSE)-0.03)),2.5)," ")</f>
        <v>467.5</v>
      </c>
      <c r="O364" s="135">
        <f>iferror(mround($P229*((VLOOKUP($J364,Sheet1!$D:$N,$G364+1,FALSE)+0.02)),2.5)," ")</f>
        <v>497.5</v>
      </c>
      <c r="P364" s="112">
        <f>iferror(mround(I364/VLOOKUP(L364,Sheet1!$D$7:$N$16,G364+1,FALSE),2.5),"")</f>
        <v>605</v>
      </c>
      <c r="Q364" s="303">
        <f t="shared" si="9"/>
        <v>16</v>
      </c>
      <c r="R364" s="242"/>
      <c r="S364" s="11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</row>
    <row r="365" ht="3.75" customHeight="1">
      <c r="A365" s="124"/>
      <c r="B365" s="6"/>
      <c r="C365" s="124"/>
      <c r="D365" s="138"/>
      <c r="E365" s="139"/>
      <c r="F365" s="140"/>
      <c r="G365" s="140"/>
      <c r="H365" s="140"/>
      <c r="I365" s="140"/>
      <c r="J365" s="141"/>
      <c r="K365" s="243"/>
      <c r="L365" s="210"/>
      <c r="M365" s="144"/>
      <c r="N365" s="145"/>
      <c r="O365" s="145"/>
      <c r="P365" s="122"/>
      <c r="Q365" s="304" t="str">
        <f t="shared" si="9"/>
        <v/>
      </c>
      <c r="R365" s="242"/>
      <c r="S365" s="11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</row>
    <row r="366" ht="15.0" customHeight="1">
      <c r="A366" s="124"/>
      <c r="B366" s="6"/>
      <c r="C366" s="124"/>
      <c r="D366" s="125" t="s">
        <v>97</v>
      </c>
      <c r="E366" s="126"/>
      <c r="F366" s="127">
        <v>3.0</v>
      </c>
      <c r="G366" s="240">
        <v>4.0</v>
      </c>
      <c r="H366" s="129"/>
      <c r="I366" s="164">
        <f>MROUND(I364*(1+J366),5)</f>
        <v>450</v>
      </c>
      <c r="J366" s="165">
        <v>-0.1</v>
      </c>
      <c r="K366" s="241"/>
      <c r="L366" s="130">
        <v>7.0</v>
      </c>
      <c r="M366" s="134">
        <f>I231</f>
        <v>435</v>
      </c>
      <c r="N366" s="135" t="str">
        <f>iferror(mround($P231*((VLOOKUP($J366,Sheet1!$D:$N,$G366+1,FALSE)-0.03)),2.5)," ")</f>
        <v> </v>
      </c>
      <c r="O366" s="135" t="str">
        <f>iferror(mround($P231*((VLOOKUP($J366,Sheet1!$D:$N,$G366+1,FALSE)+0.02)),2.5)," ")</f>
        <v> </v>
      </c>
      <c r="P366" s="112">
        <f>iferror(mround(I366/VLOOKUP(L366,Sheet1!$D$7:$N$16,G366+1,FALSE),2.5),"")</f>
        <v>552.5</v>
      </c>
      <c r="Q366" s="303">
        <f t="shared" si="9"/>
        <v>15</v>
      </c>
      <c r="R366" s="242"/>
      <c r="S366" s="11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</row>
    <row r="367" ht="3.75" customHeight="1">
      <c r="A367" s="124"/>
      <c r="B367" s="6"/>
      <c r="C367" s="124"/>
      <c r="D367" s="138"/>
      <c r="E367" s="215"/>
      <c r="F367" s="102"/>
      <c r="G367" s="102"/>
      <c r="H367" s="102"/>
      <c r="I367" s="102"/>
      <c r="J367" s="156"/>
      <c r="K367" s="243"/>
      <c r="L367" s="210"/>
      <c r="M367" s="144"/>
      <c r="N367" s="145"/>
      <c r="O367" s="145"/>
      <c r="P367" s="122"/>
      <c r="Q367" s="304" t="str">
        <f t="shared" si="9"/>
        <v/>
      </c>
      <c r="R367" s="242"/>
      <c r="S367" s="11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</row>
    <row r="368" ht="15.75" customHeight="1">
      <c r="A368" s="124"/>
      <c r="B368" s="6"/>
      <c r="C368" s="124"/>
      <c r="D368" s="159" t="s">
        <v>33</v>
      </c>
      <c r="E368" s="126"/>
      <c r="F368" s="127">
        <v>2.0</v>
      </c>
      <c r="G368" s="161">
        <v>1.0</v>
      </c>
      <c r="H368" s="129"/>
      <c r="I368" s="130">
        <v>320.0</v>
      </c>
      <c r="J368" s="151">
        <v>7.5</v>
      </c>
      <c r="K368" s="244" t="s">
        <v>98</v>
      </c>
      <c r="L368" s="130">
        <v>8.0</v>
      </c>
      <c r="M368" s="134">
        <f>I233</f>
        <v>308</v>
      </c>
      <c r="N368" s="135">
        <f>iferror(mround($P233*((VLOOKUP($J368,Sheet1!$D:$N,$G368+1,FALSE)-0.03)),2.5)," ")</f>
        <v>302.5</v>
      </c>
      <c r="O368" s="135">
        <f>iferror(mround($P233*((VLOOKUP($J368,Sheet1!$D:$N,$G368+1,FALSE)+0.02)),2.5)," ")</f>
        <v>320</v>
      </c>
      <c r="P368" s="112">
        <f>iferror(mround(I368/VLOOKUP(L368,Sheet1!$D$7:$N$16,G368+1,FALSE),2.5),"")</f>
        <v>345</v>
      </c>
      <c r="Q368" s="303">
        <f t="shared" si="9"/>
        <v>12</v>
      </c>
      <c r="R368" s="242"/>
      <c r="S368" s="11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</row>
    <row r="369" ht="3.75" customHeight="1">
      <c r="A369" s="124"/>
      <c r="B369" s="6"/>
      <c r="C369" s="124"/>
      <c r="D369" s="138"/>
      <c r="E369" s="154"/>
      <c r="F369" s="155"/>
      <c r="G369" s="102"/>
      <c r="H369" s="102"/>
      <c r="I369" s="102"/>
      <c r="J369" s="156"/>
      <c r="K369" s="243"/>
      <c r="L369" s="210"/>
      <c r="M369" s="144"/>
      <c r="N369" s="145"/>
      <c r="O369" s="145"/>
      <c r="P369" s="122"/>
      <c r="Q369" s="304" t="str">
        <f t="shared" si="9"/>
        <v/>
      </c>
      <c r="R369" s="242"/>
      <c r="S369" s="11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</row>
    <row r="370" ht="15.75" customHeight="1">
      <c r="A370" s="124"/>
      <c r="B370" s="6"/>
      <c r="C370" s="124"/>
      <c r="D370" s="159" t="s">
        <v>33</v>
      </c>
      <c r="E370" s="126"/>
      <c r="F370" s="127">
        <v>4.0</v>
      </c>
      <c r="G370" s="161">
        <v>4.0</v>
      </c>
      <c r="H370" s="129"/>
      <c r="I370" s="130">
        <v>275.0</v>
      </c>
      <c r="J370" s="151">
        <v>7.5</v>
      </c>
      <c r="K370" s="241" t="s">
        <v>91</v>
      </c>
      <c r="L370" s="130">
        <v>8.0</v>
      </c>
      <c r="M370" s="134">
        <f>I235</f>
        <v>265</v>
      </c>
      <c r="N370" s="135">
        <f>iferror(mround($P235*((VLOOKUP($J370,Sheet1!$D:$N,$G370+1,FALSE)-0.03)),2.5)," ")</f>
        <v>262.5</v>
      </c>
      <c r="O370" s="135">
        <f>iferror(mround($P235*((VLOOKUP($J370,Sheet1!$D:$N,$G370+1,FALSE)+0.02)),2.5)," ")</f>
        <v>280</v>
      </c>
      <c r="P370" s="112">
        <f>iferror(mround(I370/VLOOKUP(L370,Sheet1!$D$7:$N$16,G370+1,FALSE),2.5),"")</f>
        <v>327.5</v>
      </c>
      <c r="Q370" s="303">
        <f t="shared" si="9"/>
        <v>10</v>
      </c>
      <c r="R370" s="242"/>
      <c r="S370" s="11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</row>
    <row r="371" ht="3.75" customHeight="1">
      <c r="A371" s="90"/>
      <c r="B371" s="6"/>
      <c r="C371" s="90"/>
      <c r="D371" s="138"/>
      <c r="E371" s="245"/>
      <c r="F371" s="102"/>
      <c r="G371" s="102"/>
      <c r="H371" s="102"/>
      <c r="I371" s="102"/>
      <c r="J371" s="156"/>
      <c r="K371" s="243"/>
      <c r="L371" s="210"/>
      <c r="M371" s="144"/>
      <c r="N371" s="145"/>
      <c r="O371" s="145"/>
      <c r="P371" s="122"/>
      <c r="Q371" s="304" t="str">
        <f t="shared" si="9"/>
        <v/>
      </c>
      <c r="R371" s="242"/>
      <c r="S371" s="11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</row>
    <row r="372" ht="15.75" customHeight="1">
      <c r="A372" s="90"/>
      <c r="B372" s="6"/>
      <c r="C372" s="90"/>
      <c r="D372" s="159" t="s">
        <v>54</v>
      </c>
      <c r="E372" s="227"/>
      <c r="F372" s="127">
        <v>3.0</v>
      </c>
      <c r="G372" s="221">
        <v>45577.0</v>
      </c>
      <c r="H372" s="195"/>
      <c r="I372" s="130"/>
      <c r="J372" s="228">
        <v>8.0</v>
      </c>
      <c r="K372" s="241"/>
      <c r="L372" s="130"/>
      <c r="M372" s="134" t="str">
        <f>I237</f>
        <v/>
      </c>
      <c r="N372" s="135" t="str">
        <f>iferror(mround($P237*((VLOOKUP($J372,Sheet1!$D:$N,$G372+1,FALSE)-0.03)),2.5)," ")</f>
        <v> </v>
      </c>
      <c r="O372" s="135" t="str">
        <f>iferror(mround($P237*((VLOOKUP($J372,Sheet1!$D:$N,$G372+1,FALSE)+0.02)),2.5)," ")</f>
        <v> </v>
      </c>
      <c r="P372" s="112" t="str">
        <f>iferror(mround(I372/VLOOKUP(L372,Sheet1!$D$7:$N$16,G372+1,FALSE),2.5),"")</f>
        <v/>
      </c>
      <c r="Q372" s="303" t="str">
        <f t="shared" si="9"/>
        <v/>
      </c>
      <c r="R372" s="242"/>
      <c r="S372" s="11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</row>
    <row r="373" ht="3.75" customHeight="1">
      <c r="A373" s="191"/>
      <c r="B373" s="6"/>
      <c r="C373" s="192"/>
      <c r="D373" s="138"/>
      <c r="E373" s="245"/>
      <c r="F373" s="102"/>
      <c r="G373" s="102"/>
      <c r="H373" s="102"/>
      <c r="I373" s="102"/>
      <c r="J373" s="156"/>
      <c r="K373" s="243"/>
      <c r="L373" s="210"/>
      <c r="M373" s="144"/>
      <c r="N373" s="145"/>
      <c r="O373" s="145"/>
      <c r="P373" s="122"/>
      <c r="Q373" s="304" t="str">
        <f t="shared" si="9"/>
        <v/>
      </c>
      <c r="R373" s="242"/>
      <c r="S373" s="157"/>
      <c r="T373" s="5"/>
      <c r="U373" s="5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</row>
    <row r="374" ht="15.75" customHeight="1">
      <c r="A374" s="90"/>
      <c r="B374" s="6"/>
      <c r="C374" s="90"/>
      <c r="D374" s="159" t="s">
        <v>99</v>
      </c>
      <c r="E374" s="246" t="s">
        <v>100</v>
      </c>
      <c r="F374" s="127">
        <v>3.0</v>
      </c>
      <c r="G374" s="221">
        <v>45577.0</v>
      </c>
      <c r="H374" s="195"/>
      <c r="I374" s="130"/>
      <c r="J374" s="228">
        <v>9.0</v>
      </c>
      <c r="K374" s="241"/>
      <c r="L374" s="130"/>
      <c r="M374" s="134" t="str">
        <f>I239</f>
        <v/>
      </c>
      <c r="N374" s="135" t="str">
        <f>iferror(mround($P239*((VLOOKUP($J374,Sheet1!$D:$N,$G374+1,FALSE)-0.03)),2.5)," ")</f>
        <v> </v>
      </c>
      <c r="O374" s="135" t="str">
        <f>iferror(mround($P239*((VLOOKUP($J374,Sheet1!$D:$N,$G374+1,FALSE)+0.02)),2.5)," ")</f>
        <v> </v>
      </c>
      <c r="P374" s="112" t="str">
        <f>iferror(mround(I374/VLOOKUP(L374,Sheet1!$D$7:$N$16,G374+1,FALSE),2.5),"")</f>
        <v/>
      </c>
      <c r="Q374" s="303" t="str">
        <f t="shared" si="9"/>
        <v/>
      </c>
      <c r="R374" s="242"/>
      <c r="S374" s="11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</row>
    <row r="375" ht="3.75" customHeight="1">
      <c r="A375" s="90"/>
      <c r="B375" s="6"/>
      <c r="C375" s="90"/>
      <c r="D375" s="138"/>
      <c r="E375" s="245"/>
      <c r="F375" s="102"/>
      <c r="G375" s="102"/>
      <c r="H375" s="102"/>
      <c r="I375" s="102"/>
      <c r="J375" s="156"/>
      <c r="K375" s="243"/>
      <c r="L375" s="210"/>
      <c r="M375" s="144"/>
      <c r="N375" s="145"/>
      <c r="O375" s="145"/>
      <c r="P375" s="122"/>
      <c r="Q375" s="304" t="str">
        <f t="shared" si="9"/>
        <v/>
      </c>
      <c r="R375" s="242"/>
      <c r="S375" s="11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</row>
    <row r="376" ht="15.75" hidden="1" customHeight="1">
      <c r="A376" s="90"/>
      <c r="B376" s="6"/>
      <c r="C376" s="90"/>
      <c r="D376" s="185"/>
      <c r="E376" s="227"/>
      <c r="F376" s="187"/>
      <c r="G376" s="229"/>
      <c r="H376" s="195"/>
      <c r="I376" s="247"/>
      <c r="J376" s="248"/>
      <c r="K376" s="241"/>
      <c r="L376" s="164"/>
      <c r="M376" s="134" t="str">
        <f>I241</f>
        <v/>
      </c>
      <c r="N376" s="135" t="str">
        <f>iferror(mround($P241*((VLOOKUP($J376,Sheet1!$D:$N,$G376+1,FALSE)-0.03)),2.5)," ")</f>
        <v> </v>
      </c>
      <c r="O376" s="135" t="str">
        <f>iferror(mround($P241*((VLOOKUP($J376,Sheet1!$D:$N,$G376+1,FALSE)+0.02)),2.5)," ")</f>
        <v> </v>
      </c>
      <c r="P376" s="112" t="str">
        <f>iferror(mround(I376/VLOOKUP(L376,Sheet1!$D$7:$N$16,G376+1,FALSE),2.5),"")</f>
        <v/>
      </c>
      <c r="Q376" s="303" t="str">
        <f t="shared" si="9"/>
        <v/>
      </c>
      <c r="R376" s="242"/>
      <c r="S376" s="11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</row>
    <row r="377" ht="3.75" hidden="1" customHeight="1">
      <c r="A377" s="90"/>
      <c r="B377" s="6"/>
      <c r="C377" s="90"/>
      <c r="D377" s="138"/>
      <c r="E377" s="215"/>
      <c r="F377" s="102"/>
      <c r="G377" s="102"/>
      <c r="H377" s="102"/>
      <c r="I377" s="102"/>
      <c r="J377" s="156"/>
      <c r="K377" s="243"/>
      <c r="L377" s="210"/>
      <c r="M377" s="144"/>
      <c r="N377" s="145"/>
      <c r="O377" s="145"/>
      <c r="P377" s="122"/>
      <c r="Q377" s="304" t="str">
        <f t="shared" si="9"/>
        <v/>
      </c>
      <c r="R377" s="242"/>
      <c r="S377" s="11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</row>
    <row r="378" ht="15.75" hidden="1" customHeight="1">
      <c r="A378" s="90"/>
      <c r="B378" s="6"/>
      <c r="C378" s="90"/>
      <c r="D378" s="185"/>
      <c r="E378" s="220"/>
      <c r="F378" s="187"/>
      <c r="G378" s="229"/>
      <c r="H378" s="195"/>
      <c r="I378" s="247"/>
      <c r="J378" s="248"/>
      <c r="K378" s="241"/>
      <c r="L378" s="164"/>
      <c r="M378" s="134" t="str">
        <f>I243</f>
        <v/>
      </c>
      <c r="N378" s="135" t="str">
        <f>iferror(mround($P243*((VLOOKUP($J378,Sheet1!$D:$N,$G378+1,FALSE)-0.03)),2.5)," ")</f>
        <v> </v>
      </c>
      <c r="O378" s="135" t="str">
        <f>iferror(mround($P243*((VLOOKUP($J378,Sheet1!$D:$N,$G378+1,FALSE)+0.02)),2.5)," ")</f>
        <v> </v>
      </c>
      <c r="P378" s="112" t="str">
        <f>iferror(mround(I378/VLOOKUP(L378,Sheet1!$D$7:$N$16,G378+1,FALSE),2.5),"")</f>
        <v/>
      </c>
      <c r="Q378" s="303" t="str">
        <f t="shared" si="9"/>
        <v/>
      </c>
      <c r="R378" s="242"/>
      <c r="S378" s="11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</row>
    <row r="379" ht="3.75" hidden="1" customHeight="1">
      <c r="A379" s="90"/>
      <c r="B379" s="6"/>
      <c r="C379" s="90"/>
      <c r="D379" s="196"/>
      <c r="E379" s="184"/>
      <c r="F379" s="102"/>
      <c r="G379" s="102"/>
      <c r="H379" s="102"/>
      <c r="I379" s="102"/>
      <c r="J379" s="156"/>
      <c r="K379" s="249"/>
      <c r="L379" s="210"/>
      <c r="M379" s="144"/>
      <c r="N379" s="145"/>
      <c r="O379" s="145"/>
      <c r="P379" s="122"/>
      <c r="Q379" s="304" t="str">
        <f t="shared" si="9"/>
        <v/>
      </c>
      <c r="R379" s="242"/>
      <c r="S379" s="11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</row>
    <row r="380" ht="15.75" hidden="1" customHeight="1">
      <c r="A380" s="90"/>
      <c r="B380" s="6"/>
      <c r="C380" s="90"/>
      <c r="D380" s="197"/>
      <c r="E380" s="250"/>
      <c r="F380" s="129"/>
      <c r="G380" s="199"/>
      <c r="H380" s="195"/>
      <c r="I380" s="247"/>
      <c r="J380" s="248"/>
      <c r="K380" s="251"/>
      <c r="L380" s="164"/>
      <c r="M380" s="134" t="str">
        <f>I245</f>
        <v/>
      </c>
      <c r="N380" s="135" t="str">
        <f>iferror(mround($P245*((VLOOKUP($J380,Sheet1!$D:$N,$G380+1,FALSE)-0.03)),2.5)," ")</f>
        <v> </v>
      </c>
      <c r="O380" s="135" t="str">
        <f>iferror(mround($P245*((VLOOKUP($J380,Sheet1!$D:$N,$G380+1,FALSE)+0.02)),2.5)," ")</f>
        <v> </v>
      </c>
      <c r="P380" s="112" t="str">
        <f>iferror(mround(I380/VLOOKUP(L380,Sheet1!$D$7:$N$16,G380+1,FALSE),2.5),"")</f>
        <v/>
      </c>
      <c r="Q380" s="303" t="str">
        <f t="shared" si="9"/>
        <v/>
      </c>
      <c r="R380" s="242"/>
      <c r="S380" s="11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</row>
    <row r="381" ht="3.75" hidden="1" customHeight="1">
      <c r="A381" s="90"/>
      <c r="B381" s="6"/>
      <c r="C381" s="90"/>
      <c r="D381" s="234"/>
      <c r="E381" s="184"/>
      <c r="F381" s="102"/>
      <c r="G381" s="102"/>
      <c r="H381" s="102"/>
      <c r="I381" s="102"/>
      <c r="J381" s="156"/>
      <c r="K381" s="249"/>
      <c r="L381" s="210"/>
      <c r="M381" s="144"/>
      <c r="N381" s="145"/>
      <c r="O381" s="145"/>
      <c r="P381" s="122"/>
      <c r="Q381" s="304" t="str">
        <f t="shared" si="9"/>
        <v/>
      </c>
      <c r="R381" s="242"/>
      <c r="S381" s="11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</row>
    <row r="382" ht="15.75" hidden="1" customHeight="1">
      <c r="A382" s="90"/>
      <c r="B382" s="6"/>
      <c r="C382" s="90"/>
      <c r="D382" s="197"/>
      <c r="E382" s="198"/>
      <c r="F382" s="129"/>
      <c r="G382" s="199"/>
      <c r="H382" s="195"/>
      <c r="I382" s="164"/>
      <c r="J382" s="248"/>
      <c r="K382" s="251"/>
      <c r="L382" s="164"/>
      <c r="M382" s="134" t="str">
        <f>I247</f>
        <v/>
      </c>
      <c r="N382" s="135" t="str">
        <f>iferror(mround($P247*((VLOOKUP($J382,Sheet1!$D:$N,$G382+1,FALSE)-0.03)),2.5)," ")</f>
        <v> </v>
      </c>
      <c r="O382" s="135" t="str">
        <f>iferror(mround($P247*((VLOOKUP($J382,Sheet1!$D:$N,$G382+1,FALSE)+0.02)),2.5)," ")</f>
        <v> </v>
      </c>
      <c r="P382" s="112" t="str">
        <f>iferror(mround(I382/VLOOKUP(L382,Sheet1!$D$7:$N$16,G382+1,FALSE),2.5),"")</f>
        <v/>
      </c>
      <c r="Q382" s="303" t="str">
        <f t="shared" si="9"/>
        <v/>
      </c>
      <c r="R382" s="242"/>
      <c r="S382" s="11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</row>
    <row r="383" ht="3.75" hidden="1" customHeight="1">
      <c r="A383" s="124"/>
      <c r="B383" s="6"/>
      <c r="C383" s="124"/>
      <c r="D383" s="252"/>
      <c r="E383" s="252"/>
      <c r="F383" s="102"/>
      <c r="G383" s="102"/>
      <c r="H383" s="102"/>
      <c r="I383" s="102"/>
      <c r="J383" s="156"/>
      <c r="K383" s="253"/>
      <c r="L383" s="201"/>
      <c r="M383" s="211"/>
      <c r="N383" s="47"/>
      <c r="O383" s="47"/>
      <c r="P383" s="122"/>
      <c r="Q383" s="304" t="str">
        <f t="shared" si="9"/>
        <v/>
      </c>
      <c r="R383" s="242"/>
      <c r="S383" s="11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</row>
    <row r="384" ht="30.75" hidden="1" customHeight="1">
      <c r="A384" s="90"/>
      <c r="B384" s="6"/>
      <c r="C384" s="90"/>
      <c r="D384" s="254" t="s">
        <v>57</v>
      </c>
      <c r="E384" s="255" t="s">
        <v>15</v>
      </c>
      <c r="F384" s="106" t="s">
        <v>16</v>
      </c>
      <c r="G384" s="106" t="s">
        <v>17</v>
      </c>
      <c r="H384" s="107"/>
      <c r="I384" s="106" t="s">
        <v>18</v>
      </c>
      <c r="J384" s="108" t="s">
        <v>19</v>
      </c>
      <c r="L384" s="109" t="s">
        <v>20</v>
      </c>
      <c r="M384" s="110" t="s">
        <v>21</v>
      </c>
      <c r="N384" s="111" t="s">
        <v>22</v>
      </c>
      <c r="P384" s="112"/>
      <c r="Q384" s="113" t="s">
        <v>23</v>
      </c>
      <c r="R384" s="256" t="s">
        <v>58</v>
      </c>
      <c r="S384" s="11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</row>
    <row r="385" ht="14.25" hidden="1" customHeight="1">
      <c r="A385" s="90"/>
      <c r="B385" s="6"/>
      <c r="C385" s="90"/>
      <c r="D385" s="257" t="s">
        <v>25</v>
      </c>
      <c r="E385" s="258" t="s">
        <v>26</v>
      </c>
      <c r="H385" s="107"/>
      <c r="N385" s="111" t="s">
        <v>27</v>
      </c>
      <c r="O385" s="111" t="s">
        <v>28</v>
      </c>
      <c r="P385" s="112" t="s">
        <v>29</v>
      </c>
      <c r="R385" s="118" t="s">
        <v>30</v>
      </c>
      <c r="S385" s="11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</row>
    <row r="386" ht="3.75" hidden="1" customHeight="1">
      <c r="A386" s="124"/>
      <c r="B386" s="6"/>
      <c r="C386" s="124"/>
      <c r="D386" s="252"/>
      <c r="E386" s="252"/>
      <c r="F386" s="102"/>
      <c r="G386" s="102"/>
      <c r="H386" s="102"/>
      <c r="I386" s="102"/>
      <c r="J386" s="156"/>
      <c r="K386" s="253"/>
      <c r="L386" s="201"/>
      <c r="M386" s="211"/>
      <c r="N386" s="47"/>
      <c r="O386" s="47"/>
      <c r="P386" s="122"/>
      <c r="Q386" s="304" t="str">
        <f t="shared" ref="Q386:Q409" si="10">IF(OR(ISBLANK(I386), ISBLANK(I251)), "", IF(I386 - I251 = 0, "", I386 - I251))</f>
        <v/>
      </c>
      <c r="R386" s="259"/>
      <c r="S386" s="11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</row>
    <row r="387" ht="14.25" hidden="1" customHeight="1">
      <c r="A387" s="124"/>
      <c r="B387" s="6"/>
      <c r="C387" s="124"/>
      <c r="D387" s="260"/>
      <c r="E387" s="126"/>
      <c r="F387" s="187"/>
      <c r="G387" s="229"/>
      <c r="H387" s="129"/>
      <c r="I387" s="164"/>
      <c r="J387" s="189"/>
      <c r="K387" s="251"/>
      <c r="L387" s="164"/>
      <c r="M387" s="134" t="str">
        <f>I254</f>
        <v/>
      </c>
      <c r="N387" s="135" t="str">
        <f>iferror(mround($P254*((VLOOKUP($J387,Sheet1!$D:$N,$G387+1,FALSE)-0.03)),2.5)," ")</f>
        <v> </v>
      </c>
      <c r="O387" s="135" t="str">
        <f>iferror(mround($P254*((VLOOKUP($J387,Sheet1!$D:$N,$G387+1,FALSE)+0.02)),2.5)," ")</f>
        <v> </v>
      </c>
      <c r="P387" s="56" t="str">
        <f>iferror(mround(I387/VLOOKUP(L387,Sheet1!$D$7:$N$16,G387+1,FALSE),2.5),"")</f>
        <v/>
      </c>
      <c r="Q387" s="303" t="str">
        <f t="shared" si="10"/>
        <v/>
      </c>
      <c r="S387" s="11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</row>
    <row r="388" ht="3.75" hidden="1" customHeight="1">
      <c r="A388" s="124"/>
      <c r="B388" s="6"/>
      <c r="C388" s="124"/>
      <c r="D388" s="138"/>
      <c r="E388" s="215"/>
      <c r="F388" s="102"/>
      <c r="G388" s="102"/>
      <c r="H388" s="102"/>
      <c r="I388" s="102"/>
      <c r="J388" s="156"/>
      <c r="K388" s="249"/>
      <c r="L388" s="210"/>
      <c r="M388" s="144"/>
      <c r="N388" s="145"/>
      <c r="O388" s="145"/>
      <c r="P388" s="122"/>
      <c r="Q388" s="304" t="str">
        <f t="shared" si="10"/>
        <v/>
      </c>
      <c r="S388" s="11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</row>
    <row r="389" ht="14.25" hidden="1" customHeight="1">
      <c r="A389" s="124"/>
      <c r="B389" s="6"/>
      <c r="C389" s="124"/>
      <c r="D389" s="185"/>
      <c r="E389" s="227"/>
      <c r="F389" s="187"/>
      <c r="G389" s="229"/>
      <c r="H389" s="195"/>
      <c r="I389" s="164"/>
      <c r="J389" s="248"/>
      <c r="K389" s="251"/>
      <c r="L389" s="164"/>
      <c r="M389" s="134" t="str">
        <f>I254</f>
        <v/>
      </c>
      <c r="N389" s="135" t="str">
        <f>iferror(mround($P254*((VLOOKUP($J389,Sheet1!$D:$N,$G389+1,FALSE)-0.03)),2.5)," ")</f>
        <v> </v>
      </c>
      <c r="O389" s="135" t="str">
        <f>iferror(mround($P254*((VLOOKUP($J389,Sheet1!$D:$N,$G389+1,FALSE)+0.02)),2.5)," ")</f>
        <v> </v>
      </c>
      <c r="P389" s="112" t="str">
        <f>iferror(mround(I389/VLOOKUP(L389,Sheet1!$D$7:$N$16,G389+1,FALSE),2.5),"")</f>
        <v/>
      </c>
      <c r="Q389" s="303" t="str">
        <f t="shared" si="10"/>
        <v/>
      </c>
      <c r="S389" s="11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</row>
    <row r="390" ht="3.75" hidden="1" customHeight="1">
      <c r="A390" s="124"/>
      <c r="B390" s="6"/>
      <c r="C390" s="124"/>
      <c r="D390" s="138"/>
      <c r="E390" s="245"/>
      <c r="F390" s="102"/>
      <c r="G390" s="102"/>
      <c r="H390" s="102"/>
      <c r="I390" s="102"/>
      <c r="J390" s="156"/>
      <c r="K390" s="249"/>
      <c r="L390" s="210"/>
      <c r="M390" s="144"/>
      <c r="N390" s="145"/>
      <c r="O390" s="145"/>
      <c r="P390" s="122"/>
      <c r="Q390" s="304" t="str">
        <f t="shared" si="10"/>
        <v/>
      </c>
      <c r="S390" s="11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</row>
    <row r="391" ht="14.25" hidden="1" customHeight="1">
      <c r="A391" s="124"/>
      <c r="B391" s="6"/>
      <c r="C391" s="124"/>
      <c r="D391" s="185"/>
      <c r="E391" s="227"/>
      <c r="F391" s="187"/>
      <c r="G391" s="229"/>
      <c r="H391" s="195"/>
      <c r="I391" s="164"/>
      <c r="J391" s="248"/>
      <c r="K391" s="251"/>
      <c r="L391" s="164"/>
      <c r="M391" s="134" t="str">
        <f>I256</f>
        <v/>
      </c>
      <c r="N391" s="135" t="str">
        <f>iferror(mround($P256*((VLOOKUP($J391,Sheet1!$D:$N,$G391+1,FALSE)-0.03)),2.5)," ")</f>
        <v> </v>
      </c>
      <c r="O391" s="135" t="str">
        <f>iferror(mround($P256*((VLOOKUP($J391,Sheet1!$D:$N,$G391+1,FALSE)+0.02)),2.5)," ")</f>
        <v> </v>
      </c>
      <c r="P391" s="112" t="str">
        <f>iferror(mround(I391/VLOOKUP(L391,Sheet1!$D$7:$N$16,G391+1,FALSE),2.5),"")</f>
        <v/>
      </c>
      <c r="Q391" s="303" t="str">
        <f t="shared" si="10"/>
        <v/>
      </c>
      <c r="S391" s="11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</row>
    <row r="392" ht="3.75" hidden="1" customHeight="1">
      <c r="A392" s="124"/>
      <c r="B392" s="6"/>
      <c r="C392" s="124"/>
      <c r="D392" s="138"/>
      <c r="E392" s="245"/>
      <c r="F392" s="102"/>
      <c r="G392" s="102"/>
      <c r="H392" s="102"/>
      <c r="I392" s="102"/>
      <c r="J392" s="156"/>
      <c r="K392" s="249"/>
      <c r="L392" s="210"/>
      <c r="M392" s="144"/>
      <c r="N392" s="145"/>
      <c r="O392" s="145"/>
      <c r="P392" s="122"/>
      <c r="Q392" s="304" t="str">
        <f t="shared" si="10"/>
        <v/>
      </c>
      <c r="S392" s="11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</row>
    <row r="393" ht="14.25" hidden="1" customHeight="1">
      <c r="A393" s="124"/>
      <c r="B393" s="6"/>
      <c r="C393" s="124"/>
      <c r="D393" s="185"/>
      <c r="E393" s="227"/>
      <c r="F393" s="187"/>
      <c r="G393" s="229"/>
      <c r="H393" s="195"/>
      <c r="I393" s="164"/>
      <c r="J393" s="248"/>
      <c r="K393" s="251"/>
      <c r="L393" s="164"/>
      <c r="M393" s="134"/>
      <c r="N393" s="135" t="str">
        <f>iferror(mround($P258*((VLOOKUP($J393,Sheet1!$D:$N,$G393+1,FALSE)-0.03)),2.5)," ")</f>
        <v> </v>
      </c>
      <c r="O393" s="135" t="str">
        <f>iferror(mround($P258*((VLOOKUP($J393,Sheet1!$D:$N,$G393+1,FALSE)+0.02)),2.5)," ")</f>
        <v> </v>
      </c>
      <c r="P393" s="112" t="str">
        <f>iferror(mround(I393/VLOOKUP(L393,Sheet1!$D$7:$N$16,G393+1,FALSE),2.5),"")</f>
        <v/>
      </c>
      <c r="Q393" s="303" t="str">
        <f t="shared" si="10"/>
        <v/>
      </c>
      <c r="S393" s="11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</row>
    <row r="394" ht="3.75" hidden="1" customHeight="1">
      <c r="A394" s="124"/>
      <c r="B394" s="6"/>
      <c r="C394" s="124"/>
      <c r="D394" s="138"/>
      <c r="E394" s="245"/>
      <c r="F394" s="102"/>
      <c r="G394" s="102"/>
      <c r="H394" s="102"/>
      <c r="I394" s="102"/>
      <c r="J394" s="156"/>
      <c r="K394" s="249"/>
      <c r="L394" s="210"/>
      <c r="M394" s="144"/>
      <c r="N394" s="145" t="str">
        <f>iferror(mround($P259*((VLOOKUP($J394,Sheet1!$D:$N,$G394+1,FALSE)-0.03)),2.5)," ")</f>
        <v> </v>
      </c>
      <c r="O394" s="145" t="str">
        <f>iferror(mround($P259*((VLOOKUP($J394,Sheet1!$D:$N,$G394+1,FALSE)+0.02)),2.5)," ")</f>
        <v> </v>
      </c>
      <c r="P394" s="122"/>
      <c r="Q394" s="304" t="str">
        <f t="shared" si="10"/>
        <v/>
      </c>
      <c r="S394" s="11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</row>
    <row r="395" ht="14.25" hidden="1" customHeight="1">
      <c r="A395" s="124"/>
      <c r="B395" s="6"/>
      <c r="C395" s="124"/>
      <c r="D395" s="185"/>
      <c r="E395" s="227"/>
      <c r="F395" s="187"/>
      <c r="G395" s="187"/>
      <c r="H395" s="195"/>
      <c r="I395" s="164"/>
      <c r="J395" s="248"/>
      <c r="K395" s="251"/>
      <c r="L395" s="164"/>
      <c r="M395" s="134" t="str">
        <f>I260</f>
        <v/>
      </c>
      <c r="N395" s="135" t="str">
        <f>iferror(mround($P260*((VLOOKUP($J395,Sheet1!$D:$N,$G395+1,FALSE)-0.03)),2.5)," ")</f>
        <v> </v>
      </c>
      <c r="O395" s="135" t="str">
        <f>iferror(mround($P260*((VLOOKUP($J395,Sheet1!$D:$N,$G395+1,FALSE)+0.02)),2.5)," ")</f>
        <v> </v>
      </c>
      <c r="P395" s="112" t="str">
        <f>iferror(mround(I395/VLOOKUP(L395,Sheet1!$D$7:$N$16,G395+1,FALSE),2.5),"")</f>
        <v/>
      </c>
      <c r="Q395" s="303" t="str">
        <f t="shared" si="10"/>
        <v/>
      </c>
      <c r="S395" s="11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</row>
    <row r="396" ht="3.75" hidden="1" customHeight="1">
      <c r="A396" s="261"/>
      <c r="B396" s="6"/>
      <c r="C396" s="262"/>
      <c r="D396" s="138"/>
      <c r="E396" s="245"/>
      <c r="F396" s="102"/>
      <c r="G396" s="102"/>
      <c r="H396" s="102"/>
      <c r="I396" s="102"/>
      <c r="J396" s="156"/>
      <c r="K396" s="249"/>
      <c r="L396" s="210"/>
      <c r="M396" s="144"/>
      <c r="N396" s="145"/>
      <c r="O396" s="145"/>
      <c r="P396" s="122"/>
      <c r="Q396" s="304" t="str">
        <f t="shared" si="10"/>
        <v/>
      </c>
      <c r="S396" s="157"/>
      <c r="T396" s="5"/>
      <c r="U396" s="5"/>
      <c r="V396" s="158"/>
      <c r="W396" s="158"/>
      <c r="X396" s="158"/>
      <c r="Y396" s="158"/>
      <c r="Z396" s="158"/>
      <c r="AA396" s="158"/>
      <c r="AB396" s="158"/>
      <c r="AC396" s="158"/>
      <c r="AD396" s="158"/>
      <c r="AE396" s="158"/>
      <c r="AF396" s="158"/>
      <c r="AG396" s="158"/>
    </row>
    <row r="397" ht="14.25" hidden="1" customHeight="1">
      <c r="A397" s="124"/>
      <c r="B397" s="6"/>
      <c r="C397" s="124"/>
      <c r="D397" s="185"/>
      <c r="E397" s="227"/>
      <c r="F397" s="187"/>
      <c r="G397" s="187"/>
      <c r="H397" s="195"/>
      <c r="I397" s="164"/>
      <c r="J397" s="248"/>
      <c r="K397" s="251"/>
      <c r="L397" s="164"/>
      <c r="M397" s="134" t="str">
        <f>I262</f>
        <v/>
      </c>
      <c r="N397" s="135" t="str">
        <f>iferror(mround($P262*((VLOOKUP($J397,Sheet1!$D:$N,$G397+1,FALSE)-0.03)),2.5)," ")</f>
        <v> </v>
      </c>
      <c r="O397" s="135" t="str">
        <f>iferror(mround($P262*((VLOOKUP($J397,Sheet1!$D:$N,$G397+1,FALSE)+0.02)),2.5)," ")</f>
        <v> </v>
      </c>
      <c r="P397" s="112" t="str">
        <f>iferror(mround(I397/VLOOKUP(L397,Sheet1!$D$7:$N$16,G397+1,FALSE),2.5),"")</f>
        <v/>
      </c>
      <c r="Q397" s="303" t="str">
        <f t="shared" si="10"/>
        <v/>
      </c>
      <c r="S397" s="11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</row>
    <row r="398" ht="3.75" hidden="1" customHeight="1">
      <c r="A398" s="261"/>
      <c r="B398" s="6"/>
      <c r="C398" s="262"/>
      <c r="D398" s="138"/>
      <c r="E398" s="252"/>
      <c r="F398" s="102"/>
      <c r="G398" s="102"/>
      <c r="H398" s="102"/>
      <c r="I398" s="102"/>
      <c r="J398" s="156"/>
      <c r="K398" s="249"/>
      <c r="L398" s="210"/>
      <c r="M398" s="144"/>
      <c r="N398" s="145"/>
      <c r="O398" s="145"/>
      <c r="P398" s="122"/>
      <c r="Q398" s="304" t="str">
        <f t="shared" si="10"/>
        <v/>
      </c>
      <c r="S398" s="157"/>
      <c r="T398" s="5"/>
      <c r="U398" s="5"/>
      <c r="V398" s="158"/>
      <c r="W398" s="158"/>
      <c r="X398" s="158"/>
      <c r="Y398" s="158"/>
      <c r="Z398" s="158"/>
      <c r="AA398" s="158"/>
      <c r="AB398" s="158"/>
      <c r="AC398" s="158"/>
      <c r="AD398" s="158"/>
      <c r="AE398" s="158"/>
      <c r="AF398" s="158"/>
      <c r="AG398" s="158"/>
    </row>
    <row r="399" ht="15.75" hidden="1" customHeight="1">
      <c r="A399" s="124"/>
      <c r="B399" s="6"/>
      <c r="C399" s="124"/>
      <c r="D399" s="185"/>
      <c r="E399" s="260"/>
      <c r="F399" s="187"/>
      <c r="G399" s="187"/>
      <c r="H399" s="195"/>
      <c r="I399" s="247"/>
      <c r="J399" s="248"/>
      <c r="K399" s="251"/>
      <c r="L399" s="164"/>
      <c r="M399" s="134"/>
      <c r="N399" s="135" t="str">
        <f>iferror(mround($P264*((VLOOKUP($J399,Sheet1!$D:$N,$G399+1,FALSE)-0.03)),2.5)," ")</f>
        <v> </v>
      </c>
      <c r="O399" s="135" t="str">
        <f>iferror(mround($P264*((VLOOKUP($J399,Sheet1!$D:$N,$G399+1,FALSE)+0.02)),2.5)," ")</f>
        <v> </v>
      </c>
      <c r="P399" s="112" t="str">
        <f>iferror(mround(I399/VLOOKUP(L399,Sheet1!$D$7:$N$16,G399+1,FALSE),2.5),"")</f>
        <v/>
      </c>
      <c r="Q399" s="303" t="str">
        <f t="shared" si="10"/>
        <v/>
      </c>
      <c r="S399" s="11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</row>
    <row r="400" ht="3.75" hidden="1" customHeight="1">
      <c r="A400" s="124"/>
      <c r="B400" s="6"/>
      <c r="C400" s="124"/>
      <c r="D400" s="263"/>
      <c r="E400" s="252"/>
      <c r="F400" s="102"/>
      <c r="G400" s="102"/>
      <c r="H400" s="102"/>
      <c r="I400" s="102"/>
      <c r="J400" s="156"/>
      <c r="K400" s="249"/>
      <c r="L400" s="210"/>
      <c r="M400" s="144"/>
      <c r="N400" s="145" t="str">
        <f>iferror(mround($P265*((VLOOKUP($J400,Sheet1!$D:$N,$G400+1,FALSE)-0.03)),2.5)," ")</f>
        <v> </v>
      </c>
      <c r="O400" s="145" t="str">
        <f>iferror(mround($P265*((VLOOKUP($J400,Sheet1!$D:$N,$G400+1,FALSE)+0.02)),2.5)," ")</f>
        <v> </v>
      </c>
      <c r="P400" s="122"/>
      <c r="Q400" s="304" t="str">
        <f t="shared" si="10"/>
        <v/>
      </c>
      <c r="S400" s="11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</row>
    <row r="401" ht="14.25" hidden="1" customHeight="1">
      <c r="A401" s="90"/>
      <c r="B401" s="6"/>
      <c r="C401" s="90"/>
      <c r="D401" s="185"/>
      <c r="E401" s="264"/>
      <c r="F401" s="187"/>
      <c r="G401" s="187"/>
      <c r="H401" s="195"/>
      <c r="I401" s="164"/>
      <c r="J401" s="248"/>
      <c r="K401" s="251"/>
      <c r="L401" s="164"/>
      <c r="M401" s="134" t="str">
        <f>I266</f>
        <v/>
      </c>
      <c r="N401" s="135" t="str">
        <f>iferror(mround($P266*((VLOOKUP($J401,Sheet1!$D:$N,$G401+1,FALSE)-0.03)),2.5)," ")</f>
        <v> </v>
      </c>
      <c r="O401" s="135" t="str">
        <f>iferror(mround($P266*((VLOOKUP($J401,Sheet1!$D:$N,$G401+1,FALSE)+0.02)),2.5)," ")</f>
        <v> </v>
      </c>
      <c r="P401" s="112" t="str">
        <f>iferror(mround(I401/VLOOKUP(L401,Sheet1!$D$7:$N$16,G401+1,FALSE),2.5),"")</f>
        <v/>
      </c>
      <c r="Q401" s="303" t="str">
        <f t="shared" si="10"/>
        <v/>
      </c>
      <c r="S401" s="11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</row>
    <row r="402" ht="3.75" hidden="1" customHeight="1">
      <c r="A402" s="261"/>
      <c r="B402" s="6"/>
      <c r="C402" s="262"/>
      <c r="D402" s="263"/>
      <c r="E402" s="263"/>
      <c r="F402" s="194"/>
      <c r="G402" s="194"/>
      <c r="H402" s="155"/>
      <c r="I402" s="210"/>
      <c r="J402" s="265"/>
      <c r="K402" s="249"/>
      <c r="L402" s="210"/>
      <c r="M402" s="144"/>
      <c r="N402" s="145"/>
      <c r="O402" s="145"/>
      <c r="P402" s="122"/>
      <c r="Q402" s="304" t="str">
        <f t="shared" si="10"/>
        <v/>
      </c>
      <c r="S402" s="157"/>
      <c r="T402" s="5"/>
      <c r="U402" s="5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/>
      <c r="AF402" s="158"/>
      <c r="AG402" s="158"/>
    </row>
    <row r="403" ht="15.75" hidden="1" customHeight="1">
      <c r="A403" s="90"/>
      <c r="B403" s="6"/>
      <c r="C403" s="90"/>
      <c r="D403" s="185"/>
      <c r="E403" s="266"/>
      <c r="F403" s="187"/>
      <c r="G403" s="187"/>
      <c r="H403" s="195"/>
      <c r="I403" s="164"/>
      <c r="J403" s="248"/>
      <c r="K403" s="251"/>
      <c r="L403" s="164"/>
      <c r="M403" s="134"/>
      <c r="N403" s="135" t="str">
        <f>iferror(mround($P268*((VLOOKUP($J403,Sheet1!$D:$N,$G403+1,FALSE)-0.03)),2.5)," ")</f>
        <v> </v>
      </c>
      <c r="O403" s="135" t="str">
        <f>iferror(mround($P268*((VLOOKUP($J403,Sheet1!$D:$N,$G403+1,FALSE)+0.02)),2.5)," ")</f>
        <v> </v>
      </c>
      <c r="P403" s="112" t="str">
        <f>iferror(mround(I403/VLOOKUP(L403,Sheet1!$D$7:$N$16,G403+1,FALSE),2.5),"")</f>
        <v/>
      </c>
      <c r="Q403" s="303" t="str">
        <f t="shared" si="10"/>
        <v/>
      </c>
      <c r="S403" s="11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</row>
    <row r="404" ht="3.75" hidden="1" customHeight="1">
      <c r="A404" s="90"/>
      <c r="B404" s="6"/>
      <c r="C404" s="90"/>
      <c r="D404" s="138"/>
      <c r="E404" s="252"/>
      <c r="F404" s="102"/>
      <c r="G404" s="102"/>
      <c r="H404" s="102"/>
      <c r="I404" s="102"/>
      <c r="J404" s="156"/>
      <c r="K404" s="249"/>
      <c r="L404" s="210"/>
      <c r="M404" s="144"/>
      <c r="N404" s="145" t="str">
        <f>iferror(mround($P269*((VLOOKUP($J404,Sheet1!$D:$N,$G404+1,FALSE)-0.03)),2.5)," ")</f>
        <v> </v>
      </c>
      <c r="O404" s="145" t="str">
        <f>iferror(mround($P269*((VLOOKUP($J404,Sheet1!$D:$N,$G404+1,FALSE)+0.02)),2.5)," ")</f>
        <v> </v>
      </c>
      <c r="P404" s="122"/>
      <c r="Q404" s="304" t="str">
        <f t="shared" si="10"/>
        <v/>
      </c>
      <c r="S404" s="11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</row>
    <row r="405" ht="15.75" hidden="1" customHeight="1">
      <c r="A405" s="90"/>
      <c r="B405" s="6"/>
      <c r="C405" s="90"/>
      <c r="D405" s="185"/>
      <c r="E405" s="264"/>
      <c r="F405" s="187"/>
      <c r="G405" s="187"/>
      <c r="H405" s="195"/>
      <c r="I405" s="164"/>
      <c r="J405" s="248"/>
      <c r="K405" s="251"/>
      <c r="L405" s="164"/>
      <c r="M405" s="134" t="str">
        <f>I270</f>
        <v/>
      </c>
      <c r="N405" s="135" t="str">
        <f>iferror(mround($P270*((VLOOKUP($J405,Sheet1!$D:$N,$G405+1,FALSE)-0.03)),2.5)," ")</f>
        <v> </v>
      </c>
      <c r="O405" s="135" t="str">
        <f>iferror(mround($P270*((VLOOKUP($J405,Sheet1!$D:$N,$G405+1,FALSE)+0.02)),2.5)," ")</f>
        <v> </v>
      </c>
      <c r="P405" s="112" t="str">
        <f>iferror(mround(I405/VLOOKUP(L405,Sheet1!$D$7:$N$16,G405+1,FALSE),2.5),"")</f>
        <v/>
      </c>
      <c r="Q405" s="303" t="str">
        <f t="shared" si="10"/>
        <v/>
      </c>
      <c r="S405" s="11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</row>
    <row r="406" ht="3.75" hidden="1" customHeight="1">
      <c r="A406" s="191"/>
      <c r="B406" s="6"/>
      <c r="C406" s="192"/>
      <c r="D406" s="138"/>
      <c r="E406" s="252"/>
      <c r="F406" s="102"/>
      <c r="G406" s="102"/>
      <c r="H406" s="102"/>
      <c r="I406" s="102"/>
      <c r="J406" s="156"/>
      <c r="K406" s="249"/>
      <c r="L406" s="210"/>
      <c r="M406" s="144"/>
      <c r="N406" s="145"/>
      <c r="O406" s="145"/>
      <c r="P406" s="122"/>
      <c r="Q406" s="304" t="str">
        <f t="shared" si="10"/>
        <v/>
      </c>
      <c r="S406" s="157"/>
      <c r="T406" s="5"/>
      <c r="U406" s="5"/>
      <c r="V406" s="158"/>
      <c r="W406" s="158"/>
      <c r="X406" s="158"/>
      <c r="Y406" s="158"/>
      <c r="Z406" s="158"/>
      <c r="AA406" s="158"/>
      <c r="AB406" s="158"/>
      <c r="AC406" s="158"/>
      <c r="AD406" s="158"/>
      <c r="AE406" s="158"/>
      <c r="AF406" s="158"/>
      <c r="AG406" s="158"/>
    </row>
    <row r="407" ht="15.75" hidden="1" customHeight="1">
      <c r="A407" s="90"/>
      <c r="B407" s="6"/>
      <c r="C407" s="90"/>
      <c r="D407" s="185"/>
      <c r="E407" s="260"/>
      <c r="F407" s="187"/>
      <c r="G407" s="187"/>
      <c r="H407" s="195"/>
      <c r="I407" s="164"/>
      <c r="J407" s="248"/>
      <c r="K407" s="251"/>
      <c r="L407" s="164"/>
      <c r="M407" s="134" t="str">
        <f>I272</f>
        <v/>
      </c>
      <c r="N407" s="135" t="str">
        <f>iferror(mround($P272*((VLOOKUP($J407,Sheet1!$D:$N,$G407+1,FALSE)-0.03)),2.5)," ")</f>
        <v> </v>
      </c>
      <c r="O407" s="135" t="str">
        <f>iferror(mround($P272*((VLOOKUP($J407,Sheet1!$D:$N,$G407+1,FALSE)+0.02)),2.5)," ")</f>
        <v> </v>
      </c>
      <c r="P407" s="112" t="str">
        <f>iferror(mround(I407/VLOOKUP(L407,Sheet1!$D$7:$N$16,G407+1,FALSE),2.5),"")</f>
        <v/>
      </c>
      <c r="Q407" s="303" t="str">
        <f t="shared" si="10"/>
        <v/>
      </c>
      <c r="S407" s="11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</row>
    <row r="408" ht="3.75" hidden="1" customHeight="1">
      <c r="A408" s="90"/>
      <c r="B408" s="6"/>
      <c r="C408" s="90"/>
      <c r="D408" s="263"/>
      <c r="E408" s="252"/>
      <c r="F408" s="102"/>
      <c r="G408" s="102"/>
      <c r="H408" s="102"/>
      <c r="I408" s="102"/>
      <c r="J408" s="156"/>
      <c r="K408" s="249"/>
      <c r="L408" s="210"/>
      <c r="M408" s="144"/>
      <c r="N408" s="145"/>
      <c r="O408" s="145"/>
      <c r="P408" s="122"/>
      <c r="Q408" s="304" t="str">
        <f t="shared" si="10"/>
        <v/>
      </c>
      <c r="S408" s="11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</row>
    <row r="409" ht="15.75" hidden="1" customHeight="1">
      <c r="A409" s="90"/>
      <c r="B409" s="6"/>
      <c r="C409" s="90"/>
      <c r="D409" s="185"/>
      <c r="E409" s="266"/>
      <c r="F409" s="187"/>
      <c r="G409" s="187"/>
      <c r="H409" s="195"/>
      <c r="I409" s="164"/>
      <c r="J409" s="248"/>
      <c r="K409" s="251"/>
      <c r="L409" s="164"/>
      <c r="M409" s="134" t="str">
        <f>I274</f>
        <v/>
      </c>
      <c r="N409" s="135" t="str">
        <f>iferror(mround($P274*((VLOOKUP($J409,Sheet1!$D:$N,$G409+1,FALSE)-0.03)),2.5)," ")</f>
        <v> </v>
      </c>
      <c r="O409" s="135" t="str">
        <f>iferror(mround($P274*((VLOOKUP($J409,Sheet1!$D:$N,$G409+1,FALSE)+0.02)),2.5)," ")</f>
        <v> </v>
      </c>
      <c r="P409" s="112" t="str">
        <f>iferror(mround(I409/VLOOKUP(L409,Sheet1!$D$7:$N$16,G409+1,FALSE),2.5),"")</f>
        <v/>
      </c>
      <c r="Q409" s="303" t="str">
        <f t="shared" si="10"/>
        <v/>
      </c>
      <c r="S409" s="11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</row>
    <row r="410" ht="3.75" customHeight="1">
      <c r="A410" s="191"/>
      <c r="B410" s="6"/>
      <c r="C410" s="192"/>
      <c r="D410" s="192"/>
      <c r="E410" s="267"/>
      <c r="F410" s="194"/>
      <c r="G410" s="194"/>
      <c r="H410" s="155"/>
      <c r="I410" s="210"/>
      <c r="J410" s="268"/>
      <c r="K410" s="249"/>
      <c r="L410" s="269"/>
      <c r="M410" s="270"/>
      <c r="N410" s="269"/>
      <c r="O410" s="269"/>
      <c r="P410" s="271"/>
      <c r="Q410" s="272"/>
      <c r="R410" s="273"/>
      <c r="S410" s="157"/>
      <c r="T410" s="5"/>
      <c r="U410" s="5"/>
      <c r="V410" s="158"/>
      <c r="W410" s="158"/>
      <c r="X410" s="158"/>
      <c r="Y410" s="158"/>
      <c r="Z410" s="158"/>
      <c r="AA410" s="158"/>
      <c r="AB410" s="158"/>
      <c r="AC410" s="158"/>
      <c r="AD410" s="158"/>
      <c r="AE410" s="158"/>
      <c r="AF410" s="158"/>
      <c r="AG410" s="158"/>
    </row>
    <row r="411" ht="14.25" customHeight="1">
      <c r="A411" s="5"/>
      <c r="B411" s="6"/>
      <c r="C411" s="5"/>
      <c r="D411" s="274"/>
      <c r="E411" s="266"/>
      <c r="F411" s="187"/>
      <c r="G411" s="187"/>
      <c r="H411" s="195"/>
      <c r="I411" s="129"/>
      <c r="J411" s="275"/>
      <c r="K411" s="276"/>
      <c r="L411" s="187"/>
      <c r="M411" s="187"/>
      <c r="N411" s="187"/>
      <c r="O411" s="187"/>
      <c r="P411" s="277"/>
      <c r="Q411" s="278"/>
      <c r="R411" s="279"/>
      <c r="S411" s="11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</row>
    <row r="412" ht="14.25" customHeight="1">
      <c r="A412" s="5"/>
      <c r="B412" s="6"/>
      <c r="C412" s="5"/>
      <c r="D412" s="274" t="s">
        <v>59</v>
      </c>
      <c r="E412" s="266" t="s">
        <v>16</v>
      </c>
      <c r="F412" s="187" t="s">
        <v>17</v>
      </c>
      <c r="G412" s="187" t="s">
        <v>60</v>
      </c>
      <c r="H412" s="187"/>
      <c r="I412" s="280" t="s">
        <v>61</v>
      </c>
      <c r="J412" s="266" t="s">
        <v>62</v>
      </c>
      <c r="K412" s="274"/>
      <c r="L412" s="187"/>
      <c r="M412" s="285"/>
      <c r="N412" s="285"/>
      <c r="O412" s="285"/>
      <c r="P412" s="282"/>
      <c r="Q412" s="278"/>
      <c r="R412" s="157"/>
      <c r="S412" s="11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</row>
    <row r="413" ht="14.25" customHeight="1">
      <c r="A413" s="5"/>
      <c r="B413" s="6"/>
      <c r="C413" s="5"/>
      <c r="D413" s="274" t="s">
        <v>6</v>
      </c>
      <c r="E413" s="283">
        <f>IFERROR(__xludf.DUMMYFUNCTION("SUM(FILTER(F288:F412, ISNUMBER(SEARCH(""squat"", D288:D412))))"),8.0)</f>
        <v>8</v>
      </c>
      <c r="F413" s="284">
        <f>IFERROR(__xludf.DUMMYFUNCTION("SUMPRODUCT(FILTER(F288:F412 * G288:G412, ISNUMBER(SEARCH(""squat"", D288:D412))))"),42.0)</f>
        <v>42</v>
      </c>
      <c r="G413" s="135">
        <f>IFERROR(__xludf.DUMMYFUNCTION("ROUND(SUMPRODUCT(FILTER(F288:F412 * G288:G412 * I288:I412, ISNUMBER(SEARCH(""squat"", D288:D412)))), 0)"),16694.0)</f>
        <v>16694</v>
      </c>
      <c r="H413" s="285"/>
      <c r="I413" s="135">
        <f>IFERROR(__xludf.DUMMYFUNCTION("ROUND(AVERAGE(FILTER(I288:I412, ISNUMBER(SEARCH(""squat"", D288:D412)), I288:I412 &lt;&gt; """")) / J413 * 100, 0)"),74.0)</f>
        <v>74</v>
      </c>
      <c r="J413" s="283">
        <f>IFERROR(__xludf.DUMMYFUNCTION("IFERROR(MROUND(AVERAGE(FILTER(P288:P412, D288:D412 = ""comp squat"", P288:P412 &lt;&gt; """", P288:P412 &gt;= 0.9 * MAX(FILTER(P288:P412, D288:D412 = ""comp squat"", P288:P412 &lt;&gt; """")), P288:P412 &lt;= 1.1 * MAX(FILTER(P288:P412, D288:D412 = ""comp squat"", P288:P41"&amp;"2 &lt;&gt; """")))), 2.5), ""No valid data"")"),550.0)</f>
        <v>550</v>
      </c>
      <c r="K413" s="286"/>
      <c r="L413" s="287">
        <f>MROUND(J413/2.2046,2.5)-$O$10</f>
        <v>7.5</v>
      </c>
      <c r="M413" s="305"/>
      <c r="N413" s="305"/>
      <c r="O413" s="305"/>
      <c r="P413" s="282"/>
      <c r="Q413" s="278"/>
      <c r="R413" s="291"/>
      <c r="S413" s="11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</row>
    <row r="414" ht="3.0" customHeight="1">
      <c r="A414" s="5"/>
      <c r="B414" s="6"/>
      <c r="C414" s="5"/>
      <c r="D414" s="90"/>
      <c r="E414" s="156"/>
      <c r="F414" s="102"/>
      <c r="G414" s="145"/>
      <c r="H414" s="102"/>
      <c r="I414" s="145"/>
      <c r="J414" s="156"/>
      <c r="K414" s="286"/>
      <c r="L414" s="292"/>
      <c r="M414" s="284"/>
      <c r="N414" s="284"/>
      <c r="O414" s="305"/>
      <c r="P414" s="282"/>
      <c r="Q414" s="278"/>
      <c r="R414" s="115"/>
      <c r="S414" s="11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</row>
    <row r="415" ht="15.75" customHeight="1">
      <c r="A415" s="5"/>
      <c r="B415" s="6"/>
      <c r="C415" s="5"/>
      <c r="D415" s="274" t="s">
        <v>66</v>
      </c>
      <c r="E415" s="293">
        <f>IFERROR(__xludf.DUMMYFUNCTION("SUM(FILTER(F288:F412, ISNUMBER(SEARCH(""bench press"", D288:D412))))"),19.0)</f>
        <v>19</v>
      </c>
      <c r="F415" s="284">
        <f>IFERROR(__xludf.DUMMYFUNCTION("SUMPRODUCT(FILTER(F289:F413 * G289:G413, ISNUMBER(SEARCH(""bench press"", D289:D413))))"),69.0)</f>
        <v>69</v>
      </c>
      <c r="G415" s="135">
        <f>IFERROR(__xludf.DUMMYFUNCTION("ROUND(SUMPRODUCT(FILTER(F288:F412 * G288:G412 * I288:I412, ISNUMBER(SEARCH(""bench press"", D288:D412)))), 0)"),18708.0)</f>
        <v>18708</v>
      </c>
      <c r="H415" s="285"/>
      <c r="I415" s="135">
        <f>IFERROR(__xludf.DUMMYFUNCTION("ROUND(AVERAGE(FILTER(I288:I412, ISNUMBER(SEARCH(""bench press"", D288:D412)), I288:I412 &lt;&gt; """")) / J415 * 100, 0)"),84.0)</f>
        <v>84</v>
      </c>
      <c r="J415" s="293">
        <f>IFERROR(__xludf.DUMMYFUNCTION("IFERROR(MROUND(AVERAGE(FILTER(P288:P412, D288:D412 = ""comp bench press"", P288:P412 &lt;&gt; """", P288:P412 &gt;= 0.9 * MAX(FILTER(P288:P412, D288:D412 = ""comp bench press"", P288:P412 &lt;&gt; """")), P288:P412 &lt;= 1.1 * MAX(FILTER(P288:P412, D288:D412 = ""comp bench"&amp;" press"", P288:P412 &lt;&gt; """")))), 2.5), ""No valid data"")"),335.0)</f>
        <v>335</v>
      </c>
      <c r="K415" s="286"/>
      <c r="L415" s="294">
        <f>MROUND(J415/2.2046,2.5)-$O$11</f>
        <v>0</v>
      </c>
      <c r="M415" s="285"/>
      <c r="N415" s="285"/>
      <c r="O415" s="305"/>
      <c r="P415" s="282"/>
      <c r="Q415" s="278"/>
      <c r="R415" s="157"/>
      <c r="S415" s="11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</row>
    <row r="416" ht="3.0" customHeight="1">
      <c r="A416" s="5"/>
      <c r="B416" s="6"/>
      <c r="C416" s="5"/>
      <c r="D416" s="90"/>
      <c r="E416" s="156"/>
      <c r="F416" s="102"/>
      <c r="G416" s="145"/>
      <c r="H416" s="102"/>
      <c r="I416" s="145"/>
      <c r="J416" s="156"/>
      <c r="K416" s="286"/>
      <c r="L416" s="292"/>
      <c r="M416" s="285"/>
      <c r="N416" s="285"/>
      <c r="O416" s="284"/>
      <c r="P416" s="282"/>
      <c r="Q416" s="278"/>
      <c r="R416" s="157"/>
      <c r="S416" s="11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</row>
    <row r="417" ht="14.25" customHeight="1">
      <c r="A417" s="5"/>
      <c r="B417" s="6"/>
      <c r="C417" s="5"/>
      <c r="D417" s="274" t="s">
        <v>10</v>
      </c>
      <c r="E417" s="293">
        <f>IFERROR(__xludf.DUMMYFUNCTION("SUM(FILTER(F288:F412, ISNUMBER(SEARCH(""deadlift"", D288:D412))))"),7.0)</f>
        <v>7</v>
      </c>
      <c r="F417" s="284">
        <f>IFERROR(__xludf.DUMMYFUNCTION("SUMPRODUCT(FILTER(F288:F412 * G288:G412, ISNUMBER(SEARCH(""deadlift"", D288:D412))))"),25.0)</f>
        <v>25</v>
      </c>
      <c r="G417" s="135">
        <f>IFERROR(__xludf.DUMMYFUNCTION("ROUND(SUMPRODUCT(FILTER(F288:F412 * G288:G412 * I288:I412, ISNUMBER(SEARCH(""deadlift"", D288:D412)))), 0)"),11517.0)</f>
        <v>11517</v>
      </c>
      <c r="H417" s="285"/>
      <c r="I417" s="135">
        <f>IFERROR(__xludf.DUMMYFUNCTION("ROUND(AVERAGE(FILTER(I288:I412, ISNUMBER(SEARCH(""deadlift"", D288:D412)), I288:I412 &lt;&gt; """")) / J417 * 100, 0)"),81.0)</f>
        <v>81</v>
      </c>
      <c r="J417" s="293">
        <f>IFERROR(__xludf.DUMMYFUNCTION("IFERROR(MROUND(AVERAGE(FILTER(P288:P412, D288:D412 = ""comp deadlift"", P288:P412 &lt;&gt; """", P288:P412 &gt;= 0.9 * MAX(FILTER(P288:P412, D288:D412 = ""comp deadlift"", P288:P412 &lt;&gt; """")), P288:P412 &lt;= 1.1 * MAX(FILTER(P288:P412, D288:D412 = ""comp deadlift"","&amp;" P288:P412 &lt;&gt; """")))), 2.5), ""No valid data"")"),580.0)</f>
        <v>580</v>
      </c>
      <c r="K417" s="286"/>
      <c r="L417" s="294">
        <f>MROUND(J417/2.2046,2.5)-$O$12</f>
        <v>-2.5</v>
      </c>
      <c r="M417" s="285"/>
      <c r="N417" s="285"/>
      <c r="O417" s="285"/>
      <c r="P417" s="282"/>
      <c r="Q417" s="278"/>
      <c r="R417" s="157"/>
      <c r="S417" s="11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</row>
    <row r="418" ht="14.25" customHeight="1">
      <c r="A418" s="5"/>
      <c r="B418" s="6"/>
      <c r="C418" s="5"/>
      <c r="D418" s="274"/>
      <c r="E418" s="266"/>
      <c r="F418" s="187"/>
      <c r="G418" s="187"/>
      <c r="H418" s="187"/>
      <c r="I418" s="187"/>
      <c r="J418" s="295"/>
      <c r="K418" s="274"/>
      <c r="L418" s="187"/>
      <c r="M418" s="285"/>
      <c r="N418" s="285"/>
      <c r="O418" s="285"/>
      <c r="P418" s="282"/>
      <c r="Q418" s="278"/>
      <c r="R418" s="157"/>
      <c r="S418" s="11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</row>
    <row r="419" ht="14.25" customHeight="1">
      <c r="A419" s="5"/>
      <c r="B419" s="2"/>
      <c r="C419" s="5"/>
      <c r="D419" s="5"/>
      <c r="E419" s="75"/>
      <c r="F419" s="3"/>
      <c r="G419" s="3"/>
      <c r="H419" s="3"/>
      <c r="I419" s="3"/>
      <c r="J419" s="75"/>
      <c r="K419" s="5"/>
      <c r="L419" s="3"/>
      <c r="M419" s="47"/>
      <c r="N419" s="3"/>
      <c r="O419" s="3"/>
      <c r="P419" s="3"/>
      <c r="Q419" s="4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</row>
    <row r="420" ht="18.75" customHeight="1">
      <c r="A420" s="90"/>
      <c r="B420" s="6"/>
      <c r="C420" s="91"/>
      <c r="D420" s="79" t="s">
        <v>72</v>
      </c>
      <c r="E420" s="80" t="s">
        <v>13</v>
      </c>
      <c r="G420" s="81"/>
      <c r="H420" s="81"/>
      <c r="I420" s="81"/>
      <c r="J420" s="82"/>
      <c r="K420" s="83"/>
      <c r="L420" s="83"/>
      <c r="M420" s="93"/>
      <c r="N420" s="93"/>
      <c r="O420" s="93"/>
      <c r="P420" s="296"/>
      <c r="Q420" s="297"/>
      <c r="R420" s="298"/>
      <c r="S420" s="10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</row>
    <row r="421" ht="18.75" customHeight="1">
      <c r="A421" s="90"/>
      <c r="B421" s="6"/>
      <c r="C421" s="91"/>
      <c r="D421" s="299">
        <f>D286+1</f>
        <v>4</v>
      </c>
      <c r="E421" s="300" t="str">
        <f>IF(E286 = "", "", E286 - 1)</f>
        <v/>
      </c>
      <c r="G421" s="301"/>
      <c r="H421" s="301"/>
      <c r="I421" s="301"/>
      <c r="J421" s="92"/>
      <c r="K421" s="93"/>
      <c r="L421" s="93"/>
      <c r="M421" s="93"/>
      <c r="N421" s="93"/>
      <c r="O421" s="93"/>
      <c r="P421" s="94"/>
      <c r="Q421" s="95"/>
      <c r="R421" s="96"/>
      <c r="S421" s="10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</row>
    <row r="422" ht="5.25" customHeight="1">
      <c r="A422" s="90"/>
      <c r="B422" s="6"/>
      <c r="C422" s="90"/>
      <c r="D422" s="97"/>
      <c r="E422" s="98"/>
      <c r="F422" s="99"/>
      <c r="G422" s="99"/>
      <c r="H422" s="99"/>
      <c r="I422" s="100"/>
      <c r="J422" s="101"/>
      <c r="K422" s="90"/>
      <c r="L422" s="102"/>
      <c r="M422" s="102"/>
      <c r="N422" s="102"/>
      <c r="O422" s="102"/>
      <c r="P422" s="103"/>
      <c r="Q422" s="4"/>
      <c r="R422" s="90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</row>
    <row r="423" ht="30.75" customHeight="1">
      <c r="A423" s="90"/>
      <c r="B423" s="6"/>
      <c r="C423" s="90"/>
      <c r="D423" s="202" t="s">
        <v>73</v>
      </c>
      <c r="E423" s="105" t="s">
        <v>75</v>
      </c>
      <c r="F423" s="106" t="s">
        <v>16</v>
      </c>
      <c r="G423" s="106" t="s">
        <v>17</v>
      </c>
      <c r="H423" s="107"/>
      <c r="I423" s="106" t="s">
        <v>18</v>
      </c>
      <c r="J423" s="108" t="s">
        <v>19</v>
      </c>
      <c r="L423" s="109" t="s">
        <v>20</v>
      </c>
      <c r="M423" s="110" t="s">
        <v>21</v>
      </c>
      <c r="N423" s="111" t="s">
        <v>22</v>
      </c>
      <c r="P423" s="112"/>
      <c r="Q423" s="113" t="s">
        <v>23</v>
      </c>
      <c r="R423" s="114" t="s">
        <v>24</v>
      </c>
      <c r="S423" s="11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</row>
    <row r="424" ht="14.25" customHeight="1">
      <c r="A424" s="90"/>
      <c r="B424" s="6"/>
      <c r="C424" s="90"/>
      <c r="D424" s="116" t="s">
        <v>25</v>
      </c>
      <c r="E424" s="117">
        <v>3.0</v>
      </c>
      <c r="H424" s="107"/>
      <c r="N424" s="111" t="s">
        <v>27</v>
      </c>
      <c r="O424" s="111" t="s">
        <v>28</v>
      </c>
      <c r="P424" s="112" t="s">
        <v>29</v>
      </c>
      <c r="R424" s="118" t="s">
        <v>30</v>
      </c>
      <c r="S424" s="11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</row>
    <row r="425" ht="3.75" customHeight="1">
      <c r="A425" s="90"/>
      <c r="B425" s="6"/>
      <c r="C425" s="90"/>
      <c r="D425" s="97"/>
      <c r="E425" s="98"/>
      <c r="F425" s="99"/>
      <c r="G425" s="99"/>
      <c r="H425" s="99"/>
      <c r="I425" s="100"/>
      <c r="J425" s="302"/>
      <c r="K425" s="90"/>
      <c r="L425" s="102"/>
      <c r="M425" s="121"/>
      <c r="N425" s="102"/>
      <c r="O425" s="102"/>
      <c r="P425" s="122"/>
      <c r="Q425" s="4"/>
      <c r="R425" s="123"/>
      <c r="S425" s="11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</row>
    <row r="426" ht="15.75" customHeight="1">
      <c r="A426" s="124"/>
      <c r="B426" s="6"/>
      <c r="C426" s="124"/>
      <c r="D426" s="125" t="s">
        <v>77</v>
      </c>
      <c r="E426" s="126"/>
      <c r="F426" s="127">
        <v>1.0</v>
      </c>
      <c r="G426" s="240">
        <v>6.0</v>
      </c>
      <c r="H426" s="129"/>
      <c r="I426" s="130">
        <v>430.0</v>
      </c>
      <c r="J426" s="151">
        <v>7.0</v>
      </c>
      <c r="K426" s="132"/>
      <c r="L426" s="133">
        <v>7.0</v>
      </c>
      <c r="M426" s="134">
        <f>I291</f>
        <v>408</v>
      </c>
      <c r="N426" s="135">
        <f>iferror(mround($P291*((VLOOKUP($J426,Sheet1!$D:$N,$G426+1,FALSE)-0.03)),2.5)," ")</f>
        <v>405</v>
      </c>
      <c r="O426" s="135">
        <f>iferror(mround($P291*((VLOOKUP($J426,Sheet1!$D:$N,$G426+1,FALSE)+0.02)),2.5)," ")</f>
        <v>432.5</v>
      </c>
      <c r="P426" s="56">
        <f>iferror(mround(I426/VLOOKUP(L426,Sheet1!$D$7:$N$16,G426+1,FALSE),2.5),"")</f>
        <v>562.5</v>
      </c>
      <c r="Q426" s="303">
        <f t="shared" ref="Q426:Q447" si="11">IF(OR(ISBLANK(I426), ISBLANK(I291)), "", IF(I426 - I291 = 0, "", I426 - I291))</f>
        <v>22</v>
      </c>
      <c r="S426" s="11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</row>
    <row r="427" ht="3.75" customHeight="1">
      <c r="A427" s="137"/>
      <c r="B427" s="70"/>
      <c r="C427" s="137"/>
      <c r="D427" s="138"/>
      <c r="E427" s="139"/>
      <c r="F427" s="140"/>
      <c r="G427" s="140"/>
      <c r="H427" s="140"/>
      <c r="I427" s="330"/>
      <c r="J427" s="141"/>
      <c r="K427" s="142"/>
      <c r="L427" s="143"/>
      <c r="M427" s="144"/>
      <c r="N427" s="145"/>
      <c r="O427" s="145"/>
      <c r="P427" s="122"/>
      <c r="Q427" s="304" t="str">
        <f t="shared" si="11"/>
        <v/>
      </c>
      <c r="S427" s="147"/>
      <c r="T427" s="148"/>
      <c r="U427" s="148"/>
      <c r="V427" s="148"/>
      <c r="W427" s="148"/>
      <c r="X427" s="148"/>
      <c r="Y427" s="148"/>
      <c r="Z427" s="148"/>
      <c r="AA427" s="148"/>
      <c r="AB427" s="148"/>
      <c r="AC427" s="148"/>
      <c r="AD427" s="148"/>
      <c r="AE427" s="148"/>
      <c r="AF427" s="148"/>
      <c r="AG427" s="148"/>
    </row>
    <row r="428" ht="15.75" customHeight="1">
      <c r="A428" s="149"/>
      <c r="B428" s="150"/>
      <c r="C428" s="149"/>
      <c r="D428" s="125" t="s">
        <v>77</v>
      </c>
      <c r="E428" s="126"/>
      <c r="F428" s="127">
        <v>1.0</v>
      </c>
      <c r="G428" s="240">
        <v>6.0</v>
      </c>
      <c r="H428" s="129"/>
      <c r="I428" s="130">
        <v>457.0</v>
      </c>
      <c r="J428" s="151">
        <v>8.0</v>
      </c>
      <c r="K428" s="132"/>
      <c r="L428" s="133">
        <v>8.0</v>
      </c>
      <c r="M428" s="134">
        <f>I293</f>
        <v>435</v>
      </c>
      <c r="N428" s="135">
        <f>iferror(mround($P293*((VLOOKUP($J428,Sheet1!$D:$N,$G428+1,FALSE)-0.03)),2.5)," ")</f>
        <v>432.5</v>
      </c>
      <c r="O428" s="135">
        <f>iferror(mround($P293*((VLOOKUP($J428,Sheet1!$D:$N,$G428+1,FALSE)+0.02)),2.5)," ")</f>
        <v>460</v>
      </c>
      <c r="P428" s="56">
        <f>iferror(mround(I428/VLOOKUP(L428,Sheet1!$D$7:$N$16,G428+1,FALSE),2.5),"")</f>
        <v>577.5</v>
      </c>
      <c r="Q428" s="303">
        <f t="shared" si="11"/>
        <v>22</v>
      </c>
      <c r="S428" s="11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</row>
    <row r="429" ht="3.75" customHeight="1">
      <c r="A429" s="152"/>
      <c r="B429" s="150"/>
      <c r="C429" s="153"/>
      <c r="D429" s="138"/>
      <c r="E429" s="154"/>
      <c r="F429" s="155"/>
      <c r="G429" s="102"/>
      <c r="H429" s="102"/>
      <c r="I429" s="102"/>
      <c r="J429" s="156"/>
      <c r="K429" s="142"/>
      <c r="L429" s="143"/>
      <c r="M429" s="144"/>
      <c r="N429" s="145"/>
      <c r="O429" s="145"/>
      <c r="P429" s="122"/>
      <c r="Q429" s="304" t="str">
        <f t="shared" si="11"/>
        <v/>
      </c>
      <c r="S429" s="157"/>
      <c r="T429" s="5"/>
      <c r="U429" s="5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</row>
    <row r="430" ht="15.75" customHeight="1">
      <c r="A430" s="149"/>
      <c r="B430" s="150"/>
      <c r="C430" s="149"/>
      <c r="D430" s="125" t="s">
        <v>77</v>
      </c>
      <c r="E430" s="126"/>
      <c r="F430" s="127">
        <v>1.0</v>
      </c>
      <c r="G430" s="161">
        <v>6.0</v>
      </c>
      <c r="H430" s="129"/>
      <c r="I430" s="164">
        <f>MROUND(I428*(1+J430),5)</f>
        <v>435</v>
      </c>
      <c r="J430" s="165">
        <v>-0.05</v>
      </c>
      <c r="K430" s="132"/>
      <c r="L430" s="133">
        <v>8.5</v>
      </c>
      <c r="M430" s="134">
        <f>I295</f>
        <v>390</v>
      </c>
      <c r="N430" s="135" t="str">
        <f>iferror(mround($P295*((VLOOKUP($J430,Sheet1!$D:$N,$G430+1,FALSE)-0.03)),2.5)," ")</f>
        <v> </v>
      </c>
      <c r="O430" s="135" t="str">
        <f>iferror(mround($P295*((VLOOKUP($J430,Sheet1!$D:$N,$G430+1,FALSE)+0.02)),2.5)," ")</f>
        <v> </v>
      </c>
      <c r="P430" s="56">
        <f>iferror(mround(I430/VLOOKUP(L430,Sheet1!$D$7:$N$16,G430+1,FALSE),2.5),"")</f>
        <v>542.5</v>
      </c>
      <c r="Q430" s="303">
        <f t="shared" si="11"/>
        <v>45</v>
      </c>
      <c r="S430" s="11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</row>
    <row r="431" ht="3.75" customHeight="1">
      <c r="A431" s="162"/>
      <c r="B431" s="163"/>
      <c r="C431" s="162"/>
      <c r="D431" s="138"/>
      <c r="E431" s="154"/>
      <c r="F431" s="155"/>
      <c r="G431" s="102"/>
      <c r="H431" s="102"/>
      <c r="I431" s="102"/>
      <c r="J431" s="156"/>
      <c r="K431" s="142"/>
      <c r="L431" s="143"/>
      <c r="M431" s="144"/>
      <c r="N431" s="145"/>
      <c r="O431" s="145"/>
      <c r="P431" s="122"/>
      <c r="Q431" s="304" t="str">
        <f t="shared" si="11"/>
        <v/>
      </c>
      <c r="S431" s="147"/>
      <c r="T431" s="148"/>
      <c r="U431" s="148"/>
      <c r="V431" s="148"/>
      <c r="W431" s="148"/>
      <c r="X431" s="148"/>
      <c r="Y431" s="148"/>
      <c r="Z431" s="148"/>
      <c r="AA431" s="148"/>
      <c r="AB431" s="148"/>
      <c r="AC431" s="148"/>
      <c r="AD431" s="148"/>
      <c r="AE431" s="148"/>
      <c r="AF431" s="148"/>
      <c r="AG431" s="148"/>
    </row>
    <row r="432" ht="15.75" customHeight="1">
      <c r="A432" s="149"/>
      <c r="B432" s="150"/>
      <c r="C432" s="149"/>
      <c r="D432" s="159" t="s">
        <v>33</v>
      </c>
      <c r="E432" s="160" t="s">
        <v>34</v>
      </c>
      <c r="F432" s="127">
        <v>1.0</v>
      </c>
      <c r="G432" s="161">
        <v>5.0</v>
      </c>
      <c r="H432" s="129"/>
      <c r="I432" s="130">
        <v>281.0</v>
      </c>
      <c r="J432" s="151">
        <v>8.0</v>
      </c>
      <c r="K432" s="132"/>
      <c r="L432" s="133">
        <v>8.0</v>
      </c>
      <c r="M432" s="134">
        <f>I297</f>
        <v>275</v>
      </c>
      <c r="N432" s="135">
        <f>iferror(mround($P297*((VLOOKUP($J432,Sheet1!$D:$N,$G432+1,FALSE)-0.03)),2.5)," ")</f>
        <v>270</v>
      </c>
      <c r="O432" s="135">
        <f>iferror(mround($P297*((VLOOKUP($J432,Sheet1!$D:$N,$G432+1,FALSE)+0.02)),2.5)," ")</f>
        <v>285</v>
      </c>
      <c r="P432" s="56">
        <f>iferror(mround(I432/VLOOKUP(L432,Sheet1!$D$7:$N$16,G432+1,FALSE),2.5),"")</f>
        <v>345</v>
      </c>
      <c r="Q432" s="303">
        <f t="shared" si="11"/>
        <v>6</v>
      </c>
      <c r="S432" s="11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</row>
    <row r="433" ht="3.75" customHeight="1">
      <c r="A433" s="162"/>
      <c r="B433" s="163"/>
      <c r="C433" s="162"/>
      <c r="D433" s="138"/>
      <c r="E433" s="139"/>
      <c r="F433" s="140"/>
      <c r="G433" s="140"/>
      <c r="H433" s="140"/>
      <c r="I433" s="140"/>
      <c r="J433" s="141"/>
      <c r="K433" s="142"/>
      <c r="L433" s="143"/>
      <c r="M433" s="144"/>
      <c r="N433" s="145"/>
      <c r="O433" s="145"/>
      <c r="P433" s="122"/>
      <c r="Q433" s="304" t="str">
        <f t="shared" si="11"/>
        <v/>
      </c>
      <c r="S433" s="147"/>
      <c r="T433" s="148"/>
      <c r="U433" s="148"/>
      <c r="V433" s="148"/>
      <c r="W433" s="148"/>
      <c r="X433" s="148"/>
      <c r="Y433" s="148"/>
      <c r="Z433" s="148"/>
      <c r="AA433" s="148"/>
      <c r="AB433" s="148"/>
      <c r="AC433" s="148"/>
      <c r="AD433" s="148"/>
      <c r="AE433" s="148"/>
      <c r="AF433" s="148"/>
      <c r="AG433" s="148"/>
    </row>
    <row r="434" ht="15.75" customHeight="1">
      <c r="A434" s="90"/>
      <c r="B434" s="6"/>
      <c r="C434" s="90"/>
      <c r="D434" s="159" t="s">
        <v>33</v>
      </c>
      <c r="E434" s="160" t="s">
        <v>34</v>
      </c>
      <c r="F434" s="127">
        <v>3.0</v>
      </c>
      <c r="G434" s="161">
        <v>5.0</v>
      </c>
      <c r="H434" s="129"/>
      <c r="I434" s="164">
        <f>MROUND(I432*(1+J434),5)</f>
        <v>255</v>
      </c>
      <c r="J434" s="165">
        <v>-0.1</v>
      </c>
      <c r="K434" s="132"/>
      <c r="L434" s="133">
        <v>7.0</v>
      </c>
      <c r="M434" s="134">
        <f>I299</f>
        <v>250</v>
      </c>
      <c r="N434" s="135" t="str">
        <f>iferror(mround($P299*((VLOOKUP($J434,Sheet1!$D:$N,$G434+1,FALSE)-0.03)),2.5)," ")</f>
        <v> </v>
      </c>
      <c r="O434" s="135" t="str">
        <f>iferror(mround($P299*((VLOOKUP($J434,Sheet1!$D:$N,$G434+1,FALSE)+0.02)),2.5)," ")</f>
        <v> </v>
      </c>
      <c r="P434" s="56">
        <f>iferror(mround(I434/VLOOKUP(L434,Sheet1!$D$7:$N$16,G434+1,FALSE),2.5),"")</f>
        <v>322.5</v>
      </c>
      <c r="Q434" s="303">
        <f t="shared" si="11"/>
        <v>5</v>
      </c>
      <c r="S434" s="11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</row>
    <row r="435" ht="3.75" customHeight="1">
      <c r="A435" s="168"/>
      <c r="B435" s="70"/>
      <c r="C435" s="168"/>
      <c r="D435" s="138"/>
      <c r="E435" s="139"/>
      <c r="F435" s="102"/>
      <c r="G435" s="102"/>
      <c r="H435" s="102"/>
      <c r="I435" s="102"/>
      <c r="J435" s="156"/>
      <c r="K435" s="142"/>
      <c r="L435" s="143"/>
      <c r="M435" s="144"/>
      <c r="N435" s="145"/>
      <c r="O435" s="145"/>
      <c r="P435" s="122"/>
      <c r="Q435" s="304" t="str">
        <f t="shared" si="11"/>
        <v/>
      </c>
      <c r="S435" s="147"/>
      <c r="T435" s="148"/>
      <c r="U435" s="148"/>
      <c r="V435" s="148"/>
      <c r="W435" s="148"/>
      <c r="X435" s="148"/>
      <c r="Y435" s="148"/>
      <c r="Z435" s="148"/>
      <c r="AA435" s="148"/>
      <c r="AB435" s="148"/>
      <c r="AC435" s="148"/>
      <c r="AD435" s="148"/>
      <c r="AE435" s="148"/>
      <c r="AF435" s="148"/>
      <c r="AG435" s="148"/>
    </row>
    <row r="436" ht="15.75" customHeight="1">
      <c r="A436" s="90"/>
      <c r="B436" s="6"/>
      <c r="C436" s="90"/>
      <c r="D436" s="166" t="s">
        <v>35</v>
      </c>
      <c r="E436" s="167" t="s">
        <v>79</v>
      </c>
      <c r="F436" s="127">
        <v>2.0</v>
      </c>
      <c r="G436" s="161">
        <v>7.0</v>
      </c>
      <c r="H436" s="129"/>
      <c r="I436" s="130">
        <v>265.0</v>
      </c>
      <c r="J436" s="151">
        <v>8.0</v>
      </c>
      <c r="K436" s="170" t="s">
        <v>80</v>
      </c>
      <c r="L436" s="133"/>
      <c r="M436" s="134">
        <f>I301</f>
        <v>260</v>
      </c>
      <c r="N436" s="135">
        <f>iferror(mround($P301*((VLOOKUP($J436,Sheet1!$D:$N,$G436+1,FALSE)-0.03)),2.5)," ")</f>
        <v>250</v>
      </c>
      <c r="O436" s="135">
        <f>iferror(mround($P301*((VLOOKUP($J436,Sheet1!$D:$N,$G436+1,FALSE)+0.02)),2.5)," ")</f>
        <v>267.5</v>
      </c>
      <c r="P436" s="56" t="str">
        <f>iferror(mround(I436/VLOOKUP(L436,Sheet1!$D$7:$N$16,G436+1,FALSE),2.5),"")</f>
        <v/>
      </c>
      <c r="Q436" s="303">
        <f t="shared" si="11"/>
        <v>5</v>
      </c>
      <c r="S436" s="11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</row>
    <row r="437" ht="3.75" customHeight="1">
      <c r="A437" s="90"/>
      <c r="B437" s="6"/>
      <c r="C437" s="90"/>
      <c r="D437" s="171"/>
      <c r="E437" s="172"/>
      <c r="F437" s="173"/>
      <c r="G437" s="173"/>
      <c r="H437" s="173"/>
      <c r="I437" s="173"/>
      <c r="J437" s="174"/>
      <c r="K437" s="142"/>
      <c r="L437" s="143"/>
      <c r="M437" s="144"/>
      <c r="N437" s="145"/>
      <c r="O437" s="145"/>
      <c r="P437" s="122"/>
      <c r="Q437" s="304" t="str">
        <f t="shared" si="11"/>
        <v/>
      </c>
      <c r="S437" s="11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</row>
    <row r="438" ht="15.75" customHeight="1">
      <c r="A438" s="90"/>
      <c r="B438" s="6"/>
      <c r="C438" s="90"/>
      <c r="D438" s="166" t="s">
        <v>37</v>
      </c>
      <c r="E438" s="160" t="s">
        <v>81</v>
      </c>
      <c r="F438" s="127">
        <v>3.0</v>
      </c>
      <c r="G438" s="169">
        <v>45577.0</v>
      </c>
      <c r="H438" s="129"/>
      <c r="I438" s="130"/>
      <c r="J438" s="151">
        <v>8.0</v>
      </c>
      <c r="K438" s="132"/>
      <c r="L438" s="133"/>
      <c r="M438" s="134">
        <f>I303</f>
        <v>410</v>
      </c>
      <c r="N438" s="135" t="str">
        <f>iferror(mround($P303*((VLOOKUP($J438,Sheet1!$D:$N,$G438+1,FALSE)-0.03)),2.5)," ")</f>
        <v> </v>
      </c>
      <c r="O438" s="135" t="str">
        <f>iferror(mround($P303*((VLOOKUP($J438,Sheet1!$D:$N,$G438+1,FALSE)+0.02)),2.5)," ")</f>
        <v> </v>
      </c>
      <c r="P438" s="56" t="str">
        <f>iferror(mround(I438/VLOOKUP(L438,Sheet1!$D$7:$N$16,G438+1,FALSE),2.5),"")</f>
        <v/>
      </c>
      <c r="Q438" s="303" t="str">
        <f t="shared" si="11"/>
        <v/>
      </c>
      <c r="S438" s="11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</row>
    <row r="439" ht="3.75" customHeight="1">
      <c r="A439" s="90"/>
      <c r="B439" s="6"/>
      <c r="C439" s="90"/>
      <c r="D439" s="171"/>
      <c r="E439" s="172"/>
      <c r="F439" s="173"/>
      <c r="G439" s="173"/>
      <c r="H439" s="173"/>
      <c r="I439" s="173"/>
      <c r="J439" s="174"/>
      <c r="K439" s="142"/>
      <c r="L439" s="143"/>
      <c r="M439" s="144"/>
      <c r="N439" s="145"/>
      <c r="O439" s="145"/>
      <c r="P439" s="122"/>
      <c r="Q439" s="304" t="str">
        <f t="shared" si="11"/>
        <v/>
      </c>
      <c r="S439" s="11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</row>
    <row r="440" ht="15.75" hidden="1" customHeight="1">
      <c r="A440" s="90"/>
      <c r="B440" s="6"/>
      <c r="C440" s="90"/>
      <c r="D440" s="175" t="s">
        <v>40</v>
      </c>
      <c r="E440" s="176"/>
      <c r="F440" s="177">
        <v>3.0</v>
      </c>
      <c r="G440" s="178" t="s">
        <v>41</v>
      </c>
      <c r="H440" s="179"/>
      <c r="I440" s="180"/>
      <c r="J440" s="181">
        <v>8.0</v>
      </c>
      <c r="K440" s="182"/>
      <c r="L440" s="183"/>
      <c r="M440" s="134" t="str">
        <f>I305</f>
        <v/>
      </c>
      <c r="N440" s="135" t="str">
        <f>iferror(mround($P305*((VLOOKUP($J440,Sheet1!$D:$N,$G440+1,FALSE)-0.03)),2.5)," ")</f>
        <v> </v>
      </c>
      <c r="O440" s="135" t="str">
        <f>iferror(mround($P305*((VLOOKUP($J440,Sheet1!$D:$N,$G440+1,FALSE)+0.02)),2.5)," ")</f>
        <v> </v>
      </c>
      <c r="P440" s="56" t="str">
        <f>iferror(mround(I440/VLOOKUP(L440,Sheet1!$D$7:$N$16,G440+1,FALSE),2.5),"")</f>
        <v/>
      </c>
      <c r="Q440" s="303" t="str">
        <f t="shared" si="11"/>
        <v/>
      </c>
      <c r="S440" s="11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</row>
    <row r="441" ht="3.75" hidden="1" customHeight="1">
      <c r="A441" s="90"/>
      <c r="B441" s="6"/>
      <c r="C441" s="90"/>
      <c r="D441" s="138"/>
      <c r="E441" s="184"/>
      <c r="F441" s="102"/>
      <c r="G441" s="102"/>
      <c r="H441" s="102"/>
      <c r="I441" s="102"/>
      <c r="J441" s="156"/>
      <c r="K441" s="103"/>
      <c r="L441" s="143"/>
      <c r="M441" s="144"/>
      <c r="N441" s="145"/>
      <c r="O441" s="145"/>
      <c r="P441" s="122"/>
      <c r="Q441" s="304" t="str">
        <f t="shared" si="11"/>
        <v/>
      </c>
      <c r="S441" s="11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</row>
    <row r="442" ht="15.75" hidden="1" customHeight="1">
      <c r="A442" s="90"/>
      <c r="B442" s="6"/>
      <c r="C442" s="90"/>
      <c r="D442" s="185"/>
      <c r="E442" s="186"/>
      <c r="F442" s="187"/>
      <c r="G442" s="188"/>
      <c r="H442" s="129"/>
      <c r="I442" s="164"/>
      <c r="J442" s="189"/>
      <c r="K442" s="190"/>
      <c r="L442" s="183"/>
      <c r="M442" s="134" t="str">
        <f>I307</f>
        <v/>
      </c>
      <c r="N442" s="135" t="str">
        <f>iferror(mround($P307*((VLOOKUP($J442,Sheet1!$D:$N,$G442+1,FALSE)-0.03)),2.5)," ")</f>
        <v> </v>
      </c>
      <c r="O442" s="135" t="str">
        <f>iferror(mround($P307*((VLOOKUP($J442,Sheet1!$D:$N,$G442+1,FALSE)+0.02)),2.5)," ")</f>
        <v> </v>
      </c>
      <c r="P442" s="56" t="str">
        <f>iferror(mround(I442/VLOOKUP(L442,Sheet1!$D$7:$N$16,G442+1,FALSE),2.5),"")</f>
        <v/>
      </c>
      <c r="Q442" s="303" t="str">
        <f t="shared" si="11"/>
        <v/>
      </c>
      <c r="S442" s="11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</row>
    <row r="443" ht="3.75" hidden="1" customHeight="1">
      <c r="A443" s="191"/>
      <c r="B443" s="6"/>
      <c r="C443" s="192"/>
      <c r="D443" s="138"/>
      <c r="E443" s="193"/>
      <c r="F443" s="194"/>
      <c r="G443" s="155"/>
      <c r="H443" s="102"/>
      <c r="I443" s="102"/>
      <c r="J443" s="156"/>
      <c r="K443" s="103"/>
      <c r="L443" s="143"/>
      <c r="M443" s="144"/>
      <c r="N443" s="145"/>
      <c r="O443" s="145"/>
      <c r="P443" s="122"/>
      <c r="Q443" s="304" t="str">
        <f t="shared" si="11"/>
        <v/>
      </c>
      <c r="S443" s="157"/>
      <c r="T443" s="5"/>
      <c r="U443" s="5"/>
      <c r="V443" s="158"/>
      <c r="W443" s="158"/>
      <c r="X443" s="158"/>
      <c r="Y443" s="158"/>
      <c r="Z443" s="158"/>
      <c r="AA443" s="158"/>
      <c r="AB443" s="158"/>
      <c r="AC443" s="158"/>
      <c r="AD443" s="158"/>
      <c r="AE443" s="158"/>
      <c r="AF443" s="158"/>
      <c r="AG443" s="158"/>
    </row>
    <row r="444" ht="15.75" hidden="1" customHeight="1">
      <c r="A444" s="90"/>
      <c r="B444" s="6"/>
      <c r="C444" s="90"/>
      <c r="D444" s="185"/>
      <c r="E444" s="186"/>
      <c r="F444" s="187"/>
      <c r="G444" s="195"/>
      <c r="H444" s="129"/>
      <c r="I444" s="164"/>
      <c r="J444" s="189"/>
      <c r="K444" s="190"/>
      <c r="L444" s="183"/>
      <c r="M444" s="134" t="str">
        <f>I309</f>
        <v/>
      </c>
      <c r="N444" s="135" t="str">
        <f>iferror(mround($P309*((VLOOKUP($J444,Sheet1!$D:$N,$G444+1,FALSE)-0.03)),2.5)," ")</f>
        <v> </v>
      </c>
      <c r="O444" s="135" t="str">
        <f>iferror(mround($P309*((VLOOKUP($J444,Sheet1!$D:$N,$G444+1,FALSE)+0.02)),2.5)," ")</f>
        <v> </v>
      </c>
      <c r="P444" s="56" t="str">
        <f>iferror(mround(I444/VLOOKUP(L444,Sheet1!$D$7:$N$16,G444+1,FALSE),2.5),"")</f>
        <v/>
      </c>
      <c r="Q444" s="303" t="str">
        <f t="shared" si="11"/>
        <v/>
      </c>
      <c r="S444" s="11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</row>
    <row r="445" ht="3.75" hidden="1" customHeight="1">
      <c r="A445" s="90"/>
      <c r="B445" s="6"/>
      <c r="C445" s="90"/>
      <c r="D445" s="196"/>
      <c r="E445" s="184"/>
      <c r="F445" s="102"/>
      <c r="G445" s="102"/>
      <c r="H445" s="102"/>
      <c r="I445" s="102"/>
      <c r="J445" s="156"/>
      <c r="K445" s="103"/>
      <c r="L445" s="143"/>
      <c r="M445" s="144"/>
      <c r="N445" s="145"/>
      <c r="O445" s="145"/>
      <c r="P445" s="122"/>
      <c r="Q445" s="304" t="str">
        <f t="shared" si="11"/>
        <v/>
      </c>
      <c r="S445" s="11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</row>
    <row r="446" ht="15.75" hidden="1" customHeight="1">
      <c r="A446" s="90"/>
      <c r="B446" s="6"/>
      <c r="C446" s="90"/>
      <c r="D446" s="197"/>
      <c r="E446" s="198"/>
      <c r="F446" s="199"/>
      <c r="G446" s="195"/>
      <c r="H446" s="129"/>
      <c r="I446" s="164"/>
      <c r="J446" s="189"/>
      <c r="K446" s="190"/>
      <c r="L446" s="183"/>
      <c r="M446" s="134" t="str">
        <f>I311</f>
        <v/>
      </c>
      <c r="N446" s="135" t="str">
        <f>iferror(mround($P311*((VLOOKUP($J446,Sheet1!$D:$N,$G446+1,FALSE)-0.03)),2.5)," ")</f>
        <v> </v>
      </c>
      <c r="O446" s="135" t="str">
        <f>iferror(mround($P311*((VLOOKUP($J446,Sheet1!$D:$N,$G446+1,FALSE)+0.02)),2.5)," ")</f>
        <v> </v>
      </c>
      <c r="P446" s="56" t="str">
        <f>iferror(mround(I446/VLOOKUP(L446,Sheet1!$D$7:$N$16,G446+1,FALSE),2.5),"")</f>
        <v/>
      </c>
      <c r="Q446" s="303" t="str">
        <f t="shared" si="11"/>
        <v/>
      </c>
      <c r="S446" s="11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</row>
    <row r="447" ht="3.75" customHeight="1">
      <c r="A447" s="90"/>
      <c r="B447" s="6"/>
      <c r="C447" s="90"/>
      <c r="D447" s="90"/>
      <c r="E447" s="156"/>
      <c r="F447" s="102"/>
      <c r="G447" s="102"/>
      <c r="H447" s="102"/>
      <c r="I447" s="102"/>
      <c r="J447" s="156"/>
      <c r="K447" s="200"/>
      <c r="L447" s="201"/>
      <c r="M447" s="144"/>
      <c r="N447" s="47"/>
      <c r="O447" s="47"/>
      <c r="P447" s="122"/>
      <c r="Q447" s="304" t="str">
        <f t="shared" si="11"/>
        <v/>
      </c>
      <c r="S447" s="11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</row>
    <row r="448" ht="30.0" customHeight="1">
      <c r="A448" s="90"/>
      <c r="B448" s="6"/>
      <c r="C448" s="90"/>
      <c r="D448" s="202" t="s">
        <v>42</v>
      </c>
      <c r="E448" s="105" t="s">
        <v>82</v>
      </c>
      <c r="F448" s="106" t="s">
        <v>16</v>
      </c>
      <c r="G448" s="106" t="s">
        <v>17</v>
      </c>
      <c r="H448" s="107"/>
      <c r="I448" s="106" t="s">
        <v>18</v>
      </c>
      <c r="J448" s="108" t="s">
        <v>19</v>
      </c>
      <c r="L448" s="109" t="s">
        <v>20</v>
      </c>
      <c r="M448" s="110" t="s">
        <v>21</v>
      </c>
      <c r="N448" s="111" t="s">
        <v>22</v>
      </c>
      <c r="P448" s="112"/>
      <c r="Q448" s="113" t="s">
        <v>23</v>
      </c>
      <c r="R448" s="114" t="s">
        <v>43</v>
      </c>
      <c r="S448" s="11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</row>
    <row r="449" ht="14.25" customHeight="1">
      <c r="A449" s="90"/>
      <c r="B449" s="6"/>
      <c r="C449" s="90"/>
      <c r="D449" s="257" t="s">
        <v>25</v>
      </c>
      <c r="E449" s="117">
        <v>4.0</v>
      </c>
      <c r="H449" s="107"/>
      <c r="N449" s="111" t="s">
        <v>27</v>
      </c>
      <c r="O449" s="111" t="s">
        <v>28</v>
      </c>
      <c r="P449" s="112" t="s">
        <v>29</v>
      </c>
      <c r="R449" s="118" t="s">
        <v>30</v>
      </c>
      <c r="S449" s="11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</row>
    <row r="450" ht="3.75" customHeight="1">
      <c r="A450" s="191"/>
      <c r="B450" s="6"/>
      <c r="C450" s="192"/>
      <c r="D450" s="203"/>
      <c r="E450" s="204"/>
      <c r="F450" s="205"/>
      <c r="G450" s="205"/>
      <c r="H450" s="206"/>
      <c r="I450" s="207"/>
      <c r="J450" s="208"/>
      <c r="K450" s="209"/>
      <c r="L450" s="210"/>
      <c r="M450" s="211"/>
      <c r="N450" s="47"/>
      <c r="O450" s="47"/>
      <c r="P450" s="122"/>
      <c r="Q450" s="304" t="str">
        <f t="shared" ref="Q450:Q472" si="12">IF(OR(ISBLANK(I450), ISBLANK(I315)), "", IF(I450 - I315 = 0, "", I450 - I315))</f>
        <v/>
      </c>
      <c r="R450" s="212"/>
      <c r="S450" s="157"/>
      <c r="T450" s="5"/>
      <c r="U450" s="5"/>
      <c r="V450" s="158"/>
      <c r="W450" s="158"/>
      <c r="X450" s="158"/>
      <c r="Y450" s="158"/>
      <c r="Z450" s="158"/>
      <c r="AA450" s="158"/>
      <c r="AB450" s="158"/>
      <c r="AC450" s="158"/>
      <c r="AD450" s="158"/>
      <c r="AE450" s="158"/>
      <c r="AF450" s="158"/>
      <c r="AG450" s="158"/>
    </row>
    <row r="451" ht="15.75" customHeight="1">
      <c r="A451" s="124"/>
      <c r="B451" s="6"/>
      <c r="C451" s="124"/>
      <c r="D451" s="159" t="s">
        <v>83</v>
      </c>
      <c r="E451" s="167" t="s">
        <v>84</v>
      </c>
      <c r="F451" s="127">
        <v>3.0</v>
      </c>
      <c r="G451" s="127">
        <v>3.0</v>
      </c>
      <c r="H451" s="195"/>
      <c r="I451" s="130">
        <v>408.0</v>
      </c>
      <c r="J451" s="151">
        <v>6.0</v>
      </c>
      <c r="K451" s="213"/>
      <c r="L451" s="133">
        <v>6.0</v>
      </c>
      <c r="M451" s="134">
        <f>I316</f>
        <v>457</v>
      </c>
      <c r="N451" s="135">
        <f>iferror(mround($P316*((VLOOKUP($J451,Sheet1!$D:$N,$G451+1,FALSE)-0.03)),2.5)," ")</f>
        <v>432.5</v>
      </c>
      <c r="O451" s="135">
        <f>iferror(mround($P316*((VLOOKUP($J451,Sheet1!$D:$N,$G451+1,FALSE)+0.02)),2.5)," ")</f>
        <v>462.5</v>
      </c>
      <c r="P451" s="112">
        <f>iferror(mround(I451/VLOOKUP(L451,Sheet1!$D$7:$N$16,G451+1,FALSE),2.5),"")</f>
        <v>500</v>
      </c>
      <c r="Q451" s="303">
        <f t="shared" si="12"/>
        <v>-49</v>
      </c>
      <c r="R451" s="214"/>
      <c r="S451" s="11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</row>
    <row r="452" ht="3.75" customHeight="1">
      <c r="A452" s="124"/>
      <c r="B452" s="6"/>
      <c r="C452" s="124"/>
      <c r="D452" s="138"/>
      <c r="E452" s="215"/>
      <c r="F452" s="102"/>
      <c r="G452" s="102"/>
      <c r="H452" s="102"/>
      <c r="I452" s="102"/>
      <c r="J452" s="216"/>
      <c r="K452" s="217"/>
      <c r="L452" s="218"/>
      <c r="M452" s="144"/>
      <c r="N452" s="145"/>
      <c r="O452" s="145"/>
      <c r="P452" s="122"/>
      <c r="Q452" s="304" t="str">
        <f t="shared" si="12"/>
        <v/>
      </c>
      <c r="R452" s="214"/>
      <c r="S452" s="11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</row>
    <row r="453" ht="15.75" customHeight="1">
      <c r="A453" s="90"/>
      <c r="B453" s="6"/>
      <c r="C453" s="90"/>
      <c r="D453" s="159" t="s">
        <v>33</v>
      </c>
      <c r="E453" s="167"/>
      <c r="F453" s="127">
        <v>1.0</v>
      </c>
      <c r="G453" s="127">
        <v>2.0</v>
      </c>
      <c r="H453" s="195"/>
      <c r="I453" s="130">
        <v>314.0</v>
      </c>
      <c r="J453" s="151">
        <v>8.5</v>
      </c>
      <c r="K453" s="219" t="s">
        <v>85</v>
      </c>
      <c r="L453" s="133">
        <v>8.5</v>
      </c>
      <c r="M453" s="134">
        <f>I318</f>
        <v>308</v>
      </c>
      <c r="N453" s="135">
        <f>iferror(mround($P318*((VLOOKUP($J453,Sheet1!$D:$N,$G453+1,FALSE)-0.03)),2.5)," ")</f>
        <v>302.5</v>
      </c>
      <c r="O453" s="135">
        <f>iferror(mround($P318*((VLOOKUP($J453,Sheet1!$D:$N,$G453+1,FALSE)+0.02)),2.5)," ")</f>
        <v>320</v>
      </c>
      <c r="P453" s="112">
        <f>iferror(mround(I453/VLOOKUP(L453,Sheet1!$D$7:$N$16,G453+1,FALSE),2.5),"")</f>
        <v>345</v>
      </c>
      <c r="Q453" s="303">
        <f t="shared" si="12"/>
        <v>6</v>
      </c>
      <c r="R453" s="214"/>
      <c r="S453" s="11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</row>
    <row r="454" ht="3.75" customHeight="1">
      <c r="A454" s="90"/>
      <c r="B454" s="6"/>
      <c r="C454" s="90"/>
      <c r="D454" s="138"/>
      <c r="E454" s="215"/>
      <c r="F454" s="102"/>
      <c r="G454" s="102"/>
      <c r="H454" s="102"/>
      <c r="I454" s="102"/>
      <c r="J454" s="216"/>
      <c r="K454" s="217"/>
      <c r="L454" s="218"/>
      <c r="M454" s="144"/>
      <c r="N454" s="145"/>
      <c r="O454" s="145"/>
      <c r="P454" s="122"/>
      <c r="Q454" s="304" t="str">
        <f t="shared" si="12"/>
        <v/>
      </c>
      <c r="R454" s="214"/>
      <c r="S454" s="11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</row>
    <row r="455" ht="15.75" customHeight="1">
      <c r="A455" s="90"/>
      <c r="B455" s="6"/>
      <c r="C455" s="90"/>
      <c r="D455" s="159" t="s">
        <v>33</v>
      </c>
      <c r="E455" s="167"/>
      <c r="F455" s="127">
        <v>3.0</v>
      </c>
      <c r="G455" s="161">
        <v>3.0</v>
      </c>
      <c r="H455" s="195"/>
      <c r="I455" s="164">
        <f>MROUND(I453*(1+J455),5)</f>
        <v>290</v>
      </c>
      <c r="J455" s="165">
        <v>-0.08</v>
      </c>
      <c r="K455" s="219"/>
      <c r="L455" s="133"/>
      <c r="M455" s="134">
        <f>I320</f>
        <v>285</v>
      </c>
      <c r="N455" s="135" t="str">
        <f>iferror(mround($P320*((VLOOKUP($J455,Sheet1!$D:$N,$G455+1,FALSE)-0.03)),2.5)," ")</f>
        <v> </v>
      </c>
      <c r="O455" s="135" t="str">
        <f>iferror(mround($P320*((VLOOKUP($J455,Sheet1!$D:$N,$G455+1,FALSE)+0.02)),2.5)," ")</f>
        <v> </v>
      </c>
      <c r="P455" s="112" t="str">
        <f>iferror(mround(I455/VLOOKUP(L455,Sheet1!$D$7:$N$16,G455+1,FALSE),2.5),"")</f>
        <v/>
      </c>
      <c r="Q455" s="303">
        <f t="shared" si="12"/>
        <v>5</v>
      </c>
      <c r="R455" s="214"/>
      <c r="S455" s="11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</row>
    <row r="456" ht="3.75" customHeight="1">
      <c r="A456" s="90"/>
      <c r="B456" s="6"/>
      <c r="C456" s="90"/>
      <c r="D456" s="138"/>
      <c r="E456" s="215"/>
      <c r="F456" s="102"/>
      <c r="G456" s="102"/>
      <c r="H456" s="102"/>
      <c r="I456" s="102"/>
      <c r="J456" s="156"/>
      <c r="K456" s="217"/>
      <c r="L456" s="143"/>
      <c r="M456" s="144"/>
      <c r="N456" s="145"/>
      <c r="O456" s="145"/>
      <c r="P456" s="122"/>
      <c r="Q456" s="304" t="str">
        <f t="shared" si="12"/>
        <v/>
      </c>
      <c r="R456" s="214"/>
      <c r="S456" s="11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</row>
    <row r="457" ht="15.75" customHeight="1">
      <c r="A457" s="90"/>
      <c r="B457" s="6"/>
      <c r="C457" s="90"/>
      <c r="D457" s="159" t="s">
        <v>86</v>
      </c>
      <c r="E457" s="167" t="s">
        <v>87</v>
      </c>
      <c r="F457" s="127">
        <v>3.0</v>
      </c>
      <c r="G457" s="169">
        <v>45577.0</v>
      </c>
      <c r="H457" s="195"/>
      <c r="I457" s="164"/>
      <c r="J457" s="151">
        <v>8.0</v>
      </c>
      <c r="K457" s="213"/>
      <c r="L457" s="133"/>
      <c r="M457" s="134">
        <f>I322</f>
        <v>140</v>
      </c>
      <c r="N457" s="135" t="str">
        <f>iferror(mround($P322*((VLOOKUP($J457,Sheet1!$D:$N,$G457+1,FALSE)-0.03)),2.5)," ")</f>
        <v> </v>
      </c>
      <c r="O457" s="135" t="str">
        <f>iferror(mround($P322*((VLOOKUP($J457,Sheet1!$D:$N,$G457+1,FALSE)+0.02)),2.5)," ")</f>
        <v> </v>
      </c>
      <c r="P457" s="112" t="str">
        <f>iferror(mround(I457/VLOOKUP(L457,Sheet1!$D$7:$N$16,G457+1,FALSE),2.5),"")</f>
        <v/>
      </c>
      <c r="Q457" s="303" t="str">
        <f t="shared" si="12"/>
        <v/>
      </c>
      <c r="R457" s="214"/>
      <c r="S457" s="11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</row>
    <row r="458" ht="3.75" customHeight="1">
      <c r="A458" s="90"/>
      <c r="B458" s="6"/>
      <c r="C458" s="90"/>
      <c r="D458" s="138"/>
      <c r="E458" s="215"/>
      <c r="F458" s="102"/>
      <c r="G458" s="102"/>
      <c r="H458" s="102"/>
      <c r="I458" s="102"/>
      <c r="J458" s="156"/>
      <c r="K458" s="217"/>
      <c r="L458" s="143"/>
      <c r="M458" s="144"/>
      <c r="N458" s="145"/>
      <c r="O458" s="145"/>
      <c r="P458" s="122"/>
      <c r="Q458" s="304" t="str">
        <f t="shared" si="12"/>
        <v/>
      </c>
      <c r="R458" s="214"/>
      <c r="S458" s="11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</row>
    <row r="459" ht="15.75" customHeight="1">
      <c r="A459" s="90"/>
      <c r="B459" s="6"/>
      <c r="C459" s="90"/>
      <c r="D459" s="159" t="s">
        <v>88</v>
      </c>
      <c r="E459" s="220"/>
      <c r="F459" s="127">
        <v>3.0</v>
      </c>
      <c r="G459" s="221">
        <v>45641.0</v>
      </c>
      <c r="H459" s="195"/>
      <c r="I459" s="130"/>
      <c r="J459" s="151">
        <v>9.0</v>
      </c>
      <c r="K459" s="213"/>
      <c r="L459" s="133"/>
      <c r="M459" s="134">
        <f>I324</f>
        <v>32.5</v>
      </c>
      <c r="N459" s="135" t="str">
        <f>iferror(mround($P324*((VLOOKUP($J459,Sheet1!$D:$N,$G459+1,FALSE)-0.03)),2.5)," ")</f>
        <v> </v>
      </c>
      <c r="O459" s="135" t="str">
        <f>iferror(mround($P324*((VLOOKUP($J459,Sheet1!$D:$N,$G459+1,FALSE)+0.02)),2.5)," ")</f>
        <v> </v>
      </c>
      <c r="P459" s="112" t="str">
        <f>iferror(mround(I459/VLOOKUP(L459,Sheet1!$D$7:$N$16,G459+1,FALSE),2.5),"")</f>
        <v/>
      </c>
      <c r="Q459" s="303" t="str">
        <f t="shared" si="12"/>
        <v/>
      </c>
      <c r="R459" s="214"/>
      <c r="S459" s="11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</row>
    <row r="460" ht="3.75" customHeight="1">
      <c r="A460" s="90"/>
      <c r="B460" s="6"/>
      <c r="C460" s="90"/>
      <c r="D460" s="138"/>
      <c r="E460" s="215"/>
      <c r="F460" s="102"/>
      <c r="G460" s="102"/>
      <c r="H460" s="102"/>
      <c r="I460" s="102"/>
      <c r="J460" s="156"/>
      <c r="K460" s="217"/>
      <c r="L460" s="143"/>
      <c r="M460" s="144"/>
      <c r="N460" s="145"/>
      <c r="O460" s="145"/>
      <c r="P460" s="122"/>
      <c r="Q460" s="304" t="str">
        <f t="shared" si="12"/>
        <v/>
      </c>
      <c r="R460" s="214"/>
      <c r="S460" s="11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</row>
    <row r="461" ht="15.75" customHeight="1">
      <c r="A461" s="90"/>
      <c r="B461" s="6"/>
      <c r="C461" s="90"/>
      <c r="D461" s="159" t="s">
        <v>47</v>
      </c>
      <c r="E461" s="220"/>
      <c r="F461" s="127">
        <v>3.0</v>
      </c>
      <c r="G461" s="221">
        <v>45641.0</v>
      </c>
      <c r="H461" s="195"/>
      <c r="I461" s="130"/>
      <c r="J461" s="151">
        <v>9.0</v>
      </c>
      <c r="K461" s="213"/>
      <c r="L461" s="183"/>
      <c r="M461" s="134">
        <f>I326</f>
        <v>120</v>
      </c>
      <c r="N461" s="135" t="str">
        <f>iferror(mround($P326*((VLOOKUP($J461,Sheet1!$D:$N,$G461+1,FALSE)-0.03)),2.5)," ")</f>
        <v> </v>
      </c>
      <c r="O461" s="135" t="str">
        <f>iferror(mround($P326*((VLOOKUP($J461,Sheet1!$D:$N,$G461+1,FALSE)+0.02)),2.5)," ")</f>
        <v> </v>
      </c>
      <c r="P461" s="112" t="str">
        <f>iferror(mround(I461/VLOOKUP(L461,Sheet1!$D$7:$N$16,G461+1,FALSE),2.5),"")</f>
        <v/>
      </c>
      <c r="Q461" s="303" t="str">
        <f t="shared" si="12"/>
        <v/>
      </c>
      <c r="R461" s="214"/>
      <c r="S461" s="11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</row>
    <row r="462" ht="3.75" customHeight="1">
      <c r="A462" s="90"/>
      <c r="B462" s="6"/>
      <c r="C462" s="90"/>
      <c r="D462" s="138"/>
      <c r="E462" s="326"/>
      <c r="F462" s="102"/>
      <c r="G462" s="102"/>
      <c r="H462" s="102"/>
      <c r="I462" s="102"/>
      <c r="J462" s="216"/>
      <c r="K462" s="222"/>
      <c r="L462" s="143"/>
      <c r="M462" s="144"/>
      <c r="N462" s="145"/>
      <c r="O462" s="145"/>
      <c r="P462" s="122"/>
      <c r="Q462" s="304" t="str">
        <f t="shared" si="12"/>
        <v/>
      </c>
      <c r="R462" s="214"/>
      <c r="S462" s="11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</row>
    <row r="463" ht="18.0" hidden="1" customHeight="1">
      <c r="A463" s="90"/>
      <c r="B463" s="6"/>
      <c r="C463" s="90"/>
      <c r="D463" s="185"/>
      <c r="E463" s="327"/>
      <c r="F463" s="187"/>
      <c r="G463" s="187"/>
      <c r="H463" s="195"/>
      <c r="I463" s="164"/>
      <c r="J463" s="189"/>
      <c r="K463" s="190"/>
      <c r="L463" s="183"/>
      <c r="M463" s="134" t="str">
        <f>I328</f>
        <v/>
      </c>
      <c r="N463" s="135" t="str">
        <f>iferror(mround($P328*((VLOOKUP($J463,Sheet1!$D:$N,$G463+1,FALSE)-0.03)),2.5)," ")</f>
        <v> </v>
      </c>
      <c r="O463" s="135" t="str">
        <f>iferror(mround($P328*((VLOOKUP($J463,Sheet1!$D:$N,$G463+1,FALSE)+0.02)),2.5)," ")</f>
        <v> </v>
      </c>
      <c r="P463" s="112" t="str">
        <f>iferror(mround(I463/VLOOKUP(L463,Sheet1!$D$7:$N$16,G463+1,FALSE),2.5),"")</f>
        <v/>
      </c>
      <c r="Q463" s="303" t="str">
        <f t="shared" si="12"/>
        <v/>
      </c>
      <c r="R463" s="214"/>
      <c r="S463" s="11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</row>
    <row r="464" ht="3.75" hidden="1" customHeight="1">
      <c r="A464" s="191"/>
      <c r="B464" s="6"/>
      <c r="C464" s="192"/>
      <c r="D464" s="138"/>
      <c r="E464" s="223"/>
      <c r="F464" s="194"/>
      <c r="G464" s="194"/>
      <c r="H464" s="155"/>
      <c r="I464" s="210"/>
      <c r="J464" s="216"/>
      <c r="K464" s="222"/>
      <c r="L464" s="143"/>
      <c r="M464" s="144"/>
      <c r="N464" s="145"/>
      <c r="O464" s="145"/>
      <c r="P464" s="122"/>
      <c r="Q464" s="304" t="str">
        <f t="shared" si="12"/>
        <v/>
      </c>
      <c r="R464" s="214"/>
      <c r="S464" s="157"/>
      <c r="T464" s="5"/>
      <c r="U464" s="5"/>
      <c r="V464" s="158"/>
      <c r="W464" s="158"/>
      <c r="X464" s="158"/>
      <c r="Y464" s="158"/>
      <c r="Z464" s="158"/>
      <c r="AA464" s="158"/>
      <c r="AB464" s="158"/>
      <c r="AC464" s="158"/>
      <c r="AD464" s="158"/>
      <c r="AE464" s="158"/>
      <c r="AF464" s="158"/>
      <c r="AG464" s="158"/>
    </row>
    <row r="465" ht="15.75" hidden="1" customHeight="1">
      <c r="A465" s="90"/>
      <c r="B465" s="6"/>
      <c r="C465" s="90"/>
      <c r="D465" s="185"/>
      <c r="E465" s="186"/>
      <c r="F465" s="187"/>
      <c r="G465" s="187"/>
      <c r="H465" s="195"/>
      <c r="I465" s="164"/>
      <c r="J465" s="189"/>
      <c r="K465" s="190"/>
      <c r="L465" s="183"/>
      <c r="M465" s="134" t="str">
        <f>I330</f>
        <v/>
      </c>
      <c r="N465" s="135" t="str">
        <f>iferror(mround($P330*((VLOOKUP($J465,Sheet1!$D:$N,$G465+1,FALSE)-0.03)),2.5)," ")</f>
        <v> </v>
      </c>
      <c r="O465" s="135" t="str">
        <f>iferror(mround($P330*((VLOOKUP($J465,Sheet1!$D:$N,$G465+1,FALSE)+0.02)),2.5)," ")</f>
        <v> </v>
      </c>
      <c r="P465" s="112" t="str">
        <f>iferror(mround(I465/VLOOKUP(L465,Sheet1!$D$7:$N$16,G465+1,FALSE),2.5),"")</f>
        <v/>
      </c>
      <c r="Q465" s="303" t="str">
        <f t="shared" si="12"/>
        <v/>
      </c>
      <c r="R465" s="214"/>
      <c r="S465" s="11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</row>
    <row r="466" ht="3.75" hidden="1" customHeight="1">
      <c r="A466" s="90"/>
      <c r="B466" s="6"/>
      <c r="C466" s="90"/>
      <c r="D466" s="138"/>
      <c r="E466" s="184"/>
      <c r="F466" s="102"/>
      <c r="G466" s="102"/>
      <c r="H466" s="102"/>
      <c r="I466" s="102"/>
      <c r="J466" s="156"/>
      <c r="K466" s="222"/>
      <c r="L466" s="143"/>
      <c r="M466" s="144"/>
      <c r="N466" s="145"/>
      <c r="O466" s="145"/>
      <c r="P466" s="122"/>
      <c r="Q466" s="304" t="str">
        <f t="shared" si="12"/>
        <v/>
      </c>
      <c r="R466" s="214"/>
      <c r="S466" s="11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</row>
    <row r="467" ht="15.75" hidden="1" customHeight="1">
      <c r="A467" s="90"/>
      <c r="B467" s="6"/>
      <c r="C467" s="90"/>
      <c r="D467" s="185"/>
      <c r="E467" s="224"/>
      <c r="F467" s="187"/>
      <c r="G467" s="187"/>
      <c r="H467" s="195"/>
      <c r="I467" s="164"/>
      <c r="J467" s="189"/>
      <c r="K467" s="190"/>
      <c r="L467" s="183"/>
      <c r="M467" s="134" t="str">
        <f>I332</f>
        <v/>
      </c>
      <c r="N467" s="135" t="str">
        <f>iferror(mround($P332*((VLOOKUP($J467,Sheet1!$D:$N,$G467+1,FALSE)-0.03)),2.5)," ")</f>
        <v> </v>
      </c>
      <c r="O467" s="135" t="str">
        <f>iferror(mround($P332*((VLOOKUP($J467,Sheet1!$D:$N,$G467+1,FALSE)+0.02)),2.5)," ")</f>
        <v> </v>
      </c>
      <c r="P467" s="112" t="str">
        <f>iferror(mround(I467/VLOOKUP(L467,Sheet1!$D$7:$N$16,G467+1,FALSE),2.5),"")</f>
        <v/>
      </c>
      <c r="Q467" s="303" t="str">
        <f t="shared" si="12"/>
        <v/>
      </c>
      <c r="R467" s="214"/>
      <c r="S467" s="11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</row>
    <row r="468" ht="3.75" hidden="1" customHeight="1">
      <c r="A468" s="191"/>
      <c r="B468" s="6"/>
      <c r="C468" s="192"/>
      <c r="D468" s="138"/>
      <c r="E468" s="193"/>
      <c r="F468" s="194"/>
      <c r="G468" s="194"/>
      <c r="H468" s="155"/>
      <c r="I468" s="210"/>
      <c r="J468" s="216"/>
      <c r="K468" s="222"/>
      <c r="L468" s="143"/>
      <c r="M468" s="144"/>
      <c r="N468" s="145"/>
      <c r="O468" s="145"/>
      <c r="P468" s="122"/>
      <c r="Q468" s="304" t="str">
        <f t="shared" si="12"/>
        <v/>
      </c>
      <c r="R468" s="214"/>
      <c r="S468" s="157"/>
      <c r="T468" s="5"/>
      <c r="U468" s="5"/>
      <c r="V468" s="158"/>
      <c r="W468" s="158"/>
      <c r="X468" s="158"/>
      <c r="Y468" s="158"/>
      <c r="Z468" s="158"/>
      <c r="AA468" s="158"/>
      <c r="AB468" s="158"/>
      <c r="AC468" s="158"/>
      <c r="AD468" s="158"/>
      <c r="AE468" s="158"/>
      <c r="AF468" s="158"/>
      <c r="AG468" s="158"/>
    </row>
    <row r="469" ht="15.75" hidden="1" customHeight="1">
      <c r="A469" s="90"/>
      <c r="B469" s="6"/>
      <c r="C469" s="90"/>
      <c r="D469" s="185"/>
      <c r="E469" s="186"/>
      <c r="F469" s="187"/>
      <c r="G469" s="187"/>
      <c r="H469" s="195"/>
      <c r="I469" s="164"/>
      <c r="J469" s="189"/>
      <c r="K469" s="190"/>
      <c r="L469" s="183"/>
      <c r="M469" s="134" t="str">
        <f>I334</f>
        <v/>
      </c>
      <c r="N469" s="135" t="str">
        <f>iferror(mround($P334*((VLOOKUP($J469,Sheet1!$D:$N,$G469+1,FALSE)-0.03)),2.5)," ")</f>
        <v> </v>
      </c>
      <c r="O469" s="135" t="str">
        <f>iferror(mround($P334*((VLOOKUP($J469,Sheet1!$D:$N,$G469+1,FALSE)+0.02)),2.5)," ")</f>
        <v> </v>
      </c>
      <c r="P469" s="112" t="str">
        <f>iferror(mround(I469/VLOOKUP(L469,Sheet1!$D$7:$N$16,G469+1,FALSE),2.5),"")</f>
        <v/>
      </c>
      <c r="Q469" s="303" t="str">
        <f t="shared" si="12"/>
        <v/>
      </c>
      <c r="R469" s="214"/>
      <c r="S469" s="11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</row>
    <row r="470" ht="3.75" hidden="1" customHeight="1">
      <c r="A470" s="90"/>
      <c r="B470" s="6"/>
      <c r="C470" s="90"/>
      <c r="D470" s="196"/>
      <c r="E470" s="184"/>
      <c r="F470" s="102"/>
      <c r="G470" s="102"/>
      <c r="H470" s="102"/>
      <c r="I470" s="102"/>
      <c r="J470" s="156"/>
      <c r="K470" s="222"/>
      <c r="L470" s="143"/>
      <c r="M470" s="144"/>
      <c r="N470" s="145"/>
      <c r="O470" s="145"/>
      <c r="P470" s="122"/>
      <c r="Q470" s="304" t="str">
        <f t="shared" si="12"/>
        <v/>
      </c>
      <c r="R470" s="214"/>
      <c r="S470" s="11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</row>
    <row r="471" ht="15.75" hidden="1" customHeight="1">
      <c r="A471" s="90"/>
      <c r="B471" s="6"/>
      <c r="C471" s="90"/>
      <c r="D471" s="197"/>
      <c r="E471" s="198"/>
      <c r="F471" s="199"/>
      <c r="G471" s="187"/>
      <c r="H471" s="195"/>
      <c r="I471" s="164"/>
      <c r="J471" s="189"/>
      <c r="K471" s="190"/>
      <c r="L471" s="183"/>
      <c r="M471" s="134" t="str">
        <f>I336</f>
        <v/>
      </c>
      <c r="N471" s="135" t="str">
        <f>iferror(mround($P336*((VLOOKUP($J471,Sheet1!$D:$N,$G471+1,FALSE)-0.03)),2.5)," ")</f>
        <v> </v>
      </c>
      <c r="O471" s="135" t="str">
        <f>iferror(mround($P336*((VLOOKUP($J471,Sheet1!$D:$N,$G471+1,FALSE)+0.02)),2.5)," ")</f>
        <v> </v>
      </c>
      <c r="P471" s="112" t="str">
        <f>iferror(mround(I471/VLOOKUP(L471,Sheet1!$D$7:$N$16,G471+1,FALSE),2.5),"")</f>
        <v/>
      </c>
      <c r="Q471" s="303" t="str">
        <f t="shared" si="12"/>
        <v/>
      </c>
      <c r="R471" s="214"/>
      <c r="S471" s="11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</row>
    <row r="472" ht="3.75" hidden="1" customHeight="1">
      <c r="A472" s="90"/>
      <c r="B472" s="6"/>
      <c r="C472" s="90"/>
      <c r="D472" s="90"/>
      <c r="E472" s="156"/>
      <c r="F472" s="102"/>
      <c r="G472" s="102"/>
      <c r="H472" s="102"/>
      <c r="I472" s="102"/>
      <c r="J472" s="156"/>
      <c r="K472" s="222"/>
      <c r="L472" s="201"/>
      <c r="M472" s="211"/>
      <c r="N472" s="47"/>
      <c r="O472" s="47"/>
      <c r="P472" s="122"/>
      <c r="Q472" s="304" t="str">
        <f t="shared" si="12"/>
        <v/>
      </c>
      <c r="R472" s="214"/>
      <c r="S472" s="11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</row>
    <row r="473" ht="30.75" customHeight="1">
      <c r="A473" s="90"/>
      <c r="B473" s="6"/>
      <c r="C473" s="90"/>
      <c r="D473" s="202" t="s">
        <v>49</v>
      </c>
      <c r="E473" s="105" t="s">
        <v>15</v>
      </c>
      <c r="F473" s="106" t="s">
        <v>16</v>
      </c>
      <c r="G473" s="106" t="s">
        <v>17</v>
      </c>
      <c r="H473" s="107"/>
      <c r="I473" s="106" t="s">
        <v>18</v>
      </c>
      <c r="J473" s="108" t="s">
        <v>19</v>
      </c>
      <c r="L473" s="109" t="s">
        <v>20</v>
      </c>
      <c r="M473" s="110" t="s">
        <v>21</v>
      </c>
      <c r="N473" s="111" t="s">
        <v>22</v>
      </c>
      <c r="P473" s="112"/>
      <c r="Q473" s="113" t="s">
        <v>23</v>
      </c>
      <c r="R473" s="114" t="s">
        <v>50</v>
      </c>
      <c r="S473" s="11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</row>
    <row r="474" ht="14.25" customHeight="1">
      <c r="A474" s="90"/>
      <c r="B474" s="6"/>
      <c r="C474" s="90"/>
      <c r="D474" s="116" t="s">
        <v>25</v>
      </c>
      <c r="E474" s="117" t="s">
        <v>26</v>
      </c>
      <c r="H474" s="107"/>
      <c r="N474" s="111" t="s">
        <v>27</v>
      </c>
      <c r="O474" s="111" t="s">
        <v>28</v>
      </c>
      <c r="P474" s="112" t="s">
        <v>29</v>
      </c>
      <c r="R474" s="118" t="s">
        <v>30</v>
      </c>
      <c r="S474" s="11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</row>
    <row r="475" ht="3.75" customHeight="1">
      <c r="A475" s="191"/>
      <c r="B475" s="6"/>
      <c r="C475" s="192"/>
      <c r="D475" s="203"/>
      <c r="E475" s="203"/>
      <c r="F475" s="205"/>
      <c r="G475" s="205"/>
      <c r="H475" s="205"/>
      <c r="I475" s="225"/>
      <c r="J475" s="226"/>
      <c r="K475" s="209"/>
      <c r="L475" s="210"/>
      <c r="M475" s="211"/>
      <c r="N475" s="47"/>
      <c r="O475" s="47"/>
      <c r="P475" s="122"/>
      <c r="Q475" s="304" t="str">
        <f t="shared" ref="Q475:Q495" si="13">IF(OR(ISBLANK(I475), ISBLANK(I340)), "", IF(I475 - I340 = 0, "", I475 - I340))</f>
        <v/>
      </c>
      <c r="R475" s="212"/>
      <c r="S475" s="157"/>
      <c r="T475" s="5"/>
      <c r="U475" s="5"/>
      <c r="V475" s="158"/>
      <c r="W475" s="158"/>
      <c r="X475" s="158"/>
      <c r="Y475" s="158"/>
      <c r="Z475" s="158"/>
      <c r="AA475" s="158"/>
      <c r="AB475" s="158"/>
      <c r="AC475" s="158"/>
      <c r="AD475" s="158"/>
      <c r="AE475" s="158"/>
      <c r="AF475" s="158"/>
      <c r="AG475" s="158"/>
    </row>
    <row r="476" ht="15.75" customHeight="1">
      <c r="A476" s="124"/>
      <c r="B476" s="6"/>
      <c r="C476" s="124"/>
      <c r="D476" s="125" t="s">
        <v>90</v>
      </c>
      <c r="E476" s="126"/>
      <c r="F476" s="127">
        <v>1.0</v>
      </c>
      <c r="G476" s="240">
        <v>4.0</v>
      </c>
      <c r="H476" s="129"/>
      <c r="I476" s="130">
        <v>435.0</v>
      </c>
      <c r="J476" s="151">
        <v>7.5</v>
      </c>
      <c r="K476" s="213"/>
      <c r="L476" s="133">
        <v>8.0</v>
      </c>
      <c r="M476" s="134">
        <f>I341</f>
        <v>424</v>
      </c>
      <c r="N476" s="135">
        <f>iferror(mround($P341*((VLOOKUP($J476,Sheet1!$D:$N,$G476+1,FALSE)-0.03)),2.5)," ")</f>
        <v>407.5</v>
      </c>
      <c r="O476" s="135">
        <f>iferror(mround($P341*((VLOOKUP($J476,Sheet1!$D:$N,$G476+1,FALSE)+0.02)),2.5)," ")</f>
        <v>435</v>
      </c>
      <c r="P476" s="112">
        <f>iferror(mround(I476/VLOOKUP(L476,Sheet1!$D$7:$N$16,G476+1,FALSE),2.5),"")</f>
        <v>517.5</v>
      </c>
      <c r="Q476" s="303">
        <f t="shared" si="13"/>
        <v>11</v>
      </c>
      <c r="R476" s="214"/>
      <c r="S476" s="11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</row>
    <row r="477" ht="3.75" customHeight="1">
      <c r="A477" s="124"/>
      <c r="B477" s="6"/>
      <c r="C477" s="124"/>
      <c r="D477" s="138"/>
      <c r="E477" s="139"/>
      <c r="F477" s="140"/>
      <c r="G477" s="140"/>
      <c r="H477" s="140"/>
      <c r="I477" s="140"/>
      <c r="J477" s="141"/>
      <c r="K477" s="217"/>
      <c r="L477" s="218"/>
      <c r="M477" s="144"/>
      <c r="N477" s="145"/>
      <c r="O477" s="145"/>
      <c r="P477" s="122"/>
      <c r="Q477" s="304" t="str">
        <f t="shared" si="13"/>
        <v/>
      </c>
      <c r="R477" s="214"/>
      <c r="S477" s="11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</row>
    <row r="478" ht="15.75" customHeight="1">
      <c r="A478" s="90"/>
      <c r="B478" s="6"/>
      <c r="C478" s="90"/>
      <c r="D478" s="125" t="s">
        <v>77</v>
      </c>
      <c r="E478" s="126"/>
      <c r="F478" s="127">
        <v>4.0</v>
      </c>
      <c r="G478" s="240">
        <v>5.0</v>
      </c>
      <c r="H478" s="129"/>
      <c r="I478" s="164">
        <f>MROUND(I476*(1+J478),5)</f>
        <v>385</v>
      </c>
      <c r="J478" s="165">
        <v>-0.12</v>
      </c>
      <c r="K478" s="213"/>
      <c r="L478" s="133"/>
      <c r="M478" s="134">
        <f>I343</f>
        <v>380</v>
      </c>
      <c r="N478" s="135" t="str">
        <f>iferror(mround($P343*((VLOOKUP($J478,Sheet1!$D:$N,$G478+1,FALSE)-0.03)),2.5)," ")</f>
        <v> </v>
      </c>
      <c r="O478" s="135" t="str">
        <f>iferror(mround($P343*((VLOOKUP($J478,Sheet1!$D:$N,$G478+1,FALSE)+0.02)),2.5)," ")</f>
        <v> </v>
      </c>
      <c r="P478" s="112" t="str">
        <f>iferror(mround(I478/VLOOKUP(L478,Sheet1!$D$7:$N$16,G478+1,FALSE),2.5),"")</f>
        <v/>
      </c>
      <c r="Q478" s="303">
        <f t="shared" si="13"/>
        <v>5</v>
      </c>
      <c r="R478" s="214"/>
      <c r="S478" s="11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</row>
    <row r="479" ht="3.75" customHeight="1">
      <c r="A479" s="90"/>
      <c r="B479" s="6"/>
      <c r="C479" s="90"/>
      <c r="D479" s="138"/>
      <c r="E479" s="215"/>
      <c r="F479" s="102"/>
      <c r="G479" s="102"/>
      <c r="H479" s="102"/>
      <c r="I479" s="102"/>
      <c r="J479" s="156"/>
      <c r="K479" s="217"/>
      <c r="L479" s="218"/>
      <c r="M479" s="144"/>
      <c r="N479" s="145"/>
      <c r="O479" s="145"/>
      <c r="P479" s="122"/>
      <c r="Q479" s="304" t="str">
        <f t="shared" si="13"/>
        <v/>
      </c>
      <c r="R479" s="214"/>
      <c r="S479" s="11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</row>
    <row r="480" ht="15.75" customHeight="1">
      <c r="A480" s="90"/>
      <c r="B480" s="6"/>
      <c r="C480" s="90"/>
      <c r="D480" s="159" t="s">
        <v>33</v>
      </c>
      <c r="E480" s="160" t="s">
        <v>34</v>
      </c>
      <c r="F480" s="127">
        <v>3.0</v>
      </c>
      <c r="G480" s="161">
        <v>2.0</v>
      </c>
      <c r="H480" s="129"/>
      <c r="I480" s="130"/>
      <c r="J480" s="151">
        <v>7.0</v>
      </c>
      <c r="K480" s="219" t="s">
        <v>91</v>
      </c>
      <c r="L480" s="183"/>
      <c r="M480" s="134">
        <f>I345</f>
        <v>287</v>
      </c>
      <c r="N480" s="135">
        <f>iferror(mround($P345*((VLOOKUP($J480,Sheet1!$D:$N,$G480+1,FALSE)-0.03)),2.5)," ")</f>
        <v>0</v>
      </c>
      <c r="O480" s="135">
        <f>iferror(mround($P345*((VLOOKUP($J480,Sheet1!$D:$N,$G480+1,FALSE)+0.02)),2.5)," ")</f>
        <v>0</v>
      </c>
      <c r="P480" s="112" t="str">
        <f>iferror(mround(I480/VLOOKUP(L480,Sheet1!$D$7:$N$16,G480+1,FALSE),2.5),"")</f>
        <v/>
      </c>
      <c r="Q480" s="303" t="str">
        <f t="shared" si="13"/>
        <v/>
      </c>
      <c r="R480" s="214"/>
      <c r="S480" s="11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</row>
    <row r="481" ht="3.75" customHeight="1">
      <c r="A481" s="90"/>
      <c r="B481" s="6"/>
      <c r="C481" s="90"/>
      <c r="D481" s="138"/>
      <c r="E481" s="154"/>
      <c r="F481" s="155"/>
      <c r="G481" s="102"/>
      <c r="H481" s="102"/>
      <c r="I481" s="102"/>
      <c r="J481" s="156"/>
      <c r="K481" s="217"/>
      <c r="L481" s="218"/>
      <c r="M481" s="144"/>
      <c r="N481" s="145"/>
      <c r="O481" s="145"/>
      <c r="P481" s="122"/>
      <c r="Q481" s="304" t="str">
        <f t="shared" si="13"/>
        <v/>
      </c>
      <c r="R481" s="214"/>
      <c r="S481" s="11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</row>
    <row r="482" ht="15.75" customHeight="1">
      <c r="A482" s="90"/>
      <c r="B482" s="6"/>
      <c r="C482" s="90"/>
      <c r="D482" s="159" t="s">
        <v>45</v>
      </c>
      <c r="E482" s="220"/>
      <c r="F482" s="127">
        <v>3.0</v>
      </c>
      <c r="G482" s="127" t="s">
        <v>41</v>
      </c>
      <c r="H482" s="195"/>
      <c r="I482" s="164"/>
      <c r="J482" s="151"/>
      <c r="K482" s="213"/>
      <c r="L482" s="183"/>
      <c r="M482" s="134" t="str">
        <f>I347</f>
        <v/>
      </c>
      <c r="N482" s="135" t="str">
        <f>iferror(mround($P347*((VLOOKUP($J482,Sheet1!$D:$N,$G482+1,FALSE)-0.03)),2.5)," ")</f>
        <v> </v>
      </c>
      <c r="O482" s="135" t="str">
        <f>iferror(mround($P347*((VLOOKUP($J482,Sheet1!$D:$N,$G482+1,FALSE)+0.02)),2.5)," ")</f>
        <v> </v>
      </c>
      <c r="P482" s="112" t="str">
        <f>iferror(mround(I482/VLOOKUP(L482,Sheet1!$D$7:$N$16,G482+1,FALSE),2.5),"")</f>
        <v/>
      </c>
      <c r="Q482" s="303" t="str">
        <f t="shared" si="13"/>
        <v/>
      </c>
      <c r="R482" s="214"/>
      <c r="S482" s="11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</row>
    <row r="483" ht="3.75" customHeight="1">
      <c r="A483" s="90"/>
      <c r="B483" s="6"/>
      <c r="C483" s="90"/>
      <c r="D483" s="138"/>
      <c r="E483" s="215"/>
      <c r="F483" s="102"/>
      <c r="G483" s="102"/>
      <c r="H483" s="102"/>
      <c r="I483" s="102"/>
      <c r="J483" s="156"/>
      <c r="K483" s="217"/>
      <c r="L483" s="218"/>
      <c r="M483" s="144"/>
      <c r="N483" s="145"/>
      <c r="O483" s="145"/>
      <c r="P483" s="122"/>
      <c r="Q483" s="304" t="str">
        <f t="shared" si="13"/>
        <v/>
      </c>
      <c r="R483" s="214"/>
      <c r="S483" s="11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</row>
    <row r="484" ht="15.75" customHeight="1">
      <c r="A484" s="90"/>
      <c r="B484" s="6"/>
      <c r="C484" s="90"/>
      <c r="D484" s="159" t="s">
        <v>94</v>
      </c>
      <c r="E484" s="220"/>
      <c r="F484" s="127">
        <v>3.0</v>
      </c>
      <c r="G484" s="221">
        <v>45641.0</v>
      </c>
      <c r="H484" s="195"/>
      <c r="I484" s="164"/>
      <c r="J484" s="151">
        <v>9.0</v>
      </c>
      <c r="K484" s="213"/>
      <c r="L484" s="183"/>
      <c r="M484" s="134" t="str">
        <f>I349</f>
        <v/>
      </c>
      <c r="N484" s="135" t="str">
        <f>iferror(mround($P349*((VLOOKUP($J484,Sheet1!$D:$N,$G484+1,FALSE)-0.03)),2.5)," ")</f>
        <v> </v>
      </c>
      <c r="O484" s="135" t="str">
        <f>iferror(mround($P349*((VLOOKUP($J484,Sheet1!$D:$N,$G484+1,FALSE)+0.02)),2.5)," ")</f>
        <v> </v>
      </c>
      <c r="P484" s="112" t="str">
        <f>iferror(mround(I484/VLOOKUP(L484,Sheet1!$D$7:$N$16,G484+1,FALSE),2.5),"")</f>
        <v/>
      </c>
      <c r="Q484" s="303" t="str">
        <f t="shared" si="13"/>
        <v/>
      </c>
      <c r="R484" s="214"/>
      <c r="S484" s="11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</row>
    <row r="485" ht="3.75" customHeight="1">
      <c r="A485" s="90"/>
      <c r="B485" s="6"/>
      <c r="C485" s="90"/>
      <c r="D485" s="138"/>
      <c r="E485" s="215"/>
      <c r="F485" s="102"/>
      <c r="G485" s="102"/>
      <c r="H485" s="102"/>
      <c r="I485" s="102"/>
      <c r="J485" s="156"/>
      <c r="K485" s="222"/>
      <c r="L485" s="218"/>
      <c r="M485" s="144"/>
      <c r="N485" s="145"/>
      <c r="O485" s="145"/>
      <c r="P485" s="122"/>
      <c r="Q485" s="304" t="str">
        <f t="shared" si="13"/>
        <v/>
      </c>
      <c r="R485" s="214"/>
      <c r="S485" s="11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</row>
    <row r="486" ht="15.75" hidden="1" customHeight="1">
      <c r="A486" s="90"/>
      <c r="B486" s="6"/>
      <c r="C486" s="90"/>
      <c r="D486" s="185"/>
      <c r="E486" s="220"/>
      <c r="F486" s="187"/>
      <c r="G486" s="229"/>
      <c r="H486" s="195"/>
      <c r="I486" s="164"/>
      <c r="J486" s="189"/>
      <c r="K486" s="190"/>
      <c r="L486" s="183"/>
      <c r="M486" s="134" t="str">
        <f>I351</f>
        <v/>
      </c>
      <c r="N486" s="135" t="str">
        <f>iferror(mround($P351*((VLOOKUP($J486,Sheet1!$D:$N,$G486+1,FALSE)-0.03)),2.5)," ")</f>
        <v> </v>
      </c>
      <c r="O486" s="135" t="str">
        <f>iferror(mround($P351*((VLOOKUP($J486,Sheet1!$D:$N,$G486+1,FALSE)+0.02)),2.5)," ")</f>
        <v> </v>
      </c>
      <c r="P486" s="112" t="str">
        <f>iferror(mround(I486/VLOOKUP(L486,Sheet1!$D$7:$N$16,G486+1,FALSE),2.5),"")</f>
        <v/>
      </c>
      <c r="Q486" s="303" t="str">
        <f t="shared" si="13"/>
        <v/>
      </c>
      <c r="R486" s="214"/>
      <c r="S486" s="11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</row>
    <row r="487" ht="3.75" hidden="1" customHeight="1">
      <c r="A487" s="90"/>
      <c r="B487" s="6"/>
      <c r="C487" s="90"/>
      <c r="D487" s="138"/>
      <c r="E487" s="215"/>
      <c r="F487" s="102"/>
      <c r="G487" s="102"/>
      <c r="H487" s="102"/>
      <c r="I487" s="102"/>
      <c r="J487" s="216"/>
      <c r="K487" s="222"/>
      <c r="L487" s="218"/>
      <c r="M487" s="144"/>
      <c r="N487" s="145"/>
      <c r="O487" s="145"/>
      <c r="P487" s="122"/>
      <c r="Q487" s="304" t="str">
        <f t="shared" si="13"/>
        <v/>
      </c>
      <c r="R487" s="214"/>
      <c r="S487" s="11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</row>
    <row r="488" ht="15.75" hidden="1" customHeight="1">
      <c r="A488" s="90"/>
      <c r="B488" s="6"/>
      <c r="C488" s="90"/>
      <c r="D488" s="185"/>
      <c r="E488" s="220"/>
      <c r="F488" s="187"/>
      <c r="G488" s="229"/>
      <c r="H488" s="195"/>
      <c r="I488" s="164"/>
      <c r="J488" s="189"/>
      <c r="K488" s="190"/>
      <c r="L488" s="183"/>
      <c r="M488" s="134" t="str">
        <f>I353</f>
        <v/>
      </c>
      <c r="N488" s="135" t="str">
        <f>iferror(mround($P353*((VLOOKUP($J488,Sheet1!$D:$N,$G488+1,FALSE)-0.03)),2.5)," ")</f>
        <v> </v>
      </c>
      <c r="O488" s="135" t="str">
        <f>iferror(mround($P353*((VLOOKUP($J488,Sheet1!$D:$N,$G488+1,FALSE)+0.02)),2.5)," ")</f>
        <v> </v>
      </c>
      <c r="P488" s="112" t="str">
        <f>iferror(mround(I488/VLOOKUP(L488,Sheet1!$D$7:$N$16,G488+1,FALSE),2.5),"")</f>
        <v/>
      </c>
      <c r="Q488" s="303" t="str">
        <f t="shared" si="13"/>
        <v/>
      </c>
      <c r="R488" s="214"/>
      <c r="S488" s="11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</row>
    <row r="489" ht="3.75" hidden="1" customHeight="1">
      <c r="A489" s="191"/>
      <c r="B489" s="6"/>
      <c r="C489" s="192"/>
      <c r="D489" s="138"/>
      <c r="E489" s="184"/>
      <c r="F489" s="102"/>
      <c r="G489" s="102"/>
      <c r="H489" s="102"/>
      <c r="I489" s="102"/>
      <c r="J489" s="156"/>
      <c r="K489" s="222"/>
      <c r="L489" s="218"/>
      <c r="M489" s="144"/>
      <c r="N489" s="145"/>
      <c r="O489" s="145"/>
      <c r="P489" s="122"/>
      <c r="Q489" s="304" t="str">
        <f t="shared" si="13"/>
        <v/>
      </c>
      <c r="R489" s="214"/>
      <c r="S489" s="157"/>
      <c r="T489" s="5"/>
      <c r="U489" s="5"/>
      <c r="V489" s="158"/>
      <c r="W489" s="158"/>
      <c r="X489" s="158"/>
      <c r="Y489" s="158"/>
      <c r="Z489" s="158"/>
      <c r="AA489" s="158"/>
      <c r="AB489" s="158"/>
      <c r="AC489" s="158"/>
      <c r="AD489" s="158"/>
      <c r="AE489" s="158"/>
      <c r="AF489" s="158"/>
      <c r="AG489" s="158"/>
    </row>
    <row r="490" ht="15.75" hidden="1" customHeight="1">
      <c r="A490" s="90"/>
      <c r="B490" s="6"/>
      <c r="C490" s="90"/>
      <c r="D490" s="185"/>
      <c r="E490" s="224"/>
      <c r="F490" s="187"/>
      <c r="G490" s="187"/>
      <c r="H490" s="195"/>
      <c r="I490" s="164"/>
      <c r="J490" s="230"/>
      <c r="K490" s="190"/>
      <c r="L490" s="183"/>
      <c r="M490" s="134" t="str">
        <f>I355</f>
        <v/>
      </c>
      <c r="N490" s="135" t="str">
        <f>iferror(mround($P355*((VLOOKUP($J490,Sheet1!$D:$N,$G490+1,FALSE)-0.03)),2.5)," ")</f>
        <v> </v>
      </c>
      <c r="O490" s="135" t="str">
        <f>iferror(mround($P355*((VLOOKUP($J490,Sheet1!$D:$N,$G490+1,FALSE)+0.02)),2.5)," ")</f>
        <v> </v>
      </c>
      <c r="P490" s="112" t="str">
        <f>iferror(mround(I490/VLOOKUP(L490,Sheet1!$D$7:$N$16,G490+1,FALSE),2.5),"")</f>
        <v/>
      </c>
      <c r="Q490" s="303" t="str">
        <f t="shared" si="13"/>
        <v/>
      </c>
      <c r="R490" s="214"/>
      <c r="S490" s="11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</row>
    <row r="491" ht="3.75" hidden="1" customHeight="1">
      <c r="A491" s="90"/>
      <c r="B491" s="6"/>
      <c r="C491" s="90"/>
      <c r="D491" s="138"/>
      <c r="E491" s="184"/>
      <c r="F491" s="102"/>
      <c r="G491" s="102"/>
      <c r="H491" s="102"/>
      <c r="I491" s="102"/>
      <c r="J491" s="156"/>
      <c r="K491" s="222"/>
      <c r="L491" s="218"/>
      <c r="M491" s="144"/>
      <c r="N491" s="145"/>
      <c r="O491" s="145"/>
      <c r="P491" s="122"/>
      <c r="Q491" s="304" t="str">
        <f t="shared" si="13"/>
        <v/>
      </c>
      <c r="R491" s="214"/>
      <c r="S491" s="11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</row>
    <row r="492" ht="15.75" hidden="1" customHeight="1">
      <c r="A492" s="90"/>
      <c r="B492" s="6"/>
      <c r="C492" s="90"/>
      <c r="D492" s="231"/>
      <c r="E492" s="232"/>
      <c r="F492" s="187"/>
      <c r="G492" s="187"/>
      <c r="H492" s="195"/>
      <c r="I492" s="164"/>
      <c r="J492" s="230"/>
      <c r="K492" s="190"/>
      <c r="L492" s="183"/>
      <c r="M492" s="134" t="str">
        <f>I357</f>
        <v/>
      </c>
      <c r="N492" s="135" t="str">
        <f>iferror(mround($P357*((VLOOKUP($J492,Sheet1!$D:$N,$G492+1,FALSE)-0.03)),2.5)," ")</f>
        <v> </v>
      </c>
      <c r="O492" s="135" t="str">
        <f>iferror(mround($P357*((VLOOKUP($J492,Sheet1!$D:$N,$G492+1,FALSE)+0.02)),2.5)," ")</f>
        <v> </v>
      </c>
      <c r="P492" s="112" t="str">
        <f>iferror(mround(I492/VLOOKUP(L492,Sheet1!$D$7:$N$16,G492+1,FALSE),2.5),"")</f>
        <v/>
      </c>
      <c r="Q492" s="303" t="str">
        <f t="shared" si="13"/>
        <v/>
      </c>
      <c r="R492" s="214"/>
      <c r="S492" s="11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</row>
    <row r="493" ht="3.75" hidden="1" customHeight="1">
      <c r="A493" s="191"/>
      <c r="B493" s="6"/>
      <c r="C493" s="233"/>
      <c r="D493" s="234"/>
      <c r="E493" s="235"/>
      <c r="F493" s="236"/>
      <c r="G493" s="194"/>
      <c r="H493" s="155"/>
      <c r="I493" s="210"/>
      <c r="J493" s="216"/>
      <c r="K493" s="222"/>
      <c r="L493" s="218"/>
      <c r="M493" s="144"/>
      <c r="N493" s="145"/>
      <c r="O493" s="145"/>
      <c r="P493" s="122"/>
      <c r="Q493" s="304" t="str">
        <f t="shared" si="13"/>
        <v/>
      </c>
      <c r="R493" s="214"/>
      <c r="S493" s="157"/>
      <c r="T493" s="5"/>
      <c r="U493" s="5"/>
      <c r="V493" s="158"/>
      <c r="W493" s="158"/>
      <c r="X493" s="158"/>
      <c r="Y493" s="158"/>
      <c r="Z493" s="158"/>
      <c r="AA493" s="158"/>
      <c r="AB493" s="158"/>
      <c r="AC493" s="158"/>
      <c r="AD493" s="158"/>
      <c r="AE493" s="158"/>
      <c r="AF493" s="158"/>
      <c r="AG493" s="158"/>
    </row>
    <row r="494" ht="15.75" hidden="1" customHeight="1">
      <c r="A494" s="90"/>
      <c r="B494" s="6"/>
      <c r="C494" s="90"/>
      <c r="D494" s="197"/>
      <c r="E494" s="198"/>
      <c r="F494" s="199"/>
      <c r="G494" s="187"/>
      <c r="H494" s="195"/>
      <c r="I494" s="164"/>
      <c r="J494" s="189"/>
      <c r="K494" s="190"/>
      <c r="L494" s="183"/>
      <c r="M494" s="134" t="str">
        <f>I359</f>
        <v/>
      </c>
      <c r="N494" s="135" t="str">
        <f>iferror(mround($P359*((VLOOKUP($J494,Sheet1!$D:$N,$G494+1,FALSE)-0.03)),2.5)," ")</f>
        <v> </v>
      </c>
      <c r="O494" s="135" t="str">
        <f>iferror(mround($P359*((VLOOKUP($J494,Sheet1!$D:$N,$G494+1,FALSE)+0.02)),2.5)," ")</f>
        <v> </v>
      </c>
      <c r="P494" s="112" t="str">
        <f>iferror(mround(I494/VLOOKUP(L494,Sheet1!$D$7:$N$16,G494+1,FALSE),2.5),"")</f>
        <v/>
      </c>
      <c r="Q494" s="303" t="str">
        <f t="shared" si="13"/>
        <v/>
      </c>
      <c r="R494" s="214"/>
      <c r="S494" s="11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</row>
    <row r="495" ht="3.75" customHeight="1">
      <c r="A495" s="90"/>
      <c r="B495" s="6"/>
      <c r="C495" s="90"/>
      <c r="D495" s="90"/>
      <c r="E495" s="156"/>
      <c r="F495" s="102"/>
      <c r="G495" s="102"/>
      <c r="H495" s="102"/>
      <c r="I495" s="102"/>
      <c r="J495" s="156"/>
      <c r="K495" s="200"/>
      <c r="L495" s="201"/>
      <c r="M495" s="211"/>
      <c r="N495" s="47"/>
      <c r="O495" s="47"/>
      <c r="P495" s="122"/>
      <c r="Q495" s="304" t="str">
        <f t="shared" si="13"/>
        <v/>
      </c>
      <c r="R495" s="214"/>
      <c r="S495" s="11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</row>
    <row r="496" ht="30.0" customHeight="1">
      <c r="A496" s="90"/>
      <c r="B496" s="6"/>
      <c r="C496" s="90"/>
      <c r="D496" s="202" t="s">
        <v>55</v>
      </c>
      <c r="E496" s="105" t="s">
        <v>15</v>
      </c>
      <c r="F496" s="106" t="s">
        <v>16</v>
      </c>
      <c r="G496" s="106" t="s">
        <v>17</v>
      </c>
      <c r="H496" s="107"/>
      <c r="I496" s="106" t="s">
        <v>18</v>
      </c>
      <c r="J496" s="108" t="s">
        <v>19</v>
      </c>
      <c r="L496" s="109" t="s">
        <v>20</v>
      </c>
      <c r="M496" s="110" t="s">
        <v>21</v>
      </c>
      <c r="N496" s="111" t="s">
        <v>22</v>
      </c>
      <c r="P496" s="112"/>
      <c r="Q496" s="113" t="s">
        <v>23</v>
      </c>
      <c r="R496" s="114" t="s">
        <v>56</v>
      </c>
      <c r="S496" s="11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</row>
    <row r="497" ht="14.25" customHeight="1">
      <c r="A497" s="90"/>
      <c r="B497" s="6"/>
      <c r="C497" s="90"/>
      <c r="D497" s="257" t="s">
        <v>25</v>
      </c>
      <c r="E497" s="117" t="s">
        <v>26</v>
      </c>
      <c r="H497" s="107"/>
      <c r="N497" s="111" t="s">
        <v>27</v>
      </c>
      <c r="O497" s="111" t="s">
        <v>28</v>
      </c>
      <c r="P497" s="112" t="s">
        <v>29</v>
      </c>
      <c r="R497" s="118" t="s">
        <v>30</v>
      </c>
      <c r="S497" s="11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</row>
    <row r="498" ht="3.75" customHeight="1">
      <c r="A498" s="191"/>
      <c r="B498" s="6"/>
      <c r="C498" s="192"/>
      <c r="D498" s="203"/>
      <c r="E498" s="204"/>
      <c r="F498" s="205"/>
      <c r="G498" s="205"/>
      <c r="H498" s="205"/>
      <c r="I498" s="225"/>
      <c r="J498" s="237"/>
      <c r="K498" s="209"/>
      <c r="L498" s="238"/>
      <c r="M498" s="211"/>
      <c r="N498" s="47"/>
      <c r="O498" s="47"/>
      <c r="P498" s="122"/>
      <c r="Q498" s="304" t="str">
        <f t="shared" ref="Q498:Q518" si="14">IF(OR(ISBLANK(I498), ISBLANK(I363)), "", IF(I498 - I363 = 0, "", I498 - I363))</f>
        <v/>
      </c>
      <c r="R498" s="239"/>
      <c r="S498" s="157"/>
      <c r="T498" s="5"/>
      <c r="U498" s="5"/>
      <c r="V498" s="158"/>
      <c r="W498" s="158"/>
      <c r="X498" s="158"/>
      <c r="Y498" s="158"/>
      <c r="Z498" s="158"/>
      <c r="AA498" s="158"/>
      <c r="AB498" s="158"/>
      <c r="AC498" s="158"/>
      <c r="AD498" s="158"/>
      <c r="AE498" s="158"/>
      <c r="AF498" s="158"/>
      <c r="AG498" s="158"/>
    </row>
    <row r="499" ht="15.75" customHeight="1">
      <c r="A499" s="124"/>
      <c r="B499" s="6"/>
      <c r="C499" s="124"/>
      <c r="D499" s="125" t="s">
        <v>97</v>
      </c>
      <c r="E499" s="126"/>
      <c r="F499" s="127">
        <v>1.0</v>
      </c>
      <c r="G499" s="240">
        <v>4.0</v>
      </c>
      <c r="H499" s="129"/>
      <c r="I499" s="130">
        <v>513.0</v>
      </c>
      <c r="J499" s="151">
        <v>7.5</v>
      </c>
      <c r="K499" s="241"/>
      <c r="L499" s="130">
        <v>8.0</v>
      </c>
      <c r="M499" s="134">
        <f>I364</f>
        <v>501</v>
      </c>
      <c r="N499" s="135">
        <f>iferror(mround($P364*((VLOOKUP($J499,Sheet1!$D:$N,$G499+1,FALSE)-0.03)),2.5)," ")</f>
        <v>482.5</v>
      </c>
      <c r="O499" s="135">
        <f>iferror(mround($P364*((VLOOKUP($J499,Sheet1!$D:$N,$G499+1,FALSE)+0.02)),2.5)," ")</f>
        <v>512.5</v>
      </c>
      <c r="P499" s="112">
        <f>iferror(mround(I499/VLOOKUP(L499,Sheet1!$D$7:$N$16,G499+1,FALSE),2.5),"")</f>
        <v>610</v>
      </c>
      <c r="Q499" s="303">
        <f t="shared" si="14"/>
        <v>12</v>
      </c>
      <c r="R499" s="242"/>
      <c r="S499" s="11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</row>
    <row r="500" ht="3.75" customHeight="1">
      <c r="A500" s="124"/>
      <c r="B500" s="6"/>
      <c r="C500" s="124"/>
      <c r="D500" s="138"/>
      <c r="E500" s="139"/>
      <c r="F500" s="140"/>
      <c r="G500" s="140"/>
      <c r="H500" s="140"/>
      <c r="I500" s="140"/>
      <c r="J500" s="141"/>
      <c r="K500" s="243"/>
      <c r="L500" s="210"/>
      <c r="M500" s="144"/>
      <c r="N500" s="145"/>
      <c r="O500" s="145"/>
      <c r="P500" s="122"/>
      <c r="Q500" s="304" t="str">
        <f t="shared" si="14"/>
        <v/>
      </c>
      <c r="R500" s="242"/>
      <c r="S500" s="11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</row>
    <row r="501" ht="15.0" customHeight="1">
      <c r="A501" s="124"/>
      <c r="B501" s="6"/>
      <c r="C501" s="124"/>
      <c r="D501" s="125" t="s">
        <v>97</v>
      </c>
      <c r="E501" s="126"/>
      <c r="F501" s="127">
        <v>3.0</v>
      </c>
      <c r="G501" s="240">
        <v>4.0</v>
      </c>
      <c r="H501" s="129"/>
      <c r="I501" s="130">
        <v>452.0</v>
      </c>
      <c r="J501" s="151" t="s">
        <v>116</v>
      </c>
      <c r="K501" s="241"/>
      <c r="L501" s="130"/>
      <c r="M501" s="134">
        <f>I366</f>
        <v>450</v>
      </c>
      <c r="N501" s="135" t="str">
        <f>iferror(mround($P366*((VLOOKUP($J501,Sheet1!$D:$N,$G501+1,FALSE)-0.03)),2.5)," ")</f>
        <v> </v>
      </c>
      <c r="O501" s="135" t="str">
        <f>iferror(mround($P366*((VLOOKUP($J501,Sheet1!$D:$N,$G501+1,FALSE)+0.02)),2.5)," ")</f>
        <v> </v>
      </c>
      <c r="P501" s="112" t="str">
        <f>iferror(mround(I501/VLOOKUP(L501,Sheet1!$D$7:$N$16,G501+1,FALSE),2.5),"")</f>
        <v/>
      </c>
      <c r="Q501" s="303">
        <f t="shared" si="14"/>
        <v>2</v>
      </c>
      <c r="R501" s="242"/>
      <c r="S501" s="11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</row>
    <row r="502" ht="3.75" customHeight="1">
      <c r="A502" s="124"/>
      <c r="B502" s="6"/>
      <c r="C502" s="124"/>
      <c r="D502" s="138"/>
      <c r="E502" s="215"/>
      <c r="F502" s="102"/>
      <c r="G502" s="102"/>
      <c r="H502" s="102"/>
      <c r="I502" s="102"/>
      <c r="J502" s="156"/>
      <c r="K502" s="243"/>
      <c r="L502" s="210"/>
      <c r="M502" s="144"/>
      <c r="N502" s="145"/>
      <c r="O502" s="145"/>
      <c r="P502" s="122"/>
      <c r="Q502" s="304" t="str">
        <f t="shared" si="14"/>
        <v/>
      </c>
      <c r="R502" s="242"/>
      <c r="S502" s="11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</row>
    <row r="503" ht="15.75" customHeight="1">
      <c r="A503" s="124"/>
      <c r="B503" s="6"/>
      <c r="C503" s="124"/>
      <c r="D503" s="159" t="s">
        <v>33</v>
      </c>
      <c r="E503" s="126"/>
      <c r="F503" s="127">
        <v>1.0</v>
      </c>
      <c r="G503" s="161">
        <v>1.0</v>
      </c>
      <c r="H503" s="129"/>
      <c r="I503" s="130">
        <v>352.0</v>
      </c>
      <c r="J503" s="151">
        <v>8.0</v>
      </c>
      <c r="K503" s="244"/>
      <c r="L503" s="130">
        <v>8.5</v>
      </c>
      <c r="M503" s="134">
        <f>I368</f>
        <v>320</v>
      </c>
      <c r="N503" s="135">
        <f>iferror(mround($P368*((VLOOKUP($J503,Sheet1!$D:$N,$G503+1,FALSE)-0.03)),2.5)," ")</f>
        <v>310</v>
      </c>
      <c r="O503" s="135">
        <f>iferror(mround($P368*((VLOOKUP($J503,Sheet1!$D:$N,$G503+1,FALSE)+0.02)),2.5)," ")</f>
        <v>327.5</v>
      </c>
      <c r="P503" s="112">
        <f>iferror(mround(I503/VLOOKUP(L503,Sheet1!$D$7:$N$16,G503+1,FALSE),2.5),"")</f>
        <v>372.5</v>
      </c>
      <c r="Q503" s="303">
        <f t="shared" si="14"/>
        <v>32</v>
      </c>
      <c r="R503" s="242"/>
      <c r="S503" s="11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</row>
    <row r="504" ht="3.75" customHeight="1">
      <c r="A504" s="124"/>
      <c r="B504" s="6"/>
      <c r="C504" s="124"/>
      <c r="D504" s="138"/>
      <c r="E504" s="154"/>
      <c r="F504" s="155"/>
      <c r="G504" s="102"/>
      <c r="H504" s="102"/>
      <c r="I504" s="102"/>
      <c r="J504" s="156"/>
      <c r="K504" s="243"/>
      <c r="L504" s="210"/>
      <c r="M504" s="144"/>
      <c r="N504" s="145"/>
      <c r="O504" s="145"/>
      <c r="P504" s="122"/>
      <c r="Q504" s="304" t="str">
        <f t="shared" si="14"/>
        <v/>
      </c>
      <c r="R504" s="242"/>
      <c r="S504" s="11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</row>
    <row r="505" ht="15.75" customHeight="1">
      <c r="A505" s="124"/>
      <c r="B505" s="6"/>
      <c r="C505" s="124"/>
      <c r="D505" s="159" t="s">
        <v>33</v>
      </c>
      <c r="E505" s="126"/>
      <c r="F505" s="127">
        <v>4.0</v>
      </c>
      <c r="G505" s="161">
        <v>4.0</v>
      </c>
      <c r="H505" s="129"/>
      <c r="I505" s="130">
        <v>281.0</v>
      </c>
      <c r="J505" s="151">
        <v>7.5</v>
      </c>
      <c r="K505" s="241" t="s">
        <v>91</v>
      </c>
      <c r="L505" s="164"/>
      <c r="M505" s="134">
        <f>I370</f>
        <v>275</v>
      </c>
      <c r="N505" s="135">
        <f>iferror(mround($P370*((VLOOKUP($J505,Sheet1!$D:$N,$G505+1,FALSE)-0.03)),2.5)," ")</f>
        <v>260</v>
      </c>
      <c r="O505" s="135">
        <f>iferror(mround($P370*((VLOOKUP($J505,Sheet1!$D:$N,$G505+1,FALSE)+0.02)),2.5)," ")</f>
        <v>277.5</v>
      </c>
      <c r="P505" s="112" t="str">
        <f>iferror(mround(I505/VLOOKUP(L505,Sheet1!$D$7:$N$16,G505+1,FALSE),2.5),"")</f>
        <v/>
      </c>
      <c r="Q505" s="303">
        <f t="shared" si="14"/>
        <v>6</v>
      </c>
      <c r="R505" s="242"/>
      <c r="S505" s="11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</row>
    <row r="506" ht="3.75" customHeight="1">
      <c r="A506" s="90"/>
      <c r="B506" s="6"/>
      <c r="C506" s="90"/>
      <c r="D506" s="138"/>
      <c r="E506" s="245"/>
      <c r="F506" s="102"/>
      <c r="G506" s="102"/>
      <c r="H506" s="102"/>
      <c r="I506" s="102"/>
      <c r="J506" s="156"/>
      <c r="K506" s="243"/>
      <c r="L506" s="210"/>
      <c r="M506" s="144"/>
      <c r="N506" s="145"/>
      <c r="O506" s="145"/>
      <c r="P506" s="122"/>
      <c r="Q506" s="304" t="str">
        <f t="shared" si="14"/>
        <v/>
      </c>
      <c r="R506" s="242"/>
      <c r="S506" s="11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</row>
    <row r="507" ht="15.75" customHeight="1">
      <c r="A507" s="90"/>
      <c r="B507" s="6"/>
      <c r="C507" s="90"/>
      <c r="D507" s="159" t="s">
        <v>54</v>
      </c>
      <c r="E507" s="227"/>
      <c r="F507" s="127">
        <v>3.0</v>
      </c>
      <c r="G507" s="221">
        <v>45577.0</v>
      </c>
      <c r="H507" s="195"/>
      <c r="I507" s="164"/>
      <c r="J507" s="228">
        <v>8.0</v>
      </c>
      <c r="K507" s="241"/>
      <c r="L507" s="164"/>
      <c r="M507" s="134" t="str">
        <f>I372</f>
        <v/>
      </c>
      <c r="N507" s="135" t="str">
        <f>iferror(mround($P372*((VLOOKUP($J507,Sheet1!$D:$N,$G507+1,FALSE)-0.03)),2.5)," ")</f>
        <v> </v>
      </c>
      <c r="O507" s="135" t="str">
        <f>iferror(mround($P372*((VLOOKUP($J507,Sheet1!$D:$N,$G507+1,FALSE)+0.02)),2.5)," ")</f>
        <v> </v>
      </c>
      <c r="P507" s="112" t="str">
        <f>iferror(mround(I507/VLOOKUP(L507,Sheet1!$D$7:$N$16,G507+1,FALSE),2.5),"")</f>
        <v/>
      </c>
      <c r="Q507" s="303" t="str">
        <f t="shared" si="14"/>
        <v/>
      </c>
      <c r="R507" s="242"/>
      <c r="S507" s="11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</row>
    <row r="508" ht="3.75" customHeight="1">
      <c r="A508" s="191"/>
      <c r="B508" s="6"/>
      <c r="C508" s="192"/>
      <c r="D508" s="138"/>
      <c r="E508" s="245"/>
      <c r="F508" s="102"/>
      <c r="G508" s="102"/>
      <c r="H508" s="102"/>
      <c r="I508" s="102"/>
      <c r="J508" s="156"/>
      <c r="K508" s="243"/>
      <c r="L508" s="210"/>
      <c r="M508" s="144"/>
      <c r="N508" s="145"/>
      <c r="O508" s="145"/>
      <c r="P508" s="122"/>
      <c r="Q508" s="304" t="str">
        <f t="shared" si="14"/>
        <v/>
      </c>
      <c r="R508" s="242"/>
      <c r="S508" s="157"/>
      <c r="T508" s="5"/>
      <c r="U508" s="5"/>
      <c r="V508" s="158"/>
      <c r="W508" s="158"/>
      <c r="X508" s="158"/>
      <c r="Y508" s="158"/>
      <c r="Z508" s="158"/>
      <c r="AA508" s="158"/>
      <c r="AB508" s="158"/>
      <c r="AC508" s="158"/>
      <c r="AD508" s="158"/>
      <c r="AE508" s="158"/>
      <c r="AF508" s="158"/>
      <c r="AG508" s="158"/>
    </row>
    <row r="509" ht="15.75" customHeight="1">
      <c r="A509" s="90"/>
      <c r="B509" s="6"/>
      <c r="C509" s="90"/>
      <c r="D509" s="159" t="s">
        <v>99</v>
      </c>
      <c r="E509" s="246" t="s">
        <v>100</v>
      </c>
      <c r="F509" s="127">
        <v>3.0</v>
      </c>
      <c r="G509" s="221">
        <v>45577.0</v>
      </c>
      <c r="H509" s="195"/>
      <c r="I509" s="164"/>
      <c r="J509" s="228">
        <v>9.0</v>
      </c>
      <c r="K509" s="241"/>
      <c r="L509" s="164"/>
      <c r="M509" s="134" t="str">
        <f>I374</f>
        <v/>
      </c>
      <c r="N509" s="135" t="str">
        <f>iferror(mround($P374*((VLOOKUP($J509,Sheet1!$D:$N,$G509+1,FALSE)-0.03)),2.5)," ")</f>
        <v> </v>
      </c>
      <c r="O509" s="135" t="str">
        <f>iferror(mround($P374*((VLOOKUP($J509,Sheet1!$D:$N,$G509+1,FALSE)+0.02)),2.5)," ")</f>
        <v> </v>
      </c>
      <c r="P509" s="112" t="str">
        <f>iferror(mround(I509/VLOOKUP(L509,Sheet1!$D$7:$N$16,G509+1,FALSE),2.5),"")</f>
        <v/>
      </c>
      <c r="Q509" s="303" t="str">
        <f t="shared" si="14"/>
        <v/>
      </c>
      <c r="R509" s="242"/>
      <c r="S509" s="11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</row>
    <row r="510" ht="3.75" customHeight="1">
      <c r="A510" s="90"/>
      <c r="B510" s="6"/>
      <c r="C510" s="90"/>
      <c r="D510" s="138"/>
      <c r="E510" s="245"/>
      <c r="F510" s="102"/>
      <c r="G510" s="102"/>
      <c r="H510" s="102"/>
      <c r="I510" s="102"/>
      <c r="J510" s="156"/>
      <c r="K510" s="243"/>
      <c r="L510" s="210"/>
      <c r="M510" s="144"/>
      <c r="N510" s="145"/>
      <c r="O510" s="145"/>
      <c r="P510" s="122"/>
      <c r="Q510" s="304" t="str">
        <f t="shared" si="14"/>
        <v/>
      </c>
      <c r="R510" s="242"/>
      <c r="S510" s="11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</row>
    <row r="511" ht="15.75" hidden="1" customHeight="1">
      <c r="A511" s="90"/>
      <c r="B511" s="6"/>
      <c r="C511" s="90"/>
      <c r="D511" s="185"/>
      <c r="E511" s="227"/>
      <c r="F511" s="187"/>
      <c r="G511" s="229"/>
      <c r="H511" s="195"/>
      <c r="I511" s="247"/>
      <c r="J511" s="248"/>
      <c r="K511" s="241"/>
      <c r="L511" s="164"/>
      <c r="M511" s="134" t="str">
        <f>I376</f>
        <v/>
      </c>
      <c r="N511" s="135" t="str">
        <f>iferror(mround($P376*((VLOOKUP($J511,Sheet1!$D:$N,$G511+1,FALSE)-0.03)),2.5)," ")</f>
        <v> </v>
      </c>
      <c r="O511" s="135" t="str">
        <f>iferror(mround($P376*((VLOOKUP($J511,Sheet1!$D:$N,$G511+1,FALSE)+0.02)),2.5)," ")</f>
        <v> </v>
      </c>
      <c r="P511" s="112" t="str">
        <f>iferror(mround(I511/VLOOKUP(L511,Sheet1!$D$7:$N$16,G511+1,FALSE),2.5),"")</f>
        <v/>
      </c>
      <c r="Q511" s="303" t="str">
        <f t="shared" si="14"/>
        <v/>
      </c>
      <c r="R511" s="242"/>
      <c r="S511" s="11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</row>
    <row r="512" ht="3.75" hidden="1" customHeight="1">
      <c r="A512" s="90"/>
      <c r="B512" s="6"/>
      <c r="C512" s="90"/>
      <c r="D512" s="138"/>
      <c r="E512" s="215"/>
      <c r="F512" s="102"/>
      <c r="G512" s="102"/>
      <c r="H512" s="102"/>
      <c r="I512" s="102"/>
      <c r="J512" s="156"/>
      <c r="K512" s="243"/>
      <c r="L512" s="210"/>
      <c r="M512" s="144"/>
      <c r="N512" s="145"/>
      <c r="O512" s="145"/>
      <c r="P512" s="122"/>
      <c r="Q512" s="304" t="str">
        <f t="shared" si="14"/>
        <v/>
      </c>
      <c r="R512" s="242"/>
      <c r="S512" s="11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</row>
    <row r="513" ht="15.75" hidden="1" customHeight="1">
      <c r="A513" s="90"/>
      <c r="B513" s="6"/>
      <c r="C513" s="90"/>
      <c r="D513" s="185"/>
      <c r="E513" s="220"/>
      <c r="F513" s="187"/>
      <c r="G513" s="229"/>
      <c r="H513" s="195"/>
      <c r="I513" s="247"/>
      <c r="J513" s="248"/>
      <c r="K513" s="241"/>
      <c r="L513" s="164"/>
      <c r="M513" s="134" t="str">
        <f>I378</f>
        <v/>
      </c>
      <c r="N513" s="135" t="str">
        <f>iferror(mround($P378*((VLOOKUP($J513,Sheet1!$D:$N,$G513+1,FALSE)-0.03)),2.5)," ")</f>
        <v> </v>
      </c>
      <c r="O513" s="135" t="str">
        <f>iferror(mround($P378*((VLOOKUP($J513,Sheet1!$D:$N,$G513+1,FALSE)+0.02)),2.5)," ")</f>
        <v> </v>
      </c>
      <c r="P513" s="112" t="str">
        <f>iferror(mround(I513/VLOOKUP(L513,Sheet1!$D$7:$N$16,G513+1,FALSE),2.5),"")</f>
        <v/>
      </c>
      <c r="Q513" s="303" t="str">
        <f t="shared" si="14"/>
        <v/>
      </c>
      <c r="R513" s="242"/>
      <c r="S513" s="11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</row>
    <row r="514" ht="3.75" hidden="1" customHeight="1">
      <c r="A514" s="90"/>
      <c r="B514" s="6"/>
      <c r="C514" s="90"/>
      <c r="D514" s="196"/>
      <c r="E514" s="184"/>
      <c r="F514" s="102"/>
      <c r="G514" s="102"/>
      <c r="H514" s="102"/>
      <c r="I514" s="102"/>
      <c r="J514" s="156"/>
      <c r="K514" s="249"/>
      <c r="L514" s="210"/>
      <c r="M514" s="144"/>
      <c r="N514" s="145"/>
      <c r="O514" s="145"/>
      <c r="P514" s="122"/>
      <c r="Q514" s="304" t="str">
        <f t="shared" si="14"/>
        <v/>
      </c>
      <c r="R514" s="242"/>
      <c r="S514" s="11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</row>
    <row r="515" ht="15.75" hidden="1" customHeight="1">
      <c r="A515" s="90"/>
      <c r="B515" s="6"/>
      <c r="C515" s="90"/>
      <c r="D515" s="197"/>
      <c r="E515" s="250"/>
      <c r="F515" s="129"/>
      <c r="G515" s="199"/>
      <c r="H515" s="195"/>
      <c r="I515" s="247"/>
      <c r="J515" s="248"/>
      <c r="K515" s="251"/>
      <c r="L515" s="164"/>
      <c r="M515" s="134" t="str">
        <f>I380</f>
        <v/>
      </c>
      <c r="N515" s="135" t="str">
        <f>iferror(mround($P380*((VLOOKUP($J515,Sheet1!$D:$N,$G515+1,FALSE)-0.03)),2.5)," ")</f>
        <v> </v>
      </c>
      <c r="O515" s="135" t="str">
        <f>iferror(mround($P380*((VLOOKUP($J515,Sheet1!$D:$N,$G515+1,FALSE)+0.02)),2.5)," ")</f>
        <v> </v>
      </c>
      <c r="P515" s="112" t="str">
        <f>iferror(mround(I515/VLOOKUP(L515,Sheet1!$D$7:$N$16,G515+1,FALSE),2.5),"")</f>
        <v/>
      </c>
      <c r="Q515" s="303" t="str">
        <f t="shared" si="14"/>
        <v/>
      </c>
      <c r="R515" s="242"/>
      <c r="S515" s="11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</row>
    <row r="516" ht="3.75" hidden="1" customHeight="1">
      <c r="A516" s="90"/>
      <c r="B516" s="6"/>
      <c r="C516" s="90"/>
      <c r="D516" s="234"/>
      <c r="E516" s="184"/>
      <c r="F516" s="102"/>
      <c r="G516" s="102"/>
      <c r="H516" s="102"/>
      <c r="I516" s="102"/>
      <c r="J516" s="156"/>
      <c r="K516" s="249"/>
      <c r="L516" s="210"/>
      <c r="M516" s="144"/>
      <c r="N516" s="145"/>
      <c r="O516" s="145"/>
      <c r="P516" s="122"/>
      <c r="Q516" s="304" t="str">
        <f t="shared" si="14"/>
        <v/>
      </c>
      <c r="R516" s="242"/>
      <c r="S516" s="11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</row>
    <row r="517" ht="15.75" hidden="1" customHeight="1">
      <c r="A517" s="90"/>
      <c r="B517" s="6"/>
      <c r="C517" s="90"/>
      <c r="D517" s="197"/>
      <c r="E517" s="198"/>
      <c r="F517" s="129"/>
      <c r="G517" s="199"/>
      <c r="H517" s="195"/>
      <c r="I517" s="164"/>
      <c r="J517" s="248"/>
      <c r="K517" s="251"/>
      <c r="L517" s="164"/>
      <c r="M517" s="134" t="str">
        <f>I382</f>
        <v/>
      </c>
      <c r="N517" s="135" t="str">
        <f>iferror(mround($P382*((VLOOKUP($J517,Sheet1!$D:$N,$G517+1,FALSE)-0.03)),2.5)," ")</f>
        <v> </v>
      </c>
      <c r="O517" s="135" t="str">
        <f>iferror(mround($P382*((VLOOKUP($J517,Sheet1!$D:$N,$G517+1,FALSE)+0.02)),2.5)," ")</f>
        <v> </v>
      </c>
      <c r="P517" s="112" t="str">
        <f>iferror(mround(I517/VLOOKUP(L517,Sheet1!$D$7:$N$16,G517+1,FALSE),2.5),"")</f>
        <v/>
      </c>
      <c r="Q517" s="303" t="str">
        <f t="shared" si="14"/>
        <v/>
      </c>
      <c r="R517" s="242"/>
      <c r="S517" s="11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</row>
    <row r="518" ht="3.75" hidden="1" customHeight="1">
      <c r="A518" s="124"/>
      <c r="B518" s="6"/>
      <c r="C518" s="124"/>
      <c r="D518" s="252"/>
      <c r="E518" s="252"/>
      <c r="F518" s="102"/>
      <c r="G518" s="102"/>
      <c r="H518" s="102"/>
      <c r="I518" s="102"/>
      <c r="J518" s="156"/>
      <c r="K518" s="253"/>
      <c r="L518" s="201"/>
      <c r="M518" s="211"/>
      <c r="N518" s="47"/>
      <c r="O518" s="47"/>
      <c r="P518" s="122"/>
      <c r="Q518" s="304" t="str">
        <f t="shared" si="14"/>
        <v/>
      </c>
      <c r="R518" s="242"/>
      <c r="S518" s="11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</row>
    <row r="519" ht="30.75" hidden="1" customHeight="1">
      <c r="A519" s="90"/>
      <c r="B519" s="6"/>
      <c r="C519" s="90"/>
      <c r="D519" s="254" t="s">
        <v>57</v>
      </c>
      <c r="E519" s="255" t="s">
        <v>15</v>
      </c>
      <c r="F519" s="106" t="s">
        <v>16</v>
      </c>
      <c r="G519" s="106" t="s">
        <v>17</v>
      </c>
      <c r="H519" s="107"/>
      <c r="I519" s="106" t="s">
        <v>18</v>
      </c>
      <c r="J519" s="108" t="s">
        <v>19</v>
      </c>
      <c r="L519" s="109" t="s">
        <v>20</v>
      </c>
      <c r="M519" s="110" t="s">
        <v>21</v>
      </c>
      <c r="N519" s="111" t="s">
        <v>22</v>
      </c>
      <c r="P519" s="112"/>
      <c r="Q519" s="113" t="s">
        <v>23</v>
      </c>
      <c r="R519" s="256" t="s">
        <v>58</v>
      </c>
      <c r="S519" s="11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</row>
    <row r="520" ht="14.25" hidden="1" customHeight="1">
      <c r="A520" s="90"/>
      <c r="B520" s="6"/>
      <c r="C520" s="90"/>
      <c r="D520" s="257" t="s">
        <v>25</v>
      </c>
      <c r="E520" s="258" t="s">
        <v>26</v>
      </c>
      <c r="H520" s="107"/>
      <c r="N520" s="111" t="s">
        <v>27</v>
      </c>
      <c r="O520" s="111" t="s">
        <v>28</v>
      </c>
      <c r="P520" s="112" t="s">
        <v>29</v>
      </c>
      <c r="R520" s="118" t="s">
        <v>30</v>
      </c>
      <c r="S520" s="11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</row>
    <row r="521" ht="3.75" hidden="1" customHeight="1">
      <c r="A521" s="124"/>
      <c r="B521" s="6"/>
      <c r="C521" s="124"/>
      <c r="D521" s="252"/>
      <c r="E521" s="252"/>
      <c r="F521" s="102"/>
      <c r="G521" s="102"/>
      <c r="H521" s="102"/>
      <c r="I521" s="102"/>
      <c r="J521" s="156"/>
      <c r="K521" s="253"/>
      <c r="L521" s="201"/>
      <c r="M521" s="211"/>
      <c r="N521" s="47"/>
      <c r="O521" s="47"/>
      <c r="P521" s="122"/>
      <c r="Q521" s="304" t="str">
        <f t="shared" ref="Q521:Q544" si="15">IF(OR(ISBLANK(I521), ISBLANK(I386)), "", IF(I521 - I386 = 0, "", I521 - I386))</f>
        <v/>
      </c>
      <c r="R521" s="259"/>
      <c r="S521" s="11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</row>
    <row r="522" ht="14.25" hidden="1" customHeight="1">
      <c r="A522" s="124"/>
      <c r="B522" s="6"/>
      <c r="C522" s="124"/>
      <c r="D522" s="260"/>
      <c r="E522" s="126"/>
      <c r="F522" s="187"/>
      <c r="G522" s="229"/>
      <c r="H522" s="129"/>
      <c r="I522" s="164"/>
      <c r="J522" s="189"/>
      <c r="K522" s="251"/>
      <c r="L522" s="164"/>
      <c r="M522" s="134" t="str">
        <f>I389</f>
        <v/>
      </c>
      <c r="N522" s="135" t="str">
        <f>iferror(mround($P389*((VLOOKUP($J522,Sheet1!$D:$N,$G522+1,FALSE)-0.03)),2.5)," ")</f>
        <v> </v>
      </c>
      <c r="O522" s="135" t="str">
        <f>iferror(mround($P389*((VLOOKUP($J522,Sheet1!$D:$N,$G522+1,FALSE)+0.02)),2.5)," ")</f>
        <v> </v>
      </c>
      <c r="P522" s="56" t="str">
        <f>iferror(mround(I522/VLOOKUP(L522,Sheet1!$D$7:$N$16,G522+1,FALSE),2.5),"")</f>
        <v/>
      </c>
      <c r="Q522" s="303" t="str">
        <f t="shared" si="15"/>
        <v/>
      </c>
      <c r="S522" s="11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</row>
    <row r="523" ht="3.75" hidden="1" customHeight="1">
      <c r="A523" s="124"/>
      <c r="B523" s="6"/>
      <c r="C523" s="124"/>
      <c r="D523" s="138"/>
      <c r="E523" s="215"/>
      <c r="F523" s="102"/>
      <c r="G523" s="102"/>
      <c r="H523" s="102"/>
      <c r="I523" s="102"/>
      <c r="J523" s="156"/>
      <c r="K523" s="249"/>
      <c r="L523" s="210"/>
      <c r="M523" s="144"/>
      <c r="N523" s="145"/>
      <c r="O523" s="145"/>
      <c r="P523" s="122"/>
      <c r="Q523" s="304" t="str">
        <f t="shared" si="15"/>
        <v/>
      </c>
      <c r="S523" s="11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</row>
    <row r="524" ht="14.25" hidden="1" customHeight="1">
      <c r="A524" s="124"/>
      <c r="B524" s="6"/>
      <c r="C524" s="124"/>
      <c r="D524" s="185"/>
      <c r="E524" s="227"/>
      <c r="F524" s="187"/>
      <c r="G524" s="229"/>
      <c r="H524" s="195"/>
      <c r="I524" s="164"/>
      <c r="J524" s="248"/>
      <c r="K524" s="251"/>
      <c r="L524" s="164"/>
      <c r="M524" s="134" t="str">
        <f>I389</f>
        <v/>
      </c>
      <c r="N524" s="135" t="str">
        <f>iferror(mround($P389*((VLOOKUP($J524,Sheet1!$D:$N,$G524+1,FALSE)-0.03)),2.5)," ")</f>
        <v> </v>
      </c>
      <c r="O524" s="135" t="str">
        <f>iferror(mround($P389*((VLOOKUP($J524,Sheet1!$D:$N,$G524+1,FALSE)+0.02)),2.5)," ")</f>
        <v> </v>
      </c>
      <c r="P524" s="112" t="str">
        <f>iferror(mround(I524/VLOOKUP(L524,Sheet1!$D$7:$N$16,G524+1,FALSE),2.5),"")</f>
        <v/>
      </c>
      <c r="Q524" s="303" t="str">
        <f t="shared" si="15"/>
        <v/>
      </c>
      <c r="S524" s="11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</row>
    <row r="525" ht="3.75" hidden="1" customHeight="1">
      <c r="A525" s="124"/>
      <c r="B525" s="6"/>
      <c r="C525" s="124"/>
      <c r="D525" s="138"/>
      <c r="E525" s="245"/>
      <c r="F525" s="102"/>
      <c r="G525" s="102"/>
      <c r="H525" s="102"/>
      <c r="I525" s="102"/>
      <c r="J525" s="156"/>
      <c r="K525" s="249"/>
      <c r="L525" s="210"/>
      <c r="M525" s="144"/>
      <c r="N525" s="145"/>
      <c r="O525" s="145"/>
      <c r="P525" s="122"/>
      <c r="Q525" s="304" t="str">
        <f t="shared" si="15"/>
        <v/>
      </c>
      <c r="S525" s="11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</row>
    <row r="526" ht="14.25" hidden="1" customHeight="1">
      <c r="A526" s="124"/>
      <c r="B526" s="6"/>
      <c r="C526" s="124"/>
      <c r="D526" s="185"/>
      <c r="E526" s="227"/>
      <c r="F526" s="187"/>
      <c r="G526" s="229"/>
      <c r="H526" s="195"/>
      <c r="I526" s="164"/>
      <c r="J526" s="248"/>
      <c r="K526" s="251"/>
      <c r="L526" s="164"/>
      <c r="M526" s="134" t="str">
        <f>I391</f>
        <v/>
      </c>
      <c r="N526" s="135" t="str">
        <f>iferror(mround($P391*((VLOOKUP($J526,Sheet1!$D:$N,$G526+1,FALSE)-0.03)),2.5)," ")</f>
        <v> </v>
      </c>
      <c r="O526" s="135" t="str">
        <f>iferror(mround($P391*((VLOOKUP($J526,Sheet1!$D:$N,$G526+1,FALSE)+0.02)),2.5)," ")</f>
        <v> </v>
      </c>
      <c r="P526" s="112" t="str">
        <f>iferror(mround(I526/VLOOKUP(L526,Sheet1!$D$7:$N$16,G526+1,FALSE),2.5),"")</f>
        <v/>
      </c>
      <c r="Q526" s="303" t="str">
        <f t="shared" si="15"/>
        <v/>
      </c>
      <c r="S526" s="11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</row>
    <row r="527" ht="3.75" hidden="1" customHeight="1">
      <c r="A527" s="124"/>
      <c r="B527" s="6"/>
      <c r="C527" s="124"/>
      <c r="D527" s="138"/>
      <c r="E527" s="245"/>
      <c r="F527" s="102"/>
      <c r="G527" s="102"/>
      <c r="H527" s="102"/>
      <c r="I527" s="102"/>
      <c r="J527" s="156"/>
      <c r="K527" s="249"/>
      <c r="L527" s="210"/>
      <c r="M527" s="144"/>
      <c r="N527" s="145"/>
      <c r="O527" s="145"/>
      <c r="P527" s="122"/>
      <c r="Q527" s="304" t="str">
        <f t="shared" si="15"/>
        <v/>
      </c>
      <c r="S527" s="11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</row>
    <row r="528" ht="14.25" hidden="1" customHeight="1">
      <c r="A528" s="124"/>
      <c r="B528" s="6"/>
      <c r="C528" s="124"/>
      <c r="D528" s="185"/>
      <c r="E528" s="227"/>
      <c r="F528" s="187"/>
      <c r="G528" s="229"/>
      <c r="H528" s="195"/>
      <c r="I528" s="164"/>
      <c r="J528" s="248"/>
      <c r="K528" s="251"/>
      <c r="L528" s="164"/>
      <c r="M528" s="134"/>
      <c r="N528" s="135" t="str">
        <f>iferror(mround($P393*((VLOOKUP($J528,Sheet1!$D:$N,$G528+1,FALSE)-0.03)),2.5)," ")</f>
        <v> </v>
      </c>
      <c r="O528" s="135" t="str">
        <f>iferror(mround($P393*((VLOOKUP($J528,Sheet1!$D:$N,$G528+1,FALSE)+0.02)),2.5)," ")</f>
        <v> </v>
      </c>
      <c r="P528" s="112" t="str">
        <f>iferror(mround(I528/VLOOKUP(L528,Sheet1!$D$7:$N$16,G528+1,FALSE),2.5),"")</f>
        <v/>
      </c>
      <c r="Q528" s="303" t="str">
        <f t="shared" si="15"/>
        <v/>
      </c>
      <c r="S528" s="11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</row>
    <row r="529" ht="3.75" hidden="1" customHeight="1">
      <c r="A529" s="124"/>
      <c r="B529" s="6"/>
      <c r="C529" s="124"/>
      <c r="D529" s="138"/>
      <c r="E529" s="245"/>
      <c r="F529" s="102"/>
      <c r="G529" s="102"/>
      <c r="H529" s="102"/>
      <c r="I529" s="102"/>
      <c r="J529" s="156"/>
      <c r="K529" s="249"/>
      <c r="L529" s="210"/>
      <c r="M529" s="144"/>
      <c r="N529" s="145" t="str">
        <f>iferror(mround($P394*((VLOOKUP($J529,Sheet1!$D:$N,$G529+1,FALSE)-0.03)),2.5)," ")</f>
        <v> </v>
      </c>
      <c r="O529" s="145" t="str">
        <f>iferror(mround($P394*((VLOOKUP($J529,Sheet1!$D:$N,$G529+1,FALSE)+0.02)),2.5)," ")</f>
        <v> </v>
      </c>
      <c r="P529" s="122"/>
      <c r="Q529" s="304" t="str">
        <f t="shared" si="15"/>
        <v/>
      </c>
      <c r="S529" s="11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</row>
    <row r="530" ht="14.25" hidden="1" customHeight="1">
      <c r="A530" s="124"/>
      <c r="B530" s="6"/>
      <c r="C530" s="124"/>
      <c r="D530" s="185"/>
      <c r="E530" s="227"/>
      <c r="F530" s="187"/>
      <c r="G530" s="187"/>
      <c r="H530" s="195"/>
      <c r="I530" s="164"/>
      <c r="J530" s="248"/>
      <c r="K530" s="251"/>
      <c r="L530" s="164"/>
      <c r="M530" s="134" t="str">
        <f>I395</f>
        <v/>
      </c>
      <c r="N530" s="135" t="str">
        <f>iferror(mround($P395*((VLOOKUP($J530,Sheet1!$D:$N,$G530+1,FALSE)-0.03)),2.5)," ")</f>
        <v> </v>
      </c>
      <c r="O530" s="135" t="str">
        <f>iferror(mround($P395*((VLOOKUP($J530,Sheet1!$D:$N,$G530+1,FALSE)+0.02)),2.5)," ")</f>
        <v> </v>
      </c>
      <c r="P530" s="112" t="str">
        <f>iferror(mround(I530/VLOOKUP(L530,Sheet1!$D$7:$N$16,G530+1,FALSE),2.5),"")</f>
        <v/>
      </c>
      <c r="Q530" s="303" t="str">
        <f t="shared" si="15"/>
        <v/>
      </c>
      <c r="S530" s="11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</row>
    <row r="531" ht="3.75" hidden="1" customHeight="1">
      <c r="A531" s="261"/>
      <c r="B531" s="6"/>
      <c r="C531" s="262"/>
      <c r="D531" s="138"/>
      <c r="E531" s="245"/>
      <c r="F531" s="102"/>
      <c r="G531" s="102"/>
      <c r="H531" s="102"/>
      <c r="I531" s="102"/>
      <c r="J531" s="156"/>
      <c r="K531" s="249"/>
      <c r="L531" s="210"/>
      <c r="M531" s="144"/>
      <c r="N531" s="145"/>
      <c r="O531" s="145"/>
      <c r="P531" s="122"/>
      <c r="Q531" s="304" t="str">
        <f t="shared" si="15"/>
        <v/>
      </c>
      <c r="S531" s="157"/>
      <c r="T531" s="5"/>
      <c r="U531" s="5"/>
      <c r="V531" s="158"/>
      <c r="W531" s="158"/>
      <c r="X531" s="158"/>
      <c r="Y531" s="158"/>
      <c r="Z531" s="158"/>
      <c r="AA531" s="158"/>
      <c r="AB531" s="158"/>
      <c r="AC531" s="158"/>
      <c r="AD531" s="158"/>
      <c r="AE531" s="158"/>
      <c r="AF531" s="158"/>
      <c r="AG531" s="158"/>
    </row>
    <row r="532" ht="14.25" hidden="1" customHeight="1">
      <c r="A532" s="124"/>
      <c r="B532" s="6"/>
      <c r="C532" s="124"/>
      <c r="D532" s="185"/>
      <c r="E532" s="227"/>
      <c r="F532" s="187"/>
      <c r="G532" s="187"/>
      <c r="H532" s="195"/>
      <c r="I532" s="164"/>
      <c r="J532" s="248"/>
      <c r="K532" s="251"/>
      <c r="L532" s="164"/>
      <c r="M532" s="134" t="str">
        <f>I397</f>
        <v/>
      </c>
      <c r="N532" s="135" t="str">
        <f>iferror(mround($P397*((VLOOKUP($J532,Sheet1!$D:$N,$G532+1,FALSE)-0.03)),2.5)," ")</f>
        <v> </v>
      </c>
      <c r="O532" s="135" t="str">
        <f>iferror(mround($P397*((VLOOKUP($J532,Sheet1!$D:$N,$G532+1,FALSE)+0.02)),2.5)," ")</f>
        <v> </v>
      </c>
      <c r="P532" s="112" t="str">
        <f>iferror(mround(I532/VLOOKUP(L532,Sheet1!$D$7:$N$16,G532+1,FALSE),2.5),"")</f>
        <v/>
      </c>
      <c r="Q532" s="303" t="str">
        <f t="shared" si="15"/>
        <v/>
      </c>
      <c r="S532" s="11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</row>
    <row r="533" ht="3.75" hidden="1" customHeight="1">
      <c r="A533" s="261"/>
      <c r="B533" s="6"/>
      <c r="C533" s="262"/>
      <c r="D533" s="138"/>
      <c r="E533" s="252"/>
      <c r="F533" s="102"/>
      <c r="G533" s="102"/>
      <c r="H533" s="102"/>
      <c r="I533" s="102"/>
      <c r="J533" s="156"/>
      <c r="K533" s="249"/>
      <c r="L533" s="210"/>
      <c r="M533" s="144"/>
      <c r="N533" s="145"/>
      <c r="O533" s="145"/>
      <c r="P533" s="122"/>
      <c r="Q533" s="304" t="str">
        <f t="shared" si="15"/>
        <v/>
      </c>
      <c r="S533" s="157"/>
      <c r="T533" s="5"/>
      <c r="U533" s="5"/>
      <c r="V533" s="158"/>
      <c r="W533" s="158"/>
      <c r="X533" s="158"/>
      <c r="Y533" s="158"/>
      <c r="Z533" s="158"/>
      <c r="AA533" s="158"/>
      <c r="AB533" s="158"/>
      <c r="AC533" s="158"/>
      <c r="AD533" s="158"/>
      <c r="AE533" s="158"/>
      <c r="AF533" s="158"/>
      <c r="AG533" s="158"/>
    </row>
    <row r="534" ht="15.75" hidden="1" customHeight="1">
      <c r="A534" s="124"/>
      <c r="B534" s="6"/>
      <c r="C534" s="124"/>
      <c r="D534" s="185"/>
      <c r="E534" s="260"/>
      <c r="F534" s="187"/>
      <c r="G534" s="187"/>
      <c r="H534" s="195"/>
      <c r="I534" s="247"/>
      <c r="J534" s="248"/>
      <c r="K534" s="251"/>
      <c r="L534" s="164"/>
      <c r="M534" s="134"/>
      <c r="N534" s="135" t="str">
        <f>iferror(mround($P399*((VLOOKUP($J534,Sheet1!$D:$N,$G534+1,FALSE)-0.03)),2.5)," ")</f>
        <v> </v>
      </c>
      <c r="O534" s="135" t="str">
        <f>iferror(mround($P399*((VLOOKUP($J534,Sheet1!$D:$N,$G534+1,FALSE)+0.02)),2.5)," ")</f>
        <v> </v>
      </c>
      <c r="P534" s="112" t="str">
        <f>iferror(mround(I534/VLOOKUP(L534,Sheet1!$D$7:$N$16,G534+1,FALSE),2.5),"")</f>
        <v/>
      </c>
      <c r="Q534" s="303" t="str">
        <f t="shared" si="15"/>
        <v/>
      </c>
      <c r="S534" s="11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</row>
    <row r="535" ht="3.75" hidden="1" customHeight="1">
      <c r="A535" s="124"/>
      <c r="B535" s="6"/>
      <c r="C535" s="124"/>
      <c r="D535" s="263"/>
      <c r="E535" s="252"/>
      <c r="F535" s="102"/>
      <c r="G535" s="102"/>
      <c r="H535" s="102"/>
      <c r="I535" s="102"/>
      <c r="J535" s="156"/>
      <c r="K535" s="249"/>
      <c r="L535" s="210"/>
      <c r="M535" s="144"/>
      <c r="N535" s="145" t="str">
        <f>iferror(mround($P400*((VLOOKUP($J535,Sheet1!$D:$N,$G535+1,FALSE)-0.03)),2.5)," ")</f>
        <v> </v>
      </c>
      <c r="O535" s="145" t="str">
        <f>iferror(mround($P400*((VLOOKUP($J535,Sheet1!$D:$N,$G535+1,FALSE)+0.02)),2.5)," ")</f>
        <v> </v>
      </c>
      <c r="P535" s="122"/>
      <c r="Q535" s="304" t="str">
        <f t="shared" si="15"/>
        <v/>
      </c>
      <c r="S535" s="11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</row>
    <row r="536" ht="14.25" hidden="1" customHeight="1">
      <c r="A536" s="90"/>
      <c r="B536" s="6"/>
      <c r="C536" s="90"/>
      <c r="D536" s="185"/>
      <c r="E536" s="264"/>
      <c r="F536" s="187"/>
      <c r="G536" s="187"/>
      <c r="H536" s="195"/>
      <c r="I536" s="164"/>
      <c r="J536" s="248"/>
      <c r="K536" s="251"/>
      <c r="L536" s="164"/>
      <c r="M536" s="134" t="str">
        <f>I401</f>
        <v/>
      </c>
      <c r="N536" s="135" t="str">
        <f>iferror(mround($P401*((VLOOKUP($J536,Sheet1!$D:$N,$G536+1,FALSE)-0.03)),2.5)," ")</f>
        <v> </v>
      </c>
      <c r="O536" s="135" t="str">
        <f>iferror(mround($P401*((VLOOKUP($J536,Sheet1!$D:$N,$G536+1,FALSE)+0.02)),2.5)," ")</f>
        <v> </v>
      </c>
      <c r="P536" s="112" t="str">
        <f>iferror(mround(I536/VLOOKUP(L536,Sheet1!$D$7:$N$16,G536+1,FALSE),2.5),"")</f>
        <v/>
      </c>
      <c r="Q536" s="303" t="str">
        <f t="shared" si="15"/>
        <v/>
      </c>
      <c r="S536" s="11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</row>
    <row r="537" ht="3.75" hidden="1" customHeight="1">
      <c r="A537" s="261"/>
      <c r="B537" s="6"/>
      <c r="C537" s="262"/>
      <c r="D537" s="263"/>
      <c r="E537" s="263"/>
      <c r="F537" s="194"/>
      <c r="G537" s="194"/>
      <c r="H537" s="155"/>
      <c r="I537" s="210"/>
      <c r="J537" s="265"/>
      <c r="K537" s="249"/>
      <c r="L537" s="210"/>
      <c r="M537" s="144"/>
      <c r="N537" s="145"/>
      <c r="O537" s="145"/>
      <c r="P537" s="122"/>
      <c r="Q537" s="304" t="str">
        <f t="shared" si="15"/>
        <v/>
      </c>
      <c r="S537" s="157"/>
      <c r="T537" s="5"/>
      <c r="U537" s="5"/>
      <c r="V537" s="158"/>
      <c r="W537" s="158"/>
      <c r="X537" s="158"/>
      <c r="Y537" s="158"/>
      <c r="Z537" s="158"/>
      <c r="AA537" s="158"/>
      <c r="AB537" s="158"/>
      <c r="AC537" s="158"/>
      <c r="AD537" s="158"/>
      <c r="AE537" s="158"/>
      <c r="AF537" s="158"/>
      <c r="AG537" s="158"/>
    </row>
    <row r="538" ht="15.75" hidden="1" customHeight="1">
      <c r="A538" s="90"/>
      <c r="B538" s="6"/>
      <c r="C538" s="90"/>
      <c r="D538" s="185"/>
      <c r="E538" s="266"/>
      <c r="F538" s="187"/>
      <c r="G538" s="187"/>
      <c r="H538" s="195"/>
      <c r="I538" s="164"/>
      <c r="J538" s="248"/>
      <c r="K538" s="251"/>
      <c r="L538" s="164"/>
      <c r="M538" s="134"/>
      <c r="N538" s="135" t="str">
        <f>iferror(mround($P403*((VLOOKUP($J538,Sheet1!$D:$N,$G538+1,FALSE)-0.03)),2.5)," ")</f>
        <v> </v>
      </c>
      <c r="O538" s="135" t="str">
        <f>iferror(mround($P403*((VLOOKUP($J538,Sheet1!$D:$N,$G538+1,FALSE)+0.02)),2.5)," ")</f>
        <v> </v>
      </c>
      <c r="P538" s="112" t="str">
        <f>iferror(mround(I538/VLOOKUP(L538,Sheet1!$D$7:$N$16,G538+1,FALSE),2.5),"")</f>
        <v/>
      </c>
      <c r="Q538" s="303" t="str">
        <f t="shared" si="15"/>
        <v/>
      </c>
      <c r="S538" s="11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</row>
    <row r="539" ht="3.75" hidden="1" customHeight="1">
      <c r="A539" s="90"/>
      <c r="B539" s="6"/>
      <c r="C539" s="90"/>
      <c r="D539" s="138"/>
      <c r="E539" s="252"/>
      <c r="F539" s="102"/>
      <c r="G539" s="102"/>
      <c r="H539" s="102"/>
      <c r="I539" s="102"/>
      <c r="J539" s="156"/>
      <c r="K539" s="249"/>
      <c r="L539" s="210"/>
      <c r="M539" s="144"/>
      <c r="N539" s="145" t="str">
        <f>iferror(mround($P404*((VLOOKUP($J539,Sheet1!$D:$N,$G539+1,FALSE)-0.03)),2.5)," ")</f>
        <v> </v>
      </c>
      <c r="O539" s="145" t="str">
        <f>iferror(mround($P404*((VLOOKUP($J539,Sheet1!$D:$N,$G539+1,FALSE)+0.02)),2.5)," ")</f>
        <v> </v>
      </c>
      <c r="P539" s="122"/>
      <c r="Q539" s="304" t="str">
        <f t="shared" si="15"/>
        <v/>
      </c>
      <c r="S539" s="11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</row>
    <row r="540" ht="15.75" hidden="1" customHeight="1">
      <c r="A540" s="90"/>
      <c r="B540" s="6"/>
      <c r="C540" s="90"/>
      <c r="D540" s="185"/>
      <c r="E540" s="264"/>
      <c r="F540" s="187"/>
      <c r="G540" s="187"/>
      <c r="H540" s="195"/>
      <c r="I540" s="164"/>
      <c r="J540" s="248"/>
      <c r="K540" s="251"/>
      <c r="L540" s="164"/>
      <c r="M540" s="134" t="str">
        <f>I405</f>
        <v/>
      </c>
      <c r="N540" s="135" t="str">
        <f>iferror(mround($P405*((VLOOKUP($J540,Sheet1!$D:$N,$G540+1,FALSE)-0.03)),2.5)," ")</f>
        <v> </v>
      </c>
      <c r="O540" s="135" t="str">
        <f>iferror(mround($P405*((VLOOKUP($J540,Sheet1!$D:$N,$G540+1,FALSE)+0.02)),2.5)," ")</f>
        <v> </v>
      </c>
      <c r="P540" s="112" t="str">
        <f>iferror(mround(I540/VLOOKUP(L540,Sheet1!$D$7:$N$16,G540+1,FALSE),2.5),"")</f>
        <v/>
      </c>
      <c r="Q540" s="303" t="str">
        <f t="shared" si="15"/>
        <v/>
      </c>
      <c r="S540" s="11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</row>
    <row r="541" ht="3.75" hidden="1" customHeight="1">
      <c r="A541" s="191"/>
      <c r="B541" s="6"/>
      <c r="C541" s="192"/>
      <c r="D541" s="138"/>
      <c r="E541" s="252"/>
      <c r="F541" s="102"/>
      <c r="G541" s="102"/>
      <c r="H541" s="102"/>
      <c r="I541" s="102"/>
      <c r="J541" s="156"/>
      <c r="K541" s="249"/>
      <c r="L541" s="210"/>
      <c r="M541" s="144"/>
      <c r="N541" s="145"/>
      <c r="O541" s="145"/>
      <c r="P541" s="122"/>
      <c r="Q541" s="304" t="str">
        <f t="shared" si="15"/>
        <v/>
      </c>
      <c r="S541" s="157"/>
      <c r="T541" s="5"/>
      <c r="U541" s="5"/>
      <c r="V541" s="158"/>
      <c r="W541" s="158"/>
      <c r="X541" s="158"/>
      <c r="Y541" s="158"/>
      <c r="Z541" s="158"/>
      <c r="AA541" s="158"/>
      <c r="AB541" s="158"/>
      <c r="AC541" s="158"/>
      <c r="AD541" s="158"/>
      <c r="AE541" s="158"/>
      <c r="AF541" s="158"/>
      <c r="AG541" s="158"/>
    </row>
    <row r="542" ht="15.75" hidden="1" customHeight="1">
      <c r="A542" s="90"/>
      <c r="B542" s="6"/>
      <c r="C542" s="90"/>
      <c r="D542" s="185"/>
      <c r="E542" s="260"/>
      <c r="F542" s="187"/>
      <c r="G542" s="187"/>
      <c r="H542" s="195"/>
      <c r="I542" s="164"/>
      <c r="J542" s="248"/>
      <c r="K542" s="251"/>
      <c r="L542" s="164"/>
      <c r="M542" s="134" t="str">
        <f>I407</f>
        <v/>
      </c>
      <c r="N542" s="135" t="str">
        <f>iferror(mround($P407*((VLOOKUP($J542,Sheet1!$D:$N,$G542+1,FALSE)-0.03)),2.5)," ")</f>
        <v> </v>
      </c>
      <c r="O542" s="135" t="str">
        <f>iferror(mround($P407*((VLOOKUP($J542,Sheet1!$D:$N,$G542+1,FALSE)+0.02)),2.5)," ")</f>
        <v> </v>
      </c>
      <c r="P542" s="112" t="str">
        <f>iferror(mround(I542/VLOOKUP(L542,Sheet1!$D$7:$N$16,G542+1,FALSE),2.5),"")</f>
        <v/>
      </c>
      <c r="Q542" s="303" t="str">
        <f t="shared" si="15"/>
        <v/>
      </c>
      <c r="S542" s="11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</row>
    <row r="543" ht="3.75" hidden="1" customHeight="1">
      <c r="A543" s="90"/>
      <c r="B543" s="6"/>
      <c r="C543" s="90"/>
      <c r="D543" s="263"/>
      <c r="E543" s="252"/>
      <c r="F543" s="102"/>
      <c r="G543" s="102"/>
      <c r="H543" s="102"/>
      <c r="I543" s="102"/>
      <c r="J543" s="156"/>
      <c r="K543" s="249"/>
      <c r="L543" s="210"/>
      <c r="M543" s="144"/>
      <c r="N543" s="145"/>
      <c r="O543" s="145"/>
      <c r="P543" s="122"/>
      <c r="Q543" s="304" t="str">
        <f t="shared" si="15"/>
        <v/>
      </c>
      <c r="S543" s="11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</row>
    <row r="544" ht="15.75" hidden="1" customHeight="1">
      <c r="A544" s="90"/>
      <c r="B544" s="6"/>
      <c r="C544" s="90"/>
      <c r="D544" s="185"/>
      <c r="E544" s="266"/>
      <c r="F544" s="187"/>
      <c r="G544" s="187"/>
      <c r="H544" s="195"/>
      <c r="I544" s="164"/>
      <c r="J544" s="248"/>
      <c r="K544" s="251"/>
      <c r="L544" s="164"/>
      <c r="M544" s="134" t="str">
        <f>I409</f>
        <v/>
      </c>
      <c r="N544" s="135" t="str">
        <f>iferror(mround($P409*((VLOOKUP($J544,Sheet1!$D:$N,$G544+1,FALSE)-0.03)),2.5)," ")</f>
        <v> </v>
      </c>
      <c r="O544" s="135" t="str">
        <f>iferror(mround($P409*((VLOOKUP($J544,Sheet1!$D:$N,$G544+1,FALSE)+0.02)),2.5)," ")</f>
        <v> </v>
      </c>
      <c r="P544" s="112" t="str">
        <f>iferror(mround(I544/VLOOKUP(L544,Sheet1!$D$7:$N$16,G544+1,FALSE),2.5),"")</f>
        <v/>
      </c>
      <c r="Q544" s="303" t="str">
        <f t="shared" si="15"/>
        <v/>
      </c>
      <c r="S544" s="11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</row>
    <row r="545" ht="3.75" customHeight="1">
      <c r="A545" s="191"/>
      <c r="B545" s="6"/>
      <c r="C545" s="192"/>
      <c r="D545" s="192"/>
      <c r="E545" s="267"/>
      <c r="F545" s="194"/>
      <c r="G545" s="194"/>
      <c r="H545" s="155"/>
      <c r="I545" s="210"/>
      <c r="J545" s="268"/>
      <c r="K545" s="249"/>
      <c r="L545" s="269"/>
      <c r="M545" s="270"/>
      <c r="N545" s="269"/>
      <c r="O545" s="269"/>
      <c r="P545" s="271"/>
      <c r="Q545" s="272"/>
      <c r="R545" s="273"/>
      <c r="S545" s="157"/>
      <c r="T545" s="5"/>
      <c r="U545" s="5"/>
      <c r="V545" s="158"/>
      <c r="W545" s="158"/>
      <c r="X545" s="158"/>
      <c r="Y545" s="158"/>
      <c r="Z545" s="158"/>
      <c r="AA545" s="158"/>
      <c r="AB545" s="158"/>
      <c r="AC545" s="158"/>
      <c r="AD545" s="158"/>
      <c r="AE545" s="158"/>
      <c r="AF545" s="158"/>
      <c r="AG545" s="158"/>
    </row>
    <row r="546" ht="14.25" customHeight="1">
      <c r="A546" s="5"/>
      <c r="B546" s="6"/>
      <c r="C546" s="5"/>
      <c r="D546" s="333" t="s">
        <v>113</v>
      </c>
      <c r="E546" s="266"/>
      <c r="F546" s="187"/>
      <c r="G546" s="187"/>
      <c r="H546" s="195"/>
      <c r="I546" s="129"/>
      <c r="J546" s="275"/>
      <c r="K546" s="276"/>
      <c r="L546" s="187"/>
      <c r="M546" s="187"/>
      <c r="N546" s="187"/>
      <c r="O546" s="187"/>
      <c r="P546" s="277"/>
      <c r="Q546" s="278"/>
      <c r="R546" s="279"/>
      <c r="S546" s="11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</row>
    <row r="547" ht="14.25" customHeight="1">
      <c r="A547" s="5"/>
      <c r="B547" s="6"/>
      <c r="C547" s="5"/>
      <c r="D547" s="274" t="s">
        <v>59</v>
      </c>
      <c r="E547" s="266" t="s">
        <v>16</v>
      </c>
      <c r="F547" s="187" t="s">
        <v>17</v>
      </c>
      <c r="G547" s="187" t="s">
        <v>60</v>
      </c>
      <c r="H547" s="187"/>
      <c r="I547" s="280" t="s">
        <v>61</v>
      </c>
      <c r="J547" s="266" t="s">
        <v>62</v>
      </c>
      <c r="K547" s="274"/>
      <c r="L547" s="187"/>
      <c r="M547" s="285"/>
      <c r="N547" s="285"/>
      <c r="O547" s="285"/>
      <c r="P547" s="282"/>
      <c r="Q547" s="278"/>
      <c r="R547" s="157"/>
      <c r="S547" s="11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</row>
    <row r="548" ht="14.25" customHeight="1">
      <c r="A548" s="5"/>
      <c r="B548" s="6"/>
      <c r="C548" s="5"/>
      <c r="D548" s="274" t="s">
        <v>6</v>
      </c>
      <c r="E548" s="283">
        <f>IFERROR(__xludf.DUMMYFUNCTION("SUM(FILTER(F423:F547, ISNUMBER(SEARCH(""squat"", D423:D547))))"),8.0)</f>
        <v>8</v>
      </c>
      <c r="F548" s="284">
        <f>IFERROR(__xludf.DUMMYFUNCTION("SUMPRODUCT(FILTER(F423:F547 * G423:G547, ISNUMBER(SEARCH(""squat"", D423:D547))))"),42.0)</f>
        <v>42</v>
      </c>
      <c r="G548" s="135">
        <f>IFERROR(__xludf.DUMMYFUNCTION("ROUND(SUMPRODUCT(FILTER(F423:F547 * G423:G547 * I423:I547, ISNUMBER(SEARCH(""squat"", D423:D547)))), 0)"),17372.0)</f>
        <v>17372</v>
      </c>
      <c r="H548" s="285"/>
      <c r="I548" s="135">
        <f>IFERROR(__xludf.DUMMYFUNCTION("ROUND(AVERAGE(FILTER(I423:I547, ISNUMBER(SEARCH(""squat"", D423:D547)), I423:I547 &lt;&gt; """")) / J548 * 100, 0)"),77.0)</f>
        <v>77</v>
      </c>
      <c r="J548" s="283">
        <f>IFERROR(__xludf.DUMMYFUNCTION("IFERROR(MROUND(AVERAGE(FILTER(P423:P547, D423:D547 = ""comp squat"", P423:P547 &lt;&gt; """", P423:P547 &gt;= 0.9 * MAX(FILTER(P423:P547, D423:D547 = ""comp squat"", P423:P547 &lt;&gt; """")), P423:P547 &lt;= 1.1 * MAX(FILTER(P423:P547, D423:D547 = ""comp squat"", P423:P54"&amp;"7 &lt;&gt; """")))), 2.5), ""No valid data"")"),560.0)</f>
        <v>560</v>
      </c>
      <c r="K548" s="286"/>
      <c r="L548" s="287">
        <f>MROUND(J548/2.2046,2.5)-$O$10</f>
        <v>12.5</v>
      </c>
      <c r="M548" s="305"/>
      <c r="N548" s="305"/>
      <c r="O548" s="305"/>
      <c r="P548" s="282"/>
      <c r="Q548" s="278"/>
      <c r="R548" s="291"/>
      <c r="S548" s="11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</row>
    <row r="549" ht="3.0" customHeight="1">
      <c r="A549" s="5"/>
      <c r="B549" s="6"/>
      <c r="C549" s="5"/>
      <c r="D549" s="90"/>
      <c r="E549" s="156"/>
      <c r="F549" s="102"/>
      <c r="G549" s="145"/>
      <c r="H549" s="102"/>
      <c r="I549" s="145"/>
      <c r="J549" s="156"/>
      <c r="K549" s="286"/>
      <c r="L549" s="292"/>
      <c r="M549" s="284"/>
      <c r="N549" s="284"/>
      <c r="O549" s="305"/>
      <c r="P549" s="282"/>
      <c r="Q549" s="278"/>
      <c r="R549" s="115"/>
      <c r="S549" s="11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</row>
    <row r="550" ht="15.75" customHeight="1">
      <c r="A550" s="5"/>
      <c r="B550" s="6"/>
      <c r="C550" s="5"/>
      <c r="D550" s="274" t="s">
        <v>66</v>
      </c>
      <c r="E550" s="293">
        <f>IFERROR(__xludf.DUMMYFUNCTION("SUM(FILTER(F423:F547, ISNUMBER(SEARCH(""bench press"", D423:D547))))"),18.0)</f>
        <v>18</v>
      </c>
      <c r="F550" s="284">
        <f>IFERROR(__xludf.DUMMYFUNCTION("SUMPRODUCT(FILTER(F424:F548 * G424:G548, ISNUMBER(SEARCH(""bench press"", D424:D548))))"),68.0)</f>
        <v>68</v>
      </c>
      <c r="G550" s="135">
        <f>IFERROR(__xludf.DUMMYFUNCTION("ROUND(SUMPRODUCT(FILTER(F423:F547 * G423:G547 * I423:I547, ISNUMBER(SEARCH(""bench press"", D423:D547)))), 0)"),17026.0)</f>
        <v>17026</v>
      </c>
      <c r="H550" s="285"/>
      <c r="I550" s="135">
        <f>IFERROR(__xludf.DUMMYFUNCTION("ROUND(AVERAGE(FILTER(I423:I547, ISNUMBER(SEARCH(""bench press"", D423:D547)), I423:I547 &lt;&gt; """")) / J550 * 100, 0)"),82.0)</f>
        <v>82</v>
      </c>
      <c r="J550" s="293">
        <f>IFERROR(__xludf.DUMMYFUNCTION("IFERROR(MROUND(AVERAGE(FILTER(P423:P547, D423:D547 = ""comp bench press"", P423:P547 &lt;&gt; """", P423:P547 &gt;= 0.9 * MAX(FILTER(P423:P547, D423:D547 = ""comp bench press"", P423:P547 &lt;&gt; """")), P423:P547 &lt;= 1.1 * MAX(FILTER(P423:P547, D423:D547 = ""comp bench"&amp;" press"", P423:P547 &lt;&gt; """")))), 2.5), ""No valid data"")"),355.0)</f>
        <v>355</v>
      </c>
      <c r="K550" s="286"/>
      <c r="L550" s="294">
        <f>MROUND(J550/2.2046,2.5)-$O$11</f>
        <v>7.5</v>
      </c>
      <c r="M550" s="285"/>
      <c r="N550" s="285"/>
      <c r="O550" s="305"/>
      <c r="P550" s="282"/>
      <c r="Q550" s="278"/>
      <c r="R550" s="157"/>
      <c r="S550" s="11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</row>
    <row r="551" ht="3.0" customHeight="1">
      <c r="A551" s="5"/>
      <c r="B551" s="6"/>
      <c r="C551" s="5"/>
      <c r="D551" s="90"/>
      <c r="E551" s="156"/>
      <c r="F551" s="102"/>
      <c r="G551" s="145"/>
      <c r="H551" s="102"/>
      <c r="I551" s="145"/>
      <c r="J551" s="156"/>
      <c r="K551" s="286"/>
      <c r="L551" s="292"/>
      <c r="M551" s="285"/>
      <c r="N551" s="285"/>
      <c r="O551" s="284"/>
      <c r="P551" s="282"/>
      <c r="Q551" s="278"/>
      <c r="R551" s="157"/>
      <c r="S551" s="11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</row>
    <row r="552" ht="14.25" customHeight="1">
      <c r="A552" s="5"/>
      <c r="B552" s="6"/>
      <c r="C552" s="5"/>
      <c r="D552" s="274" t="s">
        <v>10</v>
      </c>
      <c r="E552" s="293">
        <f>IFERROR(__xludf.DUMMYFUNCTION("SUM(FILTER(F423:F547, ISNUMBER(SEARCH(""deadlift"", D423:D547))))"),7.0)</f>
        <v>7</v>
      </c>
      <c r="F552" s="284">
        <f>IFERROR(__xludf.DUMMYFUNCTION("SUMPRODUCT(FILTER(F423:F547 * G423:G547, ISNUMBER(SEARCH(""deadlift"", D423:D547))))"),25.0)</f>
        <v>25</v>
      </c>
      <c r="G552" s="135">
        <f>IFERROR(__xludf.DUMMYFUNCTION("ROUND(SUMPRODUCT(FILTER(F423:F547 * G423:G547 * I423:I547, ISNUMBER(SEARCH(""deadlift"", D423:D547)))), 0)"),11148.0)</f>
        <v>11148</v>
      </c>
      <c r="H552" s="285"/>
      <c r="I552" s="135">
        <f>IFERROR(__xludf.DUMMYFUNCTION("ROUND(AVERAGE(FILTER(I423:I547, ISNUMBER(SEARCH(""deadlift"", D423:D547)), I423:I547 &lt;&gt; """")) / J552 * 100, 0)"),75.0)</f>
        <v>75</v>
      </c>
      <c r="J552" s="293">
        <f>IFERROR(__xludf.DUMMYFUNCTION("IFERROR(MROUND(AVERAGE(FILTER(P423:P547, D423:D547 = ""comp deadlift"", P423:P547 &lt;&gt; """", P423:P547 &gt;= 0.9 * MAX(FILTER(P423:P547, D423:D547 = ""comp deadlift"", P423:P547 &lt;&gt; """")), P423:P547 &lt;= 1.1 * MAX(FILTER(P423:P547, D423:D547 = ""comp deadlift"","&amp;" P423:P547 &lt;&gt; """")))), 2.5), ""No valid data"")"),610.0)</f>
        <v>610</v>
      </c>
      <c r="K552" s="286"/>
      <c r="L552" s="294">
        <f>MROUND(J552/2.2046,2.5)-$O$12</f>
        <v>12.5</v>
      </c>
      <c r="M552" s="285"/>
      <c r="N552" s="285"/>
      <c r="O552" s="285"/>
      <c r="P552" s="282"/>
      <c r="Q552" s="278"/>
      <c r="R552" s="157"/>
      <c r="S552" s="11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</row>
    <row r="553" ht="14.25" customHeight="1">
      <c r="A553" s="5"/>
      <c r="B553" s="6"/>
      <c r="C553" s="5"/>
      <c r="D553" s="274"/>
      <c r="E553" s="266"/>
      <c r="F553" s="187"/>
      <c r="G553" s="187"/>
      <c r="H553" s="187"/>
      <c r="I553" s="187"/>
      <c r="J553" s="295"/>
      <c r="K553" s="274"/>
      <c r="L553" s="187"/>
      <c r="M553" s="285"/>
      <c r="N553" s="285"/>
      <c r="O553" s="285"/>
      <c r="P553" s="282"/>
      <c r="Q553" s="278"/>
      <c r="R553" s="157"/>
      <c r="S553" s="11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</row>
    <row r="554" ht="14.25" customHeight="1">
      <c r="A554" s="5"/>
      <c r="B554" s="2"/>
      <c r="C554" s="5"/>
      <c r="D554" s="5"/>
      <c r="E554" s="75"/>
      <c r="F554" s="3"/>
      <c r="G554" s="3"/>
      <c r="H554" s="3"/>
      <c r="I554" s="3"/>
      <c r="J554" s="75"/>
      <c r="K554" s="5"/>
      <c r="L554" s="3"/>
      <c r="M554" s="47"/>
      <c r="N554" s="3"/>
      <c r="O554" s="3"/>
      <c r="P554" s="3"/>
      <c r="Q554" s="4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</row>
    <row r="555" ht="18.75" customHeight="1">
      <c r="A555" s="90"/>
      <c r="B555" s="6"/>
      <c r="C555" s="91"/>
      <c r="D555" s="79" t="s">
        <v>72</v>
      </c>
      <c r="E555" s="80" t="s">
        <v>13</v>
      </c>
      <c r="G555" s="81"/>
      <c r="H555" s="81"/>
      <c r="I555" s="81"/>
      <c r="J555" s="82"/>
      <c r="K555" s="83"/>
      <c r="L555" s="83"/>
      <c r="M555" s="93"/>
      <c r="N555" s="93"/>
      <c r="O555" s="93"/>
      <c r="P555" s="296"/>
      <c r="Q555" s="297"/>
      <c r="R555" s="298"/>
      <c r="S555" s="10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</row>
    <row r="556" ht="18.75" customHeight="1">
      <c r="A556" s="90"/>
      <c r="B556" s="6"/>
      <c r="C556" s="91"/>
      <c r="D556" s="299" t="s">
        <v>74</v>
      </c>
      <c r="E556" s="300" t="str">
        <f>IF(E421 = "", "", E421 - 1)</f>
        <v/>
      </c>
      <c r="G556" s="301"/>
      <c r="H556" s="301"/>
      <c r="I556" s="301"/>
      <c r="J556" s="92"/>
      <c r="K556" s="93"/>
      <c r="L556" s="93"/>
      <c r="M556" s="93"/>
      <c r="N556" s="93"/>
      <c r="O556" s="93"/>
      <c r="P556" s="94"/>
      <c r="Q556" s="95"/>
      <c r="R556" s="96"/>
      <c r="S556" s="10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</row>
    <row r="557" ht="5.25" customHeight="1">
      <c r="A557" s="90"/>
      <c r="B557" s="6"/>
      <c r="C557" s="90"/>
      <c r="D557" s="97"/>
      <c r="E557" s="98"/>
      <c r="F557" s="99"/>
      <c r="G557" s="99"/>
      <c r="H557" s="99"/>
      <c r="I557" s="100"/>
      <c r="J557" s="101"/>
      <c r="K557" s="90"/>
      <c r="L557" s="102"/>
      <c r="M557" s="102"/>
      <c r="N557" s="102"/>
      <c r="O557" s="102"/>
      <c r="P557" s="103"/>
      <c r="Q557" s="4"/>
      <c r="R557" s="90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</row>
    <row r="558" ht="30.75" customHeight="1">
      <c r="A558" s="90"/>
      <c r="B558" s="6"/>
      <c r="C558" s="90"/>
      <c r="D558" s="202" t="s">
        <v>73</v>
      </c>
      <c r="E558" s="105" t="s">
        <v>15</v>
      </c>
      <c r="F558" s="106" t="s">
        <v>16</v>
      </c>
      <c r="G558" s="106" t="s">
        <v>17</v>
      </c>
      <c r="H558" s="107"/>
      <c r="I558" s="106" t="s">
        <v>18</v>
      </c>
      <c r="J558" s="108" t="s">
        <v>19</v>
      </c>
      <c r="L558" s="109" t="s">
        <v>20</v>
      </c>
      <c r="M558" s="110" t="s">
        <v>21</v>
      </c>
      <c r="N558" s="111" t="s">
        <v>22</v>
      </c>
      <c r="P558" s="112"/>
      <c r="Q558" s="113" t="s">
        <v>23</v>
      </c>
      <c r="R558" s="114" t="s">
        <v>24</v>
      </c>
      <c r="S558" s="11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</row>
    <row r="559" ht="14.25" customHeight="1">
      <c r="A559" s="90"/>
      <c r="B559" s="6"/>
      <c r="C559" s="90"/>
      <c r="D559" s="116" t="s">
        <v>25</v>
      </c>
      <c r="E559" s="117" t="s">
        <v>26</v>
      </c>
      <c r="H559" s="107"/>
      <c r="N559" s="111" t="s">
        <v>27</v>
      </c>
      <c r="O559" s="111" t="s">
        <v>28</v>
      </c>
      <c r="P559" s="112" t="s">
        <v>29</v>
      </c>
      <c r="R559" s="118" t="s">
        <v>30</v>
      </c>
      <c r="S559" s="11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</row>
    <row r="560" ht="3.75" customHeight="1">
      <c r="A560" s="90"/>
      <c r="B560" s="6"/>
      <c r="C560" s="90"/>
      <c r="D560" s="97"/>
      <c r="E560" s="98"/>
      <c r="F560" s="99"/>
      <c r="G560" s="99"/>
      <c r="H560" s="99"/>
      <c r="I560" s="100"/>
      <c r="J560" s="302"/>
      <c r="K560" s="90"/>
      <c r="L560" s="102"/>
      <c r="M560" s="121"/>
      <c r="N560" s="102"/>
      <c r="O560" s="102"/>
      <c r="P560" s="122"/>
      <c r="Q560" s="4"/>
      <c r="R560" s="123"/>
      <c r="S560" s="11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</row>
    <row r="561" ht="15.75" customHeight="1">
      <c r="A561" s="124"/>
      <c r="B561" s="6"/>
      <c r="C561" s="124"/>
      <c r="D561" s="125" t="s">
        <v>77</v>
      </c>
      <c r="E561" s="126"/>
      <c r="F561" s="127">
        <v>1.0</v>
      </c>
      <c r="G561" s="240">
        <v>6.0</v>
      </c>
      <c r="H561" s="129"/>
      <c r="I561" s="130"/>
      <c r="J561" s="151">
        <v>5.0</v>
      </c>
      <c r="K561" s="132"/>
      <c r="L561" s="133"/>
      <c r="M561" s="134">
        <f>I426</f>
        <v>430</v>
      </c>
      <c r="N561" s="135">
        <f>iferror(mround($P426*((VLOOKUP($J561,Sheet1!$D:$N,$G561+1,FALSE)-0.03)),2.5)," ")</f>
        <v>377.5</v>
      </c>
      <c r="O561" s="135">
        <f>iferror(mround($P426*((VLOOKUP($J561,Sheet1!$D:$N,$G561+1,FALSE)+0.02)),2.5)," ")</f>
        <v>405</v>
      </c>
      <c r="P561" s="56" t="str">
        <f>iferror(mround(I561/VLOOKUP(L561,Sheet1!$D$7:$N$16,G561+1,FALSE),2.5),"")</f>
        <v/>
      </c>
      <c r="Q561" s="303" t="str">
        <f t="shared" ref="Q561:Q582" si="16">IF(OR(ISBLANK(I561), ISBLANK(I426)), "", IF(I561 - I426 = 0, "", I561 - I426))</f>
        <v/>
      </c>
      <c r="S561" s="11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</row>
    <row r="562" ht="3.75" customHeight="1">
      <c r="A562" s="137"/>
      <c r="B562" s="70"/>
      <c r="C562" s="137"/>
      <c r="D562" s="138"/>
      <c r="E562" s="139"/>
      <c r="F562" s="140"/>
      <c r="G562" s="140"/>
      <c r="H562" s="140"/>
      <c r="I562" s="140"/>
      <c r="J562" s="141"/>
      <c r="K562" s="142"/>
      <c r="L562" s="143"/>
      <c r="M562" s="144"/>
      <c r="N562" s="145"/>
      <c r="O562" s="145"/>
      <c r="P562" s="122"/>
      <c r="Q562" s="304" t="str">
        <f t="shared" si="16"/>
        <v/>
      </c>
      <c r="S562" s="147"/>
      <c r="T562" s="148"/>
      <c r="U562" s="148"/>
      <c r="V562" s="148"/>
      <c r="W562" s="148"/>
      <c r="X562" s="148"/>
      <c r="Y562" s="148"/>
      <c r="Z562" s="148"/>
      <c r="AA562" s="148"/>
      <c r="AB562" s="148"/>
      <c r="AC562" s="148"/>
      <c r="AD562" s="148"/>
      <c r="AE562" s="148"/>
      <c r="AF562" s="148"/>
      <c r="AG562" s="148"/>
    </row>
    <row r="563" ht="15.75" customHeight="1">
      <c r="A563" s="149"/>
      <c r="B563" s="150"/>
      <c r="C563" s="149"/>
      <c r="D563" s="125" t="s">
        <v>77</v>
      </c>
      <c r="E563" s="126"/>
      <c r="F563" s="127">
        <v>1.0</v>
      </c>
      <c r="G563" s="240">
        <v>6.0</v>
      </c>
      <c r="H563" s="129"/>
      <c r="I563" s="130"/>
      <c r="J563" s="151">
        <v>6.0</v>
      </c>
      <c r="K563" s="132"/>
      <c r="L563" s="133"/>
      <c r="M563" s="134">
        <f>I428</f>
        <v>457</v>
      </c>
      <c r="N563" s="135">
        <f>iferror(mround($P428*((VLOOKUP($J563,Sheet1!$D:$N,$G563+1,FALSE)-0.03)),2.5)," ")</f>
        <v>410</v>
      </c>
      <c r="O563" s="135">
        <f>iferror(mround($P428*((VLOOKUP($J563,Sheet1!$D:$N,$G563+1,FALSE)+0.02)),2.5)," ")</f>
        <v>440</v>
      </c>
      <c r="P563" s="56" t="str">
        <f>iferror(mround(I563/VLOOKUP(L563,Sheet1!$D$7:$N$16,G563+1,FALSE),2.5),"")</f>
        <v/>
      </c>
      <c r="Q563" s="303" t="str">
        <f t="shared" si="16"/>
        <v/>
      </c>
      <c r="S563" s="11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</row>
    <row r="564" ht="3.75" customHeight="1">
      <c r="A564" s="152"/>
      <c r="B564" s="150"/>
      <c r="C564" s="153"/>
      <c r="D564" s="138"/>
      <c r="E564" s="154"/>
      <c r="F564" s="155"/>
      <c r="G564" s="102"/>
      <c r="H564" s="102"/>
      <c r="I564" s="102"/>
      <c r="J564" s="156"/>
      <c r="K564" s="142"/>
      <c r="L564" s="143"/>
      <c r="M564" s="144"/>
      <c r="N564" s="145"/>
      <c r="O564" s="145"/>
      <c r="P564" s="122"/>
      <c r="Q564" s="304" t="str">
        <f t="shared" si="16"/>
        <v/>
      </c>
      <c r="S564" s="157"/>
      <c r="T564" s="5"/>
      <c r="U564" s="5"/>
      <c r="V564" s="158"/>
      <c r="W564" s="158"/>
      <c r="X564" s="158"/>
      <c r="Y564" s="158"/>
      <c r="Z564" s="158"/>
      <c r="AA564" s="158"/>
      <c r="AB564" s="158"/>
      <c r="AC564" s="158"/>
      <c r="AD564" s="158"/>
      <c r="AE564" s="158"/>
      <c r="AF564" s="158"/>
      <c r="AG564" s="158"/>
    </row>
    <row r="565" ht="15.75" customHeight="1">
      <c r="A565" s="149"/>
      <c r="B565" s="150"/>
      <c r="C565" s="149"/>
      <c r="D565" s="125" t="s">
        <v>77</v>
      </c>
      <c r="E565" s="126"/>
      <c r="F565" s="127">
        <v>1.0</v>
      </c>
      <c r="G565" s="161">
        <v>5.0</v>
      </c>
      <c r="H565" s="129"/>
      <c r="I565" s="164">
        <f>MROUND(I563*(1+J565),5)</f>
        <v>0</v>
      </c>
      <c r="J565" s="165">
        <v>-0.1</v>
      </c>
      <c r="K565" s="132"/>
      <c r="L565" s="133"/>
      <c r="M565" s="134">
        <f>I430</f>
        <v>435</v>
      </c>
      <c r="N565" s="135" t="str">
        <f>iferror(mround($P430*((VLOOKUP($J565,Sheet1!$D:$N,$G565+1,FALSE)-0.03)),2.5)," ")</f>
        <v> </v>
      </c>
      <c r="O565" s="135" t="str">
        <f>iferror(mround($P430*((VLOOKUP($J565,Sheet1!$D:$N,$G565+1,FALSE)+0.02)),2.5)," ")</f>
        <v> </v>
      </c>
      <c r="P565" s="56" t="str">
        <f>iferror(mround(I565/VLOOKUP(L565,Sheet1!$D$7:$N$16,G565+1,FALSE),2.5),"")</f>
        <v/>
      </c>
      <c r="Q565" s="303">
        <f t="shared" si="16"/>
        <v>-435</v>
      </c>
      <c r="S565" s="11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</row>
    <row r="566" ht="3.75" customHeight="1">
      <c r="A566" s="162"/>
      <c r="B566" s="163"/>
      <c r="C566" s="162"/>
      <c r="D566" s="138"/>
      <c r="E566" s="154"/>
      <c r="F566" s="155"/>
      <c r="G566" s="102"/>
      <c r="H566" s="102"/>
      <c r="I566" s="102"/>
      <c r="J566" s="156"/>
      <c r="K566" s="142"/>
      <c r="L566" s="143"/>
      <c r="M566" s="144"/>
      <c r="N566" s="145"/>
      <c r="O566" s="145"/>
      <c r="P566" s="122"/>
      <c r="Q566" s="304" t="str">
        <f t="shared" si="16"/>
        <v/>
      </c>
      <c r="S566" s="147"/>
      <c r="T566" s="148"/>
      <c r="U566" s="148"/>
      <c r="V566" s="148"/>
      <c r="W566" s="148"/>
      <c r="X566" s="148"/>
      <c r="Y566" s="148"/>
      <c r="Z566" s="148"/>
      <c r="AA566" s="148"/>
      <c r="AB566" s="148"/>
      <c r="AC566" s="148"/>
      <c r="AD566" s="148"/>
      <c r="AE566" s="148"/>
      <c r="AF566" s="148"/>
      <c r="AG566" s="148"/>
    </row>
    <row r="567" ht="15.75" customHeight="1">
      <c r="A567" s="149"/>
      <c r="B567" s="150"/>
      <c r="C567" s="149"/>
      <c r="D567" s="159" t="s">
        <v>33</v>
      </c>
      <c r="E567" s="160" t="s">
        <v>34</v>
      </c>
      <c r="F567" s="127">
        <v>1.0</v>
      </c>
      <c r="G567" s="161">
        <v>5.0</v>
      </c>
      <c r="H567" s="129"/>
      <c r="I567" s="130"/>
      <c r="J567" s="151">
        <v>7.0</v>
      </c>
      <c r="K567" s="132"/>
      <c r="L567" s="133"/>
      <c r="M567" s="134">
        <f>I432</f>
        <v>281</v>
      </c>
      <c r="N567" s="135">
        <f>iferror(mround($P432*((VLOOKUP($J567,Sheet1!$D:$N,$G567+1,FALSE)-0.03)),2.5)," ")</f>
        <v>262.5</v>
      </c>
      <c r="O567" s="135">
        <f>iferror(mround($P432*((VLOOKUP($J567,Sheet1!$D:$N,$G567+1,FALSE)+0.02)),2.5)," ")</f>
        <v>280</v>
      </c>
      <c r="P567" s="56" t="str">
        <f>iferror(mround(I567/VLOOKUP(L567,Sheet1!$D$7:$N$16,G567+1,FALSE),2.5),"")</f>
        <v/>
      </c>
      <c r="Q567" s="303" t="str">
        <f t="shared" si="16"/>
        <v/>
      </c>
      <c r="S567" s="11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</row>
    <row r="568" ht="3.75" customHeight="1">
      <c r="A568" s="162"/>
      <c r="B568" s="163"/>
      <c r="C568" s="162"/>
      <c r="D568" s="138"/>
      <c r="E568" s="139"/>
      <c r="F568" s="140"/>
      <c r="G568" s="140"/>
      <c r="H568" s="140"/>
      <c r="I568" s="140"/>
      <c r="J568" s="141"/>
      <c r="K568" s="142"/>
      <c r="L568" s="143"/>
      <c r="M568" s="144"/>
      <c r="N568" s="145"/>
      <c r="O568" s="145"/>
      <c r="P568" s="122"/>
      <c r="Q568" s="304" t="str">
        <f t="shared" si="16"/>
        <v/>
      </c>
      <c r="S568" s="147"/>
      <c r="T568" s="148"/>
      <c r="U568" s="148"/>
      <c r="V568" s="148"/>
      <c r="W568" s="148"/>
      <c r="X568" s="148"/>
      <c r="Y568" s="148"/>
      <c r="Z568" s="148"/>
      <c r="AA568" s="148"/>
      <c r="AB568" s="148"/>
      <c r="AC568" s="148"/>
      <c r="AD568" s="148"/>
      <c r="AE568" s="148"/>
      <c r="AF568" s="148"/>
      <c r="AG568" s="148"/>
    </row>
    <row r="569" ht="15.75" customHeight="1">
      <c r="A569" s="90"/>
      <c r="B569" s="6"/>
      <c r="C569" s="90"/>
      <c r="D569" s="159" t="s">
        <v>33</v>
      </c>
      <c r="E569" s="160" t="s">
        <v>34</v>
      </c>
      <c r="F569" s="127">
        <v>2.0</v>
      </c>
      <c r="G569" s="161">
        <v>5.0</v>
      </c>
      <c r="H569" s="129"/>
      <c r="I569" s="164">
        <f>MROUND(I567*(1+J569),5)</f>
        <v>0</v>
      </c>
      <c r="J569" s="165">
        <v>-0.1</v>
      </c>
      <c r="K569" s="132"/>
      <c r="L569" s="133"/>
      <c r="M569" s="134">
        <f>I434</f>
        <v>255</v>
      </c>
      <c r="N569" s="135" t="str">
        <f>iferror(mround($P434*((VLOOKUP($J569,Sheet1!$D:$N,$G569+1,FALSE)-0.03)),2.5)," ")</f>
        <v> </v>
      </c>
      <c r="O569" s="135" t="str">
        <f>iferror(mround($P434*((VLOOKUP($J569,Sheet1!$D:$N,$G569+1,FALSE)+0.02)),2.5)," ")</f>
        <v> </v>
      </c>
      <c r="P569" s="56" t="str">
        <f>iferror(mround(I569/VLOOKUP(L569,Sheet1!$D$7:$N$16,G569+1,FALSE),2.5),"")</f>
        <v/>
      </c>
      <c r="Q569" s="303">
        <f t="shared" si="16"/>
        <v>-255</v>
      </c>
      <c r="S569" s="11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</row>
    <row r="570" ht="3.75" customHeight="1">
      <c r="A570" s="168"/>
      <c r="B570" s="70"/>
      <c r="C570" s="168"/>
      <c r="D570" s="138"/>
      <c r="E570" s="139"/>
      <c r="F570" s="102"/>
      <c r="G570" s="102"/>
      <c r="H570" s="102"/>
      <c r="I570" s="102"/>
      <c r="J570" s="156"/>
      <c r="K570" s="142"/>
      <c r="L570" s="143"/>
      <c r="M570" s="144"/>
      <c r="N570" s="145"/>
      <c r="O570" s="145"/>
      <c r="P570" s="122"/>
      <c r="Q570" s="304" t="str">
        <f t="shared" si="16"/>
        <v/>
      </c>
      <c r="S570" s="147"/>
      <c r="T570" s="148"/>
      <c r="U570" s="148"/>
      <c r="V570" s="148"/>
      <c r="W570" s="148"/>
      <c r="X570" s="148"/>
      <c r="Y570" s="148"/>
      <c r="Z570" s="148"/>
      <c r="AA570" s="148"/>
      <c r="AB570" s="148"/>
      <c r="AC570" s="148"/>
      <c r="AD570" s="148"/>
      <c r="AE570" s="148"/>
      <c r="AF570" s="148"/>
      <c r="AG570" s="148"/>
    </row>
    <row r="571" ht="15.75" customHeight="1">
      <c r="A571" s="90"/>
      <c r="B571" s="6"/>
      <c r="C571" s="90"/>
      <c r="D571" s="166" t="s">
        <v>35</v>
      </c>
      <c r="E571" s="160"/>
      <c r="F571" s="127">
        <v>1.0</v>
      </c>
      <c r="G571" s="161">
        <v>7.0</v>
      </c>
      <c r="H571" s="129"/>
      <c r="I571" s="130"/>
      <c r="J571" s="151">
        <v>8.0</v>
      </c>
      <c r="K571" s="170" t="s">
        <v>80</v>
      </c>
      <c r="L571" s="133"/>
      <c r="M571" s="134">
        <f>I436</f>
        <v>265</v>
      </c>
      <c r="N571" s="135">
        <f>iferror(mround($P436*((VLOOKUP($J571,Sheet1!$D:$N,$G571+1,FALSE)-0.03)),2.5)," ")</f>
        <v>0</v>
      </c>
      <c r="O571" s="135">
        <f>iferror(mround($P436*((VLOOKUP($J571,Sheet1!$D:$N,$G571+1,FALSE)+0.02)),2.5)," ")</f>
        <v>0</v>
      </c>
      <c r="P571" s="56" t="str">
        <f>iferror(mround(I571/VLOOKUP(L571,Sheet1!$D$7:$N$16,G571+1,FALSE),2.5),"")</f>
        <v/>
      </c>
      <c r="Q571" s="303" t="str">
        <f t="shared" si="16"/>
        <v/>
      </c>
      <c r="S571" s="11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</row>
    <row r="572" ht="3.75" customHeight="1">
      <c r="A572" s="90"/>
      <c r="B572" s="6"/>
      <c r="C572" s="90"/>
      <c r="D572" s="171"/>
      <c r="E572" s="172"/>
      <c r="F572" s="173"/>
      <c r="G572" s="173"/>
      <c r="H572" s="173"/>
      <c r="I572" s="173"/>
      <c r="J572" s="174"/>
      <c r="K572" s="142"/>
      <c r="L572" s="143"/>
      <c r="M572" s="144"/>
      <c r="N572" s="145"/>
      <c r="O572" s="145"/>
      <c r="P572" s="122"/>
      <c r="Q572" s="304" t="str">
        <f t="shared" si="16"/>
        <v/>
      </c>
      <c r="S572" s="11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</row>
    <row r="573" ht="15.75" customHeight="1">
      <c r="A573" s="90"/>
      <c r="B573" s="6"/>
      <c r="C573" s="90"/>
      <c r="D573" s="166" t="s">
        <v>37</v>
      </c>
      <c r="E573" s="160" t="s">
        <v>81</v>
      </c>
      <c r="F573" s="127">
        <v>2.0</v>
      </c>
      <c r="G573" s="169">
        <v>45577.0</v>
      </c>
      <c r="H573" s="129"/>
      <c r="I573" s="130"/>
      <c r="J573" s="151">
        <v>7.0</v>
      </c>
      <c r="K573" s="132"/>
      <c r="L573" s="133"/>
      <c r="M573" s="134" t="str">
        <f>I438</f>
        <v/>
      </c>
      <c r="N573" s="135" t="str">
        <f>iferror(mround($P438*((VLOOKUP($J573,Sheet1!$D:$N,$G573+1,FALSE)-0.03)),2.5)," ")</f>
        <v> </v>
      </c>
      <c r="O573" s="135" t="str">
        <f>iferror(mround($P438*((VLOOKUP($J573,Sheet1!$D:$N,$G573+1,FALSE)+0.02)),2.5)," ")</f>
        <v> </v>
      </c>
      <c r="P573" s="56" t="str">
        <f>iferror(mround(I573/VLOOKUP(L573,Sheet1!$D$7:$N$16,G573+1,FALSE),2.5),"")</f>
        <v/>
      </c>
      <c r="Q573" s="303" t="str">
        <f t="shared" si="16"/>
        <v/>
      </c>
      <c r="S573" s="11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</row>
    <row r="574" ht="3.75" customHeight="1">
      <c r="A574" s="90"/>
      <c r="B574" s="6"/>
      <c r="C574" s="90"/>
      <c r="D574" s="171"/>
      <c r="E574" s="172"/>
      <c r="F574" s="173"/>
      <c r="G574" s="173"/>
      <c r="H574" s="173"/>
      <c r="I574" s="173"/>
      <c r="J574" s="174"/>
      <c r="K574" s="142"/>
      <c r="L574" s="143"/>
      <c r="M574" s="144"/>
      <c r="N574" s="145"/>
      <c r="O574" s="145"/>
      <c r="P574" s="122"/>
      <c r="Q574" s="304" t="str">
        <f t="shared" si="16"/>
        <v/>
      </c>
      <c r="S574" s="11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</row>
    <row r="575" ht="15.75" hidden="1" customHeight="1">
      <c r="A575" s="90"/>
      <c r="B575" s="6"/>
      <c r="C575" s="90"/>
      <c r="D575" s="175" t="s">
        <v>40</v>
      </c>
      <c r="E575" s="176"/>
      <c r="F575" s="177">
        <v>3.0</v>
      </c>
      <c r="G575" s="178" t="s">
        <v>41</v>
      </c>
      <c r="H575" s="179"/>
      <c r="I575" s="180"/>
      <c r="J575" s="181">
        <v>8.0</v>
      </c>
      <c r="K575" s="182"/>
      <c r="L575" s="183"/>
      <c r="M575" s="134" t="str">
        <f>I440</f>
        <v/>
      </c>
      <c r="N575" s="135" t="str">
        <f>iferror(mround($P440*((VLOOKUP($J575,Sheet1!$D:$N,$G575+1,FALSE)-0.03)),2.5)," ")</f>
        <v> </v>
      </c>
      <c r="O575" s="135" t="str">
        <f>iferror(mround($P440*((VLOOKUP($J575,Sheet1!$D:$N,$G575+1,FALSE)+0.02)),2.5)," ")</f>
        <v> </v>
      </c>
      <c r="P575" s="56" t="str">
        <f>iferror(mround(I575/VLOOKUP(L575,Sheet1!$D$7:$N$16,G575+1,FALSE),2.5),"")</f>
        <v/>
      </c>
      <c r="Q575" s="303" t="str">
        <f t="shared" si="16"/>
        <v/>
      </c>
      <c r="S575" s="11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</row>
    <row r="576" ht="3.75" hidden="1" customHeight="1">
      <c r="A576" s="90"/>
      <c r="B576" s="6"/>
      <c r="C576" s="90"/>
      <c r="D576" s="138"/>
      <c r="E576" s="184"/>
      <c r="F576" s="102"/>
      <c r="G576" s="102"/>
      <c r="H576" s="102"/>
      <c r="I576" s="102"/>
      <c r="J576" s="156"/>
      <c r="K576" s="103"/>
      <c r="L576" s="143"/>
      <c r="M576" s="144"/>
      <c r="N576" s="145"/>
      <c r="O576" s="145"/>
      <c r="P576" s="122"/>
      <c r="Q576" s="304" t="str">
        <f t="shared" si="16"/>
        <v/>
      </c>
      <c r="S576" s="11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</row>
    <row r="577" ht="15.75" hidden="1" customHeight="1">
      <c r="A577" s="90"/>
      <c r="B577" s="6"/>
      <c r="C577" s="90"/>
      <c r="D577" s="185"/>
      <c r="E577" s="186"/>
      <c r="F577" s="187"/>
      <c r="G577" s="188"/>
      <c r="H577" s="129"/>
      <c r="I577" s="164"/>
      <c r="J577" s="189"/>
      <c r="K577" s="190"/>
      <c r="L577" s="183"/>
      <c r="M577" s="134" t="str">
        <f>I442</f>
        <v/>
      </c>
      <c r="N577" s="135" t="str">
        <f>iferror(mround($P442*((VLOOKUP($J577,Sheet1!$D:$N,$G577+1,FALSE)-0.03)),2.5)," ")</f>
        <v> </v>
      </c>
      <c r="O577" s="135" t="str">
        <f>iferror(mround($P442*((VLOOKUP($J577,Sheet1!$D:$N,$G577+1,FALSE)+0.02)),2.5)," ")</f>
        <v> </v>
      </c>
      <c r="P577" s="56" t="str">
        <f>iferror(mround(I577/VLOOKUP(L577,Sheet1!$D$7:$N$16,G577+1,FALSE),2.5),"")</f>
        <v/>
      </c>
      <c r="Q577" s="303" t="str">
        <f t="shared" si="16"/>
        <v/>
      </c>
      <c r="S577" s="11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</row>
    <row r="578" ht="3.75" hidden="1" customHeight="1">
      <c r="A578" s="191"/>
      <c r="B578" s="6"/>
      <c r="C578" s="192"/>
      <c r="D578" s="138"/>
      <c r="E578" s="193"/>
      <c r="F578" s="194"/>
      <c r="G578" s="155"/>
      <c r="H578" s="102"/>
      <c r="I578" s="102"/>
      <c r="J578" s="156"/>
      <c r="K578" s="103"/>
      <c r="L578" s="143"/>
      <c r="M578" s="144"/>
      <c r="N578" s="145"/>
      <c r="O578" s="145"/>
      <c r="P578" s="122"/>
      <c r="Q578" s="304" t="str">
        <f t="shared" si="16"/>
        <v/>
      </c>
      <c r="S578" s="157"/>
      <c r="T578" s="5"/>
      <c r="U578" s="5"/>
      <c r="V578" s="158"/>
      <c r="W578" s="158"/>
      <c r="X578" s="158"/>
      <c r="Y578" s="158"/>
      <c r="Z578" s="158"/>
      <c r="AA578" s="158"/>
      <c r="AB578" s="158"/>
      <c r="AC578" s="158"/>
      <c r="AD578" s="158"/>
      <c r="AE578" s="158"/>
      <c r="AF578" s="158"/>
      <c r="AG578" s="158"/>
    </row>
    <row r="579" ht="15.75" hidden="1" customHeight="1">
      <c r="A579" s="90"/>
      <c r="B579" s="6"/>
      <c r="C579" s="90"/>
      <c r="D579" s="185"/>
      <c r="E579" s="186"/>
      <c r="F579" s="187"/>
      <c r="G579" s="195"/>
      <c r="H579" s="129"/>
      <c r="I579" s="164"/>
      <c r="J579" s="189"/>
      <c r="K579" s="190"/>
      <c r="L579" s="183"/>
      <c r="M579" s="134" t="str">
        <f>I444</f>
        <v/>
      </c>
      <c r="N579" s="135" t="str">
        <f>iferror(mround($P444*((VLOOKUP($J579,Sheet1!$D:$N,$G579+1,FALSE)-0.03)),2.5)," ")</f>
        <v> </v>
      </c>
      <c r="O579" s="135" t="str">
        <f>iferror(mround($P444*((VLOOKUP($J579,Sheet1!$D:$N,$G579+1,FALSE)+0.02)),2.5)," ")</f>
        <v> </v>
      </c>
      <c r="P579" s="56" t="str">
        <f>iferror(mround(I579/VLOOKUP(L579,Sheet1!$D$7:$N$16,G579+1,FALSE),2.5),"")</f>
        <v/>
      </c>
      <c r="Q579" s="303" t="str">
        <f t="shared" si="16"/>
        <v/>
      </c>
      <c r="S579" s="11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</row>
    <row r="580" ht="3.75" hidden="1" customHeight="1">
      <c r="A580" s="90"/>
      <c r="B580" s="6"/>
      <c r="C580" s="90"/>
      <c r="D580" s="196"/>
      <c r="E580" s="184"/>
      <c r="F580" s="102"/>
      <c r="G580" s="102"/>
      <c r="H580" s="102"/>
      <c r="I580" s="102"/>
      <c r="J580" s="156"/>
      <c r="K580" s="103"/>
      <c r="L580" s="143"/>
      <c r="M580" s="144"/>
      <c r="N580" s="145"/>
      <c r="O580" s="145"/>
      <c r="P580" s="122"/>
      <c r="Q580" s="304" t="str">
        <f t="shared" si="16"/>
        <v/>
      </c>
      <c r="S580" s="11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</row>
    <row r="581" ht="15.75" hidden="1" customHeight="1">
      <c r="A581" s="90"/>
      <c r="B581" s="6"/>
      <c r="C581" s="90"/>
      <c r="D581" s="197"/>
      <c r="E581" s="198"/>
      <c r="F581" s="199"/>
      <c r="G581" s="195"/>
      <c r="H581" s="129"/>
      <c r="I581" s="164"/>
      <c r="J581" s="189"/>
      <c r="K581" s="190"/>
      <c r="L581" s="183"/>
      <c r="M581" s="134" t="str">
        <f>I446</f>
        <v/>
      </c>
      <c r="N581" s="135" t="str">
        <f>iferror(mround($P446*((VLOOKUP($J581,Sheet1!$D:$N,$G581+1,FALSE)-0.03)),2.5)," ")</f>
        <v> </v>
      </c>
      <c r="O581" s="135" t="str">
        <f>iferror(mround($P446*((VLOOKUP($J581,Sheet1!$D:$N,$G581+1,FALSE)+0.02)),2.5)," ")</f>
        <v> </v>
      </c>
      <c r="P581" s="56" t="str">
        <f>iferror(mround(I581/VLOOKUP(L581,Sheet1!$D$7:$N$16,G581+1,FALSE),2.5),"")</f>
        <v/>
      </c>
      <c r="Q581" s="303" t="str">
        <f t="shared" si="16"/>
        <v/>
      </c>
      <c r="S581" s="11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</row>
    <row r="582" ht="3.75" customHeight="1">
      <c r="A582" s="90"/>
      <c r="B582" s="6"/>
      <c r="C582" s="90"/>
      <c r="D582" s="90"/>
      <c r="E582" s="156"/>
      <c r="F582" s="102"/>
      <c r="G582" s="102"/>
      <c r="H582" s="102"/>
      <c r="I582" s="102"/>
      <c r="J582" s="156"/>
      <c r="K582" s="200"/>
      <c r="L582" s="201"/>
      <c r="M582" s="144"/>
      <c r="N582" s="47"/>
      <c r="O582" s="47"/>
      <c r="P582" s="122"/>
      <c r="Q582" s="304" t="str">
        <f t="shared" si="16"/>
        <v/>
      </c>
      <c r="S582" s="11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</row>
    <row r="583" ht="30.0" customHeight="1">
      <c r="A583" s="90"/>
      <c r="B583" s="6"/>
      <c r="C583" s="90"/>
      <c r="D583" s="202" t="s">
        <v>42</v>
      </c>
      <c r="E583" s="105" t="s">
        <v>15</v>
      </c>
      <c r="F583" s="106" t="s">
        <v>16</v>
      </c>
      <c r="G583" s="106" t="s">
        <v>17</v>
      </c>
      <c r="H583" s="107"/>
      <c r="I583" s="106" t="s">
        <v>18</v>
      </c>
      <c r="J583" s="108" t="s">
        <v>19</v>
      </c>
      <c r="L583" s="109" t="s">
        <v>20</v>
      </c>
      <c r="M583" s="110" t="s">
        <v>21</v>
      </c>
      <c r="N583" s="111" t="s">
        <v>22</v>
      </c>
      <c r="P583" s="112"/>
      <c r="Q583" s="113" t="s">
        <v>23</v>
      </c>
      <c r="R583" s="114" t="s">
        <v>43</v>
      </c>
      <c r="S583" s="11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</row>
    <row r="584" ht="14.25" customHeight="1">
      <c r="A584" s="90"/>
      <c r="B584" s="6"/>
      <c r="C584" s="90"/>
      <c r="D584" s="116" t="s">
        <v>25</v>
      </c>
      <c r="E584" s="117" t="s">
        <v>26</v>
      </c>
      <c r="H584" s="107"/>
      <c r="N584" s="111" t="s">
        <v>27</v>
      </c>
      <c r="O584" s="111" t="s">
        <v>28</v>
      </c>
      <c r="P584" s="112" t="s">
        <v>29</v>
      </c>
      <c r="R584" s="118" t="s">
        <v>30</v>
      </c>
      <c r="S584" s="11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</row>
    <row r="585" ht="3.75" customHeight="1">
      <c r="A585" s="191"/>
      <c r="B585" s="6"/>
      <c r="C585" s="192"/>
      <c r="D585" s="203"/>
      <c r="E585" s="204"/>
      <c r="F585" s="205"/>
      <c r="G585" s="205"/>
      <c r="H585" s="206"/>
      <c r="I585" s="207"/>
      <c r="J585" s="208"/>
      <c r="K585" s="209"/>
      <c r="L585" s="210"/>
      <c r="M585" s="211"/>
      <c r="N585" s="47"/>
      <c r="O585" s="47"/>
      <c r="P585" s="122"/>
      <c r="Q585" s="304" t="str">
        <f t="shared" ref="Q585:Q607" si="17">IF(OR(ISBLANK(I585), ISBLANK(I450)), "", IF(I585 - I450 = 0, "", I585 - I450))</f>
        <v/>
      </c>
      <c r="R585" s="212"/>
      <c r="S585" s="157"/>
      <c r="T585" s="5"/>
      <c r="U585" s="5"/>
      <c r="V585" s="158"/>
      <c r="W585" s="158"/>
      <c r="X585" s="158"/>
      <c r="Y585" s="158"/>
      <c r="Z585" s="158"/>
      <c r="AA585" s="158"/>
      <c r="AB585" s="158"/>
      <c r="AC585" s="158"/>
      <c r="AD585" s="158"/>
      <c r="AE585" s="158"/>
      <c r="AF585" s="158"/>
      <c r="AG585" s="158"/>
    </row>
    <row r="586" ht="15.75" customHeight="1">
      <c r="A586" s="124"/>
      <c r="B586" s="6"/>
      <c r="C586" s="124"/>
      <c r="D586" s="159" t="s">
        <v>83</v>
      </c>
      <c r="E586" s="167" t="s">
        <v>84</v>
      </c>
      <c r="F586" s="127">
        <v>2.0</v>
      </c>
      <c r="G586" s="127">
        <v>3.0</v>
      </c>
      <c r="H586" s="195"/>
      <c r="I586" s="130"/>
      <c r="J586" s="151">
        <v>5.0</v>
      </c>
      <c r="K586" s="213"/>
      <c r="L586" s="133"/>
      <c r="M586" s="134">
        <f>I451</f>
        <v>408</v>
      </c>
      <c r="N586" s="135">
        <f>iferror(mround($P451*((VLOOKUP($J586,Sheet1!$D:$N,$G586+1,FALSE)-0.03)),2.5)," ")</f>
        <v>372.5</v>
      </c>
      <c r="O586" s="135">
        <f>iferror(mround($P451*((VLOOKUP($J586,Sheet1!$D:$N,$G586+1,FALSE)+0.02)),2.5)," ")</f>
        <v>397.5</v>
      </c>
      <c r="P586" s="112" t="str">
        <f>iferror(mround(I586/VLOOKUP(L586,Sheet1!$D$7:$N$16,G586+1,FALSE),2.5),"")</f>
        <v/>
      </c>
      <c r="Q586" s="303" t="str">
        <f t="shared" si="17"/>
        <v/>
      </c>
      <c r="R586" s="214"/>
      <c r="S586" s="11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</row>
    <row r="587" ht="3.75" customHeight="1">
      <c r="A587" s="124"/>
      <c r="B587" s="6"/>
      <c r="C587" s="124"/>
      <c r="D587" s="138"/>
      <c r="E587" s="215"/>
      <c r="F587" s="102"/>
      <c r="G587" s="102"/>
      <c r="H587" s="102"/>
      <c r="I587" s="102"/>
      <c r="J587" s="216"/>
      <c r="K587" s="217"/>
      <c r="L587" s="218"/>
      <c r="M587" s="144"/>
      <c r="N587" s="145"/>
      <c r="O587" s="145"/>
      <c r="P587" s="122"/>
      <c r="Q587" s="304" t="str">
        <f t="shared" si="17"/>
        <v/>
      </c>
      <c r="R587" s="214"/>
      <c r="S587" s="11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</row>
    <row r="588" ht="15.75" customHeight="1">
      <c r="A588" s="90"/>
      <c r="B588" s="6"/>
      <c r="C588" s="90"/>
      <c r="D588" s="159" t="s">
        <v>33</v>
      </c>
      <c r="E588" s="167"/>
      <c r="F588" s="127">
        <v>1.0</v>
      </c>
      <c r="G588" s="127">
        <v>2.0</v>
      </c>
      <c r="H588" s="195"/>
      <c r="I588" s="130"/>
      <c r="J588" s="151">
        <v>6.0</v>
      </c>
      <c r="K588" s="219"/>
      <c r="L588" s="183"/>
      <c r="M588" s="134">
        <f>I453</f>
        <v>314</v>
      </c>
      <c r="N588" s="135">
        <f>iferror(mround($P453*((VLOOKUP($J588,Sheet1!$D:$N,$G588+1,FALSE)-0.03)),2.5)," ")</f>
        <v>280</v>
      </c>
      <c r="O588" s="135">
        <f>iferror(mround($P453*((VLOOKUP($J588,Sheet1!$D:$N,$G588+1,FALSE)+0.02)),2.5)," ")</f>
        <v>297.5</v>
      </c>
      <c r="P588" s="112" t="str">
        <f>iferror(mround(I588/VLOOKUP(L588,Sheet1!$D$7:$N$16,G588+1,FALSE),2.5),"")</f>
        <v/>
      </c>
      <c r="Q588" s="303" t="str">
        <f t="shared" si="17"/>
        <v/>
      </c>
      <c r="R588" s="214"/>
      <c r="S588" s="11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</row>
    <row r="589" ht="3.75" customHeight="1">
      <c r="A589" s="90"/>
      <c r="B589" s="6"/>
      <c r="C589" s="90"/>
      <c r="D589" s="138"/>
      <c r="E589" s="215"/>
      <c r="F589" s="102"/>
      <c r="G589" s="102"/>
      <c r="H589" s="102"/>
      <c r="I589" s="102"/>
      <c r="J589" s="216"/>
      <c r="K589" s="217"/>
      <c r="L589" s="218"/>
      <c r="M589" s="144"/>
      <c r="N589" s="145"/>
      <c r="O589" s="145"/>
      <c r="P589" s="122"/>
      <c r="Q589" s="304" t="str">
        <f t="shared" si="17"/>
        <v/>
      </c>
      <c r="R589" s="214"/>
      <c r="S589" s="11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</row>
    <row r="590" ht="15.75" customHeight="1">
      <c r="A590" s="90"/>
      <c r="B590" s="6"/>
      <c r="C590" s="90"/>
      <c r="D590" s="159" t="s">
        <v>33</v>
      </c>
      <c r="E590" s="167"/>
      <c r="F590" s="127">
        <v>3.0</v>
      </c>
      <c r="G590" s="161">
        <v>3.0</v>
      </c>
      <c r="H590" s="195"/>
      <c r="I590" s="164">
        <f>MROUND(I588*(1+J590),5)</f>
        <v>0</v>
      </c>
      <c r="J590" s="165">
        <v>-0.08</v>
      </c>
      <c r="K590" s="219"/>
      <c r="L590" s="183"/>
      <c r="M590" s="134">
        <f>I455</f>
        <v>290</v>
      </c>
      <c r="N590" s="135" t="str">
        <f>iferror(mround($P455*((VLOOKUP($J590,Sheet1!$D:$N,$G590+1,FALSE)-0.03)),2.5)," ")</f>
        <v> </v>
      </c>
      <c r="O590" s="135" t="str">
        <f>iferror(mround($P455*((VLOOKUP($J590,Sheet1!$D:$N,$G590+1,FALSE)+0.02)),2.5)," ")</f>
        <v> </v>
      </c>
      <c r="P590" s="112" t="str">
        <f>iferror(mround(I590/VLOOKUP(L590,Sheet1!$D$7:$N$16,G590+1,FALSE),2.5),"")</f>
        <v/>
      </c>
      <c r="Q590" s="303">
        <f t="shared" si="17"/>
        <v>-290</v>
      </c>
      <c r="R590" s="214"/>
      <c r="S590" s="11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</row>
    <row r="591" ht="3.75" customHeight="1">
      <c r="A591" s="90"/>
      <c r="B591" s="6"/>
      <c r="C591" s="90"/>
      <c r="D591" s="138"/>
      <c r="E591" s="215"/>
      <c r="F591" s="102"/>
      <c r="G591" s="102"/>
      <c r="H591" s="102"/>
      <c r="I591" s="102"/>
      <c r="J591" s="156"/>
      <c r="K591" s="217"/>
      <c r="L591" s="143"/>
      <c r="M591" s="144"/>
      <c r="N591" s="145"/>
      <c r="O591" s="145"/>
      <c r="P591" s="122"/>
      <c r="Q591" s="304" t="str">
        <f t="shared" si="17"/>
        <v/>
      </c>
      <c r="R591" s="214"/>
      <c r="S591" s="11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</row>
    <row r="592" ht="15.75" customHeight="1">
      <c r="A592" s="90"/>
      <c r="B592" s="6"/>
      <c r="C592" s="90"/>
      <c r="D592" s="159" t="s">
        <v>86</v>
      </c>
      <c r="E592" s="167" t="s">
        <v>87</v>
      </c>
      <c r="F592" s="127">
        <v>2.0</v>
      </c>
      <c r="G592" s="169">
        <v>45577.0</v>
      </c>
      <c r="H592" s="195"/>
      <c r="I592" s="164"/>
      <c r="J592" s="151">
        <v>7.0</v>
      </c>
      <c r="K592" s="213"/>
      <c r="L592" s="183"/>
      <c r="M592" s="134" t="str">
        <f>I457</f>
        <v/>
      </c>
      <c r="N592" s="135" t="str">
        <f>iferror(mround($P457*((VLOOKUP($J592,Sheet1!$D:$N,$G592+1,FALSE)-0.03)),2.5)," ")</f>
        <v> </v>
      </c>
      <c r="O592" s="135" t="str">
        <f>iferror(mround($P457*((VLOOKUP($J592,Sheet1!$D:$N,$G592+1,FALSE)+0.02)),2.5)," ")</f>
        <v> </v>
      </c>
      <c r="P592" s="112" t="str">
        <f>iferror(mround(I592/VLOOKUP(L592,Sheet1!$D$7:$N$16,G592+1,FALSE),2.5),"")</f>
        <v/>
      </c>
      <c r="Q592" s="303" t="str">
        <f t="shared" si="17"/>
        <v/>
      </c>
      <c r="R592" s="214"/>
      <c r="S592" s="11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</row>
    <row r="593" ht="3.75" customHeight="1">
      <c r="A593" s="90"/>
      <c r="B593" s="6"/>
      <c r="C593" s="90"/>
      <c r="D593" s="138"/>
      <c r="E593" s="215"/>
      <c r="F593" s="102"/>
      <c r="G593" s="102"/>
      <c r="H593" s="102"/>
      <c r="I593" s="102"/>
      <c r="J593" s="156"/>
      <c r="K593" s="217"/>
      <c r="L593" s="143"/>
      <c r="M593" s="144"/>
      <c r="N593" s="145"/>
      <c r="O593" s="145"/>
      <c r="P593" s="122"/>
      <c r="Q593" s="304" t="str">
        <f t="shared" si="17"/>
        <v/>
      </c>
      <c r="R593" s="214"/>
      <c r="S593" s="11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</row>
    <row r="594" ht="15.75" customHeight="1">
      <c r="A594" s="90"/>
      <c r="B594" s="6"/>
      <c r="C594" s="90"/>
      <c r="D594" s="159" t="s">
        <v>88</v>
      </c>
      <c r="E594" s="220"/>
      <c r="F594" s="127">
        <v>2.0</v>
      </c>
      <c r="G594" s="221">
        <v>45641.0</v>
      </c>
      <c r="H594" s="195"/>
      <c r="I594" s="130"/>
      <c r="J594" s="151">
        <v>9.0</v>
      </c>
      <c r="K594" s="213"/>
      <c r="L594" s="183"/>
      <c r="M594" s="134" t="str">
        <f>I459</f>
        <v/>
      </c>
      <c r="N594" s="135" t="str">
        <f>iferror(mround($P459*((VLOOKUP($J594,Sheet1!$D:$N,$G594+1,FALSE)-0.03)),2.5)," ")</f>
        <v> </v>
      </c>
      <c r="O594" s="135" t="str">
        <f>iferror(mround($P459*((VLOOKUP($J594,Sheet1!$D:$N,$G594+1,FALSE)+0.02)),2.5)," ")</f>
        <v> </v>
      </c>
      <c r="P594" s="112" t="str">
        <f>iferror(mround(I594/VLOOKUP(L594,Sheet1!$D$7:$N$16,G594+1,FALSE),2.5),"")</f>
        <v/>
      </c>
      <c r="Q594" s="303" t="str">
        <f t="shared" si="17"/>
        <v/>
      </c>
      <c r="R594" s="214"/>
      <c r="S594" s="11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</row>
    <row r="595" ht="3.75" customHeight="1">
      <c r="A595" s="90"/>
      <c r="B595" s="6"/>
      <c r="C595" s="90"/>
      <c r="D595" s="138"/>
      <c r="E595" s="215"/>
      <c r="F595" s="102"/>
      <c r="G595" s="102"/>
      <c r="H595" s="102"/>
      <c r="I595" s="102"/>
      <c r="J595" s="156"/>
      <c r="K595" s="217"/>
      <c r="L595" s="143"/>
      <c r="M595" s="144"/>
      <c r="N595" s="145"/>
      <c r="O595" s="145"/>
      <c r="P595" s="122"/>
      <c r="Q595" s="304" t="str">
        <f t="shared" si="17"/>
        <v/>
      </c>
      <c r="R595" s="214"/>
      <c r="S595" s="11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</row>
    <row r="596" ht="15.75" customHeight="1">
      <c r="A596" s="90"/>
      <c r="B596" s="6"/>
      <c r="C596" s="90"/>
      <c r="D596" s="159" t="s">
        <v>47</v>
      </c>
      <c r="E596" s="220"/>
      <c r="F596" s="127">
        <v>2.0</v>
      </c>
      <c r="G596" s="221">
        <v>45641.0</v>
      </c>
      <c r="H596" s="195"/>
      <c r="I596" s="130"/>
      <c r="J596" s="151">
        <v>9.0</v>
      </c>
      <c r="K596" s="213"/>
      <c r="L596" s="183"/>
      <c r="M596" s="134" t="str">
        <f>I461</f>
        <v/>
      </c>
      <c r="N596" s="135" t="str">
        <f>iferror(mround($P461*((VLOOKUP($J596,Sheet1!$D:$N,$G596+1,FALSE)-0.03)),2.5)," ")</f>
        <v> </v>
      </c>
      <c r="O596" s="135" t="str">
        <f>iferror(mround($P461*((VLOOKUP($J596,Sheet1!$D:$N,$G596+1,FALSE)+0.02)),2.5)," ")</f>
        <v> </v>
      </c>
      <c r="P596" s="112" t="str">
        <f>iferror(mround(I596/VLOOKUP(L596,Sheet1!$D$7:$N$16,G596+1,FALSE),2.5),"")</f>
        <v/>
      </c>
      <c r="Q596" s="303" t="str">
        <f t="shared" si="17"/>
        <v/>
      </c>
      <c r="R596" s="214"/>
      <c r="S596" s="11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</row>
    <row r="597" ht="3.75" customHeight="1">
      <c r="A597" s="90"/>
      <c r="B597" s="6"/>
      <c r="C597" s="90"/>
      <c r="D597" s="138"/>
      <c r="E597" s="326"/>
      <c r="F597" s="102"/>
      <c r="G597" s="102"/>
      <c r="H597" s="102"/>
      <c r="I597" s="102"/>
      <c r="J597" s="216"/>
      <c r="K597" s="222"/>
      <c r="L597" s="143"/>
      <c r="M597" s="144"/>
      <c r="N597" s="145"/>
      <c r="O597" s="145"/>
      <c r="P597" s="122"/>
      <c r="Q597" s="304" t="str">
        <f t="shared" si="17"/>
        <v/>
      </c>
      <c r="R597" s="214"/>
      <c r="S597" s="11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</row>
    <row r="598" ht="18.0" hidden="1" customHeight="1">
      <c r="A598" s="90"/>
      <c r="B598" s="6"/>
      <c r="C598" s="90"/>
      <c r="D598" s="185"/>
      <c r="E598" s="327"/>
      <c r="F598" s="187"/>
      <c r="G598" s="187"/>
      <c r="H598" s="195"/>
      <c r="I598" s="164"/>
      <c r="J598" s="189"/>
      <c r="K598" s="190"/>
      <c r="L598" s="183"/>
      <c r="M598" s="134" t="str">
        <f>I463</f>
        <v/>
      </c>
      <c r="N598" s="135" t="str">
        <f>iferror(mround($P463*((VLOOKUP($J598,Sheet1!$D:$N,$G598+1,FALSE)-0.03)),2.5)," ")</f>
        <v> </v>
      </c>
      <c r="O598" s="135" t="str">
        <f>iferror(mround($P463*((VLOOKUP($J598,Sheet1!$D:$N,$G598+1,FALSE)+0.02)),2.5)," ")</f>
        <v> </v>
      </c>
      <c r="P598" s="112" t="str">
        <f>iferror(mround(I598/VLOOKUP(L598,Sheet1!$D$7:$N$16,G598+1,FALSE),2.5),"")</f>
        <v/>
      </c>
      <c r="Q598" s="303" t="str">
        <f t="shared" si="17"/>
        <v/>
      </c>
      <c r="R598" s="214"/>
      <c r="S598" s="11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</row>
    <row r="599" ht="3.75" hidden="1" customHeight="1">
      <c r="A599" s="191"/>
      <c r="B599" s="6"/>
      <c r="C599" s="192"/>
      <c r="D599" s="138"/>
      <c r="E599" s="223"/>
      <c r="F599" s="194"/>
      <c r="G599" s="194"/>
      <c r="H599" s="155"/>
      <c r="I599" s="210"/>
      <c r="J599" s="216"/>
      <c r="K599" s="222"/>
      <c r="L599" s="143"/>
      <c r="M599" s="144"/>
      <c r="N599" s="145"/>
      <c r="O599" s="145"/>
      <c r="P599" s="122"/>
      <c r="Q599" s="304" t="str">
        <f t="shared" si="17"/>
        <v/>
      </c>
      <c r="R599" s="214"/>
      <c r="S599" s="157"/>
      <c r="T599" s="5"/>
      <c r="U599" s="5"/>
      <c r="V599" s="158"/>
      <c r="W599" s="158"/>
      <c r="X599" s="158"/>
      <c r="Y599" s="158"/>
      <c r="Z599" s="158"/>
      <c r="AA599" s="158"/>
      <c r="AB599" s="158"/>
      <c r="AC599" s="158"/>
      <c r="AD599" s="158"/>
      <c r="AE599" s="158"/>
      <c r="AF599" s="158"/>
      <c r="AG599" s="158"/>
    </row>
    <row r="600" ht="15.75" hidden="1" customHeight="1">
      <c r="A600" s="90"/>
      <c r="B600" s="6"/>
      <c r="C600" s="90"/>
      <c r="D600" s="185"/>
      <c r="E600" s="186"/>
      <c r="F600" s="187"/>
      <c r="G600" s="187"/>
      <c r="H600" s="195"/>
      <c r="I600" s="164"/>
      <c r="J600" s="189"/>
      <c r="K600" s="190"/>
      <c r="L600" s="183"/>
      <c r="M600" s="134" t="str">
        <f>I465</f>
        <v/>
      </c>
      <c r="N600" s="135" t="str">
        <f>iferror(mround($P465*((VLOOKUP($J600,Sheet1!$D:$N,$G600+1,FALSE)-0.03)),2.5)," ")</f>
        <v> </v>
      </c>
      <c r="O600" s="135" t="str">
        <f>iferror(mround($P465*((VLOOKUP($J600,Sheet1!$D:$N,$G600+1,FALSE)+0.02)),2.5)," ")</f>
        <v> </v>
      </c>
      <c r="P600" s="112" t="str">
        <f>iferror(mround(I600/VLOOKUP(L600,Sheet1!$D$7:$N$16,G600+1,FALSE),2.5),"")</f>
        <v/>
      </c>
      <c r="Q600" s="303" t="str">
        <f t="shared" si="17"/>
        <v/>
      </c>
      <c r="R600" s="214"/>
      <c r="S600" s="11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</row>
    <row r="601" ht="3.75" hidden="1" customHeight="1">
      <c r="A601" s="90"/>
      <c r="B601" s="6"/>
      <c r="C601" s="90"/>
      <c r="D601" s="138"/>
      <c r="E601" s="184"/>
      <c r="F601" s="102"/>
      <c r="G601" s="102"/>
      <c r="H601" s="102"/>
      <c r="I601" s="102"/>
      <c r="J601" s="156"/>
      <c r="K601" s="222"/>
      <c r="L601" s="143"/>
      <c r="M601" s="144"/>
      <c r="N601" s="145"/>
      <c r="O601" s="145"/>
      <c r="P601" s="122"/>
      <c r="Q601" s="304" t="str">
        <f t="shared" si="17"/>
        <v/>
      </c>
      <c r="R601" s="214"/>
      <c r="S601" s="11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</row>
    <row r="602" ht="15.75" hidden="1" customHeight="1">
      <c r="A602" s="90"/>
      <c r="B602" s="6"/>
      <c r="C602" s="90"/>
      <c r="D602" s="185"/>
      <c r="E602" s="224"/>
      <c r="F602" s="187"/>
      <c r="G602" s="187"/>
      <c r="H602" s="195"/>
      <c r="I602" s="164"/>
      <c r="J602" s="189"/>
      <c r="K602" s="190"/>
      <c r="L602" s="183"/>
      <c r="M602" s="134" t="str">
        <f>I467</f>
        <v/>
      </c>
      <c r="N602" s="135" t="str">
        <f>iferror(mround($P467*((VLOOKUP($J602,Sheet1!$D:$N,$G602+1,FALSE)-0.03)),2.5)," ")</f>
        <v> </v>
      </c>
      <c r="O602" s="135" t="str">
        <f>iferror(mround($P467*((VLOOKUP($J602,Sheet1!$D:$N,$G602+1,FALSE)+0.02)),2.5)," ")</f>
        <v> </v>
      </c>
      <c r="P602" s="112" t="str">
        <f>iferror(mround(I602/VLOOKUP(L602,Sheet1!$D$7:$N$16,G602+1,FALSE),2.5),"")</f>
        <v/>
      </c>
      <c r="Q602" s="303" t="str">
        <f t="shared" si="17"/>
        <v/>
      </c>
      <c r="R602" s="214"/>
      <c r="S602" s="11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</row>
    <row r="603" ht="3.75" hidden="1" customHeight="1">
      <c r="A603" s="191"/>
      <c r="B603" s="6"/>
      <c r="C603" s="192"/>
      <c r="D603" s="138"/>
      <c r="E603" s="193"/>
      <c r="F603" s="194"/>
      <c r="G603" s="194"/>
      <c r="H603" s="155"/>
      <c r="I603" s="210"/>
      <c r="J603" s="216"/>
      <c r="K603" s="222"/>
      <c r="L603" s="143"/>
      <c r="M603" s="144"/>
      <c r="N603" s="145"/>
      <c r="O603" s="145"/>
      <c r="P603" s="122"/>
      <c r="Q603" s="304" t="str">
        <f t="shared" si="17"/>
        <v/>
      </c>
      <c r="R603" s="214"/>
      <c r="S603" s="157"/>
      <c r="T603" s="5"/>
      <c r="U603" s="5"/>
      <c r="V603" s="158"/>
      <c r="W603" s="158"/>
      <c r="X603" s="158"/>
      <c r="Y603" s="158"/>
      <c r="Z603" s="158"/>
      <c r="AA603" s="158"/>
      <c r="AB603" s="158"/>
      <c r="AC603" s="158"/>
      <c r="AD603" s="158"/>
      <c r="AE603" s="158"/>
      <c r="AF603" s="158"/>
      <c r="AG603" s="158"/>
    </row>
    <row r="604" ht="15.75" hidden="1" customHeight="1">
      <c r="A604" s="90"/>
      <c r="B604" s="6"/>
      <c r="C604" s="90"/>
      <c r="D604" s="185"/>
      <c r="E604" s="186"/>
      <c r="F604" s="187"/>
      <c r="G604" s="187"/>
      <c r="H604" s="195"/>
      <c r="I604" s="164"/>
      <c r="J604" s="189"/>
      <c r="K604" s="190"/>
      <c r="L604" s="183"/>
      <c r="M604" s="134" t="str">
        <f>I469</f>
        <v/>
      </c>
      <c r="N604" s="135" t="str">
        <f>iferror(mround($P469*((VLOOKUP($J604,Sheet1!$D:$N,$G604+1,FALSE)-0.03)),2.5)," ")</f>
        <v> </v>
      </c>
      <c r="O604" s="135" t="str">
        <f>iferror(mround($P469*((VLOOKUP($J604,Sheet1!$D:$N,$G604+1,FALSE)+0.02)),2.5)," ")</f>
        <v> </v>
      </c>
      <c r="P604" s="112" t="str">
        <f>iferror(mround(I604/VLOOKUP(L604,Sheet1!$D$7:$N$16,G604+1,FALSE),2.5),"")</f>
        <v/>
      </c>
      <c r="Q604" s="303" t="str">
        <f t="shared" si="17"/>
        <v/>
      </c>
      <c r="R604" s="214"/>
      <c r="S604" s="11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</row>
    <row r="605" ht="3.75" hidden="1" customHeight="1">
      <c r="A605" s="90"/>
      <c r="B605" s="6"/>
      <c r="C605" s="90"/>
      <c r="D605" s="196"/>
      <c r="E605" s="184"/>
      <c r="F605" s="102"/>
      <c r="G605" s="102"/>
      <c r="H605" s="102"/>
      <c r="I605" s="102"/>
      <c r="J605" s="156"/>
      <c r="K605" s="222"/>
      <c r="L605" s="143"/>
      <c r="M605" s="144"/>
      <c r="N605" s="145"/>
      <c r="O605" s="145"/>
      <c r="P605" s="122"/>
      <c r="Q605" s="304" t="str">
        <f t="shared" si="17"/>
        <v/>
      </c>
      <c r="R605" s="214"/>
      <c r="S605" s="11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</row>
    <row r="606" ht="15.75" hidden="1" customHeight="1">
      <c r="A606" s="90"/>
      <c r="B606" s="6"/>
      <c r="C606" s="90"/>
      <c r="D606" s="197"/>
      <c r="E606" s="198"/>
      <c r="F606" s="199"/>
      <c r="G606" s="187"/>
      <c r="H606" s="195"/>
      <c r="I606" s="164"/>
      <c r="J606" s="189"/>
      <c r="K606" s="190"/>
      <c r="L606" s="183"/>
      <c r="M606" s="134" t="str">
        <f>I471</f>
        <v/>
      </c>
      <c r="N606" s="135" t="str">
        <f>iferror(mround($P471*((VLOOKUP($J606,Sheet1!$D:$N,$G606+1,FALSE)-0.03)),2.5)," ")</f>
        <v> </v>
      </c>
      <c r="O606" s="135" t="str">
        <f>iferror(mround($P471*((VLOOKUP($J606,Sheet1!$D:$N,$G606+1,FALSE)+0.02)),2.5)," ")</f>
        <v> </v>
      </c>
      <c r="P606" s="112" t="str">
        <f>iferror(mround(I606/VLOOKUP(L606,Sheet1!$D$7:$N$16,G606+1,FALSE),2.5),"")</f>
        <v/>
      </c>
      <c r="Q606" s="303" t="str">
        <f t="shared" si="17"/>
        <v/>
      </c>
      <c r="R606" s="214"/>
      <c r="S606" s="11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</row>
    <row r="607" ht="3.75" hidden="1" customHeight="1">
      <c r="A607" s="90"/>
      <c r="B607" s="6"/>
      <c r="C607" s="90"/>
      <c r="D607" s="90"/>
      <c r="E607" s="156"/>
      <c r="F607" s="102"/>
      <c r="G607" s="102"/>
      <c r="H607" s="102"/>
      <c r="I607" s="102"/>
      <c r="J607" s="156"/>
      <c r="K607" s="222"/>
      <c r="L607" s="201"/>
      <c r="M607" s="211"/>
      <c r="N607" s="47"/>
      <c r="O607" s="47"/>
      <c r="P607" s="122"/>
      <c r="Q607" s="304" t="str">
        <f t="shared" si="17"/>
        <v/>
      </c>
      <c r="R607" s="214"/>
      <c r="S607" s="11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</row>
    <row r="608" ht="30.75" customHeight="1">
      <c r="A608" s="90"/>
      <c r="B608" s="6"/>
      <c r="C608" s="90"/>
      <c r="D608" s="202" t="s">
        <v>49</v>
      </c>
      <c r="E608" s="105" t="s">
        <v>15</v>
      </c>
      <c r="F608" s="106" t="s">
        <v>16</v>
      </c>
      <c r="G608" s="106" t="s">
        <v>17</v>
      </c>
      <c r="H608" s="107"/>
      <c r="I608" s="106" t="s">
        <v>18</v>
      </c>
      <c r="J608" s="108" t="s">
        <v>19</v>
      </c>
      <c r="L608" s="109" t="s">
        <v>20</v>
      </c>
      <c r="M608" s="110" t="s">
        <v>21</v>
      </c>
      <c r="N608" s="111" t="s">
        <v>22</v>
      </c>
      <c r="P608" s="112"/>
      <c r="Q608" s="113" t="s">
        <v>23</v>
      </c>
      <c r="R608" s="114" t="s">
        <v>50</v>
      </c>
      <c r="S608" s="11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</row>
    <row r="609" ht="14.25" customHeight="1">
      <c r="A609" s="90"/>
      <c r="B609" s="6"/>
      <c r="C609" s="90"/>
      <c r="D609" s="257" t="s">
        <v>25</v>
      </c>
      <c r="E609" s="258" t="s">
        <v>26</v>
      </c>
      <c r="H609" s="107"/>
      <c r="N609" s="111" t="s">
        <v>27</v>
      </c>
      <c r="O609" s="111" t="s">
        <v>28</v>
      </c>
      <c r="P609" s="112" t="s">
        <v>29</v>
      </c>
      <c r="R609" s="118" t="s">
        <v>30</v>
      </c>
      <c r="S609" s="11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</row>
    <row r="610" ht="3.75" customHeight="1">
      <c r="A610" s="191"/>
      <c r="B610" s="6"/>
      <c r="C610" s="192"/>
      <c r="D610" s="203"/>
      <c r="E610" s="203"/>
      <c r="F610" s="205"/>
      <c r="G610" s="205"/>
      <c r="H610" s="205"/>
      <c r="I610" s="225"/>
      <c r="J610" s="226"/>
      <c r="K610" s="209"/>
      <c r="L610" s="210"/>
      <c r="M610" s="211"/>
      <c r="N610" s="47"/>
      <c r="O610" s="47"/>
      <c r="P610" s="122"/>
      <c r="Q610" s="304" t="str">
        <f t="shared" ref="Q610:Q630" si="18">IF(OR(ISBLANK(I610), ISBLANK(I475)), "", IF(I610 - I475 = 0, "", I610 - I475))</f>
        <v/>
      </c>
      <c r="R610" s="212"/>
      <c r="S610" s="157"/>
      <c r="T610" s="5"/>
      <c r="U610" s="5"/>
      <c r="V610" s="158"/>
      <c r="W610" s="158"/>
      <c r="X610" s="158"/>
      <c r="Y610" s="158"/>
      <c r="Z610" s="158"/>
      <c r="AA610" s="158"/>
      <c r="AB610" s="158"/>
      <c r="AC610" s="158"/>
      <c r="AD610" s="158"/>
      <c r="AE610" s="158"/>
      <c r="AF610" s="158"/>
      <c r="AG610" s="158"/>
    </row>
    <row r="611" ht="15.75" customHeight="1">
      <c r="A611" s="124"/>
      <c r="B611" s="6"/>
      <c r="C611" s="124"/>
      <c r="D611" s="125" t="s">
        <v>90</v>
      </c>
      <c r="E611" s="126"/>
      <c r="F611" s="127">
        <v>1.0</v>
      </c>
      <c r="G611" s="240">
        <v>5.0</v>
      </c>
      <c r="H611" s="129"/>
      <c r="I611" s="164"/>
      <c r="J611" s="151">
        <v>6.0</v>
      </c>
      <c r="K611" s="213"/>
      <c r="L611" s="183"/>
      <c r="M611" s="134">
        <f>I476</f>
        <v>435</v>
      </c>
      <c r="N611" s="135">
        <f>iferror(mround($P476*((VLOOKUP($J611,Sheet1!$D:$N,$G611+1,FALSE)-0.03)),2.5)," ")</f>
        <v>380</v>
      </c>
      <c r="O611" s="135">
        <f>iferror(mround($P476*((VLOOKUP($J611,Sheet1!$D:$N,$G611+1,FALSE)+0.02)),2.5)," ")</f>
        <v>405</v>
      </c>
      <c r="P611" s="112" t="str">
        <f>iferror(mround(I611/VLOOKUP(L611,Sheet1!$D$7:$N$16,G611+1,FALSE),2.5),"")</f>
        <v/>
      </c>
      <c r="Q611" s="303" t="str">
        <f t="shared" si="18"/>
        <v/>
      </c>
      <c r="R611" s="214"/>
      <c r="S611" s="11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</row>
    <row r="612" ht="3.75" customHeight="1">
      <c r="A612" s="124"/>
      <c r="B612" s="6"/>
      <c r="C612" s="124"/>
      <c r="D612" s="138"/>
      <c r="E612" s="139"/>
      <c r="F612" s="140"/>
      <c r="G612" s="140"/>
      <c r="H612" s="140"/>
      <c r="I612" s="140"/>
      <c r="J612" s="141"/>
      <c r="K612" s="217"/>
      <c r="L612" s="218"/>
      <c r="M612" s="144"/>
      <c r="N612" s="145"/>
      <c r="O612" s="145"/>
      <c r="P612" s="122"/>
      <c r="Q612" s="304" t="str">
        <f t="shared" si="18"/>
        <v/>
      </c>
      <c r="R612" s="214"/>
      <c r="S612" s="11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</row>
    <row r="613" ht="15.75" customHeight="1">
      <c r="A613" s="90"/>
      <c r="B613" s="6"/>
      <c r="C613" s="90"/>
      <c r="D613" s="125" t="s">
        <v>77</v>
      </c>
      <c r="E613" s="126"/>
      <c r="F613" s="127">
        <v>2.0</v>
      </c>
      <c r="G613" s="240">
        <v>4.0</v>
      </c>
      <c r="H613" s="129"/>
      <c r="I613" s="164">
        <f>MROUND(I611*(1+J613),5)</f>
        <v>0</v>
      </c>
      <c r="J613" s="165">
        <v>-0.1</v>
      </c>
      <c r="K613" s="213"/>
      <c r="L613" s="183"/>
      <c r="M613" s="134">
        <f>I478</f>
        <v>385</v>
      </c>
      <c r="N613" s="135" t="str">
        <f>iferror(mround($P478*((VLOOKUP($J613,Sheet1!$D:$N,$G613+1,FALSE)-0.03)),2.5)," ")</f>
        <v> </v>
      </c>
      <c r="O613" s="135" t="str">
        <f>iferror(mround($P478*((VLOOKUP($J613,Sheet1!$D:$N,$G613+1,FALSE)+0.02)),2.5)," ")</f>
        <v> </v>
      </c>
      <c r="P613" s="112" t="str">
        <f>iferror(mround(I613/VLOOKUP(L613,Sheet1!$D$7:$N$16,G613+1,FALSE),2.5),"")</f>
        <v/>
      </c>
      <c r="Q613" s="303">
        <f t="shared" si="18"/>
        <v>-385</v>
      </c>
      <c r="R613" s="214"/>
      <c r="S613" s="11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</row>
    <row r="614" ht="3.75" customHeight="1">
      <c r="A614" s="90"/>
      <c r="B614" s="6"/>
      <c r="C614" s="90"/>
      <c r="D614" s="138"/>
      <c r="E614" s="215"/>
      <c r="F614" s="102"/>
      <c r="G614" s="102"/>
      <c r="H614" s="102"/>
      <c r="I614" s="102"/>
      <c r="J614" s="156"/>
      <c r="K614" s="217"/>
      <c r="L614" s="218"/>
      <c r="M614" s="144"/>
      <c r="N614" s="145"/>
      <c r="O614" s="145"/>
      <c r="P614" s="122"/>
      <c r="Q614" s="304" t="str">
        <f t="shared" si="18"/>
        <v/>
      </c>
      <c r="R614" s="214"/>
      <c r="S614" s="11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</row>
    <row r="615" ht="15.75" customHeight="1">
      <c r="A615" s="90"/>
      <c r="B615" s="6"/>
      <c r="C615" s="90"/>
      <c r="D615" s="159" t="s">
        <v>33</v>
      </c>
      <c r="E615" s="160" t="s">
        <v>34</v>
      </c>
      <c r="F615" s="127">
        <v>3.0</v>
      </c>
      <c r="G615" s="161">
        <v>2.0</v>
      </c>
      <c r="H615" s="129"/>
      <c r="I615" s="164"/>
      <c r="J615" s="151">
        <v>6.0</v>
      </c>
      <c r="K615" s="219" t="s">
        <v>91</v>
      </c>
      <c r="L615" s="183"/>
      <c r="M615" s="134" t="str">
        <f>I480</f>
        <v/>
      </c>
      <c r="N615" s="135">
        <f>iferror(mround($P480*((VLOOKUP($J615,Sheet1!$D:$N,$G615+1,FALSE)-0.03)),2.5)," ")</f>
        <v>0</v>
      </c>
      <c r="O615" s="135">
        <f>iferror(mround($P480*((VLOOKUP($J615,Sheet1!$D:$N,$G615+1,FALSE)+0.02)),2.5)," ")</f>
        <v>0</v>
      </c>
      <c r="P615" s="112" t="str">
        <f>iferror(mround(I615/VLOOKUP(L615,Sheet1!$D$7:$N$16,G615+1,FALSE),2.5),"")</f>
        <v/>
      </c>
      <c r="Q615" s="303" t="str">
        <f t="shared" si="18"/>
        <v/>
      </c>
      <c r="R615" s="214"/>
      <c r="S615" s="11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</row>
    <row r="616" ht="3.75" customHeight="1">
      <c r="A616" s="90"/>
      <c r="B616" s="6"/>
      <c r="C616" s="90"/>
      <c r="D616" s="138"/>
      <c r="E616" s="154"/>
      <c r="F616" s="155"/>
      <c r="G616" s="102"/>
      <c r="H616" s="102"/>
      <c r="I616" s="102"/>
      <c r="J616" s="156"/>
      <c r="K616" s="217"/>
      <c r="L616" s="218"/>
      <c r="M616" s="144"/>
      <c r="N616" s="145"/>
      <c r="O616" s="145"/>
      <c r="P616" s="122"/>
      <c r="Q616" s="304" t="str">
        <f t="shared" si="18"/>
        <v/>
      </c>
      <c r="R616" s="214"/>
      <c r="S616" s="11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</row>
    <row r="617" ht="15.75" customHeight="1">
      <c r="A617" s="90"/>
      <c r="B617" s="6"/>
      <c r="C617" s="90"/>
      <c r="D617" s="159" t="s">
        <v>45</v>
      </c>
      <c r="E617" s="220"/>
      <c r="F617" s="127">
        <v>2.0</v>
      </c>
      <c r="G617" s="127" t="s">
        <v>41</v>
      </c>
      <c r="H617" s="195"/>
      <c r="I617" s="164"/>
      <c r="J617" s="151"/>
      <c r="K617" s="213"/>
      <c r="L617" s="183"/>
      <c r="M617" s="134" t="str">
        <f>I482</f>
        <v/>
      </c>
      <c r="N617" s="135" t="str">
        <f>iferror(mround($P482*((VLOOKUP($J617,Sheet1!$D:$N,$G617+1,FALSE)-0.03)),2.5)," ")</f>
        <v> </v>
      </c>
      <c r="O617" s="135" t="str">
        <f>iferror(mround($P482*((VLOOKUP($J617,Sheet1!$D:$N,$G617+1,FALSE)+0.02)),2.5)," ")</f>
        <v> </v>
      </c>
      <c r="P617" s="112" t="str">
        <f>iferror(mround(I617/VLOOKUP(L617,Sheet1!$D$7:$N$16,G617+1,FALSE),2.5),"")</f>
        <v/>
      </c>
      <c r="Q617" s="303" t="str">
        <f t="shared" si="18"/>
        <v/>
      </c>
      <c r="R617" s="214"/>
      <c r="S617" s="11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</row>
    <row r="618" ht="3.75" customHeight="1">
      <c r="A618" s="90"/>
      <c r="B618" s="6"/>
      <c r="C618" s="90"/>
      <c r="D618" s="138"/>
      <c r="E618" s="215"/>
      <c r="F618" s="102"/>
      <c r="G618" s="102"/>
      <c r="H618" s="102"/>
      <c r="I618" s="102"/>
      <c r="J618" s="156"/>
      <c r="K618" s="217"/>
      <c r="L618" s="218"/>
      <c r="M618" s="144"/>
      <c r="N618" s="145"/>
      <c r="O618" s="145"/>
      <c r="P618" s="122"/>
      <c r="Q618" s="304" t="str">
        <f t="shared" si="18"/>
        <v/>
      </c>
      <c r="R618" s="214"/>
      <c r="S618" s="11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</row>
    <row r="619" ht="15.75" customHeight="1">
      <c r="A619" s="90"/>
      <c r="B619" s="6"/>
      <c r="C619" s="90"/>
      <c r="D619" s="159" t="s">
        <v>94</v>
      </c>
      <c r="E619" s="220"/>
      <c r="F619" s="127">
        <v>2.0</v>
      </c>
      <c r="G619" s="221">
        <v>45641.0</v>
      </c>
      <c r="H619" s="195"/>
      <c r="I619" s="164"/>
      <c r="J619" s="151">
        <v>9.0</v>
      </c>
      <c r="K619" s="213"/>
      <c r="L619" s="183"/>
      <c r="M619" s="134" t="str">
        <f>I484</f>
        <v/>
      </c>
      <c r="N619" s="135" t="str">
        <f>iferror(mround($P484*((VLOOKUP($J619,Sheet1!$D:$N,$G619+1,FALSE)-0.03)),2.5)," ")</f>
        <v> </v>
      </c>
      <c r="O619" s="135" t="str">
        <f>iferror(mround($P484*((VLOOKUP($J619,Sheet1!$D:$N,$G619+1,FALSE)+0.02)),2.5)," ")</f>
        <v> </v>
      </c>
      <c r="P619" s="112" t="str">
        <f>iferror(mround(I619/VLOOKUP(L619,Sheet1!$D$7:$N$16,G619+1,FALSE),2.5),"")</f>
        <v/>
      </c>
      <c r="Q619" s="303" t="str">
        <f t="shared" si="18"/>
        <v/>
      </c>
      <c r="R619" s="214"/>
      <c r="S619" s="11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</row>
    <row r="620" ht="3.75" customHeight="1">
      <c r="A620" s="90"/>
      <c r="B620" s="6"/>
      <c r="C620" s="90"/>
      <c r="D620" s="138"/>
      <c r="E620" s="215"/>
      <c r="F620" s="102"/>
      <c r="G620" s="102"/>
      <c r="H620" s="102"/>
      <c r="I620" s="102"/>
      <c r="J620" s="156"/>
      <c r="K620" s="222"/>
      <c r="L620" s="218"/>
      <c r="M620" s="144"/>
      <c r="N620" s="145"/>
      <c r="O620" s="145"/>
      <c r="P620" s="122"/>
      <c r="Q620" s="304" t="str">
        <f t="shared" si="18"/>
        <v/>
      </c>
      <c r="R620" s="214"/>
      <c r="S620" s="11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</row>
    <row r="621" ht="15.75" hidden="1" customHeight="1">
      <c r="A621" s="90"/>
      <c r="B621" s="6"/>
      <c r="C621" s="90"/>
      <c r="D621" s="185"/>
      <c r="E621" s="220"/>
      <c r="F621" s="187"/>
      <c r="G621" s="229"/>
      <c r="H621" s="195"/>
      <c r="I621" s="164"/>
      <c r="J621" s="189"/>
      <c r="K621" s="190"/>
      <c r="L621" s="183"/>
      <c r="M621" s="134" t="str">
        <f>I486</f>
        <v/>
      </c>
      <c r="N621" s="135" t="str">
        <f>iferror(mround($P486*((VLOOKUP($J621,Sheet1!$D:$N,$G621+1,FALSE)-0.03)),2.5)," ")</f>
        <v> </v>
      </c>
      <c r="O621" s="135" t="str">
        <f>iferror(mround($P486*((VLOOKUP($J621,Sheet1!$D:$N,$G621+1,FALSE)+0.02)),2.5)," ")</f>
        <v> </v>
      </c>
      <c r="P621" s="112" t="str">
        <f>iferror(mround(I621/VLOOKUP(L621,Sheet1!$D$7:$N$16,G621+1,FALSE),2.5),"")</f>
        <v/>
      </c>
      <c r="Q621" s="303" t="str">
        <f t="shared" si="18"/>
        <v/>
      </c>
      <c r="R621" s="214"/>
      <c r="S621" s="11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</row>
    <row r="622" ht="3.75" hidden="1" customHeight="1">
      <c r="A622" s="90"/>
      <c r="B622" s="6"/>
      <c r="C622" s="90"/>
      <c r="D622" s="138"/>
      <c r="E622" s="215"/>
      <c r="F622" s="102"/>
      <c r="G622" s="102"/>
      <c r="H622" s="102"/>
      <c r="I622" s="102"/>
      <c r="J622" s="216"/>
      <c r="K622" s="222"/>
      <c r="L622" s="218"/>
      <c r="M622" s="144"/>
      <c r="N622" s="145"/>
      <c r="O622" s="145"/>
      <c r="P622" s="122"/>
      <c r="Q622" s="304" t="str">
        <f t="shared" si="18"/>
        <v/>
      </c>
      <c r="R622" s="214"/>
      <c r="S622" s="11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</row>
    <row r="623" ht="15.75" hidden="1" customHeight="1">
      <c r="A623" s="90"/>
      <c r="B623" s="6"/>
      <c r="C623" s="90"/>
      <c r="D623" s="185"/>
      <c r="E623" s="220"/>
      <c r="F623" s="187"/>
      <c r="G623" s="229"/>
      <c r="H623" s="195"/>
      <c r="I623" s="164"/>
      <c r="J623" s="189"/>
      <c r="K623" s="190"/>
      <c r="L623" s="183"/>
      <c r="M623" s="134" t="str">
        <f>I488</f>
        <v/>
      </c>
      <c r="N623" s="135" t="str">
        <f>iferror(mround($P488*((VLOOKUP($J623,Sheet1!$D:$N,$G623+1,FALSE)-0.03)),2.5)," ")</f>
        <v> </v>
      </c>
      <c r="O623" s="135" t="str">
        <f>iferror(mround($P488*((VLOOKUP($J623,Sheet1!$D:$N,$G623+1,FALSE)+0.02)),2.5)," ")</f>
        <v> </v>
      </c>
      <c r="P623" s="112" t="str">
        <f>iferror(mround(I623/VLOOKUP(L623,Sheet1!$D$7:$N$16,G623+1,FALSE),2.5),"")</f>
        <v/>
      </c>
      <c r="Q623" s="303" t="str">
        <f t="shared" si="18"/>
        <v/>
      </c>
      <c r="R623" s="214"/>
      <c r="S623" s="11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</row>
    <row r="624" ht="3.75" hidden="1" customHeight="1">
      <c r="A624" s="191"/>
      <c r="B624" s="6"/>
      <c r="C624" s="192"/>
      <c r="D624" s="138"/>
      <c r="E624" s="184"/>
      <c r="F624" s="102"/>
      <c r="G624" s="102"/>
      <c r="H624" s="102"/>
      <c r="I624" s="102"/>
      <c r="J624" s="156"/>
      <c r="K624" s="222"/>
      <c r="L624" s="218"/>
      <c r="M624" s="144"/>
      <c r="N624" s="145"/>
      <c r="O624" s="145"/>
      <c r="P624" s="122"/>
      <c r="Q624" s="304" t="str">
        <f t="shared" si="18"/>
        <v/>
      </c>
      <c r="R624" s="214"/>
      <c r="S624" s="157"/>
      <c r="T624" s="5"/>
      <c r="U624" s="5"/>
      <c r="V624" s="158"/>
      <c r="W624" s="158"/>
      <c r="X624" s="158"/>
      <c r="Y624" s="158"/>
      <c r="Z624" s="158"/>
      <c r="AA624" s="158"/>
      <c r="AB624" s="158"/>
      <c r="AC624" s="158"/>
      <c r="AD624" s="158"/>
      <c r="AE624" s="158"/>
      <c r="AF624" s="158"/>
      <c r="AG624" s="158"/>
    </row>
    <row r="625" ht="15.75" hidden="1" customHeight="1">
      <c r="A625" s="90"/>
      <c r="B625" s="6"/>
      <c r="C625" s="90"/>
      <c r="D625" s="185"/>
      <c r="E625" s="224"/>
      <c r="F625" s="187"/>
      <c r="G625" s="187"/>
      <c r="H625" s="195"/>
      <c r="I625" s="164"/>
      <c r="J625" s="230"/>
      <c r="K625" s="190"/>
      <c r="L625" s="183"/>
      <c r="M625" s="134" t="str">
        <f>I490</f>
        <v/>
      </c>
      <c r="N625" s="135" t="str">
        <f>iferror(mround($P490*((VLOOKUP($J625,Sheet1!$D:$N,$G625+1,FALSE)-0.03)),2.5)," ")</f>
        <v> </v>
      </c>
      <c r="O625" s="135" t="str">
        <f>iferror(mround($P490*((VLOOKUP($J625,Sheet1!$D:$N,$G625+1,FALSE)+0.02)),2.5)," ")</f>
        <v> </v>
      </c>
      <c r="P625" s="112" t="str">
        <f>iferror(mround(I625/VLOOKUP(L625,Sheet1!$D$7:$N$16,G625+1,FALSE),2.5),"")</f>
        <v/>
      </c>
      <c r="Q625" s="303" t="str">
        <f t="shared" si="18"/>
        <v/>
      </c>
      <c r="R625" s="214"/>
      <c r="S625" s="11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</row>
    <row r="626" ht="3.75" hidden="1" customHeight="1">
      <c r="A626" s="90"/>
      <c r="B626" s="6"/>
      <c r="C626" s="90"/>
      <c r="D626" s="138"/>
      <c r="E626" s="184"/>
      <c r="F626" s="102"/>
      <c r="G626" s="102"/>
      <c r="H626" s="102"/>
      <c r="I626" s="102"/>
      <c r="J626" s="156"/>
      <c r="K626" s="222"/>
      <c r="L626" s="218"/>
      <c r="M626" s="144"/>
      <c r="N626" s="145"/>
      <c r="O626" s="145"/>
      <c r="P626" s="122"/>
      <c r="Q626" s="304" t="str">
        <f t="shared" si="18"/>
        <v/>
      </c>
      <c r="R626" s="214"/>
      <c r="S626" s="11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</row>
    <row r="627" ht="15.75" hidden="1" customHeight="1">
      <c r="A627" s="90"/>
      <c r="B627" s="6"/>
      <c r="C627" s="90"/>
      <c r="D627" s="231"/>
      <c r="E627" s="232"/>
      <c r="F627" s="187"/>
      <c r="G627" s="187"/>
      <c r="H627" s="195"/>
      <c r="I627" s="164"/>
      <c r="J627" s="230"/>
      <c r="K627" s="190"/>
      <c r="L627" s="183"/>
      <c r="M627" s="134" t="str">
        <f>I492</f>
        <v/>
      </c>
      <c r="N627" s="135" t="str">
        <f>iferror(mround($P492*((VLOOKUP($J627,Sheet1!$D:$N,$G627+1,FALSE)-0.03)),2.5)," ")</f>
        <v> </v>
      </c>
      <c r="O627" s="135" t="str">
        <f>iferror(mround($P492*((VLOOKUP($J627,Sheet1!$D:$N,$G627+1,FALSE)+0.02)),2.5)," ")</f>
        <v> </v>
      </c>
      <c r="P627" s="112" t="str">
        <f>iferror(mround(I627/VLOOKUP(L627,Sheet1!$D$7:$N$16,G627+1,FALSE),2.5),"")</f>
        <v/>
      </c>
      <c r="Q627" s="303" t="str">
        <f t="shared" si="18"/>
        <v/>
      </c>
      <c r="R627" s="214"/>
      <c r="S627" s="11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</row>
    <row r="628" ht="3.75" hidden="1" customHeight="1">
      <c r="A628" s="191"/>
      <c r="B628" s="6"/>
      <c r="C628" s="233"/>
      <c r="D628" s="234"/>
      <c r="E628" s="235"/>
      <c r="F628" s="236"/>
      <c r="G628" s="194"/>
      <c r="H628" s="155"/>
      <c r="I628" s="210"/>
      <c r="J628" s="216"/>
      <c r="K628" s="222"/>
      <c r="L628" s="218"/>
      <c r="M628" s="144"/>
      <c r="N628" s="145"/>
      <c r="O628" s="145"/>
      <c r="P628" s="122"/>
      <c r="Q628" s="304" t="str">
        <f t="shared" si="18"/>
        <v/>
      </c>
      <c r="R628" s="214"/>
      <c r="S628" s="157"/>
      <c r="T628" s="5"/>
      <c r="U628" s="5"/>
      <c r="V628" s="158"/>
      <c r="W628" s="158"/>
      <c r="X628" s="158"/>
      <c r="Y628" s="158"/>
      <c r="Z628" s="158"/>
      <c r="AA628" s="158"/>
      <c r="AB628" s="158"/>
      <c r="AC628" s="158"/>
      <c r="AD628" s="158"/>
      <c r="AE628" s="158"/>
      <c r="AF628" s="158"/>
      <c r="AG628" s="158"/>
    </row>
    <row r="629" ht="15.75" hidden="1" customHeight="1">
      <c r="A629" s="90"/>
      <c r="B629" s="6"/>
      <c r="C629" s="90"/>
      <c r="D629" s="197"/>
      <c r="E629" s="198"/>
      <c r="F629" s="199"/>
      <c r="G629" s="187"/>
      <c r="H629" s="195"/>
      <c r="I629" s="164"/>
      <c r="J629" s="189"/>
      <c r="K629" s="190"/>
      <c r="L629" s="183"/>
      <c r="M629" s="134" t="str">
        <f>I494</f>
        <v/>
      </c>
      <c r="N629" s="135" t="str">
        <f>iferror(mround($P494*((VLOOKUP($J629,Sheet1!$D:$N,$G629+1,FALSE)-0.03)),2.5)," ")</f>
        <v> </v>
      </c>
      <c r="O629" s="135" t="str">
        <f>iferror(mround($P494*((VLOOKUP($J629,Sheet1!$D:$N,$G629+1,FALSE)+0.02)),2.5)," ")</f>
        <v> </v>
      </c>
      <c r="P629" s="112" t="str">
        <f>iferror(mround(I629/VLOOKUP(L629,Sheet1!$D$7:$N$16,G629+1,FALSE),2.5),"")</f>
        <v/>
      </c>
      <c r="Q629" s="303" t="str">
        <f t="shared" si="18"/>
        <v/>
      </c>
      <c r="R629" s="214"/>
      <c r="S629" s="11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</row>
    <row r="630" ht="3.75" customHeight="1">
      <c r="A630" s="90"/>
      <c r="B630" s="6"/>
      <c r="C630" s="90"/>
      <c r="D630" s="90"/>
      <c r="E630" s="156"/>
      <c r="F630" s="102"/>
      <c r="G630" s="102"/>
      <c r="H630" s="102"/>
      <c r="I630" s="102"/>
      <c r="J630" s="156"/>
      <c r="K630" s="200"/>
      <c r="L630" s="201"/>
      <c r="M630" s="211"/>
      <c r="N630" s="47"/>
      <c r="O630" s="47"/>
      <c r="P630" s="122"/>
      <c r="Q630" s="304" t="str">
        <f t="shared" si="18"/>
        <v/>
      </c>
      <c r="R630" s="214"/>
      <c r="S630" s="11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</row>
    <row r="631" ht="30.0" customHeight="1">
      <c r="A631" s="90"/>
      <c r="B631" s="6"/>
      <c r="C631" s="90"/>
      <c r="D631" s="202" t="s">
        <v>55</v>
      </c>
      <c r="E631" s="105" t="s">
        <v>15</v>
      </c>
      <c r="F631" s="106" t="s">
        <v>16</v>
      </c>
      <c r="G631" s="106" t="s">
        <v>17</v>
      </c>
      <c r="H631" s="107"/>
      <c r="I631" s="106" t="s">
        <v>18</v>
      </c>
      <c r="J631" s="108" t="s">
        <v>19</v>
      </c>
      <c r="L631" s="109" t="s">
        <v>20</v>
      </c>
      <c r="M631" s="110" t="s">
        <v>21</v>
      </c>
      <c r="N631" s="111" t="s">
        <v>22</v>
      </c>
      <c r="P631" s="112"/>
      <c r="Q631" s="113" t="s">
        <v>23</v>
      </c>
      <c r="R631" s="114" t="s">
        <v>56</v>
      </c>
      <c r="S631" s="11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</row>
    <row r="632" ht="14.25" customHeight="1">
      <c r="A632" s="90"/>
      <c r="B632" s="6"/>
      <c r="C632" s="90"/>
      <c r="D632" s="257" t="s">
        <v>25</v>
      </c>
      <c r="E632" s="258" t="s">
        <v>26</v>
      </c>
      <c r="H632" s="107"/>
      <c r="N632" s="111" t="s">
        <v>27</v>
      </c>
      <c r="O632" s="111" t="s">
        <v>28</v>
      </c>
      <c r="P632" s="112" t="s">
        <v>29</v>
      </c>
      <c r="R632" s="118" t="s">
        <v>30</v>
      </c>
      <c r="S632" s="11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</row>
    <row r="633" ht="3.75" customHeight="1">
      <c r="A633" s="191"/>
      <c r="B633" s="6"/>
      <c r="C633" s="192"/>
      <c r="D633" s="203"/>
      <c r="E633" s="204"/>
      <c r="F633" s="205"/>
      <c r="G633" s="205"/>
      <c r="H633" s="205"/>
      <c r="I633" s="225"/>
      <c r="J633" s="237"/>
      <c r="K633" s="209"/>
      <c r="L633" s="238"/>
      <c r="M633" s="211"/>
      <c r="N633" s="47"/>
      <c r="O633" s="47"/>
      <c r="P633" s="122"/>
      <c r="Q633" s="304" t="str">
        <f t="shared" ref="Q633:Q653" si="19">IF(OR(ISBLANK(I633), ISBLANK(I498)), "", IF(I633 - I498 = 0, "", I633 - I498))</f>
        <v/>
      </c>
      <c r="R633" s="239"/>
      <c r="S633" s="157"/>
      <c r="T633" s="5"/>
      <c r="U633" s="5"/>
      <c r="V633" s="158"/>
      <c r="W633" s="158"/>
      <c r="X633" s="158"/>
      <c r="Y633" s="158"/>
      <c r="Z633" s="158"/>
      <c r="AA633" s="158"/>
      <c r="AB633" s="158"/>
      <c r="AC633" s="158"/>
      <c r="AD633" s="158"/>
      <c r="AE633" s="158"/>
      <c r="AF633" s="158"/>
      <c r="AG633" s="158"/>
    </row>
    <row r="634" ht="15.75" customHeight="1">
      <c r="A634" s="124"/>
      <c r="B634" s="6"/>
      <c r="C634" s="124"/>
      <c r="D634" s="125" t="s">
        <v>97</v>
      </c>
      <c r="E634" s="126"/>
      <c r="F634" s="127">
        <v>1.0</v>
      </c>
      <c r="G634" s="240">
        <v>4.0</v>
      </c>
      <c r="H634" s="129"/>
      <c r="I634" s="164"/>
      <c r="J634" s="151">
        <v>6.0</v>
      </c>
      <c r="K634" s="241"/>
      <c r="L634" s="164"/>
      <c r="M634" s="134">
        <f>I499</f>
        <v>513</v>
      </c>
      <c r="N634" s="135">
        <f>iferror(mround($P499*((VLOOKUP($J634,Sheet1!$D:$N,$G634+1,FALSE)-0.03)),2.5)," ")</f>
        <v>462.5</v>
      </c>
      <c r="O634" s="135">
        <f>iferror(mround($P499*((VLOOKUP($J634,Sheet1!$D:$N,$G634+1,FALSE)+0.02)),2.5)," ")</f>
        <v>495</v>
      </c>
      <c r="P634" s="112" t="str">
        <f>iferror(mround(I634/VLOOKUP(L634,Sheet1!$D$7:$N$16,G634+1,FALSE),2.5),"")</f>
        <v/>
      </c>
      <c r="Q634" s="303" t="str">
        <f t="shared" si="19"/>
        <v/>
      </c>
      <c r="R634" s="242"/>
      <c r="S634" s="11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</row>
    <row r="635" ht="3.75" customHeight="1">
      <c r="A635" s="124"/>
      <c r="B635" s="6"/>
      <c r="C635" s="124"/>
      <c r="D635" s="138"/>
      <c r="E635" s="139"/>
      <c r="F635" s="140"/>
      <c r="G635" s="140"/>
      <c r="H635" s="140"/>
      <c r="I635" s="140"/>
      <c r="J635" s="141"/>
      <c r="K635" s="243"/>
      <c r="L635" s="210"/>
      <c r="M635" s="144"/>
      <c r="N635" s="145"/>
      <c r="O635" s="145"/>
      <c r="P635" s="122"/>
      <c r="Q635" s="304" t="str">
        <f t="shared" si="19"/>
        <v/>
      </c>
      <c r="R635" s="242"/>
      <c r="S635" s="11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</row>
    <row r="636" ht="15.0" customHeight="1">
      <c r="A636" s="124"/>
      <c r="B636" s="6"/>
      <c r="C636" s="124"/>
      <c r="D636" s="125" t="s">
        <v>97</v>
      </c>
      <c r="E636" s="126"/>
      <c r="F636" s="127">
        <v>2.0</v>
      </c>
      <c r="G636" s="240">
        <v>4.0</v>
      </c>
      <c r="H636" s="129"/>
      <c r="I636" s="164">
        <f>MROUND(I634*(1+J636),5)</f>
        <v>0</v>
      </c>
      <c r="J636" s="165">
        <v>-0.1</v>
      </c>
      <c r="K636" s="241"/>
      <c r="L636" s="164"/>
      <c r="M636" s="134">
        <f>I501</f>
        <v>452</v>
      </c>
      <c r="N636" s="135" t="str">
        <f>iferror(mround($P501*((VLOOKUP($J636,Sheet1!$D:$N,$G636+1,FALSE)-0.03)),2.5)," ")</f>
        <v> </v>
      </c>
      <c r="O636" s="135" t="str">
        <f>iferror(mround($P501*((VLOOKUP($J636,Sheet1!$D:$N,$G636+1,FALSE)+0.02)),2.5)," ")</f>
        <v> </v>
      </c>
      <c r="P636" s="112" t="str">
        <f>iferror(mround(I636/VLOOKUP(L636,Sheet1!$D$7:$N$16,G636+1,FALSE),2.5),"")</f>
        <v/>
      </c>
      <c r="Q636" s="303">
        <f t="shared" si="19"/>
        <v>-452</v>
      </c>
      <c r="R636" s="242"/>
      <c r="S636" s="11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</row>
    <row r="637" ht="3.75" customHeight="1">
      <c r="A637" s="124"/>
      <c r="B637" s="6"/>
      <c r="C637" s="124"/>
      <c r="D637" s="138"/>
      <c r="E637" s="215"/>
      <c r="F637" s="102"/>
      <c r="G637" s="102"/>
      <c r="H637" s="102"/>
      <c r="I637" s="102"/>
      <c r="J637" s="156"/>
      <c r="K637" s="243"/>
      <c r="L637" s="210"/>
      <c r="M637" s="144"/>
      <c r="N637" s="145"/>
      <c r="O637" s="145"/>
      <c r="P637" s="122"/>
      <c r="Q637" s="304" t="str">
        <f t="shared" si="19"/>
        <v/>
      </c>
      <c r="R637" s="242"/>
      <c r="S637" s="11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</row>
    <row r="638" ht="15.75" customHeight="1">
      <c r="A638" s="124"/>
      <c r="B638" s="6"/>
      <c r="C638" s="124"/>
      <c r="D638" s="159" t="s">
        <v>33</v>
      </c>
      <c r="E638" s="126"/>
      <c r="F638" s="127">
        <v>1.0</v>
      </c>
      <c r="G638" s="161">
        <v>1.0</v>
      </c>
      <c r="H638" s="129"/>
      <c r="I638" s="164"/>
      <c r="J638" s="189">
        <v>6.0</v>
      </c>
      <c r="K638" s="244" t="s">
        <v>98</v>
      </c>
      <c r="L638" s="164"/>
      <c r="M638" s="134">
        <f>I503</f>
        <v>352</v>
      </c>
      <c r="N638" s="135">
        <f>iferror(mround($P503*((VLOOKUP($J638,Sheet1!$D:$N,$G638+1,FALSE)-0.03)),2.5)," ")</f>
        <v>310</v>
      </c>
      <c r="O638" s="135">
        <f>iferror(mround($P503*((VLOOKUP($J638,Sheet1!$D:$N,$G638+1,FALSE)+0.02)),2.5)," ")</f>
        <v>330</v>
      </c>
      <c r="P638" s="112" t="str">
        <f>iferror(mround(I638/VLOOKUP(L638,Sheet1!$D$7:$N$16,G638+1,FALSE),2.5),"")</f>
        <v/>
      </c>
      <c r="Q638" s="303" t="str">
        <f t="shared" si="19"/>
        <v/>
      </c>
      <c r="R638" s="242"/>
      <c r="S638" s="11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</row>
    <row r="639" ht="3.75" customHeight="1">
      <c r="A639" s="124"/>
      <c r="B639" s="6"/>
      <c r="C639" s="124"/>
      <c r="D639" s="138"/>
      <c r="E639" s="154"/>
      <c r="F639" s="155"/>
      <c r="G639" s="102"/>
      <c r="H639" s="102"/>
      <c r="I639" s="102"/>
      <c r="J639" s="156"/>
      <c r="K639" s="243"/>
      <c r="L639" s="210"/>
      <c r="M639" s="144"/>
      <c r="N639" s="145"/>
      <c r="O639" s="145"/>
      <c r="P639" s="122"/>
      <c r="Q639" s="304" t="str">
        <f t="shared" si="19"/>
        <v/>
      </c>
      <c r="R639" s="242"/>
      <c r="S639" s="11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</row>
    <row r="640" ht="15.75" customHeight="1">
      <c r="A640" s="124"/>
      <c r="B640" s="6"/>
      <c r="C640" s="124"/>
      <c r="D640" s="159" t="s">
        <v>33</v>
      </c>
      <c r="E640" s="126"/>
      <c r="F640" s="127">
        <v>3.0</v>
      </c>
      <c r="G640" s="161">
        <v>3.0</v>
      </c>
      <c r="H640" s="129"/>
      <c r="I640" s="164"/>
      <c r="J640" s="151">
        <v>6.0</v>
      </c>
      <c r="K640" s="241" t="s">
        <v>91</v>
      </c>
      <c r="L640" s="164"/>
      <c r="M640" s="134">
        <f>I505</f>
        <v>281</v>
      </c>
      <c r="N640" s="135">
        <f>iferror(mround($P505*((VLOOKUP($J640,Sheet1!$D:$N,$G640+1,FALSE)-0.03)),2.5)," ")</f>
        <v>0</v>
      </c>
      <c r="O640" s="135">
        <f>iferror(mround($P505*((VLOOKUP($J640,Sheet1!$D:$N,$G640+1,FALSE)+0.02)),2.5)," ")</f>
        <v>0</v>
      </c>
      <c r="P640" s="112" t="str">
        <f>iferror(mround(I640/VLOOKUP(L640,Sheet1!$D$7:$N$16,G640+1,FALSE),2.5),"")</f>
        <v/>
      </c>
      <c r="Q640" s="303" t="str">
        <f t="shared" si="19"/>
        <v/>
      </c>
      <c r="R640" s="242"/>
      <c r="S640" s="11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</row>
    <row r="641" ht="3.75" customHeight="1">
      <c r="A641" s="90"/>
      <c r="B641" s="6"/>
      <c r="C641" s="90"/>
      <c r="D641" s="138"/>
      <c r="E641" s="245"/>
      <c r="F641" s="102"/>
      <c r="G641" s="102"/>
      <c r="H641" s="102"/>
      <c r="I641" s="102"/>
      <c r="J641" s="156"/>
      <c r="K641" s="243"/>
      <c r="L641" s="210"/>
      <c r="M641" s="144"/>
      <c r="N641" s="145"/>
      <c r="O641" s="145"/>
      <c r="P641" s="122"/>
      <c r="Q641" s="304" t="str">
        <f t="shared" si="19"/>
        <v/>
      </c>
      <c r="R641" s="242"/>
      <c r="S641" s="11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</row>
    <row r="642" ht="15.75" customHeight="1">
      <c r="A642" s="90"/>
      <c r="B642" s="6"/>
      <c r="C642" s="90"/>
      <c r="D642" s="159" t="s">
        <v>54</v>
      </c>
      <c r="E642" s="227"/>
      <c r="F642" s="127">
        <v>2.0</v>
      </c>
      <c r="G642" s="221">
        <v>45577.0</v>
      </c>
      <c r="H642" s="195"/>
      <c r="I642" s="164"/>
      <c r="J642" s="228">
        <v>8.0</v>
      </c>
      <c r="K642" s="241"/>
      <c r="L642" s="164"/>
      <c r="M642" s="134" t="str">
        <f>I507</f>
        <v/>
      </c>
      <c r="N642" s="135" t="str">
        <f>iferror(mround($P507*((VLOOKUP($J642,Sheet1!$D:$N,$G642+1,FALSE)-0.03)),2.5)," ")</f>
        <v> </v>
      </c>
      <c r="O642" s="135" t="str">
        <f>iferror(mround($P507*((VLOOKUP($J642,Sheet1!$D:$N,$G642+1,FALSE)+0.02)),2.5)," ")</f>
        <v> </v>
      </c>
      <c r="P642" s="112" t="str">
        <f>iferror(mround(I642/VLOOKUP(L642,Sheet1!$D$7:$N$16,G642+1,FALSE),2.5),"")</f>
        <v/>
      </c>
      <c r="Q642" s="303" t="str">
        <f t="shared" si="19"/>
        <v/>
      </c>
      <c r="R642" s="242"/>
      <c r="S642" s="11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</row>
    <row r="643" ht="3.75" customHeight="1">
      <c r="A643" s="191"/>
      <c r="B643" s="6"/>
      <c r="C643" s="192"/>
      <c r="D643" s="138"/>
      <c r="E643" s="245"/>
      <c r="F643" s="102"/>
      <c r="G643" s="102"/>
      <c r="H643" s="102"/>
      <c r="I643" s="102"/>
      <c r="J643" s="156"/>
      <c r="K643" s="243"/>
      <c r="L643" s="210"/>
      <c r="M643" s="144"/>
      <c r="N643" s="145"/>
      <c r="O643" s="145"/>
      <c r="P643" s="122"/>
      <c r="Q643" s="304" t="str">
        <f t="shared" si="19"/>
        <v/>
      </c>
      <c r="R643" s="242"/>
      <c r="S643" s="157"/>
      <c r="T643" s="5"/>
      <c r="U643" s="5"/>
      <c r="V643" s="158"/>
      <c r="W643" s="158"/>
      <c r="X643" s="158"/>
      <c r="Y643" s="158"/>
      <c r="Z643" s="158"/>
      <c r="AA643" s="158"/>
      <c r="AB643" s="158"/>
      <c r="AC643" s="158"/>
      <c r="AD643" s="158"/>
      <c r="AE643" s="158"/>
      <c r="AF643" s="158"/>
      <c r="AG643" s="158"/>
    </row>
    <row r="644" ht="15.75" customHeight="1">
      <c r="A644" s="90"/>
      <c r="B644" s="6"/>
      <c r="C644" s="90"/>
      <c r="D644" s="159" t="s">
        <v>99</v>
      </c>
      <c r="E644" s="246" t="s">
        <v>100</v>
      </c>
      <c r="F644" s="127">
        <v>3.0</v>
      </c>
      <c r="G644" s="221">
        <v>45577.0</v>
      </c>
      <c r="H644" s="195"/>
      <c r="I644" s="164"/>
      <c r="J644" s="228">
        <v>9.0</v>
      </c>
      <c r="K644" s="241"/>
      <c r="L644" s="164"/>
      <c r="M644" s="134" t="str">
        <f>I509</f>
        <v/>
      </c>
      <c r="N644" s="135" t="str">
        <f>iferror(mround($P509*((VLOOKUP($J644,Sheet1!$D:$N,$G644+1,FALSE)-0.03)),2.5)," ")</f>
        <v> </v>
      </c>
      <c r="O644" s="135" t="str">
        <f>iferror(mround($P509*((VLOOKUP($J644,Sheet1!$D:$N,$G644+1,FALSE)+0.02)),2.5)," ")</f>
        <v> </v>
      </c>
      <c r="P644" s="112" t="str">
        <f>iferror(mround(I644/VLOOKUP(L644,Sheet1!$D$7:$N$16,G644+1,FALSE),2.5),"")</f>
        <v/>
      </c>
      <c r="Q644" s="303" t="str">
        <f t="shared" si="19"/>
        <v/>
      </c>
      <c r="R644" s="242"/>
      <c r="S644" s="11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</row>
    <row r="645" ht="3.75" customHeight="1">
      <c r="A645" s="90"/>
      <c r="B645" s="6"/>
      <c r="C645" s="90"/>
      <c r="D645" s="138"/>
      <c r="E645" s="245"/>
      <c r="F645" s="102"/>
      <c r="G645" s="102"/>
      <c r="H645" s="102"/>
      <c r="I645" s="102"/>
      <c r="J645" s="156"/>
      <c r="K645" s="243"/>
      <c r="L645" s="210"/>
      <c r="M645" s="144"/>
      <c r="N645" s="145"/>
      <c r="O645" s="145"/>
      <c r="P645" s="122"/>
      <c r="Q645" s="304" t="str">
        <f t="shared" si="19"/>
        <v/>
      </c>
      <c r="R645" s="242"/>
      <c r="S645" s="11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</row>
    <row r="646" ht="15.75" hidden="1" customHeight="1">
      <c r="A646" s="90"/>
      <c r="B646" s="6"/>
      <c r="C646" s="90"/>
      <c r="D646" s="185"/>
      <c r="E646" s="227"/>
      <c r="F646" s="187"/>
      <c r="G646" s="229"/>
      <c r="H646" s="195"/>
      <c r="I646" s="247"/>
      <c r="J646" s="248"/>
      <c r="K646" s="241"/>
      <c r="L646" s="164"/>
      <c r="M646" s="134" t="str">
        <f>I511</f>
        <v/>
      </c>
      <c r="N646" s="135" t="str">
        <f>iferror(mround($P511*((VLOOKUP($J646,Sheet1!$D:$N,$G646+1,FALSE)-0.03)),2.5)," ")</f>
        <v> </v>
      </c>
      <c r="O646" s="135" t="str">
        <f>iferror(mround($P511*((VLOOKUP($J646,Sheet1!$D:$N,$G646+1,FALSE)+0.02)),2.5)," ")</f>
        <v> </v>
      </c>
      <c r="P646" s="112" t="str">
        <f>iferror(mround(I646/VLOOKUP(L646,Sheet1!$D$7:$N$16,G646+1,FALSE),2.5),"")</f>
        <v/>
      </c>
      <c r="Q646" s="303" t="str">
        <f t="shared" si="19"/>
        <v/>
      </c>
      <c r="R646" s="242"/>
      <c r="S646" s="11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</row>
    <row r="647" ht="3.75" hidden="1" customHeight="1">
      <c r="A647" s="90"/>
      <c r="B647" s="6"/>
      <c r="C647" s="90"/>
      <c r="D647" s="138"/>
      <c r="E647" s="215"/>
      <c r="F647" s="102"/>
      <c r="G647" s="102"/>
      <c r="H647" s="102"/>
      <c r="I647" s="102"/>
      <c r="J647" s="156"/>
      <c r="K647" s="243"/>
      <c r="L647" s="210"/>
      <c r="M647" s="144"/>
      <c r="N647" s="145"/>
      <c r="O647" s="145"/>
      <c r="P647" s="122"/>
      <c r="Q647" s="304" t="str">
        <f t="shared" si="19"/>
        <v/>
      </c>
      <c r="R647" s="242"/>
      <c r="S647" s="11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</row>
    <row r="648" ht="15.75" hidden="1" customHeight="1">
      <c r="A648" s="90"/>
      <c r="B648" s="6"/>
      <c r="C648" s="90"/>
      <c r="D648" s="185"/>
      <c r="E648" s="220"/>
      <c r="F648" s="187"/>
      <c r="G648" s="229"/>
      <c r="H648" s="195"/>
      <c r="I648" s="247"/>
      <c r="J648" s="248"/>
      <c r="K648" s="241"/>
      <c r="L648" s="164"/>
      <c r="M648" s="134" t="str">
        <f>I513</f>
        <v/>
      </c>
      <c r="N648" s="135" t="str">
        <f>iferror(mround($P513*((VLOOKUP($J648,Sheet1!$D:$N,$G648+1,FALSE)-0.03)),2.5)," ")</f>
        <v> </v>
      </c>
      <c r="O648" s="135" t="str">
        <f>iferror(mround($P513*((VLOOKUP($J648,Sheet1!$D:$N,$G648+1,FALSE)+0.02)),2.5)," ")</f>
        <v> </v>
      </c>
      <c r="P648" s="112" t="str">
        <f>iferror(mround(I648/VLOOKUP(L648,Sheet1!$D$7:$N$16,G648+1,FALSE),2.5),"")</f>
        <v/>
      </c>
      <c r="Q648" s="303" t="str">
        <f t="shared" si="19"/>
        <v/>
      </c>
      <c r="R648" s="242"/>
      <c r="S648" s="11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</row>
    <row r="649" ht="3.75" hidden="1" customHeight="1">
      <c r="A649" s="90"/>
      <c r="B649" s="6"/>
      <c r="C649" s="90"/>
      <c r="D649" s="196"/>
      <c r="E649" s="184"/>
      <c r="F649" s="102"/>
      <c r="G649" s="102"/>
      <c r="H649" s="102"/>
      <c r="I649" s="102"/>
      <c r="J649" s="156"/>
      <c r="K649" s="249"/>
      <c r="L649" s="210"/>
      <c r="M649" s="144"/>
      <c r="N649" s="145"/>
      <c r="O649" s="145"/>
      <c r="P649" s="122"/>
      <c r="Q649" s="304" t="str">
        <f t="shared" si="19"/>
        <v/>
      </c>
      <c r="R649" s="242"/>
      <c r="S649" s="11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</row>
    <row r="650" ht="15.75" hidden="1" customHeight="1">
      <c r="A650" s="90"/>
      <c r="B650" s="6"/>
      <c r="C650" s="90"/>
      <c r="D650" s="197"/>
      <c r="E650" s="250"/>
      <c r="F650" s="129"/>
      <c r="G650" s="199"/>
      <c r="H650" s="195"/>
      <c r="I650" s="247"/>
      <c r="J650" s="248"/>
      <c r="K650" s="251"/>
      <c r="L650" s="164"/>
      <c r="M650" s="134" t="str">
        <f>I515</f>
        <v/>
      </c>
      <c r="N650" s="135" t="str">
        <f>iferror(mround($P515*((VLOOKUP($J650,Sheet1!$D:$N,$G650+1,FALSE)-0.03)),2.5)," ")</f>
        <v> </v>
      </c>
      <c r="O650" s="135" t="str">
        <f>iferror(mround($P515*((VLOOKUP($J650,Sheet1!$D:$N,$G650+1,FALSE)+0.02)),2.5)," ")</f>
        <v> </v>
      </c>
      <c r="P650" s="112" t="str">
        <f>iferror(mround(I650/VLOOKUP(L650,Sheet1!$D$7:$N$16,G650+1,FALSE),2.5),"")</f>
        <v/>
      </c>
      <c r="Q650" s="303" t="str">
        <f t="shared" si="19"/>
        <v/>
      </c>
      <c r="R650" s="242"/>
      <c r="S650" s="11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</row>
    <row r="651" ht="3.75" hidden="1" customHeight="1">
      <c r="A651" s="90"/>
      <c r="B651" s="6"/>
      <c r="C651" s="90"/>
      <c r="D651" s="234"/>
      <c r="E651" s="184"/>
      <c r="F651" s="102"/>
      <c r="G651" s="102"/>
      <c r="H651" s="102"/>
      <c r="I651" s="102"/>
      <c r="J651" s="156"/>
      <c r="K651" s="249"/>
      <c r="L651" s="210"/>
      <c r="M651" s="144"/>
      <c r="N651" s="145"/>
      <c r="O651" s="145"/>
      <c r="P651" s="122"/>
      <c r="Q651" s="304" t="str">
        <f t="shared" si="19"/>
        <v/>
      </c>
      <c r="R651" s="242"/>
      <c r="S651" s="11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</row>
    <row r="652" ht="15.75" hidden="1" customHeight="1">
      <c r="A652" s="90"/>
      <c r="B652" s="6"/>
      <c r="C652" s="90"/>
      <c r="D652" s="197"/>
      <c r="E652" s="198"/>
      <c r="F652" s="129"/>
      <c r="G652" s="199"/>
      <c r="H652" s="195"/>
      <c r="I652" s="164"/>
      <c r="J652" s="248"/>
      <c r="K652" s="251"/>
      <c r="L652" s="164"/>
      <c r="M652" s="134" t="str">
        <f>I517</f>
        <v/>
      </c>
      <c r="N652" s="135" t="str">
        <f>iferror(mround($P517*((VLOOKUP($J652,Sheet1!$D:$N,$G652+1,FALSE)-0.03)),2.5)," ")</f>
        <v> </v>
      </c>
      <c r="O652" s="135" t="str">
        <f>iferror(mround($P517*((VLOOKUP($J652,Sheet1!$D:$N,$G652+1,FALSE)+0.02)),2.5)," ")</f>
        <v> </v>
      </c>
      <c r="P652" s="112" t="str">
        <f>iferror(mround(I652/VLOOKUP(L652,Sheet1!$D$7:$N$16,G652+1,FALSE),2.5),"")</f>
        <v/>
      </c>
      <c r="Q652" s="303" t="str">
        <f t="shared" si="19"/>
        <v/>
      </c>
      <c r="R652" s="242"/>
      <c r="S652" s="11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</row>
    <row r="653" ht="3.75" hidden="1" customHeight="1">
      <c r="A653" s="124"/>
      <c r="B653" s="6"/>
      <c r="C653" s="124"/>
      <c r="D653" s="252"/>
      <c r="E653" s="252"/>
      <c r="F653" s="102"/>
      <c r="G653" s="102"/>
      <c r="H653" s="102"/>
      <c r="I653" s="102"/>
      <c r="J653" s="156"/>
      <c r="K653" s="253"/>
      <c r="L653" s="201"/>
      <c r="M653" s="211"/>
      <c r="N653" s="47"/>
      <c r="O653" s="47"/>
      <c r="P653" s="122"/>
      <c r="Q653" s="304" t="str">
        <f t="shared" si="19"/>
        <v/>
      </c>
      <c r="R653" s="242"/>
      <c r="S653" s="11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</row>
    <row r="654" ht="30.75" hidden="1" customHeight="1">
      <c r="A654" s="90"/>
      <c r="B654" s="6"/>
      <c r="C654" s="90"/>
      <c r="D654" s="254" t="s">
        <v>57</v>
      </c>
      <c r="E654" s="255" t="s">
        <v>15</v>
      </c>
      <c r="F654" s="106" t="s">
        <v>16</v>
      </c>
      <c r="G654" s="106" t="s">
        <v>17</v>
      </c>
      <c r="H654" s="107"/>
      <c r="I654" s="106" t="s">
        <v>18</v>
      </c>
      <c r="J654" s="108" t="s">
        <v>19</v>
      </c>
      <c r="L654" s="109" t="s">
        <v>20</v>
      </c>
      <c r="M654" s="110" t="s">
        <v>21</v>
      </c>
      <c r="N654" s="111" t="s">
        <v>22</v>
      </c>
      <c r="P654" s="112"/>
      <c r="Q654" s="113" t="s">
        <v>23</v>
      </c>
      <c r="R654" s="256" t="s">
        <v>58</v>
      </c>
      <c r="S654" s="11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</row>
    <row r="655" ht="14.25" hidden="1" customHeight="1">
      <c r="A655" s="90"/>
      <c r="B655" s="6"/>
      <c r="C655" s="90"/>
      <c r="D655" s="257" t="s">
        <v>25</v>
      </c>
      <c r="E655" s="258" t="s">
        <v>26</v>
      </c>
      <c r="H655" s="107"/>
      <c r="N655" s="111" t="s">
        <v>27</v>
      </c>
      <c r="O655" s="111" t="s">
        <v>28</v>
      </c>
      <c r="P655" s="112" t="s">
        <v>29</v>
      </c>
      <c r="R655" s="118" t="s">
        <v>30</v>
      </c>
      <c r="S655" s="11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</row>
    <row r="656" ht="3.75" hidden="1" customHeight="1">
      <c r="A656" s="124"/>
      <c r="B656" s="6"/>
      <c r="C656" s="124"/>
      <c r="D656" s="252"/>
      <c r="E656" s="252"/>
      <c r="F656" s="102"/>
      <c r="G656" s="102"/>
      <c r="H656" s="102"/>
      <c r="I656" s="102"/>
      <c r="J656" s="156"/>
      <c r="K656" s="253"/>
      <c r="L656" s="201"/>
      <c r="M656" s="211"/>
      <c r="N656" s="47"/>
      <c r="O656" s="47"/>
      <c r="P656" s="122"/>
      <c r="Q656" s="304" t="str">
        <f t="shared" ref="Q656:Q679" si="20">IF(OR(ISBLANK(I656), ISBLANK(I521)), "", IF(I656 - I521 = 0, "", I656 - I521))</f>
        <v/>
      </c>
      <c r="R656" s="259"/>
      <c r="S656" s="11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</row>
    <row r="657" ht="14.25" hidden="1" customHeight="1">
      <c r="A657" s="124"/>
      <c r="B657" s="6"/>
      <c r="C657" s="124"/>
      <c r="D657" s="260"/>
      <c r="E657" s="126"/>
      <c r="F657" s="187"/>
      <c r="G657" s="229"/>
      <c r="H657" s="129"/>
      <c r="I657" s="164"/>
      <c r="J657" s="189"/>
      <c r="K657" s="251"/>
      <c r="L657" s="164"/>
      <c r="M657" s="134" t="str">
        <f>I524</f>
        <v/>
      </c>
      <c r="N657" s="135" t="str">
        <f>iferror(mround($P524*((VLOOKUP($J657,Sheet1!$D:$N,$G657+1,FALSE)-0.03)),2.5)," ")</f>
        <v> </v>
      </c>
      <c r="O657" s="135" t="str">
        <f>iferror(mround($P524*((VLOOKUP($J657,Sheet1!$D:$N,$G657+1,FALSE)+0.02)),2.5)," ")</f>
        <v> </v>
      </c>
      <c r="P657" s="56" t="str">
        <f>iferror(mround(I657/VLOOKUP(L657,Sheet1!$D$7:$N$16,G657+1,FALSE),2.5),"")</f>
        <v/>
      </c>
      <c r="Q657" s="303" t="str">
        <f t="shared" si="20"/>
        <v/>
      </c>
      <c r="S657" s="11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</row>
    <row r="658" ht="3.75" hidden="1" customHeight="1">
      <c r="A658" s="124"/>
      <c r="B658" s="6"/>
      <c r="C658" s="124"/>
      <c r="D658" s="138"/>
      <c r="E658" s="215"/>
      <c r="F658" s="102"/>
      <c r="G658" s="102"/>
      <c r="H658" s="102"/>
      <c r="I658" s="102"/>
      <c r="J658" s="156"/>
      <c r="K658" s="249"/>
      <c r="L658" s="210"/>
      <c r="M658" s="144"/>
      <c r="N658" s="145"/>
      <c r="O658" s="145"/>
      <c r="P658" s="122"/>
      <c r="Q658" s="304" t="str">
        <f t="shared" si="20"/>
        <v/>
      </c>
      <c r="S658" s="11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</row>
    <row r="659" ht="14.25" hidden="1" customHeight="1">
      <c r="A659" s="124"/>
      <c r="B659" s="6"/>
      <c r="C659" s="124"/>
      <c r="D659" s="185"/>
      <c r="E659" s="227"/>
      <c r="F659" s="187"/>
      <c r="G659" s="229"/>
      <c r="H659" s="195"/>
      <c r="I659" s="164"/>
      <c r="J659" s="248"/>
      <c r="K659" s="251"/>
      <c r="L659" s="164"/>
      <c r="M659" s="134" t="str">
        <f>I524</f>
        <v/>
      </c>
      <c r="N659" s="135" t="str">
        <f>iferror(mround($P524*((VLOOKUP($J659,Sheet1!$D:$N,$G659+1,FALSE)-0.03)),2.5)," ")</f>
        <v> </v>
      </c>
      <c r="O659" s="135" t="str">
        <f>iferror(mround($P524*((VLOOKUP($J659,Sheet1!$D:$N,$G659+1,FALSE)+0.02)),2.5)," ")</f>
        <v> </v>
      </c>
      <c r="P659" s="112" t="str">
        <f>iferror(mround(I659/VLOOKUP(L659,Sheet1!$D$7:$N$16,G659+1,FALSE),2.5),"")</f>
        <v/>
      </c>
      <c r="Q659" s="303" t="str">
        <f t="shared" si="20"/>
        <v/>
      </c>
      <c r="S659" s="11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</row>
    <row r="660" ht="3.75" hidden="1" customHeight="1">
      <c r="A660" s="124"/>
      <c r="B660" s="6"/>
      <c r="C660" s="124"/>
      <c r="D660" s="138"/>
      <c r="E660" s="245"/>
      <c r="F660" s="102"/>
      <c r="G660" s="102"/>
      <c r="H660" s="102"/>
      <c r="I660" s="102"/>
      <c r="J660" s="156"/>
      <c r="K660" s="249"/>
      <c r="L660" s="210"/>
      <c r="M660" s="144"/>
      <c r="N660" s="145"/>
      <c r="O660" s="145"/>
      <c r="P660" s="122"/>
      <c r="Q660" s="304" t="str">
        <f t="shared" si="20"/>
        <v/>
      </c>
      <c r="S660" s="11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</row>
    <row r="661" ht="14.25" hidden="1" customHeight="1">
      <c r="A661" s="124"/>
      <c r="B661" s="6"/>
      <c r="C661" s="124"/>
      <c r="D661" s="185"/>
      <c r="E661" s="227"/>
      <c r="F661" s="187"/>
      <c r="G661" s="229"/>
      <c r="H661" s="195"/>
      <c r="I661" s="164"/>
      <c r="J661" s="248"/>
      <c r="K661" s="251"/>
      <c r="L661" s="164"/>
      <c r="M661" s="134" t="str">
        <f>I526</f>
        <v/>
      </c>
      <c r="N661" s="135" t="str">
        <f>iferror(mround($P526*((VLOOKUP($J661,Sheet1!$D:$N,$G661+1,FALSE)-0.03)),2.5)," ")</f>
        <v> </v>
      </c>
      <c r="O661" s="135" t="str">
        <f>iferror(mround($P526*((VLOOKUP($J661,Sheet1!$D:$N,$G661+1,FALSE)+0.02)),2.5)," ")</f>
        <v> </v>
      </c>
      <c r="P661" s="112" t="str">
        <f>iferror(mround(I661/VLOOKUP(L661,Sheet1!$D$7:$N$16,G661+1,FALSE),2.5),"")</f>
        <v/>
      </c>
      <c r="Q661" s="303" t="str">
        <f t="shared" si="20"/>
        <v/>
      </c>
      <c r="S661" s="11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</row>
    <row r="662" ht="3.75" hidden="1" customHeight="1">
      <c r="A662" s="124"/>
      <c r="B662" s="6"/>
      <c r="C662" s="124"/>
      <c r="D662" s="138"/>
      <c r="E662" s="245"/>
      <c r="F662" s="102"/>
      <c r="G662" s="102"/>
      <c r="H662" s="102"/>
      <c r="I662" s="102"/>
      <c r="J662" s="156"/>
      <c r="K662" s="249"/>
      <c r="L662" s="210"/>
      <c r="M662" s="144"/>
      <c r="N662" s="145"/>
      <c r="O662" s="145"/>
      <c r="P662" s="122"/>
      <c r="Q662" s="304" t="str">
        <f t="shared" si="20"/>
        <v/>
      </c>
      <c r="S662" s="11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</row>
    <row r="663" ht="14.25" hidden="1" customHeight="1">
      <c r="A663" s="124"/>
      <c r="B663" s="6"/>
      <c r="C663" s="124"/>
      <c r="D663" s="185"/>
      <c r="E663" s="227"/>
      <c r="F663" s="187"/>
      <c r="G663" s="229"/>
      <c r="H663" s="195"/>
      <c r="I663" s="164"/>
      <c r="J663" s="248"/>
      <c r="K663" s="251"/>
      <c r="L663" s="164"/>
      <c r="M663" s="134"/>
      <c r="N663" s="135" t="str">
        <f>iferror(mround($P528*((VLOOKUP($J663,Sheet1!$D:$N,$G663+1,FALSE)-0.03)),2.5)," ")</f>
        <v> </v>
      </c>
      <c r="O663" s="135" t="str">
        <f>iferror(mround($P528*((VLOOKUP($J663,Sheet1!$D:$N,$G663+1,FALSE)+0.02)),2.5)," ")</f>
        <v> </v>
      </c>
      <c r="P663" s="112" t="str">
        <f>iferror(mround(I663/VLOOKUP(L663,Sheet1!$D$7:$N$16,G663+1,FALSE),2.5),"")</f>
        <v/>
      </c>
      <c r="Q663" s="303" t="str">
        <f t="shared" si="20"/>
        <v/>
      </c>
      <c r="S663" s="11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</row>
    <row r="664" ht="3.75" hidden="1" customHeight="1">
      <c r="A664" s="124"/>
      <c r="B664" s="6"/>
      <c r="C664" s="124"/>
      <c r="D664" s="138"/>
      <c r="E664" s="245"/>
      <c r="F664" s="102"/>
      <c r="G664" s="102"/>
      <c r="H664" s="102"/>
      <c r="I664" s="102"/>
      <c r="J664" s="156"/>
      <c r="K664" s="249"/>
      <c r="L664" s="210"/>
      <c r="M664" s="144"/>
      <c r="N664" s="145" t="str">
        <f>iferror(mround($P529*((VLOOKUP($J664,Sheet1!$D:$N,$G664+1,FALSE)-0.03)),2.5)," ")</f>
        <v> </v>
      </c>
      <c r="O664" s="145" t="str">
        <f>iferror(mround($P529*((VLOOKUP($J664,Sheet1!$D:$N,$G664+1,FALSE)+0.02)),2.5)," ")</f>
        <v> </v>
      </c>
      <c r="P664" s="122"/>
      <c r="Q664" s="304" t="str">
        <f t="shared" si="20"/>
        <v/>
      </c>
      <c r="S664" s="11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</row>
    <row r="665" ht="14.25" hidden="1" customHeight="1">
      <c r="A665" s="124"/>
      <c r="B665" s="6"/>
      <c r="C665" s="124"/>
      <c r="D665" s="185"/>
      <c r="E665" s="227"/>
      <c r="F665" s="187"/>
      <c r="G665" s="187"/>
      <c r="H665" s="195"/>
      <c r="I665" s="164"/>
      <c r="J665" s="248"/>
      <c r="K665" s="251"/>
      <c r="L665" s="164"/>
      <c r="M665" s="134" t="str">
        <f>I530</f>
        <v/>
      </c>
      <c r="N665" s="135" t="str">
        <f>iferror(mround($P530*((VLOOKUP($J665,Sheet1!$D:$N,$G665+1,FALSE)-0.03)),2.5)," ")</f>
        <v> </v>
      </c>
      <c r="O665" s="135" t="str">
        <f>iferror(mround($P530*((VLOOKUP($J665,Sheet1!$D:$N,$G665+1,FALSE)+0.02)),2.5)," ")</f>
        <v> </v>
      </c>
      <c r="P665" s="112" t="str">
        <f>iferror(mround(I665/VLOOKUP(L665,Sheet1!$D$7:$N$16,G665+1,FALSE),2.5),"")</f>
        <v/>
      </c>
      <c r="Q665" s="303" t="str">
        <f t="shared" si="20"/>
        <v/>
      </c>
      <c r="S665" s="11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</row>
    <row r="666" ht="3.75" hidden="1" customHeight="1">
      <c r="A666" s="261"/>
      <c r="B666" s="6"/>
      <c r="C666" s="262"/>
      <c r="D666" s="138"/>
      <c r="E666" s="245"/>
      <c r="F666" s="102"/>
      <c r="G666" s="102"/>
      <c r="H666" s="102"/>
      <c r="I666" s="102"/>
      <c r="J666" s="156"/>
      <c r="K666" s="249"/>
      <c r="L666" s="210"/>
      <c r="M666" s="144"/>
      <c r="N666" s="145"/>
      <c r="O666" s="145"/>
      <c r="P666" s="122"/>
      <c r="Q666" s="304" t="str">
        <f t="shared" si="20"/>
        <v/>
      </c>
      <c r="S666" s="157"/>
      <c r="T666" s="5"/>
      <c r="U666" s="5"/>
      <c r="V666" s="158"/>
      <c r="W666" s="158"/>
      <c r="X666" s="158"/>
      <c r="Y666" s="158"/>
      <c r="Z666" s="158"/>
      <c r="AA666" s="158"/>
      <c r="AB666" s="158"/>
      <c r="AC666" s="158"/>
      <c r="AD666" s="158"/>
      <c r="AE666" s="158"/>
      <c r="AF666" s="158"/>
      <c r="AG666" s="158"/>
    </row>
    <row r="667" ht="14.25" hidden="1" customHeight="1">
      <c r="A667" s="124"/>
      <c r="B667" s="6"/>
      <c r="C667" s="124"/>
      <c r="D667" s="185"/>
      <c r="E667" s="227"/>
      <c r="F667" s="187"/>
      <c r="G667" s="187"/>
      <c r="H667" s="195"/>
      <c r="I667" s="164"/>
      <c r="J667" s="248"/>
      <c r="K667" s="251"/>
      <c r="L667" s="164"/>
      <c r="M667" s="134" t="str">
        <f>I532</f>
        <v/>
      </c>
      <c r="N667" s="135" t="str">
        <f>iferror(mround($P532*((VLOOKUP($J667,Sheet1!$D:$N,$G667+1,FALSE)-0.03)),2.5)," ")</f>
        <v> </v>
      </c>
      <c r="O667" s="135" t="str">
        <f>iferror(mround($P532*((VLOOKUP($J667,Sheet1!$D:$N,$G667+1,FALSE)+0.02)),2.5)," ")</f>
        <v> </v>
      </c>
      <c r="P667" s="112" t="str">
        <f>iferror(mround(I667/VLOOKUP(L667,Sheet1!$D$7:$N$16,G667+1,FALSE),2.5),"")</f>
        <v/>
      </c>
      <c r="Q667" s="303" t="str">
        <f t="shared" si="20"/>
        <v/>
      </c>
      <c r="S667" s="11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</row>
    <row r="668" ht="3.75" hidden="1" customHeight="1">
      <c r="A668" s="261"/>
      <c r="B668" s="6"/>
      <c r="C668" s="262"/>
      <c r="D668" s="138"/>
      <c r="E668" s="252"/>
      <c r="F668" s="102"/>
      <c r="G668" s="102"/>
      <c r="H668" s="102"/>
      <c r="I668" s="102"/>
      <c r="J668" s="156"/>
      <c r="K668" s="249"/>
      <c r="L668" s="210"/>
      <c r="M668" s="144"/>
      <c r="N668" s="145"/>
      <c r="O668" s="145"/>
      <c r="P668" s="122"/>
      <c r="Q668" s="304" t="str">
        <f t="shared" si="20"/>
        <v/>
      </c>
      <c r="S668" s="157"/>
      <c r="T668" s="5"/>
      <c r="U668" s="5"/>
      <c r="V668" s="158"/>
      <c r="W668" s="158"/>
      <c r="X668" s="158"/>
      <c r="Y668" s="158"/>
      <c r="Z668" s="158"/>
      <c r="AA668" s="158"/>
      <c r="AB668" s="158"/>
      <c r="AC668" s="158"/>
      <c r="AD668" s="158"/>
      <c r="AE668" s="158"/>
      <c r="AF668" s="158"/>
      <c r="AG668" s="158"/>
    </row>
    <row r="669" ht="15.75" hidden="1" customHeight="1">
      <c r="A669" s="124"/>
      <c r="B669" s="6"/>
      <c r="C669" s="124"/>
      <c r="D669" s="185"/>
      <c r="E669" s="260"/>
      <c r="F669" s="187"/>
      <c r="G669" s="187"/>
      <c r="H669" s="195"/>
      <c r="I669" s="247"/>
      <c r="J669" s="248"/>
      <c r="K669" s="251"/>
      <c r="L669" s="164"/>
      <c r="M669" s="134"/>
      <c r="N669" s="135" t="str">
        <f>iferror(mround($P534*((VLOOKUP($J669,Sheet1!$D:$N,$G669+1,FALSE)-0.03)),2.5)," ")</f>
        <v> </v>
      </c>
      <c r="O669" s="135" t="str">
        <f>iferror(mround($P534*((VLOOKUP($J669,Sheet1!$D:$N,$G669+1,FALSE)+0.02)),2.5)," ")</f>
        <v> </v>
      </c>
      <c r="P669" s="112" t="str">
        <f>iferror(mround(I669/VLOOKUP(L669,Sheet1!$D$7:$N$16,G669+1,FALSE),2.5),"")</f>
        <v/>
      </c>
      <c r="Q669" s="303" t="str">
        <f t="shared" si="20"/>
        <v/>
      </c>
      <c r="S669" s="11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</row>
    <row r="670" ht="3.75" hidden="1" customHeight="1">
      <c r="A670" s="124"/>
      <c r="B670" s="6"/>
      <c r="C670" s="124"/>
      <c r="D670" s="263"/>
      <c r="E670" s="252"/>
      <c r="F670" s="102"/>
      <c r="G670" s="102"/>
      <c r="H670" s="102"/>
      <c r="I670" s="102"/>
      <c r="J670" s="156"/>
      <c r="K670" s="249"/>
      <c r="L670" s="210"/>
      <c r="M670" s="144"/>
      <c r="N670" s="145" t="str">
        <f>iferror(mround($P535*((VLOOKUP($J670,Sheet1!$D:$N,$G670+1,FALSE)-0.03)),2.5)," ")</f>
        <v> </v>
      </c>
      <c r="O670" s="145" t="str">
        <f>iferror(mround($P535*((VLOOKUP($J670,Sheet1!$D:$N,$G670+1,FALSE)+0.02)),2.5)," ")</f>
        <v> </v>
      </c>
      <c r="P670" s="122"/>
      <c r="Q670" s="304" t="str">
        <f t="shared" si="20"/>
        <v/>
      </c>
      <c r="S670" s="11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</row>
    <row r="671" ht="14.25" hidden="1" customHeight="1">
      <c r="A671" s="90"/>
      <c r="B671" s="6"/>
      <c r="C671" s="90"/>
      <c r="D671" s="185"/>
      <c r="E671" s="264"/>
      <c r="F671" s="187"/>
      <c r="G671" s="187"/>
      <c r="H671" s="195"/>
      <c r="I671" s="164"/>
      <c r="J671" s="248"/>
      <c r="K671" s="251"/>
      <c r="L671" s="164"/>
      <c r="M671" s="134" t="str">
        <f>I536</f>
        <v/>
      </c>
      <c r="N671" s="135" t="str">
        <f>iferror(mround($P536*((VLOOKUP($J671,Sheet1!$D:$N,$G671+1,FALSE)-0.03)),2.5)," ")</f>
        <v> </v>
      </c>
      <c r="O671" s="135" t="str">
        <f>iferror(mround($P536*((VLOOKUP($J671,Sheet1!$D:$N,$G671+1,FALSE)+0.02)),2.5)," ")</f>
        <v> </v>
      </c>
      <c r="P671" s="112" t="str">
        <f>iferror(mround(I671/VLOOKUP(L671,Sheet1!$D$7:$N$16,G671+1,FALSE),2.5),"")</f>
        <v/>
      </c>
      <c r="Q671" s="303" t="str">
        <f t="shared" si="20"/>
        <v/>
      </c>
      <c r="S671" s="11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</row>
    <row r="672" ht="3.75" hidden="1" customHeight="1">
      <c r="A672" s="261"/>
      <c r="B672" s="6"/>
      <c r="C672" s="262"/>
      <c r="D672" s="263"/>
      <c r="E672" s="263"/>
      <c r="F672" s="194"/>
      <c r="G672" s="194"/>
      <c r="H672" s="155"/>
      <c r="I672" s="210"/>
      <c r="J672" s="265"/>
      <c r="K672" s="249"/>
      <c r="L672" s="210"/>
      <c r="M672" s="144"/>
      <c r="N672" s="145"/>
      <c r="O672" s="145"/>
      <c r="P672" s="122"/>
      <c r="Q672" s="304" t="str">
        <f t="shared" si="20"/>
        <v/>
      </c>
      <c r="S672" s="157"/>
      <c r="T672" s="5"/>
      <c r="U672" s="5"/>
      <c r="V672" s="158"/>
      <c r="W672" s="158"/>
      <c r="X672" s="158"/>
      <c r="Y672" s="158"/>
      <c r="Z672" s="158"/>
      <c r="AA672" s="158"/>
      <c r="AB672" s="158"/>
      <c r="AC672" s="158"/>
      <c r="AD672" s="158"/>
      <c r="AE672" s="158"/>
      <c r="AF672" s="158"/>
      <c r="AG672" s="158"/>
    </row>
    <row r="673" ht="15.75" hidden="1" customHeight="1">
      <c r="A673" s="90"/>
      <c r="B673" s="6"/>
      <c r="C673" s="90"/>
      <c r="D673" s="185"/>
      <c r="E673" s="266"/>
      <c r="F673" s="187"/>
      <c r="G673" s="187"/>
      <c r="H673" s="195"/>
      <c r="I673" s="164"/>
      <c r="J673" s="248"/>
      <c r="K673" s="251"/>
      <c r="L673" s="164"/>
      <c r="M673" s="134"/>
      <c r="N673" s="135" t="str">
        <f>iferror(mround($P538*((VLOOKUP($J673,Sheet1!$D:$N,$G673+1,FALSE)-0.03)),2.5)," ")</f>
        <v> </v>
      </c>
      <c r="O673" s="135" t="str">
        <f>iferror(mround($P538*((VLOOKUP($J673,Sheet1!$D:$N,$G673+1,FALSE)+0.02)),2.5)," ")</f>
        <v> </v>
      </c>
      <c r="P673" s="112" t="str">
        <f>iferror(mround(I673/VLOOKUP(L673,Sheet1!$D$7:$N$16,G673+1,FALSE),2.5),"")</f>
        <v/>
      </c>
      <c r="Q673" s="303" t="str">
        <f t="shared" si="20"/>
        <v/>
      </c>
      <c r="S673" s="11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</row>
    <row r="674" ht="3.75" hidden="1" customHeight="1">
      <c r="A674" s="90"/>
      <c r="B674" s="6"/>
      <c r="C674" s="90"/>
      <c r="D674" s="138"/>
      <c r="E674" s="252"/>
      <c r="F674" s="102"/>
      <c r="G674" s="102"/>
      <c r="H674" s="102"/>
      <c r="I674" s="102"/>
      <c r="J674" s="156"/>
      <c r="K674" s="249"/>
      <c r="L674" s="210"/>
      <c r="M674" s="144"/>
      <c r="N674" s="145" t="str">
        <f>iferror(mround($P539*((VLOOKUP($J674,Sheet1!$D:$N,$G674+1,FALSE)-0.03)),2.5)," ")</f>
        <v> </v>
      </c>
      <c r="O674" s="145" t="str">
        <f>iferror(mround($P539*((VLOOKUP($J674,Sheet1!$D:$N,$G674+1,FALSE)+0.02)),2.5)," ")</f>
        <v> </v>
      </c>
      <c r="P674" s="122"/>
      <c r="Q674" s="304" t="str">
        <f t="shared" si="20"/>
        <v/>
      </c>
      <c r="S674" s="11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</row>
    <row r="675" ht="15.75" hidden="1" customHeight="1">
      <c r="A675" s="90"/>
      <c r="B675" s="6"/>
      <c r="C675" s="90"/>
      <c r="D675" s="185"/>
      <c r="E675" s="264"/>
      <c r="F675" s="187"/>
      <c r="G675" s="187"/>
      <c r="H675" s="195"/>
      <c r="I675" s="164"/>
      <c r="J675" s="248"/>
      <c r="K675" s="251"/>
      <c r="L675" s="164"/>
      <c r="M675" s="134" t="str">
        <f>I540</f>
        <v/>
      </c>
      <c r="N675" s="135" t="str">
        <f>iferror(mround($P540*((VLOOKUP($J675,Sheet1!$D:$N,$G675+1,FALSE)-0.03)),2.5)," ")</f>
        <v> </v>
      </c>
      <c r="O675" s="135" t="str">
        <f>iferror(mround($P540*((VLOOKUP($J675,Sheet1!$D:$N,$G675+1,FALSE)+0.02)),2.5)," ")</f>
        <v> </v>
      </c>
      <c r="P675" s="112" t="str">
        <f>iferror(mround(I675/VLOOKUP(L675,Sheet1!$D$7:$N$16,G675+1,FALSE),2.5),"")</f>
        <v/>
      </c>
      <c r="Q675" s="303" t="str">
        <f t="shared" si="20"/>
        <v/>
      </c>
      <c r="S675" s="11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</row>
    <row r="676" ht="3.75" hidden="1" customHeight="1">
      <c r="A676" s="191"/>
      <c r="B676" s="6"/>
      <c r="C676" s="192"/>
      <c r="D676" s="138"/>
      <c r="E676" s="252"/>
      <c r="F676" s="102"/>
      <c r="G676" s="102"/>
      <c r="H676" s="102"/>
      <c r="I676" s="102"/>
      <c r="J676" s="156"/>
      <c r="K676" s="249"/>
      <c r="L676" s="210"/>
      <c r="M676" s="144"/>
      <c r="N676" s="145"/>
      <c r="O676" s="145"/>
      <c r="P676" s="122"/>
      <c r="Q676" s="304" t="str">
        <f t="shared" si="20"/>
        <v/>
      </c>
      <c r="S676" s="157"/>
      <c r="T676" s="5"/>
      <c r="U676" s="5"/>
      <c r="V676" s="158"/>
      <c r="W676" s="158"/>
      <c r="X676" s="158"/>
      <c r="Y676" s="158"/>
      <c r="Z676" s="158"/>
      <c r="AA676" s="158"/>
      <c r="AB676" s="158"/>
      <c r="AC676" s="158"/>
      <c r="AD676" s="158"/>
      <c r="AE676" s="158"/>
      <c r="AF676" s="158"/>
      <c r="AG676" s="158"/>
    </row>
    <row r="677" ht="15.75" hidden="1" customHeight="1">
      <c r="A677" s="90"/>
      <c r="B677" s="6"/>
      <c r="C677" s="90"/>
      <c r="D677" s="185"/>
      <c r="E677" s="260"/>
      <c r="F677" s="187"/>
      <c r="G677" s="187"/>
      <c r="H677" s="195"/>
      <c r="I677" s="164"/>
      <c r="J677" s="248"/>
      <c r="K677" s="251"/>
      <c r="L677" s="164"/>
      <c r="M677" s="134" t="str">
        <f>I542</f>
        <v/>
      </c>
      <c r="N677" s="135" t="str">
        <f>iferror(mround($P542*((VLOOKUP($J677,Sheet1!$D:$N,$G677+1,FALSE)-0.03)),2.5)," ")</f>
        <v> </v>
      </c>
      <c r="O677" s="135" t="str">
        <f>iferror(mround($P542*((VLOOKUP($J677,Sheet1!$D:$N,$G677+1,FALSE)+0.02)),2.5)," ")</f>
        <v> </v>
      </c>
      <c r="P677" s="112" t="str">
        <f>iferror(mround(I677/VLOOKUP(L677,Sheet1!$D$7:$N$16,G677+1,FALSE),2.5),"")</f>
        <v/>
      </c>
      <c r="Q677" s="303" t="str">
        <f t="shared" si="20"/>
        <v/>
      </c>
      <c r="S677" s="11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</row>
    <row r="678" ht="3.75" hidden="1" customHeight="1">
      <c r="A678" s="90"/>
      <c r="B678" s="6"/>
      <c r="C678" s="90"/>
      <c r="D678" s="263"/>
      <c r="E678" s="252"/>
      <c r="F678" s="102"/>
      <c r="G678" s="102"/>
      <c r="H678" s="102"/>
      <c r="I678" s="102"/>
      <c r="J678" s="156"/>
      <c r="K678" s="249"/>
      <c r="L678" s="210"/>
      <c r="M678" s="144"/>
      <c r="N678" s="145"/>
      <c r="O678" s="145"/>
      <c r="P678" s="122"/>
      <c r="Q678" s="304" t="str">
        <f t="shared" si="20"/>
        <v/>
      </c>
      <c r="S678" s="11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</row>
    <row r="679" ht="15.75" hidden="1" customHeight="1">
      <c r="A679" s="90"/>
      <c r="B679" s="6"/>
      <c r="C679" s="90"/>
      <c r="D679" s="185"/>
      <c r="E679" s="266"/>
      <c r="F679" s="187"/>
      <c r="G679" s="187"/>
      <c r="H679" s="195"/>
      <c r="I679" s="164"/>
      <c r="J679" s="248"/>
      <c r="K679" s="251"/>
      <c r="L679" s="164"/>
      <c r="M679" s="134" t="str">
        <f>I544</f>
        <v/>
      </c>
      <c r="N679" s="135" t="str">
        <f>iferror(mround($P544*((VLOOKUP($J679,Sheet1!$D:$N,$G679+1,FALSE)-0.03)),2.5)," ")</f>
        <v> </v>
      </c>
      <c r="O679" s="135" t="str">
        <f>iferror(mround($P544*((VLOOKUP($J679,Sheet1!$D:$N,$G679+1,FALSE)+0.02)),2.5)," ")</f>
        <v> </v>
      </c>
      <c r="P679" s="112" t="str">
        <f>iferror(mround(I679/VLOOKUP(L679,Sheet1!$D$7:$N$16,G679+1,FALSE),2.5),"")</f>
        <v/>
      </c>
      <c r="Q679" s="303" t="str">
        <f t="shared" si="20"/>
        <v/>
      </c>
      <c r="S679" s="11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</row>
    <row r="680" ht="3.75" hidden="1" customHeight="1">
      <c r="A680" s="191"/>
      <c r="B680" s="6"/>
      <c r="C680" s="192"/>
      <c r="D680" s="192"/>
      <c r="E680" s="267"/>
      <c r="F680" s="194"/>
      <c r="G680" s="194"/>
      <c r="H680" s="155"/>
      <c r="I680" s="210"/>
      <c r="J680" s="268"/>
      <c r="K680" s="249"/>
      <c r="L680" s="269"/>
      <c r="M680" s="270"/>
      <c r="N680" s="269"/>
      <c r="O680" s="269"/>
      <c r="P680" s="271"/>
      <c r="Q680" s="272"/>
      <c r="R680" s="273"/>
      <c r="S680" s="157"/>
      <c r="T680" s="5"/>
      <c r="U680" s="5"/>
      <c r="V680" s="158"/>
      <c r="W680" s="158"/>
      <c r="X680" s="158"/>
      <c r="Y680" s="158"/>
      <c r="Z680" s="158"/>
      <c r="AA680" s="158"/>
      <c r="AB680" s="158"/>
      <c r="AC680" s="158"/>
      <c r="AD680" s="158"/>
      <c r="AE680" s="158"/>
      <c r="AF680" s="158"/>
      <c r="AG680" s="158"/>
    </row>
    <row r="681" ht="14.25" customHeight="1">
      <c r="A681" s="5"/>
      <c r="B681" s="6"/>
      <c r="C681" s="5"/>
      <c r="D681" s="274"/>
      <c r="E681" s="266"/>
      <c r="F681" s="187"/>
      <c r="G681" s="187"/>
      <c r="H681" s="195"/>
      <c r="I681" s="129"/>
      <c r="J681" s="275"/>
      <c r="K681" s="276"/>
      <c r="L681" s="187"/>
      <c r="M681" s="187"/>
      <c r="N681" s="187"/>
      <c r="O681" s="187"/>
      <c r="P681" s="277"/>
      <c r="Q681" s="278"/>
      <c r="R681" s="279"/>
      <c r="S681" s="11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</row>
    <row r="682" ht="14.25" customHeight="1">
      <c r="A682" s="5"/>
      <c r="B682" s="6"/>
      <c r="C682" s="5"/>
      <c r="D682" s="274" t="s">
        <v>59</v>
      </c>
      <c r="E682" s="266" t="s">
        <v>16</v>
      </c>
      <c r="F682" s="187" t="s">
        <v>17</v>
      </c>
      <c r="G682" s="187" t="s">
        <v>60</v>
      </c>
      <c r="H682" s="187"/>
      <c r="I682" s="280" t="s">
        <v>61</v>
      </c>
      <c r="J682" s="266" t="s">
        <v>62</v>
      </c>
      <c r="K682" s="274"/>
      <c r="L682" s="187"/>
      <c r="M682" s="285"/>
      <c r="N682" s="285"/>
      <c r="O682" s="285"/>
      <c r="P682" s="282"/>
      <c r="Q682" s="278"/>
      <c r="R682" s="157"/>
      <c r="S682" s="11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</row>
    <row r="683" ht="14.25" customHeight="1">
      <c r="A683" s="5"/>
      <c r="B683" s="6"/>
      <c r="C683" s="5"/>
      <c r="D683" s="274" t="s">
        <v>6</v>
      </c>
      <c r="E683" s="283">
        <f>IFERROR(__xludf.DUMMYFUNCTION("SUM(FILTER(F558:F682, ISNUMBER(SEARCH(""squat"", D558:D682))))"),6.0)</f>
        <v>6</v>
      </c>
      <c r="F683" s="284">
        <f>IFERROR(__xludf.DUMMYFUNCTION("SUMPRODUCT(FILTER(F558:F682 * G558:G682, ISNUMBER(SEARCH(""squat"", D558:D682))))"),30.0)</f>
        <v>30</v>
      </c>
      <c r="G683" s="135">
        <f>IFERROR(__xludf.DUMMYFUNCTION("ROUND(SUMPRODUCT(FILTER(F558:F682 * G558:G682 * I558:I682, ISNUMBER(SEARCH(""squat"", D558:D682)))), 0)"),0.0)</f>
        <v>0</v>
      </c>
      <c r="H683" s="285"/>
      <c r="I683" s="135" t="str">
        <f>IFERROR(__xludf.DUMMYFUNCTION("ROUND(AVERAGE(FILTER(I558:I682, ISNUMBER(SEARCH(""squat"", D558:D682)), I558:I682 &lt;&gt; """")) / J683 * 100, 0)"),"#VALUE!")</f>
        <v>#VALUE!</v>
      </c>
      <c r="J683" s="283" t="str">
        <f>IFERROR(__xludf.DUMMYFUNCTION("IFERROR(MROUND(AVERAGE(FILTER(P558:P682, D558:D682 = ""comp squat"", P558:P682 &lt;&gt; """", P558:P682 &gt;= 0.9 * MAX(FILTER(P558:P682, D558:D682 = ""comp squat"", P558:P682 &lt;&gt; """")), P558:P682 &lt;= 1.1 * MAX(FILTER(P558:P682, D558:D682 = ""comp squat"", P558:P68"&amp;"2 &lt;&gt; """")))), 2.5), ""No valid data"")"),"No valid data")</f>
        <v>No valid data</v>
      </c>
      <c r="K683" s="286"/>
      <c r="L683" s="287" t="str">
        <f>MROUND(J683/2.2046,2.5)-$O$10</f>
        <v>#VALUE!</v>
      </c>
      <c r="M683" s="305"/>
      <c r="N683" s="334">
        <f>ROUND(ABS((F683 - F548) / F548) * 100, 0)</f>
        <v>29</v>
      </c>
      <c r="O683" s="335" t="s">
        <v>114</v>
      </c>
      <c r="P683" s="282"/>
      <c r="Q683" s="278"/>
      <c r="R683" s="291"/>
      <c r="S683" s="11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</row>
    <row r="684" ht="3.0" customHeight="1">
      <c r="A684" s="5"/>
      <c r="B684" s="6"/>
      <c r="C684" s="5"/>
      <c r="D684" s="90"/>
      <c r="E684" s="156"/>
      <c r="F684" s="102"/>
      <c r="G684" s="145"/>
      <c r="H684" s="102"/>
      <c r="I684" s="145"/>
      <c r="J684" s="156"/>
      <c r="K684" s="286"/>
      <c r="L684" s="292"/>
      <c r="M684" s="284"/>
      <c r="N684" s="336"/>
      <c r="O684" s="336"/>
      <c r="P684" s="282"/>
      <c r="Q684" s="278"/>
      <c r="R684" s="115"/>
      <c r="S684" s="11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</row>
    <row r="685" ht="15.75" customHeight="1">
      <c r="A685" s="5"/>
      <c r="B685" s="6"/>
      <c r="C685" s="5"/>
      <c r="D685" s="274" t="s">
        <v>66</v>
      </c>
      <c r="E685" s="293">
        <f>IFERROR(__xludf.DUMMYFUNCTION("SUM(FILTER(F558:F682, ISNUMBER(SEARCH(""bench press"", D558:D682))))"),15.0)</f>
        <v>15</v>
      </c>
      <c r="F685" s="284">
        <f>IFERROR(__xludf.DUMMYFUNCTION("SUMPRODUCT(FILTER(F559:F683 * G559:G683, ISNUMBER(SEARCH(""bench press"", D559:D683))))"),49.0)</f>
        <v>49</v>
      </c>
      <c r="G685" s="135">
        <f>IFERROR(__xludf.DUMMYFUNCTION("ROUND(SUMPRODUCT(FILTER(F558:F682 * G558:G682 * I558:I682, ISNUMBER(SEARCH(""bench press"", D558:D682)))), 0)"),0.0)</f>
        <v>0</v>
      </c>
      <c r="H685" s="285"/>
      <c r="I685" s="135" t="str">
        <f>IFERROR(__xludf.DUMMYFUNCTION("ROUND(AVERAGE(FILTER(I558:I682, ISNUMBER(SEARCH(""bench press"", D558:D682)), I558:I682 &lt;&gt; """")) / J685 * 100, 0)"),"#VALUE!")</f>
        <v>#VALUE!</v>
      </c>
      <c r="J685" s="293" t="str">
        <f>IFERROR(__xludf.DUMMYFUNCTION("IFERROR(MROUND(AVERAGE(FILTER(P558:P682, D558:D682 = ""comp bench press"", P558:P682 &lt;&gt; """", P558:P682 &gt;= 0.9 * MAX(FILTER(P558:P682, D558:D682 = ""comp bench press"", P558:P682 &lt;&gt; """")), P558:P682 &lt;= 1.1 * MAX(FILTER(P558:P682, D558:D682 = ""comp bench"&amp;" press"", P558:P682 &lt;&gt; """")))), 2.5), ""No valid data"")"),"No valid data")</f>
        <v>No valid data</v>
      </c>
      <c r="K685" s="286"/>
      <c r="L685" s="294" t="str">
        <f>MROUND(J685/2.2046,2.5)-$O$11</f>
        <v>#VALUE!</v>
      </c>
      <c r="M685" s="285"/>
      <c r="N685" s="337">
        <f>ROUND(ABS((F685 - F550) / F550) * 100, 0)</f>
        <v>28</v>
      </c>
      <c r="O685" s="335" t="s">
        <v>114</v>
      </c>
      <c r="P685" s="282"/>
      <c r="Q685" s="278"/>
      <c r="R685" s="157"/>
      <c r="S685" s="11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</row>
    <row r="686" ht="3.0" customHeight="1">
      <c r="A686" s="5"/>
      <c r="B686" s="6"/>
      <c r="C686" s="5"/>
      <c r="D686" s="90"/>
      <c r="E686" s="156"/>
      <c r="F686" s="102"/>
      <c r="G686" s="145"/>
      <c r="H686" s="102"/>
      <c r="I686" s="145"/>
      <c r="J686" s="156"/>
      <c r="K686" s="286"/>
      <c r="L686" s="292"/>
      <c r="M686" s="285"/>
      <c r="N686" s="338"/>
      <c r="O686" s="336"/>
      <c r="P686" s="282"/>
      <c r="Q686" s="278"/>
      <c r="R686" s="157"/>
      <c r="S686" s="11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</row>
    <row r="687" ht="14.25" customHeight="1">
      <c r="A687" s="5"/>
      <c r="B687" s="6"/>
      <c r="C687" s="5"/>
      <c r="D687" s="274" t="s">
        <v>10</v>
      </c>
      <c r="E687" s="293">
        <f>IFERROR(__xludf.DUMMYFUNCTION("SUM(FILTER(F558:F682, ISNUMBER(SEARCH(""deadlift"", D558:D682))))"),5.0)</f>
        <v>5</v>
      </c>
      <c r="F687" s="284">
        <f>IFERROR(__xludf.DUMMYFUNCTION("SUMPRODUCT(FILTER(F558:F682 * G558:G682, ISNUMBER(SEARCH(""deadlift"", D558:D682))))"),18.0)</f>
        <v>18</v>
      </c>
      <c r="G687" s="135">
        <f>IFERROR(__xludf.DUMMYFUNCTION("ROUND(SUMPRODUCT(FILTER(F558:F682 * G558:G682 * I558:I682, ISNUMBER(SEARCH(""deadlift"", D558:D682)))), 0)"),0.0)</f>
        <v>0</v>
      </c>
      <c r="H687" s="285"/>
      <c r="I687" s="135" t="str">
        <f>IFERROR(__xludf.DUMMYFUNCTION("ROUND(AVERAGE(FILTER(I558:I682, ISNUMBER(SEARCH(""deadlift"", D558:D682)), I558:I682 &lt;&gt; """")) / J687 * 100, 0)"),"#VALUE!")</f>
        <v>#VALUE!</v>
      </c>
      <c r="J687" s="293" t="str">
        <f>IFERROR(__xludf.DUMMYFUNCTION("IFERROR(MROUND(AVERAGE(FILTER(P558:P682, D558:D682 = ""comp deadlift"", P558:P682 &lt;&gt; """", P558:P682 &gt;= 0.9 * MAX(FILTER(P558:P682, D558:D682 = ""comp deadlift"", P558:P682 &lt;&gt; """")), P558:P682 &lt;= 1.1 * MAX(FILTER(P558:P682, D558:D682 = ""comp deadlift"","&amp;" P558:P682 &lt;&gt; """")))), 2.5), ""No valid data"")"),"No valid data")</f>
        <v>No valid data</v>
      </c>
      <c r="K687" s="286"/>
      <c r="L687" s="294" t="str">
        <f>MROUND(J687/2.2046,2.5)-$O$12</f>
        <v>#VALUE!</v>
      </c>
      <c r="M687" s="285"/>
      <c r="N687" s="337">
        <f>ROUND(ABS((F687 - F552) / F552) * 100, 0)</f>
        <v>28</v>
      </c>
      <c r="O687" s="339" t="s">
        <v>114</v>
      </c>
      <c r="P687" s="282"/>
      <c r="Q687" s="278"/>
      <c r="R687" s="157"/>
      <c r="S687" s="11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</row>
    <row r="688" ht="14.25" customHeight="1">
      <c r="A688" s="5"/>
      <c r="B688" s="6"/>
      <c r="C688" s="5"/>
      <c r="D688" s="274"/>
      <c r="E688" s="266"/>
      <c r="F688" s="187"/>
      <c r="G688" s="187"/>
      <c r="H688" s="187"/>
      <c r="I688" s="187"/>
      <c r="J688" s="295"/>
      <c r="K688" s="274"/>
      <c r="L688" s="187"/>
      <c r="M688" s="285"/>
      <c r="N688" s="285"/>
      <c r="O688" s="285"/>
      <c r="P688" s="282"/>
      <c r="Q688" s="278"/>
      <c r="R688" s="157"/>
      <c r="S688" s="11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</row>
    <row r="689" ht="14.25" customHeight="1">
      <c r="A689" s="5"/>
      <c r="B689" s="2"/>
      <c r="C689" s="5"/>
      <c r="D689" s="5"/>
      <c r="E689" s="75"/>
      <c r="F689" s="3"/>
      <c r="G689" s="3"/>
      <c r="H689" s="3"/>
      <c r="I689" s="3"/>
      <c r="J689" s="75"/>
      <c r="K689" s="5"/>
      <c r="L689" s="3"/>
      <c r="M689" s="47"/>
      <c r="N689" s="3"/>
      <c r="O689" s="3"/>
      <c r="P689" s="3"/>
      <c r="Q689" s="4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</row>
    <row r="690" ht="14.25" customHeight="1">
      <c r="A690" s="5"/>
      <c r="B690" s="2"/>
      <c r="C690" s="5"/>
      <c r="D690" s="5"/>
      <c r="E690" s="75"/>
      <c r="F690" s="3"/>
      <c r="G690" s="3"/>
      <c r="H690" s="3"/>
      <c r="I690" s="3"/>
      <c r="J690" s="75"/>
      <c r="K690" s="5"/>
      <c r="L690" s="3"/>
      <c r="M690" s="47"/>
      <c r="N690" s="3"/>
      <c r="O690" s="3"/>
      <c r="P690" s="3"/>
      <c r="Q690" s="4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</row>
  </sheetData>
  <mergeCells count="245">
    <mergeCell ref="G496:G497"/>
    <mergeCell ref="I496:I497"/>
    <mergeCell ref="J496:K497"/>
    <mergeCell ref="L496:L497"/>
    <mergeCell ref="M496:M497"/>
    <mergeCell ref="N496:O496"/>
    <mergeCell ref="Q496:Q497"/>
    <mergeCell ref="F496:F497"/>
    <mergeCell ref="F519:F520"/>
    <mergeCell ref="G519:G520"/>
    <mergeCell ref="I519:I520"/>
    <mergeCell ref="J519:K520"/>
    <mergeCell ref="L519:L520"/>
    <mergeCell ref="M519:M520"/>
    <mergeCell ref="L583:L584"/>
    <mergeCell ref="M583:M584"/>
    <mergeCell ref="L558:L559"/>
    <mergeCell ref="M558:M559"/>
    <mergeCell ref="N558:O558"/>
    <mergeCell ref="Q558:Q559"/>
    <mergeCell ref="R560:R582"/>
    <mergeCell ref="F583:F584"/>
    <mergeCell ref="G583:G584"/>
    <mergeCell ref="I583:I584"/>
    <mergeCell ref="J583:K584"/>
    <mergeCell ref="G608:G609"/>
    <mergeCell ref="I608:I609"/>
    <mergeCell ref="J608:K609"/>
    <mergeCell ref="L608:L609"/>
    <mergeCell ref="M608:M609"/>
    <mergeCell ref="R610:R630"/>
    <mergeCell ref="R633:R653"/>
    <mergeCell ref="R656:R679"/>
    <mergeCell ref="N583:O583"/>
    <mergeCell ref="Q583:Q584"/>
    <mergeCell ref="R585:R607"/>
    <mergeCell ref="N608:O608"/>
    <mergeCell ref="Q608:Q609"/>
    <mergeCell ref="N631:O631"/>
    <mergeCell ref="Q631:Q632"/>
    <mergeCell ref="F654:F655"/>
    <mergeCell ref="G654:G655"/>
    <mergeCell ref="I654:I655"/>
    <mergeCell ref="J654:K655"/>
    <mergeCell ref="L654:L655"/>
    <mergeCell ref="M654:M655"/>
    <mergeCell ref="N654:O654"/>
    <mergeCell ref="Q654:Q655"/>
    <mergeCell ref="F608:F609"/>
    <mergeCell ref="F631:F632"/>
    <mergeCell ref="G631:G632"/>
    <mergeCell ref="I631:I632"/>
    <mergeCell ref="J631:K632"/>
    <mergeCell ref="L631:L632"/>
    <mergeCell ref="M631:M632"/>
    <mergeCell ref="J423:K424"/>
    <mergeCell ref="L423:L424"/>
    <mergeCell ref="M423:M424"/>
    <mergeCell ref="N423:O423"/>
    <mergeCell ref="Q423:Q424"/>
    <mergeCell ref="F384:F385"/>
    <mergeCell ref="E420:F420"/>
    <mergeCell ref="J420:L420"/>
    <mergeCell ref="E421:F421"/>
    <mergeCell ref="F423:F424"/>
    <mergeCell ref="G423:G424"/>
    <mergeCell ref="I423:I424"/>
    <mergeCell ref="G448:G449"/>
    <mergeCell ref="I448:I449"/>
    <mergeCell ref="J448:K449"/>
    <mergeCell ref="L448:L449"/>
    <mergeCell ref="M448:M449"/>
    <mergeCell ref="N448:O448"/>
    <mergeCell ref="Q448:Q449"/>
    <mergeCell ref="N473:O473"/>
    <mergeCell ref="Q473:Q474"/>
    <mergeCell ref="F448:F449"/>
    <mergeCell ref="F473:F474"/>
    <mergeCell ref="G473:G474"/>
    <mergeCell ref="I473:I474"/>
    <mergeCell ref="J473:K474"/>
    <mergeCell ref="L473:L474"/>
    <mergeCell ref="M473:M474"/>
    <mergeCell ref="N519:O519"/>
    <mergeCell ref="Q519:Q520"/>
    <mergeCell ref="E555:F555"/>
    <mergeCell ref="J555:L555"/>
    <mergeCell ref="E556:F556"/>
    <mergeCell ref="F558:F559"/>
    <mergeCell ref="G558:G559"/>
    <mergeCell ref="I558:I559"/>
    <mergeCell ref="J558:K559"/>
    <mergeCell ref="F43:F44"/>
    <mergeCell ref="F68:F69"/>
    <mergeCell ref="G68:G69"/>
    <mergeCell ref="I68:I69"/>
    <mergeCell ref="J68:K69"/>
    <mergeCell ref="L68:L69"/>
    <mergeCell ref="F91:F92"/>
    <mergeCell ref="G91:G92"/>
    <mergeCell ref="I91:I92"/>
    <mergeCell ref="F114:F115"/>
    <mergeCell ref="G114:G115"/>
    <mergeCell ref="I114:I115"/>
    <mergeCell ref="J114:K115"/>
    <mergeCell ref="L114:L115"/>
    <mergeCell ref="I153:I154"/>
    <mergeCell ref="J153:K154"/>
    <mergeCell ref="N153:O153"/>
    <mergeCell ref="Q153:Q154"/>
    <mergeCell ref="M114:M115"/>
    <mergeCell ref="N114:O114"/>
    <mergeCell ref="Q114:Q115"/>
    <mergeCell ref="E150:F150"/>
    <mergeCell ref="J150:L150"/>
    <mergeCell ref="F153:F154"/>
    <mergeCell ref="G153:G154"/>
    <mergeCell ref="M178:M179"/>
    <mergeCell ref="N178:O178"/>
    <mergeCell ref="Q178:Q179"/>
    <mergeCell ref="L153:L154"/>
    <mergeCell ref="M153:M154"/>
    <mergeCell ref="F178:F179"/>
    <mergeCell ref="G178:G179"/>
    <mergeCell ref="I178:I179"/>
    <mergeCell ref="J178:K179"/>
    <mergeCell ref="L178:L179"/>
    <mergeCell ref="G203:G204"/>
    <mergeCell ref="I203:I204"/>
    <mergeCell ref="J203:K204"/>
    <mergeCell ref="L203:L204"/>
    <mergeCell ref="M203:M204"/>
    <mergeCell ref="N203:O203"/>
    <mergeCell ref="Q203:Q204"/>
    <mergeCell ref="F203:F204"/>
    <mergeCell ref="F226:F227"/>
    <mergeCell ref="G226:G227"/>
    <mergeCell ref="I226:I227"/>
    <mergeCell ref="J226:K227"/>
    <mergeCell ref="L226:L227"/>
    <mergeCell ref="M226:M227"/>
    <mergeCell ref="R45:R67"/>
    <mergeCell ref="R70:R90"/>
    <mergeCell ref="R93:R113"/>
    <mergeCell ref="R116:R139"/>
    <mergeCell ref="R155:R177"/>
    <mergeCell ref="R180:R202"/>
    <mergeCell ref="R205:R225"/>
    <mergeCell ref="R425:R447"/>
    <mergeCell ref="R450:R472"/>
    <mergeCell ref="R475:R495"/>
    <mergeCell ref="R498:R518"/>
    <mergeCell ref="R521:R544"/>
    <mergeCell ref="R228:R248"/>
    <mergeCell ref="R251:R274"/>
    <mergeCell ref="R290:R312"/>
    <mergeCell ref="R315:R337"/>
    <mergeCell ref="R340:R360"/>
    <mergeCell ref="R363:R383"/>
    <mergeCell ref="R386:R409"/>
    <mergeCell ref="E8:F8"/>
    <mergeCell ref="I8:K8"/>
    <mergeCell ref="N8:O8"/>
    <mergeCell ref="I10:J10"/>
    <mergeCell ref="R10:R11"/>
    <mergeCell ref="I11:L11"/>
    <mergeCell ref="J15:L15"/>
    <mergeCell ref="E15:F15"/>
    <mergeCell ref="E16:F16"/>
    <mergeCell ref="F18:F19"/>
    <mergeCell ref="G18:G19"/>
    <mergeCell ref="I18:I19"/>
    <mergeCell ref="J18:K19"/>
    <mergeCell ref="L18:L19"/>
    <mergeCell ref="G43:G44"/>
    <mergeCell ref="I43:I44"/>
    <mergeCell ref="J43:K44"/>
    <mergeCell ref="L43:L44"/>
    <mergeCell ref="M43:M44"/>
    <mergeCell ref="N43:O43"/>
    <mergeCell ref="Q43:Q44"/>
    <mergeCell ref="M18:M19"/>
    <mergeCell ref="N18:O18"/>
    <mergeCell ref="Q18:Q19"/>
    <mergeCell ref="R20:R42"/>
    <mergeCell ref="M68:M69"/>
    <mergeCell ref="N68:O68"/>
    <mergeCell ref="Q68:Q69"/>
    <mergeCell ref="J91:K92"/>
    <mergeCell ref="L91:L92"/>
    <mergeCell ref="M91:M92"/>
    <mergeCell ref="N91:O91"/>
    <mergeCell ref="Q91:Q92"/>
    <mergeCell ref="N226:O226"/>
    <mergeCell ref="Q226:Q227"/>
    <mergeCell ref="F249:F250"/>
    <mergeCell ref="G249:G250"/>
    <mergeCell ref="I249:I250"/>
    <mergeCell ref="J249:K250"/>
    <mergeCell ref="L249:L250"/>
    <mergeCell ref="Q249:Q250"/>
    <mergeCell ref="L288:L289"/>
    <mergeCell ref="M288:M289"/>
    <mergeCell ref="Q288:Q289"/>
    <mergeCell ref="M249:M250"/>
    <mergeCell ref="N249:O249"/>
    <mergeCell ref="E285:F285"/>
    <mergeCell ref="J285:L285"/>
    <mergeCell ref="E286:F286"/>
    <mergeCell ref="F288:F289"/>
    <mergeCell ref="G288:G289"/>
    <mergeCell ref="N288:O288"/>
    <mergeCell ref="M313:M314"/>
    <mergeCell ref="N313:O313"/>
    <mergeCell ref="Q313:Q314"/>
    <mergeCell ref="I288:I289"/>
    <mergeCell ref="J288:K289"/>
    <mergeCell ref="F313:F314"/>
    <mergeCell ref="G313:G314"/>
    <mergeCell ref="I313:I314"/>
    <mergeCell ref="J313:K314"/>
    <mergeCell ref="L313:L314"/>
    <mergeCell ref="G338:G339"/>
    <mergeCell ref="I338:I339"/>
    <mergeCell ref="J338:K339"/>
    <mergeCell ref="L338:L339"/>
    <mergeCell ref="M338:M339"/>
    <mergeCell ref="N338:O338"/>
    <mergeCell ref="Q338:Q339"/>
    <mergeCell ref="N361:O361"/>
    <mergeCell ref="Q361:Q362"/>
    <mergeCell ref="F338:F339"/>
    <mergeCell ref="F361:F362"/>
    <mergeCell ref="G361:G362"/>
    <mergeCell ref="I361:I362"/>
    <mergeCell ref="J361:K362"/>
    <mergeCell ref="L361:L362"/>
    <mergeCell ref="M361:M362"/>
    <mergeCell ref="G384:G385"/>
    <mergeCell ref="I384:I385"/>
    <mergeCell ref="J384:K385"/>
    <mergeCell ref="L384:L385"/>
    <mergeCell ref="M384:M385"/>
    <mergeCell ref="N384:O384"/>
    <mergeCell ref="Q384:Q385"/>
  </mergeCells>
  <conditionalFormatting sqref="Q20:Q42 Q45:Q67 Q70:Q90 Q93:Q113 Q116:Q139 Q155:Q274 Q290:Q409 Q425:Q544 Q560:Q679">
    <cfRule type="cellIs" dxfId="0" priority="1" operator="greaterThan">
      <formula>0</formula>
    </cfRule>
  </conditionalFormatting>
  <conditionalFormatting sqref="Q20:Q42 Q45:Q67 Q70:Q90 Q93:Q113 Q116:Q139 Q155:Q274 Q290:Q409 Q425:Q544 Q560:Q679">
    <cfRule type="cellIs" dxfId="1" priority="2" operator="lessThan">
      <formula>0</formula>
    </cfRule>
  </conditionalFormatting>
  <conditionalFormatting sqref="D1:D15 F9:F13 O10:O13 D17:D150 D152:D285 D287:D420 D422:D690">
    <cfRule type="containsText" dxfId="2" priority="3" operator="containsText" text="squat">
      <formula>NOT(ISERROR(SEARCH(("squat"),(D1))))</formula>
    </cfRule>
  </conditionalFormatting>
  <conditionalFormatting sqref="D1:D15 F9:F13 O10:O13 D17:D150 D152:D285 D287:D420 D422:D690">
    <cfRule type="containsText" dxfId="3" priority="4" operator="containsText" text="bench press">
      <formula>NOT(ISERROR(SEARCH(("bench press"),(D1))))</formula>
    </cfRule>
  </conditionalFormatting>
  <conditionalFormatting sqref="D1:D15 F9:F13 O10:O13 D17:D150 D152:D285 D287:D420 D422:D690">
    <cfRule type="containsText" dxfId="4" priority="5" operator="containsText" text="deadlift">
      <formula>NOT(ISERROR(SEARCH(("deadlift"),(D1))))</formula>
    </cfRule>
  </conditionalFormatting>
  <conditionalFormatting sqref="I1:I690">
    <cfRule type="expression" dxfId="5" priority="6">
      <formula>isformula(I1:I690)</formula>
    </cfRule>
  </conditionalFormatting>
  <conditionalFormatting sqref="L143:L147 L278:L282 L413:L417 L548:L552 L683:L687">
    <cfRule type="cellIs" dxfId="6" priority="7" operator="greaterThanOrEqual">
      <formula>0</formula>
    </cfRule>
  </conditionalFormatting>
  <conditionalFormatting sqref="L143:L147 L278:L282 L413:L417 L548:L552 L683:L687">
    <cfRule type="cellIs" dxfId="7" priority="8" operator="lessThan">
      <formula>0</formula>
    </cfRule>
  </conditionalFormatting>
  <dataValidations>
    <dataValidation type="list" allowBlank="1" showErrorMessage="1" sqref="E18 E43 E68 E91 E153 E178 E203 E226 E288 E313 E338 E361 E423 E448 E473 E496 E558 E583 E608 E631">
      <formula1>"day,Sun,Mon,Tues,Wed,Thurs,Fri,Sat"</formula1>
    </dataValidation>
    <dataValidation type="list" allowBlank="1" showErrorMessage="1" sqref="D19 D44 D69 D92 D115 D154 D179 D204 D227 D250 D289 D314 D339 D362 D385 D424 D449 D474 D497 D520 D559 D584 D609 D632 D655">
      <formula1>"motivation,5 (high),4,3,2,1 (low)"</formula1>
    </dataValidation>
    <dataValidation type="list" allowBlank="1" showErrorMessage="1" sqref="E19 E44 E69 E92 E115 E154 E179 E204 E227 E250 E289 E314 E339 E362 E385 E424 E449 E474 E497 E520 E559 E584 E609 E632 E655">
      <formula1>"fatigue,5 (high),4,3,2,1 (low)"</formula1>
    </dataValidation>
    <dataValidation type="list" allowBlank="1" showErrorMessage="1" sqref="E114 E249 E384 E519 E654">
      <formula1>"day,Sunday,Monday,Tuesday,Wednesday,Thursday,Friday,Saturday"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.0"/>
    <col customWidth="1" min="2" max="2" width="2.38"/>
    <col customWidth="1" min="3" max="3" width="1.0"/>
    <col customWidth="1" min="4" max="4" width="20.88"/>
    <col customWidth="1" min="5" max="5" width="8.25"/>
    <col customWidth="1" min="6" max="6" width="4.38"/>
    <col customWidth="1" min="7" max="7" width="4.88"/>
    <col customWidth="1" min="8" max="8" width="0.38"/>
    <col customWidth="1" min="9" max="9" width="5.38"/>
    <col customWidth="1" min="10" max="10" width="4.25"/>
    <col customWidth="1" min="11" max="11" width="8.13"/>
    <col customWidth="1" min="12" max="12" width="5.88"/>
    <col customWidth="1" min="13" max="13" width="5.13"/>
    <col customWidth="1" min="14" max="14" width="5.5"/>
    <col customWidth="1" min="15" max="15" width="4.63"/>
    <col customWidth="1" min="16" max="16" width="5.13"/>
    <col customWidth="1" min="17" max="17" width="4.75"/>
    <col customWidth="1" min="18" max="18" width="31.5"/>
    <col customWidth="1" min="19" max="33" width="9.0"/>
  </cols>
  <sheetData>
    <row r="1" ht="5.2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3"/>
      <c r="L1" s="3"/>
      <c r="M1" s="3"/>
      <c r="N1" s="3"/>
      <c r="O1" s="3"/>
      <c r="P1" s="3"/>
      <c r="Q1" s="4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ht="13.5" customHeight="1">
      <c r="A2" s="1"/>
      <c r="B2" s="6"/>
      <c r="C2" s="7"/>
      <c r="D2" s="7"/>
      <c r="E2" s="7"/>
      <c r="F2" s="7"/>
      <c r="G2" s="7"/>
      <c r="H2" s="7"/>
      <c r="I2" s="7"/>
      <c r="J2" s="7"/>
      <c r="K2" s="8"/>
      <c r="L2" s="8"/>
      <c r="M2" s="8"/>
      <c r="N2" s="8"/>
      <c r="O2" s="8"/>
      <c r="P2" s="8"/>
      <c r="Q2" s="9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1"/>
      <c r="AF2" s="11"/>
      <c r="AG2" s="11"/>
    </row>
    <row r="3" ht="5.25" customHeight="1">
      <c r="A3" s="12"/>
      <c r="B3" s="13"/>
      <c r="C3" s="12"/>
      <c r="D3" s="12"/>
      <c r="E3" s="12"/>
      <c r="F3" s="12"/>
      <c r="G3" s="12"/>
      <c r="H3" s="12"/>
      <c r="I3" s="12"/>
      <c r="J3" s="12"/>
      <c r="K3" s="3"/>
      <c r="L3" s="3"/>
      <c r="M3" s="3"/>
      <c r="N3" s="3"/>
      <c r="O3" s="3"/>
      <c r="P3" s="3"/>
      <c r="Q3" s="4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</row>
    <row r="4" ht="18.75" customHeight="1">
      <c r="A4" s="12"/>
      <c r="B4" s="13"/>
      <c r="C4" s="12"/>
      <c r="D4" s="14"/>
      <c r="E4" s="14"/>
      <c r="F4" s="14"/>
      <c r="G4" s="14"/>
      <c r="H4" s="14"/>
      <c r="I4" s="14"/>
      <c r="J4" s="14"/>
      <c r="K4" s="15"/>
      <c r="L4" s="15"/>
      <c r="M4" s="15"/>
      <c r="N4" s="15"/>
      <c r="O4" s="15"/>
      <c r="P4" s="15"/>
      <c r="Q4" s="16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8"/>
      <c r="AF4" s="18"/>
      <c r="AG4" s="18"/>
    </row>
    <row r="5" ht="3.75" customHeight="1">
      <c r="A5" s="12"/>
      <c r="B5" s="13"/>
      <c r="C5" s="12"/>
      <c r="D5" s="12"/>
      <c r="E5" s="12"/>
      <c r="F5" s="19"/>
      <c r="G5" s="19"/>
      <c r="H5" s="19"/>
      <c r="I5" s="19"/>
      <c r="J5" s="12"/>
      <c r="K5" s="3"/>
      <c r="L5" s="3"/>
      <c r="M5" s="3"/>
      <c r="N5" s="3"/>
      <c r="O5" s="3"/>
      <c r="P5" s="3"/>
      <c r="Q5" s="4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</row>
    <row r="6" ht="22.5" customHeight="1">
      <c r="A6" s="12"/>
      <c r="B6" s="13"/>
      <c r="C6" s="12"/>
      <c r="D6" s="20"/>
      <c r="E6" s="20"/>
      <c r="F6" s="21"/>
      <c r="G6" s="21"/>
      <c r="H6" s="21"/>
      <c r="I6" s="21"/>
      <c r="J6" s="20"/>
      <c r="K6" s="22"/>
      <c r="L6" s="22"/>
      <c r="M6" s="22"/>
      <c r="N6" s="22"/>
      <c r="O6" s="22"/>
      <c r="P6" s="22"/>
      <c r="Q6" s="23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5"/>
      <c r="AF6" s="25"/>
      <c r="AG6" s="25"/>
    </row>
    <row r="7" ht="5.25" customHeight="1">
      <c r="A7" s="26"/>
      <c r="B7" s="27"/>
      <c r="C7" s="28"/>
      <c r="D7" s="29"/>
      <c r="E7" s="29"/>
      <c r="F7" s="30"/>
      <c r="G7" s="30"/>
      <c r="H7" s="30"/>
      <c r="I7" s="30"/>
      <c r="J7" s="29"/>
      <c r="K7" s="31"/>
      <c r="L7" s="31"/>
      <c r="M7" s="31"/>
      <c r="N7" s="31"/>
      <c r="O7" s="31"/>
      <c r="P7" s="31"/>
      <c r="Q7" s="30"/>
      <c r="R7" s="32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</row>
    <row r="8" ht="13.5" customHeight="1">
      <c r="A8" s="5"/>
      <c r="B8" s="6"/>
      <c r="C8" s="10"/>
      <c r="D8" s="34" t="s">
        <v>0</v>
      </c>
      <c r="E8" s="35" t="s">
        <v>1</v>
      </c>
      <c r="G8" s="36"/>
      <c r="H8" s="36"/>
      <c r="I8" s="36" t="s">
        <v>2</v>
      </c>
      <c r="J8" s="37"/>
      <c r="K8" s="37"/>
      <c r="L8" s="38"/>
      <c r="M8" s="38"/>
      <c r="N8" s="35" t="s">
        <v>3</v>
      </c>
      <c r="P8" s="38"/>
      <c r="Q8" s="39"/>
      <c r="R8" s="40" t="s">
        <v>4</v>
      </c>
      <c r="S8" s="10"/>
      <c r="T8" s="5"/>
      <c r="U8" s="5"/>
      <c r="V8" s="5"/>
      <c r="W8" s="5"/>
      <c r="X8" s="5"/>
      <c r="Y8" s="5"/>
      <c r="Z8" s="5"/>
      <c r="AA8" s="5"/>
      <c r="AB8" s="5"/>
      <c r="AC8" s="5"/>
      <c r="AD8" s="5"/>
    </row>
    <row r="9" ht="5.25" customHeight="1">
      <c r="A9" s="41"/>
      <c r="B9" s="42"/>
      <c r="C9" s="41"/>
      <c r="D9" s="43"/>
      <c r="E9" s="44"/>
      <c r="F9" s="45"/>
      <c r="G9" s="46"/>
      <c r="H9" s="46"/>
      <c r="I9" s="46"/>
      <c r="J9" s="46"/>
      <c r="K9" s="47"/>
      <c r="L9" s="47"/>
      <c r="M9" s="47"/>
      <c r="N9" s="47"/>
      <c r="O9" s="47"/>
      <c r="P9" s="47"/>
      <c r="Q9" s="48"/>
      <c r="R9" s="49"/>
    </row>
    <row r="10" ht="12.75" customHeight="1">
      <c r="A10" s="41"/>
      <c r="B10" s="42"/>
      <c r="C10" s="41"/>
      <c r="D10" s="50" t="s">
        <v>5</v>
      </c>
      <c r="E10" s="51" t="s">
        <v>6</v>
      </c>
      <c r="F10" s="52">
        <v>245.0</v>
      </c>
      <c r="G10" s="53"/>
      <c r="H10" s="53"/>
      <c r="I10" s="54"/>
      <c r="J10" s="55"/>
      <c r="K10" s="56"/>
      <c r="L10" s="56"/>
      <c r="M10" s="57"/>
      <c r="N10" s="51" t="s">
        <v>6</v>
      </c>
      <c r="O10" s="52">
        <v>242.5</v>
      </c>
      <c r="P10" s="57"/>
      <c r="Q10" s="58"/>
      <c r="R10" s="59" t="s">
        <v>7</v>
      </c>
      <c r="S10" s="60"/>
    </row>
    <row r="11" ht="12.75" customHeight="1">
      <c r="A11" s="41"/>
      <c r="B11" s="42"/>
      <c r="C11" s="41"/>
      <c r="D11" s="50" t="s">
        <v>8</v>
      </c>
      <c r="E11" s="61" t="s">
        <v>9</v>
      </c>
      <c r="F11" s="52">
        <v>155.0</v>
      </c>
      <c r="G11" s="57"/>
      <c r="H11" s="57"/>
      <c r="I11" s="62"/>
      <c r="J11" s="63"/>
      <c r="K11" s="63"/>
      <c r="L11" s="55"/>
      <c r="M11" s="57"/>
      <c r="N11" s="61" t="s">
        <v>9</v>
      </c>
      <c r="O11" s="52">
        <v>152.5</v>
      </c>
      <c r="P11" s="57"/>
      <c r="Q11" s="58"/>
      <c r="S11" s="60"/>
    </row>
    <row r="12" ht="12.75" customHeight="1">
      <c r="A12" s="41"/>
      <c r="B12" s="42"/>
      <c r="C12" s="41"/>
      <c r="D12" s="64"/>
      <c r="E12" s="65" t="s">
        <v>10</v>
      </c>
      <c r="F12" s="52">
        <v>270.0</v>
      </c>
      <c r="G12" s="57"/>
      <c r="H12" s="57"/>
      <c r="I12" s="66" t="str">
        <f>IF(I10 = "", "", INT((I10 - TODAY()) / 7) &amp; " weeks, " &amp; MOD(I10 - TODAY(), 7) &amp; " day(s) out")</f>
        <v/>
      </c>
      <c r="J12" s="67"/>
      <c r="K12" s="67"/>
      <c r="L12" s="67"/>
      <c r="M12" s="57"/>
      <c r="N12" s="65" t="s">
        <v>10</v>
      </c>
      <c r="O12" s="52">
        <v>265.0</v>
      </c>
      <c r="P12" s="57"/>
      <c r="Q12" s="58"/>
      <c r="R12" s="68"/>
      <c r="S12" s="60"/>
    </row>
    <row r="13" ht="12.75" customHeight="1">
      <c r="A13" s="69"/>
      <c r="B13" s="70"/>
      <c r="C13" s="69"/>
      <c r="D13" s="71"/>
      <c r="E13" s="72" t="s">
        <v>11</v>
      </c>
      <c r="F13" s="73">
        <f>SUM(F10:F12)</f>
        <v>670</v>
      </c>
      <c r="G13" s="57"/>
      <c r="H13" s="57"/>
      <c r="I13" s="57"/>
      <c r="J13" s="74"/>
      <c r="K13" s="57"/>
      <c r="L13" s="57"/>
      <c r="M13" s="57"/>
      <c r="N13" s="72" t="s">
        <v>11</v>
      </c>
      <c r="O13" s="73">
        <f>SUM(O10:O12)</f>
        <v>660</v>
      </c>
      <c r="P13" s="57"/>
      <c r="Q13" s="58"/>
      <c r="R13" s="68"/>
      <c r="S13" s="60"/>
    </row>
    <row r="14" ht="5.25" customHeight="1">
      <c r="A14" s="5"/>
      <c r="B14" s="2"/>
      <c r="C14" s="5"/>
      <c r="D14" s="5"/>
      <c r="E14" s="75"/>
      <c r="F14" s="3"/>
      <c r="G14" s="3"/>
      <c r="H14" s="3"/>
      <c r="I14" s="3"/>
      <c r="J14" s="75"/>
      <c r="K14" s="3"/>
      <c r="L14" s="3"/>
      <c r="M14" s="3"/>
      <c r="N14" s="3"/>
      <c r="O14" s="3"/>
      <c r="P14" s="3"/>
      <c r="Q14" s="4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</row>
    <row r="15" ht="18.75" customHeight="1">
      <c r="A15" s="76"/>
      <c r="B15" s="77"/>
      <c r="C15" s="78"/>
      <c r="D15" s="79" t="s">
        <v>12</v>
      </c>
      <c r="E15" s="80" t="s">
        <v>13</v>
      </c>
      <c r="G15" s="81"/>
      <c r="H15" s="81"/>
      <c r="I15" s="81"/>
      <c r="J15" s="82"/>
      <c r="K15" s="83"/>
      <c r="L15" s="83"/>
      <c r="M15" s="84"/>
      <c r="N15" s="84"/>
      <c r="O15" s="84"/>
      <c r="P15" s="85"/>
      <c r="Q15" s="86"/>
      <c r="R15" s="87"/>
      <c r="S15" s="88"/>
      <c r="T15" s="89"/>
      <c r="U15" s="89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</row>
    <row r="16" ht="18.75" customHeight="1">
      <c r="A16" s="90"/>
      <c r="B16" s="6"/>
      <c r="C16" s="91"/>
      <c r="D16" s="36">
        <v>1.0</v>
      </c>
      <c r="E16" s="36"/>
      <c r="F16" s="37"/>
      <c r="G16" s="81"/>
      <c r="H16" s="81"/>
      <c r="I16" s="81"/>
      <c r="J16" s="92"/>
      <c r="K16" s="93"/>
      <c r="L16" s="93"/>
      <c r="M16" s="93"/>
      <c r="N16" s="93"/>
      <c r="O16" s="93"/>
      <c r="P16" s="94"/>
      <c r="Q16" s="95"/>
      <c r="R16" s="96"/>
      <c r="S16" s="10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</row>
    <row r="17" ht="5.25" customHeight="1">
      <c r="A17" s="90"/>
      <c r="B17" s="6"/>
      <c r="C17" s="90"/>
      <c r="D17" s="97"/>
      <c r="E17" s="98"/>
      <c r="F17" s="99"/>
      <c r="G17" s="99"/>
      <c r="H17" s="99"/>
      <c r="I17" s="100"/>
      <c r="J17" s="101"/>
      <c r="K17" s="90"/>
      <c r="L17" s="102"/>
      <c r="M17" s="102"/>
      <c r="N17" s="102"/>
      <c r="O17" s="102"/>
      <c r="P17" s="103"/>
      <c r="Q17" s="4"/>
      <c r="R17" s="90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</row>
    <row r="18" ht="32.25" customHeight="1">
      <c r="A18" s="90"/>
      <c r="B18" s="6"/>
      <c r="C18" s="90"/>
      <c r="D18" s="104" t="s">
        <v>14</v>
      </c>
      <c r="E18" s="105" t="s">
        <v>75</v>
      </c>
      <c r="F18" s="106" t="s">
        <v>16</v>
      </c>
      <c r="G18" s="106" t="s">
        <v>17</v>
      </c>
      <c r="H18" s="107"/>
      <c r="I18" s="106" t="s">
        <v>18</v>
      </c>
      <c r="J18" s="108" t="s">
        <v>19</v>
      </c>
      <c r="L18" s="109" t="s">
        <v>20</v>
      </c>
      <c r="M18" s="110" t="s">
        <v>21</v>
      </c>
      <c r="N18" s="111" t="s">
        <v>22</v>
      </c>
      <c r="P18" s="112"/>
      <c r="Q18" s="113" t="s">
        <v>23</v>
      </c>
      <c r="R18" s="114" t="s">
        <v>24</v>
      </c>
      <c r="S18" s="11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</row>
    <row r="19" ht="14.25" customHeight="1">
      <c r="A19" s="90"/>
      <c r="B19" s="6"/>
      <c r="C19" s="90"/>
      <c r="D19" s="116" t="s">
        <v>102</v>
      </c>
      <c r="E19" s="117" t="s">
        <v>76</v>
      </c>
      <c r="H19" s="107"/>
      <c r="N19" s="111" t="s">
        <v>27</v>
      </c>
      <c r="O19" s="111" t="s">
        <v>28</v>
      </c>
      <c r="P19" s="112" t="s">
        <v>29</v>
      </c>
      <c r="R19" s="118" t="s">
        <v>30</v>
      </c>
      <c r="S19" s="11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</row>
    <row r="20" ht="3.75" customHeight="1">
      <c r="A20" s="90"/>
      <c r="B20" s="6"/>
      <c r="C20" s="90"/>
      <c r="D20" s="97"/>
      <c r="E20" s="119"/>
      <c r="F20" s="99"/>
      <c r="G20" s="99"/>
      <c r="H20" s="99"/>
      <c r="I20" s="100"/>
      <c r="J20" s="101"/>
      <c r="K20" s="120"/>
      <c r="L20" s="102"/>
      <c r="M20" s="121"/>
      <c r="N20" s="102"/>
      <c r="O20" s="102"/>
      <c r="P20" s="122"/>
      <c r="Q20" s="4"/>
      <c r="R20" s="123" t="s">
        <v>118</v>
      </c>
      <c r="S20" s="11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</row>
    <row r="21" ht="15.75" customHeight="1">
      <c r="A21" s="124"/>
      <c r="B21" s="6"/>
      <c r="C21" s="124"/>
      <c r="D21" s="125" t="s">
        <v>77</v>
      </c>
      <c r="E21" s="126"/>
      <c r="F21" s="127">
        <v>1.0</v>
      </c>
      <c r="G21" s="240">
        <v>6.0</v>
      </c>
      <c r="H21" s="129"/>
      <c r="I21" s="130">
        <v>364.0</v>
      </c>
      <c r="J21" s="151">
        <v>5.0</v>
      </c>
      <c r="K21" s="132"/>
      <c r="L21" s="133">
        <v>5.0</v>
      </c>
      <c r="M21" s="134"/>
      <c r="N21" s="135" t="str">
        <f>iferror(mround(#REF!*((VLOOKUP($J21,Sheet1!$D:$N,$G21+1,FALSE)-0.03)),2.5)," ")</f>
        <v> </v>
      </c>
      <c r="O21" s="135" t="str">
        <f>iferror(mround(#REF!*((VLOOKUP($J21,Sheet1!$D:$N,$G21+1,FALSE)+0.02)),2.5)," ")</f>
        <v> </v>
      </c>
      <c r="P21" s="56" t="str">
        <f>iferror(mround(I21/VLOOKUP(L21,Sheet1!$D$7:$N$16,G21+1,FALSE),2.5),"")</f>
        <v/>
      </c>
      <c r="Q21" s="136"/>
      <c r="S21" s="11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</row>
    <row r="22" ht="3.75" customHeight="1">
      <c r="A22" s="137"/>
      <c r="B22" s="70"/>
      <c r="C22" s="137"/>
      <c r="D22" s="138"/>
      <c r="E22" s="139"/>
      <c r="F22" s="140"/>
      <c r="G22" s="140"/>
      <c r="H22" s="140"/>
      <c r="I22" s="140"/>
      <c r="J22" s="141"/>
      <c r="K22" s="142"/>
      <c r="L22" s="143"/>
      <c r="M22" s="144"/>
      <c r="N22" s="145"/>
      <c r="O22" s="145"/>
      <c r="P22" s="122"/>
      <c r="Q22" s="146"/>
      <c r="S22" s="147"/>
      <c r="T22" s="148"/>
      <c r="U22" s="148"/>
      <c r="V22" s="148"/>
      <c r="W22" s="148"/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</row>
    <row r="23" ht="15.75" customHeight="1">
      <c r="A23" s="149"/>
      <c r="B23" s="150"/>
      <c r="C23" s="149"/>
      <c r="D23" s="125" t="s">
        <v>77</v>
      </c>
      <c r="E23" s="126"/>
      <c r="F23" s="127">
        <v>1.0</v>
      </c>
      <c r="G23" s="240">
        <v>6.0</v>
      </c>
      <c r="H23" s="129"/>
      <c r="I23" s="130">
        <v>392.0</v>
      </c>
      <c r="J23" s="151">
        <v>6.0</v>
      </c>
      <c r="K23" s="132"/>
      <c r="L23" s="133">
        <v>6.0</v>
      </c>
      <c r="M23" s="134"/>
      <c r="N23" s="135" t="str">
        <f>iferror(mround(#REF!*((VLOOKUP($J23,Sheet1!$D:$N,$G23+1,FALSE)-0.03)),2.5)," ")</f>
        <v> </v>
      </c>
      <c r="O23" s="135" t="str">
        <f>iferror(mround(#REF!*((VLOOKUP($J23,Sheet1!$D:$N,$G23+1,FALSE)+0.02)),2.5)," ")</f>
        <v> </v>
      </c>
      <c r="P23" s="56">
        <f>iferror(mround(I23/VLOOKUP(L23,Sheet1!$D$7:$N$16,G23+1,FALSE),2.5),"")</f>
        <v>530</v>
      </c>
      <c r="Q23" s="136"/>
      <c r="S23" s="11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</row>
    <row r="24" ht="3.75" customHeight="1">
      <c r="A24" s="152"/>
      <c r="B24" s="150"/>
      <c r="C24" s="153"/>
      <c r="D24" s="138"/>
      <c r="E24" s="154"/>
      <c r="F24" s="155"/>
      <c r="G24" s="102"/>
      <c r="H24" s="102"/>
      <c r="I24" s="102"/>
      <c r="J24" s="156"/>
      <c r="K24" s="142"/>
      <c r="L24" s="143"/>
      <c r="M24" s="144"/>
      <c r="N24" s="145"/>
      <c r="O24" s="145"/>
      <c r="P24" s="122"/>
      <c r="Q24" s="146"/>
      <c r="S24" s="157"/>
      <c r="T24" s="5"/>
      <c r="U24" s="5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</row>
    <row r="25" ht="15.75" customHeight="1">
      <c r="A25" s="149"/>
      <c r="B25" s="150"/>
      <c r="C25" s="149"/>
      <c r="D25" s="125" t="s">
        <v>77</v>
      </c>
      <c r="E25" s="126"/>
      <c r="F25" s="127">
        <v>1.0</v>
      </c>
      <c r="G25" s="161">
        <v>6.0</v>
      </c>
      <c r="H25" s="129"/>
      <c r="I25" s="130">
        <v>392.0</v>
      </c>
      <c r="J25" s="151" t="s">
        <v>78</v>
      </c>
      <c r="K25" s="132"/>
      <c r="L25" s="133">
        <v>6.0</v>
      </c>
      <c r="M25" s="134"/>
      <c r="N25" s="135" t="str">
        <f>iferror(mround(#REF!*((VLOOKUP($J25,Sheet1!$D:$N,$G25+1,FALSE)-0.03)),2.5)," ")</f>
        <v> </v>
      </c>
      <c r="O25" s="135" t="str">
        <f>iferror(mround(#REF!*((VLOOKUP($J25,Sheet1!$D:$N,$G25+1,FALSE)+0.02)),2.5)," ")</f>
        <v> </v>
      </c>
      <c r="P25" s="56">
        <f>iferror(mround(I25/VLOOKUP(L25,Sheet1!$D$7:$N$16,G25+1,FALSE),2.5),"")</f>
        <v>530</v>
      </c>
      <c r="Q25" s="136"/>
      <c r="S25" s="11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</row>
    <row r="26" ht="3.75" customHeight="1">
      <c r="A26" s="162"/>
      <c r="B26" s="163"/>
      <c r="C26" s="162"/>
      <c r="D26" s="138"/>
      <c r="E26" s="154"/>
      <c r="F26" s="155"/>
      <c r="G26" s="102"/>
      <c r="H26" s="102"/>
      <c r="I26" s="102"/>
      <c r="J26" s="156"/>
      <c r="K26" s="142"/>
      <c r="L26" s="143"/>
      <c r="M26" s="144"/>
      <c r="N26" s="145"/>
      <c r="O26" s="145"/>
      <c r="P26" s="122"/>
      <c r="Q26" s="146"/>
      <c r="S26" s="147"/>
      <c r="T26" s="148"/>
      <c r="U26" s="148"/>
      <c r="V26" s="148"/>
      <c r="W26" s="148"/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</row>
    <row r="27" ht="15.75" customHeight="1">
      <c r="A27" s="149"/>
      <c r="B27" s="150"/>
      <c r="C27" s="149"/>
      <c r="D27" s="159" t="s">
        <v>33</v>
      </c>
      <c r="E27" s="160" t="s">
        <v>34</v>
      </c>
      <c r="F27" s="127">
        <v>1.0</v>
      </c>
      <c r="G27" s="161">
        <v>5.0</v>
      </c>
      <c r="H27" s="129"/>
      <c r="I27" s="130">
        <v>248.0</v>
      </c>
      <c r="J27" s="151">
        <v>7.0</v>
      </c>
      <c r="K27" s="132"/>
      <c r="L27" s="133">
        <v>6.5</v>
      </c>
      <c r="M27" s="134"/>
      <c r="N27" s="135" t="str">
        <f>iferror(mround(#REF!*((VLOOKUP($J27,Sheet1!$D:$N,$G27+1,FALSE)-0.03)),2.5)," ")</f>
        <v> </v>
      </c>
      <c r="O27" s="135" t="str">
        <f>iferror(mround(#REF!*((VLOOKUP($J27,Sheet1!$D:$N,$G27+1,FALSE)+0.02)),2.5)," ")</f>
        <v> </v>
      </c>
      <c r="P27" s="56">
        <f>iferror(mround(I27/VLOOKUP(L27,Sheet1!$D$7:$N$16,G27+1,FALSE),2.5),"")</f>
        <v>320</v>
      </c>
      <c r="Q27" s="136"/>
      <c r="S27" s="11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</row>
    <row r="28" ht="3.75" customHeight="1">
      <c r="A28" s="162"/>
      <c r="B28" s="163"/>
      <c r="C28" s="162"/>
      <c r="D28" s="138"/>
      <c r="E28" s="139"/>
      <c r="F28" s="140"/>
      <c r="G28" s="140"/>
      <c r="H28" s="140"/>
      <c r="I28" s="140"/>
      <c r="J28" s="141"/>
      <c r="K28" s="142"/>
      <c r="L28" s="143"/>
      <c r="M28" s="144"/>
      <c r="N28" s="145"/>
      <c r="O28" s="145"/>
      <c r="P28" s="122"/>
      <c r="Q28" s="146"/>
      <c r="S28" s="147"/>
      <c r="T28" s="148"/>
      <c r="U28" s="148"/>
      <c r="V28" s="148"/>
      <c r="W28" s="148"/>
      <c r="X28" s="148"/>
      <c r="Y28" s="148"/>
      <c r="Z28" s="148"/>
      <c r="AA28" s="148"/>
      <c r="AB28" s="148"/>
      <c r="AC28" s="148"/>
      <c r="AD28" s="148"/>
      <c r="AE28" s="148"/>
      <c r="AF28" s="148"/>
      <c r="AG28" s="148"/>
    </row>
    <row r="29" ht="15.75" customHeight="1">
      <c r="A29" s="90"/>
      <c r="B29" s="6"/>
      <c r="C29" s="90"/>
      <c r="D29" s="159" t="s">
        <v>33</v>
      </c>
      <c r="E29" s="160" t="s">
        <v>34</v>
      </c>
      <c r="F29" s="127">
        <v>2.0</v>
      </c>
      <c r="G29" s="161">
        <v>5.0</v>
      </c>
      <c r="H29" s="129"/>
      <c r="I29" s="164">
        <f>MROUND(I27*(1+J29),5)</f>
        <v>225</v>
      </c>
      <c r="J29" s="165">
        <v>-0.1</v>
      </c>
      <c r="K29" s="132"/>
      <c r="L29" s="133">
        <v>5.0</v>
      </c>
      <c r="M29" s="134"/>
      <c r="N29" s="135" t="str">
        <f>iferror(mround(#REF!*((VLOOKUP($J29,Sheet1!$D:$N,$G29+1,FALSE)-0.03)),2.5)," ")</f>
        <v> </v>
      </c>
      <c r="O29" s="135" t="str">
        <f>iferror(mround(#REF!*((VLOOKUP($J29,Sheet1!$D:$N,$G29+1,FALSE)+0.02)),2.5)," ")</f>
        <v> </v>
      </c>
      <c r="P29" s="56" t="str">
        <f>iferror(mround(I29/VLOOKUP(L29,Sheet1!$D$7:$N$16,G29+1,FALSE),2.5),"")</f>
        <v/>
      </c>
      <c r="Q29" s="136"/>
      <c r="S29" s="11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</row>
    <row r="30" ht="3.75" customHeight="1">
      <c r="A30" s="168"/>
      <c r="B30" s="70"/>
      <c r="C30" s="168"/>
      <c r="D30" s="138"/>
      <c r="E30" s="139"/>
      <c r="F30" s="102"/>
      <c r="G30" s="102"/>
      <c r="H30" s="102"/>
      <c r="I30" s="102"/>
      <c r="J30" s="156"/>
      <c r="K30" s="142"/>
      <c r="L30" s="143"/>
      <c r="M30" s="144"/>
      <c r="N30" s="145"/>
      <c r="O30" s="145"/>
      <c r="P30" s="122"/>
      <c r="Q30" s="146"/>
      <c r="S30" s="147"/>
      <c r="T30" s="148"/>
      <c r="U30" s="148"/>
      <c r="V30" s="148"/>
      <c r="W30" s="148"/>
      <c r="X30" s="148"/>
      <c r="Y30" s="148"/>
      <c r="Z30" s="148"/>
      <c r="AA30" s="148"/>
      <c r="AB30" s="148"/>
      <c r="AC30" s="148"/>
      <c r="AD30" s="148"/>
      <c r="AE30" s="148"/>
      <c r="AF30" s="148"/>
      <c r="AG30" s="148"/>
    </row>
    <row r="31" ht="15.75" customHeight="1">
      <c r="A31" s="90"/>
      <c r="B31" s="6"/>
      <c r="C31" s="90"/>
      <c r="D31" s="166" t="s">
        <v>119</v>
      </c>
      <c r="E31" s="160"/>
      <c r="F31" s="127">
        <v>2.0</v>
      </c>
      <c r="G31" s="169">
        <v>45577.0</v>
      </c>
      <c r="H31" s="129"/>
      <c r="I31" s="130">
        <v>65.0</v>
      </c>
      <c r="J31" s="151">
        <v>8.0</v>
      </c>
      <c r="K31" s="132"/>
      <c r="L31" s="133">
        <v>8.0</v>
      </c>
      <c r="M31" s="134"/>
      <c r="N31" s="135" t="str">
        <f>iferror(mround(#REF!*((VLOOKUP($J31,Sheet1!$D:$N,$G31+1,FALSE)-0.03)),2.5)," ")</f>
        <v> </v>
      </c>
      <c r="O31" s="135" t="str">
        <f>iferror(mround(#REF!*((VLOOKUP($J31,Sheet1!$D:$N,$G31+1,FALSE)+0.02)),2.5)," ")</f>
        <v> </v>
      </c>
      <c r="P31" s="56" t="str">
        <f>iferror(mround(I31/VLOOKUP(L31,Sheet1!$D$7:$N$16,G31+1,FALSE),2.5),"")</f>
        <v/>
      </c>
      <c r="Q31" s="136"/>
      <c r="S31" s="11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</row>
    <row r="32" ht="3.75" customHeight="1">
      <c r="A32" s="90"/>
      <c r="B32" s="6"/>
      <c r="C32" s="90"/>
      <c r="D32" s="171"/>
      <c r="E32" s="172"/>
      <c r="F32" s="173"/>
      <c r="G32" s="173"/>
      <c r="H32" s="173"/>
      <c r="I32" s="173"/>
      <c r="J32" s="174"/>
      <c r="K32" s="142"/>
      <c r="L32" s="143"/>
      <c r="M32" s="144"/>
      <c r="N32" s="145"/>
      <c r="O32" s="145"/>
      <c r="P32" s="122"/>
      <c r="Q32" s="146"/>
      <c r="S32" s="11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</row>
    <row r="33" ht="15.75" customHeight="1">
      <c r="A33" s="90"/>
      <c r="B33" s="6"/>
      <c r="C33" s="90"/>
      <c r="D33" s="166" t="s">
        <v>37</v>
      </c>
      <c r="E33" s="160" t="s">
        <v>81</v>
      </c>
      <c r="F33" s="127">
        <v>3.0</v>
      </c>
      <c r="G33" s="169">
        <v>45577.0</v>
      </c>
      <c r="H33" s="129"/>
      <c r="I33" s="130">
        <v>360.0</v>
      </c>
      <c r="J33" s="151">
        <v>8.0</v>
      </c>
      <c r="K33" s="132"/>
      <c r="L33" s="133">
        <v>7.5</v>
      </c>
      <c r="M33" s="134"/>
      <c r="N33" s="135" t="str">
        <f>iferror(mround(#REF!*((VLOOKUP($J33,Sheet1!$D:$N,$G33+1,FALSE)-0.03)),2.5)," ")</f>
        <v> </v>
      </c>
      <c r="O33" s="135" t="str">
        <f>iferror(mround(#REF!*((VLOOKUP($J33,Sheet1!$D:$N,$G33+1,FALSE)+0.02)),2.5)," ")</f>
        <v> </v>
      </c>
      <c r="P33" s="56" t="str">
        <f>iferror(mround(I33/VLOOKUP(L33,Sheet1!$D$7:$N$16,G33+1,FALSE),2.5),"")</f>
        <v/>
      </c>
      <c r="Q33" s="136"/>
      <c r="S33" s="11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</row>
    <row r="34" ht="3.75" customHeight="1">
      <c r="A34" s="90"/>
      <c r="B34" s="6"/>
      <c r="C34" s="90"/>
      <c r="D34" s="171"/>
      <c r="E34" s="172"/>
      <c r="F34" s="173"/>
      <c r="G34" s="173"/>
      <c r="H34" s="173"/>
      <c r="I34" s="173"/>
      <c r="J34" s="174"/>
      <c r="K34" s="142"/>
      <c r="L34" s="143"/>
      <c r="M34" s="144"/>
      <c r="N34" s="145"/>
      <c r="O34" s="145"/>
      <c r="P34" s="122"/>
      <c r="Q34" s="146"/>
      <c r="S34" s="11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</row>
    <row r="35" ht="15.75" customHeight="1">
      <c r="A35" s="90"/>
      <c r="B35" s="6"/>
      <c r="C35" s="90"/>
      <c r="D35" s="175" t="s">
        <v>40</v>
      </c>
      <c r="E35" s="176"/>
      <c r="F35" s="177">
        <v>3.0</v>
      </c>
      <c r="G35" s="178" t="s">
        <v>41</v>
      </c>
      <c r="H35" s="179"/>
      <c r="I35" s="180"/>
      <c r="J35" s="181">
        <v>8.0</v>
      </c>
      <c r="K35" s="182"/>
      <c r="L35" s="183"/>
      <c r="M35" s="134"/>
      <c r="N35" s="135" t="str">
        <f>iferror(mround(#REF!*((VLOOKUP($J35,Sheet1!$D:$N,$G35+1,FALSE)-0.03)),2.5)," ")</f>
        <v> </v>
      </c>
      <c r="O35" s="135" t="str">
        <f>iferror(mround(#REF!*((VLOOKUP($J35,Sheet1!$D:$N,$G35+1,FALSE)+0.02)),2.5)," ")</f>
        <v> </v>
      </c>
      <c r="P35" s="56" t="str">
        <f>iferror(mround(I35/VLOOKUP(L35,Sheet1!$D$7:$N$16,G35+1,FALSE),2.5),"")</f>
        <v/>
      </c>
      <c r="Q35" s="136"/>
      <c r="S35" s="11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</row>
    <row r="36" ht="3.75" customHeight="1">
      <c r="A36" s="90"/>
      <c r="B36" s="6"/>
      <c r="C36" s="90"/>
      <c r="D36" s="138"/>
      <c r="E36" s="139"/>
      <c r="F36" s="102"/>
      <c r="G36" s="102"/>
      <c r="H36" s="102"/>
      <c r="I36" s="102"/>
      <c r="J36" s="156"/>
      <c r="K36" s="307"/>
      <c r="L36" s="143"/>
      <c r="M36" s="144"/>
      <c r="N36" s="145"/>
      <c r="O36" s="145"/>
      <c r="P36" s="122"/>
      <c r="Q36" s="146"/>
      <c r="S36" s="11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</row>
    <row r="37" ht="15.75" hidden="1" customHeight="1">
      <c r="A37" s="90"/>
      <c r="B37" s="6"/>
      <c r="C37" s="90"/>
      <c r="D37" s="185"/>
      <c r="E37" s="126"/>
      <c r="F37" s="187"/>
      <c r="G37" s="188"/>
      <c r="H37" s="129"/>
      <c r="I37" s="164"/>
      <c r="J37" s="189"/>
      <c r="K37" s="182"/>
      <c r="L37" s="183"/>
      <c r="M37" s="134"/>
      <c r="N37" s="135" t="str">
        <f>iferror(mround(#REF!*((VLOOKUP($J37,Sheet1!$D:$N,$G37+1,FALSE)-0.03)),2.5)," ")</f>
        <v> </v>
      </c>
      <c r="O37" s="135" t="str">
        <f>iferror(mround(#REF!*((VLOOKUP($J37,Sheet1!$D:$N,$G37+1,FALSE)+0.02)),2.5)," ")</f>
        <v> </v>
      </c>
      <c r="P37" s="56" t="str">
        <f>iferror(mround(I37/VLOOKUP(L37,Sheet1!$D$7:$N$16,G37+1,FALSE),2.5),"")</f>
        <v/>
      </c>
      <c r="Q37" s="136"/>
      <c r="S37" s="11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</row>
    <row r="38" ht="3.75" hidden="1" customHeight="1">
      <c r="A38" s="191"/>
      <c r="B38" s="6"/>
      <c r="C38" s="192"/>
      <c r="D38" s="138"/>
      <c r="E38" s="154"/>
      <c r="F38" s="194"/>
      <c r="G38" s="155"/>
      <c r="H38" s="102"/>
      <c r="I38" s="102"/>
      <c r="J38" s="156"/>
      <c r="K38" s="307"/>
      <c r="L38" s="143"/>
      <c r="M38" s="144"/>
      <c r="N38" s="145"/>
      <c r="O38" s="145"/>
      <c r="P38" s="122"/>
      <c r="Q38" s="146"/>
      <c r="S38" s="157"/>
      <c r="T38" s="5"/>
      <c r="U38" s="5"/>
      <c r="V38" s="158"/>
      <c r="W38" s="158"/>
      <c r="X38" s="158"/>
      <c r="Y38" s="158"/>
      <c r="Z38" s="158"/>
      <c r="AA38" s="158"/>
      <c r="AB38" s="158"/>
      <c r="AC38" s="158"/>
      <c r="AD38" s="158"/>
      <c r="AE38" s="158"/>
      <c r="AF38" s="158"/>
      <c r="AG38" s="158"/>
    </row>
    <row r="39" ht="15.75" hidden="1" customHeight="1">
      <c r="A39" s="90"/>
      <c r="B39" s="6"/>
      <c r="C39" s="90"/>
      <c r="D39" s="185"/>
      <c r="E39" s="126"/>
      <c r="F39" s="187"/>
      <c r="G39" s="195"/>
      <c r="H39" s="129"/>
      <c r="I39" s="164"/>
      <c r="J39" s="189"/>
      <c r="K39" s="182"/>
      <c r="L39" s="183"/>
      <c r="M39" s="134"/>
      <c r="N39" s="135" t="str">
        <f>iferror(mround(#REF!*((VLOOKUP($J39,Sheet1!$D:$N,$G39+1,FALSE)-0.03)),2.5)," ")</f>
        <v> </v>
      </c>
      <c r="O39" s="135" t="str">
        <f>iferror(mround(#REF!*((VLOOKUP($J39,Sheet1!$D:$N,$G39+1,FALSE)+0.02)),2.5)," ")</f>
        <v> </v>
      </c>
      <c r="P39" s="56" t="str">
        <f>iferror(mround(I39/VLOOKUP(L39,Sheet1!$D$7:$N$16,G39+1,FALSE),2.5),"")</f>
        <v/>
      </c>
      <c r="Q39" s="136"/>
      <c r="S39" s="11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</row>
    <row r="40" ht="3.75" hidden="1" customHeight="1">
      <c r="A40" s="90"/>
      <c r="B40" s="6"/>
      <c r="C40" s="90"/>
      <c r="D40" s="196"/>
      <c r="E40" s="139"/>
      <c r="F40" s="102"/>
      <c r="G40" s="102"/>
      <c r="H40" s="102"/>
      <c r="I40" s="102"/>
      <c r="J40" s="156"/>
      <c r="K40" s="307"/>
      <c r="L40" s="143"/>
      <c r="M40" s="144"/>
      <c r="N40" s="145"/>
      <c r="O40" s="145"/>
      <c r="P40" s="122"/>
      <c r="Q40" s="146"/>
      <c r="S40" s="11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</row>
    <row r="41" ht="15.75" hidden="1" customHeight="1">
      <c r="A41" s="90"/>
      <c r="B41" s="6"/>
      <c r="C41" s="90"/>
      <c r="D41" s="197"/>
      <c r="E41" s="308"/>
      <c r="F41" s="199"/>
      <c r="G41" s="195"/>
      <c r="H41" s="129"/>
      <c r="I41" s="164"/>
      <c r="J41" s="189"/>
      <c r="K41" s="182"/>
      <c r="L41" s="183"/>
      <c r="M41" s="134"/>
      <c r="N41" s="135" t="str">
        <f>iferror(mround(#REF!*((VLOOKUP($J41,Sheet1!$D:$N,$G41+1,FALSE)-0.03)),2.5)," ")</f>
        <v> </v>
      </c>
      <c r="O41" s="135" t="str">
        <f>iferror(mround(#REF!*((VLOOKUP($J41,Sheet1!$D:$N,$G41+1,FALSE)+0.02)),2.5)," ")</f>
        <v> </v>
      </c>
      <c r="P41" s="56" t="str">
        <f>iferror(mround(I41/VLOOKUP(L41,Sheet1!$D$7:$N$16,G41+1,FALSE),2.5),"")</f>
        <v/>
      </c>
      <c r="Q41" s="136"/>
      <c r="S41" s="11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</row>
    <row r="42" ht="3.75" customHeight="1">
      <c r="A42" s="90"/>
      <c r="B42" s="6"/>
      <c r="C42" s="90"/>
      <c r="D42" s="90"/>
      <c r="E42" s="309"/>
      <c r="F42" s="102"/>
      <c r="G42" s="102"/>
      <c r="H42" s="102"/>
      <c r="I42" s="102"/>
      <c r="J42" s="156"/>
      <c r="K42" s="200"/>
      <c r="L42" s="201"/>
      <c r="M42" s="144"/>
      <c r="N42" s="47"/>
      <c r="O42" s="47"/>
      <c r="P42" s="122"/>
      <c r="Q42" s="146"/>
      <c r="S42" s="11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</row>
    <row r="43" ht="30.0" customHeight="1">
      <c r="A43" s="90"/>
      <c r="B43" s="6"/>
      <c r="C43" s="90"/>
      <c r="D43" s="104" t="s">
        <v>42</v>
      </c>
      <c r="E43" s="105" t="s">
        <v>82</v>
      </c>
      <c r="F43" s="106" t="s">
        <v>16</v>
      </c>
      <c r="G43" s="106" t="s">
        <v>17</v>
      </c>
      <c r="H43" s="107"/>
      <c r="I43" s="106" t="s">
        <v>18</v>
      </c>
      <c r="J43" s="108" t="s">
        <v>19</v>
      </c>
      <c r="L43" s="109" t="s">
        <v>20</v>
      </c>
      <c r="M43" s="110" t="s">
        <v>21</v>
      </c>
      <c r="N43" s="111" t="s">
        <v>22</v>
      </c>
      <c r="P43" s="112"/>
      <c r="Q43" s="113" t="s">
        <v>23</v>
      </c>
      <c r="R43" s="114" t="s">
        <v>43</v>
      </c>
      <c r="S43" s="11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</row>
    <row r="44" ht="14.25" customHeight="1">
      <c r="A44" s="90"/>
      <c r="B44" s="6"/>
      <c r="C44" s="90"/>
      <c r="D44" s="116" t="s">
        <v>102</v>
      </c>
      <c r="E44" s="117" t="s">
        <v>76</v>
      </c>
      <c r="H44" s="107"/>
      <c r="N44" s="111" t="s">
        <v>27</v>
      </c>
      <c r="O44" s="111" t="s">
        <v>28</v>
      </c>
      <c r="P44" s="112" t="s">
        <v>29</v>
      </c>
      <c r="R44" s="118" t="s">
        <v>30</v>
      </c>
      <c r="S44" s="11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</row>
    <row r="45" ht="3.75" customHeight="1">
      <c r="A45" s="191"/>
      <c r="B45" s="6"/>
      <c r="C45" s="192"/>
      <c r="D45" s="310"/>
      <c r="E45" s="204"/>
      <c r="F45" s="205"/>
      <c r="G45" s="205"/>
      <c r="H45" s="206"/>
      <c r="I45" s="207"/>
      <c r="J45" s="208"/>
      <c r="K45" s="209"/>
      <c r="L45" s="210"/>
      <c r="M45" s="211"/>
      <c r="N45" s="47"/>
      <c r="O45" s="47"/>
      <c r="P45" s="122"/>
      <c r="Q45" s="146"/>
      <c r="R45" s="212" t="s">
        <v>120</v>
      </c>
      <c r="S45" s="157"/>
      <c r="T45" s="5"/>
      <c r="U45" s="5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</row>
    <row r="46" ht="15.75" customHeight="1">
      <c r="A46" s="124"/>
      <c r="B46" s="6"/>
      <c r="C46" s="124"/>
      <c r="D46" s="159" t="s">
        <v>83</v>
      </c>
      <c r="E46" s="167" t="s">
        <v>84</v>
      </c>
      <c r="F46" s="127">
        <v>3.0</v>
      </c>
      <c r="G46" s="127">
        <v>3.0</v>
      </c>
      <c r="H46" s="195"/>
      <c r="I46" s="130">
        <v>430.0</v>
      </c>
      <c r="J46" s="151">
        <v>5.0</v>
      </c>
      <c r="K46" s="213"/>
      <c r="L46" s="133">
        <v>5.0</v>
      </c>
      <c r="M46" s="134"/>
      <c r="N46" s="135"/>
      <c r="O46" s="135"/>
      <c r="P46" s="112" t="str">
        <f>iferror(mround(I46/VLOOKUP(L46,Sheet1!$D$7:$N$16,G46+1,FALSE),2.5),"")</f>
        <v/>
      </c>
      <c r="Q46" s="136"/>
      <c r="R46" s="214"/>
      <c r="S46" s="11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</row>
    <row r="47" ht="3.75" customHeight="1">
      <c r="A47" s="124"/>
      <c r="B47" s="6"/>
      <c r="C47" s="124"/>
      <c r="D47" s="138"/>
      <c r="E47" s="215"/>
      <c r="F47" s="102"/>
      <c r="G47" s="102"/>
      <c r="H47" s="102"/>
      <c r="I47" s="102"/>
      <c r="J47" s="216"/>
      <c r="K47" s="217"/>
      <c r="L47" s="218"/>
      <c r="M47" s="144"/>
      <c r="N47" s="145"/>
      <c r="O47" s="145"/>
      <c r="P47" s="122"/>
      <c r="Q47" s="146"/>
      <c r="R47" s="214"/>
      <c r="S47" s="11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</row>
    <row r="48" ht="15.75" customHeight="1">
      <c r="A48" s="90"/>
      <c r="B48" s="6"/>
      <c r="C48" s="90"/>
      <c r="D48" s="159" t="s">
        <v>66</v>
      </c>
      <c r="E48" s="167" t="s">
        <v>79</v>
      </c>
      <c r="F48" s="127">
        <v>3.0</v>
      </c>
      <c r="G48" s="127">
        <v>7.0</v>
      </c>
      <c r="H48" s="195"/>
      <c r="I48" s="130">
        <v>225.0</v>
      </c>
      <c r="J48" s="151">
        <v>6.0</v>
      </c>
      <c r="K48" s="219" t="s">
        <v>85</v>
      </c>
      <c r="L48" s="133">
        <v>6.0</v>
      </c>
      <c r="M48" s="134"/>
      <c r="N48" s="135"/>
      <c r="O48" s="135"/>
      <c r="P48" s="112">
        <f>iferror(mround(I48/VLOOKUP(L48,Sheet1!$D$7:$N$16,G48+1,FALSE),2.5),"")</f>
        <v>315</v>
      </c>
      <c r="Q48" s="136"/>
      <c r="R48" s="214"/>
      <c r="S48" s="11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</row>
    <row r="49" ht="3.75" customHeight="1">
      <c r="A49" s="90"/>
      <c r="B49" s="6"/>
      <c r="C49" s="90"/>
      <c r="D49" s="138"/>
      <c r="E49" s="215"/>
      <c r="F49" s="102"/>
      <c r="G49" s="102"/>
      <c r="H49" s="102"/>
      <c r="I49" s="102"/>
      <c r="J49" s="216"/>
      <c r="K49" s="217"/>
      <c r="L49" s="218"/>
      <c r="M49" s="144"/>
      <c r="N49" s="145"/>
      <c r="O49" s="145"/>
      <c r="P49" s="122"/>
      <c r="Q49" s="146"/>
      <c r="R49" s="214"/>
      <c r="S49" s="11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</row>
    <row r="50" ht="15.75" customHeight="1">
      <c r="A50" s="90"/>
      <c r="B50" s="6"/>
      <c r="C50" s="90"/>
      <c r="D50" s="159" t="s">
        <v>86</v>
      </c>
      <c r="E50" s="167" t="s">
        <v>87</v>
      </c>
      <c r="F50" s="127">
        <v>3.0</v>
      </c>
      <c r="G50" s="169">
        <v>45577.0</v>
      </c>
      <c r="H50" s="195"/>
      <c r="I50" s="130">
        <v>120.0</v>
      </c>
      <c r="J50" s="151">
        <v>7.0</v>
      </c>
      <c r="K50" s="219"/>
      <c r="L50" s="133">
        <v>7.5</v>
      </c>
      <c r="M50" s="134"/>
      <c r="N50" s="135"/>
      <c r="O50" s="135"/>
      <c r="P50" s="112" t="str">
        <f>iferror(mround(I50/VLOOKUP(L50,Sheet1!$D$7:$N$16,G50+1,FALSE),2.5),"")</f>
        <v/>
      </c>
      <c r="Q50" s="136"/>
      <c r="R50" s="214"/>
      <c r="S50" s="11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</row>
    <row r="51" ht="3.75" customHeight="1">
      <c r="A51" s="90"/>
      <c r="B51" s="6"/>
      <c r="C51" s="90"/>
      <c r="D51" s="138"/>
      <c r="E51" s="215"/>
      <c r="F51" s="102"/>
      <c r="G51" s="102"/>
      <c r="H51" s="102"/>
      <c r="I51" s="102"/>
      <c r="J51" s="156"/>
      <c r="K51" s="217"/>
      <c r="L51" s="143"/>
      <c r="M51" s="144"/>
      <c r="N51" s="145"/>
      <c r="O51" s="145"/>
      <c r="P51" s="122"/>
      <c r="Q51" s="146"/>
      <c r="R51" s="214"/>
      <c r="S51" s="11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</row>
    <row r="52" ht="15.75" customHeight="1">
      <c r="A52" s="90"/>
      <c r="B52" s="6"/>
      <c r="C52" s="90"/>
      <c r="D52" s="159" t="s">
        <v>121</v>
      </c>
      <c r="E52" s="167"/>
      <c r="F52" s="127">
        <v>3.0</v>
      </c>
      <c r="G52" s="169">
        <v>45577.0</v>
      </c>
      <c r="H52" s="195"/>
      <c r="I52" s="130">
        <v>65.0</v>
      </c>
      <c r="J52" s="151">
        <v>7.0</v>
      </c>
      <c r="K52" s="213"/>
      <c r="L52" s="133">
        <v>7.0</v>
      </c>
      <c r="M52" s="134"/>
      <c r="N52" s="135"/>
      <c r="O52" s="135"/>
      <c r="P52" s="112" t="str">
        <f>iferror(mround(I52/VLOOKUP(L52,Sheet1!$D$7:$N$16,G52+1,FALSE),2.5),"")</f>
        <v/>
      </c>
      <c r="Q52" s="136"/>
      <c r="R52" s="214"/>
      <c r="S52" s="11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</row>
    <row r="53" ht="3.75" customHeight="1">
      <c r="A53" s="90"/>
      <c r="B53" s="6"/>
      <c r="C53" s="90"/>
      <c r="D53" s="138"/>
      <c r="E53" s="215"/>
      <c r="F53" s="102"/>
      <c r="G53" s="102"/>
      <c r="H53" s="102"/>
      <c r="I53" s="102"/>
      <c r="J53" s="156"/>
      <c r="K53" s="217"/>
      <c r="L53" s="143"/>
      <c r="M53" s="144"/>
      <c r="N53" s="145"/>
      <c r="O53" s="145"/>
      <c r="P53" s="122"/>
      <c r="Q53" s="146"/>
      <c r="R53" s="214"/>
      <c r="S53" s="11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</row>
    <row r="54" ht="15.75" customHeight="1">
      <c r="A54" s="90"/>
      <c r="B54" s="6"/>
      <c r="C54" s="90"/>
      <c r="D54" s="159" t="s">
        <v>88</v>
      </c>
      <c r="E54" s="220"/>
      <c r="F54" s="127">
        <v>3.0</v>
      </c>
      <c r="G54" s="221">
        <v>45641.0</v>
      </c>
      <c r="H54" s="195"/>
      <c r="I54" s="130">
        <v>25.0</v>
      </c>
      <c r="J54" s="151">
        <v>9.0</v>
      </c>
      <c r="K54" s="213"/>
      <c r="L54" s="133">
        <v>8.0</v>
      </c>
      <c r="M54" s="134"/>
      <c r="N54" s="135"/>
      <c r="O54" s="135"/>
      <c r="P54" s="112" t="str">
        <f>iferror(mround(I54/VLOOKUP(L54,Sheet1!$D$7:$N$16,G54+1,FALSE),2.5),"")</f>
        <v/>
      </c>
      <c r="Q54" s="136"/>
      <c r="R54" s="214"/>
      <c r="S54" s="11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</row>
    <row r="55" ht="3.75" hidden="1" customHeight="1">
      <c r="A55" s="90"/>
      <c r="B55" s="6"/>
      <c r="C55" s="90"/>
      <c r="D55" s="138"/>
      <c r="E55" s="215"/>
      <c r="F55" s="102"/>
      <c r="G55" s="102"/>
      <c r="H55" s="102"/>
      <c r="I55" s="102"/>
      <c r="J55" s="216"/>
      <c r="K55" s="217"/>
      <c r="L55" s="143"/>
      <c r="M55" s="144"/>
      <c r="N55" s="145"/>
      <c r="O55" s="145"/>
      <c r="P55" s="122"/>
      <c r="Q55" s="146"/>
      <c r="R55" s="214"/>
      <c r="S55" s="11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</row>
    <row r="56" ht="15.75" hidden="1" customHeight="1">
      <c r="A56" s="90"/>
      <c r="B56" s="6"/>
      <c r="C56" s="90"/>
      <c r="D56" s="185"/>
      <c r="E56" s="220"/>
      <c r="F56" s="187"/>
      <c r="G56" s="187"/>
      <c r="H56" s="195"/>
      <c r="I56" s="164"/>
      <c r="J56" s="189"/>
      <c r="K56" s="213"/>
      <c r="L56" s="183"/>
      <c r="M56" s="134"/>
      <c r="N56" s="135"/>
      <c r="O56" s="135"/>
      <c r="P56" s="112" t="str">
        <f>iferror(mround(I56/VLOOKUP(L56,Sheet1!$D$7:$N$16,G56+1,FALSE),2.5),"")</f>
        <v/>
      </c>
      <c r="Q56" s="136"/>
      <c r="R56" s="214"/>
      <c r="S56" s="11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</row>
    <row r="57" ht="3.75" hidden="1" customHeight="1">
      <c r="A57" s="90"/>
      <c r="B57" s="6"/>
      <c r="C57" s="90"/>
      <c r="D57" s="138"/>
      <c r="E57" s="215"/>
      <c r="F57" s="102"/>
      <c r="G57" s="102"/>
      <c r="H57" s="102"/>
      <c r="I57" s="102"/>
      <c r="J57" s="216"/>
      <c r="K57" s="217"/>
      <c r="L57" s="143"/>
      <c r="M57" s="144"/>
      <c r="N57" s="145"/>
      <c r="O57" s="145"/>
      <c r="P57" s="122"/>
      <c r="Q57" s="146"/>
      <c r="R57" s="214"/>
      <c r="S57" s="11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</row>
    <row r="58" ht="18.0" hidden="1" customHeight="1">
      <c r="A58" s="90"/>
      <c r="B58" s="6"/>
      <c r="C58" s="90"/>
      <c r="D58" s="185"/>
      <c r="E58" s="220"/>
      <c r="F58" s="187"/>
      <c r="G58" s="187"/>
      <c r="H58" s="195"/>
      <c r="I58" s="164"/>
      <c r="J58" s="189"/>
      <c r="K58" s="213"/>
      <c r="L58" s="183"/>
      <c r="M58" s="134"/>
      <c r="N58" s="135"/>
      <c r="O58" s="135"/>
      <c r="P58" s="112" t="str">
        <f>iferror(mround(I58/VLOOKUP(L58,Sheet1!$D$7:$N$16,G58+1,FALSE),2.5),"")</f>
        <v/>
      </c>
      <c r="Q58" s="136"/>
      <c r="R58" s="214"/>
      <c r="S58" s="11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</row>
    <row r="59" ht="3.75" hidden="1" customHeight="1">
      <c r="A59" s="191"/>
      <c r="B59" s="6"/>
      <c r="C59" s="192"/>
      <c r="D59" s="138"/>
      <c r="E59" s="311"/>
      <c r="F59" s="194"/>
      <c r="G59" s="194"/>
      <c r="H59" s="155"/>
      <c r="I59" s="210"/>
      <c r="J59" s="216"/>
      <c r="K59" s="217"/>
      <c r="L59" s="143"/>
      <c r="M59" s="144"/>
      <c r="N59" s="145"/>
      <c r="O59" s="145"/>
      <c r="P59" s="122"/>
      <c r="Q59" s="146"/>
      <c r="R59" s="214"/>
      <c r="S59" s="157"/>
      <c r="T59" s="5"/>
      <c r="U59" s="5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</row>
    <row r="60" ht="15.75" hidden="1" customHeight="1">
      <c r="A60" s="90"/>
      <c r="B60" s="6"/>
      <c r="C60" s="90"/>
      <c r="D60" s="185"/>
      <c r="E60" s="312"/>
      <c r="F60" s="187"/>
      <c r="G60" s="187"/>
      <c r="H60" s="195"/>
      <c r="I60" s="164"/>
      <c r="J60" s="189"/>
      <c r="K60" s="213"/>
      <c r="L60" s="183"/>
      <c r="M60" s="134"/>
      <c r="N60" s="135"/>
      <c r="O60" s="135"/>
      <c r="P60" s="112" t="str">
        <f>iferror(mround(I60/VLOOKUP(L60,Sheet1!$D$7:$N$16,G60+1,FALSE),2.5),"")</f>
        <v/>
      </c>
      <c r="Q60" s="136"/>
      <c r="R60" s="214"/>
      <c r="S60" s="11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</row>
    <row r="61" ht="3.75" hidden="1" customHeight="1">
      <c r="A61" s="90"/>
      <c r="B61" s="6"/>
      <c r="C61" s="90"/>
      <c r="D61" s="138"/>
      <c r="E61" s="215"/>
      <c r="F61" s="102"/>
      <c r="G61" s="102"/>
      <c r="H61" s="102"/>
      <c r="I61" s="102"/>
      <c r="J61" s="156"/>
      <c r="K61" s="217"/>
      <c r="L61" s="143"/>
      <c r="M61" s="144"/>
      <c r="N61" s="145"/>
      <c r="O61" s="145"/>
      <c r="P61" s="122"/>
      <c r="Q61" s="146"/>
      <c r="R61" s="214"/>
      <c r="S61" s="11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</row>
    <row r="62" ht="15.75" hidden="1" customHeight="1">
      <c r="A62" s="90"/>
      <c r="B62" s="6"/>
      <c r="C62" s="90"/>
      <c r="D62" s="185"/>
      <c r="E62" s="220"/>
      <c r="F62" s="187"/>
      <c r="G62" s="187"/>
      <c r="H62" s="195"/>
      <c r="I62" s="164"/>
      <c r="J62" s="189"/>
      <c r="K62" s="213"/>
      <c r="L62" s="183"/>
      <c r="M62" s="134"/>
      <c r="N62" s="135"/>
      <c r="O62" s="135"/>
      <c r="P62" s="112" t="str">
        <f>iferror(mround(I62/VLOOKUP(L62,Sheet1!$D$7:$N$16,G62+1,FALSE),2.5),"")</f>
        <v/>
      </c>
      <c r="Q62" s="136"/>
      <c r="R62" s="214"/>
      <c r="S62" s="11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</row>
    <row r="63" ht="3.75" hidden="1" customHeight="1">
      <c r="A63" s="191"/>
      <c r="B63" s="6"/>
      <c r="C63" s="192"/>
      <c r="D63" s="138"/>
      <c r="E63" s="313"/>
      <c r="F63" s="194"/>
      <c r="G63" s="194"/>
      <c r="H63" s="155"/>
      <c r="I63" s="210"/>
      <c r="J63" s="216"/>
      <c r="K63" s="217"/>
      <c r="L63" s="143"/>
      <c r="M63" s="144"/>
      <c r="N63" s="145"/>
      <c r="O63" s="145"/>
      <c r="P63" s="122"/>
      <c r="Q63" s="146"/>
      <c r="R63" s="214"/>
      <c r="S63" s="157"/>
      <c r="T63" s="5"/>
      <c r="U63" s="5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</row>
    <row r="64" ht="15.75" hidden="1" customHeight="1">
      <c r="A64" s="90"/>
      <c r="B64" s="6"/>
      <c r="C64" s="90"/>
      <c r="D64" s="185"/>
      <c r="E64" s="312"/>
      <c r="F64" s="187"/>
      <c r="G64" s="187"/>
      <c r="H64" s="195"/>
      <c r="I64" s="164"/>
      <c r="J64" s="189"/>
      <c r="K64" s="213"/>
      <c r="L64" s="183"/>
      <c r="M64" s="134"/>
      <c r="N64" s="135"/>
      <c r="O64" s="135"/>
      <c r="P64" s="112" t="str">
        <f>iferror(mround(I64/VLOOKUP(L64,Sheet1!$D$7:$N$16,G64+1,FALSE),2.5),"")</f>
        <v/>
      </c>
      <c r="Q64" s="136"/>
      <c r="R64" s="214"/>
      <c r="S64" s="11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</row>
    <row r="65" ht="3.75" hidden="1" customHeight="1">
      <c r="A65" s="90"/>
      <c r="B65" s="6"/>
      <c r="C65" s="90"/>
      <c r="D65" s="196"/>
      <c r="E65" s="215"/>
      <c r="F65" s="102"/>
      <c r="G65" s="102"/>
      <c r="H65" s="102"/>
      <c r="I65" s="102"/>
      <c r="J65" s="156"/>
      <c r="K65" s="217"/>
      <c r="L65" s="143"/>
      <c r="M65" s="144"/>
      <c r="N65" s="145"/>
      <c r="O65" s="145"/>
      <c r="P65" s="122"/>
      <c r="Q65" s="146"/>
      <c r="R65" s="214"/>
      <c r="S65" s="11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</row>
    <row r="66" ht="15.75" hidden="1" customHeight="1">
      <c r="A66" s="90"/>
      <c r="B66" s="6"/>
      <c r="C66" s="90"/>
      <c r="D66" s="197"/>
      <c r="E66" s="314"/>
      <c r="F66" s="199"/>
      <c r="G66" s="187"/>
      <c r="H66" s="195"/>
      <c r="I66" s="164"/>
      <c r="J66" s="189"/>
      <c r="K66" s="213"/>
      <c r="L66" s="183"/>
      <c r="M66" s="134"/>
      <c r="N66" s="135"/>
      <c r="O66" s="135"/>
      <c r="P66" s="112" t="str">
        <f>iferror(mround(I66/VLOOKUP(L66,Sheet1!$D$7:$N$16,G66+1,FALSE),2.5),"")</f>
        <v/>
      </c>
      <c r="Q66" s="136"/>
      <c r="R66" s="214"/>
      <c r="S66" s="11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</row>
    <row r="67" ht="3.75" customHeight="1">
      <c r="A67" s="90"/>
      <c r="B67" s="6"/>
      <c r="C67" s="90"/>
      <c r="D67" s="90"/>
      <c r="E67" s="120"/>
      <c r="F67" s="102"/>
      <c r="G67" s="102"/>
      <c r="H67" s="102"/>
      <c r="I67" s="102"/>
      <c r="J67" s="156"/>
      <c r="K67" s="315"/>
      <c r="L67" s="201"/>
      <c r="M67" s="211"/>
      <c r="N67" s="47"/>
      <c r="O67" s="47"/>
      <c r="P67" s="122"/>
      <c r="Q67" s="146"/>
      <c r="R67" s="214"/>
      <c r="S67" s="11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</row>
    <row r="68" ht="30.75" customHeight="1">
      <c r="A68" s="90"/>
      <c r="B68" s="6"/>
      <c r="C68" s="90"/>
      <c r="D68" s="104" t="s">
        <v>49</v>
      </c>
      <c r="E68" s="105" t="s">
        <v>89</v>
      </c>
      <c r="F68" s="106" t="s">
        <v>16</v>
      </c>
      <c r="G68" s="106" t="s">
        <v>17</v>
      </c>
      <c r="H68" s="107"/>
      <c r="I68" s="106" t="s">
        <v>18</v>
      </c>
      <c r="J68" s="108" t="s">
        <v>19</v>
      </c>
      <c r="L68" s="109" t="s">
        <v>20</v>
      </c>
      <c r="M68" s="110" t="s">
        <v>21</v>
      </c>
      <c r="N68" s="111" t="s">
        <v>22</v>
      </c>
      <c r="P68" s="112"/>
      <c r="Q68" s="113" t="s">
        <v>23</v>
      </c>
      <c r="R68" s="114" t="s">
        <v>50</v>
      </c>
      <c r="S68" s="11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</row>
    <row r="69" ht="14.25" customHeight="1">
      <c r="A69" s="90"/>
      <c r="B69" s="6"/>
      <c r="C69" s="90"/>
      <c r="D69" s="116">
        <v>4.0</v>
      </c>
      <c r="E69" s="117">
        <v>2.0</v>
      </c>
      <c r="H69" s="107"/>
      <c r="N69" s="111" t="s">
        <v>27</v>
      </c>
      <c r="O69" s="111" t="s">
        <v>28</v>
      </c>
      <c r="P69" s="112" t="s">
        <v>29</v>
      </c>
      <c r="R69" s="118" t="s">
        <v>30</v>
      </c>
      <c r="S69" s="11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</row>
    <row r="70" ht="3.75" customHeight="1">
      <c r="A70" s="191"/>
      <c r="B70" s="6"/>
      <c r="C70" s="192"/>
      <c r="D70" s="203"/>
      <c r="E70" s="203"/>
      <c r="F70" s="205"/>
      <c r="G70" s="205"/>
      <c r="H70" s="205"/>
      <c r="I70" s="225"/>
      <c r="J70" s="226"/>
      <c r="K70" s="316"/>
      <c r="L70" s="210"/>
      <c r="M70" s="211"/>
      <c r="N70" s="47"/>
      <c r="O70" s="47"/>
      <c r="P70" s="122"/>
      <c r="Q70" s="146"/>
      <c r="R70" s="212" t="s">
        <v>122</v>
      </c>
      <c r="S70" s="157"/>
      <c r="T70" s="5"/>
      <c r="U70" s="5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</row>
    <row r="71" ht="15.75" customHeight="1">
      <c r="A71" s="124"/>
      <c r="B71" s="6"/>
      <c r="C71" s="124"/>
      <c r="D71" s="125" t="s">
        <v>90</v>
      </c>
      <c r="E71" s="126"/>
      <c r="F71" s="127">
        <v>1.0</v>
      </c>
      <c r="G71" s="240">
        <v>5.0</v>
      </c>
      <c r="H71" s="129"/>
      <c r="I71" s="130">
        <v>386.0</v>
      </c>
      <c r="J71" s="151">
        <v>6.5</v>
      </c>
      <c r="K71" s="213"/>
      <c r="L71" s="133">
        <v>6.5</v>
      </c>
      <c r="M71" s="134"/>
      <c r="N71" s="135" t="str">
        <f>iferror(mround(#REF!*((VLOOKUP($J71,Sheet1!$D:$N,$G71+1,FALSE)-0.03)),2.5)," ")</f>
        <v> </v>
      </c>
      <c r="O71" s="135" t="str">
        <f>iferror(mround(#REF!*((VLOOKUP($J71,Sheet1!$D:$N,$G71+1,FALSE)+0.02)),2.5)," ")</f>
        <v> </v>
      </c>
      <c r="P71" s="112">
        <f>iferror(mround(I71/VLOOKUP(L71,Sheet1!$D$7:$N$16,G71+1,FALSE),2.5),"")</f>
        <v>497.5</v>
      </c>
      <c r="Q71" s="136"/>
      <c r="R71" s="214"/>
      <c r="S71" s="11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</row>
    <row r="72" ht="3.75" customHeight="1">
      <c r="A72" s="124"/>
      <c r="B72" s="6"/>
      <c r="C72" s="124"/>
      <c r="D72" s="138"/>
      <c r="E72" s="139"/>
      <c r="F72" s="140"/>
      <c r="G72" s="140"/>
      <c r="H72" s="140"/>
      <c r="I72" s="140"/>
      <c r="J72" s="141"/>
      <c r="K72" s="217"/>
      <c r="L72" s="218"/>
      <c r="M72" s="144"/>
      <c r="N72" s="145"/>
      <c r="O72" s="145"/>
      <c r="P72" s="122"/>
      <c r="Q72" s="146"/>
      <c r="R72" s="214"/>
      <c r="S72" s="11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</row>
    <row r="73" ht="15.75" customHeight="1">
      <c r="A73" s="90"/>
      <c r="B73" s="6"/>
      <c r="C73" s="90"/>
      <c r="D73" s="125" t="s">
        <v>77</v>
      </c>
      <c r="E73" s="126"/>
      <c r="F73" s="127">
        <v>3.0</v>
      </c>
      <c r="G73" s="240">
        <v>5.0</v>
      </c>
      <c r="H73" s="129"/>
      <c r="I73" s="164">
        <f>MROUND(I71*(1+J73),5)</f>
        <v>345</v>
      </c>
      <c r="J73" s="165">
        <v>-0.1</v>
      </c>
      <c r="K73" s="213"/>
      <c r="L73" s="133">
        <v>5.5</v>
      </c>
      <c r="M73" s="134"/>
      <c r="N73" s="135" t="str">
        <f>iferror(mround(#REF!*((VLOOKUP($J73,Sheet1!$D:$N,$G73+1,FALSE)-0.03)),2.5)," ")</f>
        <v> </v>
      </c>
      <c r="O73" s="135" t="str">
        <f>iferror(mround(#REF!*((VLOOKUP($J73,Sheet1!$D:$N,$G73+1,FALSE)+0.02)),2.5)," ")</f>
        <v> </v>
      </c>
      <c r="P73" s="112" t="str">
        <f>iferror(mround(I73/VLOOKUP(L73,Sheet1!$D$7:$N$16,G73+1,FALSE),2.5),"")</f>
        <v/>
      </c>
      <c r="Q73" s="136"/>
      <c r="R73" s="214"/>
      <c r="S73" s="11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</row>
    <row r="74" ht="3.75" customHeight="1">
      <c r="A74" s="90"/>
      <c r="B74" s="6"/>
      <c r="C74" s="90"/>
      <c r="D74" s="138"/>
      <c r="E74" s="215"/>
      <c r="F74" s="102"/>
      <c r="G74" s="102"/>
      <c r="H74" s="102"/>
      <c r="I74" s="102"/>
      <c r="J74" s="156"/>
      <c r="K74" s="217"/>
      <c r="L74" s="218"/>
      <c r="M74" s="144"/>
      <c r="N74" s="145"/>
      <c r="O74" s="145"/>
      <c r="P74" s="122"/>
      <c r="Q74" s="146"/>
      <c r="R74" s="214"/>
      <c r="S74" s="11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</row>
    <row r="75" ht="15.75" customHeight="1">
      <c r="A75" s="90"/>
      <c r="B75" s="6"/>
      <c r="C75" s="90"/>
      <c r="D75" s="159" t="s">
        <v>33</v>
      </c>
      <c r="E75" s="160" t="s">
        <v>34</v>
      </c>
      <c r="F75" s="127">
        <v>3.0</v>
      </c>
      <c r="G75" s="161">
        <v>2.0</v>
      </c>
      <c r="H75" s="129"/>
      <c r="I75" s="130">
        <v>265.0</v>
      </c>
      <c r="J75" s="151">
        <v>7.0</v>
      </c>
      <c r="K75" s="219" t="s">
        <v>91</v>
      </c>
      <c r="L75" s="133">
        <v>7.0</v>
      </c>
      <c r="M75" s="134"/>
      <c r="N75" s="135" t="str">
        <f>iferror(mround(#REF!*((VLOOKUP($J75,Sheet1!$D:$N,$G75+1,FALSE)-0.03)),2.5)," ")</f>
        <v> </v>
      </c>
      <c r="O75" s="135" t="str">
        <f>iferror(mround(#REF!*((VLOOKUP($J75,Sheet1!$D:$N,$G75+1,FALSE)+0.02)),2.5)," ")</f>
        <v> </v>
      </c>
      <c r="P75" s="112">
        <f>iferror(mround(I75/VLOOKUP(L75,Sheet1!$D$7:$N$16,G75+1,FALSE),2.5),"")</f>
        <v>307.5</v>
      </c>
      <c r="Q75" s="136"/>
      <c r="R75" s="214"/>
      <c r="S75" s="11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</row>
    <row r="76" ht="3.75" customHeight="1">
      <c r="A76" s="90"/>
      <c r="B76" s="6"/>
      <c r="C76" s="90"/>
      <c r="D76" s="138"/>
      <c r="E76" s="154"/>
      <c r="F76" s="155"/>
      <c r="G76" s="102"/>
      <c r="H76" s="102"/>
      <c r="I76" s="102"/>
      <c r="J76" s="156"/>
      <c r="K76" s="217"/>
      <c r="L76" s="218"/>
      <c r="M76" s="144"/>
      <c r="N76" s="145"/>
      <c r="O76" s="145"/>
      <c r="P76" s="122"/>
      <c r="Q76" s="146"/>
      <c r="R76" s="214"/>
      <c r="S76" s="11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</row>
    <row r="77" ht="15.75" customHeight="1">
      <c r="A77" s="90"/>
      <c r="B77" s="6"/>
      <c r="C77" s="90"/>
      <c r="D77" s="159" t="s">
        <v>45</v>
      </c>
      <c r="E77" s="220"/>
      <c r="F77" s="127">
        <v>3.0</v>
      </c>
      <c r="G77" s="127" t="s">
        <v>41</v>
      </c>
      <c r="H77" s="195"/>
      <c r="I77" s="130" t="s">
        <v>92</v>
      </c>
      <c r="J77" s="151"/>
      <c r="K77" s="213"/>
      <c r="L77" s="133">
        <v>9.0</v>
      </c>
      <c r="M77" s="134"/>
      <c r="N77" s="135" t="str">
        <f>iferror(mround(#REF!*((VLOOKUP($J77,Sheet1!$D:$N,$G77+1,FALSE)-0.03)),2.5)," ")</f>
        <v> </v>
      </c>
      <c r="O77" s="135" t="str">
        <f>iferror(mround(#REF!*((VLOOKUP($J77,Sheet1!$D:$N,$G77+1,FALSE)+0.02)),2.5)," ")</f>
        <v> </v>
      </c>
      <c r="P77" s="112" t="str">
        <f>iferror(mround(I77/VLOOKUP(L77,Sheet1!$D$7:$N$16,G77+1,FALSE),2.5),"")</f>
        <v/>
      </c>
      <c r="Q77" s="136"/>
      <c r="R77" s="214"/>
      <c r="S77" s="11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</row>
    <row r="78" ht="3.75" customHeight="1">
      <c r="A78" s="90"/>
      <c r="B78" s="6"/>
      <c r="C78" s="90"/>
      <c r="D78" s="138"/>
      <c r="E78" s="215"/>
      <c r="F78" s="102"/>
      <c r="G78" s="102"/>
      <c r="H78" s="102"/>
      <c r="I78" s="102"/>
      <c r="J78" s="156"/>
      <c r="K78" s="217"/>
      <c r="L78" s="218"/>
      <c r="M78" s="144"/>
      <c r="N78" s="145"/>
      <c r="O78" s="145"/>
      <c r="P78" s="122"/>
      <c r="Q78" s="146"/>
      <c r="R78" s="214"/>
      <c r="S78" s="11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</row>
    <row r="79" ht="15.75" customHeight="1">
      <c r="A79" s="90"/>
      <c r="B79" s="6"/>
      <c r="C79" s="90"/>
      <c r="D79" s="159" t="s">
        <v>94</v>
      </c>
      <c r="E79" s="220"/>
      <c r="F79" s="127">
        <v>3.0</v>
      </c>
      <c r="G79" s="221">
        <v>45641.0</v>
      </c>
      <c r="H79" s="195"/>
      <c r="I79" s="130">
        <v>25.0</v>
      </c>
      <c r="J79" s="151">
        <v>9.0</v>
      </c>
      <c r="K79" s="213"/>
      <c r="L79" s="133">
        <v>10.0</v>
      </c>
      <c r="M79" s="134"/>
      <c r="N79" s="135" t="str">
        <f>iferror(mround(#REF!*((VLOOKUP($J79,Sheet1!$D:$N,$G79+1,FALSE)-0.03)),2.5)," ")</f>
        <v> </v>
      </c>
      <c r="O79" s="135" t="str">
        <f>iferror(mround(#REF!*((VLOOKUP($J79,Sheet1!$D:$N,$G79+1,FALSE)+0.02)),2.5)," ")</f>
        <v> </v>
      </c>
      <c r="P79" s="112" t="str">
        <f>iferror(mround(I79/VLOOKUP(L79,Sheet1!$D$7:$N$16,G79+1,FALSE),2.5),"")</f>
        <v/>
      </c>
      <c r="Q79" s="136"/>
      <c r="R79" s="214"/>
      <c r="S79" s="11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</row>
    <row r="80" ht="3.75" customHeight="1">
      <c r="A80" s="90"/>
      <c r="B80" s="6"/>
      <c r="C80" s="90"/>
      <c r="D80" s="138"/>
      <c r="E80" s="215"/>
      <c r="F80" s="102"/>
      <c r="G80" s="102"/>
      <c r="H80" s="102"/>
      <c r="I80" s="102"/>
      <c r="J80" s="156"/>
      <c r="K80" s="217"/>
      <c r="L80" s="218"/>
      <c r="M80" s="144"/>
      <c r="N80" s="145"/>
      <c r="O80" s="145"/>
      <c r="P80" s="122"/>
      <c r="Q80" s="146"/>
      <c r="R80" s="214"/>
      <c r="S80" s="11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</row>
    <row r="81" ht="15.75" hidden="1" customHeight="1">
      <c r="A81" s="90"/>
      <c r="B81" s="6"/>
      <c r="C81" s="90"/>
      <c r="D81" s="185"/>
      <c r="E81" s="220"/>
      <c r="F81" s="187"/>
      <c r="G81" s="229"/>
      <c r="H81" s="195"/>
      <c r="I81" s="164"/>
      <c r="J81" s="189"/>
      <c r="K81" s="213"/>
      <c r="L81" s="183"/>
      <c r="M81" s="134"/>
      <c r="N81" s="135" t="str">
        <f>iferror(mround(#REF!*((VLOOKUP($J81,Sheet1!$D:$N,$G81+1,FALSE)-0.03)),2.5)," ")</f>
        <v> </v>
      </c>
      <c r="O81" s="135" t="str">
        <f>iferror(mround(#REF!*((VLOOKUP($J81,Sheet1!$D:$N,$G81+1,FALSE)+0.02)),2.5)," ")</f>
        <v> </v>
      </c>
      <c r="P81" s="112" t="str">
        <f>iferror(mround(I81/VLOOKUP(L81,Sheet1!$D$7:$N$16,G81+1,FALSE),2.5),"")</f>
        <v/>
      </c>
      <c r="Q81" s="136"/>
      <c r="R81" s="214"/>
      <c r="S81" s="11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</row>
    <row r="82" ht="3.75" hidden="1" customHeight="1">
      <c r="A82" s="90"/>
      <c r="B82" s="6"/>
      <c r="C82" s="90"/>
      <c r="D82" s="138"/>
      <c r="E82" s="215"/>
      <c r="F82" s="102"/>
      <c r="G82" s="102"/>
      <c r="H82" s="102"/>
      <c r="I82" s="102"/>
      <c r="J82" s="216"/>
      <c r="K82" s="217"/>
      <c r="L82" s="218"/>
      <c r="M82" s="144"/>
      <c r="N82" s="145"/>
      <c r="O82" s="145"/>
      <c r="P82" s="122"/>
      <c r="Q82" s="146"/>
      <c r="R82" s="214"/>
      <c r="S82" s="11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</row>
    <row r="83" ht="15.75" hidden="1" customHeight="1">
      <c r="A83" s="90"/>
      <c r="B83" s="6"/>
      <c r="C83" s="90"/>
      <c r="D83" s="185"/>
      <c r="E83" s="220"/>
      <c r="F83" s="187"/>
      <c r="G83" s="229"/>
      <c r="H83" s="195"/>
      <c r="I83" s="164"/>
      <c r="J83" s="189"/>
      <c r="K83" s="213"/>
      <c r="L83" s="183"/>
      <c r="M83" s="134"/>
      <c r="N83" s="135" t="str">
        <f>iferror(mround(#REF!*((VLOOKUP($J83,Sheet1!$D:$N,$G83+1,FALSE)-0.03)),2.5)," ")</f>
        <v> </v>
      </c>
      <c r="O83" s="135" t="str">
        <f>iferror(mround(#REF!*((VLOOKUP($J83,Sheet1!$D:$N,$G83+1,FALSE)+0.02)),2.5)," ")</f>
        <v> </v>
      </c>
      <c r="P83" s="112" t="str">
        <f>iferror(mround(I83/VLOOKUP(L83,Sheet1!$D$7:$N$16,G83+1,FALSE),2.5),"")</f>
        <v/>
      </c>
      <c r="Q83" s="136"/>
      <c r="R83" s="214"/>
      <c r="S83" s="11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</row>
    <row r="84" ht="3.75" hidden="1" customHeight="1">
      <c r="A84" s="191"/>
      <c r="B84" s="6"/>
      <c r="C84" s="192"/>
      <c r="D84" s="138"/>
      <c r="E84" s="215"/>
      <c r="F84" s="102"/>
      <c r="G84" s="102"/>
      <c r="H84" s="102"/>
      <c r="I84" s="102"/>
      <c r="J84" s="156"/>
      <c r="K84" s="217"/>
      <c r="L84" s="218"/>
      <c r="M84" s="144"/>
      <c r="N84" s="145"/>
      <c r="O84" s="145"/>
      <c r="P84" s="122"/>
      <c r="Q84" s="146"/>
      <c r="R84" s="214"/>
      <c r="S84" s="157"/>
      <c r="T84" s="5"/>
      <c r="U84" s="5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</row>
    <row r="85" ht="15.75" hidden="1" customHeight="1">
      <c r="A85" s="90"/>
      <c r="B85" s="6"/>
      <c r="C85" s="90"/>
      <c r="D85" s="185"/>
      <c r="E85" s="220"/>
      <c r="F85" s="187"/>
      <c r="G85" s="187"/>
      <c r="H85" s="195"/>
      <c r="I85" s="164"/>
      <c r="J85" s="230"/>
      <c r="K85" s="213"/>
      <c r="L85" s="183"/>
      <c r="M85" s="134"/>
      <c r="N85" s="135" t="str">
        <f>iferror(mround(#REF!*((VLOOKUP($J85,Sheet1!$D:$N,$G85+1,FALSE)-0.03)),2.5)," ")</f>
        <v> </v>
      </c>
      <c r="O85" s="135" t="str">
        <f>iferror(mround(#REF!*((VLOOKUP($J85,Sheet1!$D:$N,$G85+1,FALSE)+0.02)),2.5)," ")</f>
        <v> </v>
      </c>
      <c r="P85" s="112" t="str">
        <f>iferror(mround(I85/VLOOKUP(L85,Sheet1!$D$7:$N$16,G85+1,FALSE),2.5),"")</f>
        <v/>
      </c>
      <c r="Q85" s="136"/>
      <c r="R85" s="214"/>
      <c r="S85" s="11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</row>
    <row r="86" ht="3.75" hidden="1" customHeight="1">
      <c r="A86" s="90"/>
      <c r="B86" s="6"/>
      <c r="C86" s="90"/>
      <c r="D86" s="138"/>
      <c r="E86" s="215"/>
      <c r="F86" s="102"/>
      <c r="G86" s="102"/>
      <c r="H86" s="102"/>
      <c r="I86" s="102"/>
      <c r="J86" s="156"/>
      <c r="K86" s="217"/>
      <c r="L86" s="218"/>
      <c r="M86" s="144"/>
      <c r="N86" s="145"/>
      <c r="O86" s="145"/>
      <c r="P86" s="122"/>
      <c r="Q86" s="146"/>
      <c r="R86" s="214"/>
      <c r="S86" s="11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</row>
    <row r="87" ht="15.75" hidden="1" customHeight="1">
      <c r="A87" s="90"/>
      <c r="B87" s="6"/>
      <c r="C87" s="90"/>
      <c r="D87" s="231"/>
      <c r="E87" s="317"/>
      <c r="F87" s="187"/>
      <c r="G87" s="187"/>
      <c r="H87" s="195"/>
      <c r="I87" s="164"/>
      <c r="J87" s="230"/>
      <c r="K87" s="213"/>
      <c r="L87" s="183"/>
      <c r="M87" s="134"/>
      <c r="N87" s="135" t="str">
        <f>iferror(mround(#REF!*((VLOOKUP($J87,Sheet1!$D:$N,$G87+1,FALSE)-0.03)),2.5)," ")</f>
        <v> </v>
      </c>
      <c r="O87" s="135" t="str">
        <f>iferror(mround(#REF!*((VLOOKUP($J87,Sheet1!$D:$N,$G87+1,FALSE)+0.02)),2.5)," ")</f>
        <v> </v>
      </c>
      <c r="P87" s="112" t="str">
        <f>iferror(mround(I87/VLOOKUP(L87,Sheet1!$D$7:$N$16,G87+1,FALSE),2.5),"")</f>
        <v/>
      </c>
      <c r="Q87" s="136"/>
      <c r="R87" s="214"/>
      <c r="S87" s="11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</row>
    <row r="88" ht="3.75" hidden="1" customHeight="1">
      <c r="A88" s="191"/>
      <c r="B88" s="6"/>
      <c r="C88" s="233"/>
      <c r="D88" s="234"/>
      <c r="E88" s="318"/>
      <c r="F88" s="236"/>
      <c r="G88" s="194"/>
      <c r="H88" s="155"/>
      <c r="I88" s="210"/>
      <c r="J88" s="216"/>
      <c r="K88" s="217"/>
      <c r="L88" s="218"/>
      <c r="M88" s="144"/>
      <c r="N88" s="145"/>
      <c r="O88" s="145"/>
      <c r="P88" s="122"/>
      <c r="Q88" s="146"/>
      <c r="R88" s="214"/>
      <c r="S88" s="157"/>
      <c r="T88" s="5"/>
      <c r="U88" s="5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</row>
    <row r="89" ht="15.75" hidden="1" customHeight="1">
      <c r="A89" s="90"/>
      <c r="B89" s="6"/>
      <c r="C89" s="90"/>
      <c r="D89" s="197"/>
      <c r="E89" s="314"/>
      <c r="F89" s="199"/>
      <c r="G89" s="187"/>
      <c r="H89" s="195"/>
      <c r="I89" s="164"/>
      <c r="J89" s="189"/>
      <c r="K89" s="213"/>
      <c r="L89" s="183"/>
      <c r="M89" s="134"/>
      <c r="N89" s="135" t="str">
        <f>iferror(mround(#REF!*((VLOOKUP($J89,Sheet1!$D:$N,$G89+1,FALSE)-0.03)),2.5)," ")</f>
        <v> </v>
      </c>
      <c r="O89" s="135" t="str">
        <f>iferror(mround(#REF!*((VLOOKUP($J89,Sheet1!$D:$N,$G89+1,FALSE)+0.02)),2.5)," ")</f>
        <v> </v>
      </c>
      <c r="P89" s="112" t="str">
        <f>iferror(mround(I89/VLOOKUP(L89,Sheet1!$D$7:$N$16,G89+1,FALSE),2.5),"")</f>
        <v/>
      </c>
      <c r="Q89" s="136"/>
      <c r="R89" s="214"/>
      <c r="S89" s="11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</row>
    <row r="90" ht="3.75" customHeight="1">
      <c r="A90" s="90"/>
      <c r="B90" s="6"/>
      <c r="C90" s="90"/>
      <c r="D90" s="90"/>
      <c r="E90" s="120"/>
      <c r="F90" s="102"/>
      <c r="G90" s="102"/>
      <c r="H90" s="102"/>
      <c r="I90" s="102"/>
      <c r="J90" s="156"/>
      <c r="K90" s="200"/>
      <c r="L90" s="201"/>
      <c r="M90" s="211"/>
      <c r="N90" s="47"/>
      <c r="O90" s="47"/>
      <c r="P90" s="122"/>
      <c r="Q90" s="146"/>
      <c r="R90" s="214"/>
      <c r="S90" s="11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</row>
    <row r="91" ht="30.0" customHeight="1">
      <c r="A91" s="90"/>
      <c r="B91" s="6"/>
      <c r="C91" s="90"/>
      <c r="D91" s="104" t="s">
        <v>55</v>
      </c>
      <c r="E91" s="105" t="s">
        <v>117</v>
      </c>
      <c r="F91" s="106" t="s">
        <v>16</v>
      </c>
      <c r="G91" s="106" t="s">
        <v>17</v>
      </c>
      <c r="H91" s="107"/>
      <c r="I91" s="106" t="s">
        <v>18</v>
      </c>
      <c r="J91" s="108" t="s">
        <v>19</v>
      </c>
      <c r="L91" s="109" t="s">
        <v>20</v>
      </c>
      <c r="M91" s="110" t="s">
        <v>21</v>
      </c>
      <c r="N91" s="111" t="s">
        <v>22</v>
      </c>
      <c r="P91" s="112"/>
      <c r="Q91" s="113" t="s">
        <v>23</v>
      </c>
      <c r="R91" s="114" t="s">
        <v>56</v>
      </c>
      <c r="S91" s="11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</row>
    <row r="92" ht="14.25" customHeight="1">
      <c r="A92" s="90"/>
      <c r="B92" s="6"/>
      <c r="C92" s="90"/>
      <c r="D92" s="116">
        <v>4.0</v>
      </c>
      <c r="E92" s="117" t="s">
        <v>76</v>
      </c>
      <c r="H92" s="107"/>
      <c r="N92" s="111" t="s">
        <v>27</v>
      </c>
      <c r="O92" s="111" t="s">
        <v>28</v>
      </c>
      <c r="P92" s="112" t="s">
        <v>29</v>
      </c>
      <c r="R92" s="118" t="s">
        <v>30</v>
      </c>
      <c r="S92" s="11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</row>
    <row r="93" ht="3.75" customHeight="1">
      <c r="A93" s="191"/>
      <c r="B93" s="6"/>
      <c r="C93" s="192"/>
      <c r="D93" s="310"/>
      <c r="E93" s="204"/>
      <c r="F93" s="205"/>
      <c r="G93" s="205"/>
      <c r="H93" s="205"/>
      <c r="I93" s="225"/>
      <c r="J93" s="319"/>
      <c r="K93" s="243"/>
      <c r="L93" s="238"/>
      <c r="M93" s="211"/>
      <c r="N93" s="47" t="str">
        <f>iferror(mround(#REF!*((VLOOKUP($J93,Sheet1!$D:$N,$G93+1,FALSE)-0.03)),2.5)," ")</f>
        <v> </v>
      </c>
      <c r="O93" s="47" t="str">
        <f>iferror(mround(#REF!*((VLOOKUP($J93,Sheet1!$D:$N,$G93+1,FALSE)+0.02)),2.5)," ")</f>
        <v> </v>
      </c>
      <c r="P93" s="122"/>
      <c r="Q93" s="146"/>
      <c r="R93" s="239"/>
      <c r="S93" s="157"/>
      <c r="T93" s="5"/>
      <c r="U93" s="5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</row>
    <row r="94" ht="15.75" customHeight="1">
      <c r="A94" s="124"/>
      <c r="B94" s="6"/>
      <c r="C94" s="124"/>
      <c r="D94" s="125" t="s">
        <v>97</v>
      </c>
      <c r="E94" s="126"/>
      <c r="F94" s="127">
        <v>1.0</v>
      </c>
      <c r="G94" s="240">
        <v>4.0</v>
      </c>
      <c r="H94" s="129"/>
      <c r="I94" s="130">
        <v>463.0</v>
      </c>
      <c r="J94" s="151">
        <v>6.5</v>
      </c>
      <c r="K94" s="241"/>
      <c r="L94" s="130">
        <v>6.0</v>
      </c>
      <c r="M94" s="134"/>
      <c r="N94" s="135" t="str">
        <f>iferror(mround(#REF!*((VLOOKUP($J94,Sheet1!$D:$N,$G94+1,FALSE)-0.03)),2.5)," ")</f>
        <v> </v>
      </c>
      <c r="O94" s="135" t="str">
        <f>iferror(mround(#REF!*((VLOOKUP($J94,Sheet1!$D:$N,$G94+1,FALSE)+0.02)),2.5)," ")</f>
        <v> </v>
      </c>
      <c r="P94" s="112">
        <f>iferror(mround(I94/VLOOKUP(L94,Sheet1!$D$7:$N$16,G94+1,FALSE),2.5),"")</f>
        <v>585</v>
      </c>
      <c r="Q94" s="136"/>
      <c r="R94" s="242"/>
      <c r="S94" s="11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</row>
    <row r="95" ht="3.75" customHeight="1">
      <c r="A95" s="124"/>
      <c r="B95" s="6"/>
      <c r="C95" s="124"/>
      <c r="D95" s="138"/>
      <c r="E95" s="139"/>
      <c r="F95" s="140"/>
      <c r="G95" s="140"/>
      <c r="H95" s="140"/>
      <c r="I95" s="140"/>
      <c r="J95" s="141"/>
      <c r="K95" s="243"/>
      <c r="L95" s="210"/>
      <c r="M95" s="144"/>
      <c r="N95" s="145" t="str">
        <f>iferror(mround(#REF!*((VLOOKUP($J95,Sheet1!$D:$N,$G95+1,FALSE)-0.03)),2.5)," ")</f>
        <v> </v>
      </c>
      <c r="O95" s="145" t="str">
        <f>iferror(mround(#REF!*((VLOOKUP($J95,Sheet1!$D:$N,$G95+1,FALSE)+0.02)),2.5)," ")</f>
        <v> </v>
      </c>
      <c r="P95" s="122"/>
      <c r="Q95" s="146"/>
      <c r="R95" s="242"/>
      <c r="S95" s="11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</row>
    <row r="96" ht="15.0" customHeight="1">
      <c r="A96" s="124"/>
      <c r="B96" s="6"/>
      <c r="C96" s="124"/>
      <c r="D96" s="125" t="s">
        <v>97</v>
      </c>
      <c r="E96" s="126"/>
      <c r="F96" s="127">
        <v>3.0</v>
      </c>
      <c r="G96" s="240">
        <v>4.0</v>
      </c>
      <c r="H96" s="129"/>
      <c r="I96" s="164">
        <f>MROUND(I94*(1+J96),5)</f>
        <v>415</v>
      </c>
      <c r="J96" s="165">
        <v>-0.1</v>
      </c>
      <c r="K96" s="241"/>
      <c r="L96" s="130">
        <v>5.0</v>
      </c>
      <c r="M96" s="134"/>
      <c r="N96" s="135" t="str">
        <f>iferror(mround(#REF!*((VLOOKUP($J96,Sheet1!$D:$N,$G96+1,FALSE)-0.03)),2.5)," ")</f>
        <v> </v>
      </c>
      <c r="O96" s="135" t="str">
        <f>iferror(mround(#REF!*((VLOOKUP($J96,Sheet1!$D:$N,$G96+1,FALSE)+0.02)),2.5)," ")</f>
        <v> </v>
      </c>
      <c r="P96" s="112" t="str">
        <f>iferror(mround(I96/VLOOKUP(L96,Sheet1!$D$7:$N$16,G96+1,FALSE),2.5),"")</f>
        <v/>
      </c>
      <c r="Q96" s="136"/>
      <c r="R96" s="242"/>
      <c r="S96" s="11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</row>
    <row r="97" ht="3.75" customHeight="1">
      <c r="A97" s="124"/>
      <c r="B97" s="6"/>
      <c r="C97" s="124"/>
      <c r="D97" s="138"/>
      <c r="E97" s="215"/>
      <c r="F97" s="102"/>
      <c r="G97" s="102"/>
      <c r="H97" s="102"/>
      <c r="I97" s="102"/>
      <c r="J97" s="156"/>
      <c r="K97" s="243"/>
      <c r="L97" s="210"/>
      <c r="M97" s="144"/>
      <c r="N97" s="145" t="str">
        <f>iferror(mround(#REF!*((VLOOKUP($J97,Sheet1!$D:$N,$G97+1,FALSE)-0.03)),2.5)," ")</f>
        <v> </v>
      </c>
      <c r="O97" s="145" t="str">
        <f>iferror(mround(#REF!*((VLOOKUP($J97,Sheet1!$D:$N,$G97+1,FALSE)+0.02)),2.5)," ")</f>
        <v> </v>
      </c>
      <c r="P97" s="122"/>
      <c r="Q97" s="146"/>
      <c r="R97" s="242"/>
      <c r="S97" s="11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</row>
    <row r="98" ht="15.75" customHeight="1">
      <c r="A98" s="124"/>
      <c r="B98" s="6"/>
      <c r="C98" s="124"/>
      <c r="D98" s="159" t="s">
        <v>33</v>
      </c>
      <c r="E98" s="126"/>
      <c r="F98" s="127">
        <v>2.0</v>
      </c>
      <c r="G98" s="161">
        <v>1.0</v>
      </c>
      <c r="H98" s="129"/>
      <c r="I98" s="130">
        <v>281.0</v>
      </c>
      <c r="J98" s="189">
        <v>6.0</v>
      </c>
      <c r="K98" s="244" t="s">
        <v>98</v>
      </c>
      <c r="L98" s="130">
        <v>6.0</v>
      </c>
      <c r="M98" s="134"/>
      <c r="N98" s="135" t="str">
        <f>iferror(mround(#REF!*((VLOOKUP($J98,Sheet1!$D:$N,$G98+1,FALSE)-0.03)),2.5)," ")</f>
        <v> </v>
      </c>
      <c r="O98" s="135" t="str">
        <f>iferror(mround(#REF!*((VLOOKUP($J98,Sheet1!$D:$N,$G98+1,FALSE)+0.02)),2.5)," ")</f>
        <v> </v>
      </c>
      <c r="P98" s="112">
        <f>iferror(mround(I98/VLOOKUP(L98,Sheet1!$D$7:$N$16,G98+1,FALSE),2.5),"")</f>
        <v>325</v>
      </c>
      <c r="Q98" s="136"/>
      <c r="R98" s="242"/>
      <c r="S98" s="11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</row>
    <row r="99" ht="3.75" customHeight="1">
      <c r="A99" s="124"/>
      <c r="B99" s="6"/>
      <c r="C99" s="124"/>
      <c r="D99" s="138"/>
      <c r="E99" s="154"/>
      <c r="F99" s="155"/>
      <c r="G99" s="102"/>
      <c r="H99" s="102"/>
      <c r="I99" s="102"/>
      <c r="J99" s="156"/>
      <c r="K99" s="243"/>
      <c r="L99" s="210"/>
      <c r="M99" s="144"/>
      <c r="N99" s="145" t="str">
        <f>iferror(mround(#REF!*((VLOOKUP($J99,Sheet1!$D:$N,$G99+1,FALSE)-0.03)),2.5)," ")</f>
        <v> </v>
      </c>
      <c r="O99" s="145" t="str">
        <f>iferror(mround(#REF!*((VLOOKUP($J99,Sheet1!$D:$N,$G99+1,FALSE)+0.02)),2.5)," ")</f>
        <v> </v>
      </c>
      <c r="P99" s="122"/>
      <c r="Q99" s="146"/>
      <c r="R99" s="242"/>
      <c r="S99" s="11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</row>
    <row r="100" ht="15.75" customHeight="1">
      <c r="A100" s="124"/>
      <c r="B100" s="6"/>
      <c r="C100" s="124"/>
      <c r="D100" s="159" t="s">
        <v>33</v>
      </c>
      <c r="E100" s="126"/>
      <c r="F100" s="127">
        <v>4.0</v>
      </c>
      <c r="G100" s="161">
        <v>4.0</v>
      </c>
      <c r="H100" s="129"/>
      <c r="I100" s="130">
        <v>248.0</v>
      </c>
      <c r="J100" s="151">
        <v>6.0</v>
      </c>
      <c r="K100" s="241" t="s">
        <v>91</v>
      </c>
      <c r="L100" s="130">
        <v>6.0</v>
      </c>
      <c r="M100" s="134"/>
      <c r="N100" s="135" t="str">
        <f>iferror(mround(#REF!*((VLOOKUP($J100,Sheet1!$D:$N,$G100+1,FALSE)-0.03)),2.5)," ")</f>
        <v> </v>
      </c>
      <c r="O100" s="135" t="str">
        <f>iferror(mround(#REF!*((VLOOKUP($J100,Sheet1!$D:$N,$G100+1,FALSE)+0.02)),2.5)," ")</f>
        <v> </v>
      </c>
      <c r="P100" s="112">
        <f>iferror(mround(I100/VLOOKUP(L100,Sheet1!$D$7:$N$16,G100+1,FALSE),2.5),"")</f>
        <v>315</v>
      </c>
      <c r="Q100" s="136"/>
      <c r="R100" s="242"/>
      <c r="S100" s="11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</row>
    <row r="101" ht="3.75" customHeight="1">
      <c r="A101" s="90"/>
      <c r="B101" s="6"/>
      <c r="C101" s="90"/>
      <c r="D101" s="138"/>
      <c r="E101" s="245"/>
      <c r="F101" s="102"/>
      <c r="G101" s="102"/>
      <c r="H101" s="102"/>
      <c r="I101" s="102"/>
      <c r="J101" s="156"/>
      <c r="K101" s="243"/>
      <c r="L101" s="210"/>
      <c r="M101" s="144"/>
      <c r="N101" s="145" t="str">
        <f>iferror(mround(#REF!*((VLOOKUP($J101,Sheet1!$D:$N,$G101+1,FALSE)-0.03)),2.5)," ")</f>
        <v> </v>
      </c>
      <c r="O101" s="145" t="str">
        <f>iferror(mround(#REF!*((VLOOKUP($J101,Sheet1!$D:$N,$G101+1,FALSE)+0.02)),2.5)," ")</f>
        <v> </v>
      </c>
      <c r="P101" s="122"/>
      <c r="Q101" s="146"/>
      <c r="R101" s="242"/>
      <c r="S101" s="11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</row>
    <row r="102" ht="15.75" customHeight="1">
      <c r="A102" s="90"/>
      <c r="B102" s="6"/>
      <c r="C102" s="90"/>
      <c r="D102" s="159" t="s">
        <v>54</v>
      </c>
      <c r="E102" s="227"/>
      <c r="F102" s="127">
        <v>3.0</v>
      </c>
      <c r="G102" s="221">
        <v>45577.0</v>
      </c>
      <c r="H102" s="195"/>
      <c r="I102" s="130">
        <v>120.0</v>
      </c>
      <c r="J102" s="228">
        <v>8.0</v>
      </c>
      <c r="K102" s="241"/>
      <c r="L102" s="130">
        <v>7.0</v>
      </c>
      <c r="M102" s="134"/>
      <c r="N102" s="135" t="str">
        <f>iferror(mround(#REF!*((VLOOKUP($J102,Sheet1!$D:$N,$G102+1,FALSE)-0.03)),2.5)," ")</f>
        <v> </v>
      </c>
      <c r="O102" s="135" t="str">
        <f>iferror(mround(#REF!*((VLOOKUP($J102,Sheet1!$D:$N,$G102+1,FALSE)+0.02)),2.5)," ")</f>
        <v> </v>
      </c>
      <c r="P102" s="112" t="str">
        <f>iferror(mround(I102/VLOOKUP(L102,Sheet1!$D$7:$N$16,G102+1,FALSE),2.5),"")</f>
        <v/>
      </c>
      <c r="Q102" s="136"/>
      <c r="R102" s="242"/>
      <c r="S102" s="11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</row>
    <row r="103" ht="3.75" customHeight="1">
      <c r="A103" s="191"/>
      <c r="B103" s="6"/>
      <c r="C103" s="192"/>
      <c r="D103" s="138"/>
      <c r="E103" s="245"/>
      <c r="F103" s="102"/>
      <c r="G103" s="102"/>
      <c r="H103" s="102"/>
      <c r="I103" s="102"/>
      <c r="J103" s="156"/>
      <c r="K103" s="243"/>
      <c r="L103" s="210"/>
      <c r="M103" s="144"/>
      <c r="N103" s="145" t="str">
        <f>iferror(mround(#REF!*((VLOOKUP($J103,Sheet1!$D:$N,$G103+1,FALSE)-0.03)),2.5)," ")</f>
        <v> </v>
      </c>
      <c r="O103" s="145" t="str">
        <f>iferror(mround(#REF!*((VLOOKUP($J103,Sheet1!$D:$N,$G103+1,FALSE)+0.02)),2.5)," ")</f>
        <v> </v>
      </c>
      <c r="P103" s="122"/>
      <c r="Q103" s="146"/>
      <c r="R103" s="242"/>
      <c r="S103" s="157"/>
      <c r="T103" s="5"/>
      <c r="U103" s="5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</row>
    <row r="104" ht="15.75" customHeight="1">
      <c r="A104" s="90"/>
      <c r="B104" s="6"/>
      <c r="C104" s="90"/>
      <c r="D104" s="159" t="s">
        <v>99</v>
      </c>
      <c r="E104" s="246" t="s">
        <v>100</v>
      </c>
      <c r="F104" s="127">
        <v>3.0</v>
      </c>
      <c r="G104" s="221">
        <v>45577.0</v>
      </c>
      <c r="H104" s="195"/>
      <c r="I104" s="130">
        <v>45.0</v>
      </c>
      <c r="J104" s="228">
        <v>9.0</v>
      </c>
      <c r="K104" s="241"/>
      <c r="L104" s="130">
        <v>9.0</v>
      </c>
      <c r="M104" s="134"/>
      <c r="N104" s="135" t="str">
        <f>iferror(mround(#REF!*((VLOOKUP($J104,Sheet1!$D:$N,$G104+1,FALSE)-0.03)),2.5)," ")</f>
        <v> </v>
      </c>
      <c r="O104" s="135" t="str">
        <f>iferror(mround(#REF!*((VLOOKUP($J104,Sheet1!$D:$N,$G104+1,FALSE)+0.02)),2.5)," ")</f>
        <v> </v>
      </c>
      <c r="P104" s="112" t="str">
        <f>iferror(mround(I104/VLOOKUP(L104,Sheet1!$D$7:$N$16,G104+1,FALSE),2.5),"")</f>
        <v/>
      </c>
      <c r="Q104" s="136"/>
      <c r="R104" s="242"/>
      <c r="S104" s="11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</row>
    <row r="105" ht="3.75" customHeight="1">
      <c r="A105" s="90"/>
      <c r="B105" s="6"/>
      <c r="C105" s="90"/>
      <c r="D105" s="138"/>
      <c r="E105" s="245"/>
      <c r="F105" s="102"/>
      <c r="G105" s="102"/>
      <c r="H105" s="102"/>
      <c r="I105" s="102"/>
      <c r="J105" s="156"/>
      <c r="K105" s="243"/>
      <c r="L105" s="210"/>
      <c r="M105" s="144"/>
      <c r="N105" s="145" t="str">
        <f>iferror(mround(#REF!*((VLOOKUP($J105,Sheet1!$D:$N,$G105+1,FALSE)-0.03)),2.5)," ")</f>
        <v> </v>
      </c>
      <c r="O105" s="145" t="str">
        <f>iferror(mround(#REF!*((VLOOKUP($J105,Sheet1!$D:$N,$G105+1,FALSE)+0.02)),2.5)," ")</f>
        <v> </v>
      </c>
      <c r="P105" s="122"/>
      <c r="Q105" s="146"/>
      <c r="R105" s="242"/>
      <c r="S105" s="11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</row>
    <row r="106" ht="15.75" hidden="1" customHeight="1">
      <c r="A106" s="90"/>
      <c r="B106" s="6"/>
      <c r="C106" s="90"/>
      <c r="D106" s="185"/>
      <c r="E106" s="227"/>
      <c r="F106" s="187"/>
      <c r="G106" s="229"/>
      <c r="H106" s="195"/>
      <c r="I106" s="247"/>
      <c r="J106" s="248"/>
      <c r="K106" s="241"/>
      <c r="L106" s="164"/>
      <c r="M106" s="134"/>
      <c r="N106" s="135" t="str">
        <f>iferror(mround(#REF!*((VLOOKUP($J106,Sheet1!$D:$N,$G106+1,FALSE)-0.03)),2.5)," ")</f>
        <v> </v>
      </c>
      <c r="O106" s="135" t="str">
        <f>iferror(mround(#REF!*((VLOOKUP($J106,Sheet1!$D:$N,$G106+1,FALSE)+0.02)),2.5)," ")</f>
        <v> </v>
      </c>
      <c r="P106" s="112" t="str">
        <f>iferror(mround(I106/VLOOKUP(L106,Sheet1!$D$7:$N$16,G106+1,FALSE),2.5),"")</f>
        <v/>
      </c>
      <c r="Q106" s="136"/>
      <c r="R106" s="242"/>
      <c r="S106" s="11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</row>
    <row r="107" ht="3.75" hidden="1" customHeight="1">
      <c r="A107" s="90"/>
      <c r="B107" s="6"/>
      <c r="C107" s="90"/>
      <c r="D107" s="138"/>
      <c r="E107" s="215"/>
      <c r="F107" s="102"/>
      <c r="G107" s="102"/>
      <c r="H107" s="102"/>
      <c r="I107" s="102"/>
      <c r="J107" s="156"/>
      <c r="K107" s="243"/>
      <c r="L107" s="210"/>
      <c r="M107" s="144"/>
      <c r="N107" s="145" t="str">
        <f>iferror(mround(#REF!*((VLOOKUP($J107,Sheet1!$D:$N,$G107+1,FALSE)-0.03)),2.5)," ")</f>
        <v> </v>
      </c>
      <c r="O107" s="145" t="str">
        <f>iferror(mround(#REF!*((VLOOKUP($J107,Sheet1!$D:$N,$G107+1,FALSE)+0.02)),2.5)," ")</f>
        <v> </v>
      </c>
      <c r="P107" s="122"/>
      <c r="Q107" s="146"/>
      <c r="R107" s="242"/>
      <c r="S107" s="11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</row>
    <row r="108" ht="15.75" hidden="1" customHeight="1">
      <c r="A108" s="90"/>
      <c r="B108" s="6"/>
      <c r="C108" s="90"/>
      <c r="D108" s="185"/>
      <c r="E108" s="220"/>
      <c r="F108" s="187"/>
      <c r="G108" s="229"/>
      <c r="H108" s="195"/>
      <c r="I108" s="247"/>
      <c r="J108" s="248"/>
      <c r="K108" s="241"/>
      <c r="L108" s="164"/>
      <c r="M108" s="134"/>
      <c r="N108" s="135" t="str">
        <f>iferror(mround(#REF!*((VLOOKUP($J108,Sheet1!$D:$N,$G108+1,FALSE)-0.03)),2.5)," ")</f>
        <v> </v>
      </c>
      <c r="O108" s="135" t="str">
        <f>iferror(mround(#REF!*((VLOOKUP($J108,Sheet1!$D:$N,$G108+1,FALSE)+0.02)),2.5)," ")</f>
        <v> </v>
      </c>
      <c r="P108" s="112" t="str">
        <f>iferror(mround(I108/VLOOKUP(L108,Sheet1!$D$7:$N$16,G108+1,FALSE),2.5),"")</f>
        <v/>
      </c>
      <c r="Q108" s="136"/>
      <c r="R108" s="242"/>
      <c r="S108" s="11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</row>
    <row r="109" ht="3.75" customHeight="1">
      <c r="A109" s="90"/>
      <c r="B109" s="6"/>
      <c r="C109" s="90"/>
      <c r="D109" s="196"/>
      <c r="E109" s="215"/>
      <c r="F109" s="102"/>
      <c r="G109" s="102"/>
      <c r="H109" s="102"/>
      <c r="I109" s="102"/>
      <c r="J109" s="156"/>
      <c r="K109" s="243"/>
      <c r="L109" s="210"/>
      <c r="M109" s="144"/>
      <c r="N109" s="145" t="str">
        <f>iferror(mround(#REF!*((VLOOKUP($J109,Sheet1!$D:$N,$G109+1,FALSE)-0.03)),2.5)," ")</f>
        <v> </v>
      </c>
      <c r="O109" s="145" t="str">
        <f>iferror(mround(#REF!*((VLOOKUP($J109,Sheet1!$D:$N,$G109+1,FALSE)+0.02)),2.5)," ")</f>
        <v> </v>
      </c>
      <c r="P109" s="122"/>
      <c r="Q109" s="146"/>
      <c r="R109" s="242"/>
      <c r="S109" s="11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</row>
    <row r="110" ht="15.75" hidden="1" customHeight="1">
      <c r="A110" s="90"/>
      <c r="B110" s="6"/>
      <c r="C110" s="90"/>
      <c r="D110" s="197"/>
      <c r="E110" s="320"/>
      <c r="F110" s="129"/>
      <c r="G110" s="199"/>
      <c r="H110" s="195"/>
      <c r="I110" s="247"/>
      <c r="J110" s="248"/>
      <c r="K110" s="241"/>
      <c r="L110" s="164"/>
      <c r="M110" s="134"/>
      <c r="N110" s="135" t="str">
        <f>iferror(mround(#REF!*((VLOOKUP($J110,Sheet1!$D:$N,$G110+1,FALSE)-0.03)),2.5)," ")</f>
        <v> </v>
      </c>
      <c r="O110" s="135" t="str">
        <f>iferror(mround(#REF!*((VLOOKUP($J110,Sheet1!$D:$N,$G110+1,FALSE)+0.02)),2.5)," ")</f>
        <v> </v>
      </c>
      <c r="P110" s="112" t="str">
        <f>iferror(mround(I110/VLOOKUP(L110,Sheet1!$D$7:$N$16,G110+1,FALSE),2.5),"")</f>
        <v/>
      </c>
      <c r="Q110" s="136"/>
      <c r="R110" s="242"/>
      <c r="S110" s="11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</row>
    <row r="111" ht="3.75" hidden="1" customHeight="1">
      <c r="A111" s="90"/>
      <c r="B111" s="6"/>
      <c r="C111" s="90"/>
      <c r="D111" s="234"/>
      <c r="E111" s="215"/>
      <c r="F111" s="102"/>
      <c r="G111" s="102"/>
      <c r="H111" s="102"/>
      <c r="I111" s="102"/>
      <c r="J111" s="156"/>
      <c r="K111" s="243"/>
      <c r="L111" s="210"/>
      <c r="M111" s="144"/>
      <c r="N111" s="145" t="str">
        <f>iferror(mround(#REF!*((VLOOKUP($J111,Sheet1!$D:$N,$G111+1,FALSE)-0.03)),2.5)," ")</f>
        <v> </v>
      </c>
      <c r="O111" s="145" t="str">
        <f>iferror(mround(#REF!*((VLOOKUP($J111,Sheet1!$D:$N,$G111+1,FALSE)+0.02)),2.5)," ")</f>
        <v> </v>
      </c>
      <c r="P111" s="122"/>
      <c r="Q111" s="146"/>
      <c r="R111" s="242"/>
      <c r="S111" s="11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</row>
    <row r="112" ht="15.75" hidden="1" customHeight="1">
      <c r="A112" s="90"/>
      <c r="B112" s="6"/>
      <c r="C112" s="90"/>
      <c r="D112" s="197"/>
      <c r="E112" s="314"/>
      <c r="F112" s="129"/>
      <c r="G112" s="199"/>
      <c r="H112" s="195"/>
      <c r="I112" s="164"/>
      <c r="J112" s="248"/>
      <c r="K112" s="241"/>
      <c r="L112" s="164"/>
      <c r="M112" s="134"/>
      <c r="N112" s="135" t="str">
        <f>iferror(mround(#REF!*((VLOOKUP($J112,Sheet1!$D:$N,$G112+1,FALSE)-0.03)),2.5)," ")</f>
        <v> </v>
      </c>
      <c r="O112" s="135" t="str">
        <f>iferror(mround(#REF!*((VLOOKUP($J112,Sheet1!$D:$N,$G112+1,FALSE)+0.02)),2.5)," ")</f>
        <v> </v>
      </c>
      <c r="P112" s="112" t="str">
        <f>iferror(mround(I112/VLOOKUP(L112,Sheet1!$D$7:$N$16,G112+1,FALSE),2.5),"")</f>
        <v/>
      </c>
      <c r="Q112" s="136"/>
      <c r="R112" s="242"/>
      <c r="S112" s="11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</row>
    <row r="113" ht="3.75" hidden="1" customHeight="1">
      <c r="A113" s="124"/>
      <c r="B113" s="6"/>
      <c r="C113" s="124"/>
      <c r="D113" s="252"/>
      <c r="E113" s="321"/>
      <c r="F113" s="102"/>
      <c r="G113" s="102"/>
      <c r="H113" s="102"/>
      <c r="I113" s="102"/>
      <c r="J113" s="156"/>
      <c r="K113" s="253"/>
      <c r="L113" s="201"/>
      <c r="M113" s="211" t="str">
        <f>#REF!</f>
        <v>#REF!</v>
      </c>
      <c r="N113" s="47" t="str">
        <f>iferror(mround(#REF!*((VLOOKUP($J113,Sheet1!$D:$N,$G113+1,FALSE)-0.03)),2.5)," ")</f>
        <v> </v>
      </c>
      <c r="O113" s="47" t="str">
        <f>iferror(mround(#REF!*((VLOOKUP($J113,Sheet1!$D:$N,$G113+1,FALSE)+0.02)),2.5)," ")</f>
        <v> </v>
      </c>
      <c r="P113" s="122"/>
      <c r="Q113" s="146"/>
      <c r="R113" s="242"/>
      <c r="S113" s="11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</row>
    <row r="114" ht="30.75" hidden="1" customHeight="1">
      <c r="A114" s="90"/>
      <c r="B114" s="6"/>
      <c r="C114" s="90"/>
      <c r="D114" s="322" t="s">
        <v>57</v>
      </c>
      <c r="E114" s="255" t="s">
        <v>15</v>
      </c>
      <c r="F114" s="106" t="s">
        <v>16</v>
      </c>
      <c r="G114" s="106" t="s">
        <v>17</v>
      </c>
      <c r="H114" s="107"/>
      <c r="I114" s="106" t="s">
        <v>18</v>
      </c>
      <c r="J114" s="108" t="s">
        <v>19</v>
      </c>
      <c r="L114" s="109" t="s">
        <v>20</v>
      </c>
      <c r="M114" s="110" t="s">
        <v>21</v>
      </c>
      <c r="N114" s="111" t="s">
        <v>22</v>
      </c>
      <c r="P114" s="112"/>
      <c r="Q114" s="113" t="s">
        <v>23</v>
      </c>
      <c r="R114" s="256" t="s">
        <v>58</v>
      </c>
      <c r="S114" s="11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</row>
    <row r="115" ht="14.25" hidden="1" customHeight="1">
      <c r="A115" s="90"/>
      <c r="B115" s="6"/>
      <c r="C115" s="90"/>
      <c r="D115" s="257" t="s">
        <v>25</v>
      </c>
      <c r="E115" s="258" t="s">
        <v>26</v>
      </c>
      <c r="H115" s="107"/>
      <c r="N115" s="111" t="s">
        <v>27</v>
      </c>
      <c r="O115" s="111" t="s">
        <v>28</v>
      </c>
      <c r="P115" s="112" t="s">
        <v>29</v>
      </c>
      <c r="R115" s="118" t="s">
        <v>30</v>
      </c>
      <c r="S115" s="11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</row>
    <row r="116" ht="3.75" hidden="1" customHeight="1">
      <c r="A116" s="124"/>
      <c r="B116" s="6"/>
      <c r="C116" s="124"/>
      <c r="D116" s="252"/>
      <c r="E116" s="321"/>
      <c r="F116" s="102"/>
      <c r="G116" s="102"/>
      <c r="H116" s="102"/>
      <c r="I116" s="102"/>
      <c r="J116" s="156"/>
      <c r="K116" s="200"/>
      <c r="L116" s="201"/>
      <c r="M116" s="211"/>
      <c r="N116" s="47"/>
      <c r="O116" s="47"/>
      <c r="P116" s="122"/>
      <c r="Q116" s="146"/>
      <c r="R116" s="259"/>
      <c r="S116" s="11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</row>
    <row r="117" ht="14.25" hidden="1" customHeight="1">
      <c r="A117" s="124"/>
      <c r="B117" s="6"/>
      <c r="C117" s="124"/>
      <c r="D117" s="260"/>
      <c r="E117" s="126"/>
      <c r="F117" s="187"/>
      <c r="G117" s="229"/>
      <c r="H117" s="129"/>
      <c r="I117" s="164"/>
      <c r="J117" s="189"/>
      <c r="K117" s="132"/>
      <c r="L117" s="164"/>
      <c r="M117" s="134"/>
      <c r="N117" s="135" t="str">
        <f>iferror(mround(#REF!*((VLOOKUP($J117,Sheet1!$D:$N,$G117+1,FALSE)-0.03)),2.5)," ")</f>
        <v> </v>
      </c>
      <c r="O117" s="135" t="str">
        <f>iferror(mround(#REF!*((VLOOKUP($J117,Sheet1!$D:$N,$G117+1,FALSE)+0.02)),2.5)," ")</f>
        <v> </v>
      </c>
      <c r="P117" s="56" t="str">
        <f>iferror(mround(I117/VLOOKUP(L117,Sheet1!$D$7:$N$16,G117+1,FALSE),2.5),"")</f>
        <v/>
      </c>
      <c r="Q117" s="136"/>
      <c r="S117" s="11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</row>
    <row r="118" ht="3.75" hidden="1" customHeight="1">
      <c r="A118" s="124"/>
      <c r="B118" s="6"/>
      <c r="C118" s="124"/>
      <c r="D118" s="138"/>
      <c r="E118" s="215"/>
      <c r="F118" s="102"/>
      <c r="G118" s="102"/>
      <c r="H118" s="102"/>
      <c r="I118" s="102"/>
      <c r="J118" s="156"/>
      <c r="K118" s="243"/>
      <c r="L118" s="210"/>
      <c r="M118" s="144"/>
      <c r="N118" s="145"/>
      <c r="O118" s="145"/>
      <c r="P118" s="122"/>
      <c r="Q118" s="146"/>
      <c r="S118" s="11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</row>
    <row r="119" ht="14.25" hidden="1" customHeight="1">
      <c r="A119" s="124"/>
      <c r="B119" s="6"/>
      <c r="C119" s="124"/>
      <c r="D119" s="185"/>
      <c r="E119" s="227"/>
      <c r="F119" s="187"/>
      <c r="G119" s="229"/>
      <c r="H119" s="195"/>
      <c r="I119" s="164"/>
      <c r="J119" s="248"/>
      <c r="K119" s="241"/>
      <c r="L119" s="164"/>
      <c r="M119" s="134"/>
      <c r="N119" s="135" t="str">
        <f>iferror(mround(#REF!*((VLOOKUP($J119,Sheet1!$D:$N,$G119+1,FALSE)-0.03)),2.5)," ")</f>
        <v> </v>
      </c>
      <c r="O119" s="135" t="str">
        <f>iferror(mround(#REF!*((VLOOKUP($J119,Sheet1!$D:$N,$G119+1,FALSE)+0.02)),2.5)," ")</f>
        <v> </v>
      </c>
      <c r="P119" s="112" t="str">
        <f>iferror(mround(I119/VLOOKUP(L119,Sheet1!$D$7:$N$16,G119+1,FALSE),2.5),"")</f>
        <v/>
      </c>
      <c r="Q119" s="136"/>
      <c r="S119" s="11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</row>
    <row r="120" ht="3.75" hidden="1" customHeight="1">
      <c r="A120" s="124"/>
      <c r="B120" s="6"/>
      <c r="C120" s="124"/>
      <c r="D120" s="138"/>
      <c r="E120" s="245"/>
      <c r="F120" s="102"/>
      <c r="G120" s="102"/>
      <c r="H120" s="102"/>
      <c r="I120" s="102"/>
      <c r="J120" s="156"/>
      <c r="K120" s="243"/>
      <c r="L120" s="210"/>
      <c r="M120" s="144"/>
      <c r="N120" s="145"/>
      <c r="O120" s="145"/>
      <c r="P120" s="122"/>
      <c r="Q120" s="146"/>
      <c r="S120" s="11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</row>
    <row r="121" ht="14.25" hidden="1" customHeight="1">
      <c r="A121" s="124"/>
      <c r="B121" s="6"/>
      <c r="C121" s="124"/>
      <c r="D121" s="185"/>
      <c r="E121" s="227"/>
      <c r="F121" s="187"/>
      <c r="G121" s="229"/>
      <c r="H121" s="195"/>
      <c r="I121" s="164"/>
      <c r="J121" s="248"/>
      <c r="K121" s="241"/>
      <c r="L121" s="164"/>
      <c r="M121" s="134"/>
      <c r="N121" s="135" t="str">
        <f>iferror(mround(#REF!*((VLOOKUP($J121,Sheet1!$D:$N,$G121+1,FALSE)-0.03)),2.5)," ")</f>
        <v> </v>
      </c>
      <c r="O121" s="135" t="str">
        <f>iferror(mround(#REF!*((VLOOKUP($J121,Sheet1!$D:$N,$G121+1,FALSE)+0.02)),2.5)," ")</f>
        <v> </v>
      </c>
      <c r="P121" s="112" t="str">
        <f>iferror(mround(I121/VLOOKUP(L121,Sheet1!$D$7:$N$16,G121+1,FALSE),2.5),"")</f>
        <v/>
      </c>
      <c r="Q121" s="136"/>
      <c r="S121" s="11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</row>
    <row r="122" ht="3.75" hidden="1" customHeight="1">
      <c r="A122" s="124"/>
      <c r="B122" s="6"/>
      <c r="C122" s="124"/>
      <c r="D122" s="138"/>
      <c r="E122" s="245"/>
      <c r="F122" s="102"/>
      <c r="G122" s="102"/>
      <c r="H122" s="102"/>
      <c r="I122" s="102"/>
      <c r="J122" s="156"/>
      <c r="K122" s="243"/>
      <c r="L122" s="210"/>
      <c r="M122" s="144"/>
      <c r="N122" s="145"/>
      <c r="O122" s="145"/>
      <c r="P122" s="122"/>
      <c r="Q122" s="146"/>
      <c r="S122" s="11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</row>
    <row r="123" ht="14.25" hidden="1" customHeight="1">
      <c r="A123" s="124"/>
      <c r="B123" s="6"/>
      <c r="C123" s="124"/>
      <c r="D123" s="185"/>
      <c r="E123" s="227"/>
      <c r="F123" s="187"/>
      <c r="G123" s="229"/>
      <c r="H123" s="195"/>
      <c r="I123" s="164"/>
      <c r="J123" s="248"/>
      <c r="K123" s="241"/>
      <c r="L123" s="164"/>
      <c r="M123" s="134"/>
      <c r="N123" s="135" t="str">
        <f>iferror(mround(#REF!*((VLOOKUP($J123,Sheet1!$D:$N,$G123+1,FALSE)-0.03)),2.5)," ")</f>
        <v> </v>
      </c>
      <c r="O123" s="135" t="str">
        <f>iferror(mround(#REF!*((VLOOKUP($J123,Sheet1!$D:$N,$G123+1,FALSE)+0.02)),2.5)," ")</f>
        <v> </v>
      </c>
      <c r="P123" s="112" t="str">
        <f>iferror(mround(I123/VLOOKUP(L123,Sheet1!$D$7:$N$16,G123+1,FALSE),2.5),"")</f>
        <v/>
      </c>
      <c r="Q123" s="136"/>
      <c r="S123" s="11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</row>
    <row r="124" ht="3.75" hidden="1" customHeight="1">
      <c r="A124" s="124"/>
      <c r="B124" s="6"/>
      <c r="C124" s="124"/>
      <c r="D124" s="138"/>
      <c r="E124" s="245"/>
      <c r="F124" s="102"/>
      <c r="G124" s="102"/>
      <c r="H124" s="102"/>
      <c r="I124" s="102"/>
      <c r="J124" s="156"/>
      <c r="K124" s="243"/>
      <c r="L124" s="210"/>
      <c r="M124" s="144"/>
      <c r="N124" s="145"/>
      <c r="O124" s="145"/>
      <c r="P124" s="122"/>
      <c r="Q124" s="146"/>
      <c r="S124" s="11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</row>
    <row r="125" ht="14.25" hidden="1" customHeight="1">
      <c r="A125" s="124"/>
      <c r="B125" s="6"/>
      <c r="C125" s="124"/>
      <c r="D125" s="185"/>
      <c r="E125" s="227"/>
      <c r="F125" s="187"/>
      <c r="G125" s="187"/>
      <c r="H125" s="195"/>
      <c r="I125" s="164"/>
      <c r="J125" s="248"/>
      <c r="K125" s="241"/>
      <c r="L125" s="164"/>
      <c r="M125" s="134"/>
      <c r="N125" s="135" t="str">
        <f>iferror(mround(#REF!*((VLOOKUP($J125,Sheet1!$D:$N,$G125+1,FALSE)-0.03)),2.5)," ")</f>
        <v> </v>
      </c>
      <c r="O125" s="135" t="str">
        <f>iferror(mround(#REF!*((VLOOKUP($J125,Sheet1!$D:$N,$G125+1,FALSE)+0.02)),2.5)," ")</f>
        <v> </v>
      </c>
      <c r="P125" s="112" t="str">
        <f>iferror(mround(I125/VLOOKUP(L125,Sheet1!$D$7:$N$16,G125+1,FALSE),2.5),"")</f>
        <v/>
      </c>
      <c r="Q125" s="136"/>
      <c r="S125" s="11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</row>
    <row r="126" ht="3.75" hidden="1" customHeight="1">
      <c r="A126" s="261"/>
      <c r="B126" s="6"/>
      <c r="C126" s="262"/>
      <c r="D126" s="138"/>
      <c r="E126" s="245"/>
      <c r="F126" s="102"/>
      <c r="G126" s="102"/>
      <c r="H126" s="102"/>
      <c r="I126" s="102"/>
      <c r="J126" s="156"/>
      <c r="K126" s="243"/>
      <c r="L126" s="210"/>
      <c r="M126" s="144"/>
      <c r="N126" s="145"/>
      <c r="O126" s="145"/>
      <c r="P126" s="122"/>
      <c r="Q126" s="146"/>
      <c r="S126" s="157"/>
      <c r="T126" s="5"/>
      <c r="U126" s="5"/>
      <c r="V126" s="158"/>
      <c r="W126" s="158"/>
      <c r="X126" s="158"/>
      <c r="Y126" s="158"/>
      <c r="Z126" s="158"/>
      <c r="AA126" s="158"/>
      <c r="AB126" s="158"/>
      <c r="AC126" s="158"/>
      <c r="AD126" s="158"/>
      <c r="AE126" s="158"/>
      <c r="AF126" s="158"/>
      <c r="AG126" s="158"/>
    </row>
    <row r="127" ht="14.25" hidden="1" customHeight="1">
      <c r="A127" s="124"/>
      <c r="B127" s="6"/>
      <c r="C127" s="124"/>
      <c r="D127" s="185"/>
      <c r="E127" s="227"/>
      <c r="F127" s="187"/>
      <c r="G127" s="187"/>
      <c r="H127" s="195"/>
      <c r="I127" s="164"/>
      <c r="J127" s="248"/>
      <c r="K127" s="241"/>
      <c r="L127" s="164"/>
      <c r="M127" s="134"/>
      <c r="N127" s="135" t="str">
        <f>iferror(mround(#REF!*((VLOOKUP($J127,Sheet1!$D:$N,$G127+1,FALSE)-0.03)),2.5)," ")</f>
        <v> </v>
      </c>
      <c r="O127" s="135" t="str">
        <f>iferror(mround(#REF!*((VLOOKUP($J127,Sheet1!$D:$N,$G127+1,FALSE)+0.02)),2.5)," ")</f>
        <v> </v>
      </c>
      <c r="P127" s="112" t="str">
        <f>iferror(mround(I127/VLOOKUP(L127,Sheet1!$D$7:$N$16,G127+1,FALSE),2.5),"")</f>
        <v/>
      </c>
      <c r="Q127" s="136"/>
      <c r="S127" s="11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</row>
    <row r="128" ht="3.75" hidden="1" customHeight="1">
      <c r="A128" s="261"/>
      <c r="B128" s="6"/>
      <c r="C128" s="262"/>
      <c r="D128" s="138"/>
      <c r="E128" s="245"/>
      <c r="F128" s="102"/>
      <c r="G128" s="102"/>
      <c r="H128" s="102"/>
      <c r="I128" s="102"/>
      <c r="J128" s="156"/>
      <c r="K128" s="243"/>
      <c r="L128" s="210"/>
      <c r="M128" s="144"/>
      <c r="N128" s="145"/>
      <c r="O128" s="145"/>
      <c r="P128" s="122"/>
      <c r="Q128" s="146"/>
      <c r="S128" s="157"/>
      <c r="T128" s="5"/>
      <c r="U128" s="5"/>
      <c r="V128" s="158"/>
      <c r="W128" s="158"/>
      <c r="X128" s="158"/>
      <c r="Y128" s="158"/>
      <c r="Z128" s="158"/>
      <c r="AA128" s="158"/>
      <c r="AB128" s="158"/>
      <c r="AC128" s="158"/>
      <c r="AD128" s="158"/>
      <c r="AE128" s="158"/>
      <c r="AF128" s="158"/>
      <c r="AG128" s="158"/>
    </row>
    <row r="129" ht="15.75" hidden="1" customHeight="1">
      <c r="A129" s="124"/>
      <c r="B129" s="6"/>
      <c r="C129" s="124"/>
      <c r="D129" s="185"/>
      <c r="E129" s="227"/>
      <c r="F129" s="187"/>
      <c r="G129" s="187"/>
      <c r="H129" s="195"/>
      <c r="I129" s="247"/>
      <c r="J129" s="248"/>
      <c r="K129" s="241"/>
      <c r="L129" s="164"/>
      <c r="M129" s="134"/>
      <c r="N129" s="135" t="str">
        <f>iferror(mround(#REF!*((VLOOKUP($J129,Sheet1!$D:$N,$G129+1,FALSE)-0.03)),2.5)," ")</f>
        <v> </v>
      </c>
      <c r="O129" s="135" t="str">
        <f>iferror(mround(#REF!*((VLOOKUP($J129,Sheet1!$D:$N,$G129+1,FALSE)+0.02)),2.5)," ")</f>
        <v> </v>
      </c>
      <c r="P129" s="112" t="str">
        <f>iferror(mround(I129/VLOOKUP(L129,Sheet1!$D$7:$N$16,G129+1,FALSE),2.5),"")</f>
        <v/>
      </c>
      <c r="Q129" s="136"/>
      <c r="S129" s="11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</row>
    <row r="130" ht="3.75" hidden="1" customHeight="1">
      <c r="A130" s="124"/>
      <c r="B130" s="6"/>
      <c r="C130" s="124"/>
      <c r="D130" s="263"/>
      <c r="E130" s="245"/>
      <c r="F130" s="102"/>
      <c r="G130" s="102"/>
      <c r="H130" s="102"/>
      <c r="I130" s="102"/>
      <c r="J130" s="156"/>
      <c r="K130" s="243"/>
      <c r="L130" s="210"/>
      <c r="M130" s="144"/>
      <c r="N130" s="145"/>
      <c r="O130" s="145"/>
      <c r="P130" s="122"/>
      <c r="Q130" s="146"/>
      <c r="S130" s="11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</row>
    <row r="131" ht="14.25" hidden="1" customHeight="1">
      <c r="A131" s="90"/>
      <c r="B131" s="6"/>
      <c r="C131" s="90"/>
      <c r="D131" s="185"/>
      <c r="E131" s="227"/>
      <c r="F131" s="187"/>
      <c r="G131" s="187"/>
      <c r="H131" s="195"/>
      <c r="I131" s="164"/>
      <c r="J131" s="248"/>
      <c r="K131" s="241"/>
      <c r="L131" s="164"/>
      <c r="M131" s="134"/>
      <c r="N131" s="135" t="str">
        <f>iferror(mround(#REF!*((VLOOKUP($J131,Sheet1!$D:$N,$G131+1,FALSE)-0.03)),2.5)," ")</f>
        <v> </v>
      </c>
      <c r="O131" s="135" t="str">
        <f>iferror(mround(#REF!*((VLOOKUP($J131,Sheet1!$D:$N,$G131+1,FALSE)+0.02)),2.5)," ")</f>
        <v> </v>
      </c>
      <c r="P131" s="112" t="str">
        <f>iferror(mround(I131/VLOOKUP(L131,Sheet1!$D$7:$N$16,G131+1,FALSE),2.5),"")</f>
        <v/>
      </c>
      <c r="Q131" s="136"/>
      <c r="S131" s="11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</row>
    <row r="132" ht="3.75" hidden="1" customHeight="1">
      <c r="A132" s="261"/>
      <c r="B132" s="6"/>
      <c r="C132" s="262"/>
      <c r="D132" s="263"/>
      <c r="E132" s="323"/>
      <c r="F132" s="194"/>
      <c r="G132" s="194"/>
      <c r="H132" s="155"/>
      <c r="I132" s="210"/>
      <c r="J132" s="265"/>
      <c r="K132" s="243"/>
      <c r="L132" s="210"/>
      <c r="M132" s="144"/>
      <c r="N132" s="145"/>
      <c r="O132" s="145"/>
      <c r="P132" s="122"/>
      <c r="Q132" s="146"/>
      <c r="S132" s="157"/>
      <c r="T132" s="5"/>
      <c r="U132" s="5"/>
      <c r="V132" s="158"/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</row>
    <row r="133" ht="15.75" hidden="1" customHeight="1">
      <c r="A133" s="90"/>
      <c r="B133" s="6"/>
      <c r="C133" s="90"/>
      <c r="D133" s="185"/>
      <c r="E133" s="324"/>
      <c r="F133" s="187"/>
      <c r="G133" s="187"/>
      <c r="H133" s="195"/>
      <c r="I133" s="164"/>
      <c r="J133" s="248"/>
      <c r="K133" s="241"/>
      <c r="L133" s="164"/>
      <c r="M133" s="134"/>
      <c r="N133" s="135" t="str">
        <f>iferror(mround(#REF!*((VLOOKUP($J133,Sheet1!$D:$N,$G133+1,FALSE)-0.03)),2.5)," ")</f>
        <v> </v>
      </c>
      <c r="O133" s="135" t="str">
        <f>iferror(mround(#REF!*((VLOOKUP($J133,Sheet1!$D:$N,$G133+1,FALSE)+0.02)),2.5)," ")</f>
        <v> </v>
      </c>
      <c r="P133" s="112" t="str">
        <f>iferror(mround(I133/VLOOKUP(L133,Sheet1!$D$7:$N$16,G133+1,FALSE),2.5),"")</f>
        <v/>
      </c>
      <c r="Q133" s="136"/>
      <c r="S133" s="11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</row>
    <row r="134" ht="3.75" hidden="1" customHeight="1">
      <c r="A134" s="90"/>
      <c r="B134" s="6"/>
      <c r="C134" s="90"/>
      <c r="D134" s="138"/>
      <c r="E134" s="245"/>
      <c r="F134" s="102"/>
      <c r="G134" s="102"/>
      <c r="H134" s="102"/>
      <c r="I134" s="102"/>
      <c r="J134" s="156"/>
      <c r="K134" s="243"/>
      <c r="L134" s="210"/>
      <c r="M134" s="144"/>
      <c r="N134" s="145"/>
      <c r="O134" s="145"/>
      <c r="P134" s="122"/>
      <c r="Q134" s="146"/>
      <c r="S134" s="11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</row>
    <row r="135" ht="15.75" hidden="1" customHeight="1">
      <c r="A135" s="90"/>
      <c r="B135" s="6"/>
      <c r="C135" s="90"/>
      <c r="D135" s="185"/>
      <c r="E135" s="227"/>
      <c r="F135" s="187"/>
      <c r="G135" s="187"/>
      <c r="H135" s="195"/>
      <c r="I135" s="164"/>
      <c r="J135" s="248"/>
      <c r="K135" s="241"/>
      <c r="L135" s="164"/>
      <c r="M135" s="134"/>
      <c r="N135" s="135" t="str">
        <f>iferror(mround(#REF!*((VLOOKUP($J135,Sheet1!$D:$N,$G135+1,FALSE)-0.03)),2.5)," ")</f>
        <v> </v>
      </c>
      <c r="O135" s="135" t="str">
        <f>iferror(mround(#REF!*((VLOOKUP($J135,Sheet1!$D:$N,$G135+1,FALSE)+0.02)),2.5)," ")</f>
        <v> </v>
      </c>
      <c r="P135" s="112" t="str">
        <f>iferror(mround(I135/VLOOKUP(L135,Sheet1!$D$7:$N$16,G135+1,FALSE),2.5),"")</f>
        <v/>
      </c>
      <c r="Q135" s="136"/>
      <c r="S135" s="11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</row>
    <row r="136" ht="3.75" hidden="1" customHeight="1">
      <c r="A136" s="191"/>
      <c r="B136" s="6"/>
      <c r="C136" s="192"/>
      <c r="D136" s="138"/>
      <c r="E136" s="245"/>
      <c r="F136" s="102"/>
      <c r="G136" s="102"/>
      <c r="H136" s="102"/>
      <c r="I136" s="102"/>
      <c r="J136" s="156"/>
      <c r="K136" s="243"/>
      <c r="L136" s="210"/>
      <c r="M136" s="144"/>
      <c r="N136" s="145"/>
      <c r="O136" s="145"/>
      <c r="P136" s="122"/>
      <c r="Q136" s="146"/>
      <c r="S136" s="157"/>
      <c r="T136" s="5"/>
      <c r="U136" s="5"/>
      <c r="V136" s="158"/>
      <c r="W136" s="158"/>
      <c r="X136" s="158"/>
      <c r="Y136" s="158"/>
      <c r="Z136" s="158"/>
      <c r="AA136" s="158"/>
      <c r="AB136" s="158"/>
      <c r="AC136" s="158"/>
      <c r="AD136" s="158"/>
      <c r="AE136" s="158"/>
      <c r="AF136" s="158"/>
      <c r="AG136" s="158"/>
    </row>
    <row r="137" ht="15.75" hidden="1" customHeight="1">
      <c r="A137" s="90"/>
      <c r="B137" s="6"/>
      <c r="C137" s="90"/>
      <c r="D137" s="185"/>
      <c r="E137" s="227"/>
      <c r="F137" s="187"/>
      <c r="G137" s="187"/>
      <c r="H137" s="195"/>
      <c r="I137" s="164"/>
      <c r="J137" s="248"/>
      <c r="K137" s="241"/>
      <c r="L137" s="164"/>
      <c r="M137" s="134"/>
      <c r="N137" s="135" t="str">
        <f>iferror(mround(#REF!*((VLOOKUP($J137,Sheet1!$D:$N,$G137+1,FALSE)-0.03)),2.5)," ")</f>
        <v> </v>
      </c>
      <c r="O137" s="135" t="str">
        <f>iferror(mround(#REF!*((VLOOKUP($J137,Sheet1!$D:$N,$G137+1,FALSE)+0.02)),2.5)," ")</f>
        <v> </v>
      </c>
      <c r="P137" s="112" t="str">
        <f>iferror(mround(I137/VLOOKUP(L137,Sheet1!$D$7:$N$16,G137+1,FALSE),2.5),"")</f>
        <v/>
      </c>
      <c r="Q137" s="136"/>
      <c r="S137" s="11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</row>
    <row r="138" ht="3.75" hidden="1" customHeight="1">
      <c r="A138" s="90"/>
      <c r="B138" s="6"/>
      <c r="C138" s="90"/>
      <c r="D138" s="263"/>
      <c r="E138" s="245"/>
      <c r="F138" s="102"/>
      <c r="G138" s="102"/>
      <c r="H138" s="102"/>
      <c r="I138" s="102"/>
      <c r="J138" s="156"/>
      <c r="K138" s="243"/>
      <c r="L138" s="210"/>
      <c r="M138" s="144"/>
      <c r="N138" s="145"/>
      <c r="O138" s="145"/>
      <c r="P138" s="122"/>
      <c r="Q138" s="146"/>
      <c r="S138" s="11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</row>
    <row r="139" ht="15.75" hidden="1" customHeight="1">
      <c r="A139" s="90"/>
      <c r="B139" s="6"/>
      <c r="C139" s="90"/>
      <c r="D139" s="185"/>
      <c r="E139" s="324"/>
      <c r="F139" s="187"/>
      <c r="G139" s="187"/>
      <c r="H139" s="195"/>
      <c r="I139" s="164"/>
      <c r="J139" s="248"/>
      <c r="K139" s="241"/>
      <c r="L139" s="164"/>
      <c r="M139" s="134"/>
      <c r="N139" s="135" t="str">
        <f>iferror(mround(#REF!*((VLOOKUP($J139,Sheet1!$D:$N,$G139+1,FALSE)-0.03)),2.5)," ")</f>
        <v> </v>
      </c>
      <c r="O139" s="135" t="str">
        <f>iferror(mround(#REF!*((VLOOKUP($J139,Sheet1!$D:$N,$G139+1,FALSE)+0.02)),2.5)," ")</f>
        <v> </v>
      </c>
      <c r="P139" s="112" t="str">
        <f>iferror(mround(I139/VLOOKUP(L139,Sheet1!$D$7:$N$16,G139+1,FALSE),2.5),"")</f>
        <v/>
      </c>
      <c r="Q139" s="136"/>
      <c r="S139" s="11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</row>
    <row r="140" ht="3.75" hidden="1" customHeight="1">
      <c r="A140" s="191"/>
      <c r="B140" s="6"/>
      <c r="C140" s="192"/>
      <c r="D140" s="192"/>
      <c r="E140" s="325"/>
      <c r="F140" s="194"/>
      <c r="G140" s="194"/>
      <c r="H140" s="155"/>
      <c r="I140" s="210"/>
      <c r="J140" s="268"/>
      <c r="K140" s="316"/>
      <c r="L140" s="269"/>
      <c r="M140" s="270"/>
      <c r="N140" s="269"/>
      <c r="O140" s="269"/>
      <c r="P140" s="271"/>
      <c r="Q140" s="272"/>
      <c r="R140" s="273"/>
      <c r="S140" s="157"/>
      <c r="T140" s="5"/>
      <c r="U140" s="5"/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</row>
    <row r="141" ht="14.25" customHeight="1">
      <c r="A141" s="5"/>
      <c r="B141" s="6"/>
      <c r="C141" s="5"/>
      <c r="D141" s="274"/>
      <c r="E141" s="266"/>
      <c r="F141" s="187"/>
      <c r="G141" s="187"/>
      <c r="H141" s="195"/>
      <c r="I141" s="129"/>
      <c r="J141" s="275"/>
      <c r="K141" s="276"/>
      <c r="L141" s="187"/>
      <c r="M141" s="187"/>
      <c r="N141" s="187"/>
      <c r="O141" s="187"/>
      <c r="P141" s="277"/>
      <c r="Q141" s="278"/>
      <c r="R141" s="279"/>
      <c r="S141" s="11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</row>
    <row r="142" ht="14.25" customHeight="1">
      <c r="A142" s="5"/>
      <c r="B142" s="6"/>
      <c r="C142" s="5"/>
      <c r="D142" s="274" t="s">
        <v>59</v>
      </c>
      <c r="E142" s="266" t="s">
        <v>16</v>
      </c>
      <c r="F142" s="187" t="s">
        <v>17</v>
      </c>
      <c r="G142" s="187" t="s">
        <v>60</v>
      </c>
      <c r="H142" s="187"/>
      <c r="I142" s="280" t="s">
        <v>61</v>
      </c>
      <c r="J142" s="266" t="s">
        <v>62</v>
      </c>
      <c r="K142" s="274"/>
      <c r="L142" s="187"/>
      <c r="M142" s="281" t="s">
        <v>63</v>
      </c>
      <c r="N142" s="281"/>
      <c r="O142" s="282"/>
      <c r="P142" s="282"/>
      <c r="Q142" s="278"/>
      <c r="R142" s="157"/>
      <c r="S142" s="11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</row>
    <row r="143" ht="14.25" customHeight="1">
      <c r="A143" s="5"/>
      <c r="B143" s="6"/>
      <c r="C143" s="5"/>
      <c r="D143" s="274" t="s">
        <v>6</v>
      </c>
      <c r="E143" s="283">
        <f>IFERROR(__xludf.DUMMYFUNCTION("SUM(FILTER(F18:F142, ISNUMBER(SEARCH(""squat"", D18:D142))))"),7.0)</f>
        <v>7</v>
      </c>
      <c r="F143" s="284">
        <f>IFERROR(__xludf.DUMMYFUNCTION("SUMPRODUCT(FILTER(F18:F142 * G18:G142, ISNUMBER(SEARCH(""squat"", D18:D142))))"),38.0)</f>
        <v>38</v>
      </c>
      <c r="G143" s="135">
        <f>IFERROR(__xludf.DUMMYFUNCTION("ROUND(SUMPRODUCT(FILTER(F18:F142 * G18:G142 * I18:I142, ISNUMBER(SEARCH(""squat"", D18:D142)))), 0)"),13993.0)</f>
        <v>13993</v>
      </c>
      <c r="H143" s="285"/>
      <c r="I143" s="135">
        <f>IFERROR(__xludf.DUMMYFUNCTION("ROUND(AVERAGE(FILTER(I18:I142, ISNUMBER(SEARCH(""squat"", D18:D142)), I18:I142 &lt;&gt; """")) / J143 * 100, 0)"),71.0)</f>
        <v>71</v>
      </c>
      <c r="J143" s="283">
        <f>IFERROR(__xludf.DUMMYFUNCTION("IFERROR(MROUND(AVERAGE(FILTER(P18:P142, D18:D142 = ""comp squat"", P18:P142 &lt;&gt; """", P18:P142 &gt;= 0.9 * MAX(FILTER(P18:P142, D18:D142 = ""comp squat"", P18:P142 &lt;&gt; """")), P18:P142 &lt;= 1.1 * MAX(FILTER(P18:P142, D18:D142 = ""comp squat"", P18:P142 &lt;&gt; """"))"&amp;")), 2.5), ""No valid data"")"),530.0)</f>
        <v>530</v>
      </c>
      <c r="K143" s="286"/>
      <c r="L143" s="287">
        <f>MROUND(J143/2.2046,2.5)-$O$10</f>
        <v>-2.5</v>
      </c>
      <c r="M143" s="288" t="s">
        <v>64</v>
      </c>
      <c r="N143" s="288">
        <v>1.0</v>
      </c>
      <c r="O143" s="289" t="s">
        <v>65</v>
      </c>
      <c r="P143" s="290">
        <v>1.0</v>
      </c>
      <c r="Q143" s="278"/>
      <c r="R143" s="291"/>
      <c r="S143" s="11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</row>
    <row r="144" ht="3.0" customHeight="1">
      <c r="A144" s="5"/>
      <c r="B144" s="6"/>
      <c r="C144" s="5"/>
      <c r="D144" s="90"/>
      <c r="E144" s="156"/>
      <c r="F144" s="102"/>
      <c r="G144" s="145"/>
      <c r="H144" s="102"/>
      <c r="I144" s="145"/>
      <c r="J144" s="156"/>
      <c r="K144" s="286"/>
      <c r="L144" s="292"/>
      <c r="M144" s="251"/>
      <c r="N144" s="251"/>
      <c r="O144" s="289"/>
      <c r="P144" s="282"/>
      <c r="Q144" s="278"/>
      <c r="R144" s="115"/>
      <c r="S144" s="11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</row>
    <row r="145" ht="15.75" customHeight="1">
      <c r="A145" s="5"/>
      <c r="B145" s="6"/>
      <c r="C145" s="5"/>
      <c r="D145" s="274" t="s">
        <v>66</v>
      </c>
      <c r="E145" s="293">
        <f>IFERROR(__xludf.DUMMYFUNCTION("SUM(FILTER(F18:F142, ISNUMBER(SEARCH(""bench press"", D18:D142))))"),15.0)</f>
        <v>15</v>
      </c>
      <c r="F145" s="284">
        <f>IFERROR(__xludf.DUMMYFUNCTION("SUMPRODUCT(FILTER(F19:F143 * G19:G143, ISNUMBER(SEARCH(""bench press"", D19:D143))))"),60.0)</f>
        <v>60</v>
      </c>
      <c r="G145" s="135">
        <f>IFERROR(__xludf.DUMMYFUNCTION("ROUND(SUMPRODUCT(FILTER(F18:F142 * G18:G142 * I18:I142, ISNUMBER(SEARCH(""bench press"", D18:D142)))), 0)"),14335.0)</f>
        <v>14335</v>
      </c>
      <c r="H145" s="285"/>
      <c r="I145" s="135">
        <f>IFERROR(__xludf.DUMMYFUNCTION("ROUND(AVERAGE(FILTER(I18:I142, ISNUMBER(SEARCH(""bench press"", D18:D142)), I18:I142 &lt;&gt; """")) / J145 * 100, 0)"),78.0)</f>
        <v>78</v>
      </c>
      <c r="J145" s="293">
        <f>IFERROR(__xludf.DUMMYFUNCTION("IFERROR(MROUND(AVERAGE(FILTER(P18:P142, D18:D142 = ""comp bench press"", P18:P142 &lt;&gt; """", P18:P142 &gt;= 0.9 * MAX(FILTER(P18:P142, D18:D142 = ""comp bench press"", P18:P142 &lt;&gt; """")), P18:P142 &lt;= 1.1 * MAX(FILTER(P18:P142, D18:D142 = ""comp bench press"", "&amp;"P18:P142 &lt;&gt; """")))), 2.5), ""No valid data"")"),317.5)</f>
        <v>317.5</v>
      </c>
      <c r="K145" s="286"/>
      <c r="L145" s="294">
        <f>MROUND(J145/2.2046,2.5)-$O$11</f>
        <v>-7.5</v>
      </c>
      <c r="M145" s="282" t="s">
        <v>67</v>
      </c>
      <c r="N145" s="290">
        <v>3.0</v>
      </c>
      <c r="O145" s="288" t="s">
        <v>68</v>
      </c>
      <c r="P145" s="290">
        <v>1.0</v>
      </c>
      <c r="Q145" s="278"/>
      <c r="R145" s="157"/>
      <c r="S145" s="11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</row>
    <row r="146" ht="3.0" customHeight="1">
      <c r="A146" s="5"/>
      <c r="B146" s="6"/>
      <c r="C146" s="5"/>
      <c r="D146" s="90"/>
      <c r="E146" s="156"/>
      <c r="F146" s="102"/>
      <c r="G146" s="145"/>
      <c r="H146" s="102"/>
      <c r="I146" s="145"/>
      <c r="J146" s="156"/>
      <c r="K146" s="286"/>
      <c r="L146" s="292"/>
      <c r="M146" s="282"/>
      <c r="N146" s="282"/>
      <c r="O146" s="251"/>
      <c r="P146" s="282"/>
      <c r="Q146" s="278"/>
      <c r="R146" s="157"/>
      <c r="S146" s="11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</row>
    <row r="147" ht="14.25" customHeight="1">
      <c r="A147" s="5"/>
      <c r="B147" s="6"/>
      <c r="C147" s="5"/>
      <c r="D147" s="274" t="s">
        <v>10</v>
      </c>
      <c r="E147" s="293">
        <f>IFERROR(__xludf.DUMMYFUNCTION("SUM(FILTER(F18:F142, ISNUMBER(SEARCH(""deadlift"", D18:D142))))"),7.0)</f>
        <v>7</v>
      </c>
      <c r="F147" s="284">
        <f>IFERROR(__xludf.DUMMYFUNCTION("SUMPRODUCT(FILTER(F18:F142 * G18:G142, ISNUMBER(SEARCH(""deadlift"", D18:D142))))"),25.0)</f>
        <v>25</v>
      </c>
      <c r="G147" s="135">
        <f>IFERROR(__xludf.DUMMYFUNCTION("ROUND(SUMPRODUCT(FILTER(F18:F142 * G18:G142 * I18:I142, ISNUMBER(SEARCH(""deadlift"", D18:D142)))), 0)"),10702.0)</f>
        <v>10702</v>
      </c>
      <c r="H147" s="285"/>
      <c r="I147" s="135">
        <f>IFERROR(__xludf.DUMMYFUNCTION("ROUND(AVERAGE(FILTER(I18:I142, ISNUMBER(SEARCH(""deadlift"", D18:D142)), I18:I142 &lt;&gt; """")) / J147 * 100, 0)"),75.0)</f>
        <v>75</v>
      </c>
      <c r="J147" s="293">
        <f>IFERROR(__xludf.DUMMYFUNCTION("IFERROR(MROUND(AVERAGE(FILTER(P18:P142, D18:D142 = ""comp deadlift"", P18:P142 &lt;&gt; """", P18:P142 &gt;= 0.9 * MAX(FILTER(P18:P142, D18:D142 = ""comp deadlift"", P18:P142 &lt;&gt; """")), P18:P142 &lt;= 1.1 * MAX(FILTER(P18:P142, D18:D142 = ""comp deadlift"", P18:P142 "&amp;"&lt;&gt; """")))), 2.5), ""No valid data"")"),585.0)</f>
        <v>585</v>
      </c>
      <c r="K147" s="286"/>
      <c r="L147" s="294">
        <f>MROUND(J147/2.2046,2.5)-$O$12</f>
        <v>0</v>
      </c>
      <c r="M147" s="282" t="s">
        <v>69</v>
      </c>
      <c r="N147" s="290">
        <v>2.0</v>
      </c>
      <c r="O147" s="290" t="s">
        <v>70</v>
      </c>
      <c r="P147" s="290">
        <v>1.0</v>
      </c>
      <c r="Q147" s="278"/>
      <c r="R147" s="157"/>
      <c r="S147" s="11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</row>
    <row r="148" ht="14.25" customHeight="1">
      <c r="A148" s="5"/>
      <c r="B148" s="6"/>
      <c r="C148" s="5"/>
      <c r="D148" s="274"/>
      <c r="E148" s="266"/>
      <c r="F148" s="187"/>
      <c r="G148" s="187"/>
      <c r="H148" s="187"/>
      <c r="I148" s="187"/>
      <c r="J148" s="295"/>
      <c r="K148" s="274"/>
      <c r="L148" s="187"/>
      <c r="M148" s="282" t="s">
        <v>71</v>
      </c>
      <c r="N148" s="290">
        <v>1.0</v>
      </c>
      <c r="O148" s="282"/>
      <c r="P148" s="282"/>
      <c r="Q148" s="278"/>
      <c r="R148" s="157"/>
      <c r="S148" s="11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</row>
    <row r="149" ht="14.25" customHeight="1">
      <c r="A149" s="5"/>
      <c r="B149" s="2"/>
      <c r="C149" s="5"/>
      <c r="D149" s="5"/>
      <c r="E149" s="75"/>
      <c r="F149" s="3"/>
      <c r="G149" s="3"/>
      <c r="H149" s="3"/>
      <c r="I149" s="3"/>
      <c r="J149" s="75"/>
      <c r="K149" s="5"/>
      <c r="L149" s="3"/>
      <c r="M149" s="47"/>
      <c r="N149" s="3"/>
      <c r="O149" s="3"/>
      <c r="P149" s="3"/>
      <c r="Q149" s="4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</row>
    <row r="150" ht="18.75" customHeight="1">
      <c r="A150" s="90"/>
      <c r="B150" s="6"/>
      <c r="C150" s="91"/>
      <c r="D150" s="79" t="s">
        <v>72</v>
      </c>
      <c r="E150" s="80" t="s">
        <v>13</v>
      </c>
      <c r="G150" s="81"/>
      <c r="H150" s="81"/>
      <c r="I150" s="81"/>
      <c r="J150" s="82"/>
      <c r="K150" s="83"/>
      <c r="L150" s="83"/>
      <c r="M150" s="93"/>
      <c r="N150" s="93"/>
      <c r="O150" s="93"/>
      <c r="P150" s="296"/>
      <c r="Q150" s="297"/>
      <c r="R150" s="298"/>
      <c r="S150" s="10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</row>
    <row r="151" ht="18.75" customHeight="1">
      <c r="A151" s="90"/>
      <c r="B151" s="6"/>
      <c r="C151" s="91"/>
      <c r="D151" s="299">
        <f>D16+1</f>
        <v>2</v>
      </c>
      <c r="E151" s="300" t="str">
        <f>IF(E16 = "", "", E16 - 1)</f>
        <v/>
      </c>
      <c r="F151" s="36"/>
      <c r="G151" s="301"/>
      <c r="H151" s="301"/>
      <c r="I151" s="301"/>
      <c r="J151" s="92"/>
      <c r="K151" s="93"/>
      <c r="L151" s="93"/>
      <c r="M151" s="93"/>
      <c r="N151" s="93"/>
      <c r="O151" s="93"/>
      <c r="P151" s="94"/>
      <c r="Q151" s="95"/>
      <c r="R151" s="96"/>
      <c r="S151" s="10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</row>
    <row r="152" ht="5.25" customHeight="1">
      <c r="A152" s="90"/>
      <c r="B152" s="6"/>
      <c r="C152" s="90"/>
      <c r="D152" s="97"/>
      <c r="E152" s="98"/>
      <c r="F152" s="99"/>
      <c r="G152" s="99"/>
      <c r="H152" s="99"/>
      <c r="I152" s="100"/>
      <c r="J152" s="101"/>
      <c r="K152" s="90"/>
      <c r="L152" s="102"/>
      <c r="M152" s="102"/>
      <c r="N152" s="102"/>
      <c r="O152" s="102"/>
      <c r="P152" s="103"/>
      <c r="Q152" s="4"/>
      <c r="R152" s="90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</row>
    <row r="153" ht="30.75" customHeight="1">
      <c r="A153" s="90"/>
      <c r="B153" s="6"/>
      <c r="C153" s="90"/>
      <c r="D153" s="202" t="s">
        <v>73</v>
      </c>
      <c r="E153" s="105" t="s">
        <v>75</v>
      </c>
      <c r="F153" s="106" t="s">
        <v>16</v>
      </c>
      <c r="G153" s="106" t="s">
        <v>17</v>
      </c>
      <c r="H153" s="107"/>
      <c r="I153" s="106" t="s">
        <v>18</v>
      </c>
      <c r="J153" s="108" t="s">
        <v>19</v>
      </c>
      <c r="L153" s="109" t="s">
        <v>20</v>
      </c>
      <c r="M153" s="110" t="s">
        <v>21</v>
      </c>
      <c r="N153" s="111" t="s">
        <v>22</v>
      </c>
      <c r="P153" s="112"/>
      <c r="Q153" s="113" t="s">
        <v>23</v>
      </c>
      <c r="R153" s="114" t="s">
        <v>24</v>
      </c>
      <c r="S153" s="11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</row>
    <row r="154" ht="14.25" customHeight="1">
      <c r="A154" s="90"/>
      <c r="B154" s="6"/>
      <c r="C154" s="90"/>
      <c r="D154" s="116">
        <v>3.0</v>
      </c>
      <c r="E154" s="117">
        <v>2.0</v>
      </c>
      <c r="H154" s="107"/>
      <c r="N154" s="111" t="s">
        <v>27</v>
      </c>
      <c r="O154" s="111" t="s">
        <v>28</v>
      </c>
      <c r="P154" s="112" t="s">
        <v>29</v>
      </c>
      <c r="R154" s="118" t="s">
        <v>30</v>
      </c>
      <c r="S154" s="11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</row>
    <row r="155" ht="3.75" customHeight="1">
      <c r="A155" s="90"/>
      <c r="B155" s="6"/>
      <c r="C155" s="90"/>
      <c r="D155" s="97"/>
      <c r="E155" s="98"/>
      <c r="F155" s="99"/>
      <c r="G155" s="99"/>
      <c r="H155" s="99"/>
      <c r="I155" s="100"/>
      <c r="J155" s="302"/>
      <c r="K155" s="90"/>
      <c r="L155" s="102"/>
      <c r="M155" s="121"/>
      <c r="N155" s="102"/>
      <c r="O155" s="102"/>
      <c r="P155" s="122"/>
      <c r="Q155" s="4"/>
      <c r="R155" s="123" t="s">
        <v>123</v>
      </c>
      <c r="S155" s="11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</row>
    <row r="156" ht="15.75" customHeight="1">
      <c r="A156" s="124"/>
      <c r="B156" s="6"/>
      <c r="C156" s="124"/>
      <c r="D156" s="125" t="s">
        <v>77</v>
      </c>
      <c r="E156" s="126"/>
      <c r="F156" s="127">
        <v>1.0</v>
      </c>
      <c r="G156" s="240">
        <v>6.0</v>
      </c>
      <c r="H156" s="129"/>
      <c r="I156" s="130">
        <v>374.0</v>
      </c>
      <c r="J156" s="151">
        <v>5.0</v>
      </c>
      <c r="K156" s="132"/>
      <c r="L156" s="133">
        <v>5.0</v>
      </c>
      <c r="M156" s="134">
        <f>I21</f>
        <v>364</v>
      </c>
      <c r="N156" s="135">
        <f>iferror(mround($P21*((VLOOKUP($J156,Sheet1!$D:$N,$G156+1,FALSE)-0.03)),2.5)," ")</f>
        <v>0</v>
      </c>
      <c r="O156" s="135">
        <f>iferror(mround($P21*((VLOOKUP($J156,Sheet1!$D:$N,$G156+1,FALSE)+0.02)),2.5)," ")</f>
        <v>0</v>
      </c>
      <c r="P156" s="56" t="str">
        <f>iferror(mround(I156/VLOOKUP(L156,Sheet1!$D$7:$N$16,G156+1,FALSE),2.5),"")</f>
        <v/>
      </c>
      <c r="Q156" s="303">
        <f t="shared" ref="Q156:Q177" si="1">IF(OR(ISBLANK(I156), ISBLANK(I21)), "", IF(I156 - I21 = 0, "", I156 - I21))</f>
        <v>10</v>
      </c>
      <c r="S156" s="11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</row>
    <row r="157" ht="3.75" customHeight="1">
      <c r="A157" s="137"/>
      <c r="B157" s="70"/>
      <c r="C157" s="137"/>
      <c r="D157" s="138"/>
      <c r="E157" s="139"/>
      <c r="F157" s="140"/>
      <c r="G157" s="140"/>
      <c r="H157" s="140"/>
      <c r="I157" s="140"/>
      <c r="J157" s="141"/>
      <c r="K157" s="142"/>
      <c r="L157" s="143"/>
      <c r="M157" s="144"/>
      <c r="N157" s="145"/>
      <c r="O157" s="145"/>
      <c r="P157" s="122"/>
      <c r="Q157" s="304" t="str">
        <f t="shared" si="1"/>
        <v/>
      </c>
      <c r="S157" s="147"/>
      <c r="T157" s="148"/>
      <c r="U157" s="148"/>
      <c r="V157" s="148"/>
      <c r="W157" s="148"/>
      <c r="X157" s="148"/>
      <c r="Y157" s="148"/>
      <c r="Z157" s="148"/>
      <c r="AA157" s="148"/>
      <c r="AB157" s="148"/>
      <c r="AC157" s="148"/>
      <c r="AD157" s="148"/>
      <c r="AE157" s="148"/>
      <c r="AF157" s="148"/>
      <c r="AG157" s="148"/>
    </row>
    <row r="158" ht="15.75" customHeight="1">
      <c r="A158" s="149"/>
      <c r="B158" s="150"/>
      <c r="C158" s="149"/>
      <c r="D158" s="125" t="s">
        <v>77</v>
      </c>
      <c r="E158" s="126"/>
      <c r="F158" s="127">
        <v>1.0</v>
      </c>
      <c r="G158" s="240">
        <v>6.0</v>
      </c>
      <c r="H158" s="129"/>
      <c r="I158" s="130">
        <v>408.0</v>
      </c>
      <c r="J158" s="151">
        <v>6.5</v>
      </c>
      <c r="K158" s="132"/>
      <c r="L158" s="133">
        <v>7.0</v>
      </c>
      <c r="M158" s="134">
        <f>I23</f>
        <v>392</v>
      </c>
      <c r="N158" s="135">
        <f>iferror(mround($P23*((VLOOKUP($J158,Sheet1!$D:$N,$G158+1,FALSE)-0.03)),2.5)," ")</f>
        <v>382.5</v>
      </c>
      <c r="O158" s="135">
        <f>iferror(mround($P23*((VLOOKUP($J158,Sheet1!$D:$N,$G158+1,FALSE)+0.02)),2.5)," ")</f>
        <v>410</v>
      </c>
      <c r="P158" s="56">
        <f>iferror(mround(I158/VLOOKUP(L158,Sheet1!$D$7:$N$16,G158+1,FALSE),2.5),"")</f>
        <v>532.5</v>
      </c>
      <c r="Q158" s="303">
        <f t="shared" si="1"/>
        <v>16</v>
      </c>
      <c r="S158" s="11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</row>
    <row r="159" ht="3.75" customHeight="1">
      <c r="A159" s="152"/>
      <c r="B159" s="150"/>
      <c r="C159" s="153"/>
      <c r="D159" s="138"/>
      <c r="E159" s="154"/>
      <c r="F159" s="155"/>
      <c r="G159" s="102"/>
      <c r="H159" s="102"/>
      <c r="I159" s="102"/>
      <c r="J159" s="156"/>
      <c r="K159" s="142"/>
      <c r="L159" s="143"/>
      <c r="M159" s="144"/>
      <c r="N159" s="145"/>
      <c r="O159" s="145"/>
      <c r="P159" s="122"/>
      <c r="Q159" s="304" t="str">
        <f t="shared" si="1"/>
        <v/>
      </c>
      <c r="S159" s="157"/>
      <c r="T159" s="5"/>
      <c r="U159" s="5"/>
      <c r="V159" s="158"/>
      <c r="W159" s="158"/>
      <c r="X159" s="158"/>
      <c r="Y159" s="158"/>
      <c r="Z159" s="158"/>
      <c r="AA159" s="158"/>
      <c r="AB159" s="158"/>
      <c r="AC159" s="158"/>
      <c r="AD159" s="158"/>
      <c r="AE159" s="158"/>
      <c r="AF159" s="158"/>
      <c r="AG159" s="158"/>
    </row>
    <row r="160" ht="15.75" customHeight="1">
      <c r="A160" s="149"/>
      <c r="B160" s="150"/>
      <c r="C160" s="149"/>
      <c r="D160" s="125" t="s">
        <v>77</v>
      </c>
      <c r="E160" s="126"/>
      <c r="F160" s="127">
        <v>1.0</v>
      </c>
      <c r="G160" s="161">
        <v>6.0</v>
      </c>
      <c r="H160" s="129"/>
      <c r="I160" s="130">
        <v>408.0</v>
      </c>
      <c r="J160" s="151" t="s">
        <v>78</v>
      </c>
      <c r="K160" s="132"/>
      <c r="L160" s="133">
        <v>7.5</v>
      </c>
      <c r="M160" s="134">
        <f>I25</f>
        <v>392</v>
      </c>
      <c r="N160" s="135" t="str">
        <f>iferror(mround($P25*((VLOOKUP($J160,Sheet1!$D:$N,$G160+1,FALSE)-0.03)),2.5)," ")</f>
        <v> </v>
      </c>
      <c r="O160" s="135" t="str">
        <f>iferror(mround($P25*((VLOOKUP($J160,Sheet1!$D:$N,$G160+1,FALSE)+0.02)),2.5)," ")</f>
        <v> </v>
      </c>
      <c r="P160" s="56">
        <f>iferror(mround(I160/VLOOKUP(L160,Sheet1!$D$7:$N$16,G160+1,FALSE),2.5),"")</f>
        <v>525</v>
      </c>
      <c r="Q160" s="303">
        <f t="shared" si="1"/>
        <v>16</v>
      </c>
      <c r="S160" s="11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</row>
    <row r="161" ht="3.75" customHeight="1">
      <c r="A161" s="162"/>
      <c r="B161" s="163"/>
      <c r="C161" s="162"/>
      <c r="D161" s="138"/>
      <c r="E161" s="154"/>
      <c r="F161" s="155"/>
      <c r="G161" s="102"/>
      <c r="H161" s="102"/>
      <c r="I161" s="102"/>
      <c r="J161" s="156"/>
      <c r="K161" s="142"/>
      <c r="L161" s="143"/>
      <c r="M161" s="144"/>
      <c r="N161" s="145"/>
      <c r="O161" s="145"/>
      <c r="P161" s="122"/>
      <c r="Q161" s="304" t="str">
        <f t="shared" si="1"/>
        <v/>
      </c>
      <c r="S161" s="147"/>
      <c r="T161" s="148"/>
      <c r="U161" s="148"/>
      <c r="V161" s="148"/>
      <c r="W161" s="148"/>
      <c r="X161" s="148"/>
      <c r="Y161" s="148"/>
      <c r="Z161" s="148"/>
      <c r="AA161" s="148"/>
      <c r="AB161" s="148"/>
      <c r="AC161" s="148"/>
      <c r="AD161" s="148"/>
      <c r="AE161" s="148"/>
      <c r="AF161" s="148"/>
      <c r="AG161" s="148"/>
    </row>
    <row r="162" ht="15.75" customHeight="1">
      <c r="A162" s="149"/>
      <c r="B162" s="150"/>
      <c r="C162" s="149"/>
      <c r="D162" s="159" t="s">
        <v>33</v>
      </c>
      <c r="E162" s="160" t="s">
        <v>34</v>
      </c>
      <c r="F162" s="127">
        <v>1.0</v>
      </c>
      <c r="G162" s="161">
        <v>5.0</v>
      </c>
      <c r="H162" s="129"/>
      <c r="I162" s="130">
        <v>253.0</v>
      </c>
      <c r="J162" s="151">
        <v>7.0</v>
      </c>
      <c r="K162" s="132"/>
      <c r="L162" s="133">
        <v>7.0</v>
      </c>
      <c r="M162" s="134">
        <f>I27</f>
        <v>248</v>
      </c>
      <c r="N162" s="135">
        <f>iferror(mround($P27*((VLOOKUP($J162,Sheet1!$D:$N,$G162+1,FALSE)-0.03)),2.5)," ")</f>
        <v>242.5</v>
      </c>
      <c r="O162" s="135">
        <f>iferror(mround($P27*((VLOOKUP($J162,Sheet1!$D:$N,$G162+1,FALSE)+0.02)),2.5)," ")</f>
        <v>260</v>
      </c>
      <c r="P162" s="56">
        <f>iferror(mround(I162/VLOOKUP(L162,Sheet1!$D$7:$N$16,G162+1,FALSE),2.5),"")</f>
        <v>320</v>
      </c>
      <c r="Q162" s="303">
        <f t="shared" si="1"/>
        <v>5</v>
      </c>
      <c r="S162" s="11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</row>
    <row r="163" ht="3.75" customHeight="1">
      <c r="A163" s="162"/>
      <c r="B163" s="163"/>
      <c r="C163" s="162"/>
      <c r="D163" s="138"/>
      <c r="E163" s="139"/>
      <c r="F163" s="140"/>
      <c r="G163" s="140"/>
      <c r="H163" s="140"/>
      <c r="I163" s="140"/>
      <c r="J163" s="141"/>
      <c r="K163" s="142"/>
      <c r="L163" s="143"/>
      <c r="M163" s="144"/>
      <c r="N163" s="145"/>
      <c r="O163" s="145"/>
      <c r="P163" s="122"/>
      <c r="Q163" s="304" t="str">
        <f t="shared" si="1"/>
        <v/>
      </c>
      <c r="S163" s="147"/>
      <c r="T163" s="148"/>
      <c r="U163" s="148"/>
      <c r="V163" s="148"/>
      <c r="W163" s="148"/>
      <c r="X163" s="148"/>
      <c r="Y163" s="148"/>
      <c r="Z163" s="148"/>
      <c r="AA163" s="148"/>
      <c r="AB163" s="148"/>
      <c r="AC163" s="148"/>
      <c r="AD163" s="148"/>
      <c r="AE163" s="148"/>
      <c r="AF163" s="148"/>
      <c r="AG163" s="148"/>
    </row>
    <row r="164" ht="15.75" customHeight="1">
      <c r="A164" s="90"/>
      <c r="B164" s="6"/>
      <c r="C164" s="90"/>
      <c r="D164" s="159" t="s">
        <v>33</v>
      </c>
      <c r="E164" s="160" t="s">
        <v>34</v>
      </c>
      <c r="F164" s="127">
        <v>2.0</v>
      </c>
      <c r="G164" s="161">
        <v>5.0</v>
      </c>
      <c r="H164" s="129"/>
      <c r="I164" s="164">
        <f>MROUND(I162*(1+J164),5)</f>
        <v>230</v>
      </c>
      <c r="J164" s="165">
        <v>-0.1</v>
      </c>
      <c r="K164" s="132"/>
      <c r="L164" s="133">
        <v>5.0</v>
      </c>
      <c r="M164" s="134">
        <f>I29</f>
        <v>225</v>
      </c>
      <c r="N164" s="135" t="str">
        <f>iferror(mround($P29*((VLOOKUP($J164,Sheet1!$D:$N,$G164+1,FALSE)-0.03)),2.5)," ")</f>
        <v> </v>
      </c>
      <c r="O164" s="135" t="str">
        <f>iferror(mround($P29*((VLOOKUP($J164,Sheet1!$D:$N,$G164+1,FALSE)+0.02)),2.5)," ")</f>
        <v> </v>
      </c>
      <c r="P164" s="56" t="str">
        <f>iferror(mround(I164/VLOOKUP(L164,Sheet1!$D$7:$N$16,G164+1,FALSE),2.5),"")</f>
        <v/>
      </c>
      <c r="Q164" s="303">
        <f t="shared" si="1"/>
        <v>5</v>
      </c>
      <c r="S164" s="11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</row>
    <row r="165" ht="3.75" customHeight="1">
      <c r="A165" s="168"/>
      <c r="B165" s="70"/>
      <c r="C165" s="168"/>
      <c r="D165" s="138"/>
      <c r="E165" s="139"/>
      <c r="F165" s="102"/>
      <c r="G165" s="102"/>
      <c r="H165" s="102"/>
      <c r="I165" s="102"/>
      <c r="J165" s="156"/>
      <c r="K165" s="142"/>
      <c r="L165" s="143"/>
      <c r="M165" s="144"/>
      <c r="N165" s="145"/>
      <c r="O165" s="145"/>
      <c r="P165" s="122"/>
      <c r="Q165" s="304" t="str">
        <f t="shared" si="1"/>
        <v/>
      </c>
      <c r="S165" s="147"/>
      <c r="T165" s="148"/>
      <c r="U165" s="148"/>
      <c r="V165" s="148"/>
      <c r="W165" s="148"/>
      <c r="X165" s="148"/>
      <c r="Y165" s="148"/>
      <c r="Z165" s="148"/>
      <c r="AA165" s="148"/>
      <c r="AB165" s="148"/>
      <c r="AC165" s="148"/>
      <c r="AD165" s="148"/>
      <c r="AE165" s="148"/>
      <c r="AF165" s="148"/>
      <c r="AG165" s="148"/>
    </row>
    <row r="166" ht="15.75" customHeight="1">
      <c r="A166" s="90"/>
      <c r="B166" s="6"/>
      <c r="C166" s="90"/>
      <c r="D166" s="166" t="s">
        <v>119</v>
      </c>
      <c r="E166" s="160"/>
      <c r="F166" s="127">
        <v>2.0</v>
      </c>
      <c r="G166" s="169">
        <v>45577.0</v>
      </c>
      <c r="H166" s="129"/>
      <c r="I166" s="130">
        <v>70.0</v>
      </c>
      <c r="J166" s="151">
        <v>8.0</v>
      </c>
      <c r="K166" s="132"/>
      <c r="L166" s="133">
        <v>8.5</v>
      </c>
      <c r="M166" s="134">
        <f>I31</f>
        <v>65</v>
      </c>
      <c r="N166" s="135" t="str">
        <f>iferror(mround($P31*((VLOOKUP($J166,Sheet1!$D:$N,$G166+1,FALSE)-0.03)),2.5)," ")</f>
        <v> </v>
      </c>
      <c r="O166" s="135" t="str">
        <f>iferror(mround($P31*((VLOOKUP($J166,Sheet1!$D:$N,$G166+1,FALSE)+0.02)),2.5)," ")</f>
        <v> </v>
      </c>
      <c r="P166" s="56" t="str">
        <f>iferror(mround(I166/VLOOKUP(L166,Sheet1!$D$7:$N$16,G166+1,FALSE),2.5),"")</f>
        <v/>
      </c>
      <c r="Q166" s="303">
        <f t="shared" si="1"/>
        <v>5</v>
      </c>
      <c r="S166" s="11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</row>
    <row r="167" ht="3.75" customHeight="1">
      <c r="A167" s="90"/>
      <c r="B167" s="6"/>
      <c r="C167" s="90"/>
      <c r="D167" s="171"/>
      <c r="E167" s="172"/>
      <c r="F167" s="173"/>
      <c r="G167" s="173"/>
      <c r="H167" s="173"/>
      <c r="I167" s="173"/>
      <c r="J167" s="174"/>
      <c r="K167" s="142"/>
      <c r="L167" s="143"/>
      <c r="M167" s="144"/>
      <c r="N167" s="145"/>
      <c r="O167" s="145"/>
      <c r="P167" s="122"/>
      <c r="Q167" s="304" t="str">
        <f t="shared" si="1"/>
        <v/>
      </c>
      <c r="S167" s="11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</row>
    <row r="168" ht="15.75" customHeight="1">
      <c r="A168" s="90"/>
      <c r="B168" s="6"/>
      <c r="C168" s="90"/>
      <c r="D168" s="166" t="s">
        <v>37</v>
      </c>
      <c r="E168" s="160" t="s">
        <v>81</v>
      </c>
      <c r="F168" s="127">
        <v>3.0</v>
      </c>
      <c r="G168" s="169">
        <v>45577.0</v>
      </c>
      <c r="H168" s="129"/>
      <c r="I168" s="130">
        <v>370.0</v>
      </c>
      <c r="J168" s="151">
        <v>8.0</v>
      </c>
      <c r="K168" s="132"/>
      <c r="L168" s="133">
        <v>8.5</v>
      </c>
      <c r="M168" s="134">
        <f>I33</f>
        <v>360</v>
      </c>
      <c r="N168" s="135" t="str">
        <f>iferror(mround($P33*((VLOOKUP($J168,Sheet1!$D:$N,$G168+1,FALSE)-0.03)),2.5)," ")</f>
        <v> </v>
      </c>
      <c r="O168" s="135" t="str">
        <f>iferror(mround($P33*((VLOOKUP($J168,Sheet1!$D:$N,$G168+1,FALSE)+0.02)),2.5)," ")</f>
        <v> </v>
      </c>
      <c r="P168" s="56" t="str">
        <f>iferror(mround(I168/VLOOKUP(L168,Sheet1!$D$7:$N$16,G168+1,FALSE),2.5),"")</f>
        <v/>
      </c>
      <c r="Q168" s="303">
        <f t="shared" si="1"/>
        <v>10</v>
      </c>
      <c r="S168" s="11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</row>
    <row r="169" ht="3.75" customHeight="1">
      <c r="A169" s="90"/>
      <c r="B169" s="6"/>
      <c r="C169" s="90"/>
      <c r="D169" s="171"/>
      <c r="E169" s="172"/>
      <c r="F169" s="173"/>
      <c r="G169" s="173"/>
      <c r="H169" s="173"/>
      <c r="I169" s="173"/>
      <c r="J169" s="174"/>
      <c r="K169" s="142"/>
      <c r="L169" s="143"/>
      <c r="M169" s="144"/>
      <c r="N169" s="145"/>
      <c r="O169" s="145"/>
      <c r="P169" s="122"/>
      <c r="Q169" s="304" t="str">
        <f t="shared" si="1"/>
        <v/>
      </c>
      <c r="S169" s="11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</row>
    <row r="170" ht="15.75" hidden="1" customHeight="1">
      <c r="A170" s="90"/>
      <c r="B170" s="6"/>
      <c r="C170" s="90"/>
      <c r="D170" s="175" t="s">
        <v>40</v>
      </c>
      <c r="E170" s="176"/>
      <c r="F170" s="177">
        <v>3.0</v>
      </c>
      <c r="G170" s="178" t="s">
        <v>41</v>
      </c>
      <c r="H170" s="179"/>
      <c r="I170" s="180"/>
      <c r="J170" s="181">
        <v>8.0</v>
      </c>
      <c r="K170" s="182"/>
      <c r="L170" s="183"/>
      <c r="M170" s="134" t="str">
        <f>I35</f>
        <v/>
      </c>
      <c r="N170" s="135" t="str">
        <f>iferror(mround($P35*((VLOOKUP($J170,Sheet1!$D:$N,$G170+1,FALSE)-0.03)),2.5)," ")</f>
        <v> </v>
      </c>
      <c r="O170" s="135" t="str">
        <f>iferror(mround($P35*((VLOOKUP($J170,Sheet1!$D:$N,$G170+1,FALSE)+0.02)),2.5)," ")</f>
        <v> </v>
      </c>
      <c r="P170" s="56" t="str">
        <f>iferror(mround(I170/VLOOKUP(L170,Sheet1!$D$7:$N$16,G170+1,FALSE),2.5),"")</f>
        <v/>
      </c>
      <c r="Q170" s="303" t="str">
        <f t="shared" si="1"/>
        <v/>
      </c>
      <c r="S170" s="11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</row>
    <row r="171" ht="3.75" hidden="1" customHeight="1">
      <c r="A171" s="90"/>
      <c r="B171" s="6"/>
      <c r="C171" s="90"/>
      <c r="D171" s="138"/>
      <c r="E171" s="184"/>
      <c r="F171" s="102"/>
      <c r="G171" s="102"/>
      <c r="H171" s="102"/>
      <c r="I171" s="102"/>
      <c r="J171" s="156"/>
      <c r="K171" s="103"/>
      <c r="L171" s="143"/>
      <c r="M171" s="144"/>
      <c r="N171" s="145"/>
      <c r="O171" s="145"/>
      <c r="P171" s="122"/>
      <c r="Q171" s="304" t="str">
        <f t="shared" si="1"/>
        <v/>
      </c>
      <c r="S171" s="11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</row>
    <row r="172" ht="15.75" hidden="1" customHeight="1">
      <c r="A172" s="90"/>
      <c r="B172" s="6"/>
      <c r="C172" s="90"/>
      <c r="D172" s="185"/>
      <c r="E172" s="186"/>
      <c r="F172" s="187"/>
      <c r="G172" s="188"/>
      <c r="H172" s="129"/>
      <c r="I172" s="164"/>
      <c r="J172" s="189"/>
      <c r="K172" s="190"/>
      <c r="L172" s="183"/>
      <c r="M172" s="134" t="str">
        <f>I37</f>
        <v/>
      </c>
      <c r="N172" s="135" t="str">
        <f>iferror(mround($P37*((VLOOKUP($J172,Sheet1!$D:$N,$G172+1,FALSE)-0.03)),2.5)," ")</f>
        <v> </v>
      </c>
      <c r="O172" s="135" t="str">
        <f>iferror(mround($P37*((VLOOKUP($J172,Sheet1!$D:$N,$G172+1,FALSE)+0.02)),2.5)," ")</f>
        <v> </v>
      </c>
      <c r="P172" s="56" t="str">
        <f>iferror(mround(I172/VLOOKUP(L172,Sheet1!$D$7:$N$16,G172+1,FALSE),2.5),"")</f>
        <v/>
      </c>
      <c r="Q172" s="303" t="str">
        <f t="shared" si="1"/>
        <v/>
      </c>
      <c r="S172" s="11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</row>
    <row r="173" ht="3.75" hidden="1" customHeight="1">
      <c r="A173" s="191"/>
      <c r="B173" s="6"/>
      <c r="C173" s="192"/>
      <c r="D173" s="138"/>
      <c r="E173" s="193"/>
      <c r="F173" s="194"/>
      <c r="G173" s="155"/>
      <c r="H173" s="102"/>
      <c r="I173" s="102"/>
      <c r="J173" s="156"/>
      <c r="K173" s="103"/>
      <c r="L173" s="143"/>
      <c r="M173" s="144"/>
      <c r="N173" s="145"/>
      <c r="O173" s="145"/>
      <c r="P173" s="122"/>
      <c r="Q173" s="304" t="str">
        <f t="shared" si="1"/>
        <v/>
      </c>
      <c r="S173" s="157"/>
      <c r="T173" s="5"/>
      <c r="U173" s="5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</row>
    <row r="174" ht="15.75" hidden="1" customHeight="1">
      <c r="A174" s="90"/>
      <c r="B174" s="6"/>
      <c r="C174" s="90"/>
      <c r="D174" s="185"/>
      <c r="E174" s="186"/>
      <c r="F174" s="187"/>
      <c r="G174" s="195"/>
      <c r="H174" s="129"/>
      <c r="I174" s="164"/>
      <c r="J174" s="189"/>
      <c r="K174" s="190"/>
      <c r="L174" s="183"/>
      <c r="M174" s="134" t="str">
        <f>I39</f>
        <v/>
      </c>
      <c r="N174" s="135" t="str">
        <f>iferror(mround($P39*((VLOOKUP($J174,Sheet1!$D:$N,$G174+1,FALSE)-0.03)),2.5)," ")</f>
        <v> </v>
      </c>
      <c r="O174" s="135" t="str">
        <f>iferror(mround($P39*((VLOOKUP($J174,Sheet1!$D:$N,$G174+1,FALSE)+0.02)),2.5)," ")</f>
        <v> </v>
      </c>
      <c r="P174" s="56" t="str">
        <f>iferror(mround(I174/VLOOKUP(L174,Sheet1!$D$7:$N$16,G174+1,FALSE),2.5),"")</f>
        <v/>
      </c>
      <c r="Q174" s="303" t="str">
        <f t="shared" si="1"/>
        <v/>
      </c>
      <c r="S174" s="11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</row>
    <row r="175" ht="3.75" hidden="1" customHeight="1">
      <c r="A175" s="90"/>
      <c r="B175" s="6"/>
      <c r="C175" s="90"/>
      <c r="D175" s="196"/>
      <c r="E175" s="184"/>
      <c r="F175" s="102"/>
      <c r="G175" s="102"/>
      <c r="H175" s="102"/>
      <c r="I175" s="102"/>
      <c r="J175" s="156"/>
      <c r="K175" s="103"/>
      <c r="L175" s="143"/>
      <c r="M175" s="144"/>
      <c r="N175" s="145"/>
      <c r="O175" s="145"/>
      <c r="P175" s="122"/>
      <c r="Q175" s="304" t="str">
        <f t="shared" si="1"/>
        <v/>
      </c>
      <c r="S175" s="11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</row>
    <row r="176" ht="15.75" hidden="1" customHeight="1">
      <c r="A176" s="90"/>
      <c r="B176" s="6"/>
      <c r="C176" s="90"/>
      <c r="D176" s="197"/>
      <c r="E176" s="198"/>
      <c r="F176" s="199"/>
      <c r="G176" s="195"/>
      <c r="H176" s="129"/>
      <c r="I176" s="164"/>
      <c r="J176" s="189"/>
      <c r="K176" s="190"/>
      <c r="L176" s="183"/>
      <c r="M176" s="134" t="str">
        <f>I41</f>
        <v/>
      </c>
      <c r="N176" s="135" t="str">
        <f>iferror(mround($P41*((VLOOKUP($J176,Sheet1!$D:$N,$G176+1,FALSE)-0.03)),2.5)," ")</f>
        <v> </v>
      </c>
      <c r="O176" s="135" t="str">
        <f>iferror(mround($P41*((VLOOKUP($J176,Sheet1!$D:$N,$G176+1,FALSE)+0.02)),2.5)," ")</f>
        <v> </v>
      </c>
      <c r="P176" s="56" t="str">
        <f>iferror(mround(I176/VLOOKUP(L176,Sheet1!$D$7:$N$16,G176+1,FALSE),2.5),"")</f>
        <v/>
      </c>
      <c r="Q176" s="303" t="str">
        <f t="shared" si="1"/>
        <v/>
      </c>
      <c r="S176" s="11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</row>
    <row r="177" ht="3.75" customHeight="1">
      <c r="A177" s="90"/>
      <c r="B177" s="6"/>
      <c r="C177" s="90"/>
      <c r="D177" s="90"/>
      <c r="E177" s="156"/>
      <c r="F177" s="102"/>
      <c r="G177" s="102"/>
      <c r="H177" s="102"/>
      <c r="I177" s="102"/>
      <c r="J177" s="156"/>
      <c r="K177" s="200"/>
      <c r="L177" s="201"/>
      <c r="M177" s="144"/>
      <c r="N177" s="47"/>
      <c r="O177" s="47"/>
      <c r="P177" s="122"/>
      <c r="Q177" s="304" t="str">
        <f t="shared" si="1"/>
        <v/>
      </c>
      <c r="S177" s="11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</row>
    <row r="178" ht="30.0" customHeight="1">
      <c r="A178" s="90"/>
      <c r="B178" s="6"/>
      <c r="C178" s="90"/>
      <c r="D178" s="202" t="s">
        <v>42</v>
      </c>
      <c r="E178" s="105" t="s">
        <v>82</v>
      </c>
      <c r="F178" s="106" t="s">
        <v>16</v>
      </c>
      <c r="G178" s="106" t="s">
        <v>17</v>
      </c>
      <c r="H178" s="107"/>
      <c r="I178" s="106" t="s">
        <v>18</v>
      </c>
      <c r="J178" s="108" t="s">
        <v>19</v>
      </c>
      <c r="L178" s="109" t="s">
        <v>20</v>
      </c>
      <c r="M178" s="110" t="s">
        <v>21</v>
      </c>
      <c r="N178" s="111" t="s">
        <v>22</v>
      </c>
      <c r="P178" s="112"/>
      <c r="Q178" s="113" t="s">
        <v>23</v>
      </c>
      <c r="R178" s="114" t="s">
        <v>43</v>
      </c>
      <c r="S178" s="11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</row>
    <row r="179" ht="14.25" customHeight="1">
      <c r="A179" s="90"/>
      <c r="B179" s="6"/>
      <c r="C179" s="90"/>
      <c r="D179" s="116">
        <v>4.0</v>
      </c>
      <c r="E179" s="117">
        <v>2.0</v>
      </c>
      <c r="H179" s="107"/>
      <c r="N179" s="111" t="s">
        <v>27</v>
      </c>
      <c r="O179" s="111" t="s">
        <v>28</v>
      </c>
      <c r="P179" s="112" t="s">
        <v>29</v>
      </c>
      <c r="R179" s="118" t="s">
        <v>30</v>
      </c>
      <c r="S179" s="11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</row>
    <row r="180" ht="3.75" customHeight="1">
      <c r="A180" s="191"/>
      <c r="B180" s="6"/>
      <c r="C180" s="192"/>
      <c r="D180" s="203"/>
      <c r="E180" s="204"/>
      <c r="F180" s="205"/>
      <c r="G180" s="205"/>
      <c r="H180" s="206"/>
      <c r="I180" s="207"/>
      <c r="J180" s="208"/>
      <c r="K180" s="209"/>
      <c r="L180" s="210"/>
      <c r="M180" s="211"/>
      <c r="N180" s="47"/>
      <c r="O180" s="47"/>
      <c r="P180" s="122"/>
      <c r="Q180" s="304" t="str">
        <f t="shared" ref="Q180:Q202" si="2">IF(OR(ISBLANK(I180), ISBLANK(I45)), "", IF(I180 - I45 = 0, "", I180 - I45))</f>
        <v/>
      </c>
      <c r="R180" s="212"/>
      <c r="S180" s="157"/>
      <c r="T180" s="5"/>
      <c r="U180" s="5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</row>
    <row r="181" ht="15.75" customHeight="1">
      <c r="A181" s="124"/>
      <c r="B181" s="6"/>
      <c r="C181" s="124"/>
      <c r="D181" s="159" t="s">
        <v>83</v>
      </c>
      <c r="E181" s="167" t="s">
        <v>84</v>
      </c>
      <c r="F181" s="127">
        <v>3.0</v>
      </c>
      <c r="G181" s="127">
        <v>3.0</v>
      </c>
      <c r="H181" s="195"/>
      <c r="I181" s="130">
        <v>441.0</v>
      </c>
      <c r="J181" s="151">
        <v>6.0</v>
      </c>
      <c r="K181" s="213"/>
      <c r="L181" s="133">
        <v>6.0</v>
      </c>
      <c r="M181" s="134">
        <f>I46</f>
        <v>430</v>
      </c>
      <c r="N181" s="135">
        <f>iferror(mround($P46*((VLOOKUP($J181,Sheet1!$D:$N,$G181+1,FALSE)-0.03)),2.5)," ")</f>
        <v>0</v>
      </c>
      <c r="O181" s="135">
        <f>iferror(mround($P46*((VLOOKUP($J181,Sheet1!$D:$N,$G181+1,FALSE)+0.02)),2.5)," ")</f>
        <v>0</v>
      </c>
      <c r="P181" s="112">
        <f>iferror(mround(I181/VLOOKUP(L181,Sheet1!$D$7:$N$16,G181+1,FALSE),2.5),"")</f>
        <v>540</v>
      </c>
      <c r="Q181" s="303">
        <f t="shared" si="2"/>
        <v>11</v>
      </c>
      <c r="R181" s="214"/>
      <c r="S181" s="11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</row>
    <row r="182" ht="3.75" customHeight="1">
      <c r="A182" s="124"/>
      <c r="B182" s="6"/>
      <c r="C182" s="124"/>
      <c r="D182" s="138"/>
      <c r="E182" s="215"/>
      <c r="F182" s="102"/>
      <c r="G182" s="102"/>
      <c r="H182" s="102"/>
      <c r="I182" s="102"/>
      <c r="J182" s="216"/>
      <c r="K182" s="217"/>
      <c r="L182" s="218"/>
      <c r="M182" s="144"/>
      <c r="N182" s="145"/>
      <c r="O182" s="145"/>
      <c r="P182" s="122"/>
      <c r="Q182" s="304" t="str">
        <f t="shared" si="2"/>
        <v/>
      </c>
      <c r="R182" s="214"/>
      <c r="S182" s="11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</row>
    <row r="183" ht="15.75" customHeight="1">
      <c r="A183" s="90"/>
      <c r="B183" s="6"/>
      <c r="C183" s="90"/>
      <c r="D183" s="159" t="s">
        <v>66</v>
      </c>
      <c r="E183" s="167" t="s">
        <v>79</v>
      </c>
      <c r="F183" s="127">
        <v>3.0</v>
      </c>
      <c r="G183" s="127">
        <v>7.0</v>
      </c>
      <c r="H183" s="195"/>
      <c r="I183" s="130">
        <v>232.0</v>
      </c>
      <c r="J183" s="151">
        <v>6.0</v>
      </c>
      <c r="K183" s="219" t="s">
        <v>85</v>
      </c>
      <c r="L183" s="133">
        <v>6.5</v>
      </c>
      <c r="M183" s="134">
        <f>I48</f>
        <v>225</v>
      </c>
      <c r="N183" s="135">
        <f>iferror(mround($P48*((VLOOKUP($J183,Sheet1!$D:$N,$G183+1,FALSE)-0.03)),2.5)," ")</f>
        <v>215</v>
      </c>
      <c r="O183" s="135">
        <f>iferror(mround($P48*((VLOOKUP($J183,Sheet1!$D:$N,$G183+1,FALSE)+0.02)),2.5)," ")</f>
        <v>232.5</v>
      </c>
      <c r="P183" s="112">
        <f>iferror(mround(I183/VLOOKUP(L183,Sheet1!$D$7:$N$16,G183+1,FALSE),2.5),"")</f>
        <v>320</v>
      </c>
      <c r="Q183" s="303">
        <f t="shared" si="2"/>
        <v>7</v>
      </c>
      <c r="R183" s="214"/>
      <c r="S183" s="11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</row>
    <row r="184" ht="3.75" customHeight="1">
      <c r="A184" s="90"/>
      <c r="B184" s="6"/>
      <c r="C184" s="90"/>
      <c r="D184" s="138"/>
      <c r="E184" s="215"/>
      <c r="F184" s="102"/>
      <c r="G184" s="102"/>
      <c r="H184" s="102"/>
      <c r="I184" s="102"/>
      <c r="J184" s="216"/>
      <c r="K184" s="217"/>
      <c r="L184" s="218"/>
      <c r="M184" s="144"/>
      <c r="N184" s="145"/>
      <c r="O184" s="145"/>
      <c r="P184" s="122"/>
      <c r="Q184" s="304" t="str">
        <f t="shared" si="2"/>
        <v/>
      </c>
      <c r="R184" s="214"/>
      <c r="S184" s="11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</row>
    <row r="185" ht="15.75" customHeight="1">
      <c r="A185" s="90"/>
      <c r="B185" s="6"/>
      <c r="C185" s="90"/>
      <c r="D185" s="159" t="s">
        <v>86</v>
      </c>
      <c r="E185" s="167" t="s">
        <v>87</v>
      </c>
      <c r="F185" s="127">
        <v>3.0</v>
      </c>
      <c r="G185" s="169">
        <v>45577.0</v>
      </c>
      <c r="H185" s="195"/>
      <c r="I185" s="130">
        <v>120.0</v>
      </c>
      <c r="J185" s="151">
        <v>7.0</v>
      </c>
      <c r="K185" s="219"/>
      <c r="L185" s="133">
        <v>8.0</v>
      </c>
      <c r="M185" s="134">
        <f>I50</f>
        <v>120</v>
      </c>
      <c r="N185" s="135" t="str">
        <f>iferror(mround($P50*((VLOOKUP($J185,Sheet1!$D:$N,$G185+1,FALSE)-0.03)),2.5)," ")</f>
        <v> </v>
      </c>
      <c r="O185" s="135" t="str">
        <f>iferror(mround($P50*((VLOOKUP($J185,Sheet1!$D:$N,$G185+1,FALSE)+0.02)),2.5)," ")</f>
        <v> </v>
      </c>
      <c r="P185" s="112" t="str">
        <f>iferror(mround(I185/VLOOKUP(L185,Sheet1!$D$7:$N$16,G185+1,FALSE),2.5),"")</f>
        <v/>
      </c>
      <c r="Q185" s="303" t="str">
        <f t="shared" si="2"/>
        <v/>
      </c>
      <c r="R185" s="214"/>
      <c r="S185" s="11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</row>
    <row r="186" ht="3.75" customHeight="1">
      <c r="A186" s="90"/>
      <c r="B186" s="6"/>
      <c r="C186" s="90"/>
      <c r="D186" s="138"/>
      <c r="E186" s="215"/>
      <c r="F186" s="102"/>
      <c r="G186" s="102"/>
      <c r="H186" s="102"/>
      <c r="I186" s="102"/>
      <c r="J186" s="156"/>
      <c r="K186" s="217"/>
      <c r="L186" s="143"/>
      <c r="M186" s="144"/>
      <c r="N186" s="145"/>
      <c r="O186" s="145"/>
      <c r="P186" s="122"/>
      <c r="Q186" s="304" t="str">
        <f t="shared" si="2"/>
        <v/>
      </c>
      <c r="R186" s="214"/>
      <c r="S186" s="11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</row>
    <row r="187" ht="15.75" customHeight="1">
      <c r="A187" s="90"/>
      <c r="B187" s="6"/>
      <c r="C187" s="90"/>
      <c r="D187" s="159" t="s">
        <v>121</v>
      </c>
      <c r="E187" s="167"/>
      <c r="F187" s="127">
        <v>3.0</v>
      </c>
      <c r="G187" s="169">
        <v>45577.0</v>
      </c>
      <c r="H187" s="195"/>
      <c r="I187" s="130">
        <v>70.0</v>
      </c>
      <c r="J187" s="151">
        <v>7.0</v>
      </c>
      <c r="K187" s="213"/>
      <c r="L187" s="133">
        <v>7.0</v>
      </c>
      <c r="M187" s="134">
        <f>I52</f>
        <v>65</v>
      </c>
      <c r="N187" s="135" t="str">
        <f>iferror(mround($P52*((VLOOKUP($J187,Sheet1!$D:$N,$G187+1,FALSE)-0.03)),2.5)," ")</f>
        <v> </v>
      </c>
      <c r="O187" s="135" t="str">
        <f>iferror(mround($P52*((VLOOKUP($J187,Sheet1!$D:$N,$G187+1,FALSE)+0.02)),2.5)," ")</f>
        <v> </v>
      </c>
      <c r="P187" s="112" t="str">
        <f>iferror(mround(I187/VLOOKUP(L187,Sheet1!$D$7:$N$16,G187+1,FALSE),2.5),"")</f>
        <v/>
      </c>
      <c r="Q187" s="303">
        <f t="shared" si="2"/>
        <v>5</v>
      </c>
      <c r="R187" s="214"/>
      <c r="S187" s="11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</row>
    <row r="188" ht="3.75" customHeight="1">
      <c r="A188" s="90"/>
      <c r="B188" s="6"/>
      <c r="C188" s="90"/>
      <c r="D188" s="138"/>
      <c r="E188" s="215"/>
      <c r="F188" s="102"/>
      <c r="G188" s="102"/>
      <c r="H188" s="102"/>
      <c r="I188" s="102"/>
      <c r="J188" s="156"/>
      <c r="K188" s="217"/>
      <c r="L188" s="143"/>
      <c r="M188" s="144"/>
      <c r="N188" s="145"/>
      <c r="O188" s="145"/>
      <c r="P188" s="122"/>
      <c r="Q188" s="304" t="str">
        <f t="shared" si="2"/>
        <v/>
      </c>
      <c r="R188" s="214"/>
      <c r="S188" s="11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</row>
    <row r="189" ht="15.75" customHeight="1">
      <c r="A189" s="90"/>
      <c r="B189" s="6"/>
      <c r="C189" s="90"/>
      <c r="D189" s="159" t="s">
        <v>88</v>
      </c>
      <c r="E189" s="220"/>
      <c r="F189" s="127">
        <v>3.0</v>
      </c>
      <c r="G189" s="221">
        <v>45641.0</v>
      </c>
      <c r="H189" s="195"/>
      <c r="I189" s="130">
        <v>12.5</v>
      </c>
      <c r="J189" s="151">
        <v>9.0</v>
      </c>
      <c r="K189" s="213"/>
      <c r="L189" s="133">
        <v>9.0</v>
      </c>
      <c r="M189" s="134">
        <f>I54</f>
        <v>25</v>
      </c>
      <c r="N189" s="135" t="str">
        <f>iferror(mround($P54*((VLOOKUP($J189,Sheet1!$D:$N,$G189+1,FALSE)-0.03)),2.5)," ")</f>
        <v> </v>
      </c>
      <c r="O189" s="135" t="str">
        <f>iferror(mround($P54*((VLOOKUP($J189,Sheet1!$D:$N,$G189+1,FALSE)+0.02)),2.5)," ")</f>
        <v> </v>
      </c>
      <c r="P189" s="112" t="str">
        <f>iferror(mround(I189/VLOOKUP(L189,Sheet1!$D$7:$N$16,G189+1,FALSE),2.5),"")</f>
        <v/>
      </c>
      <c r="Q189" s="303">
        <f t="shared" si="2"/>
        <v>-12.5</v>
      </c>
      <c r="R189" s="214"/>
      <c r="S189" s="11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</row>
    <row r="190" ht="3.75" customHeight="1">
      <c r="A190" s="90"/>
      <c r="B190" s="6"/>
      <c r="C190" s="90"/>
      <c r="D190" s="138"/>
      <c r="E190" s="215"/>
      <c r="F190" s="102"/>
      <c r="G190" s="102"/>
      <c r="H190" s="102"/>
      <c r="I190" s="102"/>
      <c r="J190" s="216"/>
      <c r="K190" s="217"/>
      <c r="L190" s="143"/>
      <c r="M190" s="144"/>
      <c r="N190" s="145"/>
      <c r="O190" s="145"/>
      <c r="P190" s="122"/>
      <c r="Q190" s="304" t="str">
        <f t="shared" si="2"/>
        <v/>
      </c>
      <c r="R190" s="214"/>
      <c r="S190" s="11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</row>
    <row r="191" ht="15.75" hidden="1" customHeight="1">
      <c r="A191" s="90"/>
      <c r="B191" s="6"/>
      <c r="C191" s="90"/>
      <c r="D191" s="185"/>
      <c r="E191" s="220"/>
      <c r="F191" s="187"/>
      <c r="G191" s="187"/>
      <c r="H191" s="195"/>
      <c r="I191" s="164"/>
      <c r="J191" s="189"/>
      <c r="K191" s="213"/>
      <c r="L191" s="183"/>
      <c r="M191" s="134" t="str">
        <f>I56</f>
        <v/>
      </c>
      <c r="N191" s="135" t="str">
        <f>iferror(mround($P56*((VLOOKUP($J191,Sheet1!$D:$N,$G191+1,FALSE)-0.03)),2.5)," ")</f>
        <v> </v>
      </c>
      <c r="O191" s="135" t="str">
        <f>iferror(mround($P56*((VLOOKUP($J191,Sheet1!$D:$N,$G191+1,FALSE)+0.02)),2.5)," ")</f>
        <v> </v>
      </c>
      <c r="P191" s="112" t="str">
        <f>iferror(mround(I191/VLOOKUP(L191,Sheet1!$D$7:$N$16,G191+1,FALSE),2.5),"")</f>
        <v/>
      </c>
      <c r="Q191" s="303" t="str">
        <f t="shared" si="2"/>
        <v/>
      </c>
      <c r="R191" s="214"/>
      <c r="S191" s="11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</row>
    <row r="192" ht="3.75" hidden="1" customHeight="1">
      <c r="A192" s="90"/>
      <c r="B192" s="6"/>
      <c r="C192" s="90"/>
      <c r="D192" s="138"/>
      <c r="E192" s="326"/>
      <c r="F192" s="102"/>
      <c r="G192" s="102"/>
      <c r="H192" s="102"/>
      <c r="I192" s="102"/>
      <c r="J192" s="216"/>
      <c r="K192" s="222"/>
      <c r="L192" s="143"/>
      <c r="M192" s="144"/>
      <c r="N192" s="145"/>
      <c r="O192" s="145"/>
      <c r="P192" s="122"/>
      <c r="Q192" s="304" t="str">
        <f t="shared" si="2"/>
        <v/>
      </c>
      <c r="R192" s="214"/>
      <c r="S192" s="11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</row>
    <row r="193" ht="18.0" hidden="1" customHeight="1">
      <c r="A193" s="90"/>
      <c r="B193" s="6"/>
      <c r="C193" s="90"/>
      <c r="D193" s="185"/>
      <c r="E193" s="327"/>
      <c r="F193" s="187"/>
      <c r="G193" s="187"/>
      <c r="H193" s="195"/>
      <c r="I193" s="164"/>
      <c r="J193" s="189"/>
      <c r="K193" s="190"/>
      <c r="L193" s="183"/>
      <c r="M193" s="134" t="str">
        <f>I58</f>
        <v/>
      </c>
      <c r="N193" s="135" t="str">
        <f>iferror(mround($P58*((VLOOKUP($J193,Sheet1!$D:$N,$G193+1,FALSE)-0.03)),2.5)," ")</f>
        <v> </v>
      </c>
      <c r="O193" s="135" t="str">
        <f>iferror(mround($P58*((VLOOKUP($J193,Sheet1!$D:$N,$G193+1,FALSE)+0.02)),2.5)," ")</f>
        <v> </v>
      </c>
      <c r="P193" s="112" t="str">
        <f>iferror(mround(I193/VLOOKUP(L193,Sheet1!$D$7:$N$16,G193+1,FALSE),2.5),"")</f>
        <v/>
      </c>
      <c r="Q193" s="303" t="str">
        <f t="shared" si="2"/>
        <v/>
      </c>
      <c r="R193" s="214"/>
      <c r="S193" s="11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</row>
    <row r="194" ht="3.75" hidden="1" customHeight="1">
      <c r="A194" s="191"/>
      <c r="B194" s="6"/>
      <c r="C194" s="192"/>
      <c r="D194" s="138"/>
      <c r="E194" s="223"/>
      <c r="F194" s="194"/>
      <c r="G194" s="194"/>
      <c r="H194" s="155"/>
      <c r="I194" s="210"/>
      <c r="J194" s="216"/>
      <c r="K194" s="222"/>
      <c r="L194" s="143"/>
      <c r="M194" s="144"/>
      <c r="N194" s="145"/>
      <c r="O194" s="145"/>
      <c r="P194" s="122"/>
      <c r="Q194" s="304" t="str">
        <f t="shared" si="2"/>
        <v/>
      </c>
      <c r="R194" s="214"/>
      <c r="S194" s="157"/>
      <c r="T194" s="5"/>
      <c r="U194" s="5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</row>
    <row r="195" ht="15.75" hidden="1" customHeight="1">
      <c r="A195" s="90"/>
      <c r="B195" s="6"/>
      <c r="C195" s="90"/>
      <c r="D195" s="185"/>
      <c r="E195" s="186"/>
      <c r="F195" s="187"/>
      <c r="G195" s="187"/>
      <c r="H195" s="195"/>
      <c r="I195" s="164"/>
      <c r="J195" s="189"/>
      <c r="K195" s="190"/>
      <c r="L195" s="183"/>
      <c r="M195" s="134" t="str">
        <f>I60</f>
        <v/>
      </c>
      <c r="N195" s="135" t="str">
        <f>iferror(mround($P60*((VLOOKUP($J195,Sheet1!$D:$N,$G195+1,FALSE)-0.03)),2.5)," ")</f>
        <v> </v>
      </c>
      <c r="O195" s="135" t="str">
        <f>iferror(mround($P60*((VLOOKUP($J195,Sheet1!$D:$N,$G195+1,FALSE)+0.02)),2.5)," ")</f>
        <v> </v>
      </c>
      <c r="P195" s="112" t="str">
        <f>iferror(mround(I195/VLOOKUP(L195,Sheet1!$D$7:$N$16,G195+1,FALSE),2.5),"")</f>
        <v/>
      </c>
      <c r="Q195" s="303" t="str">
        <f t="shared" si="2"/>
        <v/>
      </c>
      <c r="R195" s="214"/>
      <c r="S195" s="11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</row>
    <row r="196" ht="3.75" hidden="1" customHeight="1">
      <c r="A196" s="90"/>
      <c r="B196" s="6"/>
      <c r="C196" s="90"/>
      <c r="D196" s="138"/>
      <c r="E196" s="184"/>
      <c r="F196" s="102"/>
      <c r="G196" s="102"/>
      <c r="H196" s="102"/>
      <c r="I196" s="102"/>
      <c r="J196" s="156"/>
      <c r="K196" s="222"/>
      <c r="L196" s="143"/>
      <c r="M196" s="144"/>
      <c r="N196" s="145"/>
      <c r="O196" s="145"/>
      <c r="P196" s="122"/>
      <c r="Q196" s="304" t="str">
        <f t="shared" si="2"/>
        <v/>
      </c>
      <c r="R196" s="214"/>
      <c r="S196" s="11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</row>
    <row r="197" ht="15.75" hidden="1" customHeight="1">
      <c r="A197" s="90"/>
      <c r="B197" s="6"/>
      <c r="C197" s="90"/>
      <c r="D197" s="185"/>
      <c r="E197" s="224"/>
      <c r="F197" s="187"/>
      <c r="G197" s="187"/>
      <c r="H197" s="195"/>
      <c r="I197" s="164"/>
      <c r="J197" s="189"/>
      <c r="K197" s="190"/>
      <c r="L197" s="183"/>
      <c r="M197" s="134" t="str">
        <f>I62</f>
        <v/>
      </c>
      <c r="N197" s="135" t="str">
        <f>iferror(mround($P62*((VLOOKUP($J197,Sheet1!$D:$N,$G197+1,FALSE)-0.03)),2.5)," ")</f>
        <v> </v>
      </c>
      <c r="O197" s="135" t="str">
        <f>iferror(mround($P62*((VLOOKUP($J197,Sheet1!$D:$N,$G197+1,FALSE)+0.02)),2.5)," ")</f>
        <v> </v>
      </c>
      <c r="P197" s="112" t="str">
        <f>iferror(mround(I197/VLOOKUP(L197,Sheet1!$D$7:$N$16,G197+1,FALSE),2.5),"")</f>
        <v/>
      </c>
      <c r="Q197" s="303" t="str">
        <f t="shared" si="2"/>
        <v/>
      </c>
      <c r="R197" s="214"/>
      <c r="S197" s="11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</row>
    <row r="198" ht="3.75" hidden="1" customHeight="1">
      <c r="A198" s="191"/>
      <c r="B198" s="6"/>
      <c r="C198" s="192"/>
      <c r="D198" s="138"/>
      <c r="E198" s="193"/>
      <c r="F198" s="194"/>
      <c r="G198" s="194"/>
      <c r="H198" s="155"/>
      <c r="I198" s="210"/>
      <c r="J198" s="216"/>
      <c r="K198" s="222"/>
      <c r="L198" s="143"/>
      <c r="M198" s="144"/>
      <c r="N198" s="145"/>
      <c r="O198" s="145"/>
      <c r="P198" s="122"/>
      <c r="Q198" s="304" t="str">
        <f t="shared" si="2"/>
        <v/>
      </c>
      <c r="R198" s="214"/>
      <c r="S198" s="157"/>
      <c r="T198" s="5"/>
      <c r="U198" s="5"/>
      <c r="V198" s="158"/>
      <c r="W198" s="158"/>
      <c r="X198" s="158"/>
      <c r="Y198" s="158"/>
      <c r="Z198" s="158"/>
      <c r="AA198" s="158"/>
      <c r="AB198" s="158"/>
      <c r="AC198" s="158"/>
      <c r="AD198" s="158"/>
      <c r="AE198" s="158"/>
      <c r="AF198" s="158"/>
      <c r="AG198" s="158"/>
    </row>
    <row r="199" ht="15.75" hidden="1" customHeight="1">
      <c r="A199" s="90"/>
      <c r="B199" s="6"/>
      <c r="C199" s="90"/>
      <c r="D199" s="185"/>
      <c r="E199" s="186"/>
      <c r="F199" s="187"/>
      <c r="G199" s="187"/>
      <c r="H199" s="195"/>
      <c r="I199" s="164"/>
      <c r="J199" s="189"/>
      <c r="K199" s="190"/>
      <c r="L199" s="183"/>
      <c r="M199" s="134" t="str">
        <f>I64</f>
        <v/>
      </c>
      <c r="N199" s="135" t="str">
        <f>iferror(mround($P64*((VLOOKUP($J199,Sheet1!$D:$N,$G199+1,FALSE)-0.03)),2.5)," ")</f>
        <v> </v>
      </c>
      <c r="O199" s="135" t="str">
        <f>iferror(mround($P64*((VLOOKUP($J199,Sheet1!$D:$N,$G199+1,FALSE)+0.02)),2.5)," ")</f>
        <v> </v>
      </c>
      <c r="P199" s="112" t="str">
        <f>iferror(mround(I199/VLOOKUP(L199,Sheet1!$D$7:$N$16,G199+1,FALSE),2.5),"")</f>
        <v/>
      </c>
      <c r="Q199" s="303" t="str">
        <f t="shared" si="2"/>
        <v/>
      </c>
      <c r="R199" s="214"/>
      <c r="S199" s="11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</row>
    <row r="200" ht="3.75" hidden="1" customHeight="1">
      <c r="A200" s="90"/>
      <c r="B200" s="6"/>
      <c r="C200" s="90"/>
      <c r="D200" s="196"/>
      <c r="E200" s="184"/>
      <c r="F200" s="102"/>
      <c r="G200" s="102"/>
      <c r="H200" s="102"/>
      <c r="I200" s="102"/>
      <c r="J200" s="156"/>
      <c r="K200" s="222"/>
      <c r="L200" s="143"/>
      <c r="M200" s="144"/>
      <c r="N200" s="145"/>
      <c r="O200" s="145"/>
      <c r="P200" s="122"/>
      <c r="Q200" s="304" t="str">
        <f t="shared" si="2"/>
        <v/>
      </c>
      <c r="R200" s="214"/>
      <c r="S200" s="11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</row>
    <row r="201" ht="15.75" hidden="1" customHeight="1">
      <c r="A201" s="90"/>
      <c r="B201" s="6"/>
      <c r="C201" s="90"/>
      <c r="D201" s="197"/>
      <c r="E201" s="198"/>
      <c r="F201" s="199"/>
      <c r="G201" s="187"/>
      <c r="H201" s="195"/>
      <c r="I201" s="164"/>
      <c r="J201" s="189"/>
      <c r="K201" s="190"/>
      <c r="L201" s="183"/>
      <c r="M201" s="134" t="str">
        <f>I66</f>
        <v/>
      </c>
      <c r="N201" s="135" t="str">
        <f>iferror(mround($P66*((VLOOKUP($J201,Sheet1!$D:$N,$G201+1,FALSE)-0.03)),2.5)," ")</f>
        <v> </v>
      </c>
      <c r="O201" s="135" t="str">
        <f>iferror(mround($P66*((VLOOKUP($J201,Sheet1!$D:$N,$G201+1,FALSE)+0.02)),2.5)," ")</f>
        <v> </v>
      </c>
      <c r="P201" s="112" t="str">
        <f>iferror(mround(I201/VLOOKUP(L201,Sheet1!$D$7:$N$16,G201+1,FALSE),2.5),"")</f>
        <v/>
      </c>
      <c r="Q201" s="303" t="str">
        <f t="shared" si="2"/>
        <v/>
      </c>
      <c r="R201" s="214"/>
      <c r="S201" s="11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</row>
    <row r="202" ht="3.75" hidden="1" customHeight="1">
      <c r="A202" s="90"/>
      <c r="B202" s="6"/>
      <c r="C202" s="90"/>
      <c r="D202" s="90"/>
      <c r="E202" s="156"/>
      <c r="F202" s="102"/>
      <c r="G202" s="102"/>
      <c r="H202" s="102"/>
      <c r="I202" s="102"/>
      <c r="J202" s="156"/>
      <c r="K202" s="222"/>
      <c r="L202" s="201"/>
      <c r="M202" s="211"/>
      <c r="N202" s="47"/>
      <c r="O202" s="47"/>
      <c r="P202" s="122"/>
      <c r="Q202" s="304" t="str">
        <f t="shared" si="2"/>
        <v/>
      </c>
      <c r="R202" s="214"/>
      <c r="S202" s="11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</row>
    <row r="203" ht="30.75" customHeight="1">
      <c r="A203" s="90"/>
      <c r="B203" s="6"/>
      <c r="C203" s="90"/>
      <c r="D203" s="202" t="s">
        <v>49</v>
      </c>
      <c r="E203" s="105" t="s">
        <v>89</v>
      </c>
      <c r="F203" s="106" t="s">
        <v>16</v>
      </c>
      <c r="G203" s="106" t="s">
        <v>17</v>
      </c>
      <c r="H203" s="107"/>
      <c r="I203" s="106" t="s">
        <v>18</v>
      </c>
      <c r="J203" s="108" t="s">
        <v>19</v>
      </c>
      <c r="L203" s="109" t="s">
        <v>20</v>
      </c>
      <c r="M203" s="110" t="s">
        <v>21</v>
      </c>
      <c r="N203" s="111" t="s">
        <v>22</v>
      </c>
      <c r="P203" s="112"/>
      <c r="Q203" s="113" t="s">
        <v>23</v>
      </c>
      <c r="R203" s="114" t="s">
        <v>50</v>
      </c>
      <c r="S203" s="11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</row>
    <row r="204" ht="14.25" customHeight="1">
      <c r="A204" s="90"/>
      <c r="B204" s="6"/>
      <c r="C204" s="90"/>
      <c r="D204" s="116">
        <v>3.0</v>
      </c>
      <c r="E204" s="117">
        <v>3.0</v>
      </c>
      <c r="H204" s="107"/>
      <c r="N204" s="111" t="s">
        <v>27</v>
      </c>
      <c r="O204" s="111" t="s">
        <v>28</v>
      </c>
      <c r="P204" s="112" t="s">
        <v>29</v>
      </c>
      <c r="R204" s="118" t="s">
        <v>30</v>
      </c>
      <c r="S204" s="11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</row>
    <row r="205" ht="3.75" customHeight="1">
      <c r="A205" s="191"/>
      <c r="B205" s="6"/>
      <c r="C205" s="192"/>
      <c r="D205" s="203"/>
      <c r="E205" s="203"/>
      <c r="F205" s="205"/>
      <c r="G205" s="205"/>
      <c r="H205" s="205"/>
      <c r="I205" s="225"/>
      <c r="J205" s="226"/>
      <c r="K205" s="209"/>
      <c r="L205" s="210"/>
      <c r="M205" s="211"/>
      <c r="N205" s="47"/>
      <c r="O205" s="47"/>
      <c r="P205" s="122"/>
      <c r="Q205" s="304" t="str">
        <f t="shared" ref="Q205:Q225" si="3">IF(OR(ISBLANK(I205), ISBLANK(I70)), "", IF(I205 - I70 = 0, "", I205 - I70))</f>
        <v/>
      </c>
      <c r="R205" s="212" t="s">
        <v>124</v>
      </c>
      <c r="S205" s="157"/>
      <c r="T205" s="5"/>
      <c r="U205" s="5"/>
      <c r="V205" s="158"/>
      <c r="W205" s="158"/>
      <c r="X205" s="158"/>
      <c r="Y205" s="158"/>
      <c r="Z205" s="158"/>
      <c r="AA205" s="158"/>
      <c r="AB205" s="158"/>
      <c r="AC205" s="158"/>
      <c r="AD205" s="158"/>
      <c r="AE205" s="158"/>
      <c r="AF205" s="158"/>
      <c r="AG205" s="158"/>
    </row>
    <row r="206" ht="15.75" customHeight="1">
      <c r="A206" s="124"/>
      <c r="B206" s="6"/>
      <c r="C206" s="124"/>
      <c r="D206" s="125" t="s">
        <v>90</v>
      </c>
      <c r="E206" s="126"/>
      <c r="F206" s="127">
        <v>1.0</v>
      </c>
      <c r="G206" s="240">
        <v>5.0</v>
      </c>
      <c r="H206" s="129"/>
      <c r="I206" s="130">
        <v>391.0</v>
      </c>
      <c r="J206" s="151">
        <v>6.5</v>
      </c>
      <c r="K206" s="213"/>
      <c r="L206" s="133">
        <v>6.0</v>
      </c>
      <c r="M206" s="134">
        <f>I71</f>
        <v>386</v>
      </c>
      <c r="N206" s="135">
        <f>iferror(mround($P71*((VLOOKUP($J206,Sheet1!$D:$N,$G206+1,FALSE)-0.03)),2.5)," ")</f>
        <v>372.5</v>
      </c>
      <c r="O206" s="135">
        <f>iferror(mround($P71*((VLOOKUP($J206,Sheet1!$D:$N,$G206+1,FALSE)+0.02)),2.5)," ")</f>
        <v>397.5</v>
      </c>
      <c r="P206" s="112">
        <f>iferror(mround(I206/VLOOKUP(L206,Sheet1!$D$7:$N$16,G206+1,FALSE),2.5),"")</f>
        <v>510</v>
      </c>
      <c r="Q206" s="303">
        <f t="shared" si="3"/>
        <v>5</v>
      </c>
      <c r="R206" s="214"/>
      <c r="S206" s="11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</row>
    <row r="207" ht="3.75" customHeight="1">
      <c r="A207" s="124"/>
      <c r="B207" s="6"/>
      <c r="C207" s="124"/>
      <c r="D207" s="138"/>
      <c r="E207" s="139"/>
      <c r="F207" s="140"/>
      <c r="G207" s="140"/>
      <c r="H207" s="140"/>
      <c r="I207" s="140"/>
      <c r="J207" s="141"/>
      <c r="K207" s="217"/>
      <c r="L207" s="218"/>
      <c r="M207" s="144"/>
      <c r="N207" s="145"/>
      <c r="O207" s="145"/>
      <c r="P207" s="122"/>
      <c r="Q207" s="304" t="str">
        <f t="shared" si="3"/>
        <v/>
      </c>
      <c r="R207" s="214"/>
      <c r="S207" s="11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</row>
    <row r="208" ht="15.75" customHeight="1">
      <c r="A208" s="90"/>
      <c r="B208" s="6"/>
      <c r="C208" s="90"/>
      <c r="D208" s="125" t="s">
        <v>77</v>
      </c>
      <c r="E208" s="126"/>
      <c r="F208" s="127">
        <v>4.0</v>
      </c>
      <c r="G208" s="240">
        <v>5.0</v>
      </c>
      <c r="H208" s="129"/>
      <c r="I208" s="164">
        <f>MROUND(I206*(1+J208),5)</f>
        <v>345</v>
      </c>
      <c r="J208" s="165">
        <v>-0.12</v>
      </c>
      <c r="K208" s="213"/>
      <c r="L208" s="133">
        <v>5.0</v>
      </c>
      <c r="M208" s="134">
        <f>I73</f>
        <v>345</v>
      </c>
      <c r="N208" s="135" t="str">
        <f>iferror(mround($P73*((VLOOKUP($J208,Sheet1!$D:$N,$G208+1,FALSE)-0.03)),2.5)," ")</f>
        <v> </v>
      </c>
      <c r="O208" s="135" t="str">
        <f>iferror(mround($P73*((VLOOKUP($J208,Sheet1!$D:$N,$G208+1,FALSE)+0.02)),2.5)," ")</f>
        <v> </v>
      </c>
      <c r="P208" s="112" t="str">
        <f>iferror(mround(I208/VLOOKUP(L208,Sheet1!$D$7:$N$16,G208+1,FALSE),2.5),"")</f>
        <v/>
      </c>
      <c r="Q208" s="303" t="str">
        <f t="shared" si="3"/>
        <v/>
      </c>
      <c r="R208" s="214"/>
      <c r="S208" s="11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</row>
    <row r="209" ht="3.75" customHeight="1">
      <c r="A209" s="90"/>
      <c r="B209" s="6"/>
      <c r="C209" s="90"/>
      <c r="D209" s="138"/>
      <c r="E209" s="215"/>
      <c r="F209" s="102"/>
      <c r="G209" s="102"/>
      <c r="H209" s="102"/>
      <c r="I209" s="102"/>
      <c r="J209" s="156"/>
      <c r="K209" s="217"/>
      <c r="L209" s="218"/>
      <c r="M209" s="144"/>
      <c r="N209" s="145"/>
      <c r="O209" s="145"/>
      <c r="P209" s="122"/>
      <c r="Q209" s="304" t="str">
        <f t="shared" si="3"/>
        <v/>
      </c>
      <c r="R209" s="214"/>
      <c r="S209" s="11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</row>
    <row r="210" ht="15.75" customHeight="1">
      <c r="A210" s="90"/>
      <c r="B210" s="6"/>
      <c r="C210" s="90"/>
      <c r="D210" s="159" t="s">
        <v>33</v>
      </c>
      <c r="E210" s="160" t="s">
        <v>34</v>
      </c>
      <c r="F210" s="127">
        <v>3.0</v>
      </c>
      <c r="G210" s="161">
        <v>2.0</v>
      </c>
      <c r="H210" s="129"/>
      <c r="I210" s="130">
        <v>270.0</v>
      </c>
      <c r="J210" s="151">
        <v>7.0</v>
      </c>
      <c r="K210" s="219" t="s">
        <v>91</v>
      </c>
      <c r="L210" s="133">
        <v>7.0</v>
      </c>
      <c r="M210" s="134">
        <f>I75</f>
        <v>265</v>
      </c>
      <c r="N210" s="135">
        <f>iferror(mround($P75*((VLOOKUP($J210,Sheet1!$D:$N,$G210+1,FALSE)-0.03)),2.5)," ")</f>
        <v>257.5</v>
      </c>
      <c r="O210" s="135">
        <f>iferror(mround($P75*((VLOOKUP($J210,Sheet1!$D:$N,$G210+1,FALSE)+0.02)),2.5)," ")</f>
        <v>272.5</v>
      </c>
      <c r="P210" s="112">
        <f>iferror(mround(I210/VLOOKUP(L210,Sheet1!$D$7:$N$16,G210+1,FALSE),2.5),"")</f>
        <v>312.5</v>
      </c>
      <c r="Q210" s="303">
        <f t="shared" si="3"/>
        <v>5</v>
      </c>
      <c r="R210" s="214"/>
      <c r="S210" s="11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</row>
    <row r="211" ht="3.75" customHeight="1">
      <c r="A211" s="90"/>
      <c r="B211" s="6"/>
      <c r="C211" s="90"/>
      <c r="D211" s="138"/>
      <c r="E211" s="154"/>
      <c r="F211" s="155"/>
      <c r="G211" s="102"/>
      <c r="H211" s="102"/>
      <c r="I211" s="102"/>
      <c r="J211" s="156"/>
      <c r="K211" s="217"/>
      <c r="L211" s="218"/>
      <c r="M211" s="144"/>
      <c r="N211" s="145"/>
      <c r="O211" s="145"/>
      <c r="P211" s="122"/>
      <c r="Q211" s="304" t="str">
        <f t="shared" si="3"/>
        <v/>
      </c>
      <c r="R211" s="214"/>
      <c r="S211" s="11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</row>
    <row r="212" ht="15.75" customHeight="1">
      <c r="A212" s="90"/>
      <c r="B212" s="6"/>
      <c r="C212" s="90"/>
      <c r="D212" s="159" t="s">
        <v>45</v>
      </c>
      <c r="E212" s="220"/>
      <c r="F212" s="127">
        <v>3.0</v>
      </c>
      <c r="G212" s="127" t="s">
        <v>41</v>
      </c>
      <c r="H212" s="195"/>
      <c r="I212" s="164"/>
      <c r="J212" s="151"/>
      <c r="K212" s="213"/>
      <c r="L212" s="183"/>
      <c r="M212" s="134" t="str">
        <f>I77</f>
        <v>BW</v>
      </c>
      <c r="N212" s="135" t="str">
        <f>iferror(mround($P77*((VLOOKUP($J212,Sheet1!$D:$N,$G212+1,FALSE)-0.03)),2.5)," ")</f>
        <v> </v>
      </c>
      <c r="O212" s="135" t="str">
        <f>iferror(mround($P77*((VLOOKUP($J212,Sheet1!$D:$N,$G212+1,FALSE)+0.02)),2.5)," ")</f>
        <v> </v>
      </c>
      <c r="P212" s="112" t="str">
        <f>iferror(mround(I212/VLOOKUP(L212,Sheet1!$D$7:$N$16,G212+1,FALSE),2.5),"")</f>
        <v/>
      </c>
      <c r="Q212" s="303" t="str">
        <f t="shared" si="3"/>
        <v/>
      </c>
      <c r="R212" s="214"/>
      <c r="S212" s="11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</row>
    <row r="213" ht="3.75" customHeight="1">
      <c r="A213" s="90"/>
      <c r="B213" s="6"/>
      <c r="C213" s="90"/>
      <c r="D213" s="138"/>
      <c r="E213" s="215"/>
      <c r="F213" s="102"/>
      <c r="G213" s="102"/>
      <c r="H213" s="102"/>
      <c r="I213" s="102"/>
      <c r="J213" s="156"/>
      <c r="K213" s="217"/>
      <c r="L213" s="218"/>
      <c r="M213" s="144"/>
      <c r="N213" s="145"/>
      <c r="O213" s="145"/>
      <c r="P213" s="122"/>
      <c r="Q213" s="304" t="str">
        <f t="shared" si="3"/>
        <v/>
      </c>
      <c r="R213" s="214"/>
      <c r="S213" s="11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</row>
    <row r="214" ht="15.75" customHeight="1">
      <c r="A214" s="90"/>
      <c r="B214" s="6"/>
      <c r="C214" s="90"/>
      <c r="D214" s="159" t="s">
        <v>94</v>
      </c>
      <c r="E214" s="220"/>
      <c r="F214" s="127">
        <v>3.0</v>
      </c>
      <c r="G214" s="221">
        <v>45641.0</v>
      </c>
      <c r="H214" s="195"/>
      <c r="I214" s="164"/>
      <c r="J214" s="151">
        <v>9.0</v>
      </c>
      <c r="K214" s="213"/>
      <c r="L214" s="183"/>
      <c r="M214" s="134">
        <f>I79</f>
        <v>25</v>
      </c>
      <c r="N214" s="135" t="str">
        <f>iferror(mround($P79*((VLOOKUP($J214,Sheet1!$D:$N,$G214+1,FALSE)-0.03)),2.5)," ")</f>
        <v> </v>
      </c>
      <c r="O214" s="135" t="str">
        <f>iferror(mround($P79*((VLOOKUP($J214,Sheet1!$D:$N,$G214+1,FALSE)+0.02)),2.5)," ")</f>
        <v> </v>
      </c>
      <c r="P214" s="112" t="str">
        <f>iferror(mround(I214/VLOOKUP(L214,Sheet1!$D$7:$N$16,G214+1,FALSE),2.5),"")</f>
        <v/>
      </c>
      <c r="Q214" s="303" t="str">
        <f t="shared" si="3"/>
        <v/>
      </c>
      <c r="R214" s="214"/>
      <c r="S214" s="11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</row>
    <row r="215" ht="3.75" customHeight="1">
      <c r="A215" s="90"/>
      <c r="B215" s="6"/>
      <c r="C215" s="90"/>
      <c r="D215" s="138"/>
      <c r="E215" s="215"/>
      <c r="F215" s="102"/>
      <c r="G215" s="102"/>
      <c r="H215" s="102"/>
      <c r="I215" s="102"/>
      <c r="J215" s="156"/>
      <c r="K215" s="222"/>
      <c r="L215" s="218"/>
      <c r="M215" s="144"/>
      <c r="N215" s="145"/>
      <c r="O215" s="145"/>
      <c r="P215" s="122"/>
      <c r="Q215" s="304" t="str">
        <f t="shared" si="3"/>
        <v/>
      </c>
      <c r="R215" s="214"/>
      <c r="S215" s="11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</row>
    <row r="216" ht="15.75" hidden="1" customHeight="1">
      <c r="A216" s="90"/>
      <c r="B216" s="6"/>
      <c r="C216" s="90"/>
      <c r="D216" s="185"/>
      <c r="E216" s="220"/>
      <c r="F216" s="187"/>
      <c r="G216" s="229"/>
      <c r="H216" s="195"/>
      <c r="I216" s="164"/>
      <c r="J216" s="189"/>
      <c r="K216" s="190"/>
      <c r="L216" s="183"/>
      <c r="M216" s="134" t="str">
        <f>I81</f>
        <v/>
      </c>
      <c r="N216" s="135" t="str">
        <f>iferror(mround($P81*((VLOOKUP($J216,Sheet1!$D:$N,$G216+1,FALSE)-0.03)),2.5)," ")</f>
        <v> </v>
      </c>
      <c r="O216" s="135" t="str">
        <f>iferror(mround($P81*((VLOOKUP($J216,Sheet1!$D:$N,$G216+1,FALSE)+0.02)),2.5)," ")</f>
        <v> </v>
      </c>
      <c r="P216" s="112" t="str">
        <f>iferror(mround(I216/VLOOKUP(L216,Sheet1!$D$7:$N$16,G216+1,FALSE),2.5),"")</f>
        <v/>
      </c>
      <c r="Q216" s="303" t="str">
        <f t="shared" si="3"/>
        <v/>
      </c>
      <c r="R216" s="214"/>
      <c r="S216" s="11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</row>
    <row r="217" ht="3.75" hidden="1" customHeight="1">
      <c r="A217" s="90"/>
      <c r="B217" s="6"/>
      <c r="C217" s="90"/>
      <c r="D217" s="138"/>
      <c r="E217" s="215"/>
      <c r="F217" s="102"/>
      <c r="G217" s="102"/>
      <c r="H217" s="102"/>
      <c r="I217" s="102"/>
      <c r="J217" s="216"/>
      <c r="K217" s="222"/>
      <c r="L217" s="218"/>
      <c r="M217" s="144"/>
      <c r="N217" s="145"/>
      <c r="O217" s="145"/>
      <c r="P217" s="122"/>
      <c r="Q217" s="304" t="str">
        <f t="shared" si="3"/>
        <v/>
      </c>
      <c r="R217" s="214"/>
      <c r="S217" s="11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</row>
    <row r="218" ht="15.75" hidden="1" customHeight="1">
      <c r="A218" s="90"/>
      <c r="B218" s="6"/>
      <c r="C218" s="90"/>
      <c r="D218" s="185"/>
      <c r="E218" s="220"/>
      <c r="F218" s="187"/>
      <c r="G218" s="229"/>
      <c r="H218" s="195"/>
      <c r="I218" s="164"/>
      <c r="J218" s="189"/>
      <c r="K218" s="190"/>
      <c r="L218" s="183"/>
      <c r="M218" s="134" t="str">
        <f>I83</f>
        <v/>
      </c>
      <c r="N218" s="135" t="str">
        <f>iferror(mround($P83*((VLOOKUP($J218,Sheet1!$D:$N,$G218+1,FALSE)-0.03)),2.5)," ")</f>
        <v> </v>
      </c>
      <c r="O218" s="135" t="str">
        <f>iferror(mround($P83*((VLOOKUP($J218,Sheet1!$D:$N,$G218+1,FALSE)+0.02)),2.5)," ")</f>
        <v> </v>
      </c>
      <c r="P218" s="112" t="str">
        <f>iferror(mround(I218/VLOOKUP(L218,Sheet1!$D$7:$N$16,G218+1,FALSE),2.5),"")</f>
        <v/>
      </c>
      <c r="Q218" s="303" t="str">
        <f t="shared" si="3"/>
        <v/>
      </c>
      <c r="R218" s="214"/>
      <c r="S218" s="11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</row>
    <row r="219" ht="3.75" hidden="1" customHeight="1">
      <c r="A219" s="191"/>
      <c r="B219" s="6"/>
      <c r="C219" s="192"/>
      <c r="D219" s="138"/>
      <c r="E219" s="184"/>
      <c r="F219" s="102"/>
      <c r="G219" s="102"/>
      <c r="H219" s="102"/>
      <c r="I219" s="102"/>
      <c r="J219" s="156"/>
      <c r="K219" s="222"/>
      <c r="L219" s="218"/>
      <c r="M219" s="144"/>
      <c r="N219" s="145"/>
      <c r="O219" s="145"/>
      <c r="P219" s="122"/>
      <c r="Q219" s="304" t="str">
        <f t="shared" si="3"/>
        <v/>
      </c>
      <c r="R219" s="214"/>
      <c r="S219" s="157"/>
      <c r="T219" s="5"/>
      <c r="U219" s="5"/>
      <c r="V219" s="158"/>
      <c r="W219" s="158"/>
      <c r="X219" s="158"/>
      <c r="Y219" s="158"/>
      <c r="Z219" s="158"/>
      <c r="AA219" s="158"/>
      <c r="AB219" s="158"/>
      <c r="AC219" s="158"/>
      <c r="AD219" s="158"/>
      <c r="AE219" s="158"/>
      <c r="AF219" s="158"/>
      <c r="AG219" s="158"/>
    </row>
    <row r="220" ht="15.75" hidden="1" customHeight="1">
      <c r="A220" s="90"/>
      <c r="B220" s="6"/>
      <c r="C220" s="90"/>
      <c r="D220" s="185"/>
      <c r="E220" s="224"/>
      <c r="F220" s="187"/>
      <c r="G220" s="187"/>
      <c r="H220" s="195"/>
      <c r="I220" s="164"/>
      <c r="J220" s="230"/>
      <c r="K220" s="190"/>
      <c r="L220" s="183"/>
      <c r="M220" s="134" t="str">
        <f>I85</f>
        <v/>
      </c>
      <c r="N220" s="135" t="str">
        <f>iferror(mround($P85*((VLOOKUP($J220,Sheet1!$D:$N,$G220+1,FALSE)-0.03)),2.5)," ")</f>
        <v> </v>
      </c>
      <c r="O220" s="135" t="str">
        <f>iferror(mround($P85*((VLOOKUP($J220,Sheet1!$D:$N,$G220+1,FALSE)+0.02)),2.5)," ")</f>
        <v> </v>
      </c>
      <c r="P220" s="112" t="str">
        <f>iferror(mround(I220/VLOOKUP(L220,Sheet1!$D$7:$N$16,G220+1,FALSE),2.5),"")</f>
        <v/>
      </c>
      <c r="Q220" s="303" t="str">
        <f t="shared" si="3"/>
        <v/>
      </c>
      <c r="R220" s="214"/>
      <c r="S220" s="11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</row>
    <row r="221" ht="3.75" hidden="1" customHeight="1">
      <c r="A221" s="90"/>
      <c r="B221" s="6"/>
      <c r="C221" s="90"/>
      <c r="D221" s="138"/>
      <c r="E221" s="184"/>
      <c r="F221" s="102"/>
      <c r="G221" s="102"/>
      <c r="H221" s="102"/>
      <c r="I221" s="102"/>
      <c r="J221" s="156"/>
      <c r="K221" s="222"/>
      <c r="L221" s="218"/>
      <c r="M221" s="144"/>
      <c r="N221" s="145"/>
      <c r="O221" s="145"/>
      <c r="P221" s="122"/>
      <c r="Q221" s="304" t="str">
        <f t="shared" si="3"/>
        <v/>
      </c>
      <c r="R221" s="214"/>
      <c r="S221" s="11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</row>
    <row r="222" ht="15.75" hidden="1" customHeight="1">
      <c r="A222" s="90"/>
      <c r="B222" s="6"/>
      <c r="C222" s="90"/>
      <c r="D222" s="231"/>
      <c r="E222" s="232"/>
      <c r="F222" s="187"/>
      <c r="G222" s="187"/>
      <c r="H222" s="195"/>
      <c r="I222" s="164"/>
      <c r="J222" s="230"/>
      <c r="K222" s="190"/>
      <c r="L222" s="183"/>
      <c r="M222" s="134" t="str">
        <f>I87</f>
        <v/>
      </c>
      <c r="N222" s="135" t="str">
        <f>iferror(mround($P87*((VLOOKUP($J222,Sheet1!$D:$N,$G222+1,FALSE)-0.03)),2.5)," ")</f>
        <v> </v>
      </c>
      <c r="O222" s="135" t="str">
        <f>iferror(mround($P87*((VLOOKUP($J222,Sheet1!$D:$N,$G222+1,FALSE)+0.02)),2.5)," ")</f>
        <v> </v>
      </c>
      <c r="P222" s="112" t="str">
        <f>iferror(mround(I222/VLOOKUP(L222,Sheet1!$D$7:$N$16,G222+1,FALSE),2.5),"")</f>
        <v/>
      </c>
      <c r="Q222" s="303" t="str">
        <f t="shared" si="3"/>
        <v/>
      </c>
      <c r="R222" s="214"/>
      <c r="S222" s="11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</row>
    <row r="223" ht="3.75" hidden="1" customHeight="1">
      <c r="A223" s="191"/>
      <c r="B223" s="6"/>
      <c r="C223" s="233"/>
      <c r="D223" s="234"/>
      <c r="E223" s="235"/>
      <c r="F223" s="236"/>
      <c r="G223" s="194"/>
      <c r="H223" s="155"/>
      <c r="I223" s="210"/>
      <c r="J223" s="216"/>
      <c r="K223" s="222"/>
      <c r="L223" s="218"/>
      <c r="M223" s="144"/>
      <c r="N223" s="145"/>
      <c r="O223" s="145"/>
      <c r="P223" s="122"/>
      <c r="Q223" s="304" t="str">
        <f t="shared" si="3"/>
        <v/>
      </c>
      <c r="R223" s="214"/>
      <c r="S223" s="157"/>
      <c r="T223" s="5"/>
      <c r="U223" s="5"/>
      <c r="V223" s="158"/>
      <c r="W223" s="158"/>
      <c r="X223" s="158"/>
      <c r="Y223" s="158"/>
      <c r="Z223" s="158"/>
      <c r="AA223" s="158"/>
      <c r="AB223" s="158"/>
      <c r="AC223" s="158"/>
      <c r="AD223" s="158"/>
      <c r="AE223" s="158"/>
      <c r="AF223" s="158"/>
      <c r="AG223" s="158"/>
    </row>
    <row r="224" ht="15.75" hidden="1" customHeight="1">
      <c r="A224" s="90"/>
      <c r="B224" s="6"/>
      <c r="C224" s="90"/>
      <c r="D224" s="197"/>
      <c r="E224" s="198"/>
      <c r="F224" s="199"/>
      <c r="G224" s="187"/>
      <c r="H224" s="195"/>
      <c r="I224" s="164"/>
      <c r="J224" s="189"/>
      <c r="K224" s="190"/>
      <c r="L224" s="183"/>
      <c r="M224" s="134" t="str">
        <f>I89</f>
        <v/>
      </c>
      <c r="N224" s="135" t="str">
        <f>iferror(mround($P89*((VLOOKUP($J224,Sheet1!$D:$N,$G224+1,FALSE)-0.03)),2.5)," ")</f>
        <v> </v>
      </c>
      <c r="O224" s="135" t="str">
        <f>iferror(mround($P89*((VLOOKUP($J224,Sheet1!$D:$N,$G224+1,FALSE)+0.02)),2.5)," ")</f>
        <v> </v>
      </c>
      <c r="P224" s="112" t="str">
        <f>iferror(mround(I224/VLOOKUP(L224,Sheet1!$D$7:$N$16,G224+1,FALSE),2.5),"")</f>
        <v/>
      </c>
      <c r="Q224" s="303" t="str">
        <f t="shared" si="3"/>
        <v/>
      </c>
      <c r="R224" s="214"/>
      <c r="S224" s="11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</row>
    <row r="225" ht="3.75" customHeight="1">
      <c r="A225" s="90"/>
      <c r="B225" s="6"/>
      <c r="C225" s="90"/>
      <c r="D225" s="90"/>
      <c r="E225" s="156"/>
      <c r="F225" s="102"/>
      <c r="G225" s="102"/>
      <c r="H225" s="102"/>
      <c r="I225" s="102"/>
      <c r="J225" s="156"/>
      <c r="K225" s="200"/>
      <c r="L225" s="201"/>
      <c r="M225" s="211"/>
      <c r="N225" s="47"/>
      <c r="O225" s="47"/>
      <c r="P225" s="122"/>
      <c r="Q225" s="304" t="str">
        <f t="shared" si="3"/>
        <v/>
      </c>
      <c r="R225" s="214"/>
      <c r="S225" s="11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</row>
    <row r="226" ht="30.0" customHeight="1">
      <c r="A226" s="90"/>
      <c r="B226" s="6"/>
      <c r="C226" s="90"/>
      <c r="D226" s="202" t="s">
        <v>55</v>
      </c>
      <c r="E226" s="105" t="s">
        <v>96</v>
      </c>
      <c r="F226" s="106" t="s">
        <v>16</v>
      </c>
      <c r="G226" s="106" t="s">
        <v>17</v>
      </c>
      <c r="H226" s="107"/>
      <c r="I226" s="106" t="s">
        <v>18</v>
      </c>
      <c r="J226" s="108" t="s">
        <v>19</v>
      </c>
      <c r="L226" s="109" t="s">
        <v>20</v>
      </c>
      <c r="M226" s="110" t="s">
        <v>21</v>
      </c>
      <c r="N226" s="111" t="s">
        <v>22</v>
      </c>
      <c r="P226" s="112"/>
      <c r="Q226" s="113" t="s">
        <v>23</v>
      </c>
      <c r="R226" s="114" t="s">
        <v>56</v>
      </c>
      <c r="S226" s="11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</row>
    <row r="227" ht="14.25" customHeight="1">
      <c r="A227" s="90"/>
      <c r="B227" s="6"/>
      <c r="C227" s="90"/>
      <c r="D227" s="116">
        <v>3.0</v>
      </c>
      <c r="E227" s="117">
        <v>3.0</v>
      </c>
      <c r="H227" s="107"/>
      <c r="N227" s="111" t="s">
        <v>27</v>
      </c>
      <c r="O227" s="111" t="s">
        <v>28</v>
      </c>
      <c r="P227" s="112" t="s">
        <v>29</v>
      </c>
      <c r="R227" s="118" t="s">
        <v>30</v>
      </c>
      <c r="S227" s="11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</row>
    <row r="228" ht="3.75" customHeight="1">
      <c r="A228" s="191"/>
      <c r="B228" s="6"/>
      <c r="C228" s="192"/>
      <c r="D228" s="203"/>
      <c r="E228" s="204"/>
      <c r="F228" s="205"/>
      <c r="G228" s="205"/>
      <c r="H228" s="205"/>
      <c r="I228" s="225"/>
      <c r="J228" s="237"/>
      <c r="K228" s="209"/>
      <c r="L228" s="238"/>
      <c r="M228" s="211"/>
      <c r="N228" s="47"/>
      <c r="O228" s="47"/>
      <c r="P228" s="122"/>
      <c r="Q228" s="304" t="str">
        <f t="shared" ref="Q228:Q248" si="4">IF(OR(ISBLANK(I228), ISBLANK(I93)), "", IF(I228 - I93 = 0, "", I228 - I93))</f>
        <v/>
      </c>
      <c r="R228" s="239"/>
      <c r="S228" s="157"/>
      <c r="T228" s="5"/>
      <c r="U228" s="5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</row>
    <row r="229" ht="15.75" customHeight="1">
      <c r="A229" s="124"/>
      <c r="B229" s="6"/>
      <c r="C229" s="124"/>
      <c r="D229" s="125" t="s">
        <v>97</v>
      </c>
      <c r="E229" s="126"/>
      <c r="F229" s="127">
        <v>1.0</v>
      </c>
      <c r="G229" s="240">
        <v>4.0</v>
      </c>
      <c r="H229" s="129"/>
      <c r="I229" s="130">
        <v>474.0</v>
      </c>
      <c r="J229" s="151">
        <v>6.5</v>
      </c>
      <c r="K229" s="241"/>
      <c r="L229" s="130">
        <v>6.5</v>
      </c>
      <c r="M229" s="134">
        <f>I94</f>
        <v>463</v>
      </c>
      <c r="N229" s="135">
        <f>iferror(mround($P94*((VLOOKUP($J229,Sheet1!$D:$N,$G229+1,FALSE)-0.03)),2.5)," ")</f>
        <v>452.5</v>
      </c>
      <c r="O229" s="135">
        <f>iferror(mround($P94*((VLOOKUP($J229,Sheet1!$D:$N,$G229+1,FALSE)+0.02)),2.5)," ")</f>
        <v>480</v>
      </c>
      <c r="P229" s="112">
        <f>iferror(mround(I229/VLOOKUP(L229,Sheet1!$D$7:$N$16,G229+1,FALSE),2.5),"")</f>
        <v>590</v>
      </c>
      <c r="Q229" s="303">
        <f t="shared" si="4"/>
        <v>11</v>
      </c>
      <c r="R229" s="242"/>
      <c r="S229" s="11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</row>
    <row r="230" ht="3.75" customHeight="1">
      <c r="A230" s="124"/>
      <c r="B230" s="6"/>
      <c r="C230" s="124"/>
      <c r="D230" s="138"/>
      <c r="E230" s="139"/>
      <c r="F230" s="140"/>
      <c r="G230" s="140"/>
      <c r="H230" s="140"/>
      <c r="I230" s="140"/>
      <c r="J230" s="141"/>
      <c r="K230" s="243"/>
      <c r="L230" s="210"/>
      <c r="M230" s="144"/>
      <c r="N230" s="145"/>
      <c r="O230" s="145"/>
      <c r="P230" s="122"/>
      <c r="Q230" s="304" t="str">
        <f t="shared" si="4"/>
        <v/>
      </c>
      <c r="R230" s="242"/>
      <c r="S230" s="11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</row>
    <row r="231" ht="15.0" customHeight="1">
      <c r="A231" s="124"/>
      <c r="B231" s="6"/>
      <c r="C231" s="124"/>
      <c r="D231" s="125" t="s">
        <v>97</v>
      </c>
      <c r="E231" s="126"/>
      <c r="F231" s="127">
        <v>3.0</v>
      </c>
      <c r="G231" s="240">
        <v>4.0</v>
      </c>
      <c r="H231" s="129"/>
      <c r="I231" s="164">
        <f>MROUND(I229*(1+J231),5)</f>
        <v>425</v>
      </c>
      <c r="J231" s="165">
        <v>-0.1</v>
      </c>
      <c r="K231" s="241"/>
      <c r="L231" s="130">
        <v>6.0</v>
      </c>
      <c r="M231" s="134">
        <f>I96</f>
        <v>415</v>
      </c>
      <c r="N231" s="135" t="str">
        <f>iferror(mround($P96*((VLOOKUP($J231,Sheet1!$D:$N,$G231+1,FALSE)-0.03)),2.5)," ")</f>
        <v> </v>
      </c>
      <c r="O231" s="135" t="str">
        <f>iferror(mround($P96*((VLOOKUP($J231,Sheet1!$D:$N,$G231+1,FALSE)+0.02)),2.5)," ")</f>
        <v> </v>
      </c>
      <c r="P231" s="112">
        <f>iferror(mround(I231/VLOOKUP(L231,Sheet1!$D$7:$N$16,G231+1,FALSE),2.5),"")</f>
        <v>537.5</v>
      </c>
      <c r="Q231" s="303">
        <f t="shared" si="4"/>
        <v>10</v>
      </c>
      <c r="R231" s="242"/>
      <c r="S231" s="11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</row>
    <row r="232" ht="3.75" customHeight="1">
      <c r="A232" s="124"/>
      <c r="B232" s="6"/>
      <c r="C232" s="124"/>
      <c r="D232" s="138"/>
      <c r="E232" s="215"/>
      <c r="F232" s="102"/>
      <c r="G232" s="102"/>
      <c r="H232" s="102"/>
      <c r="I232" s="102"/>
      <c r="J232" s="156"/>
      <c r="K232" s="243"/>
      <c r="L232" s="210"/>
      <c r="M232" s="144"/>
      <c r="N232" s="145"/>
      <c r="O232" s="145"/>
      <c r="P232" s="122"/>
      <c r="Q232" s="304" t="str">
        <f t="shared" si="4"/>
        <v/>
      </c>
      <c r="R232" s="242"/>
      <c r="S232" s="11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</row>
    <row r="233" ht="15.75" customHeight="1">
      <c r="A233" s="124"/>
      <c r="B233" s="6"/>
      <c r="C233" s="124"/>
      <c r="D233" s="159" t="s">
        <v>33</v>
      </c>
      <c r="E233" s="126"/>
      <c r="F233" s="127">
        <v>2.0</v>
      </c>
      <c r="G233" s="161">
        <v>1.0</v>
      </c>
      <c r="H233" s="129"/>
      <c r="I233" s="130">
        <v>292.0</v>
      </c>
      <c r="J233" s="151">
        <v>7.0</v>
      </c>
      <c r="K233" s="244" t="s">
        <v>98</v>
      </c>
      <c r="L233" s="130">
        <v>7.0</v>
      </c>
      <c r="M233" s="134">
        <f>I98</f>
        <v>281</v>
      </c>
      <c r="N233" s="135">
        <f>iferror(mround($P98*((VLOOKUP($J233,Sheet1!$D:$N,$G233+1,FALSE)-0.03)),2.5)," ")</f>
        <v>280</v>
      </c>
      <c r="O233" s="135">
        <f>iferror(mround($P98*((VLOOKUP($J233,Sheet1!$D:$N,$G233+1,FALSE)+0.02)),2.5)," ")</f>
        <v>295</v>
      </c>
      <c r="P233" s="112">
        <f>iferror(mround(I233/VLOOKUP(L233,Sheet1!$D$7:$N$16,G233+1,FALSE),2.5),"")</f>
        <v>327.5</v>
      </c>
      <c r="Q233" s="303">
        <f t="shared" si="4"/>
        <v>11</v>
      </c>
      <c r="R233" s="242"/>
      <c r="S233" s="11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</row>
    <row r="234" ht="3.75" customHeight="1">
      <c r="A234" s="124"/>
      <c r="B234" s="6"/>
      <c r="C234" s="124"/>
      <c r="D234" s="138"/>
      <c r="E234" s="154"/>
      <c r="F234" s="155"/>
      <c r="G234" s="102"/>
      <c r="H234" s="102"/>
      <c r="I234" s="102"/>
      <c r="J234" s="156"/>
      <c r="K234" s="243"/>
      <c r="L234" s="210"/>
      <c r="M234" s="144"/>
      <c r="N234" s="145"/>
      <c r="O234" s="145"/>
      <c r="P234" s="122"/>
      <c r="Q234" s="304" t="str">
        <f t="shared" si="4"/>
        <v/>
      </c>
      <c r="R234" s="242"/>
      <c r="S234" s="11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</row>
    <row r="235" ht="15.75" customHeight="1">
      <c r="A235" s="124"/>
      <c r="B235" s="6"/>
      <c r="C235" s="124"/>
      <c r="D235" s="159" t="s">
        <v>33</v>
      </c>
      <c r="E235" s="126"/>
      <c r="F235" s="127">
        <v>4.0</v>
      </c>
      <c r="G235" s="161">
        <v>4.0</v>
      </c>
      <c r="H235" s="129"/>
      <c r="I235" s="130">
        <v>253.0</v>
      </c>
      <c r="J235" s="151">
        <v>6.5</v>
      </c>
      <c r="K235" s="241" t="s">
        <v>91</v>
      </c>
      <c r="L235" s="130">
        <v>6.5</v>
      </c>
      <c r="M235" s="134">
        <f>I100</f>
        <v>248</v>
      </c>
      <c r="N235" s="135">
        <f>iferror(mround($P100*((VLOOKUP($J235,Sheet1!$D:$N,$G235+1,FALSE)-0.03)),2.5)," ")</f>
        <v>242.5</v>
      </c>
      <c r="O235" s="135">
        <f>iferror(mround($P100*((VLOOKUP($J235,Sheet1!$D:$N,$G235+1,FALSE)+0.02)),2.5)," ")</f>
        <v>260</v>
      </c>
      <c r="P235" s="112">
        <f>iferror(mround(I235/VLOOKUP(L235,Sheet1!$D$7:$N$16,G235+1,FALSE),2.5),"")</f>
        <v>315</v>
      </c>
      <c r="Q235" s="303">
        <f t="shared" si="4"/>
        <v>5</v>
      </c>
      <c r="R235" s="242"/>
      <c r="S235" s="11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</row>
    <row r="236" ht="3.75" customHeight="1">
      <c r="A236" s="90"/>
      <c r="B236" s="6"/>
      <c r="C236" s="90"/>
      <c r="D236" s="138"/>
      <c r="E236" s="245"/>
      <c r="F236" s="102"/>
      <c r="G236" s="102"/>
      <c r="H236" s="102"/>
      <c r="I236" s="102"/>
      <c r="J236" s="156"/>
      <c r="K236" s="243"/>
      <c r="L236" s="210"/>
      <c r="M236" s="144"/>
      <c r="N236" s="145"/>
      <c r="O236" s="145"/>
      <c r="P236" s="122"/>
      <c r="Q236" s="304" t="str">
        <f t="shared" si="4"/>
        <v/>
      </c>
      <c r="R236" s="242"/>
      <c r="S236" s="11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</row>
    <row r="237" ht="15.75" customHeight="1">
      <c r="A237" s="90"/>
      <c r="B237" s="6"/>
      <c r="C237" s="90"/>
      <c r="D237" s="159" t="s">
        <v>54</v>
      </c>
      <c r="E237" s="227"/>
      <c r="F237" s="127">
        <v>3.0</v>
      </c>
      <c r="G237" s="221">
        <v>45577.0</v>
      </c>
      <c r="H237" s="195"/>
      <c r="I237" s="130">
        <v>90.0</v>
      </c>
      <c r="J237" s="228">
        <v>8.0</v>
      </c>
      <c r="K237" s="241"/>
      <c r="L237" s="130">
        <v>8.0</v>
      </c>
      <c r="M237" s="134">
        <f>I102</f>
        <v>120</v>
      </c>
      <c r="N237" s="135" t="str">
        <f>iferror(mround($P102*((VLOOKUP($J237,Sheet1!$D:$N,$G237+1,FALSE)-0.03)),2.5)," ")</f>
        <v> </v>
      </c>
      <c r="O237" s="135" t="str">
        <f>iferror(mround($P102*((VLOOKUP($J237,Sheet1!$D:$N,$G237+1,FALSE)+0.02)),2.5)," ")</f>
        <v> </v>
      </c>
      <c r="P237" s="112" t="str">
        <f>iferror(mround(I237/VLOOKUP(L237,Sheet1!$D$7:$N$16,G237+1,FALSE),2.5),"")</f>
        <v/>
      </c>
      <c r="Q237" s="303">
        <f t="shared" si="4"/>
        <v>-30</v>
      </c>
      <c r="R237" s="242"/>
      <c r="S237" s="11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</row>
    <row r="238" ht="3.75" customHeight="1">
      <c r="A238" s="191"/>
      <c r="B238" s="6"/>
      <c r="C238" s="192"/>
      <c r="D238" s="138"/>
      <c r="E238" s="245"/>
      <c r="F238" s="102"/>
      <c r="G238" s="102"/>
      <c r="H238" s="102"/>
      <c r="I238" s="102"/>
      <c r="J238" s="156"/>
      <c r="K238" s="243"/>
      <c r="L238" s="210"/>
      <c r="M238" s="144"/>
      <c r="N238" s="145"/>
      <c r="O238" s="145"/>
      <c r="P238" s="122"/>
      <c r="Q238" s="304" t="str">
        <f t="shared" si="4"/>
        <v/>
      </c>
      <c r="R238" s="242"/>
      <c r="S238" s="157"/>
      <c r="T238" s="5"/>
      <c r="U238" s="5"/>
      <c r="V238" s="158"/>
      <c r="W238" s="158"/>
      <c r="X238" s="158"/>
      <c r="Y238" s="158"/>
      <c r="Z238" s="158"/>
      <c r="AA238" s="158"/>
      <c r="AB238" s="158"/>
      <c r="AC238" s="158"/>
      <c r="AD238" s="158"/>
      <c r="AE238" s="158"/>
      <c r="AF238" s="158"/>
      <c r="AG238" s="158"/>
    </row>
    <row r="239" ht="15.75" customHeight="1">
      <c r="A239" s="90"/>
      <c r="B239" s="6"/>
      <c r="C239" s="90"/>
      <c r="D239" s="159" t="s">
        <v>99</v>
      </c>
      <c r="E239" s="246" t="s">
        <v>100</v>
      </c>
      <c r="F239" s="127">
        <v>3.0</v>
      </c>
      <c r="G239" s="221">
        <v>45577.0</v>
      </c>
      <c r="H239" s="195"/>
      <c r="I239" s="130">
        <v>110.0</v>
      </c>
      <c r="J239" s="228">
        <v>9.0</v>
      </c>
      <c r="K239" s="241"/>
      <c r="L239" s="130">
        <v>9.0</v>
      </c>
      <c r="M239" s="134">
        <f>I104</f>
        <v>45</v>
      </c>
      <c r="N239" s="135" t="str">
        <f>iferror(mround($P104*((VLOOKUP($J239,Sheet1!$D:$N,$G239+1,FALSE)-0.03)),2.5)," ")</f>
        <v> </v>
      </c>
      <c r="O239" s="135" t="str">
        <f>iferror(mround($P104*((VLOOKUP($J239,Sheet1!$D:$N,$G239+1,FALSE)+0.02)),2.5)," ")</f>
        <v> </v>
      </c>
      <c r="P239" s="112" t="str">
        <f>iferror(mround(I239/VLOOKUP(L239,Sheet1!$D$7:$N$16,G239+1,FALSE),2.5),"")</f>
        <v/>
      </c>
      <c r="Q239" s="303">
        <f t="shared" si="4"/>
        <v>65</v>
      </c>
      <c r="R239" s="242"/>
      <c r="S239" s="11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</row>
    <row r="240" ht="3.75" customHeight="1">
      <c r="A240" s="90"/>
      <c r="B240" s="6"/>
      <c r="C240" s="90"/>
      <c r="D240" s="138"/>
      <c r="E240" s="245"/>
      <c r="F240" s="102"/>
      <c r="G240" s="102"/>
      <c r="H240" s="102"/>
      <c r="I240" s="102"/>
      <c r="J240" s="156"/>
      <c r="K240" s="243"/>
      <c r="L240" s="210"/>
      <c r="M240" s="144"/>
      <c r="N240" s="145"/>
      <c r="O240" s="145"/>
      <c r="P240" s="122"/>
      <c r="Q240" s="304" t="str">
        <f t="shared" si="4"/>
        <v/>
      </c>
      <c r="R240" s="242"/>
      <c r="S240" s="11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</row>
    <row r="241" ht="15.75" hidden="1" customHeight="1">
      <c r="A241" s="90"/>
      <c r="B241" s="6"/>
      <c r="C241" s="90"/>
      <c r="D241" s="185"/>
      <c r="E241" s="227"/>
      <c r="F241" s="187"/>
      <c r="G241" s="229"/>
      <c r="H241" s="195"/>
      <c r="I241" s="247"/>
      <c r="J241" s="248"/>
      <c r="K241" s="241"/>
      <c r="L241" s="164"/>
      <c r="M241" s="134" t="str">
        <f>I106</f>
        <v/>
      </c>
      <c r="N241" s="135" t="str">
        <f>iferror(mround($P106*((VLOOKUP($J241,Sheet1!$D:$N,$G241+1,FALSE)-0.03)),2.5)," ")</f>
        <v> </v>
      </c>
      <c r="O241" s="135" t="str">
        <f>iferror(mround($P106*((VLOOKUP($J241,Sheet1!$D:$N,$G241+1,FALSE)+0.02)),2.5)," ")</f>
        <v> </v>
      </c>
      <c r="P241" s="112" t="str">
        <f>iferror(mround(I241/VLOOKUP(L241,Sheet1!$D$7:$N$16,G241+1,FALSE),2.5),"")</f>
        <v/>
      </c>
      <c r="Q241" s="303" t="str">
        <f t="shared" si="4"/>
        <v/>
      </c>
      <c r="R241" s="242"/>
      <c r="S241" s="11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</row>
    <row r="242" ht="3.75" hidden="1" customHeight="1">
      <c r="A242" s="90"/>
      <c r="B242" s="6"/>
      <c r="C242" s="90"/>
      <c r="D242" s="138"/>
      <c r="E242" s="215"/>
      <c r="F242" s="102"/>
      <c r="G242" s="102"/>
      <c r="H242" s="102"/>
      <c r="I242" s="102"/>
      <c r="J242" s="156"/>
      <c r="K242" s="243"/>
      <c r="L242" s="210"/>
      <c r="M242" s="144"/>
      <c r="N242" s="145"/>
      <c r="O242" s="145"/>
      <c r="P242" s="122"/>
      <c r="Q242" s="304" t="str">
        <f t="shared" si="4"/>
        <v/>
      </c>
      <c r="R242" s="242"/>
      <c r="S242" s="11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</row>
    <row r="243" ht="15.75" hidden="1" customHeight="1">
      <c r="A243" s="90"/>
      <c r="B243" s="6"/>
      <c r="C243" s="90"/>
      <c r="D243" s="185"/>
      <c r="E243" s="220"/>
      <c r="F243" s="187"/>
      <c r="G243" s="229"/>
      <c r="H243" s="195"/>
      <c r="I243" s="247"/>
      <c r="J243" s="248"/>
      <c r="K243" s="241"/>
      <c r="L243" s="164"/>
      <c r="M243" s="134" t="str">
        <f>I108</f>
        <v/>
      </c>
      <c r="N243" s="135" t="str">
        <f>iferror(mround($P108*((VLOOKUP($J243,Sheet1!$D:$N,$G243+1,FALSE)-0.03)),2.5)," ")</f>
        <v> </v>
      </c>
      <c r="O243" s="135" t="str">
        <f>iferror(mround($P108*((VLOOKUP($J243,Sheet1!$D:$N,$G243+1,FALSE)+0.02)),2.5)," ")</f>
        <v> </v>
      </c>
      <c r="P243" s="112" t="str">
        <f>iferror(mround(I243/VLOOKUP(L243,Sheet1!$D$7:$N$16,G243+1,FALSE),2.5),"")</f>
        <v/>
      </c>
      <c r="Q243" s="303" t="str">
        <f t="shared" si="4"/>
        <v/>
      </c>
      <c r="R243" s="242"/>
      <c r="S243" s="11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</row>
    <row r="244" ht="3.75" hidden="1" customHeight="1">
      <c r="A244" s="90"/>
      <c r="B244" s="6"/>
      <c r="C244" s="90"/>
      <c r="D244" s="196"/>
      <c r="E244" s="184"/>
      <c r="F244" s="102"/>
      <c r="G244" s="102"/>
      <c r="H244" s="102"/>
      <c r="I244" s="102"/>
      <c r="J244" s="156"/>
      <c r="K244" s="249"/>
      <c r="L244" s="210"/>
      <c r="M244" s="144"/>
      <c r="N244" s="145"/>
      <c r="O244" s="145"/>
      <c r="P244" s="122"/>
      <c r="Q244" s="304" t="str">
        <f t="shared" si="4"/>
        <v/>
      </c>
      <c r="R244" s="242"/>
      <c r="S244" s="11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</row>
    <row r="245" ht="15.75" hidden="1" customHeight="1">
      <c r="A245" s="90"/>
      <c r="B245" s="6"/>
      <c r="C245" s="90"/>
      <c r="D245" s="197"/>
      <c r="E245" s="250"/>
      <c r="F245" s="129"/>
      <c r="G245" s="199"/>
      <c r="H245" s="195"/>
      <c r="I245" s="247"/>
      <c r="J245" s="248"/>
      <c r="K245" s="251"/>
      <c r="L245" s="164"/>
      <c r="M245" s="134" t="str">
        <f>I110</f>
        <v/>
      </c>
      <c r="N245" s="135" t="str">
        <f>iferror(mround($P110*((VLOOKUP($J245,Sheet1!$D:$N,$G245+1,FALSE)-0.03)),2.5)," ")</f>
        <v> </v>
      </c>
      <c r="O245" s="135" t="str">
        <f>iferror(mround($P110*((VLOOKUP($J245,Sheet1!$D:$N,$G245+1,FALSE)+0.02)),2.5)," ")</f>
        <v> </v>
      </c>
      <c r="P245" s="112" t="str">
        <f>iferror(mround(I245/VLOOKUP(L245,Sheet1!$D$7:$N$16,G245+1,FALSE),2.5),"")</f>
        <v/>
      </c>
      <c r="Q245" s="303" t="str">
        <f t="shared" si="4"/>
        <v/>
      </c>
      <c r="R245" s="242"/>
      <c r="S245" s="11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</row>
    <row r="246" ht="3.75" hidden="1" customHeight="1">
      <c r="A246" s="90"/>
      <c r="B246" s="6"/>
      <c r="C246" s="90"/>
      <c r="D246" s="234"/>
      <c r="E246" s="184"/>
      <c r="F246" s="102"/>
      <c r="G246" s="102"/>
      <c r="H246" s="102"/>
      <c r="I246" s="102"/>
      <c r="J246" s="156"/>
      <c r="K246" s="249"/>
      <c r="L246" s="210"/>
      <c r="M246" s="144"/>
      <c r="N246" s="145"/>
      <c r="O246" s="145"/>
      <c r="P246" s="122"/>
      <c r="Q246" s="304" t="str">
        <f t="shared" si="4"/>
        <v/>
      </c>
      <c r="R246" s="242"/>
      <c r="S246" s="11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</row>
    <row r="247" ht="15.75" hidden="1" customHeight="1">
      <c r="A247" s="90"/>
      <c r="B247" s="6"/>
      <c r="C247" s="90"/>
      <c r="D247" s="197"/>
      <c r="E247" s="198"/>
      <c r="F247" s="129"/>
      <c r="G247" s="199"/>
      <c r="H247" s="195"/>
      <c r="I247" s="164"/>
      <c r="J247" s="248"/>
      <c r="K247" s="251"/>
      <c r="L247" s="164"/>
      <c r="M247" s="134" t="str">
        <f>I112</f>
        <v/>
      </c>
      <c r="N247" s="135" t="str">
        <f>iferror(mround($P112*((VLOOKUP($J247,Sheet1!$D:$N,$G247+1,FALSE)-0.03)),2.5)," ")</f>
        <v> </v>
      </c>
      <c r="O247" s="135" t="str">
        <f>iferror(mround($P112*((VLOOKUP($J247,Sheet1!$D:$N,$G247+1,FALSE)+0.02)),2.5)," ")</f>
        <v> </v>
      </c>
      <c r="P247" s="112" t="str">
        <f>iferror(mround(I247/VLOOKUP(L247,Sheet1!$D$7:$N$16,G247+1,FALSE),2.5),"")</f>
        <v/>
      </c>
      <c r="Q247" s="303" t="str">
        <f t="shared" si="4"/>
        <v/>
      </c>
      <c r="R247" s="242"/>
      <c r="S247" s="11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</row>
    <row r="248" ht="3.75" hidden="1" customHeight="1">
      <c r="A248" s="124"/>
      <c r="B248" s="6"/>
      <c r="C248" s="124"/>
      <c r="D248" s="252"/>
      <c r="E248" s="252"/>
      <c r="F248" s="102"/>
      <c r="G248" s="102"/>
      <c r="H248" s="102"/>
      <c r="I248" s="102"/>
      <c r="J248" s="156"/>
      <c r="K248" s="253"/>
      <c r="L248" s="201"/>
      <c r="M248" s="211"/>
      <c r="N248" s="47"/>
      <c r="O248" s="47"/>
      <c r="P248" s="122"/>
      <c r="Q248" s="304" t="str">
        <f t="shared" si="4"/>
        <v/>
      </c>
      <c r="R248" s="242"/>
      <c r="S248" s="11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</row>
    <row r="249" ht="30.75" hidden="1" customHeight="1">
      <c r="A249" s="90"/>
      <c r="B249" s="6"/>
      <c r="C249" s="90"/>
      <c r="D249" s="254" t="s">
        <v>57</v>
      </c>
      <c r="E249" s="255" t="s">
        <v>15</v>
      </c>
      <c r="F249" s="106" t="s">
        <v>16</v>
      </c>
      <c r="G249" s="106" t="s">
        <v>17</v>
      </c>
      <c r="H249" s="107"/>
      <c r="I249" s="106" t="s">
        <v>18</v>
      </c>
      <c r="J249" s="108" t="s">
        <v>19</v>
      </c>
      <c r="L249" s="109" t="s">
        <v>20</v>
      </c>
      <c r="M249" s="110" t="s">
        <v>21</v>
      </c>
      <c r="N249" s="111" t="s">
        <v>22</v>
      </c>
      <c r="P249" s="112"/>
      <c r="Q249" s="113" t="s">
        <v>23</v>
      </c>
      <c r="R249" s="256" t="s">
        <v>58</v>
      </c>
      <c r="S249" s="11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</row>
    <row r="250" ht="14.25" hidden="1" customHeight="1">
      <c r="A250" s="90"/>
      <c r="B250" s="6"/>
      <c r="C250" s="90"/>
      <c r="D250" s="257" t="s">
        <v>25</v>
      </c>
      <c r="E250" s="258" t="s">
        <v>26</v>
      </c>
      <c r="H250" s="107"/>
      <c r="N250" s="111" t="s">
        <v>27</v>
      </c>
      <c r="O250" s="111" t="s">
        <v>28</v>
      </c>
      <c r="P250" s="112" t="s">
        <v>29</v>
      </c>
      <c r="R250" s="118" t="s">
        <v>30</v>
      </c>
      <c r="S250" s="11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</row>
    <row r="251" ht="3.75" hidden="1" customHeight="1">
      <c r="A251" s="124"/>
      <c r="B251" s="6"/>
      <c r="C251" s="124"/>
      <c r="D251" s="252"/>
      <c r="E251" s="252"/>
      <c r="F251" s="102"/>
      <c r="G251" s="102"/>
      <c r="H251" s="102"/>
      <c r="I251" s="102"/>
      <c r="J251" s="156"/>
      <c r="K251" s="253"/>
      <c r="L251" s="201"/>
      <c r="M251" s="211"/>
      <c r="N251" s="47"/>
      <c r="O251" s="47"/>
      <c r="P251" s="122"/>
      <c r="Q251" s="304" t="str">
        <f t="shared" ref="Q251:Q274" si="5">IF(OR(ISBLANK(I251), ISBLANK(I116)), "", IF(I251 - I116 = 0, "", I251 - I116))</f>
        <v/>
      </c>
      <c r="R251" s="259"/>
      <c r="S251" s="11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</row>
    <row r="252" ht="14.25" hidden="1" customHeight="1">
      <c r="A252" s="124"/>
      <c r="B252" s="6"/>
      <c r="C252" s="124"/>
      <c r="D252" s="260"/>
      <c r="E252" s="126"/>
      <c r="F252" s="187"/>
      <c r="G252" s="229"/>
      <c r="H252" s="129"/>
      <c r="I252" s="164"/>
      <c r="J252" s="189"/>
      <c r="K252" s="251"/>
      <c r="L252" s="164"/>
      <c r="M252" s="134" t="str">
        <f>I119</f>
        <v/>
      </c>
      <c r="N252" s="135" t="str">
        <f>iferror(mround($P119*((VLOOKUP($J252,Sheet1!$D:$N,$G252+1,FALSE)-0.03)),2.5)," ")</f>
        <v> </v>
      </c>
      <c r="O252" s="135" t="str">
        <f>iferror(mround($P119*((VLOOKUP($J252,Sheet1!$D:$N,$G252+1,FALSE)+0.02)),2.5)," ")</f>
        <v> </v>
      </c>
      <c r="P252" s="56" t="str">
        <f>iferror(mround(I252/VLOOKUP(L252,Sheet1!$D$7:$N$16,G252+1,FALSE),2.5),"")</f>
        <v/>
      </c>
      <c r="Q252" s="303" t="str">
        <f t="shared" si="5"/>
        <v/>
      </c>
      <c r="S252" s="11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</row>
    <row r="253" ht="3.75" hidden="1" customHeight="1">
      <c r="A253" s="124"/>
      <c r="B253" s="6"/>
      <c r="C253" s="124"/>
      <c r="D253" s="138"/>
      <c r="E253" s="215"/>
      <c r="F253" s="102"/>
      <c r="G253" s="102"/>
      <c r="H253" s="102"/>
      <c r="I253" s="102"/>
      <c r="J253" s="156"/>
      <c r="K253" s="249"/>
      <c r="L253" s="210"/>
      <c r="M253" s="144"/>
      <c r="N253" s="145"/>
      <c r="O253" s="145"/>
      <c r="P253" s="122"/>
      <c r="Q253" s="304" t="str">
        <f t="shared" si="5"/>
        <v/>
      </c>
      <c r="S253" s="11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</row>
    <row r="254" ht="14.25" hidden="1" customHeight="1">
      <c r="A254" s="124"/>
      <c r="B254" s="6"/>
      <c r="C254" s="124"/>
      <c r="D254" s="185"/>
      <c r="E254" s="227"/>
      <c r="F254" s="187"/>
      <c r="G254" s="229"/>
      <c r="H254" s="195"/>
      <c r="I254" s="164"/>
      <c r="J254" s="248"/>
      <c r="K254" s="251"/>
      <c r="L254" s="164"/>
      <c r="M254" s="134" t="str">
        <f>I119</f>
        <v/>
      </c>
      <c r="N254" s="135" t="str">
        <f>iferror(mround($P119*((VLOOKUP($J254,Sheet1!$D:$N,$G254+1,FALSE)-0.03)),2.5)," ")</f>
        <v> </v>
      </c>
      <c r="O254" s="135" t="str">
        <f>iferror(mround($P119*((VLOOKUP($J254,Sheet1!$D:$N,$G254+1,FALSE)+0.02)),2.5)," ")</f>
        <v> </v>
      </c>
      <c r="P254" s="112" t="str">
        <f>iferror(mround(I254/VLOOKUP(L254,Sheet1!$D$7:$N$16,G254+1,FALSE),2.5),"")</f>
        <v/>
      </c>
      <c r="Q254" s="303" t="str">
        <f t="shared" si="5"/>
        <v/>
      </c>
      <c r="S254" s="11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</row>
    <row r="255" ht="3.75" hidden="1" customHeight="1">
      <c r="A255" s="124"/>
      <c r="B255" s="6"/>
      <c r="C255" s="124"/>
      <c r="D255" s="138"/>
      <c r="E255" s="245"/>
      <c r="F255" s="102"/>
      <c r="G255" s="102"/>
      <c r="H255" s="102"/>
      <c r="I255" s="102"/>
      <c r="J255" s="156"/>
      <c r="K255" s="249"/>
      <c r="L255" s="210"/>
      <c r="M255" s="144"/>
      <c r="N255" s="145"/>
      <c r="O255" s="145"/>
      <c r="P255" s="122"/>
      <c r="Q255" s="304" t="str">
        <f t="shared" si="5"/>
        <v/>
      </c>
      <c r="S255" s="11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</row>
    <row r="256" ht="14.25" hidden="1" customHeight="1">
      <c r="A256" s="124"/>
      <c r="B256" s="6"/>
      <c r="C256" s="124"/>
      <c r="D256" s="185"/>
      <c r="E256" s="227"/>
      <c r="F256" s="187"/>
      <c r="G256" s="229"/>
      <c r="H256" s="195"/>
      <c r="I256" s="164"/>
      <c r="J256" s="248"/>
      <c r="K256" s="251"/>
      <c r="L256" s="164"/>
      <c r="M256" s="134" t="str">
        <f>I121</f>
        <v/>
      </c>
      <c r="N256" s="135" t="str">
        <f>iferror(mround($P121*((VLOOKUP($J256,Sheet1!$D:$N,$G256+1,FALSE)-0.03)),2.5)," ")</f>
        <v> </v>
      </c>
      <c r="O256" s="135" t="str">
        <f>iferror(mround($P121*((VLOOKUP($J256,Sheet1!$D:$N,$G256+1,FALSE)+0.02)),2.5)," ")</f>
        <v> </v>
      </c>
      <c r="P256" s="112" t="str">
        <f>iferror(mround(I256/VLOOKUP(L256,Sheet1!$D$7:$N$16,G256+1,FALSE),2.5),"")</f>
        <v/>
      </c>
      <c r="Q256" s="303" t="str">
        <f t="shared" si="5"/>
        <v/>
      </c>
      <c r="S256" s="11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</row>
    <row r="257" ht="3.75" hidden="1" customHeight="1">
      <c r="A257" s="124"/>
      <c r="B257" s="6"/>
      <c r="C257" s="124"/>
      <c r="D257" s="138"/>
      <c r="E257" s="245"/>
      <c r="F257" s="102"/>
      <c r="G257" s="102"/>
      <c r="H257" s="102"/>
      <c r="I257" s="102"/>
      <c r="J257" s="156"/>
      <c r="K257" s="249"/>
      <c r="L257" s="210"/>
      <c r="M257" s="144"/>
      <c r="N257" s="145"/>
      <c r="O257" s="145"/>
      <c r="P257" s="122"/>
      <c r="Q257" s="304" t="str">
        <f t="shared" si="5"/>
        <v/>
      </c>
      <c r="S257" s="11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</row>
    <row r="258" ht="14.25" hidden="1" customHeight="1">
      <c r="A258" s="124"/>
      <c r="B258" s="6"/>
      <c r="C258" s="124"/>
      <c r="D258" s="185"/>
      <c r="E258" s="227"/>
      <c r="F258" s="187"/>
      <c r="G258" s="229"/>
      <c r="H258" s="195"/>
      <c r="I258" s="164"/>
      <c r="J258" s="248"/>
      <c r="K258" s="251"/>
      <c r="L258" s="164"/>
      <c r="M258" s="134"/>
      <c r="N258" s="135" t="str">
        <f>iferror(mround($P123*((VLOOKUP($J258,Sheet1!$D:$N,$G258+1,FALSE)-0.03)),2.5)," ")</f>
        <v> </v>
      </c>
      <c r="O258" s="135" t="str">
        <f>iferror(mround($P123*((VLOOKUP($J258,Sheet1!$D:$N,$G258+1,FALSE)+0.02)),2.5)," ")</f>
        <v> </v>
      </c>
      <c r="P258" s="112" t="str">
        <f>iferror(mround(I258/VLOOKUP(L258,Sheet1!$D$7:$N$16,G258+1,FALSE),2.5),"")</f>
        <v/>
      </c>
      <c r="Q258" s="303" t="str">
        <f t="shared" si="5"/>
        <v/>
      </c>
      <c r="S258" s="11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</row>
    <row r="259" ht="3.75" hidden="1" customHeight="1">
      <c r="A259" s="124"/>
      <c r="B259" s="6"/>
      <c r="C259" s="124"/>
      <c r="D259" s="138"/>
      <c r="E259" s="245"/>
      <c r="F259" s="102"/>
      <c r="G259" s="102"/>
      <c r="H259" s="102"/>
      <c r="I259" s="102"/>
      <c r="J259" s="156"/>
      <c r="K259" s="249"/>
      <c r="L259" s="210"/>
      <c r="M259" s="144"/>
      <c r="N259" s="145" t="str">
        <f>iferror(mround($P124*((VLOOKUP($J259,Sheet1!$D:$N,$G259+1,FALSE)-0.03)),2.5)," ")</f>
        <v> </v>
      </c>
      <c r="O259" s="145" t="str">
        <f>iferror(mround($P124*((VLOOKUP($J259,Sheet1!$D:$N,$G259+1,FALSE)+0.02)),2.5)," ")</f>
        <v> </v>
      </c>
      <c r="P259" s="122"/>
      <c r="Q259" s="304" t="str">
        <f t="shared" si="5"/>
        <v/>
      </c>
      <c r="S259" s="11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</row>
    <row r="260" ht="14.25" hidden="1" customHeight="1">
      <c r="A260" s="124"/>
      <c r="B260" s="6"/>
      <c r="C260" s="124"/>
      <c r="D260" s="185"/>
      <c r="E260" s="227"/>
      <c r="F260" s="187"/>
      <c r="G260" s="187"/>
      <c r="H260" s="195"/>
      <c r="I260" s="164"/>
      <c r="J260" s="248"/>
      <c r="K260" s="251"/>
      <c r="L260" s="164"/>
      <c r="M260" s="134" t="str">
        <f>I125</f>
        <v/>
      </c>
      <c r="N260" s="135" t="str">
        <f>iferror(mround($P125*((VLOOKUP($J260,Sheet1!$D:$N,$G260+1,FALSE)-0.03)),2.5)," ")</f>
        <v> </v>
      </c>
      <c r="O260" s="135" t="str">
        <f>iferror(mround($P125*((VLOOKUP($J260,Sheet1!$D:$N,$G260+1,FALSE)+0.02)),2.5)," ")</f>
        <v> </v>
      </c>
      <c r="P260" s="112" t="str">
        <f>iferror(mround(I260/VLOOKUP(L260,Sheet1!$D$7:$N$16,G260+1,FALSE),2.5),"")</f>
        <v/>
      </c>
      <c r="Q260" s="303" t="str">
        <f t="shared" si="5"/>
        <v/>
      </c>
      <c r="S260" s="11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</row>
    <row r="261" ht="3.75" hidden="1" customHeight="1">
      <c r="A261" s="261"/>
      <c r="B261" s="6"/>
      <c r="C261" s="262"/>
      <c r="D261" s="138"/>
      <c r="E261" s="245"/>
      <c r="F261" s="102"/>
      <c r="G261" s="102"/>
      <c r="H261" s="102"/>
      <c r="I261" s="102"/>
      <c r="J261" s="156"/>
      <c r="K261" s="249"/>
      <c r="L261" s="210"/>
      <c r="M261" s="144"/>
      <c r="N261" s="145"/>
      <c r="O261" s="145"/>
      <c r="P261" s="122"/>
      <c r="Q261" s="304" t="str">
        <f t="shared" si="5"/>
        <v/>
      </c>
      <c r="S261" s="157"/>
      <c r="T261" s="5"/>
      <c r="U261" s="5"/>
      <c r="V261" s="158"/>
      <c r="W261" s="158"/>
      <c r="X261" s="158"/>
      <c r="Y261" s="158"/>
      <c r="Z261" s="158"/>
      <c r="AA261" s="158"/>
      <c r="AB261" s="158"/>
      <c r="AC261" s="158"/>
      <c r="AD261" s="158"/>
      <c r="AE261" s="158"/>
      <c r="AF261" s="158"/>
      <c r="AG261" s="158"/>
    </row>
    <row r="262" ht="14.25" hidden="1" customHeight="1">
      <c r="A262" s="124"/>
      <c r="B262" s="6"/>
      <c r="C262" s="124"/>
      <c r="D262" s="185"/>
      <c r="E262" s="227"/>
      <c r="F262" s="187"/>
      <c r="G262" s="187"/>
      <c r="H262" s="195"/>
      <c r="I262" s="164"/>
      <c r="J262" s="248"/>
      <c r="K262" s="251"/>
      <c r="L262" s="164"/>
      <c r="M262" s="134" t="str">
        <f>I127</f>
        <v/>
      </c>
      <c r="N262" s="135" t="str">
        <f>iferror(mround($P127*((VLOOKUP($J262,Sheet1!$D:$N,$G262+1,FALSE)-0.03)),2.5)," ")</f>
        <v> </v>
      </c>
      <c r="O262" s="135" t="str">
        <f>iferror(mround($P127*((VLOOKUP($J262,Sheet1!$D:$N,$G262+1,FALSE)+0.02)),2.5)," ")</f>
        <v> </v>
      </c>
      <c r="P262" s="112" t="str">
        <f>iferror(mround(I262/VLOOKUP(L262,Sheet1!$D$7:$N$16,G262+1,FALSE),2.5),"")</f>
        <v/>
      </c>
      <c r="Q262" s="303" t="str">
        <f t="shared" si="5"/>
        <v/>
      </c>
      <c r="S262" s="11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</row>
    <row r="263" ht="3.75" hidden="1" customHeight="1">
      <c r="A263" s="261"/>
      <c r="B263" s="6"/>
      <c r="C263" s="262"/>
      <c r="D263" s="138"/>
      <c r="E263" s="252"/>
      <c r="F263" s="102"/>
      <c r="G263" s="102"/>
      <c r="H263" s="102"/>
      <c r="I263" s="102"/>
      <c r="J263" s="156"/>
      <c r="K263" s="249"/>
      <c r="L263" s="210"/>
      <c r="M263" s="144"/>
      <c r="N263" s="145"/>
      <c r="O263" s="145"/>
      <c r="P263" s="122"/>
      <c r="Q263" s="304" t="str">
        <f t="shared" si="5"/>
        <v/>
      </c>
      <c r="S263" s="157"/>
      <c r="T263" s="5"/>
      <c r="U263" s="5"/>
      <c r="V263" s="158"/>
      <c r="W263" s="158"/>
      <c r="X263" s="158"/>
      <c r="Y263" s="158"/>
      <c r="Z263" s="158"/>
      <c r="AA263" s="158"/>
      <c r="AB263" s="158"/>
      <c r="AC263" s="158"/>
      <c r="AD263" s="158"/>
      <c r="AE263" s="158"/>
      <c r="AF263" s="158"/>
      <c r="AG263" s="158"/>
    </row>
    <row r="264" ht="15.75" hidden="1" customHeight="1">
      <c r="A264" s="124"/>
      <c r="B264" s="6"/>
      <c r="C264" s="124"/>
      <c r="D264" s="185"/>
      <c r="E264" s="260"/>
      <c r="F264" s="187"/>
      <c r="G264" s="187"/>
      <c r="H264" s="195"/>
      <c r="I264" s="247"/>
      <c r="J264" s="248"/>
      <c r="K264" s="251"/>
      <c r="L264" s="164"/>
      <c r="M264" s="134"/>
      <c r="N264" s="135" t="str">
        <f>iferror(mround($P129*((VLOOKUP($J264,Sheet1!$D:$N,$G264+1,FALSE)-0.03)),2.5)," ")</f>
        <v> </v>
      </c>
      <c r="O264" s="135" t="str">
        <f>iferror(mround($P129*((VLOOKUP($J264,Sheet1!$D:$N,$G264+1,FALSE)+0.02)),2.5)," ")</f>
        <v> </v>
      </c>
      <c r="P264" s="112" t="str">
        <f>iferror(mround(I264/VLOOKUP(L264,Sheet1!$D$7:$N$16,G264+1,FALSE),2.5),"")</f>
        <v/>
      </c>
      <c r="Q264" s="303" t="str">
        <f t="shared" si="5"/>
        <v/>
      </c>
      <c r="S264" s="11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</row>
    <row r="265" ht="3.75" hidden="1" customHeight="1">
      <c r="A265" s="124"/>
      <c r="B265" s="6"/>
      <c r="C265" s="124"/>
      <c r="D265" s="263"/>
      <c r="E265" s="252"/>
      <c r="F265" s="102"/>
      <c r="G265" s="102"/>
      <c r="H265" s="102"/>
      <c r="I265" s="102"/>
      <c r="J265" s="156"/>
      <c r="K265" s="249"/>
      <c r="L265" s="210"/>
      <c r="M265" s="144"/>
      <c r="N265" s="145" t="str">
        <f>iferror(mround($P130*((VLOOKUP($J265,Sheet1!$D:$N,$G265+1,FALSE)-0.03)),2.5)," ")</f>
        <v> </v>
      </c>
      <c r="O265" s="145" t="str">
        <f>iferror(mround($P130*((VLOOKUP($J265,Sheet1!$D:$N,$G265+1,FALSE)+0.02)),2.5)," ")</f>
        <v> </v>
      </c>
      <c r="P265" s="122"/>
      <c r="Q265" s="304" t="str">
        <f t="shared" si="5"/>
        <v/>
      </c>
      <c r="S265" s="11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</row>
    <row r="266" ht="14.25" hidden="1" customHeight="1">
      <c r="A266" s="90"/>
      <c r="B266" s="6"/>
      <c r="C266" s="90"/>
      <c r="D266" s="185"/>
      <c r="E266" s="264"/>
      <c r="F266" s="187"/>
      <c r="G266" s="187"/>
      <c r="H266" s="195"/>
      <c r="I266" s="164"/>
      <c r="J266" s="248"/>
      <c r="K266" s="251"/>
      <c r="L266" s="164"/>
      <c r="M266" s="134" t="str">
        <f>I131</f>
        <v/>
      </c>
      <c r="N266" s="135" t="str">
        <f>iferror(mround($P131*((VLOOKUP($J266,Sheet1!$D:$N,$G266+1,FALSE)-0.03)),2.5)," ")</f>
        <v> </v>
      </c>
      <c r="O266" s="135" t="str">
        <f>iferror(mround($P131*((VLOOKUP($J266,Sheet1!$D:$N,$G266+1,FALSE)+0.02)),2.5)," ")</f>
        <v> </v>
      </c>
      <c r="P266" s="112" t="str">
        <f>iferror(mround(I266/VLOOKUP(L266,Sheet1!$D$7:$N$16,G266+1,FALSE),2.5),"")</f>
        <v/>
      </c>
      <c r="Q266" s="303" t="str">
        <f t="shared" si="5"/>
        <v/>
      </c>
      <c r="S266" s="11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</row>
    <row r="267" ht="3.75" hidden="1" customHeight="1">
      <c r="A267" s="261"/>
      <c r="B267" s="6"/>
      <c r="C267" s="262"/>
      <c r="D267" s="263"/>
      <c r="E267" s="263"/>
      <c r="F267" s="194"/>
      <c r="G267" s="194"/>
      <c r="H267" s="155"/>
      <c r="I267" s="210"/>
      <c r="J267" s="265"/>
      <c r="K267" s="249"/>
      <c r="L267" s="210"/>
      <c r="M267" s="144"/>
      <c r="N267" s="145"/>
      <c r="O267" s="145"/>
      <c r="P267" s="122"/>
      <c r="Q267" s="304" t="str">
        <f t="shared" si="5"/>
        <v/>
      </c>
      <c r="S267" s="157"/>
      <c r="T267" s="5"/>
      <c r="U267" s="5"/>
      <c r="V267" s="158"/>
      <c r="W267" s="158"/>
      <c r="X267" s="158"/>
      <c r="Y267" s="158"/>
      <c r="Z267" s="158"/>
      <c r="AA267" s="158"/>
      <c r="AB267" s="158"/>
      <c r="AC267" s="158"/>
      <c r="AD267" s="158"/>
      <c r="AE267" s="158"/>
      <c r="AF267" s="158"/>
      <c r="AG267" s="158"/>
    </row>
    <row r="268" ht="15.75" hidden="1" customHeight="1">
      <c r="A268" s="90"/>
      <c r="B268" s="6"/>
      <c r="C268" s="90"/>
      <c r="D268" s="185"/>
      <c r="E268" s="266"/>
      <c r="F268" s="187"/>
      <c r="G268" s="187"/>
      <c r="H268" s="195"/>
      <c r="I268" s="164"/>
      <c r="J268" s="248"/>
      <c r="K268" s="251"/>
      <c r="L268" s="164"/>
      <c r="M268" s="134"/>
      <c r="N268" s="135" t="str">
        <f>iferror(mround($P133*((VLOOKUP($J268,Sheet1!$D:$N,$G268+1,FALSE)-0.03)),2.5)," ")</f>
        <v> </v>
      </c>
      <c r="O268" s="135" t="str">
        <f>iferror(mround($P133*((VLOOKUP($J268,Sheet1!$D:$N,$G268+1,FALSE)+0.02)),2.5)," ")</f>
        <v> </v>
      </c>
      <c r="P268" s="112" t="str">
        <f>iferror(mround(I268/VLOOKUP(L268,Sheet1!$D$7:$N$16,G268+1,FALSE),2.5),"")</f>
        <v/>
      </c>
      <c r="Q268" s="303" t="str">
        <f t="shared" si="5"/>
        <v/>
      </c>
      <c r="S268" s="11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</row>
    <row r="269" ht="3.75" hidden="1" customHeight="1">
      <c r="A269" s="90"/>
      <c r="B269" s="6"/>
      <c r="C269" s="90"/>
      <c r="D269" s="138"/>
      <c r="E269" s="252"/>
      <c r="F269" s="102"/>
      <c r="G269" s="102"/>
      <c r="H269" s="102"/>
      <c r="I269" s="102"/>
      <c r="J269" s="156"/>
      <c r="K269" s="249"/>
      <c r="L269" s="210"/>
      <c r="M269" s="144"/>
      <c r="N269" s="145" t="str">
        <f>iferror(mround($P134*((VLOOKUP($J269,Sheet1!$D:$N,$G269+1,FALSE)-0.03)),2.5)," ")</f>
        <v> </v>
      </c>
      <c r="O269" s="145" t="str">
        <f>iferror(mround($P134*((VLOOKUP($J269,Sheet1!$D:$N,$G269+1,FALSE)+0.02)),2.5)," ")</f>
        <v> </v>
      </c>
      <c r="P269" s="122"/>
      <c r="Q269" s="304" t="str">
        <f t="shared" si="5"/>
        <v/>
      </c>
      <c r="S269" s="11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</row>
    <row r="270" ht="15.75" hidden="1" customHeight="1">
      <c r="A270" s="90"/>
      <c r="B270" s="6"/>
      <c r="C270" s="90"/>
      <c r="D270" s="185"/>
      <c r="E270" s="264"/>
      <c r="F270" s="187"/>
      <c r="G270" s="187"/>
      <c r="H270" s="195"/>
      <c r="I270" s="164"/>
      <c r="J270" s="248"/>
      <c r="K270" s="251"/>
      <c r="L270" s="164"/>
      <c r="M270" s="134" t="str">
        <f>I135</f>
        <v/>
      </c>
      <c r="N270" s="135" t="str">
        <f>iferror(mround($P135*((VLOOKUP($J270,Sheet1!$D:$N,$G270+1,FALSE)-0.03)),2.5)," ")</f>
        <v> </v>
      </c>
      <c r="O270" s="135" t="str">
        <f>iferror(mround($P135*((VLOOKUP($J270,Sheet1!$D:$N,$G270+1,FALSE)+0.02)),2.5)," ")</f>
        <v> </v>
      </c>
      <c r="P270" s="112" t="str">
        <f>iferror(mround(I270/VLOOKUP(L270,Sheet1!$D$7:$N$16,G270+1,FALSE),2.5),"")</f>
        <v/>
      </c>
      <c r="Q270" s="303" t="str">
        <f t="shared" si="5"/>
        <v/>
      </c>
      <c r="S270" s="11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</row>
    <row r="271" ht="3.75" hidden="1" customHeight="1">
      <c r="A271" s="191"/>
      <c r="B271" s="6"/>
      <c r="C271" s="192"/>
      <c r="D271" s="138"/>
      <c r="E271" s="252"/>
      <c r="F271" s="102"/>
      <c r="G271" s="102"/>
      <c r="H271" s="102"/>
      <c r="I271" s="102"/>
      <c r="J271" s="156"/>
      <c r="K271" s="249"/>
      <c r="L271" s="210"/>
      <c r="M271" s="144"/>
      <c r="N271" s="145"/>
      <c r="O271" s="145"/>
      <c r="P271" s="122"/>
      <c r="Q271" s="304" t="str">
        <f t="shared" si="5"/>
        <v/>
      </c>
      <c r="S271" s="157"/>
      <c r="T271" s="5"/>
      <c r="U271" s="5"/>
      <c r="V271" s="158"/>
      <c r="W271" s="158"/>
      <c r="X271" s="158"/>
      <c r="Y271" s="158"/>
      <c r="Z271" s="158"/>
      <c r="AA271" s="158"/>
      <c r="AB271" s="158"/>
      <c r="AC271" s="158"/>
      <c r="AD271" s="158"/>
      <c r="AE271" s="158"/>
      <c r="AF271" s="158"/>
      <c r="AG271" s="158"/>
    </row>
    <row r="272" ht="15.75" hidden="1" customHeight="1">
      <c r="A272" s="90"/>
      <c r="B272" s="6"/>
      <c r="C272" s="90"/>
      <c r="D272" s="185"/>
      <c r="E272" s="260"/>
      <c r="F272" s="187"/>
      <c r="G272" s="187"/>
      <c r="H272" s="195"/>
      <c r="I272" s="164"/>
      <c r="J272" s="248"/>
      <c r="K272" s="251"/>
      <c r="L272" s="164"/>
      <c r="M272" s="134" t="str">
        <f>I137</f>
        <v/>
      </c>
      <c r="N272" s="135" t="str">
        <f>iferror(mround($P137*((VLOOKUP($J272,Sheet1!$D:$N,$G272+1,FALSE)-0.03)),2.5)," ")</f>
        <v> </v>
      </c>
      <c r="O272" s="135" t="str">
        <f>iferror(mround($P137*((VLOOKUP($J272,Sheet1!$D:$N,$G272+1,FALSE)+0.02)),2.5)," ")</f>
        <v> </v>
      </c>
      <c r="P272" s="112" t="str">
        <f>iferror(mround(I272/VLOOKUP(L272,Sheet1!$D$7:$N$16,G272+1,FALSE),2.5),"")</f>
        <v/>
      </c>
      <c r="Q272" s="303" t="str">
        <f t="shared" si="5"/>
        <v/>
      </c>
      <c r="S272" s="11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</row>
    <row r="273" ht="3.75" hidden="1" customHeight="1">
      <c r="A273" s="90"/>
      <c r="B273" s="6"/>
      <c r="C273" s="90"/>
      <c r="D273" s="263"/>
      <c r="E273" s="252"/>
      <c r="F273" s="102"/>
      <c r="G273" s="102"/>
      <c r="H273" s="102"/>
      <c r="I273" s="102"/>
      <c r="J273" s="156"/>
      <c r="K273" s="249"/>
      <c r="L273" s="210"/>
      <c r="M273" s="144"/>
      <c r="N273" s="145"/>
      <c r="O273" s="145"/>
      <c r="P273" s="122"/>
      <c r="Q273" s="304" t="str">
        <f t="shared" si="5"/>
        <v/>
      </c>
      <c r="S273" s="11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</row>
    <row r="274" ht="15.75" hidden="1" customHeight="1">
      <c r="A274" s="90"/>
      <c r="B274" s="6"/>
      <c r="C274" s="90"/>
      <c r="D274" s="185"/>
      <c r="E274" s="266"/>
      <c r="F274" s="187"/>
      <c r="G274" s="187"/>
      <c r="H274" s="195"/>
      <c r="I274" s="164"/>
      <c r="J274" s="248"/>
      <c r="K274" s="251"/>
      <c r="L274" s="164"/>
      <c r="M274" s="134" t="str">
        <f>I139</f>
        <v/>
      </c>
      <c r="N274" s="135" t="str">
        <f>iferror(mround($P139*((VLOOKUP($J274,Sheet1!$D:$N,$G274+1,FALSE)-0.03)),2.5)," ")</f>
        <v> </v>
      </c>
      <c r="O274" s="135" t="str">
        <f>iferror(mround($P139*((VLOOKUP($J274,Sheet1!$D:$N,$G274+1,FALSE)+0.02)),2.5)," ")</f>
        <v> </v>
      </c>
      <c r="P274" s="112" t="str">
        <f>iferror(mround(I274/VLOOKUP(L274,Sheet1!$D$7:$N$16,G274+1,FALSE),2.5),"")</f>
        <v/>
      </c>
      <c r="Q274" s="303" t="str">
        <f t="shared" si="5"/>
        <v/>
      </c>
      <c r="S274" s="11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</row>
    <row r="275" ht="3.75" customHeight="1">
      <c r="A275" s="191"/>
      <c r="B275" s="6"/>
      <c r="C275" s="192"/>
      <c r="D275" s="192"/>
      <c r="E275" s="267"/>
      <c r="F275" s="194"/>
      <c r="G275" s="194"/>
      <c r="H275" s="155"/>
      <c r="I275" s="210"/>
      <c r="J275" s="268"/>
      <c r="K275" s="249"/>
      <c r="L275" s="269"/>
      <c r="M275" s="270"/>
      <c r="N275" s="269"/>
      <c r="O275" s="269"/>
      <c r="P275" s="271"/>
      <c r="Q275" s="272"/>
      <c r="R275" s="273"/>
      <c r="S275" s="157"/>
      <c r="T275" s="5"/>
      <c r="U275" s="5"/>
      <c r="V275" s="158"/>
      <c r="W275" s="158"/>
      <c r="X275" s="158"/>
      <c r="Y275" s="158"/>
      <c r="Z275" s="158"/>
      <c r="AA275" s="158"/>
      <c r="AB275" s="158"/>
      <c r="AC275" s="158"/>
      <c r="AD275" s="158"/>
      <c r="AE275" s="158"/>
      <c r="AF275" s="158"/>
      <c r="AG275" s="158"/>
    </row>
    <row r="276" ht="14.25" customHeight="1">
      <c r="A276" s="5"/>
      <c r="B276" s="6"/>
      <c r="C276" s="5"/>
      <c r="D276" s="274"/>
      <c r="E276" s="266"/>
      <c r="F276" s="187"/>
      <c r="G276" s="187"/>
      <c r="H276" s="195"/>
      <c r="I276" s="129"/>
      <c r="J276" s="275"/>
      <c r="K276" s="276"/>
      <c r="L276" s="187"/>
      <c r="M276" s="187"/>
      <c r="N276" s="187"/>
      <c r="O276" s="187"/>
      <c r="P276" s="277"/>
      <c r="Q276" s="278"/>
      <c r="R276" s="279"/>
      <c r="S276" s="11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</row>
    <row r="277" ht="14.25" customHeight="1">
      <c r="A277" s="5"/>
      <c r="B277" s="6"/>
      <c r="C277" s="5"/>
      <c r="D277" s="274" t="s">
        <v>59</v>
      </c>
      <c r="E277" s="266" t="s">
        <v>16</v>
      </c>
      <c r="F277" s="187" t="s">
        <v>17</v>
      </c>
      <c r="G277" s="187" t="s">
        <v>60</v>
      </c>
      <c r="H277" s="187"/>
      <c r="I277" s="280" t="s">
        <v>61</v>
      </c>
      <c r="J277" s="266" t="s">
        <v>62</v>
      </c>
      <c r="K277" s="274"/>
      <c r="L277" s="187"/>
      <c r="M277" s="285"/>
      <c r="N277" s="285"/>
      <c r="O277" s="285"/>
      <c r="P277" s="282"/>
      <c r="Q277" s="278"/>
      <c r="R277" s="157"/>
      <c r="S277" s="11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</row>
    <row r="278" ht="14.25" customHeight="1">
      <c r="A278" s="5"/>
      <c r="B278" s="6"/>
      <c r="C278" s="5"/>
      <c r="D278" s="274" t="s">
        <v>6</v>
      </c>
      <c r="E278" s="283">
        <f>IFERROR(__xludf.DUMMYFUNCTION("SUM(FILTER(F153:F277, ISNUMBER(SEARCH(""squat"", D153:D277))))"),8.0)</f>
        <v>8</v>
      </c>
      <c r="F278" s="284">
        <f>IFERROR(__xludf.DUMMYFUNCTION("SUMPRODUCT(FILTER(F153:F277 * G153:G277, ISNUMBER(SEARCH(""squat"", D153:D277))))"),43.0)</f>
        <v>43</v>
      </c>
      <c r="G278" s="135">
        <f>IFERROR(__xludf.DUMMYFUNCTION("ROUND(SUMPRODUCT(FILTER(F153:F277 * G153:G277 * I153:I277, ISNUMBER(SEARCH(""squat"", D153:D277)))), 0)"),15995.0)</f>
        <v>15995</v>
      </c>
      <c r="H278" s="285"/>
      <c r="I278" s="135">
        <f>IFERROR(__xludf.DUMMYFUNCTION("ROUND(AVERAGE(FILTER(I153:I277, ISNUMBER(SEARCH(""squat"", D153:D277)), I153:I277 &lt;&gt; """")) / J278 * 100, 0)"),73.0)</f>
        <v>73</v>
      </c>
      <c r="J278" s="283">
        <f>IFERROR(__xludf.DUMMYFUNCTION("IFERROR(MROUND(AVERAGE(FILTER(P153:P277, D153:D277 = ""comp squat"", P153:P277 &lt;&gt; """", P153:P277 &gt;= 0.9 * MAX(FILTER(P153:P277, D153:D277 = ""comp squat"", P153:P277 &lt;&gt; """")), P153:P277 &lt;= 1.1 * MAX(FILTER(P153:P277, D153:D277 = ""comp squat"", P153:P27"&amp;"7 &lt;&gt; """")))), 2.5), ""No valid data"")"),530.0)</f>
        <v>530</v>
      </c>
      <c r="K278" s="286"/>
      <c r="L278" s="287">
        <f>MROUND(J278/2.2046,2.5)-$O$10</f>
        <v>-2.5</v>
      </c>
      <c r="M278" s="305"/>
      <c r="N278" s="305"/>
      <c r="O278" s="305"/>
      <c r="P278" s="282"/>
      <c r="Q278" s="278"/>
      <c r="R278" s="291"/>
      <c r="S278" s="11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</row>
    <row r="279" ht="3.0" customHeight="1">
      <c r="A279" s="5"/>
      <c r="B279" s="6"/>
      <c r="C279" s="5"/>
      <c r="D279" s="90"/>
      <c r="E279" s="156"/>
      <c r="F279" s="102"/>
      <c r="G279" s="145"/>
      <c r="H279" s="102"/>
      <c r="I279" s="145"/>
      <c r="J279" s="156"/>
      <c r="K279" s="286"/>
      <c r="L279" s="292"/>
      <c r="M279" s="284"/>
      <c r="N279" s="284"/>
      <c r="O279" s="305"/>
      <c r="P279" s="282"/>
      <c r="Q279" s="278"/>
      <c r="R279" s="115"/>
      <c r="S279" s="11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</row>
    <row r="280" ht="15.75" customHeight="1">
      <c r="A280" s="5"/>
      <c r="B280" s="6"/>
      <c r="C280" s="5"/>
      <c r="D280" s="274" t="s">
        <v>66</v>
      </c>
      <c r="E280" s="293">
        <f>IFERROR(__xludf.DUMMYFUNCTION("SUM(FILTER(F153:F277, ISNUMBER(SEARCH(""bench press"", D153:D277))))"),15.0)</f>
        <v>15</v>
      </c>
      <c r="F280" s="284">
        <f>IFERROR(__xludf.DUMMYFUNCTION("SUMPRODUCT(FILTER(F154:F278 * G154:G278, ISNUMBER(SEARCH(""bench press"", D154:D278))))"),60.0)</f>
        <v>60</v>
      </c>
      <c r="G280" s="135">
        <f>IFERROR(__xludf.DUMMYFUNCTION("ROUND(SUMPRODUCT(FILTER(F153:F277 * G153:G277 * I153:I277, ISNUMBER(SEARCH(""bench press"", D153:D277)))), 0)"),14689.0)</f>
        <v>14689</v>
      </c>
      <c r="H280" s="285"/>
      <c r="I280" s="135">
        <f>IFERROR(__xludf.DUMMYFUNCTION("ROUND(AVERAGE(FILTER(I153:I277, ISNUMBER(SEARCH(""bench press"", D153:D277)), I153:I277 &lt;&gt; """")) / J280 * 100, 0)"),80.0)</f>
        <v>80</v>
      </c>
      <c r="J280" s="293">
        <f>IFERROR(__xludf.DUMMYFUNCTION("IFERROR(MROUND(AVERAGE(FILTER(P153:P277, D153:D277 = ""comp bench press"", P153:P277 &lt;&gt; """", P153:P277 &gt;= 0.9 * MAX(FILTER(P153:P277, D153:D277 = ""comp bench press"", P153:P277 &lt;&gt; """")), P153:P277 &lt;= 1.1 * MAX(FILTER(P153:P277, D153:D277 = ""comp bench"&amp;" press"", P153:P277 &lt;&gt; """")))), 2.5), ""No valid data"")"),320.0)</f>
        <v>320</v>
      </c>
      <c r="K280" s="286"/>
      <c r="L280" s="294">
        <f>MROUND(J280/2.2046,2.5)-$O$11</f>
        <v>-7.5</v>
      </c>
      <c r="M280" s="285"/>
      <c r="N280" s="285"/>
      <c r="O280" s="305"/>
      <c r="P280" s="282"/>
      <c r="Q280" s="278"/>
      <c r="R280" s="157"/>
      <c r="S280" s="11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</row>
    <row r="281" ht="3.0" customHeight="1">
      <c r="A281" s="5"/>
      <c r="B281" s="6"/>
      <c r="C281" s="5"/>
      <c r="D281" s="90"/>
      <c r="E281" s="156"/>
      <c r="F281" s="102"/>
      <c r="G281" s="145"/>
      <c r="H281" s="102"/>
      <c r="I281" s="145"/>
      <c r="J281" s="156"/>
      <c r="K281" s="286"/>
      <c r="L281" s="292"/>
      <c r="M281" s="285"/>
      <c r="N281" s="285"/>
      <c r="O281" s="284"/>
      <c r="P281" s="282"/>
      <c r="Q281" s="278"/>
      <c r="R281" s="157"/>
      <c r="S281" s="11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</row>
    <row r="282" ht="14.25" customHeight="1">
      <c r="A282" s="5"/>
      <c r="B282" s="6"/>
      <c r="C282" s="5"/>
      <c r="D282" s="274" t="s">
        <v>10</v>
      </c>
      <c r="E282" s="293">
        <f>IFERROR(__xludf.DUMMYFUNCTION("SUM(FILTER(F153:F277, ISNUMBER(SEARCH(""deadlift"", D153:D277))))"),7.0)</f>
        <v>7</v>
      </c>
      <c r="F282" s="284">
        <f>IFERROR(__xludf.DUMMYFUNCTION("SUMPRODUCT(FILTER(F153:F277 * G153:G277, ISNUMBER(SEARCH(""deadlift"", D153:D277))))"),25.0)</f>
        <v>25</v>
      </c>
      <c r="G282" s="135">
        <f>IFERROR(__xludf.DUMMYFUNCTION("ROUND(SUMPRODUCT(FILTER(F153:F277 * G153:G277 * I153:I277, ISNUMBER(SEARCH(""deadlift"", D153:D277)))), 0)"),10965.0)</f>
        <v>10965</v>
      </c>
      <c r="H282" s="285"/>
      <c r="I282" s="135">
        <f>IFERROR(__xludf.DUMMYFUNCTION("ROUND(AVERAGE(FILTER(I153:I277, ISNUMBER(SEARCH(""deadlift"", D153:D277)), I153:I277 &lt;&gt; """")) / J282 * 100, 0)"),79.0)</f>
        <v>79</v>
      </c>
      <c r="J282" s="293">
        <f>IFERROR(__xludf.DUMMYFUNCTION("IFERROR(MROUND(AVERAGE(FILTER(P153:P277, D153:D277 = ""comp deadlift"", P153:P277 &lt;&gt; """", P153:P277 &gt;= 0.9 * MAX(FILTER(P153:P277, D153:D277 = ""comp deadlift"", P153:P277 &lt;&gt; """")), P153:P277 &lt;= 1.1 * MAX(FILTER(P153:P277, D153:D277 = ""comp deadlift"","&amp;" P153:P277 &lt;&gt; """")))), 2.5), ""No valid data"")"),565.0)</f>
        <v>565</v>
      </c>
      <c r="K282" s="286"/>
      <c r="L282" s="294">
        <f>MROUND(J282/2.2046,2.5)-$O$12</f>
        <v>-7.5</v>
      </c>
      <c r="M282" s="285"/>
      <c r="N282" s="285"/>
      <c r="O282" s="285"/>
      <c r="P282" s="282"/>
      <c r="Q282" s="278"/>
      <c r="R282" s="157"/>
      <c r="S282" s="11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</row>
    <row r="283" ht="14.25" customHeight="1">
      <c r="A283" s="5"/>
      <c r="B283" s="6"/>
      <c r="C283" s="5"/>
      <c r="D283" s="274"/>
      <c r="E283" s="266"/>
      <c r="F283" s="187"/>
      <c r="G283" s="187"/>
      <c r="H283" s="187"/>
      <c r="I283" s="187"/>
      <c r="J283" s="295"/>
      <c r="K283" s="274"/>
      <c r="L283" s="187"/>
      <c r="M283" s="285"/>
      <c r="N283" s="285"/>
      <c r="O283" s="285"/>
      <c r="P283" s="282"/>
      <c r="Q283" s="278"/>
      <c r="R283" s="157"/>
      <c r="S283" s="11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</row>
    <row r="284" ht="14.25" customHeight="1">
      <c r="A284" s="5"/>
      <c r="B284" s="2"/>
      <c r="C284" s="5"/>
      <c r="D284" s="5"/>
      <c r="E284" s="75"/>
      <c r="F284" s="3"/>
      <c r="G284" s="3"/>
      <c r="H284" s="3"/>
      <c r="I284" s="3"/>
      <c r="J284" s="75"/>
      <c r="K284" s="5"/>
      <c r="L284" s="3"/>
      <c r="M284" s="47"/>
      <c r="N284" s="3"/>
      <c r="O284" s="3"/>
      <c r="P284" s="3"/>
      <c r="Q284" s="4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</row>
    <row r="285" ht="18.75" customHeight="1">
      <c r="A285" s="90"/>
      <c r="B285" s="6"/>
      <c r="C285" s="91"/>
      <c r="D285" s="79" t="s">
        <v>72</v>
      </c>
      <c r="E285" s="80" t="s">
        <v>13</v>
      </c>
      <c r="G285" s="81"/>
      <c r="H285" s="81"/>
      <c r="I285" s="81"/>
      <c r="J285" s="82"/>
      <c r="K285" s="83"/>
      <c r="L285" s="83"/>
      <c r="M285" s="93"/>
      <c r="N285" s="93"/>
      <c r="O285" s="93"/>
      <c r="P285" s="296"/>
      <c r="Q285" s="297"/>
      <c r="R285" s="298"/>
      <c r="S285" s="10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</row>
    <row r="286" ht="18.75" customHeight="1">
      <c r="A286" s="90"/>
      <c r="B286" s="6"/>
      <c r="C286" s="91"/>
      <c r="D286" s="299">
        <f>D151+1</f>
        <v>3</v>
      </c>
      <c r="E286" s="300" t="str">
        <f>IF(E151 = "", "", E151 - 1)</f>
        <v/>
      </c>
      <c r="G286" s="301"/>
      <c r="H286" s="301"/>
      <c r="I286" s="301"/>
      <c r="J286" s="92"/>
      <c r="K286" s="93"/>
      <c r="L286" s="93"/>
      <c r="M286" s="93"/>
      <c r="N286" s="93"/>
      <c r="O286" s="93"/>
      <c r="P286" s="94"/>
      <c r="Q286" s="95"/>
      <c r="R286" s="96"/>
      <c r="S286" s="10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</row>
    <row r="287" ht="5.25" customHeight="1">
      <c r="A287" s="90"/>
      <c r="B287" s="6"/>
      <c r="C287" s="90"/>
      <c r="D287" s="97"/>
      <c r="E287" s="98"/>
      <c r="F287" s="99"/>
      <c r="G287" s="99"/>
      <c r="H287" s="99"/>
      <c r="I287" s="100"/>
      <c r="J287" s="101"/>
      <c r="K287" s="90"/>
      <c r="L287" s="102"/>
      <c r="M287" s="102"/>
      <c r="N287" s="102"/>
      <c r="O287" s="102"/>
      <c r="P287" s="103"/>
      <c r="Q287" s="4"/>
      <c r="R287" s="90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</row>
    <row r="288" ht="30.75" customHeight="1">
      <c r="A288" s="90"/>
      <c r="B288" s="6"/>
      <c r="C288" s="90"/>
      <c r="D288" s="202" t="s">
        <v>73</v>
      </c>
      <c r="E288" s="105" t="s">
        <v>75</v>
      </c>
      <c r="F288" s="106" t="s">
        <v>16</v>
      </c>
      <c r="G288" s="106" t="s">
        <v>17</v>
      </c>
      <c r="H288" s="107"/>
      <c r="I288" s="106" t="s">
        <v>18</v>
      </c>
      <c r="J288" s="108" t="s">
        <v>19</v>
      </c>
      <c r="L288" s="109" t="s">
        <v>20</v>
      </c>
      <c r="M288" s="110" t="s">
        <v>21</v>
      </c>
      <c r="N288" s="111" t="s">
        <v>22</v>
      </c>
      <c r="P288" s="112"/>
      <c r="Q288" s="113" t="s">
        <v>23</v>
      </c>
      <c r="R288" s="114" t="s">
        <v>24</v>
      </c>
      <c r="S288" s="11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</row>
    <row r="289" ht="14.25" customHeight="1">
      <c r="A289" s="90"/>
      <c r="B289" s="6"/>
      <c r="C289" s="90"/>
      <c r="D289" s="116">
        <v>4.0</v>
      </c>
      <c r="E289" s="117">
        <v>2.0</v>
      </c>
      <c r="H289" s="107"/>
      <c r="N289" s="111" t="s">
        <v>27</v>
      </c>
      <c r="O289" s="111" t="s">
        <v>28</v>
      </c>
      <c r="P289" s="112" t="s">
        <v>29</v>
      </c>
      <c r="R289" s="118" t="s">
        <v>30</v>
      </c>
      <c r="S289" s="11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</row>
    <row r="290" ht="3.75" customHeight="1">
      <c r="A290" s="90"/>
      <c r="B290" s="6"/>
      <c r="C290" s="90"/>
      <c r="D290" s="97"/>
      <c r="E290" s="98"/>
      <c r="F290" s="99"/>
      <c r="G290" s="99"/>
      <c r="H290" s="99"/>
      <c r="I290" s="100"/>
      <c r="J290" s="302"/>
      <c r="K290" s="90"/>
      <c r="L290" s="102"/>
      <c r="M290" s="121"/>
      <c r="N290" s="102"/>
      <c r="O290" s="102"/>
      <c r="P290" s="122"/>
      <c r="Q290" s="4"/>
      <c r="R290" s="123"/>
      <c r="S290" s="11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</row>
    <row r="291" ht="15.75" customHeight="1">
      <c r="A291" s="124"/>
      <c r="B291" s="6"/>
      <c r="C291" s="124"/>
      <c r="D291" s="125" t="s">
        <v>77</v>
      </c>
      <c r="E291" s="126"/>
      <c r="F291" s="127">
        <v>1.0</v>
      </c>
      <c r="G291" s="240">
        <v>6.0</v>
      </c>
      <c r="H291" s="129"/>
      <c r="I291" s="130">
        <v>380.0</v>
      </c>
      <c r="J291" s="151">
        <v>5.0</v>
      </c>
      <c r="K291" s="132"/>
      <c r="L291" s="133">
        <v>5.0</v>
      </c>
      <c r="M291" s="134">
        <f>I156</f>
        <v>374</v>
      </c>
      <c r="N291" s="135">
        <f>iferror(mround($P156*((VLOOKUP($J291,Sheet1!$D:$N,$G291+1,FALSE)-0.03)),2.5)," ")</f>
        <v>0</v>
      </c>
      <c r="O291" s="135">
        <f>iferror(mround($P156*((VLOOKUP($J291,Sheet1!$D:$N,$G291+1,FALSE)+0.02)),2.5)," ")</f>
        <v>0</v>
      </c>
      <c r="P291" s="56" t="str">
        <f>iferror(mround(I291/VLOOKUP(L291,Sheet1!$D$7:$N$16,G291+1,FALSE),2.5),"")</f>
        <v/>
      </c>
      <c r="Q291" s="303">
        <f t="shared" ref="Q291:Q312" si="6">IF(OR(ISBLANK(I291), ISBLANK(I156)), "", IF(I291 - I156 = 0, "", I291 - I156))</f>
        <v>6</v>
      </c>
      <c r="S291" s="11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</row>
    <row r="292" ht="3.75" customHeight="1">
      <c r="A292" s="137"/>
      <c r="B292" s="70"/>
      <c r="C292" s="137"/>
      <c r="D292" s="138"/>
      <c r="E292" s="139"/>
      <c r="F292" s="140"/>
      <c r="G292" s="140"/>
      <c r="H292" s="140"/>
      <c r="I292" s="140"/>
      <c r="J292" s="141"/>
      <c r="K292" s="142"/>
      <c r="L292" s="143"/>
      <c r="M292" s="144"/>
      <c r="N292" s="145"/>
      <c r="O292" s="145"/>
      <c r="P292" s="122"/>
      <c r="Q292" s="304" t="str">
        <f t="shared" si="6"/>
        <v/>
      </c>
      <c r="S292" s="147"/>
      <c r="T292" s="148"/>
      <c r="U292" s="148"/>
      <c r="V292" s="148"/>
      <c r="W292" s="148"/>
      <c r="X292" s="148"/>
      <c r="Y292" s="148"/>
      <c r="Z292" s="148"/>
      <c r="AA292" s="148"/>
      <c r="AB292" s="148"/>
      <c r="AC292" s="148"/>
      <c r="AD292" s="148"/>
      <c r="AE292" s="148"/>
      <c r="AF292" s="148"/>
      <c r="AG292" s="148"/>
    </row>
    <row r="293" ht="15.75" customHeight="1">
      <c r="A293" s="149"/>
      <c r="B293" s="150"/>
      <c r="C293" s="149"/>
      <c r="D293" s="125" t="s">
        <v>77</v>
      </c>
      <c r="E293" s="126"/>
      <c r="F293" s="127">
        <v>1.0</v>
      </c>
      <c r="G293" s="240">
        <v>6.0</v>
      </c>
      <c r="H293" s="129"/>
      <c r="I293" s="130">
        <v>419.0</v>
      </c>
      <c r="J293" s="151">
        <v>7.0</v>
      </c>
      <c r="K293" s="132"/>
      <c r="L293" s="133">
        <v>6.5</v>
      </c>
      <c r="M293" s="134">
        <f>I158</f>
        <v>408</v>
      </c>
      <c r="N293" s="135">
        <f>iferror(mround($P158*((VLOOKUP($J293,Sheet1!$D:$N,$G293+1,FALSE)-0.03)),2.5)," ")</f>
        <v>392.5</v>
      </c>
      <c r="O293" s="135">
        <f>iferror(mround($P158*((VLOOKUP($J293,Sheet1!$D:$N,$G293+1,FALSE)+0.02)),2.5)," ")</f>
        <v>417.5</v>
      </c>
      <c r="P293" s="56">
        <f>iferror(mround(I293/VLOOKUP(L293,Sheet1!$D$7:$N$16,G293+1,FALSE),2.5),"")</f>
        <v>557.5</v>
      </c>
      <c r="Q293" s="303">
        <f t="shared" si="6"/>
        <v>11</v>
      </c>
      <c r="S293" s="11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</row>
    <row r="294" ht="3.75" customHeight="1">
      <c r="A294" s="152"/>
      <c r="B294" s="150"/>
      <c r="C294" s="153"/>
      <c r="D294" s="138"/>
      <c r="E294" s="154"/>
      <c r="F294" s="155"/>
      <c r="G294" s="102"/>
      <c r="H294" s="102"/>
      <c r="I294" s="102"/>
      <c r="J294" s="156"/>
      <c r="K294" s="142"/>
      <c r="L294" s="143"/>
      <c r="M294" s="144"/>
      <c r="N294" s="145"/>
      <c r="O294" s="145"/>
      <c r="P294" s="122"/>
      <c r="Q294" s="304" t="str">
        <f t="shared" si="6"/>
        <v/>
      </c>
      <c r="S294" s="157"/>
      <c r="T294" s="5"/>
      <c r="U294" s="5"/>
      <c r="V294" s="158"/>
      <c r="W294" s="158"/>
      <c r="X294" s="158"/>
      <c r="Y294" s="158"/>
      <c r="Z294" s="158"/>
      <c r="AA294" s="158"/>
      <c r="AB294" s="158"/>
      <c r="AC294" s="158"/>
      <c r="AD294" s="158"/>
      <c r="AE294" s="158"/>
      <c r="AF294" s="158"/>
      <c r="AG294" s="158"/>
    </row>
    <row r="295" ht="15.75" customHeight="1">
      <c r="A295" s="149"/>
      <c r="B295" s="150"/>
      <c r="C295" s="149"/>
      <c r="D295" s="125" t="s">
        <v>77</v>
      </c>
      <c r="E295" s="126"/>
      <c r="F295" s="127">
        <v>1.0</v>
      </c>
      <c r="G295" s="161">
        <v>6.0</v>
      </c>
      <c r="H295" s="129"/>
      <c r="I295" s="164">
        <f>MROUND(I293*(1+J295),5)</f>
        <v>375</v>
      </c>
      <c r="J295" s="165">
        <v>-0.1</v>
      </c>
      <c r="K295" s="132"/>
      <c r="L295" s="133">
        <v>6.0</v>
      </c>
      <c r="M295" s="134">
        <f>I160</f>
        <v>408</v>
      </c>
      <c r="N295" s="135" t="str">
        <f>iferror(mround($P160*((VLOOKUP($J295,Sheet1!$D:$N,$G295+1,FALSE)-0.03)),2.5)," ")</f>
        <v> </v>
      </c>
      <c r="O295" s="135" t="str">
        <f>iferror(mround($P160*((VLOOKUP($J295,Sheet1!$D:$N,$G295+1,FALSE)+0.02)),2.5)," ")</f>
        <v> </v>
      </c>
      <c r="P295" s="56">
        <f>iferror(mround(I295/VLOOKUP(L295,Sheet1!$D$7:$N$16,G295+1,FALSE),2.5),"")</f>
        <v>507.5</v>
      </c>
      <c r="Q295" s="303">
        <f t="shared" si="6"/>
        <v>-33</v>
      </c>
      <c r="S295" s="11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</row>
    <row r="296" ht="3.75" customHeight="1">
      <c r="A296" s="162"/>
      <c r="B296" s="163"/>
      <c r="C296" s="162"/>
      <c r="D296" s="138"/>
      <c r="E296" s="154"/>
      <c r="F296" s="155"/>
      <c r="G296" s="102"/>
      <c r="H296" s="102"/>
      <c r="I296" s="102"/>
      <c r="J296" s="156"/>
      <c r="K296" s="142"/>
      <c r="L296" s="143"/>
      <c r="M296" s="144"/>
      <c r="N296" s="145"/>
      <c r="O296" s="145"/>
      <c r="P296" s="122"/>
      <c r="Q296" s="304" t="str">
        <f t="shared" si="6"/>
        <v/>
      </c>
      <c r="S296" s="147"/>
      <c r="T296" s="148"/>
      <c r="U296" s="148"/>
      <c r="V296" s="148"/>
      <c r="W296" s="148"/>
      <c r="X296" s="148"/>
      <c r="Y296" s="148"/>
      <c r="Z296" s="148"/>
      <c r="AA296" s="148"/>
      <c r="AB296" s="148"/>
      <c r="AC296" s="148"/>
      <c r="AD296" s="148"/>
      <c r="AE296" s="148"/>
      <c r="AF296" s="148"/>
      <c r="AG296" s="148"/>
    </row>
    <row r="297" ht="15.75" customHeight="1">
      <c r="A297" s="149"/>
      <c r="B297" s="150"/>
      <c r="C297" s="149"/>
      <c r="D297" s="159" t="s">
        <v>33</v>
      </c>
      <c r="E297" s="160" t="s">
        <v>34</v>
      </c>
      <c r="F297" s="127">
        <v>1.0</v>
      </c>
      <c r="G297" s="161">
        <v>5.0</v>
      </c>
      <c r="H297" s="129"/>
      <c r="I297" s="130">
        <v>259.0</v>
      </c>
      <c r="J297" s="151">
        <v>7.0</v>
      </c>
      <c r="K297" s="132"/>
      <c r="L297" s="133">
        <v>7.0</v>
      </c>
      <c r="M297" s="134">
        <f>I162</f>
        <v>253</v>
      </c>
      <c r="N297" s="135">
        <f>iferror(mround($P162*((VLOOKUP($J297,Sheet1!$D:$N,$G297+1,FALSE)-0.03)),2.5)," ")</f>
        <v>242.5</v>
      </c>
      <c r="O297" s="135">
        <f>iferror(mround($P162*((VLOOKUP($J297,Sheet1!$D:$N,$G297+1,FALSE)+0.02)),2.5)," ")</f>
        <v>260</v>
      </c>
      <c r="P297" s="56">
        <f>iferror(mround(I297/VLOOKUP(L297,Sheet1!$D$7:$N$16,G297+1,FALSE),2.5),"")</f>
        <v>327.5</v>
      </c>
      <c r="Q297" s="303">
        <f t="shared" si="6"/>
        <v>6</v>
      </c>
      <c r="S297" s="11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</row>
    <row r="298" ht="3.75" customHeight="1">
      <c r="A298" s="162"/>
      <c r="B298" s="163"/>
      <c r="C298" s="162"/>
      <c r="D298" s="138"/>
      <c r="E298" s="139"/>
      <c r="F298" s="140"/>
      <c r="G298" s="140"/>
      <c r="H298" s="140"/>
      <c r="I298" s="140"/>
      <c r="J298" s="141"/>
      <c r="K298" s="142"/>
      <c r="L298" s="143"/>
      <c r="M298" s="144"/>
      <c r="N298" s="145"/>
      <c r="O298" s="145"/>
      <c r="P298" s="122"/>
      <c r="Q298" s="304" t="str">
        <f t="shared" si="6"/>
        <v/>
      </c>
      <c r="S298" s="147"/>
      <c r="T298" s="148"/>
      <c r="U298" s="148"/>
      <c r="V298" s="148"/>
      <c r="W298" s="148"/>
      <c r="X298" s="148"/>
      <c r="Y298" s="148"/>
      <c r="Z298" s="148"/>
      <c r="AA298" s="148"/>
      <c r="AB298" s="148"/>
      <c r="AC298" s="148"/>
      <c r="AD298" s="148"/>
      <c r="AE298" s="148"/>
      <c r="AF298" s="148"/>
      <c r="AG298" s="148"/>
    </row>
    <row r="299" ht="15.75" customHeight="1">
      <c r="A299" s="90"/>
      <c r="B299" s="6"/>
      <c r="C299" s="90"/>
      <c r="D299" s="159" t="s">
        <v>33</v>
      </c>
      <c r="E299" s="160" t="s">
        <v>34</v>
      </c>
      <c r="F299" s="127">
        <v>2.0</v>
      </c>
      <c r="G299" s="161">
        <v>5.0</v>
      </c>
      <c r="H299" s="129"/>
      <c r="I299" s="164">
        <f>MROUND(I297*(1+J299),5)</f>
        <v>235</v>
      </c>
      <c r="J299" s="165">
        <v>-0.1</v>
      </c>
      <c r="K299" s="132"/>
      <c r="L299" s="133">
        <v>5.0</v>
      </c>
      <c r="M299" s="134">
        <f>I164</f>
        <v>230</v>
      </c>
      <c r="N299" s="135" t="str">
        <f>iferror(mround($P164*((VLOOKUP($J299,Sheet1!$D:$N,$G299+1,FALSE)-0.03)),2.5)," ")</f>
        <v> </v>
      </c>
      <c r="O299" s="135" t="str">
        <f>iferror(mround($P164*((VLOOKUP($J299,Sheet1!$D:$N,$G299+1,FALSE)+0.02)),2.5)," ")</f>
        <v> </v>
      </c>
      <c r="P299" s="56" t="str">
        <f>iferror(mround(I299/VLOOKUP(L299,Sheet1!$D$7:$N$16,G299+1,FALSE),2.5),"")</f>
        <v/>
      </c>
      <c r="Q299" s="303">
        <f t="shared" si="6"/>
        <v>5</v>
      </c>
      <c r="S299" s="11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</row>
    <row r="300" ht="3.75" customHeight="1">
      <c r="A300" s="168"/>
      <c r="B300" s="70"/>
      <c r="C300" s="168"/>
      <c r="D300" s="138"/>
      <c r="E300" s="139"/>
      <c r="F300" s="102"/>
      <c r="G300" s="102"/>
      <c r="H300" s="102"/>
      <c r="I300" s="102"/>
      <c r="J300" s="156"/>
      <c r="K300" s="142"/>
      <c r="L300" s="143"/>
      <c r="M300" s="144"/>
      <c r="N300" s="145"/>
      <c r="O300" s="145"/>
      <c r="P300" s="122"/>
      <c r="Q300" s="304" t="str">
        <f t="shared" si="6"/>
        <v/>
      </c>
      <c r="S300" s="147"/>
      <c r="T300" s="148"/>
      <c r="U300" s="148"/>
      <c r="V300" s="148"/>
      <c r="W300" s="148"/>
      <c r="X300" s="148"/>
      <c r="Y300" s="148"/>
      <c r="Z300" s="148"/>
      <c r="AA300" s="148"/>
      <c r="AB300" s="148"/>
      <c r="AC300" s="148"/>
      <c r="AD300" s="148"/>
      <c r="AE300" s="148"/>
      <c r="AF300" s="148"/>
      <c r="AG300" s="148"/>
    </row>
    <row r="301" ht="15.75" customHeight="1">
      <c r="A301" s="90"/>
      <c r="B301" s="6"/>
      <c r="C301" s="90"/>
      <c r="D301" s="166" t="s">
        <v>119</v>
      </c>
      <c r="E301" s="160"/>
      <c r="F301" s="127">
        <v>2.0</v>
      </c>
      <c r="G301" s="169">
        <v>45577.0</v>
      </c>
      <c r="H301" s="129"/>
      <c r="I301" s="130">
        <v>75.0</v>
      </c>
      <c r="J301" s="151">
        <v>8.0</v>
      </c>
      <c r="K301" s="132"/>
      <c r="L301" s="133">
        <v>8.0</v>
      </c>
      <c r="M301" s="134">
        <f>I166</f>
        <v>70</v>
      </c>
      <c r="N301" s="135" t="str">
        <f>iferror(mround($P166*((VLOOKUP($J301,Sheet1!$D:$N,$G301+1,FALSE)-0.03)),2.5)," ")</f>
        <v> </v>
      </c>
      <c r="O301" s="135" t="str">
        <f>iferror(mround($P166*((VLOOKUP($J301,Sheet1!$D:$N,$G301+1,FALSE)+0.02)),2.5)," ")</f>
        <v> </v>
      </c>
      <c r="P301" s="56" t="str">
        <f>iferror(mround(I301/VLOOKUP(L301,Sheet1!$D$7:$N$16,G301+1,FALSE),2.5),"")</f>
        <v/>
      </c>
      <c r="Q301" s="303">
        <f t="shared" si="6"/>
        <v>5</v>
      </c>
      <c r="S301" s="11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</row>
    <row r="302" ht="3.75" customHeight="1">
      <c r="A302" s="90"/>
      <c r="B302" s="6"/>
      <c r="C302" s="90"/>
      <c r="D302" s="171"/>
      <c r="E302" s="172"/>
      <c r="F302" s="173"/>
      <c r="G302" s="173"/>
      <c r="H302" s="173"/>
      <c r="I302" s="173"/>
      <c r="J302" s="174"/>
      <c r="K302" s="142"/>
      <c r="L302" s="143"/>
      <c r="M302" s="144"/>
      <c r="N302" s="145"/>
      <c r="O302" s="145"/>
      <c r="P302" s="122"/>
      <c r="Q302" s="304" t="str">
        <f t="shared" si="6"/>
        <v/>
      </c>
      <c r="S302" s="11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</row>
    <row r="303" ht="15.75" customHeight="1">
      <c r="A303" s="90"/>
      <c r="B303" s="6"/>
      <c r="C303" s="90"/>
      <c r="D303" s="166" t="s">
        <v>37</v>
      </c>
      <c r="E303" s="160" t="s">
        <v>81</v>
      </c>
      <c r="F303" s="127">
        <v>3.0</v>
      </c>
      <c r="G303" s="169">
        <v>45577.0</v>
      </c>
      <c r="H303" s="129"/>
      <c r="I303" s="130">
        <v>380.0</v>
      </c>
      <c r="J303" s="151">
        <v>8.0</v>
      </c>
      <c r="K303" s="132"/>
      <c r="L303" s="183"/>
      <c r="M303" s="134">
        <f>I168</f>
        <v>370</v>
      </c>
      <c r="N303" s="135" t="str">
        <f>iferror(mround($P168*((VLOOKUP($J303,Sheet1!$D:$N,$G303+1,FALSE)-0.03)),2.5)," ")</f>
        <v> </v>
      </c>
      <c r="O303" s="135" t="str">
        <f>iferror(mround($P168*((VLOOKUP($J303,Sheet1!$D:$N,$G303+1,FALSE)+0.02)),2.5)," ")</f>
        <v> </v>
      </c>
      <c r="P303" s="56" t="str">
        <f>iferror(mround(I303/VLOOKUP(L303,Sheet1!$D$7:$N$16,G303+1,FALSE),2.5),"")</f>
        <v/>
      </c>
      <c r="Q303" s="303">
        <f t="shared" si="6"/>
        <v>10</v>
      </c>
      <c r="S303" s="11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</row>
    <row r="304" ht="3.75" customHeight="1">
      <c r="A304" s="90"/>
      <c r="B304" s="6"/>
      <c r="C304" s="90"/>
      <c r="D304" s="171"/>
      <c r="E304" s="172"/>
      <c r="F304" s="173"/>
      <c r="G304" s="173"/>
      <c r="H304" s="173"/>
      <c r="I304" s="173"/>
      <c r="J304" s="174"/>
      <c r="K304" s="142"/>
      <c r="L304" s="143"/>
      <c r="M304" s="144"/>
      <c r="N304" s="145"/>
      <c r="O304" s="145"/>
      <c r="P304" s="122"/>
      <c r="Q304" s="304" t="str">
        <f t="shared" si="6"/>
        <v/>
      </c>
      <c r="S304" s="11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</row>
    <row r="305" ht="15.75" hidden="1" customHeight="1">
      <c r="A305" s="90"/>
      <c r="B305" s="6"/>
      <c r="C305" s="90"/>
      <c r="D305" s="175" t="s">
        <v>40</v>
      </c>
      <c r="E305" s="176"/>
      <c r="F305" s="177">
        <v>3.0</v>
      </c>
      <c r="G305" s="178" t="s">
        <v>41</v>
      </c>
      <c r="H305" s="179"/>
      <c r="I305" s="180"/>
      <c r="J305" s="181">
        <v>8.0</v>
      </c>
      <c r="K305" s="182"/>
      <c r="L305" s="183"/>
      <c r="M305" s="134" t="str">
        <f>I170</f>
        <v/>
      </c>
      <c r="N305" s="135" t="str">
        <f>iferror(mround($P170*((VLOOKUP($J305,Sheet1!$D:$N,$G305+1,FALSE)-0.03)),2.5)," ")</f>
        <v> </v>
      </c>
      <c r="O305" s="135" t="str">
        <f>iferror(mround($P170*((VLOOKUP($J305,Sheet1!$D:$N,$G305+1,FALSE)+0.02)),2.5)," ")</f>
        <v> </v>
      </c>
      <c r="P305" s="56" t="str">
        <f>iferror(mround(I305/VLOOKUP(L305,Sheet1!$D$7:$N$16,G305+1,FALSE),2.5),"")</f>
        <v/>
      </c>
      <c r="Q305" s="303" t="str">
        <f t="shared" si="6"/>
        <v/>
      </c>
      <c r="S305" s="11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</row>
    <row r="306" ht="3.75" hidden="1" customHeight="1">
      <c r="A306" s="90"/>
      <c r="B306" s="6"/>
      <c r="C306" s="90"/>
      <c r="D306" s="138"/>
      <c r="E306" s="184"/>
      <c r="F306" s="102"/>
      <c r="G306" s="102"/>
      <c r="H306" s="102"/>
      <c r="I306" s="102"/>
      <c r="J306" s="156"/>
      <c r="K306" s="103"/>
      <c r="L306" s="143"/>
      <c r="M306" s="144"/>
      <c r="N306" s="145"/>
      <c r="O306" s="145"/>
      <c r="P306" s="122"/>
      <c r="Q306" s="304" t="str">
        <f t="shared" si="6"/>
        <v/>
      </c>
      <c r="S306" s="11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</row>
    <row r="307" ht="15.75" hidden="1" customHeight="1">
      <c r="A307" s="90"/>
      <c r="B307" s="6"/>
      <c r="C307" s="90"/>
      <c r="D307" s="185"/>
      <c r="E307" s="186"/>
      <c r="F307" s="187"/>
      <c r="G307" s="188"/>
      <c r="H307" s="129"/>
      <c r="I307" s="164"/>
      <c r="J307" s="189"/>
      <c r="K307" s="190"/>
      <c r="L307" s="183"/>
      <c r="M307" s="134" t="str">
        <f>I172</f>
        <v/>
      </c>
      <c r="N307" s="135" t="str">
        <f>iferror(mround($P172*((VLOOKUP($J307,Sheet1!$D:$N,$G307+1,FALSE)-0.03)),2.5)," ")</f>
        <v> </v>
      </c>
      <c r="O307" s="135" t="str">
        <f>iferror(mround($P172*((VLOOKUP($J307,Sheet1!$D:$N,$G307+1,FALSE)+0.02)),2.5)," ")</f>
        <v> </v>
      </c>
      <c r="P307" s="56" t="str">
        <f>iferror(mround(I307/VLOOKUP(L307,Sheet1!$D$7:$N$16,G307+1,FALSE),2.5),"")</f>
        <v/>
      </c>
      <c r="Q307" s="303" t="str">
        <f t="shared" si="6"/>
        <v/>
      </c>
      <c r="S307" s="11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</row>
    <row r="308" ht="3.75" hidden="1" customHeight="1">
      <c r="A308" s="191"/>
      <c r="B308" s="6"/>
      <c r="C308" s="192"/>
      <c r="D308" s="138"/>
      <c r="E308" s="193"/>
      <c r="F308" s="194"/>
      <c r="G308" s="155"/>
      <c r="H308" s="102"/>
      <c r="I308" s="102"/>
      <c r="J308" s="156"/>
      <c r="K308" s="103"/>
      <c r="L308" s="143"/>
      <c r="M308" s="144"/>
      <c r="N308" s="145"/>
      <c r="O308" s="145"/>
      <c r="P308" s="122"/>
      <c r="Q308" s="304" t="str">
        <f t="shared" si="6"/>
        <v/>
      </c>
      <c r="S308" s="157"/>
      <c r="T308" s="5"/>
      <c r="U308" s="5"/>
      <c r="V308" s="158"/>
      <c r="W308" s="158"/>
      <c r="X308" s="158"/>
      <c r="Y308" s="158"/>
      <c r="Z308" s="158"/>
      <c r="AA308" s="158"/>
      <c r="AB308" s="158"/>
      <c r="AC308" s="158"/>
      <c r="AD308" s="158"/>
      <c r="AE308" s="158"/>
      <c r="AF308" s="158"/>
      <c r="AG308" s="158"/>
    </row>
    <row r="309" ht="15.75" hidden="1" customHeight="1">
      <c r="A309" s="90"/>
      <c r="B309" s="6"/>
      <c r="C309" s="90"/>
      <c r="D309" s="185"/>
      <c r="E309" s="186"/>
      <c r="F309" s="187"/>
      <c r="G309" s="195"/>
      <c r="H309" s="129"/>
      <c r="I309" s="164"/>
      <c r="J309" s="189"/>
      <c r="K309" s="190"/>
      <c r="L309" s="183"/>
      <c r="M309" s="134" t="str">
        <f>I174</f>
        <v/>
      </c>
      <c r="N309" s="135" t="str">
        <f>iferror(mround($P174*((VLOOKUP($J309,Sheet1!$D:$N,$G309+1,FALSE)-0.03)),2.5)," ")</f>
        <v> </v>
      </c>
      <c r="O309" s="135" t="str">
        <f>iferror(mround($P174*((VLOOKUP($J309,Sheet1!$D:$N,$G309+1,FALSE)+0.02)),2.5)," ")</f>
        <v> </v>
      </c>
      <c r="P309" s="56" t="str">
        <f>iferror(mround(I309/VLOOKUP(L309,Sheet1!$D$7:$N$16,G309+1,FALSE),2.5),"")</f>
        <v/>
      </c>
      <c r="Q309" s="303" t="str">
        <f t="shared" si="6"/>
        <v/>
      </c>
      <c r="S309" s="11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</row>
    <row r="310" ht="3.75" hidden="1" customHeight="1">
      <c r="A310" s="90"/>
      <c r="B310" s="6"/>
      <c r="C310" s="90"/>
      <c r="D310" s="196"/>
      <c r="E310" s="184"/>
      <c r="F310" s="102"/>
      <c r="G310" s="102"/>
      <c r="H310" s="102"/>
      <c r="I310" s="102"/>
      <c r="J310" s="156"/>
      <c r="K310" s="103"/>
      <c r="L310" s="143"/>
      <c r="M310" s="144"/>
      <c r="N310" s="145"/>
      <c r="O310" s="145"/>
      <c r="P310" s="122"/>
      <c r="Q310" s="304" t="str">
        <f t="shared" si="6"/>
        <v/>
      </c>
      <c r="S310" s="11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</row>
    <row r="311" ht="15.75" hidden="1" customHeight="1">
      <c r="A311" s="90"/>
      <c r="B311" s="6"/>
      <c r="C311" s="90"/>
      <c r="D311" s="197"/>
      <c r="E311" s="198"/>
      <c r="F311" s="199"/>
      <c r="G311" s="195"/>
      <c r="H311" s="129"/>
      <c r="I311" s="164"/>
      <c r="J311" s="189"/>
      <c r="K311" s="190"/>
      <c r="L311" s="183"/>
      <c r="M311" s="134" t="str">
        <f>I176</f>
        <v/>
      </c>
      <c r="N311" s="135" t="str">
        <f>iferror(mround($P176*((VLOOKUP($J311,Sheet1!$D:$N,$G311+1,FALSE)-0.03)),2.5)," ")</f>
        <v> </v>
      </c>
      <c r="O311" s="135" t="str">
        <f>iferror(mround($P176*((VLOOKUP($J311,Sheet1!$D:$N,$G311+1,FALSE)+0.02)),2.5)," ")</f>
        <v> </v>
      </c>
      <c r="P311" s="56" t="str">
        <f>iferror(mround(I311/VLOOKUP(L311,Sheet1!$D$7:$N$16,G311+1,FALSE),2.5),"")</f>
        <v/>
      </c>
      <c r="Q311" s="303" t="str">
        <f t="shared" si="6"/>
        <v/>
      </c>
      <c r="S311" s="11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</row>
    <row r="312" ht="3.75" customHeight="1">
      <c r="A312" s="90"/>
      <c r="B312" s="6"/>
      <c r="C312" s="90"/>
      <c r="D312" s="90"/>
      <c r="E312" s="156"/>
      <c r="F312" s="102"/>
      <c r="G312" s="102"/>
      <c r="H312" s="102"/>
      <c r="I312" s="102"/>
      <c r="J312" s="156"/>
      <c r="K312" s="200"/>
      <c r="L312" s="201"/>
      <c r="M312" s="144"/>
      <c r="N312" s="47"/>
      <c r="O312" s="47"/>
      <c r="P312" s="122"/>
      <c r="Q312" s="304" t="str">
        <f t="shared" si="6"/>
        <v/>
      </c>
      <c r="S312" s="11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</row>
    <row r="313" ht="30.0" customHeight="1">
      <c r="A313" s="90"/>
      <c r="B313" s="6"/>
      <c r="C313" s="90"/>
      <c r="D313" s="202" t="s">
        <v>42</v>
      </c>
      <c r="E313" s="105" t="s">
        <v>82</v>
      </c>
      <c r="F313" s="106" t="s">
        <v>16</v>
      </c>
      <c r="G313" s="106" t="s">
        <v>17</v>
      </c>
      <c r="H313" s="107"/>
      <c r="I313" s="106" t="s">
        <v>18</v>
      </c>
      <c r="J313" s="108" t="s">
        <v>19</v>
      </c>
      <c r="L313" s="109" t="s">
        <v>20</v>
      </c>
      <c r="M313" s="110" t="s">
        <v>21</v>
      </c>
      <c r="N313" s="111" t="s">
        <v>22</v>
      </c>
      <c r="P313" s="112"/>
      <c r="Q313" s="113" t="s">
        <v>23</v>
      </c>
      <c r="R313" s="114" t="s">
        <v>43</v>
      </c>
      <c r="S313" s="11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</row>
    <row r="314" ht="14.25" customHeight="1">
      <c r="A314" s="90"/>
      <c r="B314" s="6"/>
      <c r="C314" s="90"/>
      <c r="D314" s="116">
        <v>4.0</v>
      </c>
      <c r="E314" s="117">
        <v>2.0</v>
      </c>
      <c r="H314" s="107"/>
      <c r="N314" s="111" t="s">
        <v>27</v>
      </c>
      <c r="O314" s="111" t="s">
        <v>28</v>
      </c>
      <c r="P314" s="112" t="s">
        <v>29</v>
      </c>
      <c r="R314" s="118" t="s">
        <v>30</v>
      </c>
      <c r="S314" s="11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</row>
    <row r="315" ht="3.75" customHeight="1">
      <c r="A315" s="191"/>
      <c r="B315" s="6"/>
      <c r="C315" s="192"/>
      <c r="D315" s="203"/>
      <c r="E315" s="204"/>
      <c r="F315" s="205"/>
      <c r="G315" s="205"/>
      <c r="H315" s="206"/>
      <c r="I315" s="207"/>
      <c r="J315" s="208"/>
      <c r="K315" s="209"/>
      <c r="L315" s="210"/>
      <c r="M315" s="211"/>
      <c r="N315" s="47"/>
      <c r="O315" s="47"/>
      <c r="P315" s="122"/>
      <c r="Q315" s="304" t="str">
        <f t="shared" ref="Q315:Q337" si="7">IF(OR(ISBLANK(I315), ISBLANK(I180)), "", IF(I315 - I180 = 0, "", I315 - I180))</f>
        <v/>
      </c>
      <c r="R315" s="212"/>
      <c r="S315" s="157"/>
      <c r="T315" s="5"/>
      <c r="U315" s="5"/>
      <c r="V315" s="158"/>
      <c r="W315" s="158"/>
      <c r="X315" s="158"/>
      <c r="Y315" s="158"/>
      <c r="Z315" s="158"/>
      <c r="AA315" s="158"/>
      <c r="AB315" s="158"/>
      <c r="AC315" s="158"/>
      <c r="AD315" s="158"/>
      <c r="AE315" s="158"/>
      <c r="AF315" s="158"/>
      <c r="AG315" s="158"/>
    </row>
    <row r="316" ht="15.75" customHeight="1">
      <c r="A316" s="124"/>
      <c r="B316" s="6"/>
      <c r="C316" s="124"/>
      <c r="D316" s="159" t="s">
        <v>83</v>
      </c>
      <c r="E316" s="167" t="s">
        <v>84</v>
      </c>
      <c r="F316" s="127">
        <v>3.0</v>
      </c>
      <c r="G316" s="127">
        <v>3.0</v>
      </c>
      <c r="H316" s="195"/>
      <c r="I316" s="130">
        <v>451.0</v>
      </c>
      <c r="J316" s="151">
        <v>6.0</v>
      </c>
      <c r="K316" s="213"/>
      <c r="L316" s="133">
        <v>6.0</v>
      </c>
      <c r="M316" s="134">
        <f>I181</f>
        <v>441</v>
      </c>
      <c r="N316" s="135">
        <f>iferror(mround($P181*((VLOOKUP($J316,Sheet1!$D:$N,$G316+1,FALSE)-0.03)),2.5)," ")</f>
        <v>425</v>
      </c>
      <c r="O316" s="135">
        <f>iferror(mround($P181*((VLOOKUP($J316,Sheet1!$D:$N,$G316+1,FALSE)+0.02)),2.5)," ")</f>
        <v>450</v>
      </c>
      <c r="P316" s="112">
        <f>iferror(mround(I316/VLOOKUP(L316,Sheet1!$D$7:$N$16,G316+1,FALSE),2.5),"")</f>
        <v>552.5</v>
      </c>
      <c r="Q316" s="303">
        <f t="shared" si="7"/>
        <v>10</v>
      </c>
      <c r="R316" s="214"/>
      <c r="S316" s="11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</row>
    <row r="317" ht="3.75" customHeight="1">
      <c r="A317" s="124"/>
      <c r="B317" s="6"/>
      <c r="C317" s="124"/>
      <c r="D317" s="138"/>
      <c r="E317" s="215"/>
      <c r="F317" s="102"/>
      <c r="G317" s="102"/>
      <c r="H317" s="102"/>
      <c r="I317" s="340">
        <v>451.0</v>
      </c>
      <c r="J317" s="216"/>
      <c r="K317" s="217"/>
      <c r="L317" s="218"/>
      <c r="M317" s="144"/>
      <c r="N317" s="145"/>
      <c r="O317" s="145"/>
      <c r="P317" s="122"/>
      <c r="Q317" s="304" t="str">
        <f t="shared" si="7"/>
        <v/>
      </c>
      <c r="R317" s="214"/>
      <c r="S317" s="11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</row>
    <row r="318" ht="15.75" customHeight="1">
      <c r="A318" s="90"/>
      <c r="B318" s="6"/>
      <c r="C318" s="90"/>
      <c r="D318" s="159" t="s">
        <v>66</v>
      </c>
      <c r="E318" s="167" t="s">
        <v>79</v>
      </c>
      <c r="F318" s="127">
        <v>3.0</v>
      </c>
      <c r="G318" s="127">
        <v>7.0</v>
      </c>
      <c r="H318" s="195"/>
      <c r="I318" s="130">
        <v>235.0</v>
      </c>
      <c r="J318" s="151">
        <v>6.0</v>
      </c>
      <c r="K318" s="219" t="s">
        <v>85</v>
      </c>
      <c r="L318" s="133">
        <v>6.5</v>
      </c>
      <c r="M318" s="134">
        <f>I183</f>
        <v>232</v>
      </c>
      <c r="N318" s="135">
        <f>iferror(mround($P183*((VLOOKUP($J318,Sheet1!$D:$N,$G318+1,FALSE)-0.03)),2.5)," ")</f>
        <v>220</v>
      </c>
      <c r="O318" s="135">
        <f>iferror(mround($P183*((VLOOKUP($J318,Sheet1!$D:$N,$G318+1,FALSE)+0.02)),2.5)," ")</f>
        <v>235</v>
      </c>
      <c r="P318" s="112">
        <f>iferror(mround(I318/VLOOKUP(L318,Sheet1!$D$7:$N$16,G318+1,FALSE),2.5),"")</f>
        <v>322.5</v>
      </c>
      <c r="Q318" s="303">
        <f t="shared" si="7"/>
        <v>3</v>
      </c>
      <c r="R318" s="214"/>
      <c r="S318" s="11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</row>
    <row r="319" ht="3.75" customHeight="1">
      <c r="A319" s="90"/>
      <c r="B319" s="6"/>
      <c r="C319" s="90"/>
      <c r="D319" s="138"/>
      <c r="E319" s="215"/>
      <c r="F319" s="102"/>
      <c r="G319" s="102"/>
      <c r="H319" s="102"/>
      <c r="I319" s="102"/>
      <c r="J319" s="216"/>
      <c r="K319" s="217"/>
      <c r="L319" s="218"/>
      <c r="M319" s="144"/>
      <c r="N319" s="145"/>
      <c r="O319" s="145"/>
      <c r="P319" s="122"/>
      <c r="Q319" s="304" t="str">
        <f t="shared" si="7"/>
        <v/>
      </c>
      <c r="R319" s="214"/>
      <c r="S319" s="11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</row>
    <row r="320" ht="15.75" customHeight="1">
      <c r="A320" s="90"/>
      <c r="B320" s="6"/>
      <c r="C320" s="90"/>
      <c r="D320" s="159" t="s">
        <v>86</v>
      </c>
      <c r="E320" s="167" t="s">
        <v>87</v>
      </c>
      <c r="F320" s="127">
        <v>3.0</v>
      </c>
      <c r="G320" s="169">
        <v>45577.0</v>
      </c>
      <c r="H320" s="195"/>
      <c r="I320" s="130">
        <v>130.0</v>
      </c>
      <c r="J320" s="151">
        <v>7.0</v>
      </c>
      <c r="K320" s="219"/>
      <c r="L320" s="133">
        <v>8.0</v>
      </c>
      <c r="M320" s="134">
        <f>I185</f>
        <v>120</v>
      </c>
      <c r="N320" s="135" t="str">
        <f>iferror(mround($P185*((VLOOKUP($J320,Sheet1!$D:$N,$G320+1,FALSE)-0.03)),2.5)," ")</f>
        <v> </v>
      </c>
      <c r="O320" s="135" t="str">
        <f>iferror(mround($P185*((VLOOKUP($J320,Sheet1!$D:$N,$G320+1,FALSE)+0.02)),2.5)," ")</f>
        <v> </v>
      </c>
      <c r="P320" s="112" t="str">
        <f>iferror(mround(I320/VLOOKUP(L320,Sheet1!$D$7:$N$16,G320+1,FALSE),2.5),"")</f>
        <v/>
      </c>
      <c r="Q320" s="303">
        <f t="shared" si="7"/>
        <v>10</v>
      </c>
      <c r="R320" s="214"/>
      <c r="S320" s="11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</row>
    <row r="321" ht="3.75" customHeight="1">
      <c r="A321" s="90"/>
      <c r="B321" s="6"/>
      <c r="C321" s="90"/>
      <c r="D321" s="138"/>
      <c r="E321" s="215"/>
      <c r="F321" s="102"/>
      <c r="G321" s="102"/>
      <c r="H321" s="102"/>
      <c r="I321" s="102"/>
      <c r="J321" s="156"/>
      <c r="K321" s="217"/>
      <c r="L321" s="143"/>
      <c r="M321" s="144"/>
      <c r="N321" s="145"/>
      <c r="O321" s="145"/>
      <c r="P321" s="122"/>
      <c r="Q321" s="304" t="str">
        <f t="shared" si="7"/>
        <v/>
      </c>
      <c r="R321" s="214"/>
      <c r="S321" s="11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</row>
    <row r="322" ht="15.75" customHeight="1">
      <c r="A322" s="90"/>
      <c r="B322" s="6"/>
      <c r="C322" s="90"/>
      <c r="D322" s="159" t="s">
        <v>121</v>
      </c>
      <c r="E322" s="167"/>
      <c r="F322" s="127">
        <v>3.0</v>
      </c>
      <c r="G322" s="169">
        <v>45577.0</v>
      </c>
      <c r="H322" s="195"/>
      <c r="I322" s="130">
        <v>75.0</v>
      </c>
      <c r="J322" s="151">
        <v>7.0</v>
      </c>
      <c r="K322" s="213"/>
      <c r="L322" s="133">
        <v>7.0</v>
      </c>
      <c r="M322" s="134">
        <f>I187</f>
        <v>70</v>
      </c>
      <c r="N322" s="135" t="str">
        <f>iferror(mround($P187*((VLOOKUP($J322,Sheet1!$D:$N,$G322+1,FALSE)-0.03)),2.5)," ")</f>
        <v> </v>
      </c>
      <c r="O322" s="135" t="str">
        <f>iferror(mround($P187*((VLOOKUP($J322,Sheet1!$D:$N,$G322+1,FALSE)+0.02)),2.5)," ")</f>
        <v> </v>
      </c>
      <c r="P322" s="112" t="str">
        <f>iferror(mround(I322/VLOOKUP(L322,Sheet1!$D$7:$N$16,G322+1,FALSE),2.5),"")</f>
        <v/>
      </c>
      <c r="Q322" s="303">
        <f t="shared" si="7"/>
        <v>5</v>
      </c>
      <c r="R322" s="214"/>
      <c r="S322" s="11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</row>
    <row r="323" ht="3.75" customHeight="1">
      <c r="A323" s="90"/>
      <c r="B323" s="6"/>
      <c r="C323" s="90"/>
      <c r="D323" s="138"/>
      <c r="E323" s="215"/>
      <c r="F323" s="102"/>
      <c r="G323" s="102"/>
      <c r="H323" s="102"/>
      <c r="I323" s="102"/>
      <c r="J323" s="156"/>
      <c r="K323" s="217"/>
      <c r="L323" s="143"/>
      <c r="M323" s="144"/>
      <c r="N323" s="145"/>
      <c r="O323" s="145"/>
      <c r="P323" s="122"/>
      <c r="Q323" s="304" t="str">
        <f t="shared" si="7"/>
        <v/>
      </c>
      <c r="R323" s="214"/>
      <c r="S323" s="11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</row>
    <row r="324" ht="15.75" customHeight="1">
      <c r="A324" s="90"/>
      <c r="B324" s="6"/>
      <c r="C324" s="90"/>
      <c r="D324" s="159" t="s">
        <v>88</v>
      </c>
      <c r="E324" s="220"/>
      <c r="F324" s="127">
        <v>3.0</v>
      </c>
      <c r="G324" s="221">
        <v>45641.0</v>
      </c>
      <c r="H324" s="195"/>
      <c r="I324" s="130">
        <v>12.5</v>
      </c>
      <c r="J324" s="151">
        <v>9.0</v>
      </c>
      <c r="K324" s="213"/>
      <c r="L324" s="133">
        <v>9.0</v>
      </c>
      <c r="M324" s="134">
        <f>I189</f>
        <v>12.5</v>
      </c>
      <c r="N324" s="135" t="str">
        <f>iferror(mround($P189*((VLOOKUP($J324,Sheet1!$D:$N,$G324+1,FALSE)-0.03)),2.5)," ")</f>
        <v> </v>
      </c>
      <c r="O324" s="135" t="str">
        <f>iferror(mround($P189*((VLOOKUP($J324,Sheet1!$D:$N,$G324+1,FALSE)+0.02)),2.5)," ")</f>
        <v> </v>
      </c>
      <c r="P324" s="112" t="str">
        <f>iferror(mround(I324/VLOOKUP(L324,Sheet1!$D$7:$N$16,G324+1,FALSE),2.5),"")</f>
        <v/>
      </c>
      <c r="Q324" s="303" t="str">
        <f t="shared" si="7"/>
        <v/>
      </c>
      <c r="R324" s="214"/>
      <c r="S324" s="11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</row>
    <row r="325" ht="3.75" customHeight="1">
      <c r="A325" s="90"/>
      <c r="B325" s="6"/>
      <c r="C325" s="90"/>
      <c r="D325" s="138"/>
      <c r="E325" s="215"/>
      <c r="F325" s="102"/>
      <c r="G325" s="102"/>
      <c r="H325" s="102"/>
      <c r="I325" s="102"/>
      <c r="J325" s="216"/>
      <c r="K325" s="217"/>
      <c r="L325" s="143"/>
      <c r="M325" s="144"/>
      <c r="N325" s="145"/>
      <c r="O325" s="145"/>
      <c r="P325" s="122"/>
      <c r="Q325" s="304" t="str">
        <f t="shared" si="7"/>
        <v/>
      </c>
      <c r="R325" s="214"/>
      <c r="S325" s="11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</row>
    <row r="326" ht="15.75" hidden="1" customHeight="1">
      <c r="A326" s="90"/>
      <c r="B326" s="6"/>
      <c r="C326" s="90"/>
      <c r="D326" s="185"/>
      <c r="E326" s="220"/>
      <c r="F326" s="187"/>
      <c r="G326" s="187"/>
      <c r="H326" s="195"/>
      <c r="I326" s="164"/>
      <c r="J326" s="189"/>
      <c r="K326" s="213"/>
      <c r="L326" s="183"/>
      <c r="M326" s="134" t="str">
        <f>I191</f>
        <v/>
      </c>
      <c r="N326" s="135" t="str">
        <f>iferror(mround($P191*((VLOOKUP($J326,Sheet1!$D:$N,$G326+1,FALSE)-0.03)),2.5)," ")</f>
        <v> </v>
      </c>
      <c r="O326" s="135" t="str">
        <f>iferror(mround($P191*((VLOOKUP($J326,Sheet1!$D:$N,$G326+1,FALSE)+0.02)),2.5)," ")</f>
        <v> </v>
      </c>
      <c r="P326" s="112" t="str">
        <f>iferror(mround(I326/VLOOKUP(L326,Sheet1!$D$7:$N$16,G326+1,FALSE),2.5),"")</f>
        <v/>
      </c>
      <c r="Q326" s="303" t="str">
        <f t="shared" si="7"/>
        <v/>
      </c>
      <c r="R326" s="214"/>
      <c r="S326" s="11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</row>
    <row r="327" ht="3.75" hidden="1" customHeight="1">
      <c r="A327" s="90"/>
      <c r="B327" s="6"/>
      <c r="C327" s="90"/>
      <c r="D327" s="138"/>
      <c r="E327" s="326"/>
      <c r="F327" s="102"/>
      <c r="G327" s="102"/>
      <c r="H327" s="102"/>
      <c r="I327" s="102"/>
      <c r="J327" s="216"/>
      <c r="K327" s="222"/>
      <c r="L327" s="143"/>
      <c r="M327" s="144"/>
      <c r="N327" s="145"/>
      <c r="O327" s="145"/>
      <c r="P327" s="122"/>
      <c r="Q327" s="304" t="str">
        <f t="shared" si="7"/>
        <v/>
      </c>
      <c r="R327" s="214"/>
      <c r="S327" s="11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</row>
    <row r="328" ht="18.0" hidden="1" customHeight="1">
      <c r="A328" s="90"/>
      <c r="B328" s="6"/>
      <c r="C328" s="90"/>
      <c r="D328" s="185"/>
      <c r="E328" s="327"/>
      <c r="F328" s="187"/>
      <c r="G328" s="187"/>
      <c r="H328" s="195"/>
      <c r="I328" s="164"/>
      <c r="J328" s="189"/>
      <c r="K328" s="190"/>
      <c r="L328" s="183"/>
      <c r="M328" s="134" t="str">
        <f>I193</f>
        <v/>
      </c>
      <c r="N328" s="135" t="str">
        <f>iferror(mround($P193*((VLOOKUP($J328,Sheet1!$D:$N,$G328+1,FALSE)-0.03)),2.5)," ")</f>
        <v> </v>
      </c>
      <c r="O328" s="135" t="str">
        <f>iferror(mround($P193*((VLOOKUP($J328,Sheet1!$D:$N,$G328+1,FALSE)+0.02)),2.5)," ")</f>
        <v> </v>
      </c>
      <c r="P328" s="112" t="str">
        <f>iferror(mround(I328/VLOOKUP(L328,Sheet1!$D$7:$N$16,G328+1,FALSE),2.5),"")</f>
        <v/>
      </c>
      <c r="Q328" s="303" t="str">
        <f t="shared" si="7"/>
        <v/>
      </c>
      <c r="R328" s="214"/>
      <c r="S328" s="11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</row>
    <row r="329" ht="3.75" hidden="1" customHeight="1">
      <c r="A329" s="191"/>
      <c r="B329" s="6"/>
      <c r="C329" s="192"/>
      <c r="D329" s="138"/>
      <c r="E329" s="223"/>
      <c r="F329" s="194"/>
      <c r="G329" s="194"/>
      <c r="H329" s="155"/>
      <c r="I329" s="210"/>
      <c r="J329" s="216"/>
      <c r="K329" s="222"/>
      <c r="L329" s="143"/>
      <c r="M329" s="144"/>
      <c r="N329" s="145"/>
      <c r="O329" s="145"/>
      <c r="P329" s="122"/>
      <c r="Q329" s="304" t="str">
        <f t="shared" si="7"/>
        <v/>
      </c>
      <c r="R329" s="214"/>
      <c r="S329" s="157"/>
      <c r="T329" s="5"/>
      <c r="U329" s="5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</row>
    <row r="330" ht="15.75" hidden="1" customHeight="1">
      <c r="A330" s="90"/>
      <c r="B330" s="6"/>
      <c r="C330" s="90"/>
      <c r="D330" s="185"/>
      <c r="E330" s="186"/>
      <c r="F330" s="187"/>
      <c r="G330" s="187"/>
      <c r="H330" s="195"/>
      <c r="I330" s="164"/>
      <c r="J330" s="189"/>
      <c r="K330" s="190"/>
      <c r="L330" s="183"/>
      <c r="M330" s="134" t="str">
        <f>I195</f>
        <v/>
      </c>
      <c r="N330" s="135" t="str">
        <f>iferror(mround($P195*((VLOOKUP($J330,Sheet1!$D:$N,$G330+1,FALSE)-0.03)),2.5)," ")</f>
        <v> </v>
      </c>
      <c r="O330" s="135" t="str">
        <f>iferror(mround($P195*((VLOOKUP($J330,Sheet1!$D:$N,$G330+1,FALSE)+0.02)),2.5)," ")</f>
        <v> </v>
      </c>
      <c r="P330" s="112" t="str">
        <f>iferror(mround(I330/VLOOKUP(L330,Sheet1!$D$7:$N$16,G330+1,FALSE),2.5),"")</f>
        <v/>
      </c>
      <c r="Q330" s="303" t="str">
        <f t="shared" si="7"/>
        <v/>
      </c>
      <c r="R330" s="214"/>
      <c r="S330" s="11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</row>
    <row r="331" ht="3.75" hidden="1" customHeight="1">
      <c r="A331" s="90"/>
      <c r="B331" s="6"/>
      <c r="C331" s="90"/>
      <c r="D331" s="138"/>
      <c r="E331" s="184"/>
      <c r="F331" s="102"/>
      <c r="G331" s="102"/>
      <c r="H331" s="102"/>
      <c r="I331" s="102"/>
      <c r="J331" s="156"/>
      <c r="K331" s="222"/>
      <c r="L331" s="143"/>
      <c r="M331" s="144"/>
      <c r="N331" s="145"/>
      <c r="O331" s="145"/>
      <c r="P331" s="122"/>
      <c r="Q331" s="304" t="str">
        <f t="shared" si="7"/>
        <v/>
      </c>
      <c r="R331" s="214"/>
      <c r="S331" s="11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</row>
    <row r="332" ht="15.75" hidden="1" customHeight="1">
      <c r="A332" s="90"/>
      <c r="B332" s="6"/>
      <c r="C332" s="90"/>
      <c r="D332" s="185"/>
      <c r="E332" s="224"/>
      <c r="F332" s="187"/>
      <c r="G332" s="187"/>
      <c r="H332" s="195"/>
      <c r="I332" s="164"/>
      <c r="J332" s="189"/>
      <c r="K332" s="190"/>
      <c r="L332" s="183"/>
      <c r="M332" s="134" t="str">
        <f>I197</f>
        <v/>
      </c>
      <c r="N332" s="135" t="str">
        <f>iferror(mround($P197*((VLOOKUP($J332,Sheet1!$D:$N,$G332+1,FALSE)-0.03)),2.5)," ")</f>
        <v> </v>
      </c>
      <c r="O332" s="135" t="str">
        <f>iferror(mround($P197*((VLOOKUP($J332,Sheet1!$D:$N,$G332+1,FALSE)+0.02)),2.5)," ")</f>
        <v> </v>
      </c>
      <c r="P332" s="112" t="str">
        <f>iferror(mround(I332/VLOOKUP(L332,Sheet1!$D$7:$N$16,G332+1,FALSE),2.5),"")</f>
        <v/>
      </c>
      <c r="Q332" s="303" t="str">
        <f t="shared" si="7"/>
        <v/>
      </c>
      <c r="R332" s="214"/>
      <c r="S332" s="11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</row>
    <row r="333" ht="3.75" hidden="1" customHeight="1">
      <c r="A333" s="191"/>
      <c r="B333" s="6"/>
      <c r="C333" s="192"/>
      <c r="D333" s="138"/>
      <c r="E333" s="193"/>
      <c r="F333" s="194"/>
      <c r="G333" s="194"/>
      <c r="H333" s="155"/>
      <c r="I333" s="210"/>
      <c r="J333" s="216"/>
      <c r="K333" s="222"/>
      <c r="L333" s="143"/>
      <c r="M333" s="144"/>
      <c r="N333" s="145"/>
      <c r="O333" s="145"/>
      <c r="P333" s="122"/>
      <c r="Q333" s="304" t="str">
        <f t="shared" si="7"/>
        <v/>
      </c>
      <c r="R333" s="214"/>
      <c r="S333" s="157"/>
      <c r="T333" s="5"/>
      <c r="U333" s="5"/>
      <c r="V333" s="158"/>
      <c r="W333" s="158"/>
      <c r="X333" s="158"/>
      <c r="Y333" s="158"/>
      <c r="Z333" s="158"/>
      <c r="AA333" s="158"/>
      <c r="AB333" s="158"/>
      <c r="AC333" s="158"/>
      <c r="AD333" s="158"/>
      <c r="AE333" s="158"/>
      <c r="AF333" s="158"/>
      <c r="AG333" s="158"/>
    </row>
    <row r="334" ht="15.75" hidden="1" customHeight="1">
      <c r="A334" s="90"/>
      <c r="B334" s="6"/>
      <c r="C334" s="90"/>
      <c r="D334" s="185"/>
      <c r="E334" s="186"/>
      <c r="F334" s="187"/>
      <c r="G334" s="187"/>
      <c r="H334" s="195"/>
      <c r="I334" s="164"/>
      <c r="J334" s="189"/>
      <c r="K334" s="190"/>
      <c r="L334" s="183"/>
      <c r="M334" s="134" t="str">
        <f>I199</f>
        <v/>
      </c>
      <c r="N334" s="135" t="str">
        <f>iferror(mround($P199*((VLOOKUP($J334,Sheet1!$D:$N,$G334+1,FALSE)-0.03)),2.5)," ")</f>
        <v> </v>
      </c>
      <c r="O334" s="135" t="str">
        <f>iferror(mround($P199*((VLOOKUP($J334,Sheet1!$D:$N,$G334+1,FALSE)+0.02)),2.5)," ")</f>
        <v> </v>
      </c>
      <c r="P334" s="112" t="str">
        <f>iferror(mround(I334/VLOOKUP(L334,Sheet1!$D$7:$N$16,G334+1,FALSE),2.5),"")</f>
        <v/>
      </c>
      <c r="Q334" s="303" t="str">
        <f t="shared" si="7"/>
        <v/>
      </c>
      <c r="R334" s="214"/>
      <c r="S334" s="11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</row>
    <row r="335" ht="3.75" hidden="1" customHeight="1">
      <c r="A335" s="90"/>
      <c r="B335" s="6"/>
      <c r="C335" s="90"/>
      <c r="D335" s="196"/>
      <c r="E335" s="184"/>
      <c r="F335" s="102"/>
      <c r="G335" s="102"/>
      <c r="H335" s="102"/>
      <c r="I335" s="102"/>
      <c r="J335" s="156"/>
      <c r="K335" s="222"/>
      <c r="L335" s="143"/>
      <c r="M335" s="144"/>
      <c r="N335" s="145"/>
      <c r="O335" s="145"/>
      <c r="P335" s="122"/>
      <c r="Q335" s="304" t="str">
        <f t="shared" si="7"/>
        <v/>
      </c>
      <c r="R335" s="214"/>
      <c r="S335" s="11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</row>
    <row r="336" ht="15.75" hidden="1" customHeight="1">
      <c r="A336" s="90"/>
      <c r="B336" s="6"/>
      <c r="C336" s="90"/>
      <c r="D336" s="197"/>
      <c r="E336" s="198"/>
      <c r="F336" s="199"/>
      <c r="G336" s="187"/>
      <c r="H336" s="195"/>
      <c r="I336" s="164"/>
      <c r="J336" s="189"/>
      <c r="K336" s="190"/>
      <c r="L336" s="183"/>
      <c r="M336" s="134" t="str">
        <f>I201</f>
        <v/>
      </c>
      <c r="N336" s="135" t="str">
        <f>iferror(mround($P201*((VLOOKUP($J336,Sheet1!$D:$N,$G336+1,FALSE)-0.03)),2.5)," ")</f>
        <v> </v>
      </c>
      <c r="O336" s="135" t="str">
        <f>iferror(mround($P201*((VLOOKUP($J336,Sheet1!$D:$N,$G336+1,FALSE)+0.02)),2.5)," ")</f>
        <v> </v>
      </c>
      <c r="P336" s="112" t="str">
        <f>iferror(mround(I336/VLOOKUP(L336,Sheet1!$D$7:$N$16,G336+1,FALSE),2.5),"")</f>
        <v/>
      </c>
      <c r="Q336" s="303" t="str">
        <f t="shared" si="7"/>
        <v/>
      </c>
      <c r="R336" s="214"/>
      <c r="S336" s="11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</row>
    <row r="337" ht="3.75" customHeight="1">
      <c r="A337" s="90"/>
      <c r="B337" s="6"/>
      <c r="C337" s="90"/>
      <c r="D337" s="90"/>
      <c r="E337" s="156"/>
      <c r="F337" s="102"/>
      <c r="G337" s="102"/>
      <c r="H337" s="102"/>
      <c r="I337" s="102"/>
      <c r="J337" s="156"/>
      <c r="K337" s="222"/>
      <c r="L337" s="201"/>
      <c r="M337" s="211"/>
      <c r="N337" s="47"/>
      <c r="O337" s="47"/>
      <c r="P337" s="122"/>
      <c r="Q337" s="304" t="str">
        <f t="shared" si="7"/>
        <v/>
      </c>
      <c r="R337" s="214"/>
      <c r="S337" s="11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</row>
    <row r="338" ht="30.75" customHeight="1">
      <c r="A338" s="90"/>
      <c r="B338" s="6"/>
      <c r="C338" s="90"/>
      <c r="D338" s="202" t="s">
        <v>49</v>
      </c>
      <c r="E338" s="105" t="s">
        <v>89</v>
      </c>
      <c r="F338" s="106" t="s">
        <v>16</v>
      </c>
      <c r="G338" s="106" t="s">
        <v>17</v>
      </c>
      <c r="H338" s="107"/>
      <c r="I338" s="106" t="s">
        <v>18</v>
      </c>
      <c r="J338" s="108" t="s">
        <v>19</v>
      </c>
      <c r="L338" s="109" t="s">
        <v>20</v>
      </c>
      <c r="M338" s="110" t="s">
        <v>21</v>
      </c>
      <c r="N338" s="111" t="s">
        <v>22</v>
      </c>
      <c r="P338" s="112"/>
      <c r="Q338" s="113" t="s">
        <v>23</v>
      </c>
      <c r="R338" s="114" t="s">
        <v>50</v>
      </c>
      <c r="S338" s="11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</row>
    <row r="339" ht="14.25" customHeight="1">
      <c r="A339" s="90"/>
      <c r="B339" s="6"/>
      <c r="C339" s="90"/>
      <c r="D339" s="116">
        <v>4.0</v>
      </c>
      <c r="E339" s="117">
        <v>3.0</v>
      </c>
      <c r="H339" s="107"/>
      <c r="N339" s="111" t="s">
        <v>27</v>
      </c>
      <c r="O339" s="111" t="s">
        <v>28</v>
      </c>
      <c r="P339" s="112" t="s">
        <v>29</v>
      </c>
      <c r="R339" s="118" t="s">
        <v>30</v>
      </c>
      <c r="S339" s="11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</row>
    <row r="340" ht="3.75" customHeight="1">
      <c r="A340" s="191"/>
      <c r="B340" s="6"/>
      <c r="C340" s="192"/>
      <c r="D340" s="203"/>
      <c r="E340" s="203"/>
      <c r="F340" s="205"/>
      <c r="G340" s="205"/>
      <c r="H340" s="205"/>
      <c r="I340" s="225"/>
      <c r="J340" s="226"/>
      <c r="K340" s="209"/>
      <c r="L340" s="210"/>
      <c r="M340" s="211"/>
      <c r="N340" s="47"/>
      <c r="O340" s="47"/>
      <c r="P340" s="122"/>
      <c r="Q340" s="304" t="str">
        <f t="shared" ref="Q340:Q360" si="8">IF(OR(ISBLANK(I340), ISBLANK(I205)), "", IF(I340 - I205 = 0, "", I340 - I205))</f>
        <v/>
      </c>
      <c r="R340" s="212" t="s">
        <v>125</v>
      </c>
      <c r="S340" s="157"/>
      <c r="T340" s="5"/>
      <c r="U340" s="5"/>
      <c r="V340" s="158"/>
      <c r="W340" s="158"/>
      <c r="X340" s="158"/>
      <c r="Y340" s="158"/>
      <c r="Z340" s="158"/>
      <c r="AA340" s="158"/>
      <c r="AB340" s="158"/>
      <c r="AC340" s="158"/>
      <c r="AD340" s="158"/>
      <c r="AE340" s="158"/>
      <c r="AF340" s="158"/>
      <c r="AG340" s="158"/>
    </row>
    <row r="341" ht="15.75" customHeight="1">
      <c r="A341" s="124"/>
      <c r="B341" s="6"/>
      <c r="C341" s="124"/>
      <c r="D341" s="125" t="s">
        <v>90</v>
      </c>
      <c r="E341" s="126"/>
      <c r="F341" s="127">
        <v>1.0</v>
      </c>
      <c r="G341" s="240">
        <v>5.0</v>
      </c>
      <c r="H341" s="129"/>
      <c r="I341" s="130">
        <v>402.0</v>
      </c>
      <c r="J341" s="151">
        <v>7.0</v>
      </c>
      <c r="K341" s="213"/>
      <c r="L341" s="133">
        <v>7.0</v>
      </c>
      <c r="M341" s="134">
        <f>I206</f>
        <v>391</v>
      </c>
      <c r="N341" s="135">
        <f>iferror(mround($P206*((VLOOKUP($J341,Sheet1!$D:$N,$G341+1,FALSE)-0.03)),2.5)," ")</f>
        <v>387.5</v>
      </c>
      <c r="O341" s="135">
        <f>iferror(mround($P206*((VLOOKUP($J341,Sheet1!$D:$N,$G341+1,FALSE)+0.02)),2.5)," ")</f>
        <v>412.5</v>
      </c>
      <c r="P341" s="112">
        <f>iferror(mround(I341/VLOOKUP(L341,Sheet1!$D$7:$N$16,G341+1,FALSE),2.5),"")</f>
        <v>510</v>
      </c>
      <c r="Q341" s="303">
        <f t="shared" si="8"/>
        <v>11</v>
      </c>
      <c r="R341" s="214"/>
      <c r="S341" s="11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</row>
    <row r="342" ht="3.75" customHeight="1">
      <c r="A342" s="124"/>
      <c r="B342" s="6"/>
      <c r="C342" s="124"/>
      <c r="D342" s="138"/>
      <c r="E342" s="139"/>
      <c r="F342" s="140"/>
      <c r="G342" s="140"/>
      <c r="H342" s="140"/>
      <c r="I342" s="140"/>
      <c r="J342" s="141"/>
      <c r="K342" s="217"/>
      <c r="L342" s="218"/>
      <c r="M342" s="144"/>
      <c r="N342" s="145"/>
      <c r="O342" s="145"/>
      <c r="P342" s="122"/>
      <c r="Q342" s="304" t="str">
        <f t="shared" si="8"/>
        <v/>
      </c>
      <c r="R342" s="214"/>
      <c r="S342" s="11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</row>
    <row r="343" ht="15.75" customHeight="1">
      <c r="A343" s="90"/>
      <c r="B343" s="6"/>
      <c r="C343" s="90"/>
      <c r="D343" s="125" t="s">
        <v>77</v>
      </c>
      <c r="E343" s="126"/>
      <c r="F343" s="127">
        <v>4.0</v>
      </c>
      <c r="G343" s="240">
        <v>5.0</v>
      </c>
      <c r="H343" s="129"/>
      <c r="I343" s="164">
        <f>MROUND(I341*(1+J343),5)</f>
        <v>355</v>
      </c>
      <c r="J343" s="165">
        <v>-0.12</v>
      </c>
      <c r="K343" s="213"/>
      <c r="L343" s="133">
        <v>5.0</v>
      </c>
      <c r="M343" s="134">
        <f>I208</f>
        <v>345</v>
      </c>
      <c r="N343" s="135" t="str">
        <f>iferror(mround($P208*((VLOOKUP($J343,Sheet1!$D:$N,$G343+1,FALSE)-0.03)),2.5)," ")</f>
        <v> </v>
      </c>
      <c r="O343" s="135" t="str">
        <f>iferror(mround($P208*((VLOOKUP($J343,Sheet1!$D:$N,$G343+1,FALSE)+0.02)),2.5)," ")</f>
        <v> </v>
      </c>
      <c r="P343" s="112" t="str">
        <f>iferror(mround(I343/VLOOKUP(L343,Sheet1!$D$7:$N$16,G343+1,FALSE),2.5),"")</f>
        <v/>
      </c>
      <c r="Q343" s="303">
        <f t="shared" si="8"/>
        <v>10</v>
      </c>
      <c r="R343" s="214"/>
      <c r="S343" s="11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</row>
    <row r="344" ht="3.75" customHeight="1">
      <c r="A344" s="90"/>
      <c r="B344" s="6"/>
      <c r="C344" s="90"/>
      <c r="D344" s="138"/>
      <c r="E344" s="215"/>
      <c r="F344" s="102"/>
      <c r="G344" s="102"/>
      <c r="H344" s="102"/>
      <c r="I344" s="102"/>
      <c r="J344" s="156"/>
      <c r="K344" s="217"/>
      <c r="L344" s="218"/>
      <c r="M344" s="144"/>
      <c r="N344" s="145"/>
      <c r="O344" s="145"/>
      <c r="P344" s="122"/>
      <c r="Q344" s="304" t="str">
        <f t="shared" si="8"/>
        <v/>
      </c>
      <c r="R344" s="214"/>
      <c r="S344" s="11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</row>
    <row r="345" ht="15.75" customHeight="1">
      <c r="A345" s="90"/>
      <c r="B345" s="6"/>
      <c r="C345" s="90"/>
      <c r="D345" s="159" t="s">
        <v>33</v>
      </c>
      <c r="E345" s="160" t="s">
        <v>34</v>
      </c>
      <c r="F345" s="127">
        <v>3.0</v>
      </c>
      <c r="G345" s="161">
        <v>2.0</v>
      </c>
      <c r="H345" s="129"/>
      <c r="I345" s="130">
        <v>275.0</v>
      </c>
      <c r="J345" s="151">
        <v>7.0</v>
      </c>
      <c r="K345" s="219" t="s">
        <v>91</v>
      </c>
      <c r="L345" s="133">
        <v>7.0</v>
      </c>
      <c r="M345" s="134">
        <f>I210</f>
        <v>270</v>
      </c>
      <c r="N345" s="135">
        <f>iferror(mround($P210*((VLOOKUP($J345,Sheet1!$D:$N,$G345+1,FALSE)-0.03)),2.5)," ")</f>
        <v>260</v>
      </c>
      <c r="O345" s="135">
        <f>iferror(mround($P210*((VLOOKUP($J345,Sheet1!$D:$N,$G345+1,FALSE)+0.02)),2.5)," ")</f>
        <v>277.5</v>
      </c>
      <c r="P345" s="112">
        <f>iferror(mround(I345/VLOOKUP(L345,Sheet1!$D$7:$N$16,G345+1,FALSE),2.5),"")</f>
        <v>317.5</v>
      </c>
      <c r="Q345" s="303">
        <f t="shared" si="8"/>
        <v>5</v>
      </c>
      <c r="R345" s="214"/>
      <c r="S345" s="11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</row>
    <row r="346" ht="3.75" customHeight="1">
      <c r="A346" s="90"/>
      <c r="B346" s="6"/>
      <c r="C346" s="90"/>
      <c r="D346" s="138"/>
      <c r="E346" s="154"/>
      <c r="F346" s="155"/>
      <c r="G346" s="102"/>
      <c r="H346" s="102"/>
      <c r="I346" s="102"/>
      <c r="J346" s="156"/>
      <c r="K346" s="217"/>
      <c r="L346" s="218"/>
      <c r="M346" s="144"/>
      <c r="N346" s="145"/>
      <c r="O346" s="145"/>
      <c r="P346" s="122"/>
      <c r="Q346" s="304" t="str">
        <f t="shared" si="8"/>
        <v/>
      </c>
      <c r="R346" s="214"/>
      <c r="S346" s="11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</row>
    <row r="347" ht="15.75" customHeight="1">
      <c r="A347" s="90"/>
      <c r="B347" s="6"/>
      <c r="C347" s="90"/>
      <c r="D347" s="159" t="s">
        <v>45</v>
      </c>
      <c r="E347" s="220"/>
      <c r="F347" s="127">
        <v>3.0</v>
      </c>
      <c r="G347" s="127" t="s">
        <v>41</v>
      </c>
      <c r="H347" s="195"/>
      <c r="I347" s="164"/>
      <c r="J347" s="151"/>
      <c r="K347" s="213"/>
      <c r="L347" s="133">
        <v>10.0</v>
      </c>
      <c r="M347" s="134" t="str">
        <f>I212</f>
        <v/>
      </c>
      <c r="N347" s="135" t="str">
        <f>iferror(mround($P212*((VLOOKUP($J347,Sheet1!$D:$N,$G347+1,FALSE)-0.03)),2.5)," ")</f>
        <v> </v>
      </c>
      <c r="O347" s="135" t="str">
        <f>iferror(mround($P212*((VLOOKUP($J347,Sheet1!$D:$N,$G347+1,FALSE)+0.02)),2.5)," ")</f>
        <v> </v>
      </c>
      <c r="P347" s="112" t="str">
        <f>iferror(mround(I347/VLOOKUP(L347,Sheet1!$D$7:$N$16,G347+1,FALSE),2.5),"")</f>
        <v/>
      </c>
      <c r="Q347" s="303" t="str">
        <f t="shared" si="8"/>
        <v/>
      </c>
      <c r="R347" s="214"/>
      <c r="S347" s="11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</row>
    <row r="348" ht="3.75" customHeight="1">
      <c r="A348" s="90"/>
      <c r="B348" s="6"/>
      <c r="C348" s="90"/>
      <c r="D348" s="138"/>
      <c r="E348" s="215"/>
      <c r="F348" s="102"/>
      <c r="G348" s="102"/>
      <c r="H348" s="102"/>
      <c r="I348" s="102"/>
      <c r="J348" s="156"/>
      <c r="K348" s="217"/>
      <c r="L348" s="218"/>
      <c r="M348" s="144"/>
      <c r="N348" s="145"/>
      <c r="O348" s="145"/>
      <c r="P348" s="122"/>
      <c r="Q348" s="304" t="str">
        <f t="shared" si="8"/>
        <v/>
      </c>
      <c r="R348" s="214"/>
      <c r="S348" s="11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</row>
    <row r="349" ht="15.75" customHeight="1">
      <c r="A349" s="90"/>
      <c r="B349" s="6"/>
      <c r="C349" s="90"/>
      <c r="D349" s="159" t="s">
        <v>94</v>
      </c>
      <c r="E349" s="220"/>
      <c r="F349" s="127">
        <v>3.0</v>
      </c>
      <c r="G349" s="221">
        <v>45641.0</v>
      </c>
      <c r="H349" s="195"/>
      <c r="I349" s="130">
        <v>25.0</v>
      </c>
      <c r="J349" s="151">
        <v>9.0</v>
      </c>
      <c r="K349" s="213"/>
      <c r="L349" s="133">
        <v>9.0</v>
      </c>
      <c r="M349" s="134" t="str">
        <f>I214</f>
        <v/>
      </c>
      <c r="N349" s="135" t="str">
        <f>iferror(mround($P214*((VLOOKUP($J349,Sheet1!$D:$N,$G349+1,FALSE)-0.03)),2.5)," ")</f>
        <v> </v>
      </c>
      <c r="O349" s="135" t="str">
        <f>iferror(mround($P214*((VLOOKUP($J349,Sheet1!$D:$N,$G349+1,FALSE)+0.02)),2.5)," ")</f>
        <v> </v>
      </c>
      <c r="P349" s="112" t="str">
        <f>iferror(mround(I349/VLOOKUP(L349,Sheet1!$D$7:$N$16,G349+1,FALSE),2.5),"")</f>
        <v/>
      </c>
      <c r="Q349" s="303" t="str">
        <f t="shared" si="8"/>
        <v/>
      </c>
      <c r="R349" s="214"/>
      <c r="S349" s="11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</row>
    <row r="350" ht="3.75" customHeight="1">
      <c r="A350" s="90"/>
      <c r="B350" s="6"/>
      <c r="C350" s="90"/>
      <c r="D350" s="138"/>
      <c r="E350" s="215"/>
      <c r="F350" s="102"/>
      <c r="G350" s="102"/>
      <c r="H350" s="102"/>
      <c r="I350" s="102"/>
      <c r="J350" s="156"/>
      <c r="K350" s="222"/>
      <c r="L350" s="218"/>
      <c r="M350" s="144"/>
      <c r="N350" s="145"/>
      <c r="O350" s="145"/>
      <c r="P350" s="122"/>
      <c r="Q350" s="304" t="str">
        <f t="shared" si="8"/>
        <v/>
      </c>
      <c r="R350" s="214"/>
      <c r="S350" s="11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</row>
    <row r="351" ht="15.75" hidden="1" customHeight="1">
      <c r="A351" s="90"/>
      <c r="B351" s="6"/>
      <c r="C351" s="90"/>
      <c r="D351" s="185"/>
      <c r="E351" s="220"/>
      <c r="F351" s="187"/>
      <c r="G351" s="229"/>
      <c r="H351" s="195"/>
      <c r="I351" s="164"/>
      <c r="J351" s="189"/>
      <c r="K351" s="190"/>
      <c r="L351" s="183"/>
      <c r="M351" s="134" t="str">
        <f>I216</f>
        <v/>
      </c>
      <c r="N351" s="135" t="str">
        <f>iferror(mround($P216*((VLOOKUP($J351,Sheet1!$D:$N,$G351+1,FALSE)-0.03)),2.5)," ")</f>
        <v> </v>
      </c>
      <c r="O351" s="135" t="str">
        <f>iferror(mround($P216*((VLOOKUP($J351,Sheet1!$D:$N,$G351+1,FALSE)+0.02)),2.5)," ")</f>
        <v> </v>
      </c>
      <c r="P351" s="112" t="str">
        <f>iferror(mround(I351/VLOOKUP(L351,Sheet1!$D$7:$N$16,G351+1,FALSE),2.5),"")</f>
        <v/>
      </c>
      <c r="Q351" s="303" t="str">
        <f t="shared" si="8"/>
        <v/>
      </c>
      <c r="R351" s="214"/>
      <c r="S351" s="11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</row>
    <row r="352" ht="3.75" hidden="1" customHeight="1">
      <c r="A352" s="90"/>
      <c r="B352" s="6"/>
      <c r="C352" s="90"/>
      <c r="D352" s="138"/>
      <c r="E352" s="215"/>
      <c r="F352" s="102"/>
      <c r="G352" s="102"/>
      <c r="H352" s="102"/>
      <c r="I352" s="102"/>
      <c r="J352" s="216"/>
      <c r="K352" s="222"/>
      <c r="L352" s="218"/>
      <c r="M352" s="144"/>
      <c r="N352" s="145"/>
      <c r="O352" s="145"/>
      <c r="P352" s="122"/>
      <c r="Q352" s="304" t="str">
        <f t="shared" si="8"/>
        <v/>
      </c>
      <c r="R352" s="214"/>
      <c r="S352" s="11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</row>
    <row r="353" ht="15.75" hidden="1" customHeight="1">
      <c r="A353" s="90"/>
      <c r="B353" s="6"/>
      <c r="C353" s="90"/>
      <c r="D353" s="185"/>
      <c r="E353" s="220"/>
      <c r="F353" s="187"/>
      <c r="G353" s="229"/>
      <c r="H353" s="195"/>
      <c r="I353" s="164"/>
      <c r="J353" s="189"/>
      <c r="K353" s="190"/>
      <c r="L353" s="183"/>
      <c r="M353" s="134" t="str">
        <f>I218</f>
        <v/>
      </c>
      <c r="N353" s="135" t="str">
        <f>iferror(mround($P218*((VLOOKUP($J353,Sheet1!$D:$N,$G353+1,FALSE)-0.03)),2.5)," ")</f>
        <v> </v>
      </c>
      <c r="O353" s="135" t="str">
        <f>iferror(mround($P218*((VLOOKUP($J353,Sheet1!$D:$N,$G353+1,FALSE)+0.02)),2.5)," ")</f>
        <v> </v>
      </c>
      <c r="P353" s="112" t="str">
        <f>iferror(mround(I353/VLOOKUP(L353,Sheet1!$D$7:$N$16,G353+1,FALSE),2.5),"")</f>
        <v/>
      </c>
      <c r="Q353" s="303" t="str">
        <f t="shared" si="8"/>
        <v/>
      </c>
      <c r="R353" s="214"/>
      <c r="S353" s="11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</row>
    <row r="354" ht="3.75" hidden="1" customHeight="1">
      <c r="A354" s="191"/>
      <c r="B354" s="6"/>
      <c r="C354" s="192"/>
      <c r="D354" s="138"/>
      <c r="E354" s="184"/>
      <c r="F354" s="102"/>
      <c r="G354" s="102"/>
      <c r="H354" s="102"/>
      <c r="I354" s="102"/>
      <c r="J354" s="156"/>
      <c r="K354" s="222"/>
      <c r="L354" s="218"/>
      <c r="M354" s="144"/>
      <c r="N354" s="145"/>
      <c r="O354" s="145"/>
      <c r="P354" s="122"/>
      <c r="Q354" s="304" t="str">
        <f t="shared" si="8"/>
        <v/>
      </c>
      <c r="R354" s="214"/>
      <c r="S354" s="157"/>
      <c r="T354" s="5"/>
      <c r="U354" s="5"/>
      <c r="V354" s="158"/>
      <c r="W354" s="158"/>
      <c r="X354" s="158"/>
      <c r="Y354" s="158"/>
      <c r="Z354" s="158"/>
      <c r="AA354" s="158"/>
      <c r="AB354" s="158"/>
      <c r="AC354" s="158"/>
      <c r="AD354" s="158"/>
      <c r="AE354" s="158"/>
      <c r="AF354" s="158"/>
      <c r="AG354" s="158"/>
    </row>
    <row r="355" ht="15.75" hidden="1" customHeight="1">
      <c r="A355" s="90"/>
      <c r="B355" s="6"/>
      <c r="C355" s="90"/>
      <c r="D355" s="185"/>
      <c r="E355" s="224"/>
      <c r="F355" s="187"/>
      <c r="G355" s="187"/>
      <c r="H355" s="195"/>
      <c r="I355" s="164"/>
      <c r="J355" s="230"/>
      <c r="K355" s="190"/>
      <c r="L355" s="183"/>
      <c r="M355" s="134" t="str">
        <f>I220</f>
        <v/>
      </c>
      <c r="N355" s="135" t="str">
        <f>iferror(mround($P220*((VLOOKUP($J355,Sheet1!$D:$N,$G355+1,FALSE)-0.03)),2.5)," ")</f>
        <v> </v>
      </c>
      <c r="O355" s="135" t="str">
        <f>iferror(mround($P220*((VLOOKUP($J355,Sheet1!$D:$N,$G355+1,FALSE)+0.02)),2.5)," ")</f>
        <v> </v>
      </c>
      <c r="P355" s="112" t="str">
        <f>iferror(mround(I355/VLOOKUP(L355,Sheet1!$D$7:$N$16,G355+1,FALSE),2.5),"")</f>
        <v/>
      </c>
      <c r="Q355" s="303" t="str">
        <f t="shared" si="8"/>
        <v/>
      </c>
      <c r="R355" s="214"/>
      <c r="S355" s="11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</row>
    <row r="356" ht="3.75" hidden="1" customHeight="1">
      <c r="A356" s="90"/>
      <c r="B356" s="6"/>
      <c r="C356" s="90"/>
      <c r="D356" s="138"/>
      <c r="E356" s="184"/>
      <c r="F356" s="102"/>
      <c r="G356" s="102"/>
      <c r="H356" s="102"/>
      <c r="I356" s="102"/>
      <c r="J356" s="156"/>
      <c r="K356" s="222"/>
      <c r="L356" s="218"/>
      <c r="M356" s="144"/>
      <c r="N356" s="145"/>
      <c r="O356" s="145"/>
      <c r="P356" s="122"/>
      <c r="Q356" s="304" t="str">
        <f t="shared" si="8"/>
        <v/>
      </c>
      <c r="R356" s="214"/>
      <c r="S356" s="11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</row>
    <row r="357" ht="15.75" hidden="1" customHeight="1">
      <c r="A357" s="90"/>
      <c r="B357" s="6"/>
      <c r="C357" s="90"/>
      <c r="D357" s="231"/>
      <c r="E357" s="232"/>
      <c r="F357" s="187"/>
      <c r="G357" s="187"/>
      <c r="H357" s="195"/>
      <c r="I357" s="164"/>
      <c r="J357" s="230"/>
      <c r="K357" s="190"/>
      <c r="L357" s="183"/>
      <c r="M357" s="134" t="str">
        <f>I222</f>
        <v/>
      </c>
      <c r="N357" s="135" t="str">
        <f>iferror(mround($P222*((VLOOKUP($J357,Sheet1!$D:$N,$G357+1,FALSE)-0.03)),2.5)," ")</f>
        <v> </v>
      </c>
      <c r="O357" s="135" t="str">
        <f>iferror(mround($P222*((VLOOKUP($J357,Sheet1!$D:$N,$G357+1,FALSE)+0.02)),2.5)," ")</f>
        <v> </v>
      </c>
      <c r="P357" s="112" t="str">
        <f>iferror(mround(I357/VLOOKUP(L357,Sheet1!$D$7:$N$16,G357+1,FALSE),2.5),"")</f>
        <v/>
      </c>
      <c r="Q357" s="303" t="str">
        <f t="shared" si="8"/>
        <v/>
      </c>
      <c r="R357" s="214"/>
      <c r="S357" s="11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</row>
    <row r="358" ht="3.75" hidden="1" customHeight="1">
      <c r="A358" s="191"/>
      <c r="B358" s="6"/>
      <c r="C358" s="233"/>
      <c r="D358" s="234"/>
      <c r="E358" s="235"/>
      <c r="F358" s="236"/>
      <c r="G358" s="194"/>
      <c r="H358" s="155"/>
      <c r="I358" s="210"/>
      <c r="J358" s="216"/>
      <c r="K358" s="222"/>
      <c r="L358" s="218"/>
      <c r="M358" s="144"/>
      <c r="N358" s="145"/>
      <c r="O358" s="145"/>
      <c r="P358" s="122"/>
      <c r="Q358" s="304" t="str">
        <f t="shared" si="8"/>
        <v/>
      </c>
      <c r="R358" s="214"/>
      <c r="S358" s="157"/>
      <c r="T358" s="5"/>
      <c r="U358" s="5"/>
      <c r="V358" s="158"/>
      <c r="W358" s="158"/>
      <c r="X358" s="158"/>
      <c r="Y358" s="158"/>
      <c r="Z358" s="158"/>
      <c r="AA358" s="158"/>
      <c r="AB358" s="158"/>
      <c r="AC358" s="158"/>
      <c r="AD358" s="158"/>
      <c r="AE358" s="158"/>
      <c r="AF358" s="158"/>
      <c r="AG358" s="158"/>
    </row>
    <row r="359" ht="15.75" hidden="1" customHeight="1">
      <c r="A359" s="90"/>
      <c r="B359" s="6"/>
      <c r="C359" s="90"/>
      <c r="D359" s="197"/>
      <c r="E359" s="198"/>
      <c r="F359" s="199"/>
      <c r="G359" s="187"/>
      <c r="H359" s="195"/>
      <c r="I359" s="164"/>
      <c r="J359" s="189"/>
      <c r="K359" s="190"/>
      <c r="L359" s="183"/>
      <c r="M359" s="134" t="str">
        <f>I224</f>
        <v/>
      </c>
      <c r="N359" s="135" t="str">
        <f>iferror(mround($P224*((VLOOKUP($J359,Sheet1!$D:$N,$G359+1,FALSE)-0.03)),2.5)," ")</f>
        <v> </v>
      </c>
      <c r="O359" s="135" t="str">
        <f>iferror(mround($P224*((VLOOKUP($J359,Sheet1!$D:$N,$G359+1,FALSE)+0.02)),2.5)," ")</f>
        <v> </v>
      </c>
      <c r="P359" s="112" t="str">
        <f>iferror(mround(I359/VLOOKUP(L359,Sheet1!$D$7:$N$16,G359+1,FALSE),2.5),"")</f>
        <v/>
      </c>
      <c r="Q359" s="303" t="str">
        <f t="shared" si="8"/>
        <v/>
      </c>
      <c r="R359" s="214"/>
      <c r="S359" s="11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</row>
    <row r="360" ht="3.75" customHeight="1">
      <c r="A360" s="90"/>
      <c r="B360" s="6"/>
      <c r="C360" s="90"/>
      <c r="D360" s="90"/>
      <c r="E360" s="156"/>
      <c r="F360" s="102"/>
      <c r="G360" s="102"/>
      <c r="H360" s="102"/>
      <c r="I360" s="102"/>
      <c r="J360" s="156"/>
      <c r="K360" s="200"/>
      <c r="L360" s="201"/>
      <c r="M360" s="211"/>
      <c r="N360" s="47"/>
      <c r="O360" s="47"/>
      <c r="P360" s="122"/>
      <c r="Q360" s="304" t="str">
        <f t="shared" si="8"/>
        <v/>
      </c>
      <c r="R360" s="214"/>
      <c r="S360" s="11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</row>
    <row r="361" ht="30.0" customHeight="1">
      <c r="A361" s="90"/>
      <c r="B361" s="6"/>
      <c r="C361" s="90"/>
      <c r="D361" s="202" t="s">
        <v>55</v>
      </c>
      <c r="E361" s="105" t="s">
        <v>96</v>
      </c>
      <c r="F361" s="106" t="s">
        <v>16</v>
      </c>
      <c r="G361" s="106" t="s">
        <v>17</v>
      </c>
      <c r="H361" s="107"/>
      <c r="I361" s="106" t="s">
        <v>18</v>
      </c>
      <c r="J361" s="108" t="s">
        <v>19</v>
      </c>
      <c r="L361" s="109" t="s">
        <v>20</v>
      </c>
      <c r="M361" s="110" t="s">
        <v>21</v>
      </c>
      <c r="N361" s="111" t="s">
        <v>22</v>
      </c>
      <c r="P361" s="112"/>
      <c r="Q361" s="113" t="s">
        <v>23</v>
      </c>
      <c r="R361" s="114" t="s">
        <v>56</v>
      </c>
      <c r="S361" s="11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</row>
    <row r="362" ht="14.25" customHeight="1">
      <c r="A362" s="90"/>
      <c r="B362" s="6"/>
      <c r="C362" s="90"/>
      <c r="D362" s="116">
        <v>3.0</v>
      </c>
      <c r="E362" s="117">
        <v>3.0</v>
      </c>
      <c r="H362" s="107"/>
      <c r="N362" s="111" t="s">
        <v>27</v>
      </c>
      <c r="O362" s="111" t="s">
        <v>28</v>
      </c>
      <c r="P362" s="112" t="s">
        <v>29</v>
      </c>
      <c r="R362" s="118" t="s">
        <v>30</v>
      </c>
      <c r="S362" s="11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</row>
    <row r="363" ht="3.75" customHeight="1">
      <c r="A363" s="191"/>
      <c r="B363" s="6"/>
      <c r="C363" s="192"/>
      <c r="D363" s="203"/>
      <c r="E363" s="204"/>
      <c r="F363" s="205"/>
      <c r="G363" s="205"/>
      <c r="H363" s="205"/>
      <c r="I363" s="225"/>
      <c r="J363" s="237"/>
      <c r="K363" s="209"/>
      <c r="L363" s="238"/>
      <c r="M363" s="211"/>
      <c r="N363" s="47"/>
      <c r="O363" s="47"/>
      <c r="P363" s="122"/>
      <c r="Q363" s="304" t="str">
        <f t="shared" ref="Q363:Q383" si="9">IF(OR(ISBLANK(I363), ISBLANK(I228)), "", IF(I363 - I228 = 0, "", I363 - I228))</f>
        <v/>
      </c>
      <c r="R363" s="239"/>
      <c r="S363" s="157"/>
      <c r="T363" s="5"/>
      <c r="U363" s="5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</row>
    <row r="364" ht="15.75" customHeight="1">
      <c r="A364" s="124"/>
      <c r="B364" s="6"/>
      <c r="C364" s="124"/>
      <c r="D364" s="125" t="s">
        <v>97</v>
      </c>
      <c r="E364" s="126"/>
      <c r="F364" s="127">
        <v>1.0</v>
      </c>
      <c r="G364" s="240">
        <v>4.0</v>
      </c>
      <c r="H364" s="129"/>
      <c r="I364" s="130">
        <v>496.0</v>
      </c>
      <c r="J364" s="151">
        <v>7.0</v>
      </c>
      <c r="K364" s="241"/>
      <c r="L364" s="130">
        <v>7.0</v>
      </c>
      <c r="M364" s="134">
        <f>I229</f>
        <v>474</v>
      </c>
      <c r="N364" s="135">
        <f>iferror(mround($P229*((VLOOKUP($J364,Sheet1!$D:$N,$G364+1,FALSE)-0.03)),2.5)," ")</f>
        <v>462.5</v>
      </c>
      <c r="O364" s="135">
        <f>iferror(mround($P229*((VLOOKUP($J364,Sheet1!$D:$N,$G364+1,FALSE)+0.02)),2.5)," ")</f>
        <v>492.5</v>
      </c>
      <c r="P364" s="112">
        <f>iferror(mround(I364/VLOOKUP(L364,Sheet1!$D$7:$N$16,G364+1,FALSE),2.5),"")</f>
        <v>607.5</v>
      </c>
      <c r="Q364" s="303">
        <f t="shared" si="9"/>
        <v>22</v>
      </c>
      <c r="R364" s="242"/>
      <c r="S364" s="11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</row>
    <row r="365" ht="3.75" customHeight="1">
      <c r="A365" s="124"/>
      <c r="B365" s="6"/>
      <c r="C365" s="124"/>
      <c r="D365" s="138"/>
      <c r="E365" s="139"/>
      <c r="F365" s="140"/>
      <c r="G365" s="140"/>
      <c r="H365" s="140"/>
      <c r="I365" s="140"/>
      <c r="J365" s="141"/>
      <c r="K365" s="243"/>
      <c r="L365" s="210"/>
      <c r="M365" s="144"/>
      <c r="N365" s="145"/>
      <c r="O365" s="145"/>
      <c r="P365" s="122"/>
      <c r="Q365" s="304" t="str">
        <f t="shared" si="9"/>
        <v/>
      </c>
      <c r="R365" s="242"/>
      <c r="S365" s="11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</row>
    <row r="366" ht="15.0" customHeight="1">
      <c r="A366" s="124"/>
      <c r="B366" s="6"/>
      <c r="C366" s="124"/>
      <c r="D366" s="125" t="s">
        <v>97</v>
      </c>
      <c r="E366" s="126"/>
      <c r="F366" s="127">
        <v>3.0</v>
      </c>
      <c r="G366" s="240">
        <v>4.0</v>
      </c>
      <c r="H366" s="129"/>
      <c r="I366" s="164">
        <f>MROUND(I364*(1+J366),5)</f>
        <v>435</v>
      </c>
      <c r="J366" s="165">
        <v>-0.12</v>
      </c>
      <c r="K366" s="241"/>
      <c r="L366" s="130">
        <v>5.5</v>
      </c>
      <c r="M366" s="134">
        <f>I231</f>
        <v>425</v>
      </c>
      <c r="N366" s="135" t="str">
        <f>iferror(mround($P231*((VLOOKUP($J366,Sheet1!$D:$N,$G366+1,FALSE)-0.03)),2.5)," ")</f>
        <v> </v>
      </c>
      <c r="O366" s="135" t="str">
        <f>iferror(mround($P231*((VLOOKUP($J366,Sheet1!$D:$N,$G366+1,FALSE)+0.02)),2.5)," ")</f>
        <v> </v>
      </c>
      <c r="P366" s="112" t="str">
        <f>iferror(mround(I366/VLOOKUP(L366,Sheet1!$D$7:$N$16,G366+1,FALSE),2.5),"")</f>
        <v/>
      </c>
      <c r="Q366" s="303">
        <f t="shared" si="9"/>
        <v>10</v>
      </c>
      <c r="R366" s="242"/>
      <c r="S366" s="11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</row>
    <row r="367" ht="3.75" customHeight="1">
      <c r="A367" s="124"/>
      <c r="B367" s="6"/>
      <c r="C367" s="124"/>
      <c r="D367" s="138"/>
      <c r="E367" s="215"/>
      <c r="F367" s="102"/>
      <c r="G367" s="102"/>
      <c r="H367" s="102"/>
      <c r="I367" s="102"/>
      <c r="J367" s="156"/>
      <c r="K367" s="243"/>
      <c r="L367" s="210"/>
      <c r="M367" s="144"/>
      <c r="N367" s="145"/>
      <c r="O367" s="145"/>
      <c r="P367" s="122"/>
      <c r="Q367" s="304" t="str">
        <f t="shared" si="9"/>
        <v/>
      </c>
      <c r="R367" s="242"/>
      <c r="S367" s="11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</row>
    <row r="368" ht="15.75" customHeight="1">
      <c r="A368" s="124"/>
      <c r="B368" s="6"/>
      <c r="C368" s="124"/>
      <c r="D368" s="159" t="s">
        <v>33</v>
      </c>
      <c r="E368" s="126"/>
      <c r="F368" s="127">
        <v>2.0</v>
      </c>
      <c r="G368" s="161">
        <v>1.0</v>
      </c>
      <c r="H368" s="129"/>
      <c r="I368" s="130">
        <v>303.0</v>
      </c>
      <c r="J368" s="151">
        <v>7.5</v>
      </c>
      <c r="K368" s="244" t="s">
        <v>98</v>
      </c>
      <c r="L368" s="130">
        <v>7.5</v>
      </c>
      <c r="M368" s="134">
        <f>I233</f>
        <v>292</v>
      </c>
      <c r="N368" s="135">
        <f>iferror(mround($P233*((VLOOKUP($J368,Sheet1!$D:$N,$G368+1,FALSE)-0.03)),2.5)," ")</f>
        <v>287.5</v>
      </c>
      <c r="O368" s="135">
        <f>iferror(mround($P233*((VLOOKUP($J368,Sheet1!$D:$N,$G368+1,FALSE)+0.02)),2.5)," ")</f>
        <v>305</v>
      </c>
      <c r="P368" s="112">
        <f>iferror(mround(I368/VLOOKUP(L368,Sheet1!$D$7:$N$16,G368+1,FALSE),2.5),"")</f>
        <v>332.5</v>
      </c>
      <c r="Q368" s="303">
        <f t="shared" si="9"/>
        <v>11</v>
      </c>
      <c r="R368" s="242"/>
      <c r="S368" s="11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</row>
    <row r="369" ht="3.75" customHeight="1">
      <c r="A369" s="124"/>
      <c r="B369" s="6"/>
      <c r="C369" s="124"/>
      <c r="D369" s="138"/>
      <c r="E369" s="154"/>
      <c r="F369" s="155"/>
      <c r="G369" s="102"/>
      <c r="H369" s="102"/>
      <c r="I369" s="102"/>
      <c r="J369" s="156"/>
      <c r="K369" s="243"/>
      <c r="L369" s="210"/>
      <c r="M369" s="144"/>
      <c r="N369" s="145"/>
      <c r="O369" s="145"/>
      <c r="P369" s="122"/>
      <c r="Q369" s="304" t="str">
        <f t="shared" si="9"/>
        <v/>
      </c>
      <c r="R369" s="242"/>
      <c r="S369" s="11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</row>
    <row r="370" ht="15.75" customHeight="1">
      <c r="A370" s="124"/>
      <c r="B370" s="6"/>
      <c r="C370" s="124"/>
      <c r="D370" s="159" t="s">
        <v>33</v>
      </c>
      <c r="E370" s="126"/>
      <c r="F370" s="127">
        <v>4.0</v>
      </c>
      <c r="G370" s="161">
        <v>4.0</v>
      </c>
      <c r="H370" s="129"/>
      <c r="I370" s="130">
        <v>265.0</v>
      </c>
      <c r="J370" s="151">
        <v>7.0</v>
      </c>
      <c r="K370" s="241" t="s">
        <v>91</v>
      </c>
      <c r="L370" s="130">
        <v>7.0</v>
      </c>
      <c r="M370" s="134">
        <f>I235</f>
        <v>253</v>
      </c>
      <c r="N370" s="135">
        <f>iferror(mround($P235*((VLOOKUP($J370,Sheet1!$D:$N,$G370+1,FALSE)-0.03)),2.5)," ")</f>
        <v>247.5</v>
      </c>
      <c r="O370" s="135">
        <f>iferror(mround($P235*((VLOOKUP($J370,Sheet1!$D:$N,$G370+1,FALSE)+0.02)),2.5)," ")</f>
        <v>262.5</v>
      </c>
      <c r="P370" s="112">
        <f>iferror(mround(I370/VLOOKUP(L370,Sheet1!$D$7:$N$16,G370+1,FALSE),2.5),"")</f>
        <v>325</v>
      </c>
      <c r="Q370" s="303">
        <f t="shared" si="9"/>
        <v>12</v>
      </c>
      <c r="R370" s="242"/>
      <c r="S370" s="11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</row>
    <row r="371" ht="3.75" customHeight="1">
      <c r="A371" s="90"/>
      <c r="B371" s="6"/>
      <c r="C371" s="90"/>
      <c r="D371" s="138"/>
      <c r="E371" s="245"/>
      <c r="F371" s="102"/>
      <c r="G371" s="102"/>
      <c r="H371" s="102"/>
      <c r="I371" s="102"/>
      <c r="J371" s="156"/>
      <c r="K371" s="243"/>
      <c r="L371" s="210"/>
      <c r="M371" s="144"/>
      <c r="N371" s="145"/>
      <c r="O371" s="145"/>
      <c r="P371" s="122"/>
      <c r="Q371" s="304" t="str">
        <f t="shared" si="9"/>
        <v/>
      </c>
      <c r="R371" s="242"/>
      <c r="S371" s="11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</row>
    <row r="372" ht="15.75" customHeight="1">
      <c r="A372" s="90"/>
      <c r="B372" s="6"/>
      <c r="C372" s="90"/>
      <c r="D372" s="159" t="s">
        <v>54</v>
      </c>
      <c r="E372" s="227"/>
      <c r="F372" s="127">
        <v>3.0</v>
      </c>
      <c r="G372" s="221">
        <v>45577.0</v>
      </c>
      <c r="H372" s="195"/>
      <c r="I372" s="130">
        <v>100.0</v>
      </c>
      <c r="J372" s="228">
        <v>8.0</v>
      </c>
      <c r="K372" s="241"/>
      <c r="L372" s="130">
        <v>8.5</v>
      </c>
      <c r="M372" s="134">
        <f>I237</f>
        <v>90</v>
      </c>
      <c r="N372" s="135" t="str">
        <f>iferror(mround($P237*((VLOOKUP($J372,Sheet1!$D:$N,$G372+1,FALSE)-0.03)),2.5)," ")</f>
        <v> </v>
      </c>
      <c r="O372" s="135" t="str">
        <f>iferror(mround($P237*((VLOOKUP($J372,Sheet1!$D:$N,$G372+1,FALSE)+0.02)),2.5)," ")</f>
        <v> </v>
      </c>
      <c r="P372" s="112" t="str">
        <f>iferror(mround(I372/VLOOKUP(L372,Sheet1!$D$7:$N$16,G372+1,FALSE),2.5),"")</f>
        <v/>
      </c>
      <c r="Q372" s="303">
        <f t="shared" si="9"/>
        <v>10</v>
      </c>
      <c r="R372" s="242"/>
      <c r="S372" s="11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</row>
    <row r="373" ht="3.75" customHeight="1">
      <c r="A373" s="191"/>
      <c r="B373" s="6"/>
      <c r="C373" s="192"/>
      <c r="D373" s="138"/>
      <c r="E373" s="245"/>
      <c r="F373" s="102"/>
      <c r="G373" s="102"/>
      <c r="H373" s="102"/>
      <c r="I373" s="102"/>
      <c r="J373" s="156"/>
      <c r="K373" s="243"/>
      <c r="L373" s="210"/>
      <c r="M373" s="144"/>
      <c r="N373" s="145"/>
      <c r="O373" s="145"/>
      <c r="P373" s="122"/>
      <c r="Q373" s="304" t="str">
        <f t="shared" si="9"/>
        <v/>
      </c>
      <c r="R373" s="242"/>
      <c r="S373" s="157"/>
      <c r="T373" s="5"/>
      <c r="U373" s="5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</row>
    <row r="374" ht="15.75" customHeight="1">
      <c r="A374" s="90"/>
      <c r="B374" s="6"/>
      <c r="C374" s="90"/>
      <c r="D374" s="159" t="s">
        <v>99</v>
      </c>
      <c r="E374" s="246" t="s">
        <v>100</v>
      </c>
      <c r="F374" s="127">
        <v>3.0</v>
      </c>
      <c r="G374" s="221">
        <v>45577.0</v>
      </c>
      <c r="H374" s="195"/>
      <c r="I374" s="130">
        <v>120.0</v>
      </c>
      <c r="J374" s="228">
        <v>9.0</v>
      </c>
      <c r="K374" s="241"/>
      <c r="L374" s="130">
        <v>9.0</v>
      </c>
      <c r="M374" s="134">
        <f>I239</f>
        <v>110</v>
      </c>
      <c r="N374" s="135" t="str">
        <f>iferror(mround($P239*((VLOOKUP($J374,Sheet1!$D:$N,$G374+1,FALSE)-0.03)),2.5)," ")</f>
        <v> </v>
      </c>
      <c r="O374" s="135" t="str">
        <f>iferror(mround($P239*((VLOOKUP($J374,Sheet1!$D:$N,$G374+1,FALSE)+0.02)),2.5)," ")</f>
        <v> </v>
      </c>
      <c r="P374" s="112" t="str">
        <f>iferror(mround(I374/VLOOKUP(L374,Sheet1!$D$7:$N$16,G374+1,FALSE),2.5),"")</f>
        <v/>
      </c>
      <c r="Q374" s="303">
        <f t="shared" si="9"/>
        <v>10</v>
      </c>
      <c r="R374" s="242"/>
      <c r="S374" s="11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</row>
    <row r="375" ht="3.75" customHeight="1">
      <c r="A375" s="90"/>
      <c r="B375" s="6"/>
      <c r="C375" s="90"/>
      <c r="D375" s="138"/>
      <c r="E375" s="245"/>
      <c r="F375" s="102"/>
      <c r="G375" s="102"/>
      <c r="H375" s="102"/>
      <c r="I375" s="102"/>
      <c r="J375" s="156"/>
      <c r="K375" s="243"/>
      <c r="L375" s="210"/>
      <c r="M375" s="144"/>
      <c r="N375" s="145"/>
      <c r="O375" s="145"/>
      <c r="P375" s="122"/>
      <c r="Q375" s="304" t="str">
        <f t="shared" si="9"/>
        <v/>
      </c>
      <c r="R375" s="242"/>
      <c r="S375" s="11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</row>
    <row r="376" ht="15.75" hidden="1" customHeight="1">
      <c r="A376" s="90"/>
      <c r="B376" s="6"/>
      <c r="C376" s="90"/>
      <c r="D376" s="185"/>
      <c r="E376" s="227"/>
      <c r="F376" s="187"/>
      <c r="G376" s="229"/>
      <c r="H376" s="195"/>
      <c r="I376" s="247"/>
      <c r="J376" s="248"/>
      <c r="K376" s="241"/>
      <c r="L376" s="164"/>
      <c r="M376" s="134" t="str">
        <f>I241</f>
        <v/>
      </c>
      <c r="N376" s="135" t="str">
        <f>iferror(mround($P241*((VLOOKUP($J376,Sheet1!$D:$N,$G376+1,FALSE)-0.03)),2.5)," ")</f>
        <v> </v>
      </c>
      <c r="O376" s="135" t="str">
        <f>iferror(mround($P241*((VLOOKUP($J376,Sheet1!$D:$N,$G376+1,FALSE)+0.02)),2.5)," ")</f>
        <v> </v>
      </c>
      <c r="P376" s="112" t="str">
        <f>iferror(mround(I376/VLOOKUP(L376,Sheet1!$D$7:$N$16,G376+1,FALSE),2.5),"")</f>
        <v/>
      </c>
      <c r="Q376" s="303" t="str">
        <f t="shared" si="9"/>
        <v/>
      </c>
      <c r="R376" s="242"/>
      <c r="S376" s="11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</row>
    <row r="377" ht="3.75" hidden="1" customHeight="1">
      <c r="A377" s="90"/>
      <c r="B377" s="6"/>
      <c r="C377" s="90"/>
      <c r="D377" s="138"/>
      <c r="E377" s="215"/>
      <c r="F377" s="102"/>
      <c r="G377" s="102"/>
      <c r="H377" s="102"/>
      <c r="I377" s="102"/>
      <c r="J377" s="156"/>
      <c r="K377" s="243"/>
      <c r="L377" s="210"/>
      <c r="M377" s="144"/>
      <c r="N377" s="145"/>
      <c r="O377" s="145"/>
      <c r="P377" s="122"/>
      <c r="Q377" s="304" t="str">
        <f t="shared" si="9"/>
        <v/>
      </c>
      <c r="R377" s="242"/>
      <c r="S377" s="11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</row>
    <row r="378" ht="15.75" hidden="1" customHeight="1">
      <c r="A378" s="90"/>
      <c r="B378" s="6"/>
      <c r="C378" s="90"/>
      <c r="D378" s="185"/>
      <c r="E378" s="220"/>
      <c r="F378" s="187"/>
      <c r="G378" s="229"/>
      <c r="H378" s="195"/>
      <c r="I378" s="247"/>
      <c r="J378" s="248"/>
      <c r="K378" s="241"/>
      <c r="L378" s="164"/>
      <c r="M378" s="134" t="str">
        <f>I243</f>
        <v/>
      </c>
      <c r="N378" s="135" t="str">
        <f>iferror(mround($P243*((VLOOKUP($J378,Sheet1!$D:$N,$G378+1,FALSE)-0.03)),2.5)," ")</f>
        <v> </v>
      </c>
      <c r="O378" s="135" t="str">
        <f>iferror(mround($P243*((VLOOKUP($J378,Sheet1!$D:$N,$G378+1,FALSE)+0.02)),2.5)," ")</f>
        <v> </v>
      </c>
      <c r="P378" s="112" t="str">
        <f>iferror(mround(I378/VLOOKUP(L378,Sheet1!$D$7:$N$16,G378+1,FALSE),2.5),"")</f>
        <v/>
      </c>
      <c r="Q378" s="303" t="str">
        <f t="shared" si="9"/>
        <v/>
      </c>
      <c r="R378" s="242"/>
      <c r="S378" s="11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</row>
    <row r="379" ht="3.75" hidden="1" customHeight="1">
      <c r="A379" s="90"/>
      <c r="B379" s="6"/>
      <c r="C379" s="90"/>
      <c r="D379" s="196"/>
      <c r="E379" s="184"/>
      <c r="F379" s="102"/>
      <c r="G379" s="102"/>
      <c r="H379" s="102"/>
      <c r="I379" s="102"/>
      <c r="J379" s="156"/>
      <c r="K379" s="249"/>
      <c r="L379" s="210"/>
      <c r="M379" s="144"/>
      <c r="N379" s="145"/>
      <c r="O379" s="145"/>
      <c r="P379" s="122"/>
      <c r="Q379" s="304" t="str">
        <f t="shared" si="9"/>
        <v/>
      </c>
      <c r="R379" s="242"/>
      <c r="S379" s="11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</row>
    <row r="380" ht="15.75" hidden="1" customHeight="1">
      <c r="A380" s="90"/>
      <c r="B380" s="6"/>
      <c r="C380" s="90"/>
      <c r="D380" s="197"/>
      <c r="E380" s="250"/>
      <c r="F380" s="129"/>
      <c r="G380" s="199"/>
      <c r="H380" s="195"/>
      <c r="I380" s="247"/>
      <c r="J380" s="248"/>
      <c r="K380" s="251"/>
      <c r="L380" s="164"/>
      <c r="M380" s="134" t="str">
        <f>I245</f>
        <v/>
      </c>
      <c r="N380" s="135" t="str">
        <f>iferror(mround($P245*((VLOOKUP($J380,Sheet1!$D:$N,$G380+1,FALSE)-0.03)),2.5)," ")</f>
        <v> </v>
      </c>
      <c r="O380" s="135" t="str">
        <f>iferror(mround($P245*((VLOOKUP($J380,Sheet1!$D:$N,$G380+1,FALSE)+0.02)),2.5)," ")</f>
        <v> </v>
      </c>
      <c r="P380" s="112" t="str">
        <f>iferror(mround(I380/VLOOKUP(L380,Sheet1!$D$7:$N$16,G380+1,FALSE),2.5),"")</f>
        <v/>
      </c>
      <c r="Q380" s="303" t="str">
        <f t="shared" si="9"/>
        <v/>
      </c>
      <c r="R380" s="242"/>
      <c r="S380" s="11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</row>
    <row r="381" ht="3.75" hidden="1" customHeight="1">
      <c r="A381" s="90"/>
      <c r="B381" s="6"/>
      <c r="C381" s="90"/>
      <c r="D381" s="234"/>
      <c r="E381" s="184"/>
      <c r="F381" s="102"/>
      <c r="G381" s="102"/>
      <c r="H381" s="102"/>
      <c r="I381" s="102"/>
      <c r="J381" s="156"/>
      <c r="K381" s="249"/>
      <c r="L381" s="210"/>
      <c r="M381" s="144"/>
      <c r="N381" s="145"/>
      <c r="O381" s="145"/>
      <c r="P381" s="122"/>
      <c r="Q381" s="304" t="str">
        <f t="shared" si="9"/>
        <v/>
      </c>
      <c r="R381" s="242"/>
      <c r="S381" s="11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</row>
    <row r="382" ht="15.75" hidden="1" customHeight="1">
      <c r="A382" s="90"/>
      <c r="B382" s="6"/>
      <c r="C382" s="90"/>
      <c r="D382" s="197"/>
      <c r="E382" s="198"/>
      <c r="F382" s="129"/>
      <c r="G382" s="199"/>
      <c r="H382" s="195"/>
      <c r="I382" s="164"/>
      <c r="J382" s="248"/>
      <c r="K382" s="251"/>
      <c r="L382" s="164"/>
      <c r="M382" s="134" t="str">
        <f>I247</f>
        <v/>
      </c>
      <c r="N382" s="135" t="str">
        <f>iferror(mround($P247*((VLOOKUP($J382,Sheet1!$D:$N,$G382+1,FALSE)-0.03)),2.5)," ")</f>
        <v> </v>
      </c>
      <c r="O382" s="135" t="str">
        <f>iferror(mround($P247*((VLOOKUP($J382,Sheet1!$D:$N,$G382+1,FALSE)+0.02)),2.5)," ")</f>
        <v> </v>
      </c>
      <c r="P382" s="112" t="str">
        <f>iferror(mround(I382/VLOOKUP(L382,Sheet1!$D$7:$N$16,G382+1,FALSE),2.5),"")</f>
        <v/>
      </c>
      <c r="Q382" s="303" t="str">
        <f t="shared" si="9"/>
        <v/>
      </c>
      <c r="R382" s="242"/>
      <c r="S382" s="11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</row>
    <row r="383" ht="3.75" hidden="1" customHeight="1">
      <c r="A383" s="124"/>
      <c r="B383" s="6"/>
      <c r="C383" s="124"/>
      <c r="D383" s="252"/>
      <c r="E383" s="252"/>
      <c r="F383" s="102"/>
      <c r="G383" s="102"/>
      <c r="H383" s="102"/>
      <c r="I383" s="102"/>
      <c r="J383" s="156"/>
      <c r="K383" s="253"/>
      <c r="L383" s="201"/>
      <c r="M383" s="211"/>
      <c r="N383" s="47"/>
      <c r="O383" s="47"/>
      <c r="P383" s="122"/>
      <c r="Q383" s="304" t="str">
        <f t="shared" si="9"/>
        <v/>
      </c>
      <c r="R383" s="242"/>
      <c r="S383" s="11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</row>
    <row r="384" ht="30.75" hidden="1" customHeight="1">
      <c r="A384" s="90"/>
      <c r="B384" s="6"/>
      <c r="C384" s="90"/>
      <c r="D384" s="254" t="s">
        <v>57</v>
      </c>
      <c r="E384" s="255" t="s">
        <v>15</v>
      </c>
      <c r="F384" s="106" t="s">
        <v>16</v>
      </c>
      <c r="G384" s="106" t="s">
        <v>17</v>
      </c>
      <c r="H384" s="107"/>
      <c r="I384" s="106" t="s">
        <v>18</v>
      </c>
      <c r="J384" s="108" t="s">
        <v>19</v>
      </c>
      <c r="L384" s="109" t="s">
        <v>20</v>
      </c>
      <c r="M384" s="110" t="s">
        <v>21</v>
      </c>
      <c r="N384" s="111" t="s">
        <v>22</v>
      </c>
      <c r="P384" s="112"/>
      <c r="Q384" s="113" t="s">
        <v>23</v>
      </c>
      <c r="R384" s="256" t="s">
        <v>58</v>
      </c>
      <c r="S384" s="11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</row>
    <row r="385" ht="14.25" hidden="1" customHeight="1">
      <c r="A385" s="90"/>
      <c r="B385" s="6"/>
      <c r="C385" s="90"/>
      <c r="D385" s="257" t="s">
        <v>25</v>
      </c>
      <c r="E385" s="258" t="s">
        <v>26</v>
      </c>
      <c r="H385" s="107"/>
      <c r="N385" s="111" t="s">
        <v>27</v>
      </c>
      <c r="O385" s="111" t="s">
        <v>28</v>
      </c>
      <c r="P385" s="112" t="s">
        <v>29</v>
      </c>
      <c r="R385" s="118" t="s">
        <v>30</v>
      </c>
      <c r="S385" s="11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</row>
    <row r="386" ht="3.75" hidden="1" customHeight="1">
      <c r="A386" s="124"/>
      <c r="B386" s="6"/>
      <c r="C386" s="124"/>
      <c r="D386" s="252"/>
      <c r="E386" s="252"/>
      <c r="F386" s="102"/>
      <c r="G386" s="102"/>
      <c r="H386" s="102"/>
      <c r="I386" s="102"/>
      <c r="J386" s="156"/>
      <c r="K386" s="253"/>
      <c r="L386" s="201"/>
      <c r="M386" s="211"/>
      <c r="N386" s="47"/>
      <c r="O386" s="47"/>
      <c r="P386" s="122"/>
      <c r="Q386" s="304" t="str">
        <f t="shared" ref="Q386:Q409" si="10">IF(OR(ISBLANK(I386), ISBLANK(I251)), "", IF(I386 - I251 = 0, "", I386 - I251))</f>
        <v/>
      </c>
      <c r="R386" s="259"/>
      <c r="S386" s="11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</row>
    <row r="387" ht="14.25" hidden="1" customHeight="1">
      <c r="A387" s="124"/>
      <c r="B387" s="6"/>
      <c r="C387" s="124"/>
      <c r="D387" s="260"/>
      <c r="E387" s="126"/>
      <c r="F387" s="187"/>
      <c r="G387" s="229"/>
      <c r="H387" s="129"/>
      <c r="I387" s="164"/>
      <c r="J387" s="189"/>
      <c r="K387" s="251"/>
      <c r="L387" s="164"/>
      <c r="M387" s="134" t="str">
        <f>I254</f>
        <v/>
      </c>
      <c r="N387" s="135" t="str">
        <f>iferror(mround($P254*((VLOOKUP($J387,Sheet1!$D:$N,$G387+1,FALSE)-0.03)),2.5)," ")</f>
        <v> </v>
      </c>
      <c r="O387" s="135" t="str">
        <f>iferror(mround($P254*((VLOOKUP($J387,Sheet1!$D:$N,$G387+1,FALSE)+0.02)),2.5)," ")</f>
        <v> </v>
      </c>
      <c r="P387" s="56" t="str">
        <f>iferror(mround(I387/VLOOKUP(L387,Sheet1!$D$7:$N$16,G387+1,FALSE),2.5),"")</f>
        <v/>
      </c>
      <c r="Q387" s="303" t="str">
        <f t="shared" si="10"/>
        <v/>
      </c>
      <c r="S387" s="11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</row>
    <row r="388" ht="3.75" hidden="1" customHeight="1">
      <c r="A388" s="124"/>
      <c r="B388" s="6"/>
      <c r="C388" s="124"/>
      <c r="D388" s="138"/>
      <c r="E388" s="215"/>
      <c r="F388" s="102"/>
      <c r="G388" s="102"/>
      <c r="H388" s="102"/>
      <c r="I388" s="102"/>
      <c r="J388" s="156"/>
      <c r="K388" s="249"/>
      <c r="L388" s="210"/>
      <c r="M388" s="144"/>
      <c r="N388" s="145"/>
      <c r="O388" s="145"/>
      <c r="P388" s="122"/>
      <c r="Q388" s="304" t="str">
        <f t="shared" si="10"/>
        <v/>
      </c>
      <c r="S388" s="11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</row>
    <row r="389" ht="14.25" hidden="1" customHeight="1">
      <c r="A389" s="124"/>
      <c r="B389" s="6"/>
      <c r="C389" s="124"/>
      <c r="D389" s="185"/>
      <c r="E389" s="227"/>
      <c r="F389" s="187"/>
      <c r="G389" s="229"/>
      <c r="H389" s="195"/>
      <c r="I389" s="164"/>
      <c r="J389" s="248"/>
      <c r="K389" s="251"/>
      <c r="L389" s="164"/>
      <c r="M389" s="134" t="str">
        <f>I254</f>
        <v/>
      </c>
      <c r="N389" s="135" t="str">
        <f>iferror(mround($P254*((VLOOKUP($J389,Sheet1!$D:$N,$G389+1,FALSE)-0.03)),2.5)," ")</f>
        <v> </v>
      </c>
      <c r="O389" s="135" t="str">
        <f>iferror(mround($P254*((VLOOKUP($J389,Sheet1!$D:$N,$G389+1,FALSE)+0.02)),2.5)," ")</f>
        <v> </v>
      </c>
      <c r="P389" s="112" t="str">
        <f>iferror(mround(I389/VLOOKUP(L389,Sheet1!$D$7:$N$16,G389+1,FALSE),2.5),"")</f>
        <v/>
      </c>
      <c r="Q389" s="303" t="str">
        <f t="shared" si="10"/>
        <v/>
      </c>
      <c r="S389" s="11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</row>
    <row r="390" ht="3.75" hidden="1" customHeight="1">
      <c r="A390" s="124"/>
      <c r="B390" s="6"/>
      <c r="C390" s="124"/>
      <c r="D390" s="138"/>
      <c r="E390" s="245"/>
      <c r="F390" s="102"/>
      <c r="G390" s="102"/>
      <c r="H390" s="102"/>
      <c r="I390" s="102"/>
      <c r="J390" s="156"/>
      <c r="K390" s="249"/>
      <c r="L390" s="210"/>
      <c r="M390" s="144"/>
      <c r="N390" s="145"/>
      <c r="O390" s="145"/>
      <c r="P390" s="122"/>
      <c r="Q390" s="304" t="str">
        <f t="shared" si="10"/>
        <v/>
      </c>
      <c r="S390" s="11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</row>
    <row r="391" ht="14.25" hidden="1" customHeight="1">
      <c r="A391" s="124"/>
      <c r="B391" s="6"/>
      <c r="C391" s="124"/>
      <c r="D391" s="185"/>
      <c r="E391" s="227"/>
      <c r="F391" s="187"/>
      <c r="G391" s="229"/>
      <c r="H391" s="195"/>
      <c r="I391" s="164"/>
      <c r="J391" s="248"/>
      <c r="K391" s="251"/>
      <c r="L391" s="164"/>
      <c r="M391" s="134" t="str">
        <f>I256</f>
        <v/>
      </c>
      <c r="N391" s="135" t="str">
        <f>iferror(mround($P256*((VLOOKUP($J391,Sheet1!$D:$N,$G391+1,FALSE)-0.03)),2.5)," ")</f>
        <v> </v>
      </c>
      <c r="O391" s="135" t="str">
        <f>iferror(mround($P256*((VLOOKUP($J391,Sheet1!$D:$N,$G391+1,FALSE)+0.02)),2.5)," ")</f>
        <v> </v>
      </c>
      <c r="P391" s="112" t="str">
        <f>iferror(mround(I391/VLOOKUP(L391,Sheet1!$D$7:$N$16,G391+1,FALSE),2.5),"")</f>
        <v/>
      </c>
      <c r="Q391" s="303" t="str">
        <f t="shared" si="10"/>
        <v/>
      </c>
      <c r="S391" s="11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</row>
    <row r="392" ht="3.75" hidden="1" customHeight="1">
      <c r="A392" s="124"/>
      <c r="B392" s="6"/>
      <c r="C392" s="124"/>
      <c r="D392" s="138"/>
      <c r="E392" s="245"/>
      <c r="F392" s="102"/>
      <c r="G392" s="102"/>
      <c r="H392" s="102"/>
      <c r="I392" s="102"/>
      <c r="J392" s="156"/>
      <c r="K392" s="249"/>
      <c r="L392" s="210"/>
      <c r="M392" s="144"/>
      <c r="N392" s="145"/>
      <c r="O392" s="145"/>
      <c r="P392" s="122"/>
      <c r="Q392" s="304" t="str">
        <f t="shared" si="10"/>
        <v/>
      </c>
      <c r="S392" s="11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</row>
    <row r="393" ht="14.25" hidden="1" customHeight="1">
      <c r="A393" s="124"/>
      <c r="B393" s="6"/>
      <c r="C393" s="124"/>
      <c r="D393" s="185"/>
      <c r="E393" s="227"/>
      <c r="F393" s="187"/>
      <c r="G393" s="229"/>
      <c r="H393" s="195"/>
      <c r="I393" s="164"/>
      <c r="J393" s="248"/>
      <c r="K393" s="251"/>
      <c r="L393" s="164"/>
      <c r="M393" s="134"/>
      <c r="N393" s="135" t="str">
        <f>iferror(mround($P258*((VLOOKUP($J393,Sheet1!$D:$N,$G393+1,FALSE)-0.03)),2.5)," ")</f>
        <v> </v>
      </c>
      <c r="O393" s="135" t="str">
        <f>iferror(mround($P258*((VLOOKUP($J393,Sheet1!$D:$N,$G393+1,FALSE)+0.02)),2.5)," ")</f>
        <v> </v>
      </c>
      <c r="P393" s="112" t="str">
        <f>iferror(mround(I393/VLOOKUP(L393,Sheet1!$D$7:$N$16,G393+1,FALSE),2.5),"")</f>
        <v/>
      </c>
      <c r="Q393" s="303" t="str">
        <f t="shared" si="10"/>
        <v/>
      </c>
      <c r="S393" s="11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</row>
    <row r="394" ht="3.75" hidden="1" customHeight="1">
      <c r="A394" s="124"/>
      <c r="B394" s="6"/>
      <c r="C394" s="124"/>
      <c r="D394" s="138"/>
      <c r="E394" s="245"/>
      <c r="F394" s="102"/>
      <c r="G394" s="102"/>
      <c r="H394" s="102"/>
      <c r="I394" s="102"/>
      <c r="J394" s="156"/>
      <c r="K394" s="249"/>
      <c r="L394" s="210"/>
      <c r="M394" s="144"/>
      <c r="N394" s="145" t="str">
        <f>iferror(mround($P259*((VLOOKUP($J394,Sheet1!$D:$N,$G394+1,FALSE)-0.03)),2.5)," ")</f>
        <v> </v>
      </c>
      <c r="O394" s="145" t="str">
        <f>iferror(mround($P259*((VLOOKUP($J394,Sheet1!$D:$N,$G394+1,FALSE)+0.02)),2.5)," ")</f>
        <v> </v>
      </c>
      <c r="P394" s="122"/>
      <c r="Q394" s="304" t="str">
        <f t="shared" si="10"/>
        <v/>
      </c>
      <c r="S394" s="11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</row>
    <row r="395" ht="14.25" hidden="1" customHeight="1">
      <c r="A395" s="124"/>
      <c r="B395" s="6"/>
      <c r="C395" s="124"/>
      <c r="D395" s="185"/>
      <c r="E395" s="227"/>
      <c r="F395" s="187"/>
      <c r="G395" s="187"/>
      <c r="H395" s="195"/>
      <c r="I395" s="164"/>
      <c r="J395" s="248"/>
      <c r="K395" s="251"/>
      <c r="L395" s="164"/>
      <c r="M395" s="134" t="str">
        <f>I260</f>
        <v/>
      </c>
      <c r="N395" s="135" t="str">
        <f>iferror(mround($P260*((VLOOKUP($J395,Sheet1!$D:$N,$G395+1,FALSE)-0.03)),2.5)," ")</f>
        <v> </v>
      </c>
      <c r="O395" s="135" t="str">
        <f>iferror(mround($P260*((VLOOKUP($J395,Sheet1!$D:$N,$G395+1,FALSE)+0.02)),2.5)," ")</f>
        <v> </v>
      </c>
      <c r="P395" s="112" t="str">
        <f>iferror(mround(I395/VLOOKUP(L395,Sheet1!$D$7:$N$16,G395+1,FALSE),2.5),"")</f>
        <v/>
      </c>
      <c r="Q395" s="303" t="str">
        <f t="shared" si="10"/>
        <v/>
      </c>
      <c r="S395" s="11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</row>
    <row r="396" ht="3.75" hidden="1" customHeight="1">
      <c r="A396" s="261"/>
      <c r="B396" s="6"/>
      <c r="C396" s="262"/>
      <c r="D396" s="138"/>
      <c r="E396" s="245"/>
      <c r="F396" s="102"/>
      <c r="G396" s="102"/>
      <c r="H396" s="102"/>
      <c r="I396" s="102"/>
      <c r="J396" s="156"/>
      <c r="K396" s="249"/>
      <c r="L396" s="210"/>
      <c r="M396" s="144"/>
      <c r="N396" s="145"/>
      <c r="O396" s="145"/>
      <c r="P396" s="122"/>
      <c r="Q396" s="304" t="str">
        <f t="shared" si="10"/>
        <v/>
      </c>
      <c r="S396" s="157"/>
      <c r="T396" s="5"/>
      <c r="U396" s="5"/>
      <c r="V396" s="158"/>
      <c r="W396" s="158"/>
      <c r="X396" s="158"/>
      <c r="Y396" s="158"/>
      <c r="Z396" s="158"/>
      <c r="AA396" s="158"/>
      <c r="AB396" s="158"/>
      <c r="AC396" s="158"/>
      <c r="AD396" s="158"/>
      <c r="AE396" s="158"/>
      <c r="AF396" s="158"/>
      <c r="AG396" s="158"/>
    </row>
    <row r="397" ht="14.25" hidden="1" customHeight="1">
      <c r="A397" s="124"/>
      <c r="B397" s="6"/>
      <c r="C397" s="124"/>
      <c r="D397" s="185"/>
      <c r="E397" s="227"/>
      <c r="F397" s="187"/>
      <c r="G397" s="187"/>
      <c r="H397" s="195"/>
      <c r="I397" s="164"/>
      <c r="J397" s="248"/>
      <c r="K397" s="251"/>
      <c r="L397" s="164"/>
      <c r="M397" s="134" t="str">
        <f>I262</f>
        <v/>
      </c>
      <c r="N397" s="135" t="str">
        <f>iferror(mround($P262*((VLOOKUP($J397,Sheet1!$D:$N,$G397+1,FALSE)-0.03)),2.5)," ")</f>
        <v> </v>
      </c>
      <c r="O397" s="135" t="str">
        <f>iferror(mround($P262*((VLOOKUP($J397,Sheet1!$D:$N,$G397+1,FALSE)+0.02)),2.5)," ")</f>
        <v> </v>
      </c>
      <c r="P397" s="112" t="str">
        <f>iferror(mround(I397/VLOOKUP(L397,Sheet1!$D$7:$N$16,G397+1,FALSE),2.5),"")</f>
        <v/>
      </c>
      <c r="Q397" s="303" t="str">
        <f t="shared" si="10"/>
        <v/>
      </c>
      <c r="S397" s="11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</row>
    <row r="398" ht="3.75" hidden="1" customHeight="1">
      <c r="A398" s="261"/>
      <c r="B398" s="6"/>
      <c r="C398" s="262"/>
      <c r="D398" s="138"/>
      <c r="E398" s="252"/>
      <c r="F398" s="102"/>
      <c r="G398" s="102"/>
      <c r="H398" s="102"/>
      <c r="I398" s="102"/>
      <c r="J398" s="156"/>
      <c r="K398" s="249"/>
      <c r="L398" s="210"/>
      <c r="M398" s="144"/>
      <c r="N398" s="145"/>
      <c r="O398" s="145"/>
      <c r="P398" s="122"/>
      <c r="Q398" s="304" t="str">
        <f t="shared" si="10"/>
        <v/>
      </c>
      <c r="S398" s="157"/>
      <c r="T398" s="5"/>
      <c r="U398" s="5"/>
      <c r="V398" s="158"/>
      <c r="W398" s="158"/>
      <c r="X398" s="158"/>
      <c r="Y398" s="158"/>
      <c r="Z398" s="158"/>
      <c r="AA398" s="158"/>
      <c r="AB398" s="158"/>
      <c r="AC398" s="158"/>
      <c r="AD398" s="158"/>
      <c r="AE398" s="158"/>
      <c r="AF398" s="158"/>
      <c r="AG398" s="158"/>
    </row>
    <row r="399" ht="15.75" hidden="1" customHeight="1">
      <c r="A399" s="124"/>
      <c r="B399" s="6"/>
      <c r="C399" s="124"/>
      <c r="D399" s="185"/>
      <c r="E399" s="260"/>
      <c r="F399" s="187"/>
      <c r="G399" s="187"/>
      <c r="H399" s="195"/>
      <c r="I399" s="247"/>
      <c r="J399" s="248"/>
      <c r="K399" s="251"/>
      <c r="L399" s="164"/>
      <c r="M399" s="134"/>
      <c r="N399" s="135" t="str">
        <f>iferror(mround($P264*((VLOOKUP($J399,Sheet1!$D:$N,$G399+1,FALSE)-0.03)),2.5)," ")</f>
        <v> </v>
      </c>
      <c r="O399" s="135" t="str">
        <f>iferror(mround($P264*((VLOOKUP($J399,Sheet1!$D:$N,$G399+1,FALSE)+0.02)),2.5)," ")</f>
        <v> </v>
      </c>
      <c r="P399" s="112" t="str">
        <f>iferror(mround(I399/VLOOKUP(L399,Sheet1!$D$7:$N$16,G399+1,FALSE),2.5),"")</f>
        <v/>
      </c>
      <c r="Q399" s="303" t="str">
        <f t="shared" si="10"/>
        <v/>
      </c>
      <c r="S399" s="11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</row>
    <row r="400" ht="3.75" hidden="1" customHeight="1">
      <c r="A400" s="124"/>
      <c r="B400" s="6"/>
      <c r="C400" s="124"/>
      <c r="D400" s="263"/>
      <c r="E400" s="252"/>
      <c r="F400" s="102"/>
      <c r="G400" s="102"/>
      <c r="H400" s="102"/>
      <c r="I400" s="102"/>
      <c r="J400" s="156"/>
      <c r="K400" s="249"/>
      <c r="L400" s="210"/>
      <c r="M400" s="144"/>
      <c r="N400" s="145" t="str">
        <f>iferror(mround($P265*((VLOOKUP($J400,Sheet1!$D:$N,$G400+1,FALSE)-0.03)),2.5)," ")</f>
        <v> </v>
      </c>
      <c r="O400" s="145" t="str">
        <f>iferror(mround($P265*((VLOOKUP($J400,Sheet1!$D:$N,$G400+1,FALSE)+0.02)),2.5)," ")</f>
        <v> </v>
      </c>
      <c r="P400" s="122"/>
      <c r="Q400" s="304" t="str">
        <f t="shared" si="10"/>
        <v/>
      </c>
      <c r="S400" s="11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</row>
    <row r="401" ht="14.25" hidden="1" customHeight="1">
      <c r="A401" s="90"/>
      <c r="B401" s="6"/>
      <c r="C401" s="90"/>
      <c r="D401" s="185"/>
      <c r="E401" s="264"/>
      <c r="F401" s="187"/>
      <c r="G401" s="187"/>
      <c r="H401" s="195"/>
      <c r="I401" s="164"/>
      <c r="J401" s="248"/>
      <c r="K401" s="251"/>
      <c r="L401" s="164"/>
      <c r="M401" s="134" t="str">
        <f>I266</f>
        <v/>
      </c>
      <c r="N401" s="135" t="str">
        <f>iferror(mround($P266*((VLOOKUP($J401,Sheet1!$D:$N,$G401+1,FALSE)-0.03)),2.5)," ")</f>
        <v> </v>
      </c>
      <c r="O401" s="135" t="str">
        <f>iferror(mround($P266*((VLOOKUP($J401,Sheet1!$D:$N,$G401+1,FALSE)+0.02)),2.5)," ")</f>
        <v> </v>
      </c>
      <c r="P401" s="112" t="str">
        <f>iferror(mround(I401/VLOOKUP(L401,Sheet1!$D$7:$N$16,G401+1,FALSE),2.5),"")</f>
        <v/>
      </c>
      <c r="Q401" s="303" t="str">
        <f t="shared" si="10"/>
        <v/>
      </c>
      <c r="S401" s="11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</row>
    <row r="402" ht="3.75" hidden="1" customHeight="1">
      <c r="A402" s="261"/>
      <c r="B402" s="6"/>
      <c r="C402" s="262"/>
      <c r="D402" s="263"/>
      <c r="E402" s="263"/>
      <c r="F402" s="194"/>
      <c r="G402" s="194"/>
      <c r="H402" s="155"/>
      <c r="I402" s="210"/>
      <c r="J402" s="265"/>
      <c r="K402" s="249"/>
      <c r="L402" s="210"/>
      <c r="M402" s="144"/>
      <c r="N402" s="145"/>
      <c r="O402" s="145"/>
      <c r="P402" s="122"/>
      <c r="Q402" s="304" t="str">
        <f t="shared" si="10"/>
        <v/>
      </c>
      <c r="S402" s="157"/>
      <c r="T402" s="5"/>
      <c r="U402" s="5"/>
      <c r="V402" s="158"/>
      <c r="W402" s="158"/>
      <c r="X402" s="158"/>
      <c r="Y402" s="158"/>
      <c r="Z402" s="158"/>
      <c r="AA402" s="158"/>
      <c r="AB402" s="158"/>
      <c r="AC402" s="158"/>
      <c r="AD402" s="158"/>
      <c r="AE402" s="158"/>
      <c r="AF402" s="158"/>
      <c r="AG402" s="158"/>
    </row>
    <row r="403" ht="15.75" hidden="1" customHeight="1">
      <c r="A403" s="90"/>
      <c r="B403" s="6"/>
      <c r="C403" s="90"/>
      <c r="D403" s="185"/>
      <c r="E403" s="266"/>
      <c r="F403" s="187"/>
      <c r="G403" s="187"/>
      <c r="H403" s="195"/>
      <c r="I403" s="164"/>
      <c r="J403" s="248"/>
      <c r="K403" s="251"/>
      <c r="L403" s="164"/>
      <c r="M403" s="134"/>
      <c r="N403" s="135" t="str">
        <f>iferror(mround($P268*((VLOOKUP($J403,Sheet1!$D:$N,$G403+1,FALSE)-0.03)),2.5)," ")</f>
        <v> </v>
      </c>
      <c r="O403" s="135" t="str">
        <f>iferror(mround($P268*((VLOOKUP($J403,Sheet1!$D:$N,$G403+1,FALSE)+0.02)),2.5)," ")</f>
        <v> </v>
      </c>
      <c r="P403" s="112" t="str">
        <f>iferror(mround(I403/VLOOKUP(L403,Sheet1!$D$7:$N$16,G403+1,FALSE),2.5),"")</f>
        <v/>
      </c>
      <c r="Q403" s="303" t="str">
        <f t="shared" si="10"/>
        <v/>
      </c>
      <c r="S403" s="11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</row>
    <row r="404" ht="3.75" hidden="1" customHeight="1">
      <c r="A404" s="90"/>
      <c r="B404" s="6"/>
      <c r="C404" s="90"/>
      <c r="D404" s="138"/>
      <c r="E404" s="252"/>
      <c r="F404" s="102"/>
      <c r="G404" s="102"/>
      <c r="H404" s="102"/>
      <c r="I404" s="102"/>
      <c r="J404" s="156"/>
      <c r="K404" s="249"/>
      <c r="L404" s="210"/>
      <c r="M404" s="144"/>
      <c r="N404" s="145" t="str">
        <f>iferror(mround($P269*((VLOOKUP($J404,Sheet1!$D:$N,$G404+1,FALSE)-0.03)),2.5)," ")</f>
        <v> </v>
      </c>
      <c r="O404" s="145" t="str">
        <f>iferror(mround($P269*((VLOOKUP($J404,Sheet1!$D:$N,$G404+1,FALSE)+0.02)),2.5)," ")</f>
        <v> </v>
      </c>
      <c r="P404" s="122"/>
      <c r="Q404" s="304" t="str">
        <f t="shared" si="10"/>
        <v/>
      </c>
      <c r="S404" s="11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</row>
    <row r="405" ht="15.75" hidden="1" customHeight="1">
      <c r="A405" s="90"/>
      <c r="B405" s="6"/>
      <c r="C405" s="90"/>
      <c r="D405" s="185"/>
      <c r="E405" s="264"/>
      <c r="F405" s="187"/>
      <c r="G405" s="187"/>
      <c r="H405" s="195"/>
      <c r="I405" s="164"/>
      <c r="J405" s="248"/>
      <c r="K405" s="251"/>
      <c r="L405" s="164"/>
      <c r="M405" s="134" t="str">
        <f>I270</f>
        <v/>
      </c>
      <c r="N405" s="135" t="str">
        <f>iferror(mround($P270*((VLOOKUP($J405,Sheet1!$D:$N,$G405+1,FALSE)-0.03)),2.5)," ")</f>
        <v> </v>
      </c>
      <c r="O405" s="135" t="str">
        <f>iferror(mround($P270*((VLOOKUP($J405,Sheet1!$D:$N,$G405+1,FALSE)+0.02)),2.5)," ")</f>
        <v> </v>
      </c>
      <c r="P405" s="112" t="str">
        <f>iferror(mround(I405/VLOOKUP(L405,Sheet1!$D$7:$N$16,G405+1,FALSE),2.5),"")</f>
        <v/>
      </c>
      <c r="Q405" s="303" t="str">
        <f t="shared" si="10"/>
        <v/>
      </c>
      <c r="S405" s="11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</row>
    <row r="406" ht="3.75" hidden="1" customHeight="1">
      <c r="A406" s="191"/>
      <c r="B406" s="6"/>
      <c r="C406" s="192"/>
      <c r="D406" s="138"/>
      <c r="E406" s="252"/>
      <c r="F406" s="102"/>
      <c r="G406" s="102"/>
      <c r="H406" s="102"/>
      <c r="I406" s="102"/>
      <c r="J406" s="156"/>
      <c r="K406" s="249"/>
      <c r="L406" s="210"/>
      <c r="M406" s="144"/>
      <c r="N406" s="145"/>
      <c r="O406" s="145"/>
      <c r="P406" s="122"/>
      <c r="Q406" s="304" t="str">
        <f t="shared" si="10"/>
        <v/>
      </c>
      <c r="S406" s="157"/>
      <c r="T406" s="5"/>
      <c r="U406" s="5"/>
      <c r="V406" s="158"/>
      <c r="W406" s="158"/>
      <c r="X406" s="158"/>
      <c r="Y406" s="158"/>
      <c r="Z406" s="158"/>
      <c r="AA406" s="158"/>
      <c r="AB406" s="158"/>
      <c r="AC406" s="158"/>
      <c r="AD406" s="158"/>
      <c r="AE406" s="158"/>
      <c r="AF406" s="158"/>
      <c r="AG406" s="158"/>
    </row>
    <row r="407" ht="15.75" hidden="1" customHeight="1">
      <c r="A407" s="90"/>
      <c r="B407" s="6"/>
      <c r="C407" s="90"/>
      <c r="D407" s="185"/>
      <c r="E407" s="260"/>
      <c r="F407" s="187"/>
      <c r="G407" s="187"/>
      <c r="H407" s="195"/>
      <c r="I407" s="164"/>
      <c r="J407" s="248"/>
      <c r="K407" s="251"/>
      <c r="L407" s="164"/>
      <c r="M407" s="134" t="str">
        <f>I272</f>
        <v/>
      </c>
      <c r="N407" s="135" t="str">
        <f>iferror(mround($P272*((VLOOKUP($J407,Sheet1!$D:$N,$G407+1,FALSE)-0.03)),2.5)," ")</f>
        <v> </v>
      </c>
      <c r="O407" s="135" t="str">
        <f>iferror(mround($P272*((VLOOKUP($J407,Sheet1!$D:$N,$G407+1,FALSE)+0.02)),2.5)," ")</f>
        <v> </v>
      </c>
      <c r="P407" s="112" t="str">
        <f>iferror(mround(I407/VLOOKUP(L407,Sheet1!$D$7:$N$16,G407+1,FALSE),2.5),"")</f>
        <v/>
      </c>
      <c r="Q407" s="303" t="str">
        <f t="shared" si="10"/>
        <v/>
      </c>
      <c r="S407" s="11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</row>
    <row r="408" ht="3.75" hidden="1" customHeight="1">
      <c r="A408" s="90"/>
      <c r="B408" s="6"/>
      <c r="C408" s="90"/>
      <c r="D408" s="263"/>
      <c r="E408" s="252"/>
      <c r="F408" s="102"/>
      <c r="G408" s="102"/>
      <c r="H408" s="102"/>
      <c r="I408" s="102"/>
      <c r="J408" s="156"/>
      <c r="K408" s="249"/>
      <c r="L408" s="210"/>
      <c r="M408" s="144"/>
      <c r="N408" s="145"/>
      <c r="O408" s="145"/>
      <c r="P408" s="122"/>
      <c r="Q408" s="304" t="str">
        <f t="shared" si="10"/>
        <v/>
      </c>
      <c r="S408" s="11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</row>
    <row r="409" ht="15.75" hidden="1" customHeight="1">
      <c r="A409" s="90"/>
      <c r="B409" s="6"/>
      <c r="C409" s="90"/>
      <c r="D409" s="185"/>
      <c r="E409" s="266"/>
      <c r="F409" s="187"/>
      <c r="G409" s="187"/>
      <c r="H409" s="195"/>
      <c r="I409" s="164"/>
      <c r="J409" s="248"/>
      <c r="K409" s="251"/>
      <c r="L409" s="164"/>
      <c r="M409" s="134" t="str">
        <f>I274</f>
        <v/>
      </c>
      <c r="N409" s="135" t="str">
        <f>iferror(mround($P274*((VLOOKUP($J409,Sheet1!$D:$N,$G409+1,FALSE)-0.03)),2.5)," ")</f>
        <v> </v>
      </c>
      <c r="O409" s="135" t="str">
        <f>iferror(mround($P274*((VLOOKUP($J409,Sheet1!$D:$N,$G409+1,FALSE)+0.02)),2.5)," ")</f>
        <v> </v>
      </c>
      <c r="P409" s="112" t="str">
        <f>iferror(mround(I409/VLOOKUP(L409,Sheet1!$D$7:$N$16,G409+1,FALSE),2.5),"")</f>
        <v/>
      </c>
      <c r="Q409" s="303" t="str">
        <f t="shared" si="10"/>
        <v/>
      </c>
      <c r="S409" s="11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</row>
    <row r="410" ht="3.75" customHeight="1">
      <c r="A410" s="191"/>
      <c r="B410" s="6"/>
      <c r="C410" s="192"/>
      <c r="D410" s="192"/>
      <c r="E410" s="267"/>
      <c r="F410" s="194"/>
      <c r="G410" s="194"/>
      <c r="H410" s="155"/>
      <c r="I410" s="210"/>
      <c r="J410" s="268"/>
      <c r="K410" s="249"/>
      <c r="L410" s="269"/>
      <c r="M410" s="270"/>
      <c r="N410" s="269"/>
      <c r="O410" s="269"/>
      <c r="P410" s="271"/>
      <c r="Q410" s="272"/>
      <c r="R410" s="273"/>
      <c r="S410" s="157"/>
      <c r="T410" s="5"/>
      <c r="U410" s="5"/>
      <c r="V410" s="158"/>
      <c r="W410" s="158"/>
      <c r="X410" s="158"/>
      <c r="Y410" s="158"/>
      <c r="Z410" s="158"/>
      <c r="AA410" s="158"/>
      <c r="AB410" s="158"/>
      <c r="AC410" s="158"/>
      <c r="AD410" s="158"/>
      <c r="AE410" s="158"/>
      <c r="AF410" s="158"/>
      <c r="AG410" s="158"/>
    </row>
    <row r="411" ht="14.25" customHeight="1">
      <c r="A411" s="5"/>
      <c r="B411" s="6"/>
      <c r="C411" s="5"/>
      <c r="D411" s="274"/>
      <c r="E411" s="266"/>
      <c r="F411" s="187"/>
      <c r="G411" s="187"/>
      <c r="H411" s="195"/>
      <c r="I411" s="129"/>
      <c r="J411" s="275"/>
      <c r="K411" s="276"/>
      <c r="L411" s="187"/>
      <c r="M411" s="187"/>
      <c r="N411" s="187"/>
      <c r="O411" s="187"/>
      <c r="P411" s="277"/>
      <c r="Q411" s="278"/>
      <c r="R411" s="279"/>
      <c r="S411" s="11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</row>
    <row r="412" ht="14.25" customHeight="1">
      <c r="A412" s="5"/>
      <c r="B412" s="6"/>
      <c r="C412" s="5"/>
      <c r="D412" s="274" t="s">
        <v>59</v>
      </c>
      <c r="E412" s="266" t="s">
        <v>16</v>
      </c>
      <c r="F412" s="187" t="s">
        <v>17</v>
      </c>
      <c r="G412" s="187" t="s">
        <v>60</v>
      </c>
      <c r="H412" s="187"/>
      <c r="I412" s="280" t="s">
        <v>61</v>
      </c>
      <c r="J412" s="266" t="s">
        <v>62</v>
      </c>
      <c r="K412" s="274"/>
      <c r="L412" s="187"/>
      <c r="M412" s="285"/>
      <c r="N412" s="285"/>
      <c r="O412" s="285"/>
      <c r="P412" s="282"/>
      <c r="Q412" s="278"/>
      <c r="R412" s="157"/>
      <c r="S412" s="11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</row>
    <row r="413" ht="14.25" customHeight="1">
      <c r="A413" s="5"/>
      <c r="B413" s="6"/>
      <c r="C413" s="5"/>
      <c r="D413" s="274" t="s">
        <v>6</v>
      </c>
      <c r="E413" s="283">
        <f>IFERROR(__xludf.DUMMYFUNCTION("SUM(FILTER(F288:F412, ISNUMBER(SEARCH(""squat"", D288:D412))))"),8.0)</f>
        <v>8</v>
      </c>
      <c r="F413" s="284">
        <f>IFERROR(__xludf.DUMMYFUNCTION("SUMPRODUCT(FILTER(F288:F412 * G288:G412, ISNUMBER(SEARCH(""squat"", D288:D412))))"),43.0)</f>
        <v>43</v>
      </c>
      <c r="G413" s="135">
        <f>IFERROR(__xludf.DUMMYFUNCTION("ROUND(SUMPRODUCT(FILTER(F288:F412 * G288:G412 * I288:I412, ISNUMBER(SEARCH(""squat"", D288:D412)))), 0)"),16154.0)</f>
        <v>16154</v>
      </c>
      <c r="H413" s="285"/>
      <c r="I413" s="135">
        <f>IFERROR(__xludf.DUMMYFUNCTION("ROUND(AVERAGE(FILTER(I288:I412, ISNUMBER(SEARCH(""squat"", D288:D412)), I288:I412 &lt;&gt; """")) / J413 * 100, 0)"),73.0)</f>
        <v>73</v>
      </c>
      <c r="J413" s="283">
        <f>IFERROR(__xludf.DUMMYFUNCTION("IFERROR(MROUND(AVERAGE(FILTER(P288:P412, D288:D412 = ""comp squat"", P288:P412 &lt;&gt; """", P288:P412 &gt;= 0.9 * MAX(FILTER(P288:P412, D288:D412 = ""comp squat"", P288:P412 &lt;&gt; """")), P288:P412 &lt;= 1.1 * MAX(FILTER(P288:P412, D288:D412 = ""comp squat"", P288:P41"&amp;"2 &lt;&gt; """")))), 2.5), ""No valid data"")"),532.5)</f>
        <v>532.5</v>
      </c>
      <c r="K413" s="286"/>
      <c r="L413" s="287">
        <f>MROUND(J413/2.2046,2.5)-$O$10</f>
        <v>0</v>
      </c>
      <c r="M413" s="305"/>
      <c r="N413" s="305"/>
      <c r="O413" s="305"/>
      <c r="P413" s="282"/>
      <c r="Q413" s="278"/>
      <c r="R413" s="291"/>
      <c r="S413" s="11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</row>
    <row r="414" ht="3.0" customHeight="1">
      <c r="A414" s="5"/>
      <c r="B414" s="6"/>
      <c r="C414" s="5"/>
      <c r="D414" s="90"/>
      <c r="E414" s="156"/>
      <c r="F414" s="102"/>
      <c r="G414" s="145"/>
      <c r="H414" s="102"/>
      <c r="I414" s="145"/>
      <c r="J414" s="156"/>
      <c r="K414" s="286"/>
      <c r="L414" s="292"/>
      <c r="M414" s="284"/>
      <c r="N414" s="284"/>
      <c r="O414" s="305"/>
      <c r="P414" s="282"/>
      <c r="Q414" s="278"/>
      <c r="R414" s="115"/>
      <c r="S414" s="11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</row>
    <row r="415" ht="15.75" customHeight="1">
      <c r="A415" s="5"/>
      <c r="B415" s="6"/>
      <c r="C415" s="5"/>
      <c r="D415" s="274" t="s">
        <v>66</v>
      </c>
      <c r="E415" s="293">
        <f>IFERROR(__xludf.DUMMYFUNCTION("SUM(FILTER(F288:F412, ISNUMBER(SEARCH(""bench press"", D288:D412))))"),15.0)</f>
        <v>15</v>
      </c>
      <c r="F415" s="284">
        <f>IFERROR(__xludf.DUMMYFUNCTION("SUMPRODUCT(FILTER(F289:F413 * G289:G413, ISNUMBER(SEARCH(""bench press"", D289:D413))))"),60.0)</f>
        <v>60</v>
      </c>
      <c r="G415" s="135">
        <f>IFERROR(__xludf.DUMMYFUNCTION("ROUND(SUMPRODUCT(FILTER(F288:F412 * G288:G412 * I288:I412, ISNUMBER(SEARCH(""bench press"", D288:D412)))), 0)"),15076.0)</f>
        <v>15076</v>
      </c>
      <c r="H415" s="285"/>
      <c r="I415" s="135">
        <f>IFERROR(__xludf.DUMMYFUNCTION("ROUND(AVERAGE(FILTER(I288:I412, ISNUMBER(SEARCH(""bench press"", D288:D412)), I288:I412 &lt;&gt; """")) / J415 * 100, 0)"),81.0)</f>
        <v>81</v>
      </c>
      <c r="J415" s="293">
        <f>IFERROR(__xludf.DUMMYFUNCTION("IFERROR(MROUND(AVERAGE(FILTER(P288:P412, D288:D412 = ""comp bench press"", P288:P412 &lt;&gt; """", P288:P412 &gt;= 0.9 * MAX(FILTER(P288:P412, D288:D412 = ""comp bench press"", P288:P412 &lt;&gt; """")), P288:P412 &lt;= 1.1 * MAX(FILTER(P288:P412, D288:D412 = ""comp bench"&amp;" press"", P288:P412 &lt;&gt; """")))), 2.5), ""No valid data"")"),325.0)</f>
        <v>325</v>
      </c>
      <c r="K415" s="286"/>
      <c r="L415" s="294">
        <f>MROUND(J415/2.2046,2.5)-$O$11</f>
        <v>-5</v>
      </c>
      <c r="M415" s="285"/>
      <c r="N415" s="285"/>
      <c r="O415" s="305"/>
      <c r="P415" s="282"/>
      <c r="Q415" s="278"/>
      <c r="R415" s="157"/>
      <c r="S415" s="11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</row>
    <row r="416" ht="3.0" customHeight="1">
      <c r="A416" s="5"/>
      <c r="B416" s="6"/>
      <c r="C416" s="5"/>
      <c r="D416" s="90"/>
      <c r="E416" s="156"/>
      <c r="F416" s="102"/>
      <c r="G416" s="145"/>
      <c r="H416" s="102"/>
      <c r="I416" s="145"/>
      <c r="J416" s="156"/>
      <c r="K416" s="286"/>
      <c r="L416" s="292"/>
      <c r="M416" s="285"/>
      <c r="N416" s="285"/>
      <c r="O416" s="284"/>
      <c r="P416" s="282"/>
      <c r="Q416" s="278"/>
      <c r="R416" s="157"/>
      <c r="S416" s="11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</row>
    <row r="417" ht="14.25" customHeight="1">
      <c r="A417" s="5"/>
      <c r="B417" s="6"/>
      <c r="C417" s="5"/>
      <c r="D417" s="274" t="s">
        <v>10</v>
      </c>
      <c r="E417" s="293">
        <f>IFERROR(__xludf.DUMMYFUNCTION("SUM(FILTER(F288:F412, ISNUMBER(SEARCH(""deadlift"", D288:D412))))"),7.0)</f>
        <v>7</v>
      </c>
      <c r="F417" s="284">
        <f>IFERROR(__xludf.DUMMYFUNCTION("SUMPRODUCT(FILTER(F288:F412 * G288:G412, ISNUMBER(SEARCH(""deadlift"", D288:D412))))"),25.0)</f>
        <v>25</v>
      </c>
      <c r="G417" s="135">
        <f>IFERROR(__xludf.DUMMYFUNCTION("ROUND(SUMPRODUCT(FILTER(F288:F412 * G288:G412 * I288:I412, ISNUMBER(SEARCH(""deadlift"", D288:D412)))), 0)"),11263.0)</f>
        <v>11263</v>
      </c>
      <c r="H417" s="285"/>
      <c r="I417" s="135">
        <f>IFERROR(__xludf.DUMMYFUNCTION("ROUND(AVERAGE(FILTER(I288:I412, ISNUMBER(SEARCH(""deadlift"", D288:D412)), I288:I412 &lt;&gt; """")) / J417 * 100, 0)"),76.0)</f>
        <v>76</v>
      </c>
      <c r="J417" s="293">
        <f>IFERROR(__xludf.DUMMYFUNCTION("IFERROR(MROUND(AVERAGE(FILTER(P288:P412, D288:D412 = ""comp deadlift"", P288:P412 &lt;&gt; """", P288:P412 &gt;= 0.9 * MAX(FILTER(P288:P412, D288:D412 = ""comp deadlift"", P288:P412 &lt;&gt; """")), P288:P412 &lt;= 1.1 * MAX(FILTER(P288:P412, D288:D412 = ""comp deadlift"","&amp;" P288:P412 &lt;&gt; """")))), 2.5), ""No valid data"")"),607.5)</f>
        <v>607.5</v>
      </c>
      <c r="K417" s="286"/>
      <c r="L417" s="294">
        <f>MROUND(J417/2.2046,2.5)-$O$12</f>
        <v>10</v>
      </c>
      <c r="M417" s="285"/>
      <c r="N417" s="285"/>
      <c r="O417" s="285"/>
      <c r="P417" s="282"/>
      <c r="Q417" s="278"/>
      <c r="R417" s="157"/>
      <c r="S417" s="11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</row>
    <row r="418" ht="14.25" customHeight="1">
      <c r="A418" s="5"/>
      <c r="B418" s="6"/>
      <c r="C418" s="5"/>
      <c r="D418" s="274"/>
      <c r="E418" s="266"/>
      <c r="F418" s="187"/>
      <c r="G418" s="187"/>
      <c r="H418" s="187"/>
      <c r="I418" s="187"/>
      <c r="J418" s="295"/>
      <c r="K418" s="274"/>
      <c r="L418" s="187"/>
      <c r="M418" s="285"/>
      <c r="N418" s="285"/>
      <c r="O418" s="285"/>
      <c r="P418" s="282"/>
      <c r="Q418" s="278"/>
      <c r="R418" s="157"/>
      <c r="S418" s="11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</row>
    <row r="419" ht="14.25" customHeight="1">
      <c r="A419" s="5"/>
      <c r="B419" s="2"/>
      <c r="C419" s="5"/>
      <c r="D419" s="5"/>
      <c r="E419" s="75"/>
      <c r="F419" s="3"/>
      <c r="G419" s="3"/>
      <c r="H419" s="3"/>
      <c r="I419" s="3"/>
      <c r="J419" s="75"/>
      <c r="K419" s="5"/>
      <c r="L419" s="3"/>
      <c r="M419" s="47"/>
      <c r="N419" s="3"/>
      <c r="O419" s="3"/>
      <c r="P419" s="3"/>
      <c r="Q419" s="4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</row>
    <row r="420" ht="18.75" customHeight="1">
      <c r="A420" s="90"/>
      <c r="B420" s="6"/>
      <c r="C420" s="91"/>
      <c r="D420" s="79" t="s">
        <v>72</v>
      </c>
      <c r="E420" s="80" t="s">
        <v>13</v>
      </c>
      <c r="G420" s="81"/>
      <c r="H420" s="81"/>
      <c r="I420" s="81"/>
      <c r="J420" s="82"/>
      <c r="K420" s="83"/>
      <c r="L420" s="83"/>
      <c r="M420" s="93"/>
      <c r="N420" s="93"/>
      <c r="O420" s="93"/>
      <c r="P420" s="296"/>
      <c r="Q420" s="297"/>
      <c r="R420" s="298"/>
      <c r="S420" s="10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</row>
    <row r="421" ht="18.75" customHeight="1">
      <c r="A421" s="90"/>
      <c r="B421" s="6"/>
      <c r="C421" s="91"/>
      <c r="D421" s="299">
        <f>D286+1</f>
        <v>4</v>
      </c>
      <c r="E421" s="300" t="str">
        <f>IF(E286 = "", "", E286 - 1)</f>
        <v/>
      </c>
      <c r="G421" s="301"/>
      <c r="H421" s="301"/>
      <c r="I421" s="301"/>
      <c r="J421" s="92"/>
      <c r="K421" s="93"/>
      <c r="L421" s="93"/>
      <c r="M421" s="93"/>
      <c r="N421" s="93"/>
      <c r="O421" s="93"/>
      <c r="P421" s="94"/>
      <c r="Q421" s="95"/>
      <c r="R421" s="96"/>
      <c r="S421" s="10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</row>
    <row r="422" ht="5.25" customHeight="1">
      <c r="A422" s="90"/>
      <c r="B422" s="6"/>
      <c r="C422" s="90"/>
      <c r="D422" s="97"/>
      <c r="E422" s="98"/>
      <c r="F422" s="99"/>
      <c r="G422" s="99"/>
      <c r="H422" s="99"/>
      <c r="I422" s="100"/>
      <c r="J422" s="101"/>
      <c r="K422" s="90"/>
      <c r="L422" s="102"/>
      <c r="M422" s="102"/>
      <c r="N422" s="102"/>
      <c r="O422" s="102"/>
      <c r="P422" s="103"/>
      <c r="Q422" s="4"/>
      <c r="R422" s="90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</row>
    <row r="423" ht="30.75" customHeight="1">
      <c r="A423" s="90"/>
      <c r="B423" s="6"/>
      <c r="C423" s="90"/>
      <c r="D423" s="202" t="s">
        <v>73</v>
      </c>
      <c r="E423" s="105" t="s">
        <v>75</v>
      </c>
      <c r="F423" s="106" t="s">
        <v>16</v>
      </c>
      <c r="G423" s="106" t="s">
        <v>17</v>
      </c>
      <c r="H423" s="107"/>
      <c r="I423" s="106" t="s">
        <v>18</v>
      </c>
      <c r="J423" s="108" t="s">
        <v>19</v>
      </c>
      <c r="L423" s="109" t="s">
        <v>20</v>
      </c>
      <c r="M423" s="110" t="s">
        <v>21</v>
      </c>
      <c r="N423" s="111" t="s">
        <v>22</v>
      </c>
      <c r="P423" s="112"/>
      <c r="Q423" s="113" t="s">
        <v>23</v>
      </c>
      <c r="R423" s="114" t="s">
        <v>24</v>
      </c>
      <c r="S423" s="11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</row>
    <row r="424" ht="14.25" customHeight="1">
      <c r="A424" s="90"/>
      <c r="B424" s="6"/>
      <c r="C424" s="90"/>
      <c r="D424" s="116" t="s">
        <v>102</v>
      </c>
      <c r="E424" s="117">
        <v>2.0</v>
      </c>
      <c r="H424" s="107"/>
      <c r="N424" s="111" t="s">
        <v>27</v>
      </c>
      <c r="O424" s="111" t="s">
        <v>28</v>
      </c>
      <c r="P424" s="112" t="s">
        <v>29</v>
      </c>
      <c r="R424" s="118" t="s">
        <v>30</v>
      </c>
      <c r="S424" s="11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</row>
    <row r="425" ht="3.75" customHeight="1">
      <c r="A425" s="90"/>
      <c r="B425" s="6"/>
      <c r="C425" s="90"/>
      <c r="D425" s="97"/>
      <c r="E425" s="98"/>
      <c r="F425" s="99"/>
      <c r="G425" s="99"/>
      <c r="H425" s="99"/>
      <c r="I425" s="100"/>
      <c r="J425" s="302"/>
      <c r="K425" s="90"/>
      <c r="L425" s="102"/>
      <c r="M425" s="121"/>
      <c r="N425" s="102"/>
      <c r="O425" s="102"/>
      <c r="P425" s="122"/>
      <c r="Q425" s="4"/>
      <c r="R425" s="123"/>
      <c r="S425" s="11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</row>
    <row r="426" ht="15.75" customHeight="1">
      <c r="A426" s="124"/>
      <c r="B426" s="6"/>
      <c r="C426" s="124"/>
      <c r="D426" s="125" t="s">
        <v>77</v>
      </c>
      <c r="E426" s="126"/>
      <c r="F426" s="127">
        <v>1.0</v>
      </c>
      <c r="G426" s="240">
        <v>6.0</v>
      </c>
      <c r="H426" s="129"/>
      <c r="I426" s="130">
        <v>402.0</v>
      </c>
      <c r="J426" s="151">
        <v>6.0</v>
      </c>
      <c r="K426" s="132"/>
      <c r="L426" s="133">
        <v>6.0</v>
      </c>
      <c r="M426" s="134">
        <f>I291</f>
        <v>380</v>
      </c>
      <c r="N426" s="135">
        <f>iferror(mround($P291*((VLOOKUP($J426,Sheet1!$D:$N,$G426+1,FALSE)-0.03)),2.5)," ")</f>
        <v>0</v>
      </c>
      <c r="O426" s="135">
        <f>iferror(mround($P291*((VLOOKUP($J426,Sheet1!$D:$N,$G426+1,FALSE)+0.02)),2.5)," ")</f>
        <v>0</v>
      </c>
      <c r="P426" s="56">
        <f>iferror(mround(I426/VLOOKUP(L426,Sheet1!$D$7:$N$16,G426+1,FALSE),2.5),"")</f>
        <v>542.5</v>
      </c>
      <c r="Q426" s="303">
        <f t="shared" ref="Q426:Q447" si="11">IF(OR(ISBLANK(I426), ISBLANK(I291)), "", IF(I426 - I291 = 0, "", I426 - I291))</f>
        <v>22</v>
      </c>
      <c r="S426" s="11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</row>
    <row r="427" ht="3.75" customHeight="1">
      <c r="A427" s="137"/>
      <c r="B427" s="70"/>
      <c r="C427" s="137"/>
      <c r="D427" s="138"/>
      <c r="E427" s="139"/>
      <c r="F427" s="140"/>
      <c r="G427" s="140"/>
      <c r="H427" s="140"/>
      <c r="I427" s="330">
        <v>402.0</v>
      </c>
      <c r="J427" s="141"/>
      <c r="K427" s="142"/>
      <c r="L427" s="143"/>
      <c r="M427" s="144"/>
      <c r="N427" s="145"/>
      <c r="O427" s="145"/>
      <c r="P427" s="122"/>
      <c r="Q427" s="304" t="str">
        <f t="shared" si="11"/>
        <v/>
      </c>
      <c r="S427" s="147"/>
      <c r="T427" s="148"/>
      <c r="U427" s="148"/>
      <c r="V427" s="148"/>
      <c r="W427" s="148"/>
      <c r="X427" s="148"/>
      <c r="Y427" s="148"/>
      <c r="Z427" s="148"/>
      <c r="AA427" s="148"/>
      <c r="AB427" s="148"/>
      <c r="AC427" s="148"/>
      <c r="AD427" s="148"/>
      <c r="AE427" s="148"/>
      <c r="AF427" s="148"/>
      <c r="AG427" s="148"/>
    </row>
    <row r="428" ht="15.75" customHeight="1">
      <c r="A428" s="149"/>
      <c r="B428" s="150"/>
      <c r="C428" s="149"/>
      <c r="D428" s="125" t="s">
        <v>77</v>
      </c>
      <c r="E428" s="126"/>
      <c r="F428" s="127">
        <v>1.0</v>
      </c>
      <c r="G428" s="240">
        <v>6.0</v>
      </c>
      <c r="H428" s="129"/>
      <c r="I428" s="130">
        <v>441.0</v>
      </c>
      <c r="J428" s="151">
        <v>7.5</v>
      </c>
      <c r="K428" s="132"/>
      <c r="L428" s="133">
        <v>7.5</v>
      </c>
      <c r="M428" s="134">
        <f>I293</f>
        <v>419</v>
      </c>
      <c r="N428" s="135">
        <f>iferror(mround($P293*((VLOOKUP($J428,Sheet1!$D:$N,$G428+1,FALSE)-0.03)),2.5)," ")</f>
        <v>417.5</v>
      </c>
      <c r="O428" s="135">
        <f>iferror(mround($P293*((VLOOKUP($J428,Sheet1!$D:$N,$G428+1,FALSE)+0.02)),2.5)," ")</f>
        <v>445</v>
      </c>
      <c r="P428" s="56">
        <f>iferror(mround(I428/VLOOKUP(L428,Sheet1!$D$7:$N$16,G428+1,FALSE),2.5),"")</f>
        <v>567.5</v>
      </c>
      <c r="Q428" s="303">
        <f t="shared" si="11"/>
        <v>22</v>
      </c>
      <c r="S428" s="11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</row>
    <row r="429" ht="3.75" customHeight="1">
      <c r="A429" s="152"/>
      <c r="B429" s="150"/>
      <c r="C429" s="153"/>
      <c r="D429" s="138"/>
      <c r="E429" s="154"/>
      <c r="F429" s="155"/>
      <c r="G429" s="102"/>
      <c r="H429" s="102"/>
      <c r="I429" s="102"/>
      <c r="J429" s="156"/>
      <c r="K429" s="142"/>
      <c r="L429" s="143"/>
      <c r="M429" s="144"/>
      <c r="N429" s="145"/>
      <c r="O429" s="145"/>
      <c r="P429" s="122"/>
      <c r="Q429" s="304" t="str">
        <f t="shared" si="11"/>
        <v/>
      </c>
      <c r="S429" s="157"/>
      <c r="T429" s="5"/>
      <c r="U429" s="5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</row>
    <row r="430" ht="15.75" customHeight="1">
      <c r="A430" s="149"/>
      <c r="B430" s="150"/>
      <c r="C430" s="149"/>
      <c r="D430" s="125" t="s">
        <v>77</v>
      </c>
      <c r="E430" s="126"/>
      <c r="F430" s="127">
        <v>1.0</v>
      </c>
      <c r="G430" s="161">
        <v>6.0</v>
      </c>
      <c r="H430" s="129"/>
      <c r="I430" s="164">
        <f>MROUND(I428*(1+J430),5)</f>
        <v>440</v>
      </c>
      <c r="J430" s="151"/>
      <c r="K430" s="132"/>
      <c r="L430" s="133">
        <v>8.5</v>
      </c>
      <c r="M430" s="134">
        <f>I295</f>
        <v>375</v>
      </c>
      <c r="N430" s="135" t="str">
        <f>iferror(mround($P295*((VLOOKUP($J430,Sheet1!$D:$N,$G430+1,FALSE)-0.03)),2.5)," ")</f>
        <v> </v>
      </c>
      <c r="O430" s="135" t="str">
        <f>iferror(mround($P295*((VLOOKUP($J430,Sheet1!$D:$N,$G430+1,FALSE)+0.02)),2.5)," ")</f>
        <v> </v>
      </c>
      <c r="P430" s="56">
        <f>iferror(mround(I430/VLOOKUP(L430,Sheet1!$D$7:$N$16,G430+1,FALSE),2.5),"")</f>
        <v>547.5</v>
      </c>
      <c r="Q430" s="303">
        <f t="shared" si="11"/>
        <v>65</v>
      </c>
      <c r="S430" s="11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</row>
    <row r="431" ht="3.75" customHeight="1">
      <c r="A431" s="162"/>
      <c r="B431" s="163"/>
      <c r="C431" s="162"/>
      <c r="D431" s="138"/>
      <c r="E431" s="154"/>
      <c r="F431" s="155"/>
      <c r="G431" s="102"/>
      <c r="H431" s="102"/>
      <c r="I431" s="102"/>
      <c r="J431" s="156"/>
      <c r="K431" s="142"/>
      <c r="L431" s="143"/>
      <c r="M431" s="144"/>
      <c r="N431" s="145"/>
      <c r="O431" s="145"/>
      <c r="P431" s="122"/>
      <c r="Q431" s="304" t="str">
        <f t="shared" si="11"/>
        <v/>
      </c>
      <c r="S431" s="147"/>
      <c r="T431" s="148"/>
      <c r="U431" s="148"/>
      <c r="V431" s="148"/>
      <c r="W431" s="148"/>
      <c r="X431" s="148"/>
      <c r="Y431" s="148"/>
      <c r="Z431" s="148"/>
      <c r="AA431" s="148"/>
      <c r="AB431" s="148"/>
      <c r="AC431" s="148"/>
      <c r="AD431" s="148"/>
      <c r="AE431" s="148"/>
      <c r="AF431" s="148"/>
      <c r="AG431" s="148"/>
    </row>
    <row r="432" ht="15.75" customHeight="1">
      <c r="A432" s="149"/>
      <c r="B432" s="150"/>
      <c r="C432" s="149"/>
      <c r="D432" s="159" t="s">
        <v>33</v>
      </c>
      <c r="E432" s="160" t="s">
        <v>34</v>
      </c>
      <c r="F432" s="127">
        <v>1.0</v>
      </c>
      <c r="G432" s="161">
        <v>5.0</v>
      </c>
      <c r="H432" s="129"/>
      <c r="I432" s="130">
        <v>265.0</v>
      </c>
      <c r="J432" s="151">
        <v>7.0</v>
      </c>
      <c r="K432" s="132"/>
      <c r="L432" s="133">
        <v>7.5</v>
      </c>
      <c r="M432" s="134">
        <f>I297</f>
        <v>259</v>
      </c>
      <c r="N432" s="135">
        <f>iferror(mround($P297*((VLOOKUP($J432,Sheet1!$D:$N,$G432+1,FALSE)-0.03)),2.5)," ")</f>
        <v>250</v>
      </c>
      <c r="O432" s="135">
        <f>iferror(mround($P297*((VLOOKUP($J432,Sheet1!$D:$N,$G432+1,FALSE)+0.02)),2.5)," ")</f>
        <v>265</v>
      </c>
      <c r="P432" s="56">
        <f>iferror(mround(I432/VLOOKUP(L432,Sheet1!$D$7:$N$16,G432+1,FALSE),2.5),"")</f>
        <v>330</v>
      </c>
      <c r="Q432" s="303">
        <f t="shared" si="11"/>
        <v>6</v>
      </c>
      <c r="S432" s="11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</row>
    <row r="433" ht="3.75" customHeight="1">
      <c r="A433" s="162"/>
      <c r="B433" s="163"/>
      <c r="C433" s="162"/>
      <c r="D433" s="138"/>
      <c r="E433" s="139"/>
      <c r="F433" s="140"/>
      <c r="G433" s="140"/>
      <c r="H433" s="140"/>
      <c r="I433" s="140"/>
      <c r="J433" s="141"/>
      <c r="K433" s="142"/>
      <c r="L433" s="143"/>
      <c r="M433" s="144"/>
      <c r="N433" s="145"/>
      <c r="O433" s="145"/>
      <c r="P433" s="122"/>
      <c r="Q433" s="304" t="str">
        <f t="shared" si="11"/>
        <v/>
      </c>
      <c r="S433" s="147"/>
      <c r="T433" s="148"/>
      <c r="U433" s="148"/>
      <c r="V433" s="148"/>
      <c r="W433" s="148"/>
      <c r="X433" s="148"/>
      <c r="Y433" s="148"/>
      <c r="Z433" s="148"/>
      <c r="AA433" s="148"/>
      <c r="AB433" s="148"/>
      <c r="AC433" s="148"/>
      <c r="AD433" s="148"/>
      <c r="AE433" s="148"/>
      <c r="AF433" s="148"/>
      <c r="AG433" s="148"/>
    </row>
    <row r="434" ht="15.75" customHeight="1">
      <c r="A434" s="90"/>
      <c r="B434" s="6"/>
      <c r="C434" s="90"/>
      <c r="D434" s="159" t="s">
        <v>33</v>
      </c>
      <c r="E434" s="160" t="s">
        <v>34</v>
      </c>
      <c r="F434" s="127">
        <v>2.0</v>
      </c>
      <c r="G434" s="161">
        <v>5.0</v>
      </c>
      <c r="H434" s="129"/>
      <c r="I434" s="164">
        <f>MROUND(I432*(1+J434),5)</f>
        <v>240</v>
      </c>
      <c r="J434" s="165">
        <v>-0.1</v>
      </c>
      <c r="K434" s="132"/>
      <c r="L434" s="133">
        <v>5.0</v>
      </c>
      <c r="M434" s="134">
        <f>I299</f>
        <v>235</v>
      </c>
      <c r="N434" s="135" t="str">
        <f>iferror(mround($P299*((VLOOKUP($J434,Sheet1!$D:$N,$G434+1,FALSE)-0.03)),2.5)," ")</f>
        <v> </v>
      </c>
      <c r="O434" s="135" t="str">
        <f>iferror(mround($P299*((VLOOKUP($J434,Sheet1!$D:$N,$G434+1,FALSE)+0.02)),2.5)," ")</f>
        <v> </v>
      </c>
      <c r="P434" s="56" t="str">
        <f>iferror(mround(I434/VLOOKUP(L434,Sheet1!$D$7:$N$16,G434+1,FALSE),2.5),"")</f>
        <v/>
      </c>
      <c r="Q434" s="303">
        <f t="shared" si="11"/>
        <v>5</v>
      </c>
      <c r="S434" s="11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</row>
    <row r="435" ht="3.75" customHeight="1">
      <c r="A435" s="168"/>
      <c r="B435" s="70"/>
      <c r="C435" s="168"/>
      <c r="D435" s="138"/>
      <c r="E435" s="139"/>
      <c r="F435" s="102"/>
      <c r="G435" s="102"/>
      <c r="H435" s="102"/>
      <c r="I435" s="102"/>
      <c r="J435" s="156"/>
      <c r="K435" s="142"/>
      <c r="L435" s="143"/>
      <c r="M435" s="144"/>
      <c r="N435" s="145"/>
      <c r="O435" s="145"/>
      <c r="P435" s="122"/>
      <c r="Q435" s="304" t="str">
        <f t="shared" si="11"/>
        <v/>
      </c>
      <c r="S435" s="147"/>
      <c r="T435" s="148"/>
      <c r="U435" s="148"/>
      <c r="V435" s="148"/>
      <c r="W435" s="148"/>
      <c r="X435" s="148"/>
      <c r="Y435" s="148"/>
      <c r="Z435" s="148"/>
      <c r="AA435" s="148"/>
      <c r="AB435" s="148"/>
      <c r="AC435" s="148"/>
      <c r="AD435" s="148"/>
      <c r="AE435" s="148"/>
      <c r="AF435" s="148"/>
      <c r="AG435" s="148"/>
    </row>
    <row r="436" ht="15.75" customHeight="1">
      <c r="A436" s="90"/>
      <c r="B436" s="6"/>
      <c r="C436" s="90"/>
      <c r="D436" s="166" t="s">
        <v>119</v>
      </c>
      <c r="E436" s="160"/>
      <c r="F436" s="127">
        <v>2.0</v>
      </c>
      <c r="G436" s="169">
        <v>45577.0</v>
      </c>
      <c r="H436" s="129"/>
      <c r="I436" s="130">
        <v>80.0</v>
      </c>
      <c r="J436" s="151">
        <v>8.0</v>
      </c>
      <c r="K436" s="132"/>
      <c r="L436" s="133">
        <v>9.0</v>
      </c>
      <c r="M436" s="134">
        <f>I301</f>
        <v>75</v>
      </c>
      <c r="N436" s="135" t="str">
        <f>iferror(mround($P301*((VLOOKUP($J436,Sheet1!$D:$N,$G436+1,FALSE)-0.03)),2.5)," ")</f>
        <v> </v>
      </c>
      <c r="O436" s="135" t="str">
        <f>iferror(mround($P301*((VLOOKUP($J436,Sheet1!$D:$N,$G436+1,FALSE)+0.02)),2.5)," ")</f>
        <v> </v>
      </c>
      <c r="P436" s="56" t="str">
        <f>iferror(mround(I436/VLOOKUP(L436,Sheet1!$D$7:$N$16,G436+1,FALSE),2.5),"")</f>
        <v/>
      </c>
      <c r="Q436" s="303">
        <f t="shared" si="11"/>
        <v>5</v>
      </c>
      <c r="S436" s="11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</row>
    <row r="437" ht="3.75" customHeight="1">
      <c r="A437" s="90"/>
      <c r="B437" s="6"/>
      <c r="C437" s="90"/>
      <c r="D437" s="171"/>
      <c r="E437" s="172"/>
      <c r="F437" s="173"/>
      <c r="G437" s="173"/>
      <c r="H437" s="173"/>
      <c r="I437" s="173"/>
      <c r="J437" s="174"/>
      <c r="K437" s="142"/>
      <c r="L437" s="143"/>
      <c r="M437" s="144"/>
      <c r="N437" s="145"/>
      <c r="O437" s="145"/>
      <c r="P437" s="122"/>
      <c r="Q437" s="304" t="str">
        <f t="shared" si="11"/>
        <v/>
      </c>
      <c r="S437" s="11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</row>
    <row r="438" ht="15.75" customHeight="1">
      <c r="A438" s="90"/>
      <c r="B438" s="6"/>
      <c r="C438" s="90"/>
      <c r="D438" s="166" t="s">
        <v>37</v>
      </c>
      <c r="E438" s="160" t="s">
        <v>81</v>
      </c>
      <c r="F438" s="127">
        <v>3.0</v>
      </c>
      <c r="G438" s="169">
        <v>45577.0</v>
      </c>
      <c r="H438" s="129"/>
      <c r="I438" s="130">
        <v>390.0</v>
      </c>
      <c r="J438" s="151">
        <v>8.0</v>
      </c>
      <c r="K438" s="132"/>
      <c r="L438" s="133">
        <v>8.5</v>
      </c>
      <c r="M438" s="134">
        <f>I303</f>
        <v>380</v>
      </c>
      <c r="N438" s="135" t="str">
        <f>iferror(mround($P303*((VLOOKUP($J438,Sheet1!$D:$N,$G438+1,FALSE)-0.03)),2.5)," ")</f>
        <v> </v>
      </c>
      <c r="O438" s="135" t="str">
        <f>iferror(mround($P303*((VLOOKUP($J438,Sheet1!$D:$N,$G438+1,FALSE)+0.02)),2.5)," ")</f>
        <v> </v>
      </c>
      <c r="P438" s="56" t="str">
        <f>iferror(mround(I438/VLOOKUP(L438,Sheet1!$D$7:$N$16,G438+1,FALSE),2.5),"")</f>
        <v/>
      </c>
      <c r="Q438" s="303">
        <f t="shared" si="11"/>
        <v>10</v>
      </c>
      <c r="S438" s="11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</row>
    <row r="439" ht="3.75" customHeight="1">
      <c r="A439" s="90"/>
      <c r="B439" s="6"/>
      <c r="C439" s="90"/>
      <c r="D439" s="171"/>
      <c r="E439" s="172"/>
      <c r="F439" s="173"/>
      <c r="G439" s="173"/>
      <c r="H439" s="173"/>
      <c r="I439" s="173"/>
      <c r="J439" s="174"/>
      <c r="K439" s="142"/>
      <c r="L439" s="143"/>
      <c r="M439" s="144"/>
      <c r="N439" s="145"/>
      <c r="O439" s="145"/>
      <c r="P439" s="122"/>
      <c r="Q439" s="304" t="str">
        <f t="shared" si="11"/>
        <v/>
      </c>
      <c r="S439" s="11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</row>
    <row r="440" ht="15.75" hidden="1" customHeight="1">
      <c r="A440" s="90"/>
      <c r="B440" s="6"/>
      <c r="C440" s="90"/>
      <c r="D440" s="175" t="s">
        <v>40</v>
      </c>
      <c r="E440" s="176"/>
      <c r="F440" s="177">
        <v>3.0</v>
      </c>
      <c r="G440" s="178" t="s">
        <v>41</v>
      </c>
      <c r="H440" s="179"/>
      <c r="I440" s="180"/>
      <c r="J440" s="181">
        <v>8.0</v>
      </c>
      <c r="K440" s="182"/>
      <c r="L440" s="183"/>
      <c r="M440" s="134" t="str">
        <f>I305</f>
        <v/>
      </c>
      <c r="N440" s="135" t="str">
        <f>iferror(mround($P305*((VLOOKUP($J440,Sheet1!$D:$N,$G440+1,FALSE)-0.03)),2.5)," ")</f>
        <v> </v>
      </c>
      <c r="O440" s="135" t="str">
        <f>iferror(mround($P305*((VLOOKUP($J440,Sheet1!$D:$N,$G440+1,FALSE)+0.02)),2.5)," ")</f>
        <v> </v>
      </c>
      <c r="P440" s="56" t="str">
        <f>iferror(mround(I440/VLOOKUP(L440,Sheet1!$D$7:$N$16,G440+1,FALSE),2.5),"")</f>
        <v/>
      </c>
      <c r="Q440" s="303" t="str">
        <f t="shared" si="11"/>
        <v/>
      </c>
      <c r="S440" s="11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</row>
    <row r="441" ht="3.75" hidden="1" customHeight="1">
      <c r="A441" s="90"/>
      <c r="B441" s="6"/>
      <c r="C441" s="90"/>
      <c r="D441" s="138"/>
      <c r="E441" s="184"/>
      <c r="F441" s="102"/>
      <c r="G441" s="102"/>
      <c r="H441" s="102"/>
      <c r="I441" s="102"/>
      <c r="J441" s="156"/>
      <c r="K441" s="103"/>
      <c r="L441" s="143"/>
      <c r="M441" s="144"/>
      <c r="N441" s="145"/>
      <c r="O441" s="145"/>
      <c r="P441" s="122"/>
      <c r="Q441" s="304" t="str">
        <f t="shared" si="11"/>
        <v/>
      </c>
      <c r="S441" s="11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</row>
    <row r="442" ht="15.75" hidden="1" customHeight="1">
      <c r="A442" s="90"/>
      <c r="B442" s="6"/>
      <c r="C442" s="90"/>
      <c r="D442" s="185"/>
      <c r="E442" s="186"/>
      <c r="F442" s="187"/>
      <c r="G442" s="188"/>
      <c r="H442" s="129"/>
      <c r="I442" s="164"/>
      <c r="J442" s="189"/>
      <c r="K442" s="190"/>
      <c r="L442" s="183"/>
      <c r="M442" s="134" t="str">
        <f>I307</f>
        <v/>
      </c>
      <c r="N442" s="135" t="str">
        <f>iferror(mround($P307*((VLOOKUP($J442,Sheet1!$D:$N,$G442+1,FALSE)-0.03)),2.5)," ")</f>
        <v> </v>
      </c>
      <c r="O442" s="135" t="str">
        <f>iferror(mround($P307*((VLOOKUP($J442,Sheet1!$D:$N,$G442+1,FALSE)+0.02)),2.5)," ")</f>
        <v> </v>
      </c>
      <c r="P442" s="56" t="str">
        <f>iferror(mround(I442/VLOOKUP(L442,Sheet1!$D$7:$N$16,G442+1,FALSE),2.5),"")</f>
        <v/>
      </c>
      <c r="Q442" s="303" t="str">
        <f t="shared" si="11"/>
        <v/>
      </c>
      <c r="S442" s="11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</row>
    <row r="443" ht="3.75" hidden="1" customHeight="1">
      <c r="A443" s="191"/>
      <c r="B443" s="6"/>
      <c r="C443" s="192"/>
      <c r="D443" s="138"/>
      <c r="E443" s="193"/>
      <c r="F443" s="194"/>
      <c r="G443" s="155"/>
      <c r="H443" s="102"/>
      <c r="I443" s="102"/>
      <c r="J443" s="156"/>
      <c r="K443" s="103"/>
      <c r="L443" s="143"/>
      <c r="M443" s="144"/>
      <c r="N443" s="145"/>
      <c r="O443" s="145"/>
      <c r="P443" s="122"/>
      <c r="Q443" s="304" t="str">
        <f t="shared" si="11"/>
        <v/>
      </c>
      <c r="S443" s="157"/>
      <c r="T443" s="5"/>
      <c r="U443" s="5"/>
      <c r="V443" s="158"/>
      <c r="W443" s="158"/>
      <c r="X443" s="158"/>
      <c r="Y443" s="158"/>
      <c r="Z443" s="158"/>
      <c r="AA443" s="158"/>
      <c r="AB443" s="158"/>
      <c r="AC443" s="158"/>
      <c r="AD443" s="158"/>
      <c r="AE443" s="158"/>
      <c r="AF443" s="158"/>
      <c r="AG443" s="158"/>
    </row>
    <row r="444" ht="15.75" hidden="1" customHeight="1">
      <c r="A444" s="90"/>
      <c r="B444" s="6"/>
      <c r="C444" s="90"/>
      <c r="D444" s="185"/>
      <c r="E444" s="186"/>
      <c r="F444" s="187"/>
      <c r="G444" s="195"/>
      <c r="H444" s="129"/>
      <c r="I444" s="164"/>
      <c r="J444" s="189"/>
      <c r="K444" s="190"/>
      <c r="L444" s="183"/>
      <c r="M444" s="134" t="str">
        <f>I309</f>
        <v/>
      </c>
      <c r="N444" s="135" t="str">
        <f>iferror(mround($P309*((VLOOKUP($J444,Sheet1!$D:$N,$G444+1,FALSE)-0.03)),2.5)," ")</f>
        <v> </v>
      </c>
      <c r="O444" s="135" t="str">
        <f>iferror(mround($P309*((VLOOKUP($J444,Sheet1!$D:$N,$G444+1,FALSE)+0.02)),2.5)," ")</f>
        <v> </v>
      </c>
      <c r="P444" s="56" t="str">
        <f>iferror(mround(I444/VLOOKUP(L444,Sheet1!$D$7:$N$16,G444+1,FALSE),2.5),"")</f>
        <v/>
      </c>
      <c r="Q444" s="303" t="str">
        <f t="shared" si="11"/>
        <v/>
      </c>
      <c r="S444" s="11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</row>
    <row r="445" ht="3.75" hidden="1" customHeight="1">
      <c r="A445" s="90"/>
      <c r="B445" s="6"/>
      <c r="C445" s="90"/>
      <c r="D445" s="196"/>
      <c r="E445" s="184"/>
      <c r="F445" s="102"/>
      <c r="G445" s="102"/>
      <c r="H445" s="102"/>
      <c r="I445" s="102"/>
      <c r="J445" s="156"/>
      <c r="K445" s="103"/>
      <c r="L445" s="143"/>
      <c r="M445" s="144"/>
      <c r="N445" s="145"/>
      <c r="O445" s="145"/>
      <c r="P445" s="122"/>
      <c r="Q445" s="304" t="str">
        <f t="shared" si="11"/>
        <v/>
      </c>
      <c r="S445" s="11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</row>
    <row r="446" ht="15.75" hidden="1" customHeight="1">
      <c r="A446" s="90"/>
      <c r="B446" s="6"/>
      <c r="C446" s="90"/>
      <c r="D446" s="197"/>
      <c r="E446" s="198"/>
      <c r="F446" s="199"/>
      <c r="G446" s="195"/>
      <c r="H446" s="129"/>
      <c r="I446" s="164"/>
      <c r="J446" s="189"/>
      <c r="K446" s="190"/>
      <c r="L446" s="183"/>
      <c r="M446" s="134" t="str">
        <f>I311</f>
        <v/>
      </c>
      <c r="N446" s="135" t="str">
        <f>iferror(mround($P311*((VLOOKUP($J446,Sheet1!$D:$N,$G446+1,FALSE)-0.03)),2.5)," ")</f>
        <v> </v>
      </c>
      <c r="O446" s="135" t="str">
        <f>iferror(mround($P311*((VLOOKUP($J446,Sheet1!$D:$N,$G446+1,FALSE)+0.02)),2.5)," ")</f>
        <v> </v>
      </c>
      <c r="P446" s="56" t="str">
        <f>iferror(mround(I446/VLOOKUP(L446,Sheet1!$D$7:$N$16,G446+1,FALSE),2.5),"")</f>
        <v/>
      </c>
      <c r="Q446" s="303" t="str">
        <f t="shared" si="11"/>
        <v/>
      </c>
      <c r="S446" s="11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</row>
    <row r="447" ht="3.75" customHeight="1">
      <c r="A447" s="90"/>
      <c r="B447" s="6"/>
      <c r="C447" s="90"/>
      <c r="D447" s="90"/>
      <c r="E447" s="156"/>
      <c r="F447" s="102"/>
      <c r="G447" s="102"/>
      <c r="H447" s="102"/>
      <c r="I447" s="102"/>
      <c r="J447" s="156"/>
      <c r="K447" s="200"/>
      <c r="L447" s="201"/>
      <c r="M447" s="144"/>
      <c r="N447" s="47"/>
      <c r="O447" s="47"/>
      <c r="P447" s="122"/>
      <c r="Q447" s="304" t="str">
        <f t="shared" si="11"/>
        <v/>
      </c>
      <c r="S447" s="11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</row>
    <row r="448" ht="30.0" customHeight="1">
      <c r="A448" s="90"/>
      <c r="B448" s="6"/>
      <c r="C448" s="90"/>
      <c r="D448" s="202" t="s">
        <v>42</v>
      </c>
      <c r="E448" s="105" t="s">
        <v>82</v>
      </c>
      <c r="F448" s="106" t="s">
        <v>16</v>
      </c>
      <c r="G448" s="106" t="s">
        <v>17</v>
      </c>
      <c r="H448" s="107"/>
      <c r="I448" s="106" t="s">
        <v>18</v>
      </c>
      <c r="J448" s="108" t="s">
        <v>19</v>
      </c>
      <c r="L448" s="109" t="s">
        <v>20</v>
      </c>
      <c r="M448" s="110" t="s">
        <v>21</v>
      </c>
      <c r="N448" s="111" t="s">
        <v>22</v>
      </c>
      <c r="P448" s="112"/>
      <c r="Q448" s="113" t="s">
        <v>23</v>
      </c>
      <c r="R448" s="114" t="s">
        <v>43</v>
      </c>
      <c r="S448" s="11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</row>
    <row r="449" ht="14.25" customHeight="1">
      <c r="A449" s="90"/>
      <c r="B449" s="6"/>
      <c r="C449" s="90"/>
      <c r="D449" s="257" t="s">
        <v>25</v>
      </c>
      <c r="E449" s="117">
        <v>4.0</v>
      </c>
      <c r="H449" s="107"/>
      <c r="N449" s="111" t="s">
        <v>27</v>
      </c>
      <c r="O449" s="111" t="s">
        <v>28</v>
      </c>
      <c r="P449" s="112" t="s">
        <v>29</v>
      </c>
      <c r="R449" s="118" t="s">
        <v>30</v>
      </c>
      <c r="S449" s="11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</row>
    <row r="450" ht="3.75" customHeight="1">
      <c r="A450" s="191"/>
      <c r="B450" s="6"/>
      <c r="C450" s="192"/>
      <c r="D450" s="203"/>
      <c r="E450" s="204"/>
      <c r="F450" s="205"/>
      <c r="G450" s="205"/>
      <c r="H450" s="206"/>
      <c r="I450" s="207"/>
      <c r="J450" s="208"/>
      <c r="K450" s="209"/>
      <c r="L450" s="210"/>
      <c r="M450" s="211"/>
      <c r="N450" s="47"/>
      <c r="O450" s="47"/>
      <c r="P450" s="122"/>
      <c r="Q450" s="304" t="str">
        <f t="shared" ref="Q450:Q472" si="12">IF(OR(ISBLANK(I450), ISBLANK(I315)), "", IF(I450 - I315 = 0, "", I450 - I315))</f>
        <v/>
      </c>
      <c r="R450" s="212"/>
      <c r="S450" s="157"/>
      <c r="T450" s="5"/>
      <c r="U450" s="5"/>
      <c r="V450" s="158"/>
      <c r="W450" s="158"/>
      <c r="X450" s="158"/>
      <c r="Y450" s="158"/>
      <c r="Z450" s="158"/>
      <c r="AA450" s="158"/>
      <c r="AB450" s="158"/>
      <c r="AC450" s="158"/>
      <c r="AD450" s="158"/>
      <c r="AE450" s="158"/>
      <c r="AF450" s="158"/>
      <c r="AG450" s="158"/>
    </row>
    <row r="451" ht="15.75" customHeight="1">
      <c r="A451" s="124"/>
      <c r="B451" s="6"/>
      <c r="C451" s="124"/>
      <c r="D451" s="159" t="s">
        <v>83</v>
      </c>
      <c r="E451" s="167" t="s">
        <v>84</v>
      </c>
      <c r="F451" s="127">
        <v>3.0</v>
      </c>
      <c r="G451" s="127">
        <v>3.0</v>
      </c>
      <c r="H451" s="195"/>
      <c r="I451" s="130">
        <v>463.0</v>
      </c>
      <c r="J451" s="151">
        <v>6.0</v>
      </c>
      <c r="K451" s="213"/>
      <c r="L451" s="133">
        <v>6.5</v>
      </c>
      <c r="M451" s="134">
        <f>I316</f>
        <v>451</v>
      </c>
      <c r="N451" s="135">
        <f>iferror(mround($P316*((VLOOKUP($J451,Sheet1!$D:$N,$G451+1,FALSE)-0.03)),2.5)," ")</f>
        <v>432.5</v>
      </c>
      <c r="O451" s="135">
        <f>iferror(mround($P316*((VLOOKUP($J451,Sheet1!$D:$N,$G451+1,FALSE)+0.02)),2.5)," ")</f>
        <v>462.5</v>
      </c>
      <c r="P451" s="112">
        <f>iferror(mround(I451/VLOOKUP(L451,Sheet1!$D$7:$N$16,G451+1,FALSE),2.5),"")</f>
        <v>560</v>
      </c>
      <c r="Q451" s="303">
        <f t="shared" si="12"/>
        <v>12</v>
      </c>
      <c r="R451" s="214"/>
      <c r="S451" s="11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</row>
    <row r="452" ht="3.75" customHeight="1">
      <c r="A452" s="124"/>
      <c r="B452" s="6"/>
      <c r="C452" s="124"/>
      <c r="D452" s="138"/>
      <c r="E452" s="215"/>
      <c r="F452" s="102"/>
      <c r="G452" s="102"/>
      <c r="H452" s="102"/>
      <c r="I452" s="102"/>
      <c r="J452" s="216"/>
      <c r="K452" s="217"/>
      <c r="L452" s="218"/>
      <c r="M452" s="144"/>
      <c r="N452" s="145"/>
      <c r="O452" s="145"/>
      <c r="P452" s="122"/>
      <c r="Q452" s="304" t="str">
        <f t="shared" si="12"/>
        <v/>
      </c>
      <c r="R452" s="214"/>
      <c r="S452" s="11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</row>
    <row r="453" ht="15.75" customHeight="1">
      <c r="A453" s="90"/>
      <c r="B453" s="6"/>
      <c r="C453" s="90"/>
      <c r="D453" s="159" t="s">
        <v>66</v>
      </c>
      <c r="E453" s="167" t="s">
        <v>79</v>
      </c>
      <c r="F453" s="127">
        <v>3.0</v>
      </c>
      <c r="G453" s="127">
        <v>7.0</v>
      </c>
      <c r="H453" s="195"/>
      <c r="I453" s="130">
        <v>237.0</v>
      </c>
      <c r="J453" s="151">
        <v>6.0</v>
      </c>
      <c r="K453" s="219" t="s">
        <v>85</v>
      </c>
      <c r="L453" s="133">
        <v>6.5</v>
      </c>
      <c r="M453" s="134">
        <f>I318</f>
        <v>235</v>
      </c>
      <c r="N453" s="135">
        <f>iferror(mround($P318*((VLOOKUP($J453,Sheet1!$D:$N,$G453+1,FALSE)-0.03)),2.5)," ")</f>
        <v>220</v>
      </c>
      <c r="O453" s="135">
        <f>iferror(mround($P318*((VLOOKUP($J453,Sheet1!$D:$N,$G453+1,FALSE)+0.02)),2.5)," ")</f>
        <v>237.5</v>
      </c>
      <c r="P453" s="112">
        <f>iferror(mround(I453/VLOOKUP(L453,Sheet1!$D$7:$N$16,G453+1,FALSE),2.5),"")</f>
        <v>325</v>
      </c>
      <c r="Q453" s="303">
        <f t="shared" si="12"/>
        <v>2</v>
      </c>
      <c r="R453" s="214"/>
      <c r="S453" s="11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</row>
    <row r="454" ht="3.75" customHeight="1">
      <c r="A454" s="90"/>
      <c r="B454" s="6"/>
      <c r="C454" s="90"/>
      <c r="D454" s="138"/>
      <c r="E454" s="215"/>
      <c r="F454" s="102"/>
      <c r="G454" s="102"/>
      <c r="H454" s="102"/>
      <c r="I454" s="102"/>
      <c r="J454" s="216"/>
      <c r="K454" s="217"/>
      <c r="L454" s="218"/>
      <c r="M454" s="144"/>
      <c r="N454" s="145"/>
      <c r="O454" s="145"/>
      <c r="P454" s="122"/>
      <c r="Q454" s="304" t="str">
        <f t="shared" si="12"/>
        <v/>
      </c>
      <c r="R454" s="214"/>
      <c r="S454" s="11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</row>
    <row r="455" ht="15.75" customHeight="1">
      <c r="A455" s="90"/>
      <c r="B455" s="6"/>
      <c r="C455" s="90"/>
      <c r="D455" s="159" t="s">
        <v>86</v>
      </c>
      <c r="E455" s="167" t="s">
        <v>87</v>
      </c>
      <c r="F455" s="127">
        <v>3.0</v>
      </c>
      <c r="G455" s="169">
        <v>45577.0</v>
      </c>
      <c r="H455" s="195"/>
      <c r="I455" s="130">
        <v>120.0</v>
      </c>
      <c r="J455" s="151">
        <v>7.0</v>
      </c>
      <c r="K455" s="219"/>
      <c r="L455" s="133">
        <v>7.0</v>
      </c>
      <c r="M455" s="134">
        <f>I320</f>
        <v>130</v>
      </c>
      <c r="N455" s="135" t="str">
        <f>iferror(mround($P320*((VLOOKUP($J455,Sheet1!$D:$N,$G455+1,FALSE)-0.03)),2.5)," ")</f>
        <v> </v>
      </c>
      <c r="O455" s="135" t="str">
        <f>iferror(mround($P320*((VLOOKUP($J455,Sheet1!$D:$N,$G455+1,FALSE)+0.02)),2.5)," ")</f>
        <v> </v>
      </c>
      <c r="P455" s="112" t="str">
        <f>iferror(mround(I455/VLOOKUP(L455,Sheet1!$D$7:$N$16,G455+1,FALSE),2.5),"")</f>
        <v/>
      </c>
      <c r="Q455" s="303">
        <f t="shared" si="12"/>
        <v>-10</v>
      </c>
      <c r="R455" s="214"/>
      <c r="S455" s="11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</row>
    <row r="456" ht="3.75" customHeight="1">
      <c r="A456" s="90"/>
      <c r="B456" s="6"/>
      <c r="C456" s="90"/>
      <c r="D456" s="138"/>
      <c r="E456" s="215"/>
      <c r="F456" s="102"/>
      <c r="G456" s="102"/>
      <c r="H456" s="102"/>
      <c r="I456" s="102"/>
      <c r="J456" s="156"/>
      <c r="K456" s="217"/>
      <c r="L456" s="143"/>
      <c r="M456" s="144"/>
      <c r="N456" s="145"/>
      <c r="O456" s="145"/>
      <c r="P456" s="122"/>
      <c r="Q456" s="304" t="str">
        <f t="shared" si="12"/>
        <v/>
      </c>
      <c r="R456" s="214"/>
      <c r="S456" s="11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</row>
    <row r="457" ht="15.75" customHeight="1">
      <c r="A457" s="90"/>
      <c r="B457" s="6"/>
      <c r="C457" s="90"/>
      <c r="D457" s="159" t="s">
        <v>121</v>
      </c>
      <c r="E457" s="167"/>
      <c r="F457" s="127">
        <v>3.0</v>
      </c>
      <c r="G457" s="169">
        <v>45577.0</v>
      </c>
      <c r="H457" s="195"/>
      <c r="I457" s="130">
        <v>85.0</v>
      </c>
      <c r="J457" s="151">
        <v>7.0</v>
      </c>
      <c r="K457" s="213"/>
      <c r="L457" s="133">
        <v>7.0</v>
      </c>
      <c r="M457" s="134">
        <f>I322</f>
        <v>75</v>
      </c>
      <c r="N457" s="135" t="str">
        <f>iferror(mround($P322*((VLOOKUP($J457,Sheet1!$D:$N,$G457+1,FALSE)-0.03)),2.5)," ")</f>
        <v> </v>
      </c>
      <c r="O457" s="135" t="str">
        <f>iferror(mround($P322*((VLOOKUP($J457,Sheet1!$D:$N,$G457+1,FALSE)+0.02)),2.5)," ")</f>
        <v> </v>
      </c>
      <c r="P457" s="112" t="str">
        <f>iferror(mround(I457/VLOOKUP(L457,Sheet1!$D$7:$N$16,G457+1,FALSE),2.5),"")</f>
        <v/>
      </c>
      <c r="Q457" s="303">
        <f t="shared" si="12"/>
        <v>10</v>
      </c>
      <c r="R457" s="214"/>
      <c r="S457" s="11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</row>
    <row r="458" ht="3.75" customHeight="1">
      <c r="A458" s="90"/>
      <c r="B458" s="6"/>
      <c r="C458" s="90"/>
      <c r="D458" s="138"/>
      <c r="E458" s="215"/>
      <c r="F458" s="102"/>
      <c r="G458" s="102"/>
      <c r="H458" s="102"/>
      <c r="I458" s="102"/>
      <c r="J458" s="156"/>
      <c r="K458" s="217"/>
      <c r="L458" s="143"/>
      <c r="M458" s="144"/>
      <c r="N458" s="145"/>
      <c r="O458" s="145"/>
      <c r="P458" s="122"/>
      <c r="Q458" s="304" t="str">
        <f t="shared" si="12"/>
        <v/>
      </c>
      <c r="R458" s="214"/>
      <c r="S458" s="11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</row>
    <row r="459" ht="15.75" customHeight="1">
      <c r="A459" s="90"/>
      <c r="B459" s="6"/>
      <c r="C459" s="90"/>
      <c r="D459" s="159" t="s">
        <v>88</v>
      </c>
      <c r="E459" s="220"/>
      <c r="F459" s="127">
        <v>3.0</v>
      </c>
      <c r="G459" s="221">
        <v>45641.0</v>
      </c>
      <c r="H459" s="195"/>
      <c r="I459" s="130">
        <v>30.0</v>
      </c>
      <c r="J459" s="151">
        <v>9.0</v>
      </c>
      <c r="K459" s="213"/>
      <c r="L459" s="133">
        <v>9.0</v>
      </c>
      <c r="M459" s="134">
        <f>I324</f>
        <v>12.5</v>
      </c>
      <c r="N459" s="135" t="str">
        <f>iferror(mround($P324*((VLOOKUP($J459,Sheet1!$D:$N,$G459+1,FALSE)-0.03)),2.5)," ")</f>
        <v> </v>
      </c>
      <c r="O459" s="135" t="str">
        <f>iferror(mround($P324*((VLOOKUP($J459,Sheet1!$D:$N,$G459+1,FALSE)+0.02)),2.5)," ")</f>
        <v> </v>
      </c>
      <c r="P459" s="112" t="str">
        <f>iferror(mround(I459/VLOOKUP(L459,Sheet1!$D$7:$N$16,G459+1,FALSE),2.5),"")</f>
        <v/>
      </c>
      <c r="Q459" s="303">
        <f t="shared" si="12"/>
        <v>17.5</v>
      </c>
      <c r="R459" s="214"/>
      <c r="S459" s="11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</row>
    <row r="460" ht="3.75" customHeight="1">
      <c r="A460" s="90"/>
      <c r="B460" s="6"/>
      <c r="C460" s="90"/>
      <c r="D460" s="138"/>
      <c r="E460" s="215"/>
      <c r="F460" s="102"/>
      <c r="G460" s="102"/>
      <c r="H460" s="102"/>
      <c r="I460" s="102"/>
      <c r="J460" s="216"/>
      <c r="K460" s="217"/>
      <c r="L460" s="143"/>
      <c r="M460" s="144"/>
      <c r="N460" s="145"/>
      <c r="O460" s="145"/>
      <c r="P460" s="122"/>
      <c r="Q460" s="304" t="str">
        <f t="shared" si="12"/>
        <v/>
      </c>
      <c r="R460" s="214"/>
      <c r="S460" s="11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</row>
    <row r="461" ht="15.75" hidden="1" customHeight="1">
      <c r="A461" s="90"/>
      <c r="B461" s="6"/>
      <c r="C461" s="90"/>
      <c r="D461" s="185"/>
      <c r="E461" s="220"/>
      <c r="F461" s="187"/>
      <c r="G461" s="187"/>
      <c r="H461" s="195"/>
      <c r="I461" s="164"/>
      <c r="J461" s="189"/>
      <c r="K461" s="213"/>
      <c r="L461" s="183"/>
      <c r="M461" s="134" t="str">
        <f>I326</f>
        <v/>
      </c>
      <c r="N461" s="135" t="str">
        <f>iferror(mround($P326*((VLOOKUP($J461,Sheet1!$D:$N,$G461+1,FALSE)-0.03)),2.5)," ")</f>
        <v> </v>
      </c>
      <c r="O461" s="135" t="str">
        <f>iferror(mround($P326*((VLOOKUP($J461,Sheet1!$D:$N,$G461+1,FALSE)+0.02)),2.5)," ")</f>
        <v> </v>
      </c>
      <c r="P461" s="112" t="str">
        <f>iferror(mround(I461/VLOOKUP(L461,Sheet1!$D$7:$N$16,G461+1,FALSE),2.5),"")</f>
        <v/>
      </c>
      <c r="Q461" s="303" t="str">
        <f t="shared" si="12"/>
        <v/>
      </c>
      <c r="R461" s="214"/>
      <c r="S461" s="11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</row>
    <row r="462" ht="3.75" hidden="1" customHeight="1">
      <c r="A462" s="90"/>
      <c r="B462" s="6"/>
      <c r="C462" s="90"/>
      <c r="D462" s="138"/>
      <c r="E462" s="326"/>
      <c r="F462" s="102"/>
      <c r="G462" s="102"/>
      <c r="H462" s="102"/>
      <c r="I462" s="102"/>
      <c r="J462" s="216"/>
      <c r="K462" s="222"/>
      <c r="L462" s="143"/>
      <c r="M462" s="144"/>
      <c r="N462" s="145"/>
      <c r="O462" s="145"/>
      <c r="P462" s="122"/>
      <c r="Q462" s="304" t="str">
        <f t="shared" si="12"/>
        <v/>
      </c>
      <c r="R462" s="214"/>
      <c r="S462" s="11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</row>
    <row r="463" ht="18.0" hidden="1" customHeight="1">
      <c r="A463" s="90"/>
      <c r="B463" s="6"/>
      <c r="C463" s="90"/>
      <c r="D463" s="185"/>
      <c r="E463" s="327"/>
      <c r="F463" s="187"/>
      <c r="G463" s="187"/>
      <c r="H463" s="195"/>
      <c r="I463" s="164"/>
      <c r="J463" s="189"/>
      <c r="K463" s="190"/>
      <c r="L463" s="183"/>
      <c r="M463" s="134" t="str">
        <f>I328</f>
        <v/>
      </c>
      <c r="N463" s="135" t="str">
        <f>iferror(mround($P328*((VLOOKUP($J463,Sheet1!$D:$N,$G463+1,FALSE)-0.03)),2.5)," ")</f>
        <v> </v>
      </c>
      <c r="O463" s="135" t="str">
        <f>iferror(mround($P328*((VLOOKUP($J463,Sheet1!$D:$N,$G463+1,FALSE)+0.02)),2.5)," ")</f>
        <v> </v>
      </c>
      <c r="P463" s="112" t="str">
        <f>iferror(mround(I463/VLOOKUP(L463,Sheet1!$D$7:$N$16,G463+1,FALSE),2.5),"")</f>
        <v/>
      </c>
      <c r="Q463" s="303" t="str">
        <f t="shared" si="12"/>
        <v/>
      </c>
      <c r="R463" s="214"/>
      <c r="S463" s="11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</row>
    <row r="464" ht="3.75" hidden="1" customHeight="1">
      <c r="A464" s="191"/>
      <c r="B464" s="6"/>
      <c r="C464" s="192"/>
      <c r="D464" s="138"/>
      <c r="E464" s="223"/>
      <c r="F464" s="194"/>
      <c r="G464" s="194"/>
      <c r="H464" s="155"/>
      <c r="I464" s="210"/>
      <c r="J464" s="216"/>
      <c r="K464" s="222"/>
      <c r="L464" s="143"/>
      <c r="M464" s="144"/>
      <c r="N464" s="145"/>
      <c r="O464" s="145"/>
      <c r="P464" s="122"/>
      <c r="Q464" s="304" t="str">
        <f t="shared" si="12"/>
        <v/>
      </c>
      <c r="R464" s="214"/>
      <c r="S464" s="157"/>
      <c r="T464" s="5"/>
      <c r="U464" s="5"/>
      <c r="V464" s="158"/>
      <c r="W464" s="158"/>
      <c r="X464" s="158"/>
      <c r="Y464" s="158"/>
      <c r="Z464" s="158"/>
      <c r="AA464" s="158"/>
      <c r="AB464" s="158"/>
      <c r="AC464" s="158"/>
      <c r="AD464" s="158"/>
      <c r="AE464" s="158"/>
      <c r="AF464" s="158"/>
      <c r="AG464" s="158"/>
    </row>
    <row r="465" ht="15.75" hidden="1" customHeight="1">
      <c r="A465" s="90"/>
      <c r="B465" s="6"/>
      <c r="C465" s="90"/>
      <c r="D465" s="185"/>
      <c r="E465" s="186"/>
      <c r="F465" s="187"/>
      <c r="G465" s="187"/>
      <c r="H465" s="195"/>
      <c r="I465" s="164"/>
      <c r="J465" s="189"/>
      <c r="K465" s="190"/>
      <c r="L465" s="183"/>
      <c r="M465" s="134" t="str">
        <f>I330</f>
        <v/>
      </c>
      <c r="N465" s="135" t="str">
        <f>iferror(mround($P330*((VLOOKUP($J465,Sheet1!$D:$N,$G465+1,FALSE)-0.03)),2.5)," ")</f>
        <v> </v>
      </c>
      <c r="O465" s="135" t="str">
        <f>iferror(mround($P330*((VLOOKUP($J465,Sheet1!$D:$N,$G465+1,FALSE)+0.02)),2.5)," ")</f>
        <v> </v>
      </c>
      <c r="P465" s="112" t="str">
        <f>iferror(mround(I465/VLOOKUP(L465,Sheet1!$D$7:$N$16,G465+1,FALSE),2.5),"")</f>
        <v/>
      </c>
      <c r="Q465" s="303" t="str">
        <f t="shared" si="12"/>
        <v/>
      </c>
      <c r="R465" s="214"/>
      <c r="S465" s="11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</row>
    <row r="466" ht="3.75" hidden="1" customHeight="1">
      <c r="A466" s="90"/>
      <c r="B466" s="6"/>
      <c r="C466" s="90"/>
      <c r="D466" s="138"/>
      <c r="E466" s="184"/>
      <c r="F466" s="102"/>
      <c r="G466" s="102"/>
      <c r="H466" s="102"/>
      <c r="I466" s="102"/>
      <c r="J466" s="156"/>
      <c r="K466" s="222"/>
      <c r="L466" s="143"/>
      <c r="M466" s="144"/>
      <c r="N466" s="145"/>
      <c r="O466" s="145"/>
      <c r="P466" s="122"/>
      <c r="Q466" s="304" t="str">
        <f t="shared" si="12"/>
        <v/>
      </c>
      <c r="R466" s="214"/>
      <c r="S466" s="11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</row>
    <row r="467" ht="15.75" hidden="1" customHeight="1">
      <c r="A467" s="90"/>
      <c r="B467" s="6"/>
      <c r="C467" s="90"/>
      <c r="D467" s="185"/>
      <c r="E467" s="224"/>
      <c r="F467" s="187"/>
      <c r="G467" s="187"/>
      <c r="H467" s="195"/>
      <c r="I467" s="164"/>
      <c r="J467" s="189"/>
      <c r="K467" s="190"/>
      <c r="L467" s="183"/>
      <c r="M467" s="134" t="str">
        <f>I332</f>
        <v/>
      </c>
      <c r="N467" s="135" t="str">
        <f>iferror(mround($P332*((VLOOKUP($J467,Sheet1!$D:$N,$G467+1,FALSE)-0.03)),2.5)," ")</f>
        <v> </v>
      </c>
      <c r="O467" s="135" t="str">
        <f>iferror(mround($P332*((VLOOKUP($J467,Sheet1!$D:$N,$G467+1,FALSE)+0.02)),2.5)," ")</f>
        <v> </v>
      </c>
      <c r="P467" s="112" t="str">
        <f>iferror(mround(I467/VLOOKUP(L467,Sheet1!$D$7:$N$16,G467+1,FALSE),2.5),"")</f>
        <v/>
      </c>
      <c r="Q467" s="303" t="str">
        <f t="shared" si="12"/>
        <v/>
      </c>
      <c r="R467" s="214"/>
      <c r="S467" s="11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</row>
    <row r="468" ht="3.75" hidden="1" customHeight="1">
      <c r="A468" s="191"/>
      <c r="B468" s="6"/>
      <c r="C468" s="192"/>
      <c r="D468" s="138"/>
      <c r="E468" s="193"/>
      <c r="F468" s="194"/>
      <c r="G468" s="194"/>
      <c r="H468" s="155"/>
      <c r="I468" s="210"/>
      <c r="J468" s="216"/>
      <c r="K468" s="222"/>
      <c r="L468" s="143"/>
      <c r="M468" s="144"/>
      <c r="N468" s="145"/>
      <c r="O468" s="145"/>
      <c r="P468" s="122"/>
      <c r="Q468" s="304" t="str">
        <f t="shared" si="12"/>
        <v/>
      </c>
      <c r="R468" s="214"/>
      <c r="S468" s="157"/>
      <c r="T468" s="5"/>
      <c r="U468" s="5"/>
      <c r="V468" s="158"/>
      <c r="W468" s="158"/>
      <c r="X468" s="158"/>
      <c r="Y468" s="158"/>
      <c r="Z468" s="158"/>
      <c r="AA468" s="158"/>
      <c r="AB468" s="158"/>
      <c r="AC468" s="158"/>
      <c r="AD468" s="158"/>
      <c r="AE468" s="158"/>
      <c r="AF468" s="158"/>
      <c r="AG468" s="158"/>
    </row>
    <row r="469" ht="15.75" hidden="1" customHeight="1">
      <c r="A469" s="90"/>
      <c r="B469" s="6"/>
      <c r="C469" s="90"/>
      <c r="D469" s="185"/>
      <c r="E469" s="186"/>
      <c r="F469" s="187"/>
      <c r="G469" s="187"/>
      <c r="H469" s="195"/>
      <c r="I469" s="164"/>
      <c r="J469" s="189"/>
      <c r="K469" s="190"/>
      <c r="L469" s="183"/>
      <c r="M469" s="134" t="str">
        <f>I334</f>
        <v/>
      </c>
      <c r="N469" s="135" t="str">
        <f>iferror(mround($P334*((VLOOKUP($J469,Sheet1!$D:$N,$G469+1,FALSE)-0.03)),2.5)," ")</f>
        <v> </v>
      </c>
      <c r="O469" s="135" t="str">
        <f>iferror(mround($P334*((VLOOKUP($J469,Sheet1!$D:$N,$G469+1,FALSE)+0.02)),2.5)," ")</f>
        <v> </v>
      </c>
      <c r="P469" s="112" t="str">
        <f>iferror(mround(I469/VLOOKUP(L469,Sheet1!$D$7:$N$16,G469+1,FALSE),2.5),"")</f>
        <v/>
      </c>
      <c r="Q469" s="303" t="str">
        <f t="shared" si="12"/>
        <v/>
      </c>
      <c r="R469" s="214"/>
      <c r="S469" s="11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</row>
    <row r="470" ht="3.75" hidden="1" customHeight="1">
      <c r="A470" s="90"/>
      <c r="B470" s="6"/>
      <c r="C470" s="90"/>
      <c r="D470" s="196"/>
      <c r="E470" s="184"/>
      <c r="F470" s="102"/>
      <c r="G470" s="102"/>
      <c r="H470" s="102"/>
      <c r="I470" s="102"/>
      <c r="J470" s="156"/>
      <c r="K470" s="222"/>
      <c r="L470" s="143"/>
      <c r="M470" s="144"/>
      <c r="N470" s="145"/>
      <c r="O470" s="145"/>
      <c r="P470" s="122"/>
      <c r="Q470" s="304" t="str">
        <f t="shared" si="12"/>
        <v/>
      </c>
      <c r="R470" s="214"/>
      <c r="S470" s="11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</row>
    <row r="471" ht="15.75" hidden="1" customHeight="1">
      <c r="A471" s="90"/>
      <c r="B471" s="6"/>
      <c r="C471" s="90"/>
      <c r="D471" s="197"/>
      <c r="E471" s="198"/>
      <c r="F471" s="199"/>
      <c r="G471" s="187"/>
      <c r="H471" s="195"/>
      <c r="I471" s="164"/>
      <c r="J471" s="189"/>
      <c r="K471" s="190"/>
      <c r="L471" s="183"/>
      <c r="M471" s="134" t="str">
        <f>I336</f>
        <v/>
      </c>
      <c r="N471" s="135" t="str">
        <f>iferror(mround($P336*((VLOOKUP($J471,Sheet1!$D:$N,$G471+1,FALSE)-0.03)),2.5)," ")</f>
        <v> </v>
      </c>
      <c r="O471" s="135" t="str">
        <f>iferror(mround($P336*((VLOOKUP($J471,Sheet1!$D:$N,$G471+1,FALSE)+0.02)),2.5)," ")</f>
        <v> </v>
      </c>
      <c r="P471" s="112" t="str">
        <f>iferror(mround(I471/VLOOKUP(L471,Sheet1!$D$7:$N$16,G471+1,FALSE),2.5),"")</f>
        <v/>
      </c>
      <c r="Q471" s="303" t="str">
        <f t="shared" si="12"/>
        <v/>
      </c>
      <c r="R471" s="214"/>
      <c r="S471" s="11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</row>
    <row r="472" ht="3.75" customHeight="1">
      <c r="A472" s="90"/>
      <c r="B472" s="6"/>
      <c r="C472" s="90"/>
      <c r="D472" s="90"/>
      <c r="E472" s="156"/>
      <c r="F472" s="102"/>
      <c r="G472" s="102"/>
      <c r="H472" s="102"/>
      <c r="I472" s="102"/>
      <c r="J472" s="156"/>
      <c r="K472" s="222"/>
      <c r="L472" s="201"/>
      <c r="M472" s="211"/>
      <c r="N472" s="47"/>
      <c r="O472" s="47"/>
      <c r="P472" s="122"/>
      <c r="Q472" s="304" t="str">
        <f t="shared" si="12"/>
        <v/>
      </c>
      <c r="R472" s="214"/>
      <c r="S472" s="11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</row>
    <row r="473" ht="30.75" customHeight="1">
      <c r="A473" s="90"/>
      <c r="B473" s="6"/>
      <c r="C473" s="90"/>
      <c r="D473" s="202" t="s">
        <v>49</v>
      </c>
      <c r="E473" s="105" t="s">
        <v>89</v>
      </c>
      <c r="F473" s="106" t="s">
        <v>16</v>
      </c>
      <c r="G473" s="106" t="s">
        <v>17</v>
      </c>
      <c r="H473" s="107"/>
      <c r="I473" s="106" t="s">
        <v>18</v>
      </c>
      <c r="J473" s="108" t="s">
        <v>19</v>
      </c>
      <c r="L473" s="109" t="s">
        <v>20</v>
      </c>
      <c r="M473" s="110" t="s">
        <v>21</v>
      </c>
      <c r="N473" s="111" t="s">
        <v>22</v>
      </c>
      <c r="P473" s="112"/>
      <c r="Q473" s="113" t="s">
        <v>23</v>
      </c>
      <c r="R473" s="114" t="s">
        <v>50</v>
      </c>
      <c r="S473" s="11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</row>
    <row r="474" ht="14.25" customHeight="1">
      <c r="A474" s="90"/>
      <c r="B474" s="6"/>
      <c r="C474" s="90"/>
      <c r="D474" s="116">
        <v>4.0</v>
      </c>
      <c r="E474" s="117">
        <v>4.0</v>
      </c>
      <c r="H474" s="107"/>
      <c r="N474" s="111" t="s">
        <v>27</v>
      </c>
      <c r="O474" s="111" t="s">
        <v>28</v>
      </c>
      <c r="P474" s="112" t="s">
        <v>29</v>
      </c>
      <c r="R474" s="118" t="s">
        <v>30</v>
      </c>
      <c r="S474" s="11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</row>
    <row r="475" ht="3.75" customHeight="1">
      <c r="A475" s="191"/>
      <c r="B475" s="6"/>
      <c r="C475" s="192"/>
      <c r="D475" s="203"/>
      <c r="E475" s="203"/>
      <c r="F475" s="205"/>
      <c r="G475" s="205"/>
      <c r="H475" s="205"/>
      <c r="I475" s="225"/>
      <c r="J475" s="226"/>
      <c r="K475" s="209"/>
      <c r="L475" s="210"/>
      <c r="M475" s="211"/>
      <c r="N475" s="47"/>
      <c r="O475" s="47"/>
      <c r="P475" s="122"/>
      <c r="Q475" s="304" t="str">
        <f t="shared" ref="Q475:Q495" si="13">IF(OR(ISBLANK(I475), ISBLANK(I340)), "", IF(I475 - I340 = 0, "", I475 - I340))</f>
        <v/>
      </c>
      <c r="R475" s="212"/>
      <c r="S475" s="157"/>
      <c r="T475" s="5"/>
      <c r="U475" s="5"/>
      <c r="V475" s="158"/>
      <c r="W475" s="158"/>
      <c r="X475" s="158"/>
      <c r="Y475" s="158"/>
      <c r="Z475" s="158"/>
      <c r="AA475" s="158"/>
      <c r="AB475" s="158"/>
      <c r="AC475" s="158"/>
      <c r="AD475" s="158"/>
      <c r="AE475" s="158"/>
      <c r="AF475" s="158"/>
      <c r="AG475" s="158"/>
    </row>
    <row r="476" ht="15.75" customHeight="1">
      <c r="A476" s="124"/>
      <c r="B476" s="6"/>
      <c r="C476" s="124"/>
      <c r="D476" s="125" t="s">
        <v>90</v>
      </c>
      <c r="E476" s="126"/>
      <c r="F476" s="127">
        <v>1.0</v>
      </c>
      <c r="G476" s="240">
        <v>5.0</v>
      </c>
      <c r="H476" s="129"/>
      <c r="I476" s="130">
        <v>413.0</v>
      </c>
      <c r="J476" s="151">
        <v>7.5</v>
      </c>
      <c r="K476" s="213"/>
      <c r="L476" s="133">
        <v>7.5</v>
      </c>
      <c r="M476" s="134">
        <f>I341</f>
        <v>402</v>
      </c>
      <c r="N476" s="135">
        <f>iferror(mround($P341*((VLOOKUP($J476,Sheet1!$D:$N,$G476+1,FALSE)-0.03)),2.5)," ")</f>
        <v>395</v>
      </c>
      <c r="O476" s="135">
        <f>iferror(mround($P341*((VLOOKUP($J476,Sheet1!$D:$N,$G476+1,FALSE)+0.02)),2.5)," ")</f>
        <v>420</v>
      </c>
      <c r="P476" s="112">
        <f>iferror(mround(I476/VLOOKUP(L476,Sheet1!$D$7:$N$16,G476+1,FALSE),2.5),"")</f>
        <v>515</v>
      </c>
      <c r="Q476" s="303">
        <f t="shared" si="13"/>
        <v>11</v>
      </c>
      <c r="R476" s="214"/>
      <c r="S476" s="11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</row>
    <row r="477" ht="3.75" customHeight="1">
      <c r="A477" s="124"/>
      <c r="B477" s="6"/>
      <c r="C477" s="124"/>
      <c r="D477" s="138"/>
      <c r="E477" s="139"/>
      <c r="F477" s="140"/>
      <c r="G477" s="140"/>
      <c r="H477" s="140"/>
      <c r="I477" s="140"/>
      <c r="J477" s="141"/>
      <c r="K477" s="217"/>
      <c r="L477" s="218"/>
      <c r="M477" s="144"/>
      <c r="N477" s="145"/>
      <c r="O477" s="145"/>
      <c r="P477" s="122"/>
      <c r="Q477" s="304" t="str">
        <f t="shared" si="13"/>
        <v/>
      </c>
      <c r="R477" s="214"/>
      <c r="S477" s="11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</row>
    <row r="478" ht="15.75" customHeight="1">
      <c r="A478" s="90"/>
      <c r="B478" s="6"/>
      <c r="C478" s="90"/>
      <c r="D478" s="125" t="s">
        <v>77</v>
      </c>
      <c r="E478" s="126"/>
      <c r="F478" s="127">
        <v>4.0</v>
      </c>
      <c r="G478" s="240">
        <v>5.0</v>
      </c>
      <c r="H478" s="129"/>
      <c r="I478" s="164">
        <f>MROUND(I476*(1+J478),5)</f>
        <v>365</v>
      </c>
      <c r="J478" s="165">
        <v>-0.12</v>
      </c>
      <c r="K478" s="213"/>
      <c r="L478" s="133">
        <v>6.5</v>
      </c>
      <c r="M478" s="134">
        <f>I343</f>
        <v>355</v>
      </c>
      <c r="N478" s="135" t="str">
        <f>iferror(mround($P343*((VLOOKUP($J478,Sheet1!$D:$N,$G478+1,FALSE)-0.03)),2.5)," ")</f>
        <v> </v>
      </c>
      <c r="O478" s="135" t="str">
        <f>iferror(mround($P343*((VLOOKUP($J478,Sheet1!$D:$N,$G478+1,FALSE)+0.02)),2.5)," ")</f>
        <v> </v>
      </c>
      <c r="P478" s="112">
        <f>iferror(mround(I478/VLOOKUP(L478,Sheet1!$D$7:$N$16,G478+1,FALSE),2.5),"")</f>
        <v>470</v>
      </c>
      <c r="Q478" s="303">
        <f t="shared" si="13"/>
        <v>10</v>
      </c>
      <c r="R478" s="214"/>
      <c r="S478" s="11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</row>
    <row r="479" ht="3.75" customHeight="1">
      <c r="A479" s="90"/>
      <c r="B479" s="6"/>
      <c r="C479" s="90"/>
      <c r="D479" s="138"/>
      <c r="E479" s="215"/>
      <c r="F479" s="102"/>
      <c r="G479" s="102"/>
      <c r="H479" s="102"/>
      <c r="I479" s="102"/>
      <c r="J479" s="156"/>
      <c r="K479" s="217"/>
      <c r="L479" s="218"/>
      <c r="M479" s="144"/>
      <c r="N479" s="145"/>
      <c r="O479" s="145"/>
      <c r="P479" s="122"/>
      <c r="Q479" s="304" t="str">
        <f t="shared" si="13"/>
        <v/>
      </c>
      <c r="R479" s="214"/>
      <c r="S479" s="11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</row>
    <row r="480" ht="15.75" customHeight="1">
      <c r="A480" s="90"/>
      <c r="B480" s="6"/>
      <c r="C480" s="90"/>
      <c r="D480" s="159" t="s">
        <v>33</v>
      </c>
      <c r="E480" s="160" t="s">
        <v>34</v>
      </c>
      <c r="F480" s="127">
        <v>3.0</v>
      </c>
      <c r="G480" s="161">
        <v>2.0</v>
      </c>
      <c r="H480" s="129"/>
      <c r="I480" s="130">
        <v>281.0</v>
      </c>
      <c r="J480" s="151">
        <v>7.0</v>
      </c>
      <c r="K480" s="219" t="s">
        <v>91</v>
      </c>
      <c r="L480" s="183"/>
      <c r="M480" s="134">
        <f>I345</f>
        <v>275</v>
      </c>
      <c r="N480" s="135">
        <f>iferror(mround($P345*((VLOOKUP($J480,Sheet1!$D:$N,$G480+1,FALSE)-0.03)),2.5)," ")</f>
        <v>265</v>
      </c>
      <c r="O480" s="135">
        <f>iferror(mround($P345*((VLOOKUP($J480,Sheet1!$D:$N,$G480+1,FALSE)+0.02)),2.5)," ")</f>
        <v>280</v>
      </c>
      <c r="P480" s="112" t="str">
        <f>iferror(mround(I480/VLOOKUP(L480,Sheet1!$D$7:$N$16,G480+1,FALSE),2.5),"")</f>
        <v/>
      </c>
      <c r="Q480" s="303">
        <f t="shared" si="13"/>
        <v>6</v>
      </c>
      <c r="R480" s="214"/>
      <c r="S480" s="11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</row>
    <row r="481" ht="3.75" customHeight="1">
      <c r="A481" s="90"/>
      <c r="B481" s="6"/>
      <c r="C481" s="90"/>
      <c r="D481" s="138"/>
      <c r="E481" s="154"/>
      <c r="F481" s="155"/>
      <c r="G481" s="102"/>
      <c r="H481" s="102"/>
      <c r="I481" s="102"/>
      <c r="J481" s="156"/>
      <c r="K481" s="217"/>
      <c r="L481" s="218"/>
      <c r="M481" s="144"/>
      <c r="N481" s="145"/>
      <c r="O481" s="145"/>
      <c r="P481" s="122"/>
      <c r="Q481" s="304" t="str">
        <f t="shared" si="13"/>
        <v/>
      </c>
      <c r="R481" s="214"/>
      <c r="S481" s="11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</row>
    <row r="482" ht="15.75" customHeight="1">
      <c r="A482" s="90"/>
      <c r="B482" s="6"/>
      <c r="C482" s="90"/>
      <c r="D482" s="159" t="s">
        <v>45</v>
      </c>
      <c r="E482" s="220"/>
      <c r="F482" s="127">
        <v>3.0</v>
      </c>
      <c r="G482" s="127" t="s">
        <v>41</v>
      </c>
      <c r="H482" s="195"/>
      <c r="I482" s="164"/>
      <c r="J482" s="151"/>
      <c r="K482" s="213"/>
      <c r="L482" s="183"/>
      <c r="M482" s="134" t="str">
        <f>I347</f>
        <v/>
      </c>
      <c r="N482" s="135" t="str">
        <f>iferror(mround($P347*((VLOOKUP($J482,Sheet1!$D:$N,$G482+1,FALSE)-0.03)),2.5)," ")</f>
        <v> </v>
      </c>
      <c r="O482" s="135" t="str">
        <f>iferror(mround($P347*((VLOOKUP($J482,Sheet1!$D:$N,$G482+1,FALSE)+0.02)),2.5)," ")</f>
        <v> </v>
      </c>
      <c r="P482" s="112" t="str">
        <f>iferror(mround(I482/VLOOKUP(L482,Sheet1!$D$7:$N$16,G482+1,FALSE),2.5),"")</f>
        <v/>
      </c>
      <c r="Q482" s="303" t="str">
        <f t="shared" si="13"/>
        <v/>
      </c>
      <c r="R482" s="214"/>
      <c r="S482" s="11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</row>
    <row r="483" ht="3.75" customHeight="1">
      <c r="A483" s="90"/>
      <c r="B483" s="6"/>
      <c r="C483" s="90"/>
      <c r="D483" s="138"/>
      <c r="E483" s="215"/>
      <c r="F483" s="102"/>
      <c r="G483" s="102"/>
      <c r="H483" s="102"/>
      <c r="I483" s="102"/>
      <c r="J483" s="156"/>
      <c r="K483" s="217"/>
      <c r="L483" s="218"/>
      <c r="M483" s="144"/>
      <c r="N483" s="145"/>
      <c r="O483" s="145"/>
      <c r="P483" s="122"/>
      <c r="Q483" s="304" t="str">
        <f t="shared" si="13"/>
        <v/>
      </c>
      <c r="R483" s="214"/>
      <c r="S483" s="11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</row>
    <row r="484" ht="15.75" customHeight="1">
      <c r="A484" s="90"/>
      <c r="B484" s="6"/>
      <c r="C484" s="90"/>
      <c r="D484" s="159" t="s">
        <v>94</v>
      </c>
      <c r="E484" s="220"/>
      <c r="F484" s="127">
        <v>3.0</v>
      </c>
      <c r="G484" s="221">
        <v>45641.0</v>
      </c>
      <c r="H484" s="195"/>
      <c r="I484" s="164"/>
      <c r="J484" s="151">
        <v>9.0</v>
      </c>
      <c r="K484" s="213"/>
      <c r="L484" s="183"/>
      <c r="M484" s="134">
        <f>I349</f>
        <v>25</v>
      </c>
      <c r="N484" s="135" t="str">
        <f>iferror(mround($P349*((VLOOKUP($J484,Sheet1!$D:$N,$G484+1,FALSE)-0.03)),2.5)," ")</f>
        <v> </v>
      </c>
      <c r="O484" s="135" t="str">
        <f>iferror(mround($P349*((VLOOKUP($J484,Sheet1!$D:$N,$G484+1,FALSE)+0.02)),2.5)," ")</f>
        <v> </v>
      </c>
      <c r="P484" s="112" t="str">
        <f>iferror(mround(I484/VLOOKUP(L484,Sheet1!$D$7:$N$16,G484+1,FALSE),2.5),"")</f>
        <v/>
      </c>
      <c r="Q484" s="303" t="str">
        <f t="shared" si="13"/>
        <v/>
      </c>
      <c r="R484" s="214"/>
      <c r="S484" s="11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</row>
    <row r="485" ht="3.75" customHeight="1">
      <c r="A485" s="90"/>
      <c r="B485" s="6"/>
      <c r="C485" s="90"/>
      <c r="D485" s="138"/>
      <c r="E485" s="215"/>
      <c r="F485" s="102"/>
      <c r="G485" s="102"/>
      <c r="H485" s="102"/>
      <c r="I485" s="102"/>
      <c r="J485" s="156"/>
      <c r="K485" s="222"/>
      <c r="L485" s="218"/>
      <c r="M485" s="144"/>
      <c r="N485" s="145"/>
      <c r="O485" s="145"/>
      <c r="P485" s="122"/>
      <c r="Q485" s="304" t="str">
        <f t="shared" si="13"/>
        <v/>
      </c>
      <c r="R485" s="214"/>
      <c r="S485" s="11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</row>
    <row r="486" ht="15.75" hidden="1" customHeight="1">
      <c r="A486" s="90"/>
      <c r="B486" s="6"/>
      <c r="C486" s="90"/>
      <c r="D486" s="185"/>
      <c r="E486" s="220"/>
      <c r="F486" s="187"/>
      <c r="G486" s="229"/>
      <c r="H486" s="195"/>
      <c r="I486" s="164"/>
      <c r="J486" s="189"/>
      <c r="K486" s="190"/>
      <c r="L486" s="183"/>
      <c r="M486" s="134" t="str">
        <f>I351</f>
        <v/>
      </c>
      <c r="N486" s="135" t="str">
        <f>iferror(mround($P351*((VLOOKUP($J486,Sheet1!$D:$N,$G486+1,FALSE)-0.03)),2.5)," ")</f>
        <v> </v>
      </c>
      <c r="O486" s="135" t="str">
        <f>iferror(mround($P351*((VLOOKUP($J486,Sheet1!$D:$N,$G486+1,FALSE)+0.02)),2.5)," ")</f>
        <v> </v>
      </c>
      <c r="P486" s="112" t="str">
        <f>iferror(mround(I486/VLOOKUP(L486,Sheet1!$D$7:$N$16,G486+1,FALSE),2.5),"")</f>
        <v/>
      </c>
      <c r="Q486" s="303" t="str">
        <f t="shared" si="13"/>
        <v/>
      </c>
      <c r="R486" s="214"/>
      <c r="S486" s="11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</row>
    <row r="487" ht="3.75" hidden="1" customHeight="1">
      <c r="A487" s="90"/>
      <c r="B487" s="6"/>
      <c r="C487" s="90"/>
      <c r="D487" s="138"/>
      <c r="E487" s="215"/>
      <c r="F487" s="102"/>
      <c r="G487" s="102"/>
      <c r="H487" s="102"/>
      <c r="I487" s="102"/>
      <c r="J487" s="216"/>
      <c r="K487" s="222"/>
      <c r="L487" s="218"/>
      <c r="M487" s="144"/>
      <c r="N487" s="145"/>
      <c r="O487" s="145"/>
      <c r="P487" s="122"/>
      <c r="Q487" s="304" t="str">
        <f t="shared" si="13"/>
        <v/>
      </c>
      <c r="R487" s="214"/>
      <c r="S487" s="11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</row>
    <row r="488" ht="15.75" hidden="1" customHeight="1">
      <c r="A488" s="90"/>
      <c r="B488" s="6"/>
      <c r="C488" s="90"/>
      <c r="D488" s="185"/>
      <c r="E488" s="220"/>
      <c r="F488" s="187"/>
      <c r="G488" s="229"/>
      <c r="H488" s="195"/>
      <c r="I488" s="164"/>
      <c r="J488" s="189"/>
      <c r="K488" s="190"/>
      <c r="L488" s="183"/>
      <c r="M488" s="134" t="str">
        <f>I353</f>
        <v/>
      </c>
      <c r="N488" s="135" t="str">
        <f>iferror(mround($P353*((VLOOKUP($J488,Sheet1!$D:$N,$G488+1,FALSE)-0.03)),2.5)," ")</f>
        <v> </v>
      </c>
      <c r="O488" s="135" t="str">
        <f>iferror(mround($P353*((VLOOKUP($J488,Sheet1!$D:$N,$G488+1,FALSE)+0.02)),2.5)," ")</f>
        <v> </v>
      </c>
      <c r="P488" s="112" t="str">
        <f>iferror(mround(I488/VLOOKUP(L488,Sheet1!$D$7:$N$16,G488+1,FALSE),2.5),"")</f>
        <v/>
      </c>
      <c r="Q488" s="303" t="str">
        <f t="shared" si="13"/>
        <v/>
      </c>
      <c r="R488" s="214"/>
      <c r="S488" s="11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</row>
    <row r="489" ht="3.75" hidden="1" customHeight="1">
      <c r="A489" s="191"/>
      <c r="B489" s="6"/>
      <c r="C489" s="192"/>
      <c r="D489" s="138"/>
      <c r="E489" s="184"/>
      <c r="F489" s="102"/>
      <c r="G489" s="102"/>
      <c r="H489" s="102"/>
      <c r="I489" s="102"/>
      <c r="J489" s="156"/>
      <c r="K489" s="222"/>
      <c r="L489" s="218"/>
      <c r="M489" s="144"/>
      <c r="N489" s="145"/>
      <c r="O489" s="145"/>
      <c r="P489" s="122"/>
      <c r="Q489" s="304" t="str">
        <f t="shared" si="13"/>
        <v/>
      </c>
      <c r="R489" s="214"/>
      <c r="S489" s="157"/>
      <c r="T489" s="5"/>
      <c r="U489" s="5"/>
      <c r="V489" s="158"/>
      <c r="W489" s="158"/>
      <c r="X489" s="158"/>
      <c r="Y489" s="158"/>
      <c r="Z489" s="158"/>
      <c r="AA489" s="158"/>
      <c r="AB489" s="158"/>
      <c r="AC489" s="158"/>
      <c r="AD489" s="158"/>
      <c r="AE489" s="158"/>
      <c r="AF489" s="158"/>
      <c r="AG489" s="158"/>
    </row>
    <row r="490" ht="15.75" hidden="1" customHeight="1">
      <c r="A490" s="90"/>
      <c r="B490" s="6"/>
      <c r="C490" s="90"/>
      <c r="D490" s="185"/>
      <c r="E490" s="224"/>
      <c r="F490" s="187"/>
      <c r="G490" s="187"/>
      <c r="H490" s="195"/>
      <c r="I490" s="164"/>
      <c r="J490" s="230"/>
      <c r="K490" s="190"/>
      <c r="L490" s="183"/>
      <c r="M490" s="134" t="str">
        <f>I355</f>
        <v/>
      </c>
      <c r="N490" s="135" t="str">
        <f>iferror(mround($P355*((VLOOKUP($J490,Sheet1!$D:$N,$G490+1,FALSE)-0.03)),2.5)," ")</f>
        <v> </v>
      </c>
      <c r="O490" s="135" t="str">
        <f>iferror(mround($P355*((VLOOKUP($J490,Sheet1!$D:$N,$G490+1,FALSE)+0.02)),2.5)," ")</f>
        <v> </v>
      </c>
      <c r="P490" s="112" t="str">
        <f>iferror(mround(I490/VLOOKUP(L490,Sheet1!$D$7:$N$16,G490+1,FALSE),2.5),"")</f>
        <v/>
      </c>
      <c r="Q490" s="303" t="str">
        <f t="shared" si="13"/>
        <v/>
      </c>
      <c r="R490" s="214"/>
      <c r="S490" s="11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</row>
    <row r="491" ht="3.75" hidden="1" customHeight="1">
      <c r="A491" s="90"/>
      <c r="B491" s="6"/>
      <c r="C491" s="90"/>
      <c r="D491" s="138"/>
      <c r="E491" s="184"/>
      <c r="F491" s="102"/>
      <c r="G491" s="102"/>
      <c r="H491" s="102"/>
      <c r="I491" s="102"/>
      <c r="J491" s="156"/>
      <c r="K491" s="222"/>
      <c r="L491" s="218"/>
      <c r="M491" s="144"/>
      <c r="N491" s="145"/>
      <c r="O491" s="145"/>
      <c r="P491" s="122"/>
      <c r="Q491" s="304" t="str">
        <f t="shared" si="13"/>
        <v/>
      </c>
      <c r="R491" s="214"/>
      <c r="S491" s="11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</row>
    <row r="492" ht="15.75" hidden="1" customHeight="1">
      <c r="A492" s="90"/>
      <c r="B492" s="6"/>
      <c r="C492" s="90"/>
      <c r="D492" s="231"/>
      <c r="E492" s="232"/>
      <c r="F492" s="187"/>
      <c r="G492" s="187"/>
      <c r="H492" s="195"/>
      <c r="I492" s="164"/>
      <c r="J492" s="230"/>
      <c r="K492" s="190"/>
      <c r="L492" s="183"/>
      <c r="M492" s="134" t="str">
        <f>I357</f>
        <v/>
      </c>
      <c r="N492" s="135" t="str">
        <f>iferror(mround($P357*((VLOOKUP($J492,Sheet1!$D:$N,$G492+1,FALSE)-0.03)),2.5)," ")</f>
        <v> </v>
      </c>
      <c r="O492" s="135" t="str">
        <f>iferror(mround($P357*((VLOOKUP($J492,Sheet1!$D:$N,$G492+1,FALSE)+0.02)),2.5)," ")</f>
        <v> </v>
      </c>
      <c r="P492" s="112" t="str">
        <f>iferror(mround(I492/VLOOKUP(L492,Sheet1!$D$7:$N$16,G492+1,FALSE),2.5),"")</f>
        <v/>
      </c>
      <c r="Q492" s="303" t="str">
        <f t="shared" si="13"/>
        <v/>
      </c>
      <c r="R492" s="214"/>
      <c r="S492" s="11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</row>
    <row r="493" ht="3.75" hidden="1" customHeight="1">
      <c r="A493" s="191"/>
      <c r="B493" s="6"/>
      <c r="C493" s="233"/>
      <c r="D493" s="234"/>
      <c r="E493" s="235"/>
      <c r="F493" s="236"/>
      <c r="G493" s="194"/>
      <c r="H493" s="155"/>
      <c r="I493" s="210"/>
      <c r="J493" s="216"/>
      <c r="K493" s="222"/>
      <c r="L493" s="218"/>
      <c r="M493" s="144"/>
      <c r="N493" s="145"/>
      <c r="O493" s="145"/>
      <c r="P493" s="122"/>
      <c r="Q493" s="304" t="str">
        <f t="shared" si="13"/>
        <v/>
      </c>
      <c r="R493" s="214"/>
      <c r="S493" s="157"/>
      <c r="T493" s="5"/>
      <c r="U493" s="5"/>
      <c r="V493" s="158"/>
      <c r="W493" s="158"/>
      <c r="X493" s="158"/>
      <c r="Y493" s="158"/>
      <c r="Z493" s="158"/>
      <c r="AA493" s="158"/>
      <c r="AB493" s="158"/>
      <c r="AC493" s="158"/>
      <c r="AD493" s="158"/>
      <c r="AE493" s="158"/>
      <c r="AF493" s="158"/>
      <c r="AG493" s="158"/>
    </row>
    <row r="494" ht="15.75" hidden="1" customHeight="1">
      <c r="A494" s="90"/>
      <c r="B494" s="6"/>
      <c r="C494" s="90"/>
      <c r="D494" s="197"/>
      <c r="E494" s="198"/>
      <c r="F494" s="199"/>
      <c r="G494" s="187"/>
      <c r="H494" s="195"/>
      <c r="I494" s="164"/>
      <c r="J494" s="189"/>
      <c r="K494" s="190"/>
      <c r="L494" s="183"/>
      <c r="M494" s="134" t="str">
        <f>I359</f>
        <v/>
      </c>
      <c r="N494" s="135" t="str">
        <f>iferror(mround($P359*((VLOOKUP($J494,Sheet1!$D:$N,$G494+1,FALSE)-0.03)),2.5)," ")</f>
        <v> </v>
      </c>
      <c r="O494" s="135" t="str">
        <f>iferror(mround($P359*((VLOOKUP($J494,Sheet1!$D:$N,$G494+1,FALSE)+0.02)),2.5)," ")</f>
        <v> </v>
      </c>
      <c r="P494" s="112" t="str">
        <f>iferror(mround(I494/VLOOKUP(L494,Sheet1!$D$7:$N$16,G494+1,FALSE),2.5),"")</f>
        <v/>
      </c>
      <c r="Q494" s="303" t="str">
        <f t="shared" si="13"/>
        <v/>
      </c>
      <c r="R494" s="214"/>
      <c r="S494" s="11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</row>
    <row r="495" ht="3.75" customHeight="1">
      <c r="A495" s="90"/>
      <c r="B495" s="6"/>
      <c r="C495" s="90"/>
      <c r="D495" s="90"/>
      <c r="E495" s="156"/>
      <c r="F495" s="102"/>
      <c r="G495" s="102"/>
      <c r="H495" s="102"/>
      <c r="I495" s="102"/>
      <c r="J495" s="156"/>
      <c r="K495" s="200"/>
      <c r="L495" s="201"/>
      <c r="M495" s="211"/>
      <c r="N495" s="47"/>
      <c r="O495" s="47"/>
      <c r="P495" s="122"/>
      <c r="Q495" s="304" t="str">
        <f t="shared" si="13"/>
        <v/>
      </c>
      <c r="R495" s="214"/>
      <c r="S495" s="11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</row>
    <row r="496" ht="30.0" customHeight="1">
      <c r="A496" s="90"/>
      <c r="B496" s="6"/>
      <c r="C496" s="90"/>
      <c r="D496" s="202" t="s">
        <v>55</v>
      </c>
      <c r="E496" s="105" t="s">
        <v>117</v>
      </c>
      <c r="F496" s="106" t="s">
        <v>16</v>
      </c>
      <c r="G496" s="106" t="s">
        <v>17</v>
      </c>
      <c r="H496" s="107"/>
      <c r="I496" s="106" t="s">
        <v>18</v>
      </c>
      <c r="J496" s="108" t="s">
        <v>19</v>
      </c>
      <c r="L496" s="109" t="s">
        <v>20</v>
      </c>
      <c r="M496" s="110" t="s">
        <v>21</v>
      </c>
      <c r="N496" s="111" t="s">
        <v>22</v>
      </c>
      <c r="P496" s="112"/>
      <c r="Q496" s="113" t="s">
        <v>23</v>
      </c>
      <c r="R496" s="114" t="s">
        <v>56</v>
      </c>
      <c r="S496" s="11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</row>
    <row r="497" ht="14.25" customHeight="1">
      <c r="A497" s="90"/>
      <c r="B497" s="6"/>
      <c r="C497" s="90"/>
      <c r="D497" s="257" t="s">
        <v>25</v>
      </c>
      <c r="E497" s="117">
        <v>3.0</v>
      </c>
      <c r="H497" s="107"/>
      <c r="N497" s="111" t="s">
        <v>27</v>
      </c>
      <c r="O497" s="111" t="s">
        <v>28</v>
      </c>
      <c r="P497" s="112" t="s">
        <v>29</v>
      </c>
      <c r="R497" s="118" t="s">
        <v>30</v>
      </c>
      <c r="S497" s="11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</row>
    <row r="498" ht="3.75" customHeight="1">
      <c r="A498" s="191"/>
      <c r="B498" s="6"/>
      <c r="C498" s="192"/>
      <c r="D498" s="203"/>
      <c r="E498" s="204"/>
      <c r="F498" s="205"/>
      <c r="G498" s="205"/>
      <c r="H498" s="205"/>
      <c r="I498" s="225"/>
      <c r="J498" s="237"/>
      <c r="K498" s="209"/>
      <c r="L498" s="238"/>
      <c r="M498" s="211"/>
      <c r="N498" s="47"/>
      <c r="O498" s="47"/>
      <c r="P498" s="122"/>
      <c r="Q498" s="304" t="str">
        <f t="shared" ref="Q498:Q518" si="14">IF(OR(ISBLANK(I498), ISBLANK(I363)), "", IF(I498 - I363 = 0, "", I498 - I363))</f>
        <v/>
      </c>
      <c r="R498" s="239"/>
      <c r="S498" s="157"/>
      <c r="T498" s="5"/>
      <c r="U498" s="5"/>
      <c r="V498" s="158"/>
      <c r="W498" s="158"/>
      <c r="X498" s="158"/>
      <c r="Y498" s="158"/>
      <c r="Z498" s="158"/>
      <c r="AA498" s="158"/>
      <c r="AB498" s="158"/>
      <c r="AC498" s="158"/>
      <c r="AD498" s="158"/>
      <c r="AE498" s="158"/>
      <c r="AF498" s="158"/>
      <c r="AG498" s="158"/>
    </row>
    <row r="499" ht="15.75" customHeight="1">
      <c r="A499" s="124"/>
      <c r="B499" s="6"/>
      <c r="C499" s="124"/>
      <c r="D499" s="125" t="s">
        <v>97</v>
      </c>
      <c r="E499" s="126"/>
      <c r="F499" s="127">
        <v>1.0</v>
      </c>
      <c r="G499" s="240">
        <v>4.0</v>
      </c>
      <c r="H499" s="129"/>
      <c r="I499" s="130">
        <v>513.0</v>
      </c>
      <c r="J499" s="151">
        <v>7.5</v>
      </c>
      <c r="K499" s="241"/>
      <c r="L499" s="130">
        <v>8.0</v>
      </c>
      <c r="M499" s="134">
        <f>I364</f>
        <v>496</v>
      </c>
      <c r="N499" s="135">
        <f>iferror(mround($P364*((VLOOKUP($J499,Sheet1!$D:$N,$G499+1,FALSE)-0.03)),2.5)," ")</f>
        <v>485</v>
      </c>
      <c r="O499" s="135">
        <f>iferror(mround($P364*((VLOOKUP($J499,Sheet1!$D:$N,$G499+1,FALSE)+0.02)),2.5)," ")</f>
        <v>515</v>
      </c>
      <c r="P499" s="112">
        <f>iferror(mround(I499/VLOOKUP(L499,Sheet1!$D$7:$N$16,G499+1,FALSE),2.5),"")</f>
        <v>610</v>
      </c>
      <c r="Q499" s="303">
        <f t="shared" si="14"/>
        <v>17</v>
      </c>
      <c r="R499" s="242"/>
      <c r="S499" s="11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</row>
    <row r="500" ht="3.75" customHeight="1">
      <c r="A500" s="124"/>
      <c r="B500" s="6"/>
      <c r="C500" s="124"/>
      <c r="D500" s="138"/>
      <c r="E500" s="139"/>
      <c r="F500" s="140"/>
      <c r="G500" s="140"/>
      <c r="H500" s="140"/>
      <c r="I500" s="140"/>
      <c r="J500" s="141"/>
      <c r="K500" s="243"/>
      <c r="L500" s="210"/>
      <c r="M500" s="144"/>
      <c r="N500" s="145"/>
      <c r="O500" s="145"/>
      <c r="P500" s="122"/>
      <c r="Q500" s="304" t="str">
        <f t="shared" si="14"/>
        <v/>
      </c>
      <c r="R500" s="242"/>
      <c r="S500" s="11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</row>
    <row r="501" ht="15.0" customHeight="1">
      <c r="A501" s="124"/>
      <c r="B501" s="6"/>
      <c r="C501" s="124"/>
      <c r="D501" s="125" t="s">
        <v>97</v>
      </c>
      <c r="E501" s="126"/>
      <c r="F501" s="127">
        <v>3.0</v>
      </c>
      <c r="G501" s="240">
        <v>4.0</v>
      </c>
      <c r="H501" s="129"/>
      <c r="I501" s="164">
        <f>MROUND(I499*(1+J501),5)</f>
        <v>450</v>
      </c>
      <c r="J501" s="165">
        <v>-0.12</v>
      </c>
      <c r="K501" s="241"/>
      <c r="L501" s="130">
        <v>6.5</v>
      </c>
      <c r="M501" s="134">
        <f>I366</f>
        <v>435</v>
      </c>
      <c r="N501" s="135" t="str">
        <f>iferror(mround($P366*((VLOOKUP($J501,Sheet1!$D:$N,$G501+1,FALSE)-0.03)),2.5)," ")</f>
        <v> </v>
      </c>
      <c r="O501" s="135" t="str">
        <f>iferror(mround($P366*((VLOOKUP($J501,Sheet1!$D:$N,$G501+1,FALSE)+0.02)),2.5)," ")</f>
        <v> </v>
      </c>
      <c r="P501" s="112">
        <f>iferror(mround(I501/VLOOKUP(L501,Sheet1!$D$7:$N$16,G501+1,FALSE),2.5),"")</f>
        <v>560</v>
      </c>
      <c r="Q501" s="303">
        <f t="shared" si="14"/>
        <v>15</v>
      </c>
      <c r="R501" s="242"/>
      <c r="S501" s="11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</row>
    <row r="502" ht="3.75" customHeight="1">
      <c r="A502" s="124"/>
      <c r="B502" s="6"/>
      <c r="C502" s="124"/>
      <c r="D502" s="138"/>
      <c r="E502" s="215"/>
      <c r="F502" s="102"/>
      <c r="G502" s="102"/>
      <c r="H502" s="102"/>
      <c r="I502" s="102"/>
      <c r="J502" s="156"/>
      <c r="K502" s="243"/>
      <c r="L502" s="210"/>
      <c r="M502" s="144"/>
      <c r="N502" s="145"/>
      <c r="O502" s="145"/>
      <c r="P502" s="122"/>
      <c r="Q502" s="304" t="str">
        <f t="shared" si="14"/>
        <v/>
      </c>
      <c r="R502" s="242"/>
      <c r="S502" s="11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</row>
    <row r="503" ht="15.75" customHeight="1">
      <c r="A503" s="124"/>
      <c r="B503" s="6"/>
      <c r="C503" s="124"/>
      <c r="D503" s="159" t="s">
        <v>33</v>
      </c>
      <c r="E503" s="126"/>
      <c r="F503" s="127">
        <v>1.0</v>
      </c>
      <c r="G503" s="161">
        <v>1.0</v>
      </c>
      <c r="H503" s="129"/>
      <c r="I503" s="130">
        <v>314.0</v>
      </c>
      <c r="J503" s="151">
        <v>8.0</v>
      </c>
      <c r="K503" s="244"/>
      <c r="L503" s="130">
        <v>8.0</v>
      </c>
      <c r="M503" s="134">
        <f>I368</f>
        <v>303</v>
      </c>
      <c r="N503" s="135">
        <f>iferror(mround($P368*((VLOOKUP($J503,Sheet1!$D:$N,$G503+1,FALSE)-0.03)),2.5)," ")</f>
        <v>297.5</v>
      </c>
      <c r="O503" s="135">
        <f>iferror(mround($P368*((VLOOKUP($J503,Sheet1!$D:$N,$G503+1,FALSE)+0.02)),2.5)," ")</f>
        <v>315</v>
      </c>
      <c r="P503" s="112">
        <f>iferror(mround(I503/VLOOKUP(L503,Sheet1!$D$7:$N$16,G503+1,FALSE),2.5),"")</f>
        <v>340</v>
      </c>
      <c r="Q503" s="303">
        <f t="shared" si="14"/>
        <v>11</v>
      </c>
      <c r="R503" s="242"/>
      <c r="S503" s="11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</row>
    <row r="504" ht="3.75" customHeight="1">
      <c r="A504" s="124"/>
      <c r="B504" s="6"/>
      <c r="C504" s="124"/>
      <c r="D504" s="138"/>
      <c r="E504" s="154"/>
      <c r="F504" s="155"/>
      <c r="G504" s="102"/>
      <c r="H504" s="102"/>
      <c r="I504" s="102"/>
      <c r="J504" s="156"/>
      <c r="K504" s="243"/>
      <c r="L504" s="210"/>
      <c r="M504" s="144"/>
      <c r="N504" s="145"/>
      <c r="O504" s="145"/>
      <c r="P504" s="122"/>
      <c r="Q504" s="304" t="str">
        <f t="shared" si="14"/>
        <v/>
      </c>
      <c r="R504" s="242"/>
      <c r="S504" s="11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</row>
    <row r="505" ht="15.75" customHeight="1">
      <c r="A505" s="124"/>
      <c r="B505" s="6"/>
      <c r="C505" s="124"/>
      <c r="D505" s="159" t="s">
        <v>33</v>
      </c>
      <c r="E505" s="126"/>
      <c r="F505" s="127">
        <v>4.0</v>
      </c>
      <c r="G505" s="161">
        <v>4.0</v>
      </c>
      <c r="H505" s="129"/>
      <c r="I505" s="130">
        <v>270.0</v>
      </c>
      <c r="J505" s="151">
        <v>7.0</v>
      </c>
      <c r="K505" s="241" t="s">
        <v>91</v>
      </c>
      <c r="L505" s="164"/>
      <c r="M505" s="134">
        <f>I370</f>
        <v>265</v>
      </c>
      <c r="N505" s="135">
        <f>iferror(mround($P370*((VLOOKUP($J505,Sheet1!$D:$N,$G505+1,FALSE)-0.03)),2.5)," ")</f>
        <v>255</v>
      </c>
      <c r="O505" s="135">
        <f>iferror(mround($P370*((VLOOKUP($J505,Sheet1!$D:$N,$G505+1,FALSE)+0.02)),2.5)," ")</f>
        <v>272.5</v>
      </c>
      <c r="P505" s="112" t="str">
        <f>iferror(mround(I505/VLOOKUP(L505,Sheet1!$D$7:$N$16,G505+1,FALSE),2.5),"")</f>
        <v/>
      </c>
      <c r="Q505" s="303">
        <f t="shared" si="14"/>
        <v>5</v>
      </c>
      <c r="R505" s="242"/>
      <c r="S505" s="11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</row>
    <row r="506" ht="3.75" customHeight="1">
      <c r="A506" s="90"/>
      <c r="B506" s="6"/>
      <c r="C506" s="90"/>
      <c r="D506" s="138"/>
      <c r="E506" s="245"/>
      <c r="F506" s="102"/>
      <c r="G506" s="102"/>
      <c r="H506" s="102"/>
      <c r="I506" s="102"/>
      <c r="J506" s="156"/>
      <c r="K506" s="243"/>
      <c r="L506" s="210"/>
      <c r="M506" s="144"/>
      <c r="N506" s="145"/>
      <c r="O506" s="145"/>
      <c r="P506" s="122"/>
      <c r="Q506" s="304" t="str">
        <f t="shared" si="14"/>
        <v/>
      </c>
      <c r="R506" s="242"/>
      <c r="S506" s="11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</row>
    <row r="507" ht="15.75" customHeight="1">
      <c r="A507" s="90"/>
      <c r="B507" s="6"/>
      <c r="C507" s="90"/>
      <c r="D507" s="159" t="s">
        <v>54</v>
      </c>
      <c r="E507" s="227"/>
      <c r="F507" s="127">
        <v>3.0</v>
      </c>
      <c r="G507" s="221">
        <v>45577.0</v>
      </c>
      <c r="H507" s="195"/>
      <c r="I507" s="164"/>
      <c r="J507" s="228">
        <v>8.0</v>
      </c>
      <c r="K507" s="241"/>
      <c r="L507" s="164"/>
      <c r="M507" s="134">
        <f>I372</f>
        <v>100</v>
      </c>
      <c r="N507" s="135" t="str">
        <f>iferror(mround($P372*((VLOOKUP($J507,Sheet1!$D:$N,$G507+1,FALSE)-0.03)),2.5)," ")</f>
        <v> </v>
      </c>
      <c r="O507" s="135" t="str">
        <f>iferror(mround($P372*((VLOOKUP($J507,Sheet1!$D:$N,$G507+1,FALSE)+0.02)),2.5)," ")</f>
        <v> </v>
      </c>
      <c r="P507" s="112" t="str">
        <f>iferror(mround(I507/VLOOKUP(L507,Sheet1!$D$7:$N$16,G507+1,FALSE),2.5),"")</f>
        <v/>
      </c>
      <c r="Q507" s="303" t="str">
        <f t="shared" si="14"/>
        <v/>
      </c>
      <c r="R507" s="242"/>
      <c r="S507" s="11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</row>
    <row r="508" ht="3.75" customHeight="1">
      <c r="A508" s="191"/>
      <c r="B508" s="6"/>
      <c r="C508" s="192"/>
      <c r="D508" s="138"/>
      <c r="E508" s="245"/>
      <c r="F508" s="102"/>
      <c r="G508" s="102"/>
      <c r="H508" s="102"/>
      <c r="I508" s="102"/>
      <c r="J508" s="156"/>
      <c r="K508" s="243"/>
      <c r="L508" s="210"/>
      <c r="M508" s="144"/>
      <c r="N508" s="145"/>
      <c r="O508" s="145"/>
      <c r="P508" s="122"/>
      <c r="Q508" s="304" t="str">
        <f t="shared" si="14"/>
        <v/>
      </c>
      <c r="R508" s="242"/>
      <c r="S508" s="157"/>
      <c r="T508" s="5"/>
      <c r="U508" s="5"/>
      <c r="V508" s="158"/>
      <c r="W508" s="158"/>
      <c r="X508" s="158"/>
      <c r="Y508" s="158"/>
      <c r="Z508" s="158"/>
      <c r="AA508" s="158"/>
      <c r="AB508" s="158"/>
      <c r="AC508" s="158"/>
      <c r="AD508" s="158"/>
      <c r="AE508" s="158"/>
      <c r="AF508" s="158"/>
      <c r="AG508" s="158"/>
    </row>
    <row r="509" ht="15.75" customHeight="1">
      <c r="A509" s="90"/>
      <c r="B509" s="6"/>
      <c r="C509" s="90"/>
      <c r="D509" s="159" t="s">
        <v>99</v>
      </c>
      <c r="E509" s="246" t="s">
        <v>100</v>
      </c>
      <c r="F509" s="127">
        <v>3.0</v>
      </c>
      <c r="G509" s="221">
        <v>45577.0</v>
      </c>
      <c r="H509" s="195"/>
      <c r="I509" s="164"/>
      <c r="J509" s="228">
        <v>9.0</v>
      </c>
      <c r="K509" s="241"/>
      <c r="L509" s="164"/>
      <c r="M509" s="134">
        <f>I374</f>
        <v>120</v>
      </c>
      <c r="N509" s="135" t="str">
        <f>iferror(mround($P374*((VLOOKUP($J509,Sheet1!$D:$N,$G509+1,FALSE)-0.03)),2.5)," ")</f>
        <v> </v>
      </c>
      <c r="O509" s="135" t="str">
        <f>iferror(mround($P374*((VLOOKUP($J509,Sheet1!$D:$N,$G509+1,FALSE)+0.02)),2.5)," ")</f>
        <v> </v>
      </c>
      <c r="P509" s="112" t="str">
        <f>iferror(mround(I509/VLOOKUP(L509,Sheet1!$D$7:$N$16,G509+1,FALSE),2.5),"")</f>
        <v/>
      </c>
      <c r="Q509" s="303" t="str">
        <f t="shared" si="14"/>
        <v/>
      </c>
      <c r="R509" s="242"/>
      <c r="S509" s="11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</row>
    <row r="510" ht="3.75" customHeight="1">
      <c r="A510" s="90"/>
      <c r="B510" s="6"/>
      <c r="C510" s="90"/>
      <c r="D510" s="138"/>
      <c r="E510" s="245"/>
      <c r="F510" s="102"/>
      <c r="G510" s="102"/>
      <c r="H510" s="102"/>
      <c r="I510" s="102"/>
      <c r="J510" s="156"/>
      <c r="K510" s="243"/>
      <c r="L510" s="210"/>
      <c r="M510" s="144"/>
      <c r="N510" s="145"/>
      <c r="O510" s="145"/>
      <c r="P510" s="122"/>
      <c r="Q510" s="304" t="str">
        <f t="shared" si="14"/>
        <v/>
      </c>
      <c r="R510" s="242"/>
      <c r="S510" s="11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</row>
    <row r="511" ht="15.75" hidden="1" customHeight="1">
      <c r="A511" s="90"/>
      <c r="B511" s="6"/>
      <c r="C511" s="90"/>
      <c r="D511" s="185"/>
      <c r="E511" s="227"/>
      <c r="F511" s="187"/>
      <c r="G511" s="229"/>
      <c r="H511" s="195"/>
      <c r="I511" s="247"/>
      <c r="J511" s="248"/>
      <c r="K511" s="241"/>
      <c r="L511" s="164"/>
      <c r="M511" s="134" t="str">
        <f>I376</f>
        <v/>
      </c>
      <c r="N511" s="135" t="str">
        <f>iferror(mround($P376*((VLOOKUP($J511,Sheet1!$D:$N,$G511+1,FALSE)-0.03)),2.5)," ")</f>
        <v> </v>
      </c>
      <c r="O511" s="135" t="str">
        <f>iferror(mround($P376*((VLOOKUP($J511,Sheet1!$D:$N,$G511+1,FALSE)+0.02)),2.5)," ")</f>
        <v> </v>
      </c>
      <c r="P511" s="112" t="str">
        <f>iferror(mround(I511/VLOOKUP(L511,Sheet1!$D$7:$N$16,G511+1,FALSE),2.5),"")</f>
        <v/>
      </c>
      <c r="Q511" s="303" t="str">
        <f t="shared" si="14"/>
        <v/>
      </c>
      <c r="R511" s="242"/>
      <c r="S511" s="11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</row>
    <row r="512" ht="3.75" hidden="1" customHeight="1">
      <c r="A512" s="90"/>
      <c r="B512" s="6"/>
      <c r="C512" s="90"/>
      <c r="D512" s="138"/>
      <c r="E512" s="215"/>
      <c r="F512" s="102"/>
      <c r="G512" s="102"/>
      <c r="H512" s="102"/>
      <c r="I512" s="102"/>
      <c r="J512" s="156"/>
      <c r="K512" s="243"/>
      <c r="L512" s="210"/>
      <c r="M512" s="144"/>
      <c r="N512" s="145"/>
      <c r="O512" s="145"/>
      <c r="P512" s="122"/>
      <c r="Q512" s="304" t="str">
        <f t="shared" si="14"/>
        <v/>
      </c>
      <c r="R512" s="242"/>
      <c r="S512" s="11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</row>
    <row r="513" ht="15.75" hidden="1" customHeight="1">
      <c r="A513" s="90"/>
      <c r="B513" s="6"/>
      <c r="C513" s="90"/>
      <c r="D513" s="185"/>
      <c r="E513" s="220"/>
      <c r="F513" s="187"/>
      <c r="G513" s="229"/>
      <c r="H513" s="195"/>
      <c r="I513" s="247"/>
      <c r="J513" s="248"/>
      <c r="K513" s="241"/>
      <c r="L513" s="164"/>
      <c r="M513" s="134" t="str">
        <f>I378</f>
        <v/>
      </c>
      <c r="N513" s="135" t="str">
        <f>iferror(mround($P378*((VLOOKUP($J513,Sheet1!$D:$N,$G513+1,FALSE)-0.03)),2.5)," ")</f>
        <v> </v>
      </c>
      <c r="O513" s="135" t="str">
        <f>iferror(mround($P378*((VLOOKUP($J513,Sheet1!$D:$N,$G513+1,FALSE)+0.02)),2.5)," ")</f>
        <v> </v>
      </c>
      <c r="P513" s="112" t="str">
        <f>iferror(mround(I513/VLOOKUP(L513,Sheet1!$D$7:$N$16,G513+1,FALSE),2.5),"")</f>
        <v/>
      </c>
      <c r="Q513" s="303" t="str">
        <f t="shared" si="14"/>
        <v/>
      </c>
      <c r="R513" s="242"/>
      <c r="S513" s="11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</row>
    <row r="514" ht="3.75" hidden="1" customHeight="1">
      <c r="A514" s="90"/>
      <c r="B514" s="6"/>
      <c r="C514" s="90"/>
      <c r="D514" s="196"/>
      <c r="E514" s="184"/>
      <c r="F514" s="102"/>
      <c r="G514" s="102"/>
      <c r="H514" s="102"/>
      <c r="I514" s="102"/>
      <c r="J514" s="156"/>
      <c r="K514" s="249"/>
      <c r="L514" s="210"/>
      <c r="M514" s="144"/>
      <c r="N514" s="145"/>
      <c r="O514" s="145"/>
      <c r="P514" s="122"/>
      <c r="Q514" s="304" t="str">
        <f t="shared" si="14"/>
        <v/>
      </c>
      <c r="R514" s="242"/>
      <c r="S514" s="11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</row>
    <row r="515" ht="15.75" hidden="1" customHeight="1">
      <c r="A515" s="90"/>
      <c r="B515" s="6"/>
      <c r="C515" s="90"/>
      <c r="D515" s="197"/>
      <c r="E515" s="250"/>
      <c r="F515" s="129"/>
      <c r="G515" s="199"/>
      <c r="H515" s="195"/>
      <c r="I515" s="247"/>
      <c r="J515" s="248"/>
      <c r="K515" s="251"/>
      <c r="L515" s="164"/>
      <c r="M515" s="134" t="str">
        <f>I380</f>
        <v/>
      </c>
      <c r="N515" s="135" t="str">
        <f>iferror(mround($P380*((VLOOKUP($J515,Sheet1!$D:$N,$G515+1,FALSE)-0.03)),2.5)," ")</f>
        <v> </v>
      </c>
      <c r="O515" s="135" t="str">
        <f>iferror(mround($P380*((VLOOKUP($J515,Sheet1!$D:$N,$G515+1,FALSE)+0.02)),2.5)," ")</f>
        <v> </v>
      </c>
      <c r="P515" s="112" t="str">
        <f>iferror(mround(I515/VLOOKUP(L515,Sheet1!$D$7:$N$16,G515+1,FALSE),2.5),"")</f>
        <v/>
      </c>
      <c r="Q515" s="303" t="str">
        <f t="shared" si="14"/>
        <v/>
      </c>
      <c r="R515" s="242"/>
      <c r="S515" s="11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</row>
    <row r="516" ht="3.75" hidden="1" customHeight="1">
      <c r="A516" s="90"/>
      <c r="B516" s="6"/>
      <c r="C516" s="90"/>
      <c r="D516" s="234"/>
      <c r="E516" s="184"/>
      <c r="F516" s="102"/>
      <c r="G516" s="102"/>
      <c r="H516" s="102"/>
      <c r="I516" s="102"/>
      <c r="J516" s="156"/>
      <c r="K516" s="249"/>
      <c r="L516" s="210"/>
      <c r="M516" s="144"/>
      <c r="N516" s="145"/>
      <c r="O516" s="145"/>
      <c r="P516" s="122"/>
      <c r="Q516" s="304" t="str">
        <f t="shared" si="14"/>
        <v/>
      </c>
      <c r="R516" s="242"/>
      <c r="S516" s="11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</row>
    <row r="517" ht="15.75" hidden="1" customHeight="1">
      <c r="A517" s="90"/>
      <c r="B517" s="6"/>
      <c r="C517" s="90"/>
      <c r="D517" s="197"/>
      <c r="E517" s="198"/>
      <c r="F517" s="129"/>
      <c r="G517" s="199"/>
      <c r="H517" s="195"/>
      <c r="I517" s="164"/>
      <c r="J517" s="248"/>
      <c r="K517" s="251"/>
      <c r="L517" s="164"/>
      <c r="M517" s="134" t="str">
        <f>I382</f>
        <v/>
      </c>
      <c r="N517" s="135" t="str">
        <f>iferror(mround($P382*((VLOOKUP($J517,Sheet1!$D:$N,$G517+1,FALSE)-0.03)),2.5)," ")</f>
        <v> </v>
      </c>
      <c r="O517" s="135" t="str">
        <f>iferror(mround($P382*((VLOOKUP($J517,Sheet1!$D:$N,$G517+1,FALSE)+0.02)),2.5)," ")</f>
        <v> </v>
      </c>
      <c r="P517" s="112" t="str">
        <f>iferror(mround(I517/VLOOKUP(L517,Sheet1!$D$7:$N$16,G517+1,FALSE),2.5),"")</f>
        <v/>
      </c>
      <c r="Q517" s="303" t="str">
        <f t="shared" si="14"/>
        <v/>
      </c>
      <c r="R517" s="242"/>
      <c r="S517" s="11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</row>
    <row r="518" ht="3.75" hidden="1" customHeight="1">
      <c r="A518" s="124"/>
      <c r="B518" s="6"/>
      <c r="C518" s="124"/>
      <c r="D518" s="252"/>
      <c r="E518" s="252"/>
      <c r="F518" s="102"/>
      <c r="G518" s="102"/>
      <c r="H518" s="102"/>
      <c r="I518" s="102"/>
      <c r="J518" s="156"/>
      <c r="K518" s="253"/>
      <c r="L518" s="201"/>
      <c r="M518" s="211"/>
      <c r="N518" s="47"/>
      <c r="O518" s="47"/>
      <c r="P518" s="122"/>
      <c r="Q518" s="304" t="str">
        <f t="shared" si="14"/>
        <v/>
      </c>
      <c r="R518" s="242"/>
      <c r="S518" s="11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</row>
    <row r="519" ht="30.75" hidden="1" customHeight="1">
      <c r="A519" s="90"/>
      <c r="B519" s="6"/>
      <c r="C519" s="90"/>
      <c r="D519" s="254" t="s">
        <v>57</v>
      </c>
      <c r="E519" s="255" t="s">
        <v>15</v>
      </c>
      <c r="F519" s="106" t="s">
        <v>16</v>
      </c>
      <c r="G519" s="106" t="s">
        <v>17</v>
      </c>
      <c r="H519" s="107"/>
      <c r="I519" s="106" t="s">
        <v>18</v>
      </c>
      <c r="J519" s="108" t="s">
        <v>19</v>
      </c>
      <c r="L519" s="109" t="s">
        <v>20</v>
      </c>
      <c r="M519" s="110" t="s">
        <v>21</v>
      </c>
      <c r="N519" s="111" t="s">
        <v>22</v>
      </c>
      <c r="P519" s="112"/>
      <c r="Q519" s="113" t="s">
        <v>23</v>
      </c>
      <c r="R519" s="256" t="s">
        <v>58</v>
      </c>
      <c r="S519" s="11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</row>
    <row r="520" ht="14.25" hidden="1" customHeight="1">
      <c r="A520" s="90"/>
      <c r="B520" s="6"/>
      <c r="C520" s="90"/>
      <c r="D520" s="257" t="s">
        <v>25</v>
      </c>
      <c r="E520" s="258" t="s">
        <v>26</v>
      </c>
      <c r="H520" s="107"/>
      <c r="N520" s="111" t="s">
        <v>27</v>
      </c>
      <c r="O520" s="111" t="s">
        <v>28</v>
      </c>
      <c r="P520" s="112" t="s">
        <v>29</v>
      </c>
      <c r="R520" s="118" t="s">
        <v>30</v>
      </c>
      <c r="S520" s="11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</row>
    <row r="521" ht="3.75" hidden="1" customHeight="1">
      <c r="A521" s="124"/>
      <c r="B521" s="6"/>
      <c r="C521" s="124"/>
      <c r="D521" s="252"/>
      <c r="E521" s="252"/>
      <c r="F521" s="102"/>
      <c r="G521" s="102"/>
      <c r="H521" s="102"/>
      <c r="I521" s="102"/>
      <c r="J521" s="156"/>
      <c r="K521" s="253"/>
      <c r="L521" s="201"/>
      <c r="M521" s="211"/>
      <c r="N521" s="47"/>
      <c r="O521" s="47"/>
      <c r="P521" s="122"/>
      <c r="Q521" s="304" t="str">
        <f t="shared" ref="Q521:Q544" si="15">IF(OR(ISBLANK(I521), ISBLANK(I386)), "", IF(I521 - I386 = 0, "", I521 - I386))</f>
        <v/>
      </c>
      <c r="R521" s="259"/>
      <c r="S521" s="11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</row>
    <row r="522" ht="14.25" hidden="1" customHeight="1">
      <c r="A522" s="124"/>
      <c r="B522" s="6"/>
      <c r="C522" s="124"/>
      <c r="D522" s="260"/>
      <c r="E522" s="126"/>
      <c r="F522" s="187"/>
      <c r="G522" s="229"/>
      <c r="H522" s="129"/>
      <c r="I522" s="164"/>
      <c r="J522" s="189"/>
      <c r="K522" s="251"/>
      <c r="L522" s="164"/>
      <c r="M522" s="134" t="str">
        <f>I389</f>
        <v/>
      </c>
      <c r="N522" s="135" t="str">
        <f>iferror(mround($P389*((VLOOKUP($J522,Sheet1!$D:$N,$G522+1,FALSE)-0.03)),2.5)," ")</f>
        <v> </v>
      </c>
      <c r="O522" s="135" t="str">
        <f>iferror(mround($P389*((VLOOKUP($J522,Sheet1!$D:$N,$G522+1,FALSE)+0.02)),2.5)," ")</f>
        <v> </v>
      </c>
      <c r="P522" s="56" t="str">
        <f>iferror(mround(I522/VLOOKUP(L522,Sheet1!$D$7:$N$16,G522+1,FALSE),2.5),"")</f>
        <v/>
      </c>
      <c r="Q522" s="303" t="str">
        <f t="shared" si="15"/>
        <v/>
      </c>
      <c r="S522" s="11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</row>
    <row r="523" ht="3.75" hidden="1" customHeight="1">
      <c r="A523" s="124"/>
      <c r="B523" s="6"/>
      <c r="C523" s="124"/>
      <c r="D523" s="138"/>
      <c r="E523" s="215"/>
      <c r="F523" s="102"/>
      <c r="G523" s="102"/>
      <c r="H523" s="102"/>
      <c r="I523" s="102"/>
      <c r="J523" s="156"/>
      <c r="K523" s="249"/>
      <c r="L523" s="210"/>
      <c r="M523" s="144"/>
      <c r="N523" s="145"/>
      <c r="O523" s="145"/>
      <c r="P523" s="122"/>
      <c r="Q523" s="304" t="str">
        <f t="shared" si="15"/>
        <v/>
      </c>
      <c r="S523" s="11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</row>
    <row r="524" ht="14.25" hidden="1" customHeight="1">
      <c r="A524" s="124"/>
      <c r="B524" s="6"/>
      <c r="C524" s="124"/>
      <c r="D524" s="185"/>
      <c r="E524" s="227"/>
      <c r="F524" s="187"/>
      <c r="G524" s="229"/>
      <c r="H524" s="195"/>
      <c r="I524" s="164"/>
      <c r="J524" s="248"/>
      <c r="K524" s="251"/>
      <c r="L524" s="164"/>
      <c r="M524" s="134" t="str">
        <f>I389</f>
        <v/>
      </c>
      <c r="N524" s="135" t="str">
        <f>iferror(mround($P389*((VLOOKUP($J524,Sheet1!$D:$N,$G524+1,FALSE)-0.03)),2.5)," ")</f>
        <v> </v>
      </c>
      <c r="O524" s="135" t="str">
        <f>iferror(mround($P389*((VLOOKUP($J524,Sheet1!$D:$N,$G524+1,FALSE)+0.02)),2.5)," ")</f>
        <v> </v>
      </c>
      <c r="P524" s="112" t="str">
        <f>iferror(mround(I524/VLOOKUP(L524,Sheet1!$D$7:$N$16,G524+1,FALSE),2.5),"")</f>
        <v/>
      </c>
      <c r="Q524" s="303" t="str">
        <f t="shared" si="15"/>
        <v/>
      </c>
      <c r="S524" s="11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</row>
    <row r="525" ht="3.75" hidden="1" customHeight="1">
      <c r="A525" s="124"/>
      <c r="B525" s="6"/>
      <c r="C525" s="124"/>
      <c r="D525" s="138"/>
      <c r="E525" s="245"/>
      <c r="F525" s="102"/>
      <c r="G525" s="102"/>
      <c r="H525" s="102"/>
      <c r="I525" s="102"/>
      <c r="J525" s="156"/>
      <c r="K525" s="249"/>
      <c r="L525" s="210"/>
      <c r="M525" s="144"/>
      <c r="N525" s="145"/>
      <c r="O525" s="145"/>
      <c r="P525" s="122"/>
      <c r="Q525" s="304" t="str">
        <f t="shared" si="15"/>
        <v/>
      </c>
      <c r="S525" s="11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</row>
    <row r="526" ht="14.25" hidden="1" customHeight="1">
      <c r="A526" s="124"/>
      <c r="B526" s="6"/>
      <c r="C526" s="124"/>
      <c r="D526" s="185"/>
      <c r="E526" s="227"/>
      <c r="F526" s="187"/>
      <c r="G526" s="229"/>
      <c r="H526" s="195"/>
      <c r="I526" s="164"/>
      <c r="J526" s="248"/>
      <c r="K526" s="251"/>
      <c r="L526" s="164"/>
      <c r="M526" s="134" t="str">
        <f>I391</f>
        <v/>
      </c>
      <c r="N526" s="135" t="str">
        <f>iferror(mround($P391*((VLOOKUP($J526,Sheet1!$D:$N,$G526+1,FALSE)-0.03)),2.5)," ")</f>
        <v> </v>
      </c>
      <c r="O526" s="135" t="str">
        <f>iferror(mround($P391*((VLOOKUP($J526,Sheet1!$D:$N,$G526+1,FALSE)+0.02)),2.5)," ")</f>
        <v> </v>
      </c>
      <c r="P526" s="112" t="str">
        <f>iferror(mround(I526/VLOOKUP(L526,Sheet1!$D$7:$N$16,G526+1,FALSE),2.5),"")</f>
        <v/>
      </c>
      <c r="Q526" s="303" t="str">
        <f t="shared" si="15"/>
        <v/>
      </c>
      <c r="S526" s="11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</row>
    <row r="527" ht="3.75" hidden="1" customHeight="1">
      <c r="A527" s="124"/>
      <c r="B527" s="6"/>
      <c r="C527" s="124"/>
      <c r="D527" s="138"/>
      <c r="E527" s="245"/>
      <c r="F527" s="102"/>
      <c r="G527" s="102"/>
      <c r="H527" s="102"/>
      <c r="I527" s="102"/>
      <c r="J527" s="156"/>
      <c r="K527" s="249"/>
      <c r="L527" s="210"/>
      <c r="M527" s="144"/>
      <c r="N527" s="145"/>
      <c r="O527" s="145"/>
      <c r="P527" s="122"/>
      <c r="Q527" s="304" t="str">
        <f t="shared" si="15"/>
        <v/>
      </c>
      <c r="S527" s="11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</row>
    <row r="528" ht="14.25" hidden="1" customHeight="1">
      <c r="A528" s="124"/>
      <c r="B528" s="6"/>
      <c r="C528" s="124"/>
      <c r="D528" s="185"/>
      <c r="E528" s="227"/>
      <c r="F528" s="187"/>
      <c r="G528" s="229"/>
      <c r="H528" s="195"/>
      <c r="I528" s="164"/>
      <c r="J528" s="248"/>
      <c r="K528" s="251"/>
      <c r="L528" s="164"/>
      <c r="M528" s="134"/>
      <c r="N528" s="135" t="str">
        <f>iferror(mround($P393*((VLOOKUP($J528,Sheet1!$D:$N,$G528+1,FALSE)-0.03)),2.5)," ")</f>
        <v> </v>
      </c>
      <c r="O528" s="135" t="str">
        <f>iferror(mround($P393*((VLOOKUP($J528,Sheet1!$D:$N,$G528+1,FALSE)+0.02)),2.5)," ")</f>
        <v> </v>
      </c>
      <c r="P528" s="112" t="str">
        <f>iferror(mround(I528/VLOOKUP(L528,Sheet1!$D$7:$N$16,G528+1,FALSE),2.5),"")</f>
        <v/>
      </c>
      <c r="Q528" s="303" t="str">
        <f t="shared" si="15"/>
        <v/>
      </c>
      <c r="S528" s="11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</row>
    <row r="529" ht="3.75" hidden="1" customHeight="1">
      <c r="A529" s="124"/>
      <c r="B529" s="6"/>
      <c r="C529" s="124"/>
      <c r="D529" s="138"/>
      <c r="E529" s="245"/>
      <c r="F529" s="102"/>
      <c r="G529" s="102"/>
      <c r="H529" s="102"/>
      <c r="I529" s="102"/>
      <c r="J529" s="156"/>
      <c r="K529" s="249"/>
      <c r="L529" s="210"/>
      <c r="M529" s="144"/>
      <c r="N529" s="145" t="str">
        <f>iferror(mround($P394*((VLOOKUP($J529,Sheet1!$D:$N,$G529+1,FALSE)-0.03)),2.5)," ")</f>
        <v> </v>
      </c>
      <c r="O529" s="145" t="str">
        <f>iferror(mround($P394*((VLOOKUP($J529,Sheet1!$D:$N,$G529+1,FALSE)+0.02)),2.5)," ")</f>
        <v> </v>
      </c>
      <c r="P529" s="122"/>
      <c r="Q529" s="304" t="str">
        <f t="shared" si="15"/>
        <v/>
      </c>
      <c r="S529" s="11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</row>
    <row r="530" ht="14.25" hidden="1" customHeight="1">
      <c r="A530" s="124"/>
      <c r="B530" s="6"/>
      <c r="C530" s="124"/>
      <c r="D530" s="185"/>
      <c r="E530" s="227"/>
      <c r="F530" s="187"/>
      <c r="G530" s="187"/>
      <c r="H530" s="195"/>
      <c r="I530" s="164"/>
      <c r="J530" s="248"/>
      <c r="K530" s="251"/>
      <c r="L530" s="164"/>
      <c r="M530" s="134" t="str">
        <f>I395</f>
        <v/>
      </c>
      <c r="N530" s="135" t="str">
        <f>iferror(mround($P395*((VLOOKUP($J530,Sheet1!$D:$N,$G530+1,FALSE)-0.03)),2.5)," ")</f>
        <v> </v>
      </c>
      <c r="O530" s="135" t="str">
        <f>iferror(mround($P395*((VLOOKUP($J530,Sheet1!$D:$N,$G530+1,FALSE)+0.02)),2.5)," ")</f>
        <v> </v>
      </c>
      <c r="P530" s="112" t="str">
        <f>iferror(mround(I530/VLOOKUP(L530,Sheet1!$D$7:$N$16,G530+1,FALSE),2.5),"")</f>
        <v/>
      </c>
      <c r="Q530" s="303" t="str">
        <f t="shared" si="15"/>
        <v/>
      </c>
      <c r="S530" s="11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</row>
    <row r="531" ht="3.75" hidden="1" customHeight="1">
      <c r="A531" s="261"/>
      <c r="B531" s="6"/>
      <c r="C531" s="262"/>
      <c r="D531" s="138"/>
      <c r="E531" s="245"/>
      <c r="F531" s="102"/>
      <c r="G531" s="102"/>
      <c r="H531" s="102"/>
      <c r="I531" s="102"/>
      <c r="J531" s="156"/>
      <c r="K531" s="249"/>
      <c r="L531" s="210"/>
      <c r="M531" s="144"/>
      <c r="N531" s="145"/>
      <c r="O531" s="145"/>
      <c r="P531" s="122"/>
      <c r="Q531" s="304" t="str">
        <f t="shared" si="15"/>
        <v/>
      </c>
      <c r="S531" s="157"/>
      <c r="T531" s="5"/>
      <c r="U531" s="5"/>
      <c r="V531" s="158"/>
      <c r="W531" s="158"/>
      <c r="X531" s="158"/>
      <c r="Y531" s="158"/>
      <c r="Z531" s="158"/>
      <c r="AA531" s="158"/>
      <c r="AB531" s="158"/>
      <c r="AC531" s="158"/>
      <c r="AD531" s="158"/>
      <c r="AE531" s="158"/>
      <c r="AF531" s="158"/>
      <c r="AG531" s="158"/>
    </row>
    <row r="532" ht="14.25" hidden="1" customHeight="1">
      <c r="A532" s="124"/>
      <c r="B532" s="6"/>
      <c r="C532" s="124"/>
      <c r="D532" s="185"/>
      <c r="E532" s="227"/>
      <c r="F532" s="187"/>
      <c r="G532" s="187"/>
      <c r="H532" s="195"/>
      <c r="I532" s="164"/>
      <c r="J532" s="248"/>
      <c r="K532" s="251"/>
      <c r="L532" s="164"/>
      <c r="M532" s="134" t="str">
        <f>I397</f>
        <v/>
      </c>
      <c r="N532" s="135" t="str">
        <f>iferror(mround($P397*((VLOOKUP($J532,Sheet1!$D:$N,$G532+1,FALSE)-0.03)),2.5)," ")</f>
        <v> </v>
      </c>
      <c r="O532" s="135" t="str">
        <f>iferror(mround($P397*((VLOOKUP($J532,Sheet1!$D:$N,$G532+1,FALSE)+0.02)),2.5)," ")</f>
        <v> </v>
      </c>
      <c r="P532" s="112" t="str">
        <f>iferror(mround(I532/VLOOKUP(L532,Sheet1!$D$7:$N$16,G532+1,FALSE),2.5),"")</f>
        <v/>
      </c>
      <c r="Q532" s="303" t="str">
        <f t="shared" si="15"/>
        <v/>
      </c>
      <c r="S532" s="11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</row>
    <row r="533" ht="3.75" hidden="1" customHeight="1">
      <c r="A533" s="261"/>
      <c r="B533" s="6"/>
      <c r="C533" s="262"/>
      <c r="D533" s="138"/>
      <c r="E533" s="252"/>
      <c r="F533" s="102"/>
      <c r="G533" s="102"/>
      <c r="H533" s="102"/>
      <c r="I533" s="102"/>
      <c r="J533" s="156"/>
      <c r="K533" s="249"/>
      <c r="L533" s="210"/>
      <c r="M533" s="144"/>
      <c r="N533" s="145"/>
      <c r="O533" s="145"/>
      <c r="P533" s="122"/>
      <c r="Q533" s="304" t="str">
        <f t="shared" si="15"/>
        <v/>
      </c>
      <c r="S533" s="157"/>
      <c r="T533" s="5"/>
      <c r="U533" s="5"/>
      <c r="V533" s="158"/>
      <c r="W533" s="158"/>
      <c r="X533" s="158"/>
      <c r="Y533" s="158"/>
      <c r="Z533" s="158"/>
      <c r="AA533" s="158"/>
      <c r="AB533" s="158"/>
      <c r="AC533" s="158"/>
      <c r="AD533" s="158"/>
      <c r="AE533" s="158"/>
      <c r="AF533" s="158"/>
      <c r="AG533" s="158"/>
    </row>
    <row r="534" ht="15.75" hidden="1" customHeight="1">
      <c r="A534" s="124"/>
      <c r="B534" s="6"/>
      <c r="C534" s="124"/>
      <c r="D534" s="185"/>
      <c r="E534" s="260"/>
      <c r="F534" s="187"/>
      <c r="G534" s="187"/>
      <c r="H534" s="195"/>
      <c r="I534" s="247"/>
      <c r="J534" s="248"/>
      <c r="K534" s="251"/>
      <c r="L534" s="164"/>
      <c r="M534" s="134"/>
      <c r="N534" s="135" t="str">
        <f>iferror(mround($P399*((VLOOKUP($J534,Sheet1!$D:$N,$G534+1,FALSE)-0.03)),2.5)," ")</f>
        <v> </v>
      </c>
      <c r="O534" s="135" t="str">
        <f>iferror(mround($P399*((VLOOKUP($J534,Sheet1!$D:$N,$G534+1,FALSE)+0.02)),2.5)," ")</f>
        <v> </v>
      </c>
      <c r="P534" s="112" t="str">
        <f>iferror(mround(I534/VLOOKUP(L534,Sheet1!$D$7:$N$16,G534+1,FALSE),2.5),"")</f>
        <v/>
      </c>
      <c r="Q534" s="303" t="str">
        <f t="shared" si="15"/>
        <v/>
      </c>
      <c r="S534" s="11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</row>
    <row r="535" ht="3.75" hidden="1" customHeight="1">
      <c r="A535" s="124"/>
      <c r="B535" s="6"/>
      <c r="C535" s="124"/>
      <c r="D535" s="263"/>
      <c r="E535" s="252"/>
      <c r="F535" s="102"/>
      <c r="G535" s="102"/>
      <c r="H535" s="102"/>
      <c r="I535" s="102"/>
      <c r="J535" s="156"/>
      <c r="K535" s="249"/>
      <c r="L535" s="210"/>
      <c r="M535" s="144"/>
      <c r="N535" s="145" t="str">
        <f>iferror(mround($P400*((VLOOKUP($J535,Sheet1!$D:$N,$G535+1,FALSE)-0.03)),2.5)," ")</f>
        <v> </v>
      </c>
      <c r="O535" s="145" t="str">
        <f>iferror(mround($P400*((VLOOKUP($J535,Sheet1!$D:$N,$G535+1,FALSE)+0.02)),2.5)," ")</f>
        <v> </v>
      </c>
      <c r="P535" s="122"/>
      <c r="Q535" s="304" t="str">
        <f t="shared" si="15"/>
        <v/>
      </c>
      <c r="S535" s="11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</row>
    <row r="536" ht="14.25" hidden="1" customHeight="1">
      <c r="A536" s="90"/>
      <c r="B536" s="6"/>
      <c r="C536" s="90"/>
      <c r="D536" s="185"/>
      <c r="E536" s="264"/>
      <c r="F536" s="187"/>
      <c r="G536" s="187"/>
      <c r="H536" s="195"/>
      <c r="I536" s="164"/>
      <c r="J536" s="248"/>
      <c r="K536" s="251"/>
      <c r="L536" s="164"/>
      <c r="M536" s="134" t="str">
        <f>I401</f>
        <v/>
      </c>
      <c r="N536" s="135" t="str">
        <f>iferror(mround($P401*((VLOOKUP($J536,Sheet1!$D:$N,$G536+1,FALSE)-0.03)),2.5)," ")</f>
        <v> </v>
      </c>
      <c r="O536" s="135" t="str">
        <f>iferror(mround($P401*((VLOOKUP($J536,Sheet1!$D:$N,$G536+1,FALSE)+0.02)),2.5)," ")</f>
        <v> </v>
      </c>
      <c r="P536" s="112" t="str">
        <f>iferror(mround(I536/VLOOKUP(L536,Sheet1!$D$7:$N$16,G536+1,FALSE),2.5),"")</f>
        <v/>
      </c>
      <c r="Q536" s="303" t="str">
        <f t="shared" si="15"/>
        <v/>
      </c>
      <c r="S536" s="11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</row>
    <row r="537" ht="3.75" hidden="1" customHeight="1">
      <c r="A537" s="261"/>
      <c r="B537" s="6"/>
      <c r="C537" s="262"/>
      <c r="D537" s="263"/>
      <c r="E537" s="263"/>
      <c r="F537" s="194"/>
      <c r="G537" s="194"/>
      <c r="H537" s="155"/>
      <c r="I537" s="210"/>
      <c r="J537" s="265"/>
      <c r="K537" s="249"/>
      <c r="L537" s="210"/>
      <c r="M537" s="144"/>
      <c r="N537" s="145"/>
      <c r="O537" s="145"/>
      <c r="P537" s="122"/>
      <c r="Q537" s="304" t="str">
        <f t="shared" si="15"/>
        <v/>
      </c>
      <c r="S537" s="157"/>
      <c r="T537" s="5"/>
      <c r="U537" s="5"/>
      <c r="V537" s="158"/>
      <c r="W537" s="158"/>
      <c r="X537" s="158"/>
      <c r="Y537" s="158"/>
      <c r="Z537" s="158"/>
      <c r="AA537" s="158"/>
      <c r="AB537" s="158"/>
      <c r="AC537" s="158"/>
      <c r="AD537" s="158"/>
      <c r="AE537" s="158"/>
      <c r="AF537" s="158"/>
      <c r="AG537" s="158"/>
    </row>
    <row r="538" ht="15.75" hidden="1" customHeight="1">
      <c r="A538" s="90"/>
      <c r="B538" s="6"/>
      <c r="C538" s="90"/>
      <c r="D538" s="185"/>
      <c r="E538" s="266"/>
      <c r="F538" s="187"/>
      <c r="G538" s="187"/>
      <c r="H538" s="195"/>
      <c r="I538" s="164"/>
      <c r="J538" s="248"/>
      <c r="K538" s="251"/>
      <c r="L538" s="164"/>
      <c r="M538" s="134"/>
      <c r="N538" s="135" t="str">
        <f>iferror(mround($P403*((VLOOKUP($J538,Sheet1!$D:$N,$G538+1,FALSE)-0.03)),2.5)," ")</f>
        <v> </v>
      </c>
      <c r="O538" s="135" t="str">
        <f>iferror(mround($P403*((VLOOKUP($J538,Sheet1!$D:$N,$G538+1,FALSE)+0.02)),2.5)," ")</f>
        <v> </v>
      </c>
      <c r="P538" s="112" t="str">
        <f>iferror(mround(I538/VLOOKUP(L538,Sheet1!$D$7:$N$16,G538+1,FALSE),2.5),"")</f>
        <v/>
      </c>
      <c r="Q538" s="303" t="str">
        <f t="shared" si="15"/>
        <v/>
      </c>
      <c r="S538" s="11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</row>
    <row r="539" ht="3.75" hidden="1" customHeight="1">
      <c r="A539" s="90"/>
      <c r="B539" s="6"/>
      <c r="C539" s="90"/>
      <c r="D539" s="138"/>
      <c r="E539" s="252"/>
      <c r="F539" s="102"/>
      <c r="G539" s="102"/>
      <c r="H539" s="102"/>
      <c r="I539" s="102"/>
      <c r="J539" s="156"/>
      <c r="K539" s="249"/>
      <c r="L539" s="210"/>
      <c r="M539" s="144"/>
      <c r="N539" s="145" t="str">
        <f>iferror(mround($P404*((VLOOKUP($J539,Sheet1!$D:$N,$G539+1,FALSE)-0.03)),2.5)," ")</f>
        <v> </v>
      </c>
      <c r="O539" s="145" t="str">
        <f>iferror(mround($P404*((VLOOKUP($J539,Sheet1!$D:$N,$G539+1,FALSE)+0.02)),2.5)," ")</f>
        <v> </v>
      </c>
      <c r="P539" s="122"/>
      <c r="Q539" s="304" t="str">
        <f t="shared" si="15"/>
        <v/>
      </c>
      <c r="S539" s="11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</row>
    <row r="540" ht="15.75" hidden="1" customHeight="1">
      <c r="A540" s="90"/>
      <c r="B540" s="6"/>
      <c r="C540" s="90"/>
      <c r="D540" s="185"/>
      <c r="E540" s="264"/>
      <c r="F540" s="187"/>
      <c r="G540" s="187"/>
      <c r="H540" s="195"/>
      <c r="I540" s="164"/>
      <c r="J540" s="248"/>
      <c r="K540" s="251"/>
      <c r="L540" s="164"/>
      <c r="M540" s="134" t="str">
        <f>I405</f>
        <v/>
      </c>
      <c r="N540" s="135" t="str">
        <f>iferror(mround($P405*((VLOOKUP($J540,Sheet1!$D:$N,$G540+1,FALSE)-0.03)),2.5)," ")</f>
        <v> </v>
      </c>
      <c r="O540" s="135" t="str">
        <f>iferror(mround($P405*((VLOOKUP($J540,Sheet1!$D:$N,$G540+1,FALSE)+0.02)),2.5)," ")</f>
        <v> </v>
      </c>
      <c r="P540" s="112" t="str">
        <f>iferror(mround(I540/VLOOKUP(L540,Sheet1!$D$7:$N$16,G540+1,FALSE),2.5),"")</f>
        <v/>
      </c>
      <c r="Q540" s="303" t="str">
        <f t="shared" si="15"/>
        <v/>
      </c>
      <c r="S540" s="11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</row>
    <row r="541" ht="3.75" hidden="1" customHeight="1">
      <c r="A541" s="191"/>
      <c r="B541" s="6"/>
      <c r="C541" s="192"/>
      <c r="D541" s="138"/>
      <c r="E541" s="252"/>
      <c r="F541" s="102"/>
      <c r="G541" s="102"/>
      <c r="H541" s="102"/>
      <c r="I541" s="102"/>
      <c r="J541" s="156"/>
      <c r="K541" s="249"/>
      <c r="L541" s="210"/>
      <c r="M541" s="144"/>
      <c r="N541" s="145"/>
      <c r="O541" s="145"/>
      <c r="P541" s="122"/>
      <c r="Q541" s="304" t="str">
        <f t="shared" si="15"/>
        <v/>
      </c>
      <c r="S541" s="157"/>
      <c r="T541" s="5"/>
      <c r="U541" s="5"/>
      <c r="V541" s="158"/>
      <c r="W541" s="158"/>
      <c r="X541" s="158"/>
      <c r="Y541" s="158"/>
      <c r="Z541" s="158"/>
      <c r="AA541" s="158"/>
      <c r="AB541" s="158"/>
      <c r="AC541" s="158"/>
      <c r="AD541" s="158"/>
      <c r="AE541" s="158"/>
      <c r="AF541" s="158"/>
      <c r="AG541" s="158"/>
    </row>
    <row r="542" ht="15.75" hidden="1" customHeight="1">
      <c r="A542" s="90"/>
      <c r="B542" s="6"/>
      <c r="C542" s="90"/>
      <c r="D542" s="185"/>
      <c r="E542" s="260"/>
      <c r="F542" s="187"/>
      <c r="G542" s="187"/>
      <c r="H542" s="195"/>
      <c r="I542" s="164"/>
      <c r="J542" s="248"/>
      <c r="K542" s="251"/>
      <c r="L542" s="164"/>
      <c r="M542" s="134" t="str">
        <f>I407</f>
        <v/>
      </c>
      <c r="N542" s="135" t="str">
        <f>iferror(mround($P407*((VLOOKUP($J542,Sheet1!$D:$N,$G542+1,FALSE)-0.03)),2.5)," ")</f>
        <v> </v>
      </c>
      <c r="O542" s="135" t="str">
        <f>iferror(mround($P407*((VLOOKUP($J542,Sheet1!$D:$N,$G542+1,FALSE)+0.02)),2.5)," ")</f>
        <v> </v>
      </c>
      <c r="P542" s="112" t="str">
        <f>iferror(mround(I542/VLOOKUP(L542,Sheet1!$D$7:$N$16,G542+1,FALSE),2.5),"")</f>
        <v/>
      </c>
      <c r="Q542" s="303" t="str">
        <f t="shared" si="15"/>
        <v/>
      </c>
      <c r="S542" s="11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</row>
    <row r="543" ht="3.75" hidden="1" customHeight="1">
      <c r="A543" s="90"/>
      <c r="B543" s="6"/>
      <c r="C543" s="90"/>
      <c r="D543" s="263"/>
      <c r="E543" s="252"/>
      <c r="F543" s="102"/>
      <c r="G543" s="102"/>
      <c r="H543" s="102"/>
      <c r="I543" s="102"/>
      <c r="J543" s="156"/>
      <c r="K543" s="249"/>
      <c r="L543" s="210"/>
      <c r="M543" s="144"/>
      <c r="N543" s="145"/>
      <c r="O543" s="145"/>
      <c r="P543" s="122"/>
      <c r="Q543" s="304" t="str">
        <f t="shared" si="15"/>
        <v/>
      </c>
      <c r="S543" s="11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</row>
    <row r="544" ht="15.75" hidden="1" customHeight="1">
      <c r="A544" s="90"/>
      <c r="B544" s="6"/>
      <c r="C544" s="90"/>
      <c r="D544" s="185"/>
      <c r="E544" s="266"/>
      <c r="F544" s="187"/>
      <c r="G544" s="187"/>
      <c r="H544" s="195"/>
      <c r="I544" s="164"/>
      <c r="J544" s="248"/>
      <c r="K544" s="251"/>
      <c r="L544" s="164"/>
      <c r="M544" s="134" t="str">
        <f>I409</f>
        <v/>
      </c>
      <c r="N544" s="135" t="str">
        <f>iferror(mround($P409*((VLOOKUP($J544,Sheet1!$D:$N,$G544+1,FALSE)-0.03)),2.5)," ")</f>
        <v> </v>
      </c>
      <c r="O544" s="135" t="str">
        <f>iferror(mround($P409*((VLOOKUP($J544,Sheet1!$D:$N,$G544+1,FALSE)+0.02)),2.5)," ")</f>
        <v> </v>
      </c>
      <c r="P544" s="112" t="str">
        <f>iferror(mround(I544/VLOOKUP(L544,Sheet1!$D$7:$N$16,G544+1,FALSE),2.5),"")</f>
        <v/>
      </c>
      <c r="Q544" s="303" t="str">
        <f t="shared" si="15"/>
        <v/>
      </c>
      <c r="S544" s="11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</row>
    <row r="545" ht="3.75" customHeight="1">
      <c r="A545" s="191"/>
      <c r="B545" s="6"/>
      <c r="C545" s="192"/>
      <c r="D545" s="192"/>
      <c r="E545" s="267"/>
      <c r="F545" s="194"/>
      <c r="G545" s="194"/>
      <c r="H545" s="155"/>
      <c r="I545" s="210"/>
      <c r="J545" s="268"/>
      <c r="K545" s="249"/>
      <c r="L545" s="269"/>
      <c r="M545" s="270"/>
      <c r="N545" s="269"/>
      <c r="O545" s="269"/>
      <c r="P545" s="271"/>
      <c r="Q545" s="272"/>
      <c r="R545" s="273"/>
      <c r="S545" s="157"/>
      <c r="T545" s="5"/>
      <c r="U545" s="5"/>
      <c r="V545" s="158"/>
      <c r="W545" s="158"/>
      <c r="X545" s="158"/>
      <c r="Y545" s="158"/>
      <c r="Z545" s="158"/>
      <c r="AA545" s="158"/>
      <c r="AB545" s="158"/>
      <c r="AC545" s="158"/>
      <c r="AD545" s="158"/>
      <c r="AE545" s="158"/>
      <c r="AF545" s="158"/>
      <c r="AG545" s="158"/>
    </row>
    <row r="546" ht="14.25" customHeight="1">
      <c r="A546" s="5"/>
      <c r="B546" s="6"/>
      <c r="C546" s="5"/>
      <c r="D546" s="333" t="s">
        <v>113</v>
      </c>
      <c r="E546" s="266"/>
      <c r="F546" s="187"/>
      <c r="G546" s="187"/>
      <c r="H546" s="195"/>
      <c r="I546" s="129"/>
      <c r="J546" s="275"/>
      <c r="K546" s="276"/>
      <c r="L546" s="187"/>
      <c r="M546" s="187"/>
      <c r="N546" s="187"/>
      <c r="O546" s="187"/>
      <c r="P546" s="277"/>
      <c r="Q546" s="278"/>
      <c r="R546" s="279"/>
      <c r="S546" s="11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</row>
    <row r="547" ht="14.25" customHeight="1">
      <c r="A547" s="5"/>
      <c r="B547" s="6"/>
      <c r="C547" s="5"/>
      <c r="D547" s="274" t="s">
        <v>59</v>
      </c>
      <c r="E547" s="266" t="s">
        <v>16</v>
      </c>
      <c r="F547" s="187" t="s">
        <v>17</v>
      </c>
      <c r="G547" s="187" t="s">
        <v>60</v>
      </c>
      <c r="H547" s="187"/>
      <c r="I547" s="280" t="s">
        <v>61</v>
      </c>
      <c r="J547" s="266" t="s">
        <v>62</v>
      </c>
      <c r="K547" s="274"/>
      <c r="L547" s="187"/>
      <c r="M547" s="285"/>
      <c r="N547" s="285"/>
      <c r="O547" s="285"/>
      <c r="P547" s="282"/>
      <c r="Q547" s="278"/>
      <c r="R547" s="157"/>
      <c r="S547" s="11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</row>
    <row r="548" ht="14.25" customHeight="1">
      <c r="A548" s="5"/>
      <c r="B548" s="6"/>
      <c r="C548" s="5"/>
      <c r="D548" s="274" t="s">
        <v>6</v>
      </c>
      <c r="E548" s="283">
        <f>IFERROR(__xludf.DUMMYFUNCTION("SUM(FILTER(F423:F547, ISNUMBER(SEARCH(""squat"", D423:D547))))"),8.0)</f>
        <v>8</v>
      </c>
      <c r="F548" s="284">
        <f>IFERROR(__xludf.DUMMYFUNCTION("SUMPRODUCT(FILTER(F423:F547 * G423:G547, ISNUMBER(SEARCH(""squat"", D423:D547))))"),43.0)</f>
        <v>43</v>
      </c>
      <c r="G548" s="135">
        <f>IFERROR(__xludf.DUMMYFUNCTION("ROUND(SUMPRODUCT(FILTER(F423:F547 * G423:G547 * I423:I547, ISNUMBER(SEARCH(""squat"", D423:D547)))), 0)"),17063.0)</f>
        <v>17063</v>
      </c>
      <c r="H548" s="285"/>
      <c r="I548" s="135">
        <f>IFERROR(__xludf.DUMMYFUNCTION("ROUND(AVERAGE(FILTER(I423:I547, ISNUMBER(SEARCH(""squat"", D423:D547)), I423:I547 &lt;&gt; """")) / J548 * 100, 0)"),75.0)</f>
        <v>75</v>
      </c>
      <c r="J548" s="283">
        <f>IFERROR(__xludf.DUMMYFUNCTION("IFERROR(MROUND(AVERAGE(FILTER(P423:P547, D423:D547 = ""comp squat"", P423:P547 &lt;&gt; """", P423:P547 &gt;= 0.9 * MAX(FILTER(P423:P547, D423:D547 = ""comp squat"", P423:P547 &lt;&gt; """")), P423:P547 &lt;= 1.1 * MAX(FILTER(P423:P547, D423:D547 = ""comp squat"", P423:P54"&amp;"7 &lt;&gt; """")))), 2.5), ""No valid data"")"),552.5)</f>
        <v>552.5</v>
      </c>
      <c r="K548" s="286"/>
      <c r="L548" s="287">
        <f>MROUND(J548/2.2046,2.5)-$O$10</f>
        <v>7.5</v>
      </c>
      <c r="M548" s="305"/>
      <c r="N548" s="305"/>
      <c r="O548" s="305"/>
      <c r="P548" s="282"/>
      <c r="Q548" s="278"/>
      <c r="R548" s="291"/>
      <c r="S548" s="11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</row>
    <row r="549" ht="3.0" customHeight="1">
      <c r="A549" s="5"/>
      <c r="B549" s="6"/>
      <c r="C549" s="5"/>
      <c r="D549" s="90"/>
      <c r="E549" s="156"/>
      <c r="F549" s="102"/>
      <c r="G549" s="145"/>
      <c r="H549" s="102"/>
      <c r="I549" s="145"/>
      <c r="J549" s="156"/>
      <c r="K549" s="286"/>
      <c r="L549" s="292"/>
      <c r="M549" s="284"/>
      <c r="N549" s="284"/>
      <c r="O549" s="305"/>
      <c r="P549" s="282"/>
      <c r="Q549" s="278"/>
      <c r="R549" s="115"/>
      <c r="S549" s="11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</row>
    <row r="550" ht="15.75" customHeight="1">
      <c r="A550" s="5"/>
      <c r="B550" s="6"/>
      <c r="C550" s="5"/>
      <c r="D550" s="274" t="s">
        <v>66</v>
      </c>
      <c r="E550" s="293">
        <f>IFERROR(__xludf.DUMMYFUNCTION("SUM(FILTER(F423:F547, ISNUMBER(SEARCH(""bench press"", D423:D547))))"),14.0)</f>
        <v>14</v>
      </c>
      <c r="F550" s="284">
        <f>IFERROR(__xludf.DUMMYFUNCTION("SUMPRODUCT(FILTER(F424:F548 * G424:G548, ISNUMBER(SEARCH(""bench press"", D424:D548))))"),59.0)</f>
        <v>59</v>
      </c>
      <c r="G550" s="135">
        <f>IFERROR(__xludf.DUMMYFUNCTION("ROUND(SUMPRODUCT(FILTER(F423:F547 * G423:G547 * I423:I547, ISNUMBER(SEARCH(""bench press"", D423:D547)))), 0)"),15022.0)</f>
        <v>15022</v>
      </c>
      <c r="H550" s="285"/>
      <c r="I550" s="135">
        <f>IFERROR(__xludf.DUMMYFUNCTION("ROUND(AVERAGE(FILTER(I423:I547, ISNUMBER(SEARCH(""bench press"", D423:D547)), I423:I547 &lt;&gt; """")) / J550 * 100, 0)"),80.0)</f>
        <v>80</v>
      </c>
      <c r="J550" s="293">
        <f>IFERROR(__xludf.DUMMYFUNCTION("IFERROR(MROUND(AVERAGE(FILTER(P423:P547, D423:D547 = ""comp bench press"", P423:P547 &lt;&gt; """", P423:P547 &gt;= 0.9 * MAX(FILTER(P423:P547, D423:D547 = ""comp bench press"", P423:P547 &lt;&gt; """")), P423:P547 &lt;= 1.1 * MAX(FILTER(P423:P547, D423:D547 = ""comp bench"&amp;" press"", P423:P547 &lt;&gt; """")))), 2.5), ""No valid data"")"),335.0)</f>
        <v>335</v>
      </c>
      <c r="K550" s="286"/>
      <c r="L550" s="294">
        <f>MROUND(J550/2.2046,2.5)-$O$11</f>
        <v>0</v>
      </c>
      <c r="M550" s="285"/>
      <c r="N550" s="285"/>
      <c r="O550" s="305"/>
      <c r="P550" s="282"/>
      <c r="Q550" s="278"/>
      <c r="R550" s="157"/>
      <c r="S550" s="11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</row>
    <row r="551" ht="3.0" customHeight="1">
      <c r="A551" s="5"/>
      <c r="B551" s="6"/>
      <c r="C551" s="5"/>
      <c r="D551" s="90"/>
      <c r="E551" s="156"/>
      <c r="F551" s="102"/>
      <c r="G551" s="145"/>
      <c r="H551" s="102"/>
      <c r="I551" s="145"/>
      <c r="J551" s="156"/>
      <c r="K551" s="286"/>
      <c r="L551" s="292"/>
      <c r="M551" s="285"/>
      <c r="N551" s="285"/>
      <c r="O551" s="284"/>
      <c r="P551" s="282"/>
      <c r="Q551" s="278"/>
      <c r="R551" s="157"/>
      <c r="S551" s="11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</row>
    <row r="552" ht="14.25" customHeight="1">
      <c r="A552" s="5"/>
      <c r="B552" s="6"/>
      <c r="C552" s="5"/>
      <c r="D552" s="274" t="s">
        <v>10</v>
      </c>
      <c r="E552" s="293">
        <f>IFERROR(__xludf.DUMMYFUNCTION("SUM(FILTER(F423:F547, ISNUMBER(SEARCH(""deadlift"", D423:D547))))"),7.0)</f>
        <v>7</v>
      </c>
      <c r="F552" s="284">
        <f>IFERROR(__xludf.DUMMYFUNCTION("SUMPRODUCT(FILTER(F423:F547 * G423:G547, ISNUMBER(SEARCH(""deadlift"", D423:D547))))"),25.0)</f>
        <v>25</v>
      </c>
      <c r="G552" s="135">
        <f>IFERROR(__xludf.DUMMYFUNCTION("ROUND(SUMPRODUCT(FILTER(F423:F547 * G423:G547 * I423:I547, ISNUMBER(SEARCH(""deadlift"", D423:D547)))), 0)"),11619.0)</f>
        <v>11619</v>
      </c>
      <c r="H552" s="285"/>
      <c r="I552" s="135">
        <f>IFERROR(__xludf.DUMMYFUNCTION("ROUND(AVERAGE(FILTER(I423:I547, ISNUMBER(SEARCH(""deadlift"", D423:D547)), I423:I547 &lt;&gt; """")) / J552 * 100, 0)"),81.0)</f>
        <v>81</v>
      </c>
      <c r="J552" s="293">
        <f>IFERROR(__xludf.DUMMYFUNCTION("IFERROR(MROUND(AVERAGE(FILTER(P423:P547, D423:D547 = ""comp deadlift"", P423:P547 &lt;&gt; """", P423:P547 &gt;= 0.9 * MAX(FILTER(P423:P547, D423:D547 = ""comp deadlift"", P423:P547 &lt;&gt; """")), P423:P547 &lt;= 1.1 * MAX(FILTER(P423:P547, D423:D547 = ""comp deadlift"","&amp;" P423:P547 &lt;&gt; """")))), 2.5), ""No valid data"")"),585.0)</f>
        <v>585</v>
      </c>
      <c r="K552" s="286"/>
      <c r="L552" s="294">
        <f>MROUND(J552/2.2046,2.5)-$O$12</f>
        <v>0</v>
      </c>
      <c r="M552" s="285"/>
      <c r="N552" s="285"/>
      <c r="O552" s="285"/>
      <c r="P552" s="282"/>
      <c r="Q552" s="278"/>
      <c r="R552" s="157"/>
      <c r="S552" s="11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</row>
    <row r="553" ht="14.25" customHeight="1">
      <c r="A553" s="5"/>
      <c r="B553" s="6"/>
      <c r="C553" s="5"/>
      <c r="D553" s="274"/>
      <c r="E553" s="266"/>
      <c r="F553" s="187"/>
      <c r="G553" s="187"/>
      <c r="H553" s="187"/>
      <c r="I553" s="187"/>
      <c r="J553" s="295"/>
      <c r="K553" s="274"/>
      <c r="L553" s="187"/>
      <c r="M553" s="285"/>
      <c r="N553" s="285"/>
      <c r="O553" s="285"/>
      <c r="P553" s="282"/>
      <c r="Q553" s="278"/>
      <c r="R553" s="157"/>
      <c r="S553" s="11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</row>
    <row r="554" ht="14.25" customHeight="1">
      <c r="A554" s="5"/>
      <c r="B554" s="2"/>
      <c r="C554" s="5"/>
      <c r="D554" s="5"/>
      <c r="E554" s="75"/>
      <c r="F554" s="3"/>
      <c r="G554" s="3"/>
      <c r="H554" s="3"/>
      <c r="I554" s="3"/>
      <c r="J554" s="75"/>
      <c r="K554" s="5"/>
      <c r="L554" s="3"/>
      <c r="M554" s="47"/>
      <c r="N554" s="3"/>
      <c r="O554" s="3"/>
      <c r="P554" s="3"/>
      <c r="Q554" s="4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</row>
    <row r="555" ht="18.75" customHeight="1">
      <c r="A555" s="90"/>
      <c r="B555" s="6"/>
      <c r="C555" s="91"/>
      <c r="D555" s="79" t="s">
        <v>72</v>
      </c>
      <c r="E555" s="80" t="s">
        <v>13</v>
      </c>
      <c r="G555" s="81"/>
      <c r="H555" s="81"/>
      <c r="I555" s="81"/>
      <c r="J555" s="82"/>
      <c r="K555" s="83"/>
      <c r="L555" s="83"/>
      <c r="M555" s="93"/>
      <c r="N555" s="93"/>
      <c r="O555" s="93"/>
      <c r="P555" s="296"/>
      <c r="Q555" s="297"/>
      <c r="R555" s="298"/>
      <c r="S555" s="10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</row>
    <row r="556" ht="18.75" customHeight="1">
      <c r="A556" s="90"/>
      <c r="B556" s="6"/>
      <c r="C556" s="91"/>
      <c r="D556" s="299" t="s">
        <v>74</v>
      </c>
      <c r="E556" s="300" t="str">
        <f>IF(E421 = "", "", E421 - 1)</f>
        <v/>
      </c>
      <c r="G556" s="301"/>
      <c r="H556" s="301"/>
      <c r="I556" s="301"/>
      <c r="J556" s="92"/>
      <c r="K556" s="93"/>
      <c r="L556" s="93"/>
      <c r="M556" s="93"/>
      <c r="N556" s="93"/>
      <c r="O556" s="93"/>
      <c r="P556" s="94"/>
      <c r="Q556" s="95"/>
      <c r="R556" s="96"/>
      <c r="S556" s="10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</row>
    <row r="557" ht="5.25" customHeight="1">
      <c r="A557" s="90"/>
      <c r="B557" s="6"/>
      <c r="C557" s="90"/>
      <c r="D557" s="97"/>
      <c r="E557" s="98"/>
      <c r="F557" s="99"/>
      <c r="G557" s="99"/>
      <c r="H557" s="99"/>
      <c r="I557" s="100"/>
      <c r="J557" s="101"/>
      <c r="K557" s="90"/>
      <c r="L557" s="102"/>
      <c r="M557" s="102"/>
      <c r="N557" s="102"/>
      <c r="O557" s="102"/>
      <c r="P557" s="103"/>
      <c r="Q557" s="4"/>
      <c r="R557" s="90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</row>
    <row r="558" ht="30.75" customHeight="1">
      <c r="A558" s="90"/>
      <c r="B558" s="6"/>
      <c r="C558" s="90"/>
      <c r="D558" s="202" t="s">
        <v>73</v>
      </c>
      <c r="E558" s="105" t="s">
        <v>82</v>
      </c>
      <c r="F558" s="106" t="s">
        <v>16</v>
      </c>
      <c r="G558" s="106" t="s">
        <v>17</v>
      </c>
      <c r="H558" s="107"/>
      <c r="I558" s="106" t="s">
        <v>18</v>
      </c>
      <c r="J558" s="108" t="s">
        <v>19</v>
      </c>
      <c r="L558" s="109" t="s">
        <v>20</v>
      </c>
      <c r="M558" s="110" t="s">
        <v>21</v>
      </c>
      <c r="N558" s="111" t="s">
        <v>22</v>
      </c>
      <c r="P558" s="112"/>
      <c r="Q558" s="113" t="s">
        <v>23</v>
      </c>
      <c r="R558" s="114" t="s">
        <v>24</v>
      </c>
      <c r="S558" s="11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</row>
    <row r="559" ht="14.25" customHeight="1">
      <c r="A559" s="90"/>
      <c r="B559" s="6"/>
      <c r="C559" s="90"/>
      <c r="D559" s="116">
        <v>4.0</v>
      </c>
      <c r="E559" s="117">
        <v>2.0</v>
      </c>
      <c r="H559" s="107"/>
      <c r="N559" s="111" t="s">
        <v>27</v>
      </c>
      <c r="O559" s="111" t="s">
        <v>28</v>
      </c>
      <c r="P559" s="112" t="s">
        <v>29</v>
      </c>
      <c r="R559" s="118" t="s">
        <v>30</v>
      </c>
      <c r="S559" s="11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</row>
    <row r="560" ht="3.75" customHeight="1">
      <c r="A560" s="90"/>
      <c r="B560" s="6"/>
      <c r="C560" s="90"/>
      <c r="D560" s="97"/>
      <c r="E560" s="98"/>
      <c r="F560" s="99"/>
      <c r="G560" s="99"/>
      <c r="H560" s="99"/>
      <c r="I560" s="100"/>
      <c r="J560" s="302"/>
      <c r="K560" s="90"/>
      <c r="L560" s="102"/>
      <c r="M560" s="121"/>
      <c r="N560" s="102"/>
      <c r="O560" s="102"/>
      <c r="P560" s="122"/>
      <c r="Q560" s="4"/>
      <c r="R560" s="123"/>
      <c r="S560" s="11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</row>
    <row r="561" ht="15.75" customHeight="1">
      <c r="A561" s="124"/>
      <c r="B561" s="6"/>
      <c r="C561" s="124"/>
      <c r="D561" s="125" t="s">
        <v>77</v>
      </c>
      <c r="E561" s="126"/>
      <c r="F561" s="127">
        <v>1.0</v>
      </c>
      <c r="G561" s="240">
        <v>6.0</v>
      </c>
      <c r="H561" s="129"/>
      <c r="I561" s="130">
        <v>345.0</v>
      </c>
      <c r="J561" s="151">
        <v>5.0</v>
      </c>
      <c r="K561" s="132"/>
      <c r="L561" s="133">
        <v>5.0</v>
      </c>
      <c r="M561" s="134">
        <f>I426</f>
        <v>402</v>
      </c>
      <c r="N561" s="135">
        <f>iferror(mround($P426*((VLOOKUP($J561,Sheet1!$D:$N,$G561+1,FALSE)-0.03)),2.5)," ")</f>
        <v>362.5</v>
      </c>
      <c r="O561" s="135">
        <f>iferror(mround($P426*((VLOOKUP($J561,Sheet1!$D:$N,$G561+1,FALSE)+0.02)),2.5)," ")</f>
        <v>390</v>
      </c>
      <c r="P561" s="56" t="str">
        <f>iferror(mround(I561/VLOOKUP(L561,Sheet1!$D$7:$N$16,G561+1,FALSE),2.5),"")</f>
        <v/>
      </c>
      <c r="Q561" s="303">
        <f t="shared" ref="Q561:Q582" si="16">IF(OR(ISBLANK(I561), ISBLANK(I426)), "", IF(I561 - I426 = 0, "", I561 - I426))</f>
        <v>-57</v>
      </c>
      <c r="S561" s="11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</row>
    <row r="562" ht="3.75" customHeight="1">
      <c r="A562" s="137"/>
      <c r="B562" s="70"/>
      <c r="C562" s="137"/>
      <c r="D562" s="138"/>
      <c r="E562" s="139"/>
      <c r="F562" s="140"/>
      <c r="G562" s="140"/>
      <c r="H562" s="140"/>
      <c r="I562" s="140"/>
      <c r="J562" s="141"/>
      <c r="K562" s="142"/>
      <c r="L562" s="143"/>
      <c r="M562" s="144"/>
      <c r="N562" s="145"/>
      <c r="O562" s="145"/>
      <c r="P562" s="122"/>
      <c r="Q562" s="304" t="str">
        <f t="shared" si="16"/>
        <v/>
      </c>
      <c r="S562" s="147"/>
      <c r="T562" s="148"/>
      <c r="U562" s="148"/>
      <c r="V562" s="148"/>
      <c r="W562" s="148"/>
      <c r="X562" s="148"/>
      <c r="Y562" s="148"/>
      <c r="Z562" s="148"/>
      <c r="AA562" s="148"/>
      <c r="AB562" s="148"/>
      <c r="AC562" s="148"/>
      <c r="AD562" s="148"/>
      <c r="AE562" s="148"/>
      <c r="AF562" s="148"/>
      <c r="AG562" s="148"/>
    </row>
    <row r="563" ht="15.75" customHeight="1">
      <c r="A563" s="149"/>
      <c r="B563" s="150"/>
      <c r="C563" s="149"/>
      <c r="D563" s="125" t="s">
        <v>77</v>
      </c>
      <c r="E563" s="126"/>
      <c r="F563" s="127">
        <v>1.0</v>
      </c>
      <c r="G563" s="240">
        <v>6.0</v>
      </c>
      <c r="H563" s="129"/>
      <c r="I563" s="130">
        <v>380.0</v>
      </c>
      <c r="J563" s="151">
        <v>6.0</v>
      </c>
      <c r="K563" s="132"/>
      <c r="L563" s="133">
        <v>6.0</v>
      </c>
      <c r="M563" s="134">
        <f>I428</f>
        <v>441</v>
      </c>
      <c r="N563" s="135">
        <f>iferror(mround($P428*((VLOOKUP($J563,Sheet1!$D:$N,$G563+1,FALSE)-0.03)),2.5)," ")</f>
        <v>402.5</v>
      </c>
      <c r="O563" s="135">
        <f>iferror(mround($P428*((VLOOKUP($J563,Sheet1!$D:$N,$G563+1,FALSE)+0.02)),2.5)," ")</f>
        <v>432.5</v>
      </c>
      <c r="P563" s="56">
        <f>iferror(mround(I563/VLOOKUP(L563,Sheet1!$D$7:$N$16,G563+1,FALSE),2.5),"")</f>
        <v>512.5</v>
      </c>
      <c r="Q563" s="303">
        <f t="shared" si="16"/>
        <v>-61</v>
      </c>
      <c r="S563" s="11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</row>
    <row r="564" ht="3.75" customHeight="1">
      <c r="A564" s="152"/>
      <c r="B564" s="150"/>
      <c r="C564" s="153"/>
      <c r="D564" s="138"/>
      <c r="E564" s="154"/>
      <c r="F564" s="155"/>
      <c r="G564" s="102"/>
      <c r="H564" s="102"/>
      <c r="I564" s="102"/>
      <c r="J564" s="156"/>
      <c r="K564" s="142"/>
      <c r="L564" s="143"/>
      <c r="M564" s="144"/>
      <c r="N564" s="145"/>
      <c r="O564" s="145"/>
      <c r="P564" s="122"/>
      <c r="Q564" s="304" t="str">
        <f t="shared" si="16"/>
        <v/>
      </c>
      <c r="S564" s="157"/>
      <c r="T564" s="5"/>
      <c r="U564" s="5"/>
      <c r="V564" s="158"/>
      <c r="W564" s="158"/>
      <c r="X564" s="158"/>
      <c r="Y564" s="158"/>
      <c r="Z564" s="158"/>
      <c r="AA564" s="158"/>
      <c r="AB564" s="158"/>
      <c r="AC564" s="158"/>
      <c r="AD564" s="158"/>
      <c r="AE564" s="158"/>
      <c r="AF564" s="158"/>
      <c r="AG564" s="158"/>
    </row>
    <row r="565" ht="15.75" customHeight="1">
      <c r="A565" s="149"/>
      <c r="B565" s="150"/>
      <c r="C565" s="149"/>
      <c r="D565" s="125" t="s">
        <v>77</v>
      </c>
      <c r="E565" s="126"/>
      <c r="F565" s="127">
        <v>1.0</v>
      </c>
      <c r="G565" s="161">
        <v>6.0</v>
      </c>
      <c r="H565" s="129"/>
      <c r="I565" s="164">
        <f>MROUND(I563*(1+J565),5)</f>
        <v>340</v>
      </c>
      <c r="J565" s="165">
        <v>-0.1</v>
      </c>
      <c r="K565" s="132"/>
      <c r="L565" s="133">
        <v>5.0</v>
      </c>
      <c r="M565" s="134">
        <f>I430</f>
        <v>440</v>
      </c>
      <c r="N565" s="135" t="str">
        <f>iferror(mround($P430*((VLOOKUP($J565,Sheet1!$D:$N,$G565+1,FALSE)-0.03)),2.5)," ")</f>
        <v> </v>
      </c>
      <c r="O565" s="135" t="str">
        <f>iferror(mround($P430*((VLOOKUP($J565,Sheet1!$D:$N,$G565+1,FALSE)+0.02)),2.5)," ")</f>
        <v> </v>
      </c>
      <c r="P565" s="56" t="str">
        <f>iferror(mround(I565/VLOOKUP(L565,Sheet1!$D$7:$N$16,G565+1,FALSE),2.5),"")</f>
        <v/>
      </c>
      <c r="Q565" s="303">
        <f t="shared" si="16"/>
        <v>-100</v>
      </c>
      <c r="S565" s="11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</row>
    <row r="566" ht="3.75" customHeight="1">
      <c r="A566" s="162"/>
      <c r="B566" s="163"/>
      <c r="C566" s="162"/>
      <c r="D566" s="138"/>
      <c r="E566" s="154"/>
      <c r="F566" s="155"/>
      <c r="G566" s="102"/>
      <c r="H566" s="102"/>
      <c r="I566" s="102"/>
      <c r="J566" s="156"/>
      <c r="K566" s="142"/>
      <c r="L566" s="143"/>
      <c r="M566" s="144"/>
      <c r="N566" s="145"/>
      <c r="O566" s="145"/>
      <c r="P566" s="122"/>
      <c r="Q566" s="304" t="str">
        <f t="shared" si="16"/>
        <v/>
      </c>
      <c r="S566" s="147"/>
      <c r="T566" s="148"/>
      <c r="U566" s="148"/>
      <c r="V566" s="148"/>
      <c r="W566" s="148"/>
      <c r="X566" s="148"/>
      <c r="Y566" s="148"/>
      <c r="Z566" s="148"/>
      <c r="AA566" s="148"/>
      <c r="AB566" s="148"/>
      <c r="AC566" s="148"/>
      <c r="AD566" s="148"/>
      <c r="AE566" s="148"/>
      <c r="AF566" s="148"/>
      <c r="AG566" s="148"/>
    </row>
    <row r="567" ht="15.75" customHeight="1">
      <c r="A567" s="149"/>
      <c r="B567" s="150"/>
      <c r="C567" s="149"/>
      <c r="D567" s="159" t="s">
        <v>33</v>
      </c>
      <c r="E567" s="160" t="s">
        <v>34</v>
      </c>
      <c r="F567" s="127">
        <v>1.0</v>
      </c>
      <c r="G567" s="161">
        <v>5.0</v>
      </c>
      <c r="H567" s="129"/>
      <c r="I567" s="130">
        <v>245.0</v>
      </c>
      <c r="J567" s="151">
        <v>7.0</v>
      </c>
      <c r="K567" s="132"/>
      <c r="L567" s="133">
        <v>6.0</v>
      </c>
      <c r="M567" s="134">
        <f>I432</f>
        <v>265</v>
      </c>
      <c r="N567" s="135">
        <f>iferror(mround($P432*((VLOOKUP($J567,Sheet1!$D:$N,$G567+1,FALSE)-0.03)),2.5)," ")</f>
        <v>250</v>
      </c>
      <c r="O567" s="135">
        <f>iferror(mround($P432*((VLOOKUP($J567,Sheet1!$D:$N,$G567+1,FALSE)+0.02)),2.5)," ")</f>
        <v>267.5</v>
      </c>
      <c r="P567" s="56">
        <f>iferror(mround(I567/VLOOKUP(L567,Sheet1!$D$7:$N$16,G567+1,FALSE),2.5),"")</f>
        <v>320</v>
      </c>
      <c r="Q567" s="303">
        <f t="shared" si="16"/>
        <v>-20</v>
      </c>
      <c r="S567" s="11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</row>
    <row r="568" ht="3.75" customHeight="1">
      <c r="A568" s="162"/>
      <c r="B568" s="163"/>
      <c r="C568" s="162"/>
      <c r="D568" s="138"/>
      <c r="E568" s="139"/>
      <c r="F568" s="140"/>
      <c r="G568" s="140"/>
      <c r="H568" s="140"/>
      <c r="I568" s="140"/>
      <c r="J568" s="141"/>
      <c r="K568" s="142"/>
      <c r="L568" s="143"/>
      <c r="M568" s="144"/>
      <c r="N568" s="145"/>
      <c r="O568" s="145"/>
      <c r="P568" s="122"/>
      <c r="Q568" s="304" t="str">
        <f t="shared" si="16"/>
        <v/>
      </c>
      <c r="S568" s="147"/>
      <c r="T568" s="148"/>
      <c r="U568" s="148"/>
      <c r="V568" s="148"/>
      <c r="W568" s="148"/>
      <c r="X568" s="148"/>
      <c r="Y568" s="148"/>
      <c r="Z568" s="148"/>
      <c r="AA568" s="148"/>
      <c r="AB568" s="148"/>
      <c r="AC568" s="148"/>
      <c r="AD568" s="148"/>
      <c r="AE568" s="148"/>
      <c r="AF568" s="148"/>
      <c r="AG568" s="148"/>
    </row>
    <row r="569" ht="15.75" customHeight="1">
      <c r="A569" s="90"/>
      <c r="B569" s="6"/>
      <c r="C569" s="90"/>
      <c r="D569" s="159" t="s">
        <v>33</v>
      </c>
      <c r="E569" s="160" t="s">
        <v>34</v>
      </c>
      <c r="F569" s="127">
        <v>2.0</v>
      </c>
      <c r="G569" s="161">
        <v>5.0</v>
      </c>
      <c r="H569" s="129"/>
      <c r="I569" s="164">
        <f>MROUND(I567*(1+J569),5)</f>
        <v>220</v>
      </c>
      <c r="J569" s="165">
        <v>-0.1</v>
      </c>
      <c r="K569" s="132"/>
      <c r="L569" s="133">
        <v>5.0</v>
      </c>
      <c r="M569" s="134">
        <f>I434</f>
        <v>240</v>
      </c>
      <c r="N569" s="135" t="str">
        <f>iferror(mround($P434*((VLOOKUP($J569,Sheet1!$D:$N,$G569+1,FALSE)-0.03)),2.5)," ")</f>
        <v> </v>
      </c>
      <c r="O569" s="135" t="str">
        <f>iferror(mround($P434*((VLOOKUP($J569,Sheet1!$D:$N,$G569+1,FALSE)+0.02)),2.5)," ")</f>
        <v> </v>
      </c>
      <c r="P569" s="56" t="str">
        <f>iferror(mround(I569/VLOOKUP(L569,Sheet1!$D$7:$N$16,G569+1,FALSE),2.5),"")</f>
        <v/>
      </c>
      <c r="Q569" s="303">
        <f t="shared" si="16"/>
        <v>-20</v>
      </c>
      <c r="S569" s="11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</row>
    <row r="570" ht="3.75" customHeight="1">
      <c r="A570" s="168"/>
      <c r="B570" s="70"/>
      <c r="C570" s="168"/>
      <c r="D570" s="138"/>
      <c r="E570" s="139"/>
      <c r="F570" s="102"/>
      <c r="G570" s="102"/>
      <c r="H570" s="102"/>
      <c r="I570" s="102"/>
      <c r="J570" s="156"/>
      <c r="K570" s="142"/>
      <c r="L570" s="143"/>
      <c r="M570" s="144"/>
      <c r="N570" s="145"/>
      <c r="O570" s="145"/>
      <c r="P570" s="122"/>
      <c r="Q570" s="304" t="str">
        <f t="shared" si="16"/>
        <v/>
      </c>
      <c r="S570" s="147"/>
      <c r="T570" s="148"/>
      <c r="U570" s="148"/>
      <c r="V570" s="148"/>
      <c r="W570" s="148"/>
      <c r="X570" s="148"/>
      <c r="Y570" s="148"/>
      <c r="Z570" s="148"/>
      <c r="AA570" s="148"/>
      <c r="AB570" s="148"/>
      <c r="AC570" s="148"/>
      <c r="AD570" s="148"/>
      <c r="AE570" s="148"/>
      <c r="AF570" s="148"/>
      <c r="AG570" s="148"/>
    </row>
    <row r="571" ht="15.75" customHeight="1">
      <c r="A571" s="90"/>
      <c r="B571" s="6"/>
      <c r="C571" s="90"/>
      <c r="D571" s="166" t="s">
        <v>119</v>
      </c>
      <c r="E571" s="160"/>
      <c r="F571" s="127">
        <v>1.0</v>
      </c>
      <c r="G571" s="169">
        <v>45577.0</v>
      </c>
      <c r="H571" s="129"/>
      <c r="I571" s="130">
        <v>65.0</v>
      </c>
      <c r="J571" s="151">
        <v>7.0</v>
      </c>
      <c r="K571" s="132"/>
      <c r="L571" s="133">
        <v>7.0</v>
      </c>
      <c r="M571" s="134">
        <f>I436</f>
        <v>80</v>
      </c>
      <c r="N571" s="135" t="str">
        <f>iferror(mround($P436*((VLOOKUP($J571,Sheet1!$D:$N,$G571+1,FALSE)-0.03)),2.5)," ")</f>
        <v> </v>
      </c>
      <c r="O571" s="135" t="str">
        <f>iferror(mround($P436*((VLOOKUP($J571,Sheet1!$D:$N,$G571+1,FALSE)+0.02)),2.5)," ")</f>
        <v> </v>
      </c>
      <c r="P571" s="56" t="str">
        <f>iferror(mround(I571/VLOOKUP(L571,Sheet1!$D$7:$N$16,G571+1,FALSE),2.5),"")</f>
        <v/>
      </c>
      <c r="Q571" s="303">
        <f t="shared" si="16"/>
        <v>-15</v>
      </c>
      <c r="S571" s="11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</row>
    <row r="572" ht="3.75" customHeight="1">
      <c r="A572" s="90"/>
      <c r="B572" s="6"/>
      <c r="C572" s="90"/>
      <c r="D572" s="171"/>
      <c r="E572" s="172"/>
      <c r="F572" s="173"/>
      <c r="G572" s="173"/>
      <c r="H572" s="173"/>
      <c r="I572" s="173"/>
      <c r="J572" s="174"/>
      <c r="K572" s="142"/>
      <c r="L572" s="143"/>
      <c r="M572" s="144"/>
      <c r="N572" s="145"/>
      <c r="O572" s="145"/>
      <c r="P572" s="122"/>
      <c r="Q572" s="304" t="str">
        <f t="shared" si="16"/>
        <v/>
      </c>
      <c r="S572" s="11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</row>
    <row r="573" ht="15.75" customHeight="1">
      <c r="A573" s="90"/>
      <c r="B573" s="6"/>
      <c r="C573" s="90"/>
      <c r="D573" s="166" t="s">
        <v>37</v>
      </c>
      <c r="E573" s="160" t="s">
        <v>81</v>
      </c>
      <c r="F573" s="127">
        <v>2.0</v>
      </c>
      <c r="G573" s="169">
        <v>45577.0</v>
      </c>
      <c r="H573" s="129"/>
      <c r="I573" s="130">
        <v>360.0</v>
      </c>
      <c r="J573" s="151">
        <v>7.0</v>
      </c>
      <c r="K573" s="132"/>
      <c r="L573" s="133">
        <v>7.0</v>
      </c>
      <c r="M573" s="134">
        <f>I438</f>
        <v>390</v>
      </c>
      <c r="N573" s="135" t="str">
        <f>iferror(mround($P438*((VLOOKUP($J573,Sheet1!$D:$N,$G573+1,FALSE)-0.03)),2.5)," ")</f>
        <v> </v>
      </c>
      <c r="O573" s="135" t="str">
        <f>iferror(mround($P438*((VLOOKUP($J573,Sheet1!$D:$N,$G573+1,FALSE)+0.02)),2.5)," ")</f>
        <v> </v>
      </c>
      <c r="P573" s="56" t="str">
        <f>iferror(mround(I573/VLOOKUP(L573,Sheet1!$D$7:$N$16,G573+1,FALSE),2.5),"")</f>
        <v/>
      </c>
      <c r="Q573" s="303">
        <f t="shared" si="16"/>
        <v>-30</v>
      </c>
      <c r="S573" s="11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</row>
    <row r="574" ht="3.75" customHeight="1">
      <c r="A574" s="90"/>
      <c r="B574" s="6"/>
      <c r="C574" s="90"/>
      <c r="D574" s="171"/>
      <c r="E574" s="172"/>
      <c r="F574" s="173"/>
      <c r="G574" s="173"/>
      <c r="H574" s="173"/>
      <c r="I574" s="173"/>
      <c r="J574" s="174"/>
      <c r="K574" s="142"/>
      <c r="L574" s="143"/>
      <c r="M574" s="144"/>
      <c r="N574" s="145"/>
      <c r="O574" s="145"/>
      <c r="P574" s="122"/>
      <c r="Q574" s="304" t="str">
        <f t="shared" si="16"/>
        <v/>
      </c>
      <c r="S574" s="11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</row>
    <row r="575" ht="15.75" hidden="1" customHeight="1">
      <c r="A575" s="90"/>
      <c r="B575" s="6"/>
      <c r="C575" s="90"/>
      <c r="D575" s="175" t="s">
        <v>40</v>
      </c>
      <c r="E575" s="176"/>
      <c r="F575" s="177">
        <v>3.0</v>
      </c>
      <c r="G575" s="178" t="s">
        <v>41</v>
      </c>
      <c r="H575" s="179"/>
      <c r="I575" s="180"/>
      <c r="J575" s="181">
        <v>8.0</v>
      </c>
      <c r="K575" s="182"/>
      <c r="L575" s="183"/>
      <c r="M575" s="134" t="str">
        <f>I440</f>
        <v/>
      </c>
      <c r="N575" s="135" t="str">
        <f>iferror(mround($P440*((VLOOKUP($J575,Sheet1!$D:$N,$G575+1,FALSE)-0.03)),2.5)," ")</f>
        <v> </v>
      </c>
      <c r="O575" s="135" t="str">
        <f>iferror(mround($P440*((VLOOKUP($J575,Sheet1!$D:$N,$G575+1,FALSE)+0.02)),2.5)," ")</f>
        <v> </v>
      </c>
      <c r="P575" s="56" t="str">
        <f>iferror(mround(I575/VLOOKUP(L575,Sheet1!$D$7:$N$16,G575+1,FALSE),2.5),"")</f>
        <v/>
      </c>
      <c r="Q575" s="303" t="str">
        <f t="shared" si="16"/>
        <v/>
      </c>
      <c r="S575" s="11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</row>
    <row r="576" ht="3.75" hidden="1" customHeight="1">
      <c r="A576" s="90"/>
      <c r="B576" s="6"/>
      <c r="C576" s="90"/>
      <c r="D576" s="138"/>
      <c r="E576" s="184"/>
      <c r="F576" s="102"/>
      <c r="G576" s="102"/>
      <c r="H576" s="102"/>
      <c r="I576" s="102"/>
      <c r="J576" s="156"/>
      <c r="K576" s="103"/>
      <c r="L576" s="143"/>
      <c r="M576" s="144"/>
      <c r="N576" s="145"/>
      <c r="O576" s="145"/>
      <c r="P576" s="122"/>
      <c r="Q576" s="304" t="str">
        <f t="shared" si="16"/>
        <v/>
      </c>
      <c r="S576" s="11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</row>
    <row r="577" ht="15.75" hidden="1" customHeight="1">
      <c r="A577" s="90"/>
      <c r="B577" s="6"/>
      <c r="C577" s="90"/>
      <c r="D577" s="185"/>
      <c r="E577" s="186"/>
      <c r="F577" s="187"/>
      <c r="G577" s="188"/>
      <c r="H577" s="129"/>
      <c r="I577" s="164"/>
      <c r="J577" s="189"/>
      <c r="K577" s="190"/>
      <c r="L577" s="183"/>
      <c r="M577" s="134" t="str">
        <f>I442</f>
        <v/>
      </c>
      <c r="N577" s="135" t="str">
        <f>iferror(mround($P442*((VLOOKUP($J577,Sheet1!$D:$N,$G577+1,FALSE)-0.03)),2.5)," ")</f>
        <v> </v>
      </c>
      <c r="O577" s="135" t="str">
        <f>iferror(mround($P442*((VLOOKUP($J577,Sheet1!$D:$N,$G577+1,FALSE)+0.02)),2.5)," ")</f>
        <v> </v>
      </c>
      <c r="P577" s="56" t="str">
        <f>iferror(mround(I577/VLOOKUP(L577,Sheet1!$D$7:$N$16,G577+1,FALSE),2.5),"")</f>
        <v/>
      </c>
      <c r="Q577" s="303" t="str">
        <f t="shared" si="16"/>
        <v/>
      </c>
      <c r="S577" s="11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</row>
    <row r="578" ht="3.75" hidden="1" customHeight="1">
      <c r="A578" s="191"/>
      <c r="B578" s="6"/>
      <c r="C578" s="192"/>
      <c r="D578" s="138"/>
      <c r="E578" s="193"/>
      <c r="F578" s="194"/>
      <c r="G578" s="155"/>
      <c r="H578" s="102"/>
      <c r="I578" s="102"/>
      <c r="J578" s="156"/>
      <c r="K578" s="103"/>
      <c r="L578" s="143"/>
      <c r="M578" s="144"/>
      <c r="N578" s="145"/>
      <c r="O578" s="145"/>
      <c r="P578" s="122"/>
      <c r="Q578" s="304" t="str">
        <f t="shared" si="16"/>
        <v/>
      </c>
      <c r="S578" s="157"/>
      <c r="T578" s="5"/>
      <c r="U578" s="5"/>
      <c r="V578" s="158"/>
      <c r="W578" s="158"/>
      <c r="X578" s="158"/>
      <c r="Y578" s="158"/>
      <c r="Z578" s="158"/>
      <c r="AA578" s="158"/>
      <c r="AB578" s="158"/>
      <c r="AC578" s="158"/>
      <c r="AD578" s="158"/>
      <c r="AE578" s="158"/>
      <c r="AF578" s="158"/>
      <c r="AG578" s="158"/>
    </row>
    <row r="579" ht="15.75" hidden="1" customHeight="1">
      <c r="A579" s="90"/>
      <c r="B579" s="6"/>
      <c r="C579" s="90"/>
      <c r="D579" s="185"/>
      <c r="E579" s="186"/>
      <c r="F579" s="187"/>
      <c r="G579" s="195"/>
      <c r="H579" s="129"/>
      <c r="I579" s="164"/>
      <c r="J579" s="189"/>
      <c r="K579" s="190"/>
      <c r="L579" s="183"/>
      <c r="M579" s="134" t="str">
        <f>I444</f>
        <v/>
      </c>
      <c r="N579" s="135" t="str">
        <f>iferror(mround($P444*((VLOOKUP($J579,Sheet1!$D:$N,$G579+1,FALSE)-0.03)),2.5)," ")</f>
        <v> </v>
      </c>
      <c r="O579" s="135" t="str">
        <f>iferror(mround($P444*((VLOOKUP($J579,Sheet1!$D:$N,$G579+1,FALSE)+0.02)),2.5)," ")</f>
        <v> </v>
      </c>
      <c r="P579" s="56" t="str">
        <f>iferror(mround(I579/VLOOKUP(L579,Sheet1!$D$7:$N$16,G579+1,FALSE),2.5),"")</f>
        <v/>
      </c>
      <c r="Q579" s="303" t="str">
        <f t="shared" si="16"/>
        <v/>
      </c>
      <c r="S579" s="11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</row>
    <row r="580" ht="3.75" hidden="1" customHeight="1">
      <c r="A580" s="90"/>
      <c r="B580" s="6"/>
      <c r="C580" s="90"/>
      <c r="D580" s="196"/>
      <c r="E580" s="184"/>
      <c r="F580" s="102"/>
      <c r="G580" s="102"/>
      <c r="H580" s="102"/>
      <c r="I580" s="102"/>
      <c r="J580" s="156"/>
      <c r="K580" s="103"/>
      <c r="L580" s="143"/>
      <c r="M580" s="144"/>
      <c r="N580" s="145"/>
      <c r="O580" s="145"/>
      <c r="P580" s="122"/>
      <c r="Q580" s="304" t="str">
        <f t="shared" si="16"/>
        <v/>
      </c>
      <c r="S580" s="11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</row>
    <row r="581" ht="15.75" hidden="1" customHeight="1">
      <c r="A581" s="90"/>
      <c r="B581" s="6"/>
      <c r="C581" s="90"/>
      <c r="D581" s="197"/>
      <c r="E581" s="198"/>
      <c r="F581" s="199"/>
      <c r="G581" s="195"/>
      <c r="H581" s="129"/>
      <c r="I581" s="164"/>
      <c r="J581" s="189"/>
      <c r="K581" s="190"/>
      <c r="L581" s="183"/>
      <c r="M581" s="134" t="str">
        <f>I446</f>
        <v/>
      </c>
      <c r="N581" s="135" t="str">
        <f>iferror(mround($P446*((VLOOKUP($J581,Sheet1!$D:$N,$G581+1,FALSE)-0.03)),2.5)," ")</f>
        <v> </v>
      </c>
      <c r="O581" s="135" t="str">
        <f>iferror(mround($P446*((VLOOKUP($J581,Sheet1!$D:$N,$G581+1,FALSE)+0.02)),2.5)," ")</f>
        <v> </v>
      </c>
      <c r="P581" s="56" t="str">
        <f>iferror(mround(I581/VLOOKUP(L581,Sheet1!$D$7:$N$16,G581+1,FALSE),2.5),"")</f>
        <v/>
      </c>
      <c r="Q581" s="303" t="str">
        <f t="shared" si="16"/>
        <v/>
      </c>
      <c r="S581" s="11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</row>
    <row r="582" ht="3.75" customHeight="1">
      <c r="A582" s="90"/>
      <c r="B582" s="6"/>
      <c r="C582" s="90"/>
      <c r="D582" s="90"/>
      <c r="E582" s="156"/>
      <c r="F582" s="102"/>
      <c r="G582" s="102"/>
      <c r="H582" s="102"/>
      <c r="I582" s="102"/>
      <c r="J582" s="156"/>
      <c r="K582" s="200"/>
      <c r="L582" s="201"/>
      <c r="M582" s="144"/>
      <c r="N582" s="47"/>
      <c r="O582" s="47"/>
      <c r="P582" s="122"/>
      <c r="Q582" s="304" t="str">
        <f t="shared" si="16"/>
        <v/>
      </c>
      <c r="S582" s="11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</row>
    <row r="583" ht="30.0" customHeight="1">
      <c r="A583" s="90"/>
      <c r="B583" s="6"/>
      <c r="C583" s="90"/>
      <c r="D583" s="202" t="s">
        <v>42</v>
      </c>
      <c r="E583" s="105" t="s">
        <v>105</v>
      </c>
      <c r="F583" s="106" t="s">
        <v>16</v>
      </c>
      <c r="G583" s="106" t="s">
        <v>17</v>
      </c>
      <c r="H583" s="107"/>
      <c r="I583" s="106" t="s">
        <v>18</v>
      </c>
      <c r="J583" s="108" t="s">
        <v>19</v>
      </c>
      <c r="L583" s="109" t="s">
        <v>20</v>
      </c>
      <c r="M583" s="110" t="s">
        <v>21</v>
      </c>
      <c r="N583" s="111" t="s">
        <v>22</v>
      </c>
      <c r="P583" s="112"/>
      <c r="Q583" s="113" t="s">
        <v>23</v>
      </c>
      <c r="R583" s="114" t="s">
        <v>43</v>
      </c>
      <c r="S583" s="11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</row>
    <row r="584" ht="14.25" customHeight="1">
      <c r="A584" s="90"/>
      <c r="B584" s="6"/>
      <c r="C584" s="90"/>
      <c r="D584" s="116">
        <v>3.0</v>
      </c>
      <c r="E584" s="117">
        <v>3.0</v>
      </c>
      <c r="H584" s="107"/>
      <c r="N584" s="111" t="s">
        <v>27</v>
      </c>
      <c r="O584" s="111" t="s">
        <v>28</v>
      </c>
      <c r="P584" s="112" t="s">
        <v>29</v>
      </c>
      <c r="R584" s="118" t="s">
        <v>30</v>
      </c>
      <c r="S584" s="11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</row>
    <row r="585" ht="3.75" customHeight="1">
      <c r="A585" s="191"/>
      <c r="B585" s="6"/>
      <c r="C585" s="192"/>
      <c r="D585" s="203"/>
      <c r="E585" s="204"/>
      <c r="F585" s="205"/>
      <c r="G585" s="205"/>
      <c r="H585" s="206"/>
      <c r="I585" s="207"/>
      <c r="J585" s="208"/>
      <c r="K585" s="209"/>
      <c r="L585" s="210"/>
      <c r="M585" s="211"/>
      <c r="N585" s="47"/>
      <c r="O585" s="47"/>
      <c r="P585" s="122"/>
      <c r="Q585" s="304" t="str">
        <f t="shared" ref="Q585:Q607" si="17">IF(OR(ISBLANK(I585), ISBLANK(I450)), "", IF(I585 - I450 = 0, "", I585 - I450))</f>
        <v/>
      </c>
      <c r="R585" s="212"/>
      <c r="S585" s="157"/>
      <c r="T585" s="5"/>
      <c r="U585" s="5"/>
      <c r="V585" s="158"/>
      <c r="W585" s="158"/>
      <c r="X585" s="158"/>
      <c r="Y585" s="158"/>
      <c r="Z585" s="158"/>
      <c r="AA585" s="158"/>
      <c r="AB585" s="158"/>
      <c r="AC585" s="158"/>
      <c r="AD585" s="158"/>
      <c r="AE585" s="158"/>
      <c r="AF585" s="158"/>
      <c r="AG585" s="158"/>
    </row>
    <row r="586" ht="15.75" customHeight="1">
      <c r="A586" s="124"/>
      <c r="B586" s="6"/>
      <c r="C586" s="124"/>
      <c r="D586" s="159" t="s">
        <v>83</v>
      </c>
      <c r="E586" s="167" t="s">
        <v>84</v>
      </c>
      <c r="F586" s="127">
        <v>2.0</v>
      </c>
      <c r="G586" s="127">
        <v>3.0</v>
      </c>
      <c r="H586" s="195"/>
      <c r="I586" s="130">
        <v>405.0</v>
      </c>
      <c r="J586" s="151">
        <v>5.0</v>
      </c>
      <c r="K586" s="213"/>
      <c r="L586" s="133">
        <v>5.0</v>
      </c>
      <c r="M586" s="134">
        <f>I451</f>
        <v>463</v>
      </c>
      <c r="N586" s="135">
        <f>iferror(mround($P451*((VLOOKUP($J586,Sheet1!$D:$N,$G586+1,FALSE)-0.03)),2.5)," ")</f>
        <v>417.5</v>
      </c>
      <c r="O586" s="135">
        <f>iferror(mround($P451*((VLOOKUP($J586,Sheet1!$D:$N,$G586+1,FALSE)+0.02)),2.5)," ")</f>
        <v>445</v>
      </c>
      <c r="P586" s="112" t="str">
        <f>iferror(mround(I586/VLOOKUP(L586,Sheet1!$D$7:$N$16,G586+1,FALSE),2.5),"")</f>
        <v/>
      </c>
      <c r="Q586" s="303">
        <f t="shared" si="17"/>
        <v>-58</v>
      </c>
      <c r="R586" s="214"/>
      <c r="S586" s="11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</row>
    <row r="587" ht="3.75" customHeight="1">
      <c r="A587" s="124"/>
      <c r="B587" s="6"/>
      <c r="C587" s="124"/>
      <c r="D587" s="138"/>
      <c r="E587" s="215"/>
      <c r="F587" s="102"/>
      <c r="G587" s="102"/>
      <c r="H587" s="102"/>
      <c r="I587" s="102"/>
      <c r="J587" s="216"/>
      <c r="K587" s="217"/>
      <c r="L587" s="218"/>
      <c r="M587" s="144"/>
      <c r="N587" s="145"/>
      <c r="O587" s="145"/>
      <c r="P587" s="122"/>
      <c r="Q587" s="304" t="str">
        <f t="shared" si="17"/>
        <v/>
      </c>
      <c r="R587" s="214"/>
      <c r="S587" s="11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</row>
    <row r="588" ht="15.75" customHeight="1">
      <c r="A588" s="90"/>
      <c r="B588" s="6"/>
      <c r="C588" s="90"/>
      <c r="D588" s="159" t="s">
        <v>66</v>
      </c>
      <c r="E588" s="167" t="s">
        <v>79</v>
      </c>
      <c r="F588" s="127">
        <v>2.0</v>
      </c>
      <c r="G588" s="127">
        <v>7.0</v>
      </c>
      <c r="H588" s="195"/>
      <c r="I588" s="130">
        <v>225.0</v>
      </c>
      <c r="J588" s="151">
        <v>6.0</v>
      </c>
      <c r="K588" s="219" t="s">
        <v>85</v>
      </c>
      <c r="L588" s="183"/>
      <c r="M588" s="134">
        <f>I453</f>
        <v>237</v>
      </c>
      <c r="N588" s="135">
        <f>iferror(mround($P453*((VLOOKUP($J588,Sheet1!$D:$N,$G588+1,FALSE)-0.03)),2.5)," ")</f>
        <v>222.5</v>
      </c>
      <c r="O588" s="135">
        <f>iferror(mround($P453*((VLOOKUP($J588,Sheet1!$D:$N,$G588+1,FALSE)+0.02)),2.5)," ")</f>
        <v>240</v>
      </c>
      <c r="P588" s="112" t="str">
        <f>iferror(mround(I588/VLOOKUP(L588,Sheet1!$D$7:$N$16,G588+1,FALSE),2.5),"")</f>
        <v/>
      </c>
      <c r="Q588" s="303">
        <f t="shared" si="17"/>
        <v>-12</v>
      </c>
      <c r="R588" s="214"/>
      <c r="S588" s="11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</row>
    <row r="589" ht="3.75" customHeight="1">
      <c r="A589" s="90"/>
      <c r="B589" s="6"/>
      <c r="C589" s="90"/>
      <c r="D589" s="138"/>
      <c r="E589" s="215"/>
      <c r="F589" s="102"/>
      <c r="G589" s="102"/>
      <c r="H589" s="102"/>
      <c r="I589" s="102"/>
      <c r="J589" s="216"/>
      <c r="K589" s="217"/>
      <c r="L589" s="218"/>
      <c r="M589" s="144"/>
      <c r="N589" s="145"/>
      <c r="O589" s="145"/>
      <c r="P589" s="122"/>
      <c r="Q589" s="304" t="str">
        <f t="shared" si="17"/>
        <v/>
      </c>
      <c r="R589" s="214"/>
      <c r="S589" s="11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</row>
    <row r="590" ht="15.75" customHeight="1">
      <c r="A590" s="90"/>
      <c r="B590" s="6"/>
      <c r="C590" s="90"/>
      <c r="D590" s="159" t="s">
        <v>86</v>
      </c>
      <c r="E590" s="167" t="s">
        <v>87</v>
      </c>
      <c r="F590" s="127">
        <v>2.0</v>
      </c>
      <c r="G590" s="169">
        <v>45577.0</v>
      </c>
      <c r="H590" s="195"/>
      <c r="I590" s="164"/>
      <c r="J590" s="151">
        <v>7.0</v>
      </c>
      <c r="K590" s="219"/>
      <c r="L590" s="183"/>
      <c r="M590" s="134">
        <f>I455</f>
        <v>120</v>
      </c>
      <c r="N590" s="135" t="str">
        <f>iferror(mround($P455*((VLOOKUP($J590,Sheet1!$D:$N,$G590+1,FALSE)-0.03)),2.5)," ")</f>
        <v> </v>
      </c>
      <c r="O590" s="135" t="str">
        <f>iferror(mround($P455*((VLOOKUP($J590,Sheet1!$D:$N,$G590+1,FALSE)+0.02)),2.5)," ")</f>
        <v> </v>
      </c>
      <c r="P590" s="112" t="str">
        <f>iferror(mround(I590/VLOOKUP(L590,Sheet1!$D$7:$N$16,G590+1,FALSE),2.5),"")</f>
        <v/>
      </c>
      <c r="Q590" s="303" t="str">
        <f t="shared" si="17"/>
        <v/>
      </c>
      <c r="R590" s="214"/>
      <c r="S590" s="11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</row>
    <row r="591" ht="3.75" customHeight="1">
      <c r="A591" s="90"/>
      <c r="B591" s="6"/>
      <c r="C591" s="90"/>
      <c r="D591" s="138"/>
      <c r="E591" s="215"/>
      <c r="F591" s="102"/>
      <c r="G591" s="102"/>
      <c r="H591" s="102"/>
      <c r="I591" s="102"/>
      <c r="J591" s="156"/>
      <c r="K591" s="217"/>
      <c r="L591" s="143"/>
      <c r="M591" s="144"/>
      <c r="N591" s="145"/>
      <c r="O591" s="145"/>
      <c r="P591" s="122"/>
      <c r="Q591" s="304" t="str">
        <f t="shared" si="17"/>
        <v/>
      </c>
      <c r="R591" s="214"/>
      <c r="S591" s="11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</row>
    <row r="592" ht="15.75" customHeight="1">
      <c r="A592" s="90"/>
      <c r="B592" s="6"/>
      <c r="C592" s="90"/>
      <c r="D592" s="159" t="s">
        <v>121</v>
      </c>
      <c r="E592" s="167"/>
      <c r="F592" s="127">
        <v>2.0</v>
      </c>
      <c r="G592" s="169">
        <v>45577.0</v>
      </c>
      <c r="H592" s="195"/>
      <c r="I592" s="164"/>
      <c r="J592" s="151">
        <v>7.0</v>
      </c>
      <c r="K592" s="213"/>
      <c r="L592" s="183"/>
      <c r="M592" s="134">
        <f>I457</f>
        <v>85</v>
      </c>
      <c r="N592" s="135" t="str">
        <f>iferror(mround($P457*((VLOOKUP($J592,Sheet1!$D:$N,$G592+1,FALSE)-0.03)),2.5)," ")</f>
        <v> </v>
      </c>
      <c r="O592" s="135" t="str">
        <f>iferror(mround($P457*((VLOOKUP($J592,Sheet1!$D:$N,$G592+1,FALSE)+0.02)),2.5)," ")</f>
        <v> </v>
      </c>
      <c r="P592" s="112" t="str">
        <f>iferror(mround(I592/VLOOKUP(L592,Sheet1!$D$7:$N$16,G592+1,FALSE),2.5),"")</f>
        <v/>
      </c>
      <c r="Q592" s="303" t="str">
        <f t="shared" si="17"/>
        <v/>
      </c>
      <c r="R592" s="214"/>
      <c r="S592" s="11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</row>
    <row r="593" ht="3.75" customHeight="1">
      <c r="A593" s="90"/>
      <c r="B593" s="6"/>
      <c r="C593" s="90"/>
      <c r="D593" s="138"/>
      <c r="E593" s="215"/>
      <c r="F593" s="102"/>
      <c r="G593" s="102"/>
      <c r="H593" s="102"/>
      <c r="I593" s="102"/>
      <c r="J593" s="156"/>
      <c r="K593" s="217"/>
      <c r="L593" s="143"/>
      <c r="M593" s="144"/>
      <c r="N593" s="145"/>
      <c r="O593" s="145"/>
      <c r="P593" s="122"/>
      <c r="Q593" s="304" t="str">
        <f t="shared" si="17"/>
        <v/>
      </c>
      <c r="R593" s="214"/>
      <c r="S593" s="11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</row>
    <row r="594" ht="15.75" customHeight="1">
      <c r="A594" s="90"/>
      <c r="B594" s="6"/>
      <c r="C594" s="90"/>
      <c r="D594" s="159" t="s">
        <v>88</v>
      </c>
      <c r="E594" s="220"/>
      <c r="F594" s="127">
        <v>3.0</v>
      </c>
      <c r="G594" s="221">
        <v>45641.0</v>
      </c>
      <c r="H594" s="195"/>
      <c r="I594" s="164"/>
      <c r="J594" s="151">
        <v>9.0</v>
      </c>
      <c r="K594" s="213"/>
      <c r="L594" s="183"/>
      <c r="M594" s="134">
        <f>I459</f>
        <v>30</v>
      </c>
      <c r="N594" s="135" t="str">
        <f>iferror(mround($P459*((VLOOKUP($J594,Sheet1!$D:$N,$G594+1,FALSE)-0.03)),2.5)," ")</f>
        <v> </v>
      </c>
      <c r="O594" s="135" t="str">
        <f>iferror(mround($P459*((VLOOKUP($J594,Sheet1!$D:$N,$G594+1,FALSE)+0.02)),2.5)," ")</f>
        <v> </v>
      </c>
      <c r="P594" s="112" t="str">
        <f>iferror(mround(I594/VLOOKUP(L594,Sheet1!$D$7:$N$16,G594+1,FALSE),2.5),"")</f>
        <v/>
      </c>
      <c r="Q594" s="303" t="str">
        <f t="shared" si="17"/>
        <v/>
      </c>
      <c r="R594" s="214"/>
      <c r="S594" s="11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</row>
    <row r="595" ht="3.75" customHeight="1">
      <c r="A595" s="90"/>
      <c r="B595" s="6"/>
      <c r="C595" s="90"/>
      <c r="D595" s="138"/>
      <c r="E595" s="215"/>
      <c r="F595" s="102"/>
      <c r="G595" s="102"/>
      <c r="H595" s="102"/>
      <c r="I595" s="102"/>
      <c r="J595" s="216"/>
      <c r="K595" s="217"/>
      <c r="L595" s="143"/>
      <c r="M595" s="144"/>
      <c r="N595" s="145"/>
      <c r="O595" s="145"/>
      <c r="P595" s="122"/>
      <c r="Q595" s="304" t="str">
        <f t="shared" si="17"/>
        <v/>
      </c>
      <c r="R595" s="214"/>
      <c r="S595" s="11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</row>
    <row r="596" ht="15.75" hidden="1" customHeight="1">
      <c r="A596" s="90"/>
      <c r="B596" s="6"/>
      <c r="C596" s="90"/>
      <c r="D596" s="185"/>
      <c r="E596" s="220"/>
      <c r="F596" s="187"/>
      <c r="G596" s="187"/>
      <c r="H596" s="195"/>
      <c r="I596" s="164"/>
      <c r="J596" s="189"/>
      <c r="K596" s="213"/>
      <c r="L596" s="183"/>
      <c r="M596" s="134" t="str">
        <f>I461</f>
        <v/>
      </c>
      <c r="N596" s="135" t="str">
        <f>iferror(mround($P461*((VLOOKUP($J596,Sheet1!$D:$N,$G596+1,FALSE)-0.03)),2.5)," ")</f>
        <v> </v>
      </c>
      <c r="O596" s="135" t="str">
        <f>iferror(mround($P461*((VLOOKUP($J596,Sheet1!$D:$N,$G596+1,FALSE)+0.02)),2.5)," ")</f>
        <v> </v>
      </c>
      <c r="P596" s="112" t="str">
        <f>iferror(mround(I596/VLOOKUP(L596,Sheet1!$D$7:$N$16,G596+1,FALSE),2.5),"")</f>
        <v/>
      </c>
      <c r="Q596" s="303" t="str">
        <f t="shared" si="17"/>
        <v/>
      </c>
      <c r="R596" s="214"/>
      <c r="S596" s="11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</row>
    <row r="597" ht="3.75" hidden="1" customHeight="1">
      <c r="A597" s="90"/>
      <c r="B597" s="6"/>
      <c r="C597" s="90"/>
      <c r="D597" s="138"/>
      <c r="E597" s="326"/>
      <c r="F597" s="102"/>
      <c r="G597" s="102"/>
      <c r="H597" s="102"/>
      <c r="I597" s="102"/>
      <c r="J597" s="216"/>
      <c r="K597" s="222"/>
      <c r="L597" s="143"/>
      <c r="M597" s="144"/>
      <c r="N597" s="145"/>
      <c r="O597" s="145"/>
      <c r="P597" s="122"/>
      <c r="Q597" s="304" t="str">
        <f t="shared" si="17"/>
        <v/>
      </c>
      <c r="R597" s="214"/>
      <c r="S597" s="11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</row>
    <row r="598" ht="18.0" hidden="1" customHeight="1">
      <c r="A598" s="90"/>
      <c r="B598" s="6"/>
      <c r="C598" s="90"/>
      <c r="D598" s="185"/>
      <c r="E598" s="327"/>
      <c r="F598" s="187"/>
      <c r="G598" s="187"/>
      <c r="H598" s="195"/>
      <c r="I598" s="164"/>
      <c r="J598" s="189"/>
      <c r="K598" s="190"/>
      <c r="L598" s="183"/>
      <c r="M598" s="134" t="str">
        <f>I463</f>
        <v/>
      </c>
      <c r="N598" s="135" t="str">
        <f>iferror(mround($P463*((VLOOKUP($J598,Sheet1!$D:$N,$G598+1,FALSE)-0.03)),2.5)," ")</f>
        <v> </v>
      </c>
      <c r="O598" s="135" t="str">
        <f>iferror(mround($P463*((VLOOKUP($J598,Sheet1!$D:$N,$G598+1,FALSE)+0.02)),2.5)," ")</f>
        <v> </v>
      </c>
      <c r="P598" s="112" t="str">
        <f>iferror(mround(I598/VLOOKUP(L598,Sheet1!$D$7:$N$16,G598+1,FALSE),2.5),"")</f>
        <v/>
      </c>
      <c r="Q598" s="303" t="str">
        <f t="shared" si="17"/>
        <v/>
      </c>
      <c r="R598" s="214"/>
      <c r="S598" s="11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</row>
    <row r="599" ht="3.75" hidden="1" customHeight="1">
      <c r="A599" s="191"/>
      <c r="B599" s="6"/>
      <c r="C599" s="192"/>
      <c r="D599" s="138"/>
      <c r="E599" s="223"/>
      <c r="F599" s="194"/>
      <c r="G599" s="194"/>
      <c r="H599" s="155"/>
      <c r="I599" s="210"/>
      <c r="J599" s="216"/>
      <c r="K599" s="222"/>
      <c r="L599" s="143"/>
      <c r="M599" s="144"/>
      <c r="N599" s="145"/>
      <c r="O599" s="145"/>
      <c r="P599" s="122"/>
      <c r="Q599" s="304" t="str">
        <f t="shared" si="17"/>
        <v/>
      </c>
      <c r="R599" s="214"/>
      <c r="S599" s="157"/>
      <c r="T599" s="5"/>
      <c r="U599" s="5"/>
      <c r="V599" s="158"/>
      <c r="W599" s="158"/>
      <c r="X599" s="158"/>
      <c r="Y599" s="158"/>
      <c r="Z599" s="158"/>
      <c r="AA599" s="158"/>
      <c r="AB599" s="158"/>
      <c r="AC599" s="158"/>
      <c r="AD599" s="158"/>
      <c r="AE599" s="158"/>
      <c r="AF599" s="158"/>
      <c r="AG599" s="158"/>
    </row>
    <row r="600" ht="15.75" hidden="1" customHeight="1">
      <c r="A600" s="90"/>
      <c r="B600" s="6"/>
      <c r="C600" s="90"/>
      <c r="D600" s="185"/>
      <c r="E600" s="186"/>
      <c r="F600" s="187"/>
      <c r="G600" s="187"/>
      <c r="H600" s="195"/>
      <c r="I600" s="164"/>
      <c r="J600" s="189"/>
      <c r="K600" s="190"/>
      <c r="L600" s="183"/>
      <c r="M600" s="134" t="str">
        <f>I465</f>
        <v/>
      </c>
      <c r="N600" s="135" t="str">
        <f>iferror(mround($P465*((VLOOKUP($J600,Sheet1!$D:$N,$G600+1,FALSE)-0.03)),2.5)," ")</f>
        <v> </v>
      </c>
      <c r="O600" s="135" t="str">
        <f>iferror(mround($P465*((VLOOKUP($J600,Sheet1!$D:$N,$G600+1,FALSE)+0.02)),2.5)," ")</f>
        <v> </v>
      </c>
      <c r="P600" s="112" t="str">
        <f>iferror(mround(I600/VLOOKUP(L600,Sheet1!$D$7:$N$16,G600+1,FALSE),2.5),"")</f>
        <v/>
      </c>
      <c r="Q600" s="303" t="str">
        <f t="shared" si="17"/>
        <v/>
      </c>
      <c r="R600" s="214"/>
      <c r="S600" s="11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</row>
    <row r="601" ht="3.75" hidden="1" customHeight="1">
      <c r="A601" s="90"/>
      <c r="B601" s="6"/>
      <c r="C601" s="90"/>
      <c r="D601" s="138"/>
      <c r="E601" s="184"/>
      <c r="F601" s="102"/>
      <c r="G601" s="102"/>
      <c r="H601" s="102"/>
      <c r="I601" s="102"/>
      <c r="J601" s="156"/>
      <c r="K601" s="222"/>
      <c r="L601" s="143"/>
      <c r="M601" s="144"/>
      <c r="N601" s="145"/>
      <c r="O601" s="145"/>
      <c r="P601" s="122"/>
      <c r="Q601" s="304" t="str">
        <f t="shared" si="17"/>
        <v/>
      </c>
      <c r="R601" s="214"/>
      <c r="S601" s="11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</row>
    <row r="602" ht="15.75" hidden="1" customHeight="1">
      <c r="A602" s="90"/>
      <c r="B602" s="6"/>
      <c r="C602" s="90"/>
      <c r="D602" s="185"/>
      <c r="E602" s="224"/>
      <c r="F602" s="187"/>
      <c r="G602" s="187"/>
      <c r="H602" s="195"/>
      <c r="I602" s="164"/>
      <c r="J602" s="189"/>
      <c r="K602" s="190"/>
      <c r="L602" s="183"/>
      <c r="M602" s="134" t="str">
        <f>I467</f>
        <v/>
      </c>
      <c r="N602" s="135" t="str">
        <f>iferror(mround($P467*((VLOOKUP($J602,Sheet1!$D:$N,$G602+1,FALSE)-0.03)),2.5)," ")</f>
        <v> </v>
      </c>
      <c r="O602" s="135" t="str">
        <f>iferror(mround($P467*((VLOOKUP($J602,Sheet1!$D:$N,$G602+1,FALSE)+0.02)),2.5)," ")</f>
        <v> </v>
      </c>
      <c r="P602" s="112" t="str">
        <f>iferror(mround(I602/VLOOKUP(L602,Sheet1!$D$7:$N$16,G602+1,FALSE),2.5),"")</f>
        <v/>
      </c>
      <c r="Q602" s="303" t="str">
        <f t="shared" si="17"/>
        <v/>
      </c>
      <c r="R602" s="214"/>
      <c r="S602" s="11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</row>
    <row r="603" ht="3.75" hidden="1" customHeight="1">
      <c r="A603" s="191"/>
      <c r="B603" s="6"/>
      <c r="C603" s="192"/>
      <c r="D603" s="138"/>
      <c r="E603" s="193"/>
      <c r="F603" s="194"/>
      <c r="G603" s="194"/>
      <c r="H603" s="155"/>
      <c r="I603" s="210"/>
      <c r="J603" s="216"/>
      <c r="K603" s="222"/>
      <c r="L603" s="143"/>
      <c r="M603" s="144"/>
      <c r="N603" s="145"/>
      <c r="O603" s="145"/>
      <c r="P603" s="122"/>
      <c r="Q603" s="304" t="str">
        <f t="shared" si="17"/>
        <v/>
      </c>
      <c r="R603" s="214"/>
      <c r="S603" s="157"/>
      <c r="T603" s="5"/>
      <c r="U603" s="5"/>
      <c r="V603" s="158"/>
      <c r="W603" s="158"/>
      <c r="X603" s="158"/>
      <c r="Y603" s="158"/>
      <c r="Z603" s="158"/>
      <c r="AA603" s="158"/>
      <c r="AB603" s="158"/>
      <c r="AC603" s="158"/>
      <c r="AD603" s="158"/>
      <c r="AE603" s="158"/>
      <c r="AF603" s="158"/>
      <c r="AG603" s="158"/>
    </row>
    <row r="604" ht="15.75" hidden="1" customHeight="1">
      <c r="A604" s="90"/>
      <c r="B604" s="6"/>
      <c r="C604" s="90"/>
      <c r="D604" s="185"/>
      <c r="E604" s="186"/>
      <c r="F604" s="187"/>
      <c r="G604" s="187"/>
      <c r="H604" s="195"/>
      <c r="I604" s="164"/>
      <c r="J604" s="189"/>
      <c r="K604" s="190"/>
      <c r="L604" s="183"/>
      <c r="M604" s="134" t="str">
        <f>I469</f>
        <v/>
      </c>
      <c r="N604" s="135" t="str">
        <f>iferror(mround($P469*((VLOOKUP($J604,Sheet1!$D:$N,$G604+1,FALSE)-0.03)),2.5)," ")</f>
        <v> </v>
      </c>
      <c r="O604" s="135" t="str">
        <f>iferror(mround($P469*((VLOOKUP($J604,Sheet1!$D:$N,$G604+1,FALSE)+0.02)),2.5)," ")</f>
        <v> </v>
      </c>
      <c r="P604" s="112" t="str">
        <f>iferror(mround(I604/VLOOKUP(L604,Sheet1!$D$7:$N$16,G604+1,FALSE),2.5),"")</f>
        <v/>
      </c>
      <c r="Q604" s="303" t="str">
        <f t="shared" si="17"/>
        <v/>
      </c>
      <c r="R604" s="214"/>
      <c r="S604" s="11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</row>
    <row r="605" ht="3.75" hidden="1" customHeight="1">
      <c r="A605" s="90"/>
      <c r="B605" s="6"/>
      <c r="C605" s="90"/>
      <c r="D605" s="196"/>
      <c r="E605" s="184"/>
      <c r="F605" s="102"/>
      <c r="G605" s="102"/>
      <c r="H605" s="102"/>
      <c r="I605" s="102"/>
      <c r="J605" s="156"/>
      <c r="K605" s="222"/>
      <c r="L605" s="143"/>
      <c r="M605" s="144"/>
      <c r="N605" s="145"/>
      <c r="O605" s="145"/>
      <c r="P605" s="122"/>
      <c r="Q605" s="304" t="str">
        <f t="shared" si="17"/>
        <v/>
      </c>
      <c r="R605" s="214"/>
      <c r="S605" s="11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</row>
    <row r="606" ht="15.75" hidden="1" customHeight="1">
      <c r="A606" s="90"/>
      <c r="B606" s="6"/>
      <c r="C606" s="90"/>
      <c r="D606" s="197"/>
      <c r="E606" s="198"/>
      <c r="F606" s="199"/>
      <c r="G606" s="187"/>
      <c r="H606" s="195"/>
      <c r="I606" s="164"/>
      <c r="J606" s="189"/>
      <c r="K606" s="190"/>
      <c r="L606" s="183"/>
      <c r="M606" s="134" t="str">
        <f>I471</f>
        <v/>
      </c>
      <c r="N606" s="135" t="str">
        <f>iferror(mround($P471*((VLOOKUP($J606,Sheet1!$D:$N,$G606+1,FALSE)-0.03)),2.5)," ")</f>
        <v> </v>
      </c>
      <c r="O606" s="135" t="str">
        <f>iferror(mround($P471*((VLOOKUP($J606,Sheet1!$D:$N,$G606+1,FALSE)+0.02)),2.5)," ")</f>
        <v> </v>
      </c>
      <c r="P606" s="112" t="str">
        <f>iferror(mround(I606/VLOOKUP(L606,Sheet1!$D$7:$N$16,G606+1,FALSE),2.5),"")</f>
        <v/>
      </c>
      <c r="Q606" s="303" t="str">
        <f t="shared" si="17"/>
        <v/>
      </c>
      <c r="R606" s="214"/>
      <c r="S606" s="11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</row>
    <row r="607" ht="3.75" hidden="1" customHeight="1">
      <c r="A607" s="90"/>
      <c r="B607" s="6"/>
      <c r="C607" s="90"/>
      <c r="D607" s="90"/>
      <c r="E607" s="156"/>
      <c r="F607" s="102"/>
      <c r="G607" s="102"/>
      <c r="H607" s="102"/>
      <c r="I607" s="102"/>
      <c r="J607" s="156"/>
      <c r="K607" s="222"/>
      <c r="L607" s="201"/>
      <c r="M607" s="211"/>
      <c r="N607" s="47"/>
      <c r="O607" s="47"/>
      <c r="P607" s="122"/>
      <c r="Q607" s="304" t="str">
        <f t="shared" si="17"/>
        <v/>
      </c>
      <c r="R607" s="214"/>
      <c r="S607" s="11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</row>
    <row r="608" ht="30.75" customHeight="1">
      <c r="A608" s="90"/>
      <c r="B608" s="6"/>
      <c r="C608" s="90"/>
      <c r="D608" s="202" t="s">
        <v>49</v>
      </c>
      <c r="E608" s="105" t="s">
        <v>15</v>
      </c>
      <c r="F608" s="106" t="s">
        <v>16</v>
      </c>
      <c r="G608" s="106" t="s">
        <v>17</v>
      </c>
      <c r="H608" s="107"/>
      <c r="I608" s="106" t="s">
        <v>18</v>
      </c>
      <c r="J608" s="108" t="s">
        <v>19</v>
      </c>
      <c r="L608" s="109" t="s">
        <v>20</v>
      </c>
      <c r="M608" s="110" t="s">
        <v>21</v>
      </c>
      <c r="N608" s="111" t="s">
        <v>22</v>
      </c>
      <c r="P608" s="112"/>
      <c r="Q608" s="113" t="s">
        <v>23</v>
      </c>
      <c r="R608" s="114" t="s">
        <v>50</v>
      </c>
      <c r="S608" s="11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</row>
    <row r="609" ht="14.25" customHeight="1">
      <c r="A609" s="90"/>
      <c r="B609" s="6"/>
      <c r="C609" s="90"/>
      <c r="D609" s="257" t="s">
        <v>25</v>
      </c>
      <c r="E609" s="258" t="s">
        <v>26</v>
      </c>
      <c r="H609" s="107"/>
      <c r="N609" s="111" t="s">
        <v>27</v>
      </c>
      <c r="O609" s="111" t="s">
        <v>28</v>
      </c>
      <c r="P609" s="112" t="s">
        <v>29</v>
      </c>
      <c r="R609" s="118" t="s">
        <v>30</v>
      </c>
      <c r="S609" s="11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</row>
    <row r="610" ht="3.75" customHeight="1">
      <c r="A610" s="191"/>
      <c r="B610" s="6"/>
      <c r="C610" s="192"/>
      <c r="D610" s="203"/>
      <c r="E610" s="203"/>
      <c r="F610" s="205"/>
      <c r="G610" s="205"/>
      <c r="H610" s="205"/>
      <c r="I610" s="225"/>
      <c r="J610" s="226"/>
      <c r="K610" s="209"/>
      <c r="L610" s="210"/>
      <c r="M610" s="211"/>
      <c r="N610" s="47"/>
      <c r="O610" s="47"/>
      <c r="P610" s="122"/>
      <c r="Q610" s="304" t="str">
        <f t="shared" ref="Q610:Q630" si="18">IF(OR(ISBLANK(I610), ISBLANK(I475)), "", IF(I610 - I475 = 0, "", I610 - I475))</f>
        <v/>
      </c>
      <c r="R610" s="212"/>
      <c r="S610" s="157"/>
      <c r="T610" s="5"/>
      <c r="U610" s="5"/>
      <c r="V610" s="158"/>
      <c r="W610" s="158"/>
      <c r="X610" s="158"/>
      <c r="Y610" s="158"/>
      <c r="Z610" s="158"/>
      <c r="AA610" s="158"/>
      <c r="AB610" s="158"/>
      <c r="AC610" s="158"/>
      <c r="AD610" s="158"/>
      <c r="AE610" s="158"/>
      <c r="AF610" s="158"/>
      <c r="AG610" s="158"/>
    </row>
    <row r="611" ht="15.75" customHeight="1">
      <c r="A611" s="124"/>
      <c r="B611" s="6"/>
      <c r="C611" s="124"/>
      <c r="D611" s="125" t="s">
        <v>90</v>
      </c>
      <c r="E611" s="126"/>
      <c r="F611" s="127">
        <v>1.0</v>
      </c>
      <c r="G611" s="240">
        <v>5.0</v>
      </c>
      <c r="H611" s="129"/>
      <c r="I611" s="130">
        <v>365.0</v>
      </c>
      <c r="J611" s="151">
        <v>6.0</v>
      </c>
      <c r="K611" s="213"/>
      <c r="L611" s="133">
        <v>5.5</v>
      </c>
      <c r="M611" s="134">
        <f>I476</f>
        <v>413</v>
      </c>
      <c r="N611" s="135">
        <f>iferror(mround($P476*((VLOOKUP($J611,Sheet1!$D:$N,$G611+1,FALSE)-0.03)),2.5)," ")</f>
        <v>377.5</v>
      </c>
      <c r="O611" s="135">
        <f>iferror(mround($P476*((VLOOKUP($J611,Sheet1!$D:$N,$G611+1,FALSE)+0.02)),2.5)," ")</f>
        <v>405</v>
      </c>
      <c r="P611" s="112" t="str">
        <f>iferror(mround(I611/VLOOKUP(L611,Sheet1!$D$7:$N$16,G611+1,FALSE),2.5),"")</f>
        <v/>
      </c>
      <c r="Q611" s="303">
        <f t="shared" si="18"/>
        <v>-48</v>
      </c>
      <c r="R611" s="214"/>
      <c r="S611" s="11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</row>
    <row r="612" ht="3.75" customHeight="1">
      <c r="A612" s="124"/>
      <c r="B612" s="6"/>
      <c r="C612" s="124"/>
      <c r="D612" s="138"/>
      <c r="E612" s="139"/>
      <c r="F612" s="140"/>
      <c r="G612" s="140"/>
      <c r="H612" s="140"/>
      <c r="I612" s="140"/>
      <c r="J612" s="141"/>
      <c r="K612" s="217"/>
      <c r="L612" s="218"/>
      <c r="M612" s="144"/>
      <c r="N612" s="145"/>
      <c r="O612" s="145"/>
      <c r="P612" s="122"/>
      <c r="Q612" s="304" t="str">
        <f t="shared" si="18"/>
        <v/>
      </c>
      <c r="R612" s="214"/>
      <c r="S612" s="11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</row>
    <row r="613" ht="15.75" customHeight="1">
      <c r="A613" s="90"/>
      <c r="B613" s="6"/>
      <c r="C613" s="90"/>
      <c r="D613" s="125" t="s">
        <v>77</v>
      </c>
      <c r="E613" s="126"/>
      <c r="F613" s="127">
        <v>2.0</v>
      </c>
      <c r="G613" s="240">
        <v>5.0</v>
      </c>
      <c r="H613" s="129"/>
      <c r="I613" s="164">
        <f>MROUND(I611*(1+J613),5)</f>
        <v>330</v>
      </c>
      <c r="J613" s="165">
        <v>-0.1</v>
      </c>
      <c r="K613" s="213"/>
      <c r="L613" s="183"/>
      <c r="M613" s="134">
        <f>I478</f>
        <v>365</v>
      </c>
      <c r="N613" s="135" t="str">
        <f>iferror(mround($P478*((VLOOKUP($J613,Sheet1!$D:$N,$G613+1,FALSE)-0.03)),2.5)," ")</f>
        <v> </v>
      </c>
      <c r="O613" s="135" t="str">
        <f>iferror(mround($P478*((VLOOKUP($J613,Sheet1!$D:$N,$G613+1,FALSE)+0.02)),2.5)," ")</f>
        <v> </v>
      </c>
      <c r="P613" s="112" t="str">
        <f>iferror(mround(I613/VLOOKUP(L613,Sheet1!$D$7:$N$16,G613+1,FALSE),2.5),"")</f>
        <v/>
      </c>
      <c r="Q613" s="303">
        <f t="shared" si="18"/>
        <v>-35</v>
      </c>
      <c r="R613" s="214"/>
      <c r="S613" s="11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</row>
    <row r="614" ht="3.75" customHeight="1">
      <c r="A614" s="90"/>
      <c r="B614" s="6"/>
      <c r="C614" s="90"/>
      <c r="D614" s="138"/>
      <c r="E614" s="215"/>
      <c r="F614" s="102"/>
      <c r="G614" s="102"/>
      <c r="H614" s="102"/>
      <c r="I614" s="102"/>
      <c r="J614" s="156"/>
      <c r="K614" s="217"/>
      <c r="L614" s="218"/>
      <c r="M614" s="144"/>
      <c r="N614" s="145"/>
      <c r="O614" s="145"/>
      <c r="P614" s="122"/>
      <c r="Q614" s="304" t="str">
        <f t="shared" si="18"/>
        <v/>
      </c>
      <c r="R614" s="214"/>
      <c r="S614" s="11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</row>
    <row r="615" ht="15.75" customHeight="1">
      <c r="A615" s="90"/>
      <c r="B615" s="6"/>
      <c r="C615" s="90"/>
      <c r="D615" s="159" t="s">
        <v>33</v>
      </c>
      <c r="E615" s="160" t="s">
        <v>34</v>
      </c>
      <c r="F615" s="127">
        <v>3.0</v>
      </c>
      <c r="G615" s="161">
        <v>2.0</v>
      </c>
      <c r="H615" s="129"/>
      <c r="I615" s="130">
        <v>245.0</v>
      </c>
      <c r="J615" s="151">
        <v>6.0</v>
      </c>
      <c r="K615" s="219" t="s">
        <v>91</v>
      </c>
      <c r="L615" s="183"/>
      <c r="M615" s="134">
        <f>I480</f>
        <v>281</v>
      </c>
      <c r="N615" s="135">
        <f>iferror(mround($P480*((VLOOKUP($J615,Sheet1!$D:$N,$G615+1,FALSE)-0.03)),2.5)," ")</f>
        <v>0</v>
      </c>
      <c r="O615" s="135">
        <f>iferror(mround($P480*((VLOOKUP($J615,Sheet1!$D:$N,$G615+1,FALSE)+0.02)),2.5)," ")</f>
        <v>0</v>
      </c>
      <c r="P615" s="112" t="str">
        <f>iferror(mround(I615/VLOOKUP(L615,Sheet1!$D$7:$N$16,G615+1,FALSE),2.5),"")</f>
        <v/>
      </c>
      <c r="Q615" s="303">
        <f t="shared" si="18"/>
        <v>-36</v>
      </c>
      <c r="R615" s="214"/>
      <c r="S615" s="11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</row>
    <row r="616" ht="3.75" customHeight="1">
      <c r="A616" s="90"/>
      <c r="B616" s="6"/>
      <c r="C616" s="90"/>
      <c r="D616" s="138"/>
      <c r="E616" s="154"/>
      <c r="F616" s="155"/>
      <c r="G616" s="102"/>
      <c r="H616" s="102"/>
      <c r="I616" s="102"/>
      <c r="J616" s="156"/>
      <c r="K616" s="217"/>
      <c r="L616" s="218"/>
      <c r="M616" s="144"/>
      <c r="N616" s="145"/>
      <c r="O616" s="145"/>
      <c r="P616" s="122"/>
      <c r="Q616" s="304" t="str">
        <f t="shared" si="18"/>
        <v/>
      </c>
      <c r="R616" s="214"/>
      <c r="S616" s="11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</row>
    <row r="617" ht="15.75" customHeight="1">
      <c r="A617" s="90"/>
      <c r="B617" s="6"/>
      <c r="C617" s="90"/>
      <c r="D617" s="159" t="s">
        <v>45</v>
      </c>
      <c r="E617" s="220"/>
      <c r="F617" s="127">
        <v>2.0</v>
      </c>
      <c r="G617" s="127" t="s">
        <v>41</v>
      </c>
      <c r="H617" s="195"/>
      <c r="I617" s="164"/>
      <c r="J617" s="151"/>
      <c r="K617" s="213"/>
      <c r="L617" s="183"/>
      <c r="M617" s="134" t="str">
        <f>I482</f>
        <v/>
      </c>
      <c r="N617" s="135" t="str">
        <f>iferror(mround($P482*((VLOOKUP($J617,Sheet1!$D:$N,$G617+1,FALSE)-0.03)),2.5)," ")</f>
        <v> </v>
      </c>
      <c r="O617" s="135" t="str">
        <f>iferror(mround($P482*((VLOOKUP($J617,Sheet1!$D:$N,$G617+1,FALSE)+0.02)),2.5)," ")</f>
        <v> </v>
      </c>
      <c r="P617" s="112" t="str">
        <f>iferror(mround(I617/VLOOKUP(L617,Sheet1!$D$7:$N$16,G617+1,FALSE),2.5),"")</f>
        <v/>
      </c>
      <c r="Q617" s="303" t="str">
        <f t="shared" si="18"/>
        <v/>
      </c>
      <c r="R617" s="214"/>
      <c r="S617" s="11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</row>
    <row r="618" ht="3.75" customHeight="1">
      <c r="A618" s="90"/>
      <c r="B618" s="6"/>
      <c r="C618" s="90"/>
      <c r="D618" s="138"/>
      <c r="E618" s="215"/>
      <c r="F618" s="102"/>
      <c r="G618" s="102"/>
      <c r="H618" s="102"/>
      <c r="I618" s="102"/>
      <c r="J618" s="156"/>
      <c r="K618" s="217"/>
      <c r="L618" s="218"/>
      <c r="M618" s="144"/>
      <c r="N618" s="145"/>
      <c r="O618" s="145"/>
      <c r="P618" s="122"/>
      <c r="Q618" s="304" t="str">
        <f t="shared" si="18"/>
        <v/>
      </c>
      <c r="R618" s="214"/>
      <c r="S618" s="11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</row>
    <row r="619" ht="15.75" customHeight="1">
      <c r="A619" s="90"/>
      <c r="B619" s="6"/>
      <c r="C619" s="90"/>
      <c r="D619" s="159" t="s">
        <v>94</v>
      </c>
      <c r="E619" s="220"/>
      <c r="F619" s="127">
        <v>3.0</v>
      </c>
      <c r="G619" s="221">
        <v>45641.0</v>
      </c>
      <c r="H619" s="195"/>
      <c r="I619" s="164"/>
      <c r="J619" s="151">
        <v>9.0</v>
      </c>
      <c r="K619" s="213"/>
      <c r="L619" s="183"/>
      <c r="M619" s="134" t="str">
        <f>I484</f>
        <v/>
      </c>
      <c r="N619" s="135" t="str">
        <f>iferror(mround($P484*((VLOOKUP($J619,Sheet1!$D:$N,$G619+1,FALSE)-0.03)),2.5)," ")</f>
        <v> </v>
      </c>
      <c r="O619" s="135" t="str">
        <f>iferror(mround($P484*((VLOOKUP($J619,Sheet1!$D:$N,$G619+1,FALSE)+0.02)),2.5)," ")</f>
        <v> </v>
      </c>
      <c r="P619" s="112" t="str">
        <f>iferror(mround(I619/VLOOKUP(L619,Sheet1!$D$7:$N$16,G619+1,FALSE),2.5),"")</f>
        <v/>
      </c>
      <c r="Q619" s="303" t="str">
        <f t="shared" si="18"/>
        <v/>
      </c>
      <c r="R619" s="214"/>
      <c r="S619" s="11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</row>
    <row r="620" ht="3.75" customHeight="1">
      <c r="A620" s="90"/>
      <c r="B620" s="6"/>
      <c r="C620" s="90"/>
      <c r="D620" s="138"/>
      <c r="E620" s="215"/>
      <c r="F620" s="102"/>
      <c r="G620" s="102"/>
      <c r="H620" s="102"/>
      <c r="I620" s="102"/>
      <c r="J620" s="156"/>
      <c r="K620" s="222"/>
      <c r="L620" s="218"/>
      <c r="M620" s="144"/>
      <c r="N620" s="145"/>
      <c r="O620" s="145"/>
      <c r="P620" s="122"/>
      <c r="Q620" s="304" t="str">
        <f t="shared" si="18"/>
        <v/>
      </c>
      <c r="R620" s="214"/>
      <c r="S620" s="11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</row>
    <row r="621" ht="15.75" hidden="1" customHeight="1">
      <c r="A621" s="90"/>
      <c r="B621" s="6"/>
      <c r="C621" s="90"/>
      <c r="D621" s="185"/>
      <c r="E621" s="220"/>
      <c r="F621" s="187"/>
      <c r="G621" s="229"/>
      <c r="H621" s="195"/>
      <c r="I621" s="164"/>
      <c r="J621" s="189"/>
      <c r="K621" s="190"/>
      <c r="L621" s="183"/>
      <c r="M621" s="134" t="str">
        <f>I486</f>
        <v/>
      </c>
      <c r="N621" s="135" t="str">
        <f>iferror(mround($P486*((VLOOKUP($J621,Sheet1!$D:$N,$G621+1,FALSE)-0.03)),2.5)," ")</f>
        <v> </v>
      </c>
      <c r="O621" s="135" t="str">
        <f>iferror(mround($P486*((VLOOKUP($J621,Sheet1!$D:$N,$G621+1,FALSE)+0.02)),2.5)," ")</f>
        <v> </v>
      </c>
      <c r="P621" s="112" t="str">
        <f>iferror(mround(I621/VLOOKUP(L621,Sheet1!$D$7:$N$16,G621+1,FALSE),2.5),"")</f>
        <v/>
      </c>
      <c r="Q621" s="303" t="str">
        <f t="shared" si="18"/>
        <v/>
      </c>
      <c r="R621" s="214"/>
      <c r="S621" s="11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</row>
    <row r="622" ht="3.75" hidden="1" customHeight="1">
      <c r="A622" s="90"/>
      <c r="B622" s="6"/>
      <c r="C622" s="90"/>
      <c r="D622" s="138"/>
      <c r="E622" s="215"/>
      <c r="F622" s="102"/>
      <c r="G622" s="102"/>
      <c r="H622" s="102"/>
      <c r="I622" s="102"/>
      <c r="J622" s="216"/>
      <c r="K622" s="222"/>
      <c r="L622" s="218"/>
      <c r="M622" s="144"/>
      <c r="N622" s="145"/>
      <c r="O622" s="145"/>
      <c r="P622" s="122"/>
      <c r="Q622" s="304" t="str">
        <f t="shared" si="18"/>
        <v/>
      </c>
      <c r="R622" s="214"/>
      <c r="S622" s="11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</row>
    <row r="623" ht="15.75" hidden="1" customHeight="1">
      <c r="A623" s="90"/>
      <c r="B623" s="6"/>
      <c r="C623" s="90"/>
      <c r="D623" s="185"/>
      <c r="E623" s="220"/>
      <c r="F623" s="187"/>
      <c r="G623" s="229"/>
      <c r="H623" s="195"/>
      <c r="I623" s="164"/>
      <c r="J623" s="189"/>
      <c r="K623" s="190"/>
      <c r="L623" s="183"/>
      <c r="M623" s="134" t="str">
        <f>I488</f>
        <v/>
      </c>
      <c r="N623" s="135" t="str">
        <f>iferror(mround($P488*((VLOOKUP($J623,Sheet1!$D:$N,$G623+1,FALSE)-0.03)),2.5)," ")</f>
        <v> </v>
      </c>
      <c r="O623" s="135" t="str">
        <f>iferror(mround($P488*((VLOOKUP($J623,Sheet1!$D:$N,$G623+1,FALSE)+0.02)),2.5)," ")</f>
        <v> </v>
      </c>
      <c r="P623" s="112" t="str">
        <f>iferror(mround(I623/VLOOKUP(L623,Sheet1!$D$7:$N$16,G623+1,FALSE),2.5),"")</f>
        <v/>
      </c>
      <c r="Q623" s="303" t="str">
        <f t="shared" si="18"/>
        <v/>
      </c>
      <c r="R623" s="214"/>
      <c r="S623" s="11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</row>
    <row r="624" ht="3.75" hidden="1" customHeight="1">
      <c r="A624" s="191"/>
      <c r="B624" s="6"/>
      <c r="C624" s="192"/>
      <c r="D624" s="138"/>
      <c r="E624" s="184"/>
      <c r="F624" s="102"/>
      <c r="G624" s="102"/>
      <c r="H624" s="102"/>
      <c r="I624" s="102"/>
      <c r="J624" s="156"/>
      <c r="K624" s="222"/>
      <c r="L624" s="218"/>
      <c r="M624" s="144"/>
      <c r="N624" s="145"/>
      <c r="O624" s="145"/>
      <c r="P624" s="122"/>
      <c r="Q624" s="304" t="str">
        <f t="shared" si="18"/>
        <v/>
      </c>
      <c r="R624" s="214"/>
      <c r="S624" s="157"/>
      <c r="T624" s="5"/>
      <c r="U624" s="5"/>
      <c r="V624" s="158"/>
      <c r="W624" s="158"/>
      <c r="X624" s="158"/>
      <c r="Y624" s="158"/>
      <c r="Z624" s="158"/>
      <c r="AA624" s="158"/>
      <c r="AB624" s="158"/>
      <c r="AC624" s="158"/>
      <c r="AD624" s="158"/>
      <c r="AE624" s="158"/>
      <c r="AF624" s="158"/>
      <c r="AG624" s="158"/>
    </row>
    <row r="625" ht="15.75" hidden="1" customHeight="1">
      <c r="A625" s="90"/>
      <c r="B625" s="6"/>
      <c r="C625" s="90"/>
      <c r="D625" s="185"/>
      <c r="E625" s="224"/>
      <c r="F625" s="187"/>
      <c r="G625" s="187"/>
      <c r="H625" s="195"/>
      <c r="I625" s="164"/>
      <c r="J625" s="230"/>
      <c r="K625" s="190"/>
      <c r="L625" s="183"/>
      <c r="M625" s="134" t="str">
        <f>I490</f>
        <v/>
      </c>
      <c r="N625" s="135" t="str">
        <f>iferror(mround($P490*((VLOOKUP($J625,Sheet1!$D:$N,$G625+1,FALSE)-0.03)),2.5)," ")</f>
        <v> </v>
      </c>
      <c r="O625" s="135" t="str">
        <f>iferror(mround($P490*((VLOOKUP($J625,Sheet1!$D:$N,$G625+1,FALSE)+0.02)),2.5)," ")</f>
        <v> </v>
      </c>
      <c r="P625" s="112" t="str">
        <f>iferror(mround(I625/VLOOKUP(L625,Sheet1!$D$7:$N$16,G625+1,FALSE),2.5),"")</f>
        <v/>
      </c>
      <c r="Q625" s="303" t="str">
        <f t="shared" si="18"/>
        <v/>
      </c>
      <c r="R625" s="214"/>
      <c r="S625" s="11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</row>
    <row r="626" ht="3.75" hidden="1" customHeight="1">
      <c r="A626" s="90"/>
      <c r="B626" s="6"/>
      <c r="C626" s="90"/>
      <c r="D626" s="138"/>
      <c r="E626" s="184"/>
      <c r="F626" s="102"/>
      <c r="G626" s="102"/>
      <c r="H626" s="102"/>
      <c r="I626" s="102"/>
      <c r="J626" s="156"/>
      <c r="K626" s="222"/>
      <c r="L626" s="218"/>
      <c r="M626" s="144"/>
      <c r="N626" s="145"/>
      <c r="O626" s="145"/>
      <c r="P626" s="122"/>
      <c r="Q626" s="304" t="str">
        <f t="shared" si="18"/>
        <v/>
      </c>
      <c r="R626" s="214"/>
      <c r="S626" s="11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</row>
    <row r="627" ht="15.75" hidden="1" customHeight="1">
      <c r="A627" s="90"/>
      <c r="B627" s="6"/>
      <c r="C627" s="90"/>
      <c r="D627" s="231"/>
      <c r="E627" s="232"/>
      <c r="F627" s="187"/>
      <c r="G627" s="187"/>
      <c r="H627" s="195"/>
      <c r="I627" s="164"/>
      <c r="J627" s="230"/>
      <c r="K627" s="190"/>
      <c r="L627" s="183"/>
      <c r="M627" s="134" t="str">
        <f>I492</f>
        <v/>
      </c>
      <c r="N627" s="135" t="str">
        <f>iferror(mround($P492*((VLOOKUP($J627,Sheet1!$D:$N,$G627+1,FALSE)-0.03)),2.5)," ")</f>
        <v> </v>
      </c>
      <c r="O627" s="135" t="str">
        <f>iferror(mround($P492*((VLOOKUP($J627,Sheet1!$D:$N,$G627+1,FALSE)+0.02)),2.5)," ")</f>
        <v> </v>
      </c>
      <c r="P627" s="112" t="str">
        <f>iferror(mround(I627/VLOOKUP(L627,Sheet1!$D$7:$N$16,G627+1,FALSE),2.5),"")</f>
        <v/>
      </c>
      <c r="Q627" s="303" t="str">
        <f t="shared" si="18"/>
        <v/>
      </c>
      <c r="R627" s="214"/>
      <c r="S627" s="11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</row>
    <row r="628" ht="3.75" hidden="1" customHeight="1">
      <c r="A628" s="191"/>
      <c r="B628" s="6"/>
      <c r="C628" s="233"/>
      <c r="D628" s="234"/>
      <c r="E628" s="235"/>
      <c r="F628" s="236"/>
      <c r="G628" s="194"/>
      <c r="H628" s="155"/>
      <c r="I628" s="210"/>
      <c r="J628" s="216"/>
      <c r="K628" s="222"/>
      <c r="L628" s="218"/>
      <c r="M628" s="144"/>
      <c r="N628" s="145"/>
      <c r="O628" s="145"/>
      <c r="P628" s="122"/>
      <c r="Q628" s="304" t="str">
        <f t="shared" si="18"/>
        <v/>
      </c>
      <c r="R628" s="214"/>
      <c r="S628" s="157"/>
      <c r="T628" s="5"/>
      <c r="U628" s="5"/>
      <c r="V628" s="158"/>
      <c r="W628" s="158"/>
      <c r="X628" s="158"/>
      <c r="Y628" s="158"/>
      <c r="Z628" s="158"/>
      <c r="AA628" s="158"/>
      <c r="AB628" s="158"/>
      <c r="AC628" s="158"/>
      <c r="AD628" s="158"/>
      <c r="AE628" s="158"/>
      <c r="AF628" s="158"/>
      <c r="AG628" s="158"/>
    </row>
    <row r="629" ht="15.75" hidden="1" customHeight="1">
      <c r="A629" s="90"/>
      <c r="B629" s="6"/>
      <c r="C629" s="90"/>
      <c r="D629" s="197"/>
      <c r="E629" s="198"/>
      <c r="F629" s="199"/>
      <c r="G629" s="187"/>
      <c r="H629" s="195"/>
      <c r="I629" s="164"/>
      <c r="J629" s="189"/>
      <c r="K629" s="190"/>
      <c r="L629" s="183"/>
      <c r="M629" s="134" t="str">
        <f>I494</f>
        <v/>
      </c>
      <c r="N629" s="135" t="str">
        <f>iferror(mround($P494*((VLOOKUP($J629,Sheet1!$D:$N,$G629+1,FALSE)-0.03)),2.5)," ")</f>
        <v> </v>
      </c>
      <c r="O629" s="135" t="str">
        <f>iferror(mround($P494*((VLOOKUP($J629,Sheet1!$D:$N,$G629+1,FALSE)+0.02)),2.5)," ")</f>
        <v> </v>
      </c>
      <c r="P629" s="112" t="str">
        <f>iferror(mround(I629/VLOOKUP(L629,Sheet1!$D$7:$N$16,G629+1,FALSE),2.5),"")</f>
        <v/>
      </c>
      <c r="Q629" s="303" t="str">
        <f t="shared" si="18"/>
        <v/>
      </c>
      <c r="R629" s="214"/>
      <c r="S629" s="11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</row>
    <row r="630" ht="3.75" customHeight="1">
      <c r="A630" s="90"/>
      <c r="B630" s="6"/>
      <c r="C630" s="90"/>
      <c r="D630" s="90"/>
      <c r="E630" s="156"/>
      <c r="F630" s="102"/>
      <c r="G630" s="102"/>
      <c r="H630" s="102"/>
      <c r="I630" s="102"/>
      <c r="J630" s="156"/>
      <c r="K630" s="200"/>
      <c r="L630" s="201"/>
      <c r="M630" s="211"/>
      <c r="N630" s="47"/>
      <c r="O630" s="47"/>
      <c r="P630" s="122"/>
      <c r="Q630" s="304" t="str">
        <f t="shared" si="18"/>
        <v/>
      </c>
      <c r="R630" s="214"/>
      <c r="S630" s="11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</row>
    <row r="631" ht="30.0" customHeight="1">
      <c r="A631" s="90"/>
      <c r="B631" s="6"/>
      <c r="C631" s="90"/>
      <c r="D631" s="202" t="s">
        <v>55</v>
      </c>
      <c r="E631" s="105" t="s">
        <v>15</v>
      </c>
      <c r="F631" s="106" t="s">
        <v>16</v>
      </c>
      <c r="G631" s="106" t="s">
        <v>17</v>
      </c>
      <c r="H631" s="107"/>
      <c r="I631" s="106" t="s">
        <v>18</v>
      </c>
      <c r="J631" s="108" t="s">
        <v>19</v>
      </c>
      <c r="L631" s="109" t="s">
        <v>20</v>
      </c>
      <c r="M631" s="110" t="s">
        <v>21</v>
      </c>
      <c r="N631" s="111" t="s">
        <v>22</v>
      </c>
      <c r="P631" s="112"/>
      <c r="Q631" s="113" t="s">
        <v>23</v>
      </c>
      <c r="R631" s="114" t="s">
        <v>56</v>
      </c>
      <c r="S631" s="11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</row>
    <row r="632" ht="14.25" customHeight="1">
      <c r="A632" s="90"/>
      <c r="B632" s="6"/>
      <c r="C632" s="90"/>
      <c r="D632" s="257" t="s">
        <v>25</v>
      </c>
      <c r="E632" s="258" t="s">
        <v>26</v>
      </c>
      <c r="H632" s="107"/>
      <c r="N632" s="111" t="s">
        <v>27</v>
      </c>
      <c r="O632" s="111" t="s">
        <v>28</v>
      </c>
      <c r="P632" s="112" t="s">
        <v>29</v>
      </c>
      <c r="R632" s="118" t="s">
        <v>30</v>
      </c>
      <c r="S632" s="11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</row>
    <row r="633" ht="3.75" customHeight="1">
      <c r="A633" s="191"/>
      <c r="B633" s="6"/>
      <c r="C633" s="192"/>
      <c r="D633" s="203"/>
      <c r="E633" s="204"/>
      <c r="F633" s="205"/>
      <c r="G633" s="205"/>
      <c r="H633" s="205"/>
      <c r="I633" s="225"/>
      <c r="J633" s="237"/>
      <c r="K633" s="209"/>
      <c r="L633" s="238"/>
      <c r="M633" s="211"/>
      <c r="N633" s="47"/>
      <c r="O633" s="47"/>
      <c r="P633" s="122"/>
      <c r="Q633" s="304" t="str">
        <f t="shared" ref="Q633:Q653" si="19">IF(OR(ISBLANK(I633), ISBLANK(I498)), "", IF(I633 - I498 = 0, "", I633 - I498))</f>
        <v/>
      </c>
      <c r="R633" s="239"/>
      <c r="S633" s="157"/>
      <c r="T633" s="5"/>
      <c r="U633" s="5"/>
      <c r="V633" s="158"/>
      <c r="W633" s="158"/>
      <c r="X633" s="158"/>
      <c r="Y633" s="158"/>
      <c r="Z633" s="158"/>
      <c r="AA633" s="158"/>
      <c r="AB633" s="158"/>
      <c r="AC633" s="158"/>
      <c r="AD633" s="158"/>
      <c r="AE633" s="158"/>
      <c r="AF633" s="158"/>
      <c r="AG633" s="158"/>
    </row>
    <row r="634" ht="15.75" customHeight="1">
      <c r="A634" s="124"/>
      <c r="B634" s="6"/>
      <c r="C634" s="124"/>
      <c r="D634" s="125" t="s">
        <v>97</v>
      </c>
      <c r="E634" s="126"/>
      <c r="F634" s="127">
        <v>1.0</v>
      </c>
      <c r="G634" s="240">
        <v>4.0</v>
      </c>
      <c r="H634" s="129"/>
      <c r="I634" s="130">
        <v>430.0</v>
      </c>
      <c r="J634" s="151">
        <v>6.0</v>
      </c>
      <c r="K634" s="241"/>
      <c r="L634" s="130">
        <v>5.0</v>
      </c>
      <c r="M634" s="134">
        <f>I499</f>
        <v>513</v>
      </c>
      <c r="N634" s="135">
        <f>iferror(mround($P499*((VLOOKUP($J634,Sheet1!$D:$N,$G634+1,FALSE)-0.03)),2.5)," ")</f>
        <v>462.5</v>
      </c>
      <c r="O634" s="135">
        <f>iferror(mround($P499*((VLOOKUP($J634,Sheet1!$D:$N,$G634+1,FALSE)+0.02)),2.5)," ")</f>
        <v>495</v>
      </c>
      <c r="P634" s="112" t="str">
        <f>iferror(mround(I634/VLOOKUP(L634,Sheet1!$D$7:$N$16,G634+1,FALSE),2.5),"")</f>
        <v/>
      </c>
      <c r="Q634" s="303">
        <f t="shared" si="19"/>
        <v>-83</v>
      </c>
      <c r="R634" s="242"/>
      <c r="S634" s="11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</row>
    <row r="635" ht="3.75" customHeight="1">
      <c r="A635" s="124"/>
      <c r="B635" s="6"/>
      <c r="C635" s="124"/>
      <c r="D635" s="138"/>
      <c r="E635" s="139"/>
      <c r="F635" s="140"/>
      <c r="G635" s="140"/>
      <c r="H635" s="140"/>
      <c r="I635" s="140"/>
      <c r="J635" s="141"/>
      <c r="K635" s="243"/>
      <c r="L635" s="210"/>
      <c r="M635" s="144"/>
      <c r="N635" s="145"/>
      <c r="O635" s="145"/>
      <c r="P635" s="122"/>
      <c r="Q635" s="304" t="str">
        <f t="shared" si="19"/>
        <v/>
      </c>
      <c r="R635" s="242"/>
      <c r="S635" s="11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</row>
    <row r="636" ht="15.0" customHeight="1">
      <c r="A636" s="124"/>
      <c r="B636" s="6"/>
      <c r="C636" s="124"/>
      <c r="D636" s="125" t="s">
        <v>97</v>
      </c>
      <c r="E636" s="126"/>
      <c r="F636" s="127">
        <v>2.0</v>
      </c>
      <c r="G636" s="240">
        <v>4.0</v>
      </c>
      <c r="H636" s="129"/>
      <c r="I636" s="164">
        <f>MROUND(I634*(1+J636),5)</f>
        <v>385</v>
      </c>
      <c r="J636" s="165">
        <v>-0.1</v>
      </c>
      <c r="K636" s="241"/>
      <c r="L636" s="164"/>
      <c r="M636" s="134">
        <f>I501</f>
        <v>450</v>
      </c>
      <c r="N636" s="135" t="str">
        <f>iferror(mround($P501*((VLOOKUP($J636,Sheet1!$D:$N,$G636+1,FALSE)-0.03)),2.5)," ")</f>
        <v> </v>
      </c>
      <c r="O636" s="135" t="str">
        <f>iferror(mround($P501*((VLOOKUP($J636,Sheet1!$D:$N,$G636+1,FALSE)+0.02)),2.5)," ")</f>
        <v> </v>
      </c>
      <c r="P636" s="112" t="str">
        <f>iferror(mround(I636/VLOOKUP(L636,Sheet1!$D$7:$N$16,G636+1,FALSE),2.5),"")</f>
        <v/>
      </c>
      <c r="Q636" s="303">
        <f t="shared" si="19"/>
        <v>-65</v>
      </c>
      <c r="R636" s="242"/>
      <c r="S636" s="11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</row>
    <row r="637" ht="3.75" customHeight="1">
      <c r="A637" s="124"/>
      <c r="B637" s="6"/>
      <c r="C637" s="124"/>
      <c r="D637" s="138"/>
      <c r="E637" s="215"/>
      <c r="F637" s="102"/>
      <c r="G637" s="102"/>
      <c r="H637" s="102"/>
      <c r="I637" s="102"/>
      <c r="J637" s="156"/>
      <c r="K637" s="243"/>
      <c r="L637" s="210"/>
      <c r="M637" s="144"/>
      <c r="N637" s="145"/>
      <c r="O637" s="145"/>
      <c r="P637" s="122"/>
      <c r="Q637" s="304" t="str">
        <f t="shared" si="19"/>
        <v/>
      </c>
      <c r="R637" s="242"/>
      <c r="S637" s="11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</row>
    <row r="638" ht="15.75" customHeight="1">
      <c r="A638" s="124"/>
      <c r="B638" s="6"/>
      <c r="C638" s="124"/>
      <c r="D638" s="159" t="s">
        <v>33</v>
      </c>
      <c r="E638" s="126"/>
      <c r="F638" s="127">
        <v>1.0</v>
      </c>
      <c r="G638" s="161">
        <v>1.0</v>
      </c>
      <c r="H638" s="129"/>
      <c r="I638" s="164"/>
      <c r="J638" s="189">
        <v>6.0</v>
      </c>
      <c r="K638" s="244" t="s">
        <v>98</v>
      </c>
      <c r="L638" s="164"/>
      <c r="M638" s="134">
        <f>I503</f>
        <v>314</v>
      </c>
      <c r="N638" s="135">
        <f>iferror(mround($P503*((VLOOKUP($J638,Sheet1!$D:$N,$G638+1,FALSE)-0.03)),2.5)," ")</f>
        <v>285</v>
      </c>
      <c r="O638" s="135">
        <f>iferror(mround($P503*((VLOOKUP($J638,Sheet1!$D:$N,$G638+1,FALSE)+0.02)),2.5)," ")</f>
        <v>300</v>
      </c>
      <c r="P638" s="112" t="str">
        <f>iferror(mround(I638/VLOOKUP(L638,Sheet1!$D$7:$N$16,G638+1,FALSE),2.5),"")</f>
        <v/>
      </c>
      <c r="Q638" s="303" t="str">
        <f t="shared" si="19"/>
        <v/>
      </c>
      <c r="R638" s="242"/>
      <c r="S638" s="11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</row>
    <row r="639" ht="3.75" customHeight="1">
      <c r="A639" s="124"/>
      <c r="B639" s="6"/>
      <c r="C639" s="124"/>
      <c r="D639" s="138"/>
      <c r="E639" s="154"/>
      <c r="F639" s="155"/>
      <c r="G639" s="102"/>
      <c r="H639" s="102"/>
      <c r="I639" s="102"/>
      <c r="J639" s="156"/>
      <c r="K639" s="243"/>
      <c r="L639" s="210"/>
      <c r="M639" s="144"/>
      <c r="N639" s="145"/>
      <c r="O639" s="145"/>
      <c r="P639" s="122"/>
      <c r="Q639" s="304" t="str">
        <f t="shared" si="19"/>
        <v/>
      </c>
      <c r="R639" s="242"/>
      <c r="S639" s="11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</row>
    <row r="640" ht="15.75" customHeight="1">
      <c r="A640" s="124"/>
      <c r="B640" s="6"/>
      <c r="C640" s="124"/>
      <c r="D640" s="159" t="s">
        <v>33</v>
      </c>
      <c r="E640" s="126"/>
      <c r="F640" s="127">
        <v>3.0</v>
      </c>
      <c r="G640" s="161">
        <v>4.0</v>
      </c>
      <c r="H640" s="129"/>
      <c r="I640" s="164"/>
      <c r="J640" s="151">
        <v>6.0</v>
      </c>
      <c r="K640" s="241" t="s">
        <v>91</v>
      </c>
      <c r="L640" s="164"/>
      <c r="M640" s="134">
        <f>I505</f>
        <v>270</v>
      </c>
      <c r="N640" s="135">
        <f>iferror(mround($P505*((VLOOKUP($J640,Sheet1!$D:$N,$G640+1,FALSE)-0.03)),2.5)," ")</f>
        <v>0</v>
      </c>
      <c r="O640" s="135">
        <f>iferror(mround($P505*((VLOOKUP($J640,Sheet1!$D:$N,$G640+1,FALSE)+0.02)),2.5)," ")</f>
        <v>0</v>
      </c>
      <c r="P640" s="112" t="str">
        <f>iferror(mround(I640/VLOOKUP(L640,Sheet1!$D$7:$N$16,G640+1,FALSE),2.5),"")</f>
        <v/>
      </c>
      <c r="Q640" s="303" t="str">
        <f t="shared" si="19"/>
        <v/>
      </c>
      <c r="R640" s="242"/>
      <c r="S640" s="11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</row>
    <row r="641" ht="3.75" customHeight="1">
      <c r="A641" s="90"/>
      <c r="B641" s="6"/>
      <c r="C641" s="90"/>
      <c r="D641" s="138"/>
      <c r="E641" s="245"/>
      <c r="F641" s="102"/>
      <c r="G641" s="102"/>
      <c r="H641" s="102"/>
      <c r="I641" s="102"/>
      <c r="J641" s="156"/>
      <c r="K641" s="243"/>
      <c r="L641" s="210"/>
      <c r="M641" s="144"/>
      <c r="N641" s="145"/>
      <c r="O641" s="145"/>
      <c r="P641" s="122"/>
      <c r="Q641" s="304" t="str">
        <f t="shared" si="19"/>
        <v/>
      </c>
      <c r="R641" s="242"/>
      <c r="S641" s="11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</row>
    <row r="642" ht="15.75" customHeight="1">
      <c r="A642" s="90"/>
      <c r="B642" s="6"/>
      <c r="C642" s="90"/>
      <c r="D642" s="159" t="s">
        <v>54</v>
      </c>
      <c r="E642" s="227"/>
      <c r="F642" s="127">
        <v>2.0</v>
      </c>
      <c r="G642" s="221">
        <v>45577.0</v>
      </c>
      <c r="H642" s="195"/>
      <c r="I642" s="164"/>
      <c r="J642" s="228">
        <v>8.0</v>
      </c>
      <c r="K642" s="241"/>
      <c r="L642" s="164"/>
      <c r="M642" s="134" t="str">
        <f>I507</f>
        <v/>
      </c>
      <c r="N642" s="135" t="str">
        <f>iferror(mround($P507*((VLOOKUP($J642,Sheet1!$D:$N,$G642+1,FALSE)-0.03)),2.5)," ")</f>
        <v> </v>
      </c>
      <c r="O642" s="135" t="str">
        <f>iferror(mround($P507*((VLOOKUP($J642,Sheet1!$D:$N,$G642+1,FALSE)+0.02)),2.5)," ")</f>
        <v> </v>
      </c>
      <c r="P642" s="112" t="str">
        <f>iferror(mround(I642/VLOOKUP(L642,Sheet1!$D$7:$N$16,G642+1,FALSE),2.5),"")</f>
        <v/>
      </c>
      <c r="Q642" s="303" t="str">
        <f t="shared" si="19"/>
        <v/>
      </c>
      <c r="R642" s="242"/>
      <c r="S642" s="11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</row>
    <row r="643" ht="3.75" customHeight="1">
      <c r="A643" s="191"/>
      <c r="B643" s="6"/>
      <c r="C643" s="192"/>
      <c r="D643" s="138"/>
      <c r="E643" s="245"/>
      <c r="F643" s="102"/>
      <c r="G643" s="102"/>
      <c r="H643" s="102"/>
      <c r="I643" s="102"/>
      <c r="J643" s="156"/>
      <c r="K643" s="243"/>
      <c r="L643" s="210"/>
      <c r="M643" s="144"/>
      <c r="N643" s="145"/>
      <c r="O643" s="145"/>
      <c r="P643" s="122"/>
      <c r="Q643" s="304" t="str">
        <f t="shared" si="19"/>
        <v/>
      </c>
      <c r="R643" s="242"/>
      <c r="S643" s="157"/>
      <c r="T643" s="5"/>
      <c r="U643" s="5"/>
      <c r="V643" s="158"/>
      <c r="W643" s="158"/>
      <c r="X643" s="158"/>
      <c r="Y643" s="158"/>
      <c r="Z643" s="158"/>
      <c r="AA643" s="158"/>
      <c r="AB643" s="158"/>
      <c r="AC643" s="158"/>
      <c r="AD643" s="158"/>
      <c r="AE643" s="158"/>
      <c r="AF643" s="158"/>
      <c r="AG643" s="158"/>
    </row>
    <row r="644" ht="15.75" customHeight="1">
      <c r="A644" s="90"/>
      <c r="B644" s="6"/>
      <c r="C644" s="90"/>
      <c r="D644" s="159" t="s">
        <v>99</v>
      </c>
      <c r="E644" s="246" t="s">
        <v>100</v>
      </c>
      <c r="F644" s="127">
        <v>3.0</v>
      </c>
      <c r="G644" s="221">
        <v>45577.0</v>
      </c>
      <c r="H644" s="195"/>
      <c r="I644" s="164"/>
      <c r="J644" s="228">
        <v>9.0</v>
      </c>
      <c r="K644" s="241"/>
      <c r="L644" s="164"/>
      <c r="M644" s="134" t="str">
        <f>I509</f>
        <v/>
      </c>
      <c r="N644" s="135" t="str">
        <f>iferror(mround($P509*((VLOOKUP($J644,Sheet1!$D:$N,$G644+1,FALSE)-0.03)),2.5)," ")</f>
        <v> </v>
      </c>
      <c r="O644" s="135" t="str">
        <f>iferror(mround($P509*((VLOOKUP($J644,Sheet1!$D:$N,$G644+1,FALSE)+0.02)),2.5)," ")</f>
        <v> </v>
      </c>
      <c r="P644" s="112" t="str">
        <f>iferror(mround(I644/VLOOKUP(L644,Sheet1!$D$7:$N$16,G644+1,FALSE),2.5),"")</f>
        <v/>
      </c>
      <c r="Q644" s="303" t="str">
        <f t="shared" si="19"/>
        <v/>
      </c>
      <c r="R644" s="242"/>
      <c r="S644" s="11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</row>
    <row r="645" ht="3.75" customHeight="1">
      <c r="A645" s="90"/>
      <c r="B645" s="6"/>
      <c r="C645" s="90"/>
      <c r="D645" s="138"/>
      <c r="E645" s="245"/>
      <c r="F645" s="102"/>
      <c r="G645" s="102"/>
      <c r="H645" s="102"/>
      <c r="I645" s="102"/>
      <c r="J645" s="156"/>
      <c r="K645" s="243"/>
      <c r="L645" s="210"/>
      <c r="M645" s="144"/>
      <c r="N645" s="145"/>
      <c r="O645" s="145"/>
      <c r="P645" s="122"/>
      <c r="Q645" s="304" t="str">
        <f t="shared" si="19"/>
        <v/>
      </c>
      <c r="R645" s="242"/>
      <c r="S645" s="11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</row>
    <row r="646" ht="15.75" hidden="1" customHeight="1">
      <c r="A646" s="90"/>
      <c r="B646" s="6"/>
      <c r="C646" s="90"/>
      <c r="D646" s="185"/>
      <c r="E646" s="227"/>
      <c r="F646" s="187"/>
      <c r="G646" s="229"/>
      <c r="H646" s="195"/>
      <c r="I646" s="247"/>
      <c r="J646" s="248"/>
      <c r="K646" s="241"/>
      <c r="L646" s="164"/>
      <c r="M646" s="134" t="str">
        <f>I511</f>
        <v/>
      </c>
      <c r="N646" s="135" t="str">
        <f>iferror(mround($P511*((VLOOKUP($J646,Sheet1!$D:$N,$G646+1,FALSE)-0.03)),2.5)," ")</f>
        <v> </v>
      </c>
      <c r="O646" s="135" t="str">
        <f>iferror(mround($P511*((VLOOKUP($J646,Sheet1!$D:$N,$G646+1,FALSE)+0.02)),2.5)," ")</f>
        <v> </v>
      </c>
      <c r="P646" s="112" t="str">
        <f>iferror(mround(I646/VLOOKUP(L646,Sheet1!$D$7:$N$16,G646+1,FALSE),2.5),"")</f>
        <v/>
      </c>
      <c r="Q646" s="303" t="str">
        <f t="shared" si="19"/>
        <v/>
      </c>
      <c r="R646" s="242"/>
      <c r="S646" s="11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</row>
    <row r="647" ht="3.75" hidden="1" customHeight="1">
      <c r="A647" s="90"/>
      <c r="B647" s="6"/>
      <c r="C647" s="90"/>
      <c r="D647" s="138"/>
      <c r="E647" s="215"/>
      <c r="F647" s="102"/>
      <c r="G647" s="102"/>
      <c r="H647" s="102"/>
      <c r="I647" s="102"/>
      <c r="J647" s="156"/>
      <c r="K647" s="243"/>
      <c r="L647" s="210"/>
      <c r="M647" s="144"/>
      <c r="N647" s="145"/>
      <c r="O647" s="145"/>
      <c r="P647" s="122"/>
      <c r="Q647" s="304" t="str">
        <f t="shared" si="19"/>
        <v/>
      </c>
      <c r="R647" s="242"/>
      <c r="S647" s="11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</row>
    <row r="648" ht="15.75" hidden="1" customHeight="1">
      <c r="A648" s="90"/>
      <c r="B648" s="6"/>
      <c r="C648" s="90"/>
      <c r="D648" s="185"/>
      <c r="E648" s="220"/>
      <c r="F648" s="187"/>
      <c r="G648" s="229"/>
      <c r="H648" s="195"/>
      <c r="I648" s="247"/>
      <c r="J648" s="248"/>
      <c r="K648" s="241"/>
      <c r="L648" s="164"/>
      <c r="M648" s="134" t="str">
        <f>I513</f>
        <v/>
      </c>
      <c r="N648" s="135" t="str">
        <f>iferror(mround($P513*((VLOOKUP($J648,Sheet1!$D:$N,$G648+1,FALSE)-0.03)),2.5)," ")</f>
        <v> </v>
      </c>
      <c r="O648" s="135" t="str">
        <f>iferror(mround($P513*((VLOOKUP($J648,Sheet1!$D:$N,$G648+1,FALSE)+0.02)),2.5)," ")</f>
        <v> </v>
      </c>
      <c r="P648" s="112" t="str">
        <f>iferror(mround(I648/VLOOKUP(L648,Sheet1!$D$7:$N$16,G648+1,FALSE),2.5),"")</f>
        <v/>
      </c>
      <c r="Q648" s="303" t="str">
        <f t="shared" si="19"/>
        <v/>
      </c>
      <c r="R648" s="242"/>
      <c r="S648" s="11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</row>
    <row r="649" ht="3.75" hidden="1" customHeight="1">
      <c r="A649" s="90"/>
      <c r="B649" s="6"/>
      <c r="C649" s="90"/>
      <c r="D649" s="196"/>
      <c r="E649" s="184"/>
      <c r="F649" s="102"/>
      <c r="G649" s="102"/>
      <c r="H649" s="102"/>
      <c r="I649" s="102"/>
      <c r="J649" s="156"/>
      <c r="K649" s="249"/>
      <c r="L649" s="210"/>
      <c r="M649" s="144"/>
      <c r="N649" s="145"/>
      <c r="O649" s="145"/>
      <c r="P649" s="122"/>
      <c r="Q649" s="304" t="str">
        <f t="shared" si="19"/>
        <v/>
      </c>
      <c r="R649" s="242"/>
      <c r="S649" s="11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</row>
    <row r="650" ht="15.75" hidden="1" customHeight="1">
      <c r="A650" s="90"/>
      <c r="B650" s="6"/>
      <c r="C650" s="90"/>
      <c r="D650" s="197"/>
      <c r="E650" s="250"/>
      <c r="F650" s="129"/>
      <c r="G650" s="199"/>
      <c r="H650" s="195"/>
      <c r="I650" s="247"/>
      <c r="J650" s="248"/>
      <c r="K650" s="251"/>
      <c r="L650" s="164"/>
      <c r="M650" s="134" t="str">
        <f>I515</f>
        <v/>
      </c>
      <c r="N650" s="135" t="str">
        <f>iferror(mround($P515*((VLOOKUP($J650,Sheet1!$D:$N,$G650+1,FALSE)-0.03)),2.5)," ")</f>
        <v> </v>
      </c>
      <c r="O650" s="135" t="str">
        <f>iferror(mround($P515*((VLOOKUP($J650,Sheet1!$D:$N,$G650+1,FALSE)+0.02)),2.5)," ")</f>
        <v> </v>
      </c>
      <c r="P650" s="112" t="str">
        <f>iferror(mround(I650/VLOOKUP(L650,Sheet1!$D$7:$N$16,G650+1,FALSE),2.5),"")</f>
        <v/>
      </c>
      <c r="Q650" s="303" t="str">
        <f t="shared" si="19"/>
        <v/>
      </c>
      <c r="R650" s="242"/>
      <c r="S650" s="11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</row>
    <row r="651" ht="3.75" hidden="1" customHeight="1">
      <c r="A651" s="90"/>
      <c r="B651" s="6"/>
      <c r="C651" s="90"/>
      <c r="D651" s="234"/>
      <c r="E651" s="184"/>
      <c r="F651" s="102"/>
      <c r="G651" s="102"/>
      <c r="H651" s="102"/>
      <c r="I651" s="102"/>
      <c r="J651" s="156"/>
      <c r="K651" s="249"/>
      <c r="L651" s="210"/>
      <c r="M651" s="144"/>
      <c r="N651" s="145"/>
      <c r="O651" s="145"/>
      <c r="P651" s="122"/>
      <c r="Q651" s="304" t="str">
        <f t="shared" si="19"/>
        <v/>
      </c>
      <c r="R651" s="242"/>
      <c r="S651" s="11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</row>
    <row r="652" ht="15.75" hidden="1" customHeight="1">
      <c r="A652" s="90"/>
      <c r="B652" s="6"/>
      <c r="C652" s="90"/>
      <c r="D652" s="197"/>
      <c r="E652" s="198"/>
      <c r="F652" s="129"/>
      <c r="G652" s="199"/>
      <c r="H652" s="195"/>
      <c r="I652" s="164"/>
      <c r="J652" s="248"/>
      <c r="K652" s="251"/>
      <c r="L652" s="164"/>
      <c r="M652" s="134" t="str">
        <f>I517</f>
        <v/>
      </c>
      <c r="N652" s="135" t="str">
        <f>iferror(mround($P517*((VLOOKUP($J652,Sheet1!$D:$N,$G652+1,FALSE)-0.03)),2.5)," ")</f>
        <v> </v>
      </c>
      <c r="O652" s="135" t="str">
        <f>iferror(mround($P517*((VLOOKUP($J652,Sheet1!$D:$N,$G652+1,FALSE)+0.02)),2.5)," ")</f>
        <v> </v>
      </c>
      <c r="P652" s="112" t="str">
        <f>iferror(mround(I652/VLOOKUP(L652,Sheet1!$D$7:$N$16,G652+1,FALSE),2.5),"")</f>
        <v/>
      </c>
      <c r="Q652" s="303" t="str">
        <f t="shared" si="19"/>
        <v/>
      </c>
      <c r="R652" s="242"/>
      <c r="S652" s="11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</row>
    <row r="653" ht="3.75" hidden="1" customHeight="1">
      <c r="A653" s="124"/>
      <c r="B653" s="6"/>
      <c r="C653" s="124"/>
      <c r="D653" s="252"/>
      <c r="E653" s="252"/>
      <c r="F653" s="102"/>
      <c r="G653" s="102"/>
      <c r="H653" s="102"/>
      <c r="I653" s="102"/>
      <c r="J653" s="156"/>
      <c r="K653" s="253"/>
      <c r="L653" s="201"/>
      <c r="M653" s="211"/>
      <c r="N653" s="47"/>
      <c r="O653" s="47"/>
      <c r="P653" s="122"/>
      <c r="Q653" s="304" t="str">
        <f t="shared" si="19"/>
        <v/>
      </c>
      <c r="R653" s="242"/>
      <c r="S653" s="11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</row>
    <row r="654" ht="30.75" hidden="1" customHeight="1">
      <c r="A654" s="90"/>
      <c r="B654" s="6"/>
      <c r="C654" s="90"/>
      <c r="D654" s="254" t="s">
        <v>57</v>
      </c>
      <c r="E654" s="255" t="s">
        <v>15</v>
      </c>
      <c r="F654" s="106" t="s">
        <v>16</v>
      </c>
      <c r="G654" s="106" t="s">
        <v>17</v>
      </c>
      <c r="H654" s="107"/>
      <c r="I654" s="106" t="s">
        <v>18</v>
      </c>
      <c r="J654" s="108" t="s">
        <v>19</v>
      </c>
      <c r="L654" s="109" t="s">
        <v>20</v>
      </c>
      <c r="M654" s="110" t="s">
        <v>21</v>
      </c>
      <c r="N654" s="111" t="s">
        <v>22</v>
      </c>
      <c r="P654" s="112"/>
      <c r="Q654" s="113" t="s">
        <v>23</v>
      </c>
      <c r="R654" s="256" t="s">
        <v>58</v>
      </c>
      <c r="S654" s="11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</row>
    <row r="655" ht="14.25" hidden="1" customHeight="1">
      <c r="A655" s="90"/>
      <c r="B655" s="6"/>
      <c r="C655" s="90"/>
      <c r="D655" s="257" t="s">
        <v>25</v>
      </c>
      <c r="E655" s="258" t="s">
        <v>26</v>
      </c>
      <c r="H655" s="107"/>
      <c r="N655" s="111" t="s">
        <v>27</v>
      </c>
      <c r="O655" s="111" t="s">
        <v>28</v>
      </c>
      <c r="P655" s="112" t="s">
        <v>29</v>
      </c>
      <c r="R655" s="118" t="s">
        <v>30</v>
      </c>
      <c r="S655" s="11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</row>
    <row r="656" ht="3.75" hidden="1" customHeight="1">
      <c r="A656" s="124"/>
      <c r="B656" s="6"/>
      <c r="C656" s="124"/>
      <c r="D656" s="252"/>
      <c r="E656" s="252"/>
      <c r="F656" s="102"/>
      <c r="G656" s="102"/>
      <c r="H656" s="102"/>
      <c r="I656" s="102"/>
      <c r="J656" s="156"/>
      <c r="K656" s="253"/>
      <c r="L656" s="201"/>
      <c r="M656" s="211"/>
      <c r="N656" s="47"/>
      <c r="O656" s="47"/>
      <c r="P656" s="122"/>
      <c r="Q656" s="304" t="str">
        <f t="shared" ref="Q656:Q679" si="20">IF(OR(ISBLANK(I656), ISBLANK(I521)), "", IF(I656 - I521 = 0, "", I656 - I521))</f>
        <v/>
      </c>
      <c r="R656" s="259"/>
      <c r="S656" s="11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</row>
    <row r="657" ht="14.25" hidden="1" customHeight="1">
      <c r="A657" s="124"/>
      <c r="B657" s="6"/>
      <c r="C657" s="124"/>
      <c r="D657" s="260"/>
      <c r="E657" s="126"/>
      <c r="F657" s="187"/>
      <c r="G657" s="229"/>
      <c r="H657" s="129"/>
      <c r="I657" s="164"/>
      <c r="J657" s="189"/>
      <c r="K657" s="251"/>
      <c r="L657" s="164"/>
      <c r="M657" s="134" t="str">
        <f>I524</f>
        <v/>
      </c>
      <c r="N657" s="135" t="str">
        <f>iferror(mround($P524*((VLOOKUP($J657,Sheet1!$D:$N,$G657+1,FALSE)-0.03)),2.5)," ")</f>
        <v> </v>
      </c>
      <c r="O657" s="135" t="str">
        <f>iferror(mround($P524*((VLOOKUP($J657,Sheet1!$D:$N,$G657+1,FALSE)+0.02)),2.5)," ")</f>
        <v> </v>
      </c>
      <c r="P657" s="56" t="str">
        <f>iferror(mround(I657/VLOOKUP(L657,Sheet1!$D$7:$N$16,G657+1,FALSE),2.5),"")</f>
        <v/>
      </c>
      <c r="Q657" s="303" t="str">
        <f t="shared" si="20"/>
        <v/>
      </c>
      <c r="S657" s="11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</row>
    <row r="658" ht="3.75" hidden="1" customHeight="1">
      <c r="A658" s="124"/>
      <c r="B658" s="6"/>
      <c r="C658" s="124"/>
      <c r="D658" s="138"/>
      <c r="E658" s="215"/>
      <c r="F658" s="102"/>
      <c r="G658" s="102"/>
      <c r="H658" s="102"/>
      <c r="I658" s="102"/>
      <c r="J658" s="156"/>
      <c r="K658" s="249"/>
      <c r="L658" s="210"/>
      <c r="M658" s="144"/>
      <c r="N658" s="145"/>
      <c r="O658" s="145"/>
      <c r="P658" s="122"/>
      <c r="Q658" s="304" t="str">
        <f t="shared" si="20"/>
        <v/>
      </c>
      <c r="S658" s="11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</row>
    <row r="659" ht="14.25" hidden="1" customHeight="1">
      <c r="A659" s="124"/>
      <c r="B659" s="6"/>
      <c r="C659" s="124"/>
      <c r="D659" s="185"/>
      <c r="E659" s="227"/>
      <c r="F659" s="187"/>
      <c r="G659" s="229"/>
      <c r="H659" s="195"/>
      <c r="I659" s="164"/>
      <c r="J659" s="248"/>
      <c r="K659" s="251"/>
      <c r="L659" s="164"/>
      <c r="M659" s="134" t="str">
        <f>I524</f>
        <v/>
      </c>
      <c r="N659" s="135" t="str">
        <f>iferror(mround($P524*((VLOOKUP($J659,Sheet1!$D:$N,$G659+1,FALSE)-0.03)),2.5)," ")</f>
        <v> </v>
      </c>
      <c r="O659" s="135" t="str">
        <f>iferror(mround($P524*((VLOOKUP($J659,Sheet1!$D:$N,$G659+1,FALSE)+0.02)),2.5)," ")</f>
        <v> </v>
      </c>
      <c r="P659" s="112" t="str">
        <f>iferror(mround(I659/VLOOKUP(L659,Sheet1!$D$7:$N$16,G659+1,FALSE),2.5),"")</f>
        <v/>
      </c>
      <c r="Q659" s="303" t="str">
        <f t="shared" si="20"/>
        <v/>
      </c>
      <c r="S659" s="11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</row>
    <row r="660" ht="3.75" hidden="1" customHeight="1">
      <c r="A660" s="124"/>
      <c r="B660" s="6"/>
      <c r="C660" s="124"/>
      <c r="D660" s="138"/>
      <c r="E660" s="245"/>
      <c r="F660" s="102"/>
      <c r="G660" s="102"/>
      <c r="H660" s="102"/>
      <c r="I660" s="102"/>
      <c r="J660" s="156"/>
      <c r="K660" s="249"/>
      <c r="L660" s="210"/>
      <c r="M660" s="144"/>
      <c r="N660" s="145"/>
      <c r="O660" s="145"/>
      <c r="P660" s="122"/>
      <c r="Q660" s="304" t="str">
        <f t="shared" si="20"/>
        <v/>
      </c>
      <c r="S660" s="11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</row>
    <row r="661" ht="14.25" hidden="1" customHeight="1">
      <c r="A661" s="124"/>
      <c r="B661" s="6"/>
      <c r="C661" s="124"/>
      <c r="D661" s="185"/>
      <c r="E661" s="227"/>
      <c r="F661" s="187"/>
      <c r="G661" s="229"/>
      <c r="H661" s="195"/>
      <c r="I661" s="164"/>
      <c r="J661" s="248"/>
      <c r="K661" s="251"/>
      <c r="L661" s="164"/>
      <c r="M661" s="134" t="str">
        <f>I526</f>
        <v/>
      </c>
      <c r="N661" s="135" t="str">
        <f>iferror(mround($P526*((VLOOKUP($J661,Sheet1!$D:$N,$G661+1,FALSE)-0.03)),2.5)," ")</f>
        <v> </v>
      </c>
      <c r="O661" s="135" t="str">
        <f>iferror(mround($P526*((VLOOKUP($J661,Sheet1!$D:$N,$G661+1,FALSE)+0.02)),2.5)," ")</f>
        <v> </v>
      </c>
      <c r="P661" s="112" t="str">
        <f>iferror(mround(I661/VLOOKUP(L661,Sheet1!$D$7:$N$16,G661+1,FALSE),2.5),"")</f>
        <v/>
      </c>
      <c r="Q661" s="303" t="str">
        <f t="shared" si="20"/>
        <v/>
      </c>
      <c r="S661" s="11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</row>
    <row r="662" ht="3.75" hidden="1" customHeight="1">
      <c r="A662" s="124"/>
      <c r="B662" s="6"/>
      <c r="C662" s="124"/>
      <c r="D662" s="138"/>
      <c r="E662" s="245"/>
      <c r="F662" s="102"/>
      <c r="G662" s="102"/>
      <c r="H662" s="102"/>
      <c r="I662" s="102"/>
      <c r="J662" s="156"/>
      <c r="K662" s="249"/>
      <c r="L662" s="210"/>
      <c r="M662" s="144"/>
      <c r="N662" s="145"/>
      <c r="O662" s="145"/>
      <c r="P662" s="122"/>
      <c r="Q662" s="304" t="str">
        <f t="shared" si="20"/>
        <v/>
      </c>
      <c r="S662" s="11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</row>
    <row r="663" ht="14.25" hidden="1" customHeight="1">
      <c r="A663" s="124"/>
      <c r="B663" s="6"/>
      <c r="C663" s="124"/>
      <c r="D663" s="185"/>
      <c r="E663" s="227"/>
      <c r="F663" s="187"/>
      <c r="G663" s="229"/>
      <c r="H663" s="195"/>
      <c r="I663" s="164"/>
      <c r="J663" s="248"/>
      <c r="K663" s="251"/>
      <c r="L663" s="164"/>
      <c r="M663" s="134"/>
      <c r="N663" s="135" t="str">
        <f>iferror(mround($P528*((VLOOKUP($J663,Sheet1!$D:$N,$G663+1,FALSE)-0.03)),2.5)," ")</f>
        <v> </v>
      </c>
      <c r="O663" s="135" t="str">
        <f>iferror(mround($P528*((VLOOKUP($J663,Sheet1!$D:$N,$G663+1,FALSE)+0.02)),2.5)," ")</f>
        <v> </v>
      </c>
      <c r="P663" s="112" t="str">
        <f>iferror(mround(I663/VLOOKUP(L663,Sheet1!$D$7:$N$16,G663+1,FALSE),2.5),"")</f>
        <v/>
      </c>
      <c r="Q663" s="303" t="str">
        <f t="shared" si="20"/>
        <v/>
      </c>
      <c r="S663" s="11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</row>
    <row r="664" ht="3.75" hidden="1" customHeight="1">
      <c r="A664" s="124"/>
      <c r="B664" s="6"/>
      <c r="C664" s="124"/>
      <c r="D664" s="138"/>
      <c r="E664" s="245"/>
      <c r="F664" s="102"/>
      <c r="G664" s="102"/>
      <c r="H664" s="102"/>
      <c r="I664" s="102"/>
      <c r="J664" s="156"/>
      <c r="K664" s="249"/>
      <c r="L664" s="210"/>
      <c r="M664" s="144"/>
      <c r="N664" s="145" t="str">
        <f>iferror(mround($P529*((VLOOKUP($J664,Sheet1!$D:$N,$G664+1,FALSE)-0.03)),2.5)," ")</f>
        <v> </v>
      </c>
      <c r="O664" s="145" t="str">
        <f>iferror(mround($P529*((VLOOKUP($J664,Sheet1!$D:$N,$G664+1,FALSE)+0.02)),2.5)," ")</f>
        <v> </v>
      </c>
      <c r="P664" s="122"/>
      <c r="Q664" s="304" t="str">
        <f t="shared" si="20"/>
        <v/>
      </c>
      <c r="S664" s="11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</row>
    <row r="665" ht="14.25" hidden="1" customHeight="1">
      <c r="A665" s="124"/>
      <c r="B665" s="6"/>
      <c r="C665" s="124"/>
      <c r="D665" s="185"/>
      <c r="E665" s="227"/>
      <c r="F665" s="187"/>
      <c r="G665" s="187"/>
      <c r="H665" s="195"/>
      <c r="I665" s="164"/>
      <c r="J665" s="248"/>
      <c r="K665" s="251"/>
      <c r="L665" s="164"/>
      <c r="M665" s="134" t="str">
        <f>I530</f>
        <v/>
      </c>
      <c r="N665" s="135" t="str">
        <f>iferror(mround($P530*((VLOOKUP($J665,Sheet1!$D:$N,$G665+1,FALSE)-0.03)),2.5)," ")</f>
        <v> </v>
      </c>
      <c r="O665" s="135" t="str">
        <f>iferror(mround($P530*((VLOOKUP($J665,Sheet1!$D:$N,$G665+1,FALSE)+0.02)),2.5)," ")</f>
        <v> </v>
      </c>
      <c r="P665" s="112" t="str">
        <f>iferror(mround(I665/VLOOKUP(L665,Sheet1!$D$7:$N$16,G665+1,FALSE),2.5),"")</f>
        <v/>
      </c>
      <c r="Q665" s="303" t="str">
        <f t="shared" si="20"/>
        <v/>
      </c>
      <c r="S665" s="11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</row>
    <row r="666" ht="3.75" hidden="1" customHeight="1">
      <c r="A666" s="261"/>
      <c r="B666" s="6"/>
      <c r="C666" s="262"/>
      <c r="D666" s="138"/>
      <c r="E666" s="245"/>
      <c r="F666" s="102"/>
      <c r="G666" s="102"/>
      <c r="H666" s="102"/>
      <c r="I666" s="102"/>
      <c r="J666" s="156"/>
      <c r="K666" s="249"/>
      <c r="L666" s="210"/>
      <c r="M666" s="144"/>
      <c r="N666" s="145"/>
      <c r="O666" s="145"/>
      <c r="P666" s="122"/>
      <c r="Q666" s="304" t="str">
        <f t="shared" si="20"/>
        <v/>
      </c>
      <c r="S666" s="157"/>
      <c r="T666" s="5"/>
      <c r="U666" s="5"/>
      <c r="V666" s="158"/>
      <c r="W666" s="158"/>
      <c r="X666" s="158"/>
      <c r="Y666" s="158"/>
      <c r="Z666" s="158"/>
      <c r="AA666" s="158"/>
      <c r="AB666" s="158"/>
      <c r="AC666" s="158"/>
      <c r="AD666" s="158"/>
      <c r="AE666" s="158"/>
      <c r="AF666" s="158"/>
      <c r="AG666" s="158"/>
    </row>
    <row r="667" ht="14.25" hidden="1" customHeight="1">
      <c r="A667" s="124"/>
      <c r="B667" s="6"/>
      <c r="C667" s="124"/>
      <c r="D667" s="185"/>
      <c r="E667" s="227"/>
      <c r="F667" s="187"/>
      <c r="G667" s="187"/>
      <c r="H667" s="195"/>
      <c r="I667" s="164"/>
      <c r="J667" s="248"/>
      <c r="K667" s="251"/>
      <c r="L667" s="164"/>
      <c r="M667" s="134" t="str">
        <f>I532</f>
        <v/>
      </c>
      <c r="N667" s="135" t="str">
        <f>iferror(mround($P532*((VLOOKUP($J667,Sheet1!$D:$N,$G667+1,FALSE)-0.03)),2.5)," ")</f>
        <v> </v>
      </c>
      <c r="O667" s="135" t="str">
        <f>iferror(mround($P532*((VLOOKUP($J667,Sheet1!$D:$N,$G667+1,FALSE)+0.02)),2.5)," ")</f>
        <v> </v>
      </c>
      <c r="P667" s="112" t="str">
        <f>iferror(mround(I667/VLOOKUP(L667,Sheet1!$D$7:$N$16,G667+1,FALSE),2.5),"")</f>
        <v/>
      </c>
      <c r="Q667" s="303" t="str">
        <f t="shared" si="20"/>
        <v/>
      </c>
      <c r="S667" s="11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</row>
    <row r="668" ht="3.75" hidden="1" customHeight="1">
      <c r="A668" s="261"/>
      <c r="B668" s="6"/>
      <c r="C668" s="262"/>
      <c r="D668" s="138"/>
      <c r="E668" s="252"/>
      <c r="F668" s="102"/>
      <c r="G668" s="102"/>
      <c r="H668" s="102"/>
      <c r="I668" s="102"/>
      <c r="J668" s="156"/>
      <c r="K668" s="249"/>
      <c r="L668" s="210"/>
      <c r="M668" s="144"/>
      <c r="N668" s="145"/>
      <c r="O668" s="145"/>
      <c r="P668" s="122"/>
      <c r="Q668" s="304" t="str">
        <f t="shared" si="20"/>
        <v/>
      </c>
      <c r="S668" s="157"/>
      <c r="T668" s="5"/>
      <c r="U668" s="5"/>
      <c r="V668" s="158"/>
      <c r="W668" s="158"/>
      <c r="X668" s="158"/>
      <c r="Y668" s="158"/>
      <c r="Z668" s="158"/>
      <c r="AA668" s="158"/>
      <c r="AB668" s="158"/>
      <c r="AC668" s="158"/>
      <c r="AD668" s="158"/>
      <c r="AE668" s="158"/>
      <c r="AF668" s="158"/>
      <c r="AG668" s="158"/>
    </row>
    <row r="669" ht="15.75" hidden="1" customHeight="1">
      <c r="A669" s="124"/>
      <c r="B669" s="6"/>
      <c r="C669" s="124"/>
      <c r="D669" s="185"/>
      <c r="E669" s="260"/>
      <c r="F669" s="187"/>
      <c r="G669" s="187"/>
      <c r="H669" s="195"/>
      <c r="I669" s="247"/>
      <c r="J669" s="248"/>
      <c r="K669" s="251"/>
      <c r="L669" s="164"/>
      <c r="M669" s="134"/>
      <c r="N669" s="135" t="str">
        <f>iferror(mround($P534*((VLOOKUP($J669,Sheet1!$D:$N,$G669+1,FALSE)-0.03)),2.5)," ")</f>
        <v> </v>
      </c>
      <c r="O669" s="135" t="str">
        <f>iferror(mround($P534*((VLOOKUP($J669,Sheet1!$D:$N,$G669+1,FALSE)+0.02)),2.5)," ")</f>
        <v> </v>
      </c>
      <c r="P669" s="112" t="str">
        <f>iferror(mround(I669/VLOOKUP(L669,Sheet1!$D$7:$N$16,G669+1,FALSE),2.5),"")</f>
        <v/>
      </c>
      <c r="Q669" s="303" t="str">
        <f t="shared" si="20"/>
        <v/>
      </c>
      <c r="S669" s="11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</row>
    <row r="670" ht="3.75" hidden="1" customHeight="1">
      <c r="A670" s="124"/>
      <c r="B670" s="6"/>
      <c r="C670" s="124"/>
      <c r="D670" s="263"/>
      <c r="E670" s="252"/>
      <c r="F670" s="102"/>
      <c r="G670" s="102"/>
      <c r="H670" s="102"/>
      <c r="I670" s="102"/>
      <c r="J670" s="156"/>
      <c r="K670" s="249"/>
      <c r="L670" s="210"/>
      <c r="M670" s="144"/>
      <c r="N670" s="145" t="str">
        <f>iferror(mround($P535*((VLOOKUP($J670,Sheet1!$D:$N,$G670+1,FALSE)-0.03)),2.5)," ")</f>
        <v> </v>
      </c>
      <c r="O670" s="145" t="str">
        <f>iferror(mround($P535*((VLOOKUP($J670,Sheet1!$D:$N,$G670+1,FALSE)+0.02)),2.5)," ")</f>
        <v> </v>
      </c>
      <c r="P670" s="122"/>
      <c r="Q670" s="304" t="str">
        <f t="shared" si="20"/>
        <v/>
      </c>
      <c r="S670" s="11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</row>
    <row r="671" ht="14.25" hidden="1" customHeight="1">
      <c r="A671" s="90"/>
      <c r="B671" s="6"/>
      <c r="C671" s="90"/>
      <c r="D671" s="185"/>
      <c r="E671" s="264"/>
      <c r="F671" s="187"/>
      <c r="G671" s="187"/>
      <c r="H671" s="195"/>
      <c r="I671" s="164"/>
      <c r="J671" s="248"/>
      <c r="K671" s="251"/>
      <c r="L671" s="164"/>
      <c r="M671" s="134" t="str">
        <f>I536</f>
        <v/>
      </c>
      <c r="N671" s="135" t="str">
        <f>iferror(mround($P536*((VLOOKUP($J671,Sheet1!$D:$N,$G671+1,FALSE)-0.03)),2.5)," ")</f>
        <v> </v>
      </c>
      <c r="O671" s="135" t="str">
        <f>iferror(mround($P536*((VLOOKUP($J671,Sheet1!$D:$N,$G671+1,FALSE)+0.02)),2.5)," ")</f>
        <v> </v>
      </c>
      <c r="P671" s="112" t="str">
        <f>iferror(mround(I671/VLOOKUP(L671,Sheet1!$D$7:$N$16,G671+1,FALSE),2.5),"")</f>
        <v/>
      </c>
      <c r="Q671" s="303" t="str">
        <f t="shared" si="20"/>
        <v/>
      </c>
      <c r="S671" s="11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</row>
    <row r="672" ht="3.75" hidden="1" customHeight="1">
      <c r="A672" s="261"/>
      <c r="B672" s="6"/>
      <c r="C672" s="262"/>
      <c r="D672" s="263"/>
      <c r="E672" s="263"/>
      <c r="F672" s="194"/>
      <c r="G672" s="194"/>
      <c r="H672" s="155"/>
      <c r="I672" s="210"/>
      <c r="J672" s="265"/>
      <c r="K672" s="249"/>
      <c r="L672" s="210"/>
      <c r="M672" s="144"/>
      <c r="N672" s="145"/>
      <c r="O672" s="145"/>
      <c r="P672" s="122"/>
      <c r="Q672" s="304" t="str">
        <f t="shared" si="20"/>
        <v/>
      </c>
      <c r="S672" s="157"/>
      <c r="T672" s="5"/>
      <c r="U672" s="5"/>
      <c r="V672" s="158"/>
      <c r="W672" s="158"/>
      <c r="X672" s="158"/>
      <c r="Y672" s="158"/>
      <c r="Z672" s="158"/>
      <c r="AA672" s="158"/>
      <c r="AB672" s="158"/>
      <c r="AC672" s="158"/>
      <c r="AD672" s="158"/>
      <c r="AE672" s="158"/>
      <c r="AF672" s="158"/>
      <c r="AG672" s="158"/>
    </row>
    <row r="673" ht="15.75" hidden="1" customHeight="1">
      <c r="A673" s="90"/>
      <c r="B673" s="6"/>
      <c r="C673" s="90"/>
      <c r="D673" s="185"/>
      <c r="E673" s="266"/>
      <c r="F673" s="187"/>
      <c r="G673" s="187"/>
      <c r="H673" s="195"/>
      <c r="I673" s="164"/>
      <c r="J673" s="248"/>
      <c r="K673" s="251"/>
      <c r="L673" s="164"/>
      <c r="M673" s="134"/>
      <c r="N673" s="135" t="str">
        <f>iferror(mround($P538*((VLOOKUP($J673,Sheet1!$D:$N,$G673+1,FALSE)-0.03)),2.5)," ")</f>
        <v> </v>
      </c>
      <c r="O673" s="135" t="str">
        <f>iferror(mround($P538*((VLOOKUP($J673,Sheet1!$D:$N,$G673+1,FALSE)+0.02)),2.5)," ")</f>
        <v> </v>
      </c>
      <c r="P673" s="112" t="str">
        <f>iferror(mround(I673/VLOOKUP(L673,Sheet1!$D$7:$N$16,G673+1,FALSE),2.5),"")</f>
        <v/>
      </c>
      <c r="Q673" s="303" t="str">
        <f t="shared" si="20"/>
        <v/>
      </c>
      <c r="S673" s="11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</row>
    <row r="674" ht="3.75" hidden="1" customHeight="1">
      <c r="A674" s="90"/>
      <c r="B674" s="6"/>
      <c r="C674" s="90"/>
      <c r="D674" s="138"/>
      <c r="E674" s="252"/>
      <c r="F674" s="102"/>
      <c r="G674" s="102"/>
      <c r="H674" s="102"/>
      <c r="I674" s="102"/>
      <c r="J674" s="156"/>
      <c r="K674" s="249"/>
      <c r="L674" s="210"/>
      <c r="M674" s="144"/>
      <c r="N674" s="145" t="str">
        <f>iferror(mround($P539*((VLOOKUP($J674,Sheet1!$D:$N,$G674+1,FALSE)-0.03)),2.5)," ")</f>
        <v> </v>
      </c>
      <c r="O674" s="145" t="str">
        <f>iferror(mround($P539*((VLOOKUP($J674,Sheet1!$D:$N,$G674+1,FALSE)+0.02)),2.5)," ")</f>
        <v> </v>
      </c>
      <c r="P674" s="122"/>
      <c r="Q674" s="304" t="str">
        <f t="shared" si="20"/>
        <v/>
      </c>
      <c r="S674" s="11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</row>
    <row r="675" ht="15.75" hidden="1" customHeight="1">
      <c r="A675" s="90"/>
      <c r="B675" s="6"/>
      <c r="C675" s="90"/>
      <c r="D675" s="185"/>
      <c r="E675" s="264"/>
      <c r="F675" s="187"/>
      <c r="G675" s="187"/>
      <c r="H675" s="195"/>
      <c r="I675" s="164"/>
      <c r="J675" s="248"/>
      <c r="K675" s="251"/>
      <c r="L675" s="164"/>
      <c r="M675" s="134" t="str">
        <f>I540</f>
        <v/>
      </c>
      <c r="N675" s="135" t="str">
        <f>iferror(mround($P540*((VLOOKUP($J675,Sheet1!$D:$N,$G675+1,FALSE)-0.03)),2.5)," ")</f>
        <v> </v>
      </c>
      <c r="O675" s="135" t="str">
        <f>iferror(mround($P540*((VLOOKUP($J675,Sheet1!$D:$N,$G675+1,FALSE)+0.02)),2.5)," ")</f>
        <v> </v>
      </c>
      <c r="P675" s="112" t="str">
        <f>iferror(mround(I675/VLOOKUP(L675,Sheet1!$D$7:$N$16,G675+1,FALSE),2.5),"")</f>
        <v/>
      </c>
      <c r="Q675" s="303" t="str">
        <f t="shared" si="20"/>
        <v/>
      </c>
      <c r="S675" s="11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</row>
    <row r="676" ht="3.75" hidden="1" customHeight="1">
      <c r="A676" s="191"/>
      <c r="B676" s="6"/>
      <c r="C676" s="192"/>
      <c r="D676" s="138"/>
      <c r="E676" s="252"/>
      <c r="F676" s="102"/>
      <c r="G676" s="102"/>
      <c r="H676" s="102"/>
      <c r="I676" s="102"/>
      <c r="J676" s="156"/>
      <c r="K676" s="249"/>
      <c r="L676" s="210"/>
      <c r="M676" s="144"/>
      <c r="N676" s="145"/>
      <c r="O676" s="145"/>
      <c r="P676" s="122"/>
      <c r="Q676" s="304" t="str">
        <f t="shared" si="20"/>
        <v/>
      </c>
      <c r="S676" s="157"/>
      <c r="T676" s="5"/>
      <c r="U676" s="5"/>
      <c r="V676" s="158"/>
      <c r="W676" s="158"/>
      <c r="X676" s="158"/>
      <c r="Y676" s="158"/>
      <c r="Z676" s="158"/>
      <c r="AA676" s="158"/>
      <c r="AB676" s="158"/>
      <c r="AC676" s="158"/>
      <c r="AD676" s="158"/>
      <c r="AE676" s="158"/>
      <c r="AF676" s="158"/>
      <c r="AG676" s="158"/>
    </row>
    <row r="677" ht="15.75" hidden="1" customHeight="1">
      <c r="A677" s="90"/>
      <c r="B677" s="6"/>
      <c r="C677" s="90"/>
      <c r="D677" s="185"/>
      <c r="E677" s="260"/>
      <c r="F677" s="187"/>
      <c r="G677" s="187"/>
      <c r="H677" s="195"/>
      <c r="I677" s="164"/>
      <c r="J677" s="248"/>
      <c r="K677" s="251"/>
      <c r="L677" s="164"/>
      <c r="M677" s="134" t="str">
        <f>I542</f>
        <v/>
      </c>
      <c r="N677" s="135" t="str">
        <f>iferror(mround($P542*((VLOOKUP($J677,Sheet1!$D:$N,$G677+1,FALSE)-0.03)),2.5)," ")</f>
        <v> </v>
      </c>
      <c r="O677" s="135" t="str">
        <f>iferror(mround($P542*((VLOOKUP($J677,Sheet1!$D:$N,$G677+1,FALSE)+0.02)),2.5)," ")</f>
        <v> </v>
      </c>
      <c r="P677" s="112" t="str">
        <f>iferror(mround(I677/VLOOKUP(L677,Sheet1!$D$7:$N$16,G677+1,FALSE),2.5),"")</f>
        <v/>
      </c>
      <c r="Q677" s="303" t="str">
        <f t="shared" si="20"/>
        <v/>
      </c>
      <c r="S677" s="11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</row>
    <row r="678" ht="3.75" hidden="1" customHeight="1">
      <c r="A678" s="90"/>
      <c r="B678" s="6"/>
      <c r="C678" s="90"/>
      <c r="D678" s="263"/>
      <c r="E678" s="252"/>
      <c r="F678" s="102"/>
      <c r="G678" s="102"/>
      <c r="H678" s="102"/>
      <c r="I678" s="102"/>
      <c r="J678" s="156"/>
      <c r="K678" s="249"/>
      <c r="L678" s="210"/>
      <c r="M678" s="144"/>
      <c r="N678" s="145"/>
      <c r="O678" s="145"/>
      <c r="P678" s="122"/>
      <c r="Q678" s="304" t="str">
        <f t="shared" si="20"/>
        <v/>
      </c>
      <c r="S678" s="11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</row>
    <row r="679" ht="15.75" hidden="1" customHeight="1">
      <c r="A679" s="90"/>
      <c r="B679" s="6"/>
      <c r="C679" s="90"/>
      <c r="D679" s="185"/>
      <c r="E679" s="266"/>
      <c r="F679" s="187"/>
      <c r="G679" s="187"/>
      <c r="H679" s="195"/>
      <c r="I679" s="164"/>
      <c r="J679" s="248"/>
      <c r="K679" s="251"/>
      <c r="L679" s="164"/>
      <c r="M679" s="134" t="str">
        <f>I544</f>
        <v/>
      </c>
      <c r="N679" s="135" t="str">
        <f>iferror(mround($P544*((VLOOKUP($J679,Sheet1!$D:$N,$G679+1,FALSE)-0.03)),2.5)," ")</f>
        <v> </v>
      </c>
      <c r="O679" s="135" t="str">
        <f>iferror(mround($P544*((VLOOKUP($J679,Sheet1!$D:$N,$G679+1,FALSE)+0.02)),2.5)," ")</f>
        <v> </v>
      </c>
      <c r="P679" s="112" t="str">
        <f>iferror(mround(I679/VLOOKUP(L679,Sheet1!$D$7:$N$16,G679+1,FALSE),2.5),"")</f>
        <v/>
      </c>
      <c r="Q679" s="303" t="str">
        <f t="shared" si="20"/>
        <v/>
      </c>
      <c r="S679" s="11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</row>
    <row r="680" ht="3.75" hidden="1" customHeight="1">
      <c r="A680" s="191"/>
      <c r="B680" s="6"/>
      <c r="C680" s="192"/>
      <c r="D680" s="192"/>
      <c r="E680" s="267"/>
      <c r="F680" s="194"/>
      <c r="G680" s="194"/>
      <c r="H680" s="155"/>
      <c r="I680" s="210"/>
      <c r="J680" s="268"/>
      <c r="K680" s="249"/>
      <c r="L680" s="269"/>
      <c r="M680" s="270"/>
      <c r="N680" s="269"/>
      <c r="O680" s="269"/>
      <c r="P680" s="271"/>
      <c r="Q680" s="272"/>
      <c r="R680" s="273"/>
      <c r="S680" s="157"/>
      <c r="T680" s="5"/>
      <c r="U680" s="5"/>
      <c r="V680" s="158"/>
      <c r="W680" s="158"/>
      <c r="X680" s="158"/>
      <c r="Y680" s="158"/>
      <c r="Z680" s="158"/>
      <c r="AA680" s="158"/>
      <c r="AB680" s="158"/>
      <c r="AC680" s="158"/>
      <c r="AD680" s="158"/>
      <c r="AE680" s="158"/>
      <c r="AF680" s="158"/>
      <c r="AG680" s="158"/>
    </row>
    <row r="681" ht="14.25" customHeight="1">
      <c r="A681" s="5"/>
      <c r="B681" s="6"/>
      <c r="C681" s="5"/>
      <c r="D681" s="274"/>
      <c r="E681" s="266"/>
      <c r="F681" s="187"/>
      <c r="G681" s="187"/>
      <c r="H681" s="195"/>
      <c r="I681" s="129"/>
      <c r="J681" s="275"/>
      <c r="K681" s="276"/>
      <c r="L681" s="187"/>
      <c r="M681" s="187"/>
      <c r="N681" s="187"/>
      <c r="O681" s="187"/>
      <c r="P681" s="277"/>
      <c r="Q681" s="278"/>
      <c r="R681" s="279"/>
      <c r="S681" s="11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</row>
    <row r="682" ht="14.25" customHeight="1">
      <c r="A682" s="5"/>
      <c r="B682" s="6"/>
      <c r="C682" s="5"/>
      <c r="D682" s="274" t="s">
        <v>59</v>
      </c>
      <c r="E682" s="266" t="s">
        <v>16</v>
      </c>
      <c r="F682" s="187" t="s">
        <v>17</v>
      </c>
      <c r="G682" s="187" t="s">
        <v>60</v>
      </c>
      <c r="H682" s="187"/>
      <c r="I682" s="280" t="s">
        <v>61</v>
      </c>
      <c r="J682" s="266" t="s">
        <v>62</v>
      </c>
      <c r="K682" s="274"/>
      <c r="L682" s="187"/>
      <c r="M682" s="285"/>
      <c r="N682" s="285"/>
      <c r="O682" s="285"/>
      <c r="P682" s="282"/>
      <c r="Q682" s="278"/>
      <c r="R682" s="157"/>
      <c r="S682" s="11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</row>
    <row r="683" ht="14.25" customHeight="1">
      <c r="A683" s="5"/>
      <c r="B683" s="6"/>
      <c r="C683" s="5"/>
      <c r="D683" s="274" t="s">
        <v>6</v>
      </c>
      <c r="E683" s="283">
        <f>IFERROR(__xludf.DUMMYFUNCTION("SUM(FILTER(F558:F682, ISNUMBER(SEARCH(""squat"", D558:D682))))"),6.0)</f>
        <v>6</v>
      </c>
      <c r="F683" s="284">
        <f>IFERROR(__xludf.DUMMYFUNCTION("SUMPRODUCT(FILTER(F558:F682 * G558:G682, ISNUMBER(SEARCH(""squat"", D558:D682))))"),33.0)</f>
        <v>33</v>
      </c>
      <c r="G683" s="135">
        <f>IFERROR(__xludf.DUMMYFUNCTION("ROUND(SUMPRODUCT(FILTER(F558:F682 * G558:G682 * I558:I682, ISNUMBER(SEARCH(""squat"", D558:D682)))), 0)"),11515.0)</f>
        <v>11515</v>
      </c>
      <c r="H683" s="285"/>
      <c r="I683" s="135">
        <f>IFERROR(__xludf.DUMMYFUNCTION("ROUND(AVERAGE(FILTER(I558:I682, ISNUMBER(SEARCH(""squat"", D558:D682)), I558:I682 &lt;&gt; """")) / J683 * 100, 0)"),69.0)</f>
        <v>69</v>
      </c>
      <c r="J683" s="283">
        <f>IFERROR(__xludf.DUMMYFUNCTION("IFERROR(MROUND(AVERAGE(FILTER(P558:P682, D558:D682 = ""comp squat"", P558:P682 &lt;&gt; """", P558:P682 &gt;= 0.9 * MAX(FILTER(P558:P682, D558:D682 = ""comp squat"", P558:P682 &lt;&gt; """")), P558:P682 &lt;= 1.1 * MAX(FILTER(P558:P682, D558:D682 = ""comp squat"", P558:P68"&amp;"2 &lt;&gt; """")))), 2.5), ""No valid data"")"),512.5)</f>
        <v>512.5</v>
      </c>
      <c r="K683" s="286"/>
      <c r="L683" s="287">
        <f>MROUND(J683/2.2046,2.5)-$O$10</f>
        <v>-10</v>
      </c>
      <c r="M683" s="305"/>
      <c r="N683" s="334">
        <f>ROUND(ABS((F683 - F548) / F548) * 100, 0)</f>
        <v>23</v>
      </c>
      <c r="O683" s="335" t="s">
        <v>114</v>
      </c>
      <c r="P683" s="282"/>
      <c r="Q683" s="278"/>
      <c r="R683" s="291"/>
      <c r="S683" s="11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</row>
    <row r="684" ht="3.0" customHeight="1">
      <c r="A684" s="5"/>
      <c r="B684" s="6"/>
      <c r="C684" s="5"/>
      <c r="D684" s="90"/>
      <c r="E684" s="156"/>
      <c r="F684" s="102"/>
      <c r="G684" s="145"/>
      <c r="H684" s="102"/>
      <c r="I684" s="145"/>
      <c r="J684" s="156"/>
      <c r="K684" s="286"/>
      <c r="L684" s="292"/>
      <c r="M684" s="284"/>
      <c r="N684" s="336"/>
      <c r="O684" s="336"/>
      <c r="P684" s="282"/>
      <c r="Q684" s="278"/>
      <c r="R684" s="115"/>
      <c r="S684" s="11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</row>
    <row r="685" ht="15.75" customHeight="1">
      <c r="A685" s="5"/>
      <c r="B685" s="6"/>
      <c r="C685" s="5"/>
      <c r="D685" s="274" t="s">
        <v>66</v>
      </c>
      <c r="E685" s="293">
        <f>IFERROR(__xludf.DUMMYFUNCTION("SUM(FILTER(F558:F682, ISNUMBER(SEARCH(""bench press"", D558:D682))))"),12.0)</f>
        <v>12</v>
      </c>
      <c r="F685" s="284">
        <f>IFERROR(__xludf.DUMMYFUNCTION("SUMPRODUCT(FILTER(F559:F683 * G559:G683, ISNUMBER(SEARCH(""bench press"", D559:D683))))"),48.0)</f>
        <v>48</v>
      </c>
      <c r="G685" s="135">
        <f>IFERROR(__xludf.DUMMYFUNCTION("ROUND(SUMPRODUCT(FILTER(F558:F682 * G558:G682 * I558:I682, ISNUMBER(SEARCH(""bench press"", D558:D682)))), 0)"),8045.0)</f>
        <v>8045</v>
      </c>
      <c r="H685" s="285"/>
      <c r="I685" s="135">
        <f>IFERROR(__xludf.DUMMYFUNCTION("ROUND(AVERAGE(FILTER(I558:I682, ISNUMBER(SEARCH(""bench press"", D558:D682)), I558:I682 &lt;&gt; """")) / J685 * 100, 0)"),73.0)</f>
        <v>73</v>
      </c>
      <c r="J685" s="293">
        <f>IFERROR(__xludf.DUMMYFUNCTION("IFERROR(MROUND(AVERAGE(FILTER(P558:P682, D558:D682 = ""comp bench press"", P558:P682 &lt;&gt; """", P558:P682 &gt;= 0.9 * MAX(FILTER(P558:P682, D558:D682 = ""comp bench press"", P558:P682 &lt;&gt; """")), P558:P682 &lt;= 1.1 * MAX(FILTER(P558:P682, D558:D682 = ""comp bench"&amp;" press"", P558:P682 &lt;&gt; """")))), 2.5), ""No valid data"")"),320.0)</f>
        <v>320</v>
      </c>
      <c r="K685" s="286"/>
      <c r="L685" s="294">
        <f>MROUND(J685/2.2046,2.5)-$O$11</f>
        <v>-7.5</v>
      </c>
      <c r="M685" s="285"/>
      <c r="N685" s="337">
        <f>ROUND(ABS((F685 - F550) / F550) * 100, 0)</f>
        <v>19</v>
      </c>
      <c r="O685" s="335" t="s">
        <v>114</v>
      </c>
      <c r="P685" s="282"/>
      <c r="Q685" s="278"/>
      <c r="R685" s="157"/>
      <c r="S685" s="11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</row>
    <row r="686" ht="3.0" customHeight="1">
      <c r="A686" s="5"/>
      <c r="B686" s="6"/>
      <c r="C686" s="5"/>
      <c r="D686" s="90"/>
      <c r="E686" s="156"/>
      <c r="F686" s="102"/>
      <c r="G686" s="145"/>
      <c r="H686" s="102"/>
      <c r="I686" s="145"/>
      <c r="J686" s="156"/>
      <c r="K686" s="286"/>
      <c r="L686" s="292"/>
      <c r="M686" s="285"/>
      <c r="N686" s="338"/>
      <c r="O686" s="336"/>
      <c r="P686" s="282"/>
      <c r="Q686" s="278"/>
      <c r="R686" s="157"/>
      <c r="S686" s="11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</row>
    <row r="687" ht="14.25" customHeight="1">
      <c r="A687" s="5"/>
      <c r="B687" s="6"/>
      <c r="C687" s="5"/>
      <c r="D687" s="274" t="s">
        <v>10</v>
      </c>
      <c r="E687" s="293">
        <f>IFERROR(__xludf.DUMMYFUNCTION("SUM(FILTER(F558:F682, ISNUMBER(SEARCH(""deadlift"", D558:D682))))"),5.0)</f>
        <v>5</v>
      </c>
      <c r="F687" s="284">
        <f>IFERROR(__xludf.DUMMYFUNCTION("SUMPRODUCT(FILTER(F558:F682 * G558:G682, ISNUMBER(SEARCH(""deadlift"", D558:D682))))"),18.0)</f>
        <v>18</v>
      </c>
      <c r="G687" s="135">
        <f>IFERROR(__xludf.DUMMYFUNCTION("ROUND(SUMPRODUCT(FILTER(F558:F682 * G558:G682 * I558:I682, ISNUMBER(SEARCH(""deadlift"", D558:D682)))), 0)"),7230.0)</f>
        <v>7230</v>
      </c>
      <c r="H687" s="285"/>
      <c r="I687" s="135" t="str">
        <f>IFERROR(__xludf.DUMMYFUNCTION("ROUND(AVERAGE(FILTER(I558:I682, ISNUMBER(SEARCH(""deadlift"", D558:D682)), I558:I682 &lt;&gt; """")) / J687 * 100, 0)"),"#VALUE!")</f>
        <v>#VALUE!</v>
      </c>
      <c r="J687" s="293" t="str">
        <f>IFERROR(__xludf.DUMMYFUNCTION("IFERROR(MROUND(AVERAGE(FILTER(P558:P682, D558:D682 = ""comp deadlift"", P558:P682 &lt;&gt; """", P558:P682 &gt;= 0.9 * MAX(FILTER(P558:P682, D558:D682 = ""comp deadlift"", P558:P682 &lt;&gt; """")), P558:P682 &lt;= 1.1 * MAX(FILTER(P558:P682, D558:D682 = ""comp deadlift"","&amp;" P558:P682 &lt;&gt; """")))), 2.5), ""No valid data"")"),"No valid data")</f>
        <v>No valid data</v>
      </c>
      <c r="K687" s="286"/>
      <c r="L687" s="294" t="str">
        <f>MROUND(J687/2.2046,2.5)-$O$12</f>
        <v>#VALUE!</v>
      </c>
      <c r="M687" s="285"/>
      <c r="N687" s="337">
        <f>ROUND(ABS((F687 - F552) / F552) * 100, 0)</f>
        <v>28</v>
      </c>
      <c r="O687" s="339" t="s">
        <v>114</v>
      </c>
      <c r="P687" s="282"/>
      <c r="Q687" s="278"/>
      <c r="R687" s="157"/>
      <c r="S687" s="11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</row>
    <row r="688" ht="14.25" customHeight="1">
      <c r="A688" s="5"/>
      <c r="B688" s="6"/>
      <c r="C688" s="5"/>
      <c r="D688" s="274"/>
      <c r="E688" s="266"/>
      <c r="F688" s="187"/>
      <c r="G688" s="187"/>
      <c r="H688" s="187"/>
      <c r="I688" s="187"/>
      <c r="J688" s="295"/>
      <c r="K688" s="274"/>
      <c r="L688" s="187"/>
      <c r="M688" s="285"/>
      <c r="N688" s="285"/>
      <c r="O688" s="285"/>
      <c r="P688" s="282"/>
      <c r="Q688" s="278"/>
      <c r="R688" s="157"/>
      <c r="S688" s="11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</row>
    <row r="689" ht="14.25" customHeight="1">
      <c r="A689" s="5"/>
      <c r="B689" s="2"/>
      <c r="C689" s="5"/>
      <c r="D689" s="5"/>
      <c r="E689" s="75"/>
      <c r="F689" s="3"/>
      <c r="G689" s="3"/>
      <c r="H689" s="3"/>
      <c r="I689" s="3"/>
      <c r="J689" s="75"/>
      <c r="K689" s="5"/>
      <c r="L689" s="3"/>
      <c r="M689" s="47"/>
      <c r="N689" s="3"/>
      <c r="O689" s="3"/>
      <c r="P689" s="3"/>
      <c r="Q689" s="4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</row>
    <row r="690" ht="14.25" customHeight="1">
      <c r="A690" s="5"/>
      <c r="B690" s="2"/>
      <c r="C690" s="5"/>
      <c r="D690" s="5"/>
      <c r="E690" s="75"/>
      <c r="F690" s="3"/>
      <c r="G690" s="3"/>
      <c r="H690" s="3"/>
      <c r="I690" s="3"/>
      <c r="J690" s="75"/>
      <c r="K690" s="5"/>
      <c r="L690" s="3"/>
      <c r="M690" s="47"/>
      <c r="N690" s="3"/>
      <c r="O690" s="3"/>
      <c r="P690" s="3"/>
      <c r="Q690" s="4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</row>
  </sheetData>
  <mergeCells count="245">
    <mergeCell ref="G496:G497"/>
    <mergeCell ref="I496:I497"/>
    <mergeCell ref="J496:K497"/>
    <mergeCell ref="L496:L497"/>
    <mergeCell ref="M496:M497"/>
    <mergeCell ref="N496:O496"/>
    <mergeCell ref="Q496:Q497"/>
    <mergeCell ref="F496:F497"/>
    <mergeCell ref="F519:F520"/>
    <mergeCell ref="G519:G520"/>
    <mergeCell ref="I519:I520"/>
    <mergeCell ref="J519:K520"/>
    <mergeCell ref="L519:L520"/>
    <mergeCell ref="M519:M520"/>
    <mergeCell ref="L583:L584"/>
    <mergeCell ref="M583:M584"/>
    <mergeCell ref="L558:L559"/>
    <mergeCell ref="M558:M559"/>
    <mergeCell ref="N558:O558"/>
    <mergeCell ref="Q558:Q559"/>
    <mergeCell ref="R560:R582"/>
    <mergeCell ref="F583:F584"/>
    <mergeCell ref="G583:G584"/>
    <mergeCell ref="I583:I584"/>
    <mergeCell ref="J583:K584"/>
    <mergeCell ref="G608:G609"/>
    <mergeCell ref="I608:I609"/>
    <mergeCell ref="J608:K609"/>
    <mergeCell ref="L608:L609"/>
    <mergeCell ref="M608:M609"/>
    <mergeCell ref="R610:R630"/>
    <mergeCell ref="R633:R653"/>
    <mergeCell ref="R656:R679"/>
    <mergeCell ref="N583:O583"/>
    <mergeCell ref="Q583:Q584"/>
    <mergeCell ref="R585:R607"/>
    <mergeCell ref="N608:O608"/>
    <mergeCell ref="Q608:Q609"/>
    <mergeCell ref="N631:O631"/>
    <mergeCell ref="Q631:Q632"/>
    <mergeCell ref="F654:F655"/>
    <mergeCell ref="G654:G655"/>
    <mergeCell ref="I654:I655"/>
    <mergeCell ref="J654:K655"/>
    <mergeCell ref="L654:L655"/>
    <mergeCell ref="M654:M655"/>
    <mergeCell ref="N654:O654"/>
    <mergeCell ref="Q654:Q655"/>
    <mergeCell ref="F608:F609"/>
    <mergeCell ref="F631:F632"/>
    <mergeCell ref="G631:G632"/>
    <mergeCell ref="I631:I632"/>
    <mergeCell ref="J631:K632"/>
    <mergeCell ref="L631:L632"/>
    <mergeCell ref="M631:M632"/>
    <mergeCell ref="J423:K424"/>
    <mergeCell ref="L423:L424"/>
    <mergeCell ref="M423:M424"/>
    <mergeCell ref="N423:O423"/>
    <mergeCell ref="Q423:Q424"/>
    <mergeCell ref="F384:F385"/>
    <mergeCell ref="E420:F420"/>
    <mergeCell ref="J420:L420"/>
    <mergeCell ref="E421:F421"/>
    <mergeCell ref="F423:F424"/>
    <mergeCell ref="G423:G424"/>
    <mergeCell ref="I423:I424"/>
    <mergeCell ref="G448:G449"/>
    <mergeCell ref="I448:I449"/>
    <mergeCell ref="J448:K449"/>
    <mergeCell ref="L448:L449"/>
    <mergeCell ref="M448:M449"/>
    <mergeCell ref="N448:O448"/>
    <mergeCell ref="Q448:Q449"/>
    <mergeCell ref="N473:O473"/>
    <mergeCell ref="Q473:Q474"/>
    <mergeCell ref="F448:F449"/>
    <mergeCell ref="F473:F474"/>
    <mergeCell ref="G473:G474"/>
    <mergeCell ref="I473:I474"/>
    <mergeCell ref="J473:K474"/>
    <mergeCell ref="L473:L474"/>
    <mergeCell ref="M473:M474"/>
    <mergeCell ref="N519:O519"/>
    <mergeCell ref="Q519:Q520"/>
    <mergeCell ref="E555:F555"/>
    <mergeCell ref="J555:L555"/>
    <mergeCell ref="E556:F556"/>
    <mergeCell ref="F558:F559"/>
    <mergeCell ref="G558:G559"/>
    <mergeCell ref="I558:I559"/>
    <mergeCell ref="J558:K559"/>
    <mergeCell ref="F43:F44"/>
    <mergeCell ref="F68:F69"/>
    <mergeCell ref="G68:G69"/>
    <mergeCell ref="I68:I69"/>
    <mergeCell ref="J68:K69"/>
    <mergeCell ref="L68:L69"/>
    <mergeCell ref="F91:F92"/>
    <mergeCell ref="G91:G92"/>
    <mergeCell ref="I91:I92"/>
    <mergeCell ref="F114:F115"/>
    <mergeCell ref="G114:G115"/>
    <mergeCell ref="I114:I115"/>
    <mergeCell ref="J114:K115"/>
    <mergeCell ref="L114:L115"/>
    <mergeCell ref="I153:I154"/>
    <mergeCell ref="J153:K154"/>
    <mergeCell ref="N153:O153"/>
    <mergeCell ref="Q153:Q154"/>
    <mergeCell ref="M114:M115"/>
    <mergeCell ref="N114:O114"/>
    <mergeCell ref="Q114:Q115"/>
    <mergeCell ref="E150:F150"/>
    <mergeCell ref="J150:L150"/>
    <mergeCell ref="F153:F154"/>
    <mergeCell ref="G153:G154"/>
    <mergeCell ref="M178:M179"/>
    <mergeCell ref="N178:O178"/>
    <mergeCell ref="Q178:Q179"/>
    <mergeCell ref="L153:L154"/>
    <mergeCell ref="M153:M154"/>
    <mergeCell ref="F178:F179"/>
    <mergeCell ref="G178:G179"/>
    <mergeCell ref="I178:I179"/>
    <mergeCell ref="J178:K179"/>
    <mergeCell ref="L178:L179"/>
    <mergeCell ref="G203:G204"/>
    <mergeCell ref="I203:I204"/>
    <mergeCell ref="J203:K204"/>
    <mergeCell ref="L203:L204"/>
    <mergeCell ref="M203:M204"/>
    <mergeCell ref="N203:O203"/>
    <mergeCell ref="Q203:Q204"/>
    <mergeCell ref="F203:F204"/>
    <mergeCell ref="F226:F227"/>
    <mergeCell ref="G226:G227"/>
    <mergeCell ref="I226:I227"/>
    <mergeCell ref="J226:K227"/>
    <mergeCell ref="L226:L227"/>
    <mergeCell ref="M226:M227"/>
    <mergeCell ref="R45:R67"/>
    <mergeCell ref="R70:R90"/>
    <mergeCell ref="R93:R113"/>
    <mergeCell ref="R116:R139"/>
    <mergeCell ref="R155:R177"/>
    <mergeCell ref="R180:R202"/>
    <mergeCell ref="R205:R225"/>
    <mergeCell ref="R425:R447"/>
    <mergeCell ref="R450:R472"/>
    <mergeCell ref="R475:R495"/>
    <mergeCell ref="R498:R518"/>
    <mergeCell ref="R521:R544"/>
    <mergeCell ref="R228:R248"/>
    <mergeCell ref="R251:R274"/>
    <mergeCell ref="R290:R312"/>
    <mergeCell ref="R315:R337"/>
    <mergeCell ref="R340:R360"/>
    <mergeCell ref="R363:R383"/>
    <mergeCell ref="R386:R409"/>
    <mergeCell ref="E8:F8"/>
    <mergeCell ref="I8:K8"/>
    <mergeCell ref="N8:O8"/>
    <mergeCell ref="I10:J10"/>
    <mergeCell ref="R10:R11"/>
    <mergeCell ref="I11:L11"/>
    <mergeCell ref="J15:L15"/>
    <mergeCell ref="E15:F15"/>
    <mergeCell ref="E16:F16"/>
    <mergeCell ref="F18:F19"/>
    <mergeCell ref="G18:G19"/>
    <mergeCell ref="I18:I19"/>
    <mergeCell ref="J18:K19"/>
    <mergeCell ref="L18:L19"/>
    <mergeCell ref="G43:G44"/>
    <mergeCell ref="I43:I44"/>
    <mergeCell ref="J43:K44"/>
    <mergeCell ref="L43:L44"/>
    <mergeCell ref="M43:M44"/>
    <mergeCell ref="N43:O43"/>
    <mergeCell ref="Q43:Q44"/>
    <mergeCell ref="M18:M19"/>
    <mergeCell ref="N18:O18"/>
    <mergeCell ref="Q18:Q19"/>
    <mergeCell ref="R20:R42"/>
    <mergeCell ref="M68:M69"/>
    <mergeCell ref="N68:O68"/>
    <mergeCell ref="Q68:Q69"/>
    <mergeCell ref="J91:K92"/>
    <mergeCell ref="L91:L92"/>
    <mergeCell ref="M91:M92"/>
    <mergeCell ref="N91:O91"/>
    <mergeCell ref="Q91:Q92"/>
    <mergeCell ref="N226:O226"/>
    <mergeCell ref="Q226:Q227"/>
    <mergeCell ref="F249:F250"/>
    <mergeCell ref="G249:G250"/>
    <mergeCell ref="I249:I250"/>
    <mergeCell ref="J249:K250"/>
    <mergeCell ref="L249:L250"/>
    <mergeCell ref="Q249:Q250"/>
    <mergeCell ref="L288:L289"/>
    <mergeCell ref="M288:M289"/>
    <mergeCell ref="Q288:Q289"/>
    <mergeCell ref="M249:M250"/>
    <mergeCell ref="N249:O249"/>
    <mergeCell ref="E285:F285"/>
    <mergeCell ref="J285:L285"/>
    <mergeCell ref="E286:F286"/>
    <mergeCell ref="F288:F289"/>
    <mergeCell ref="G288:G289"/>
    <mergeCell ref="N288:O288"/>
    <mergeCell ref="M313:M314"/>
    <mergeCell ref="N313:O313"/>
    <mergeCell ref="Q313:Q314"/>
    <mergeCell ref="I288:I289"/>
    <mergeCell ref="J288:K289"/>
    <mergeCell ref="F313:F314"/>
    <mergeCell ref="G313:G314"/>
    <mergeCell ref="I313:I314"/>
    <mergeCell ref="J313:K314"/>
    <mergeCell ref="L313:L314"/>
    <mergeCell ref="G338:G339"/>
    <mergeCell ref="I338:I339"/>
    <mergeCell ref="J338:K339"/>
    <mergeCell ref="L338:L339"/>
    <mergeCell ref="M338:M339"/>
    <mergeCell ref="N338:O338"/>
    <mergeCell ref="Q338:Q339"/>
    <mergeCell ref="N361:O361"/>
    <mergeCell ref="Q361:Q362"/>
    <mergeCell ref="F338:F339"/>
    <mergeCell ref="F361:F362"/>
    <mergeCell ref="G361:G362"/>
    <mergeCell ref="I361:I362"/>
    <mergeCell ref="J361:K362"/>
    <mergeCell ref="L361:L362"/>
    <mergeCell ref="M361:M362"/>
    <mergeCell ref="G384:G385"/>
    <mergeCell ref="I384:I385"/>
    <mergeCell ref="J384:K385"/>
    <mergeCell ref="L384:L385"/>
    <mergeCell ref="M384:M385"/>
    <mergeCell ref="N384:O384"/>
    <mergeCell ref="Q384:Q385"/>
  </mergeCells>
  <conditionalFormatting sqref="Q20:Q42 Q45:Q67 Q70:Q90 Q93:Q113 Q116:Q139 Q155:Q274 Q290:Q409 Q425:Q544 Q560:Q679">
    <cfRule type="cellIs" dxfId="0" priority="1" operator="greaterThan">
      <formula>0</formula>
    </cfRule>
  </conditionalFormatting>
  <conditionalFormatting sqref="Q20:Q42 Q45:Q67 Q70:Q90 Q93:Q113 Q116:Q139 Q155:Q274 Q290:Q409 Q425:Q544 Q560:Q679">
    <cfRule type="cellIs" dxfId="1" priority="2" operator="lessThan">
      <formula>0</formula>
    </cfRule>
  </conditionalFormatting>
  <conditionalFormatting sqref="D1:D15 F9:F13 O10:O13 D17:D150 D152:D285 D287:D420 D422:D690">
    <cfRule type="containsText" dxfId="2" priority="3" operator="containsText" text="squat">
      <formula>NOT(ISERROR(SEARCH(("squat"),(D1))))</formula>
    </cfRule>
  </conditionalFormatting>
  <conditionalFormatting sqref="D1:D15 F9:F13 O10:O13 D17:D150 D152:D285 D287:D420 D422:D690">
    <cfRule type="containsText" dxfId="3" priority="4" operator="containsText" text="bench press">
      <formula>NOT(ISERROR(SEARCH(("bench press"),(D1))))</formula>
    </cfRule>
  </conditionalFormatting>
  <conditionalFormatting sqref="D1:D15 F9:F13 O10:O13 D17:D150 D152:D285 D287:D420 D422:D690">
    <cfRule type="containsText" dxfId="4" priority="5" operator="containsText" text="deadlift">
      <formula>NOT(ISERROR(SEARCH(("deadlift"),(D1))))</formula>
    </cfRule>
  </conditionalFormatting>
  <conditionalFormatting sqref="I1:I690">
    <cfRule type="expression" dxfId="5" priority="6">
      <formula>isformula(I1:I690)</formula>
    </cfRule>
  </conditionalFormatting>
  <conditionalFormatting sqref="L143:L147 L278:L282 L413:L417 L548:L552 L683:L687">
    <cfRule type="cellIs" dxfId="6" priority="7" operator="greaterThanOrEqual">
      <formula>0</formula>
    </cfRule>
  </conditionalFormatting>
  <conditionalFormatting sqref="L143:L147 L278:L282 L413:L417 L548:L552 L683:L687">
    <cfRule type="cellIs" dxfId="7" priority="8" operator="lessThan">
      <formula>0</formula>
    </cfRule>
  </conditionalFormatting>
  <dataValidations>
    <dataValidation type="list" allowBlank="1" showErrorMessage="1" sqref="E18 E43 E68 E91 E153 E178 E203 E226 E288 E313 E338 E361 E423 E448 E473 E496 E558 E583 E608 E631">
      <formula1>"day,Sun,Mon,Tues,Wed,Thurs,Fri,Sat"</formula1>
    </dataValidation>
    <dataValidation type="list" allowBlank="1" showErrorMessage="1" sqref="D19 D44 D69 D92 D115 D154 D179 D204 D227 D250 D289 D314 D339 D362 D385 D424 D449 D474 D497 D520 D559 D584 D609 D632 D655">
      <formula1>"motivation,5 (high),4,3,2,1 (low)"</formula1>
    </dataValidation>
    <dataValidation type="list" allowBlank="1" showErrorMessage="1" sqref="E19 E44 E69 E92 E115 E154 E179 E204 E227 E250 E289 E314 E339 E362 E385 E424 E449 E474 E497 E520 E559 E584 E609 E632 E655">
      <formula1>"fatigue,5 (high),4,3,2,1 (low)"</formula1>
    </dataValidation>
    <dataValidation type="list" allowBlank="1" showErrorMessage="1" sqref="E114 E249 E384 E519 E654">
      <formula1>"day,Sunday,Monday,Tuesday,Wednesday,Thursday,Friday,Saturday"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.0"/>
    <col customWidth="1" min="2" max="2" width="2.38"/>
    <col customWidth="1" min="3" max="3" width="1.0"/>
    <col customWidth="1" min="4" max="4" width="5.25"/>
    <col customWidth="1" min="5" max="8" width="9.0"/>
    <col customWidth="1" min="9" max="9" width="14.0"/>
    <col customWidth="1" min="10" max="14" width="9.0"/>
    <col customWidth="1" min="15" max="15" width="3.13"/>
    <col customWidth="1" min="16" max="16" width="10.75"/>
    <col customWidth="1" min="17" max="32" width="9.0"/>
  </cols>
  <sheetData>
    <row r="1" ht="5.25" customHeight="1">
      <c r="A1" s="101"/>
      <c r="B1" s="341"/>
      <c r="C1" s="101"/>
      <c r="D1" s="101"/>
      <c r="E1" s="101"/>
      <c r="F1" s="101"/>
      <c r="G1" s="101"/>
      <c r="H1" s="101"/>
      <c r="I1" s="101"/>
      <c r="J1" s="101"/>
      <c r="K1" s="342"/>
      <c r="L1" s="342"/>
      <c r="M1" s="342"/>
      <c r="N1" s="342"/>
      <c r="O1" s="342"/>
      <c r="P1" s="19"/>
      <c r="Q1" s="343"/>
      <c r="R1" s="343"/>
      <c r="S1" s="343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4"/>
      <c r="AE1" s="344"/>
      <c r="AF1" s="344"/>
    </row>
    <row r="2" ht="13.5" customHeight="1">
      <c r="A2" s="208"/>
      <c r="B2" s="345"/>
      <c r="C2" s="346"/>
      <c r="D2" s="346"/>
      <c r="E2" s="346"/>
      <c r="F2" s="346"/>
      <c r="G2" s="346"/>
      <c r="H2" s="346"/>
      <c r="I2" s="346"/>
      <c r="J2" s="346"/>
      <c r="K2" s="347"/>
      <c r="L2" s="347"/>
      <c r="M2" s="347"/>
      <c r="N2" s="347"/>
      <c r="O2" s="347"/>
      <c r="P2" s="348"/>
      <c r="Q2" s="349"/>
      <c r="R2" s="349"/>
      <c r="S2" s="349"/>
      <c r="T2" s="349"/>
      <c r="U2" s="349"/>
      <c r="V2" s="349"/>
      <c r="W2" s="349"/>
      <c r="X2" s="349"/>
      <c r="Y2" s="349"/>
      <c r="Z2" s="349"/>
      <c r="AA2" s="349"/>
      <c r="AB2" s="349"/>
      <c r="AC2" s="349"/>
      <c r="AD2" s="350"/>
      <c r="AE2" s="350"/>
      <c r="AF2" s="350"/>
    </row>
    <row r="3" ht="5.25" customHeight="1">
      <c r="A3" s="26"/>
      <c r="B3" s="351"/>
      <c r="C3" s="12"/>
      <c r="D3" s="12"/>
      <c r="E3" s="12"/>
      <c r="F3" s="12"/>
      <c r="G3" s="12"/>
      <c r="H3" s="12"/>
      <c r="I3" s="12"/>
      <c r="J3" s="12"/>
      <c r="K3" s="342"/>
      <c r="L3" s="342"/>
      <c r="M3" s="342"/>
      <c r="N3" s="342"/>
      <c r="O3" s="342"/>
      <c r="P3" s="19"/>
      <c r="Q3" s="343"/>
      <c r="R3" s="343"/>
      <c r="S3" s="343"/>
      <c r="T3" s="343"/>
      <c r="U3" s="343"/>
      <c r="V3" s="343"/>
      <c r="W3" s="343"/>
      <c r="X3" s="343"/>
      <c r="Y3" s="343"/>
      <c r="Z3" s="343"/>
      <c r="AA3" s="343"/>
      <c r="AB3" s="343"/>
      <c r="AC3" s="343"/>
      <c r="AD3" s="344"/>
      <c r="AE3" s="344"/>
      <c r="AF3" s="344"/>
    </row>
    <row r="4" ht="18.75" customHeight="1">
      <c r="A4" s="26"/>
      <c r="B4" s="351"/>
      <c r="C4" s="12"/>
      <c r="D4" s="14"/>
      <c r="E4" s="14"/>
      <c r="F4" s="14"/>
      <c r="G4" s="14"/>
      <c r="H4" s="14"/>
      <c r="I4" s="14"/>
      <c r="J4" s="14"/>
      <c r="K4" s="352"/>
      <c r="L4" s="352"/>
      <c r="M4" s="352"/>
      <c r="N4" s="352"/>
      <c r="O4" s="352"/>
      <c r="P4" s="353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5"/>
      <c r="AE4" s="355"/>
      <c r="AF4" s="355"/>
    </row>
    <row r="5" ht="5.25" customHeight="1">
      <c r="A5" s="26"/>
      <c r="B5" s="351"/>
      <c r="C5" s="12"/>
      <c r="D5" s="12"/>
      <c r="E5" s="12"/>
      <c r="F5" s="19"/>
      <c r="G5" s="19"/>
      <c r="H5" s="19"/>
      <c r="I5" s="19"/>
      <c r="J5" s="12"/>
      <c r="K5" s="342"/>
      <c r="L5" s="342"/>
      <c r="M5" s="342"/>
      <c r="N5" s="342"/>
      <c r="O5" s="342"/>
      <c r="P5" s="19"/>
      <c r="Q5" s="343"/>
      <c r="R5" s="343"/>
      <c r="S5" s="343"/>
      <c r="T5" s="343"/>
      <c r="U5" s="343"/>
      <c r="V5" s="343"/>
      <c r="W5" s="343"/>
      <c r="X5" s="343"/>
      <c r="Y5" s="343"/>
      <c r="Z5" s="343"/>
      <c r="AA5" s="343"/>
      <c r="AB5" s="343"/>
      <c r="AC5" s="343"/>
      <c r="AD5" s="344"/>
      <c r="AE5" s="344"/>
      <c r="AF5" s="344"/>
    </row>
    <row r="6" ht="22.5" customHeight="1">
      <c r="A6" s="26"/>
      <c r="B6" s="351"/>
      <c r="C6" s="12"/>
      <c r="D6" s="20"/>
      <c r="E6" s="20"/>
      <c r="F6" s="21"/>
      <c r="G6" s="21"/>
      <c r="H6" s="21"/>
      <c r="I6" s="21"/>
      <c r="J6" s="20"/>
      <c r="K6" s="356"/>
      <c r="L6" s="356"/>
      <c r="M6" s="356"/>
      <c r="N6" s="356"/>
      <c r="O6" s="356"/>
      <c r="P6" s="21"/>
      <c r="Q6" s="357"/>
      <c r="R6" s="357"/>
      <c r="S6" s="357"/>
      <c r="T6" s="357"/>
      <c r="U6" s="357"/>
      <c r="V6" s="357"/>
      <c r="W6" s="357"/>
      <c r="X6" s="357"/>
      <c r="Y6" s="357"/>
      <c r="Z6" s="357"/>
      <c r="AA6" s="357"/>
      <c r="AB6" s="357"/>
      <c r="AC6" s="357"/>
      <c r="AD6" s="358"/>
      <c r="AE6" s="358"/>
      <c r="AF6" s="358"/>
    </row>
    <row r="7" ht="5.25" customHeight="1">
      <c r="A7" s="359"/>
      <c r="B7" s="360"/>
      <c r="C7" s="359"/>
      <c r="D7" s="361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361"/>
      <c r="P7" s="362"/>
      <c r="S7" s="362"/>
      <c r="T7" s="362"/>
      <c r="U7" s="363"/>
      <c r="V7" s="363"/>
      <c r="W7" s="363"/>
      <c r="X7" s="363"/>
      <c r="Y7" s="363"/>
      <c r="Z7" s="363"/>
      <c r="AA7" s="363"/>
      <c r="AB7" s="363"/>
      <c r="AC7" s="363"/>
      <c r="AD7" s="363"/>
      <c r="AE7" s="363"/>
      <c r="AF7" s="363"/>
    </row>
    <row r="8" ht="16.5" customHeight="1">
      <c r="A8" s="359"/>
      <c r="B8" s="360"/>
      <c r="C8" s="359"/>
      <c r="D8" s="364" t="s">
        <v>126</v>
      </c>
      <c r="J8" s="101"/>
      <c r="K8" s="101"/>
      <c r="L8" s="101"/>
      <c r="M8" s="101"/>
      <c r="N8" s="101"/>
      <c r="O8" s="361"/>
      <c r="P8" s="362"/>
      <c r="S8" s="362"/>
      <c r="T8" s="362"/>
      <c r="U8" s="362"/>
      <c r="V8" s="362"/>
      <c r="W8" s="362"/>
      <c r="X8" s="362"/>
      <c r="Y8" s="362"/>
      <c r="Z8" s="362"/>
      <c r="AA8" s="362"/>
      <c r="AB8" s="362"/>
      <c r="AC8" s="362"/>
      <c r="AD8" s="362"/>
      <c r="AE8" s="362"/>
      <c r="AF8" s="362"/>
    </row>
    <row r="9" ht="14.25" customHeight="1">
      <c r="A9" s="208"/>
      <c r="B9" s="346"/>
      <c r="C9" s="208"/>
      <c r="D9" s="365" t="s">
        <v>127</v>
      </c>
      <c r="J9" s="366"/>
      <c r="K9" s="366"/>
      <c r="L9" s="366"/>
      <c r="M9" s="366"/>
      <c r="N9" s="366"/>
      <c r="O9" s="367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</row>
    <row r="10" ht="27.75" customHeight="1">
      <c r="A10" s="208"/>
      <c r="B10" s="346"/>
      <c r="C10" s="208"/>
      <c r="J10" s="366"/>
      <c r="K10" s="366"/>
      <c r="L10" s="366"/>
      <c r="M10" s="366"/>
      <c r="N10" s="366"/>
      <c r="O10" s="361"/>
      <c r="P10" s="361"/>
      <c r="Q10" s="361"/>
      <c r="R10" s="361"/>
      <c r="S10" s="361"/>
      <c r="T10" s="361"/>
      <c r="U10" s="361"/>
      <c r="V10" s="361"/>
      <c r="W10" s="361"/>
      <c r="X10" s="361"/>
      <c r="Y10" s="361"/>
      <c r="Z10" s="361"/>
      <c r="AA10" s="361"/>
      <c r="AB10" s="361"/>
      <c r="AC10" s="361"/>
      <c r="AD10" s="361"/>
      <c r="AE10" s="361"/>
      <c r="AF10" s="361"/>
    </row>
    <row r="11" ht="18.75" customHeight="1">
      <c r="A11" s="208"/>
      <c r="B11" s="346"/>
      <c r="C11" s="208"/>
      <c r="D11" s="368" t="s">
        <v>128</v>
      </c>
      <c r="J11" s="366"/>
      <c r="K11" s="366"/>
      <c r="L11" s="366"/>
      <c r="M11" s="366"/>
      <c r="N11" s="366"/>
      <c r="O11" s="361"/>
      <c r="P11" s="361"/>
      <c r="Q11" s="361"/>
      <c r="R11" s="361"/>
      <c r="S11" s="361"/>
      <c r="T11" s="361"/>
      <c r="U11" s="359"/>
      <c r="V11" s="359"/>
      <c r="W11" s="359"/>
      <c r="X11" s="359"/>
      <c r="Y11" s="359"/>
      <c r="Z11" s="359"/>
      <c r="AA11" s="359"/>
      <c r="AB11" s="359"/>
      <c r="AC11" s="359"/>
      <c r="AD11" s="359"/>
      <c r="AE11" s="359"/>
      <c r="AF11" s="359"/>
    </row>
    <row r="12" ht="5.25" customHeight="1">
      <c r="A12" s="208"/>
      <c r="B12" s="346"/>
      <c r="C12" s="208"/>
      <c r="D12" s="369"/>
      <c r="E12" s="369"/>
      <c r="F12" s="369"/>
      <c r="G12" s="369"/>
      <c r="H12" s="369"/>
      <c r="I12" s="370"/>
      <c r="J12" s="366"/>
      <c r="K12" s="366"/>
      <c r="L12" s="366"/>
      <c r="M12" s="366"/>
      <c r="N12" s="366"/>
      <c r="O12" s="361"/>
      <c r="P12" s="361"/>
      <c r="Q12" s="361"/>
      <c r="R12" s="361"/>
      <c r="S12" s="361"/>
      <c r="T12" s="361"/>
      <c r="U12" s="359"/>
      <c r="V12" s="359"/>
      <c r="W12" s="359"/>
      <c r="X12" s="359"/>
      <c r="Y12" s="359"/>
      <c r="Z12" s="359"/>
      <c r="AA12" s="359"/>
      <c r="AB12" s="359"/>
      <c r="AC12" s="359"/>
      <c r="AD12" s="359"/>
      <c r="AE12" s="359"/>
      <c r="AF12" s="359"/>
    </row>
    <row r="13" ht="17.25" customHeight="1">
      <c r="A13" s="208"/>
      <c r="B13" s="346"/>
      <c r="C13" s="208"/>
      <c r="D13" s="371" t="s">
        <v>129</v>
      </c>
      <c r="J13" s="366"/>
      <c r="K13" s="366"/>
      <c r="L13" s="366"/>
      <c r="M13" s="366"/>
      <c r="N13" s="366"/>
      <c r="O13" s="361"/>
      <c r="P13" s="361"/>
      <c r="Q13" s="361"/>
      <c r="R13" s="361"/>
      <c r="S13" s="361"/>
      <c r="T13" s="361"/>
      <c r="U13" s="359"/>
      <c r="V13" s="359"/>
      <c r="W13" s="359"/>
      <c r="X13" s="359"/>
      <c r="Y13" s="359"/>
      <c r="Z13" s="359"/>
      <c r="AA13" s="359"/>
      <c r="AB13" s="359"/>
      <c r="AC13" s="359"/>
      <c r="AD13" s="359"/>
      <c r="AE13" s="359"/>
      <c r="AF13" s="359"/>
    </row>
    <row r="14" ht="14.25" customHeight="1">
      <c r="A14" s="208"/>
      <c r="B14" s="346"/>
      <c r="C14" s="208"/>
      <c r="D14" s="372" t="s">
        <v>130</v>
      </c>
      <c r="J14" s="366"/>
      <c r="K14" s="366"/>
      <c r="L14" s="366"/>
      <c r="M14" s="366"/>
      <c r="N14" s="366"/>
      <c r="O14" s="361"/>
      <c r="P14" s="361"/>
      <c r="Q14" s="361"/>
      <c r="R14" s="361"/>
      <c r="S14" s="361"/>
      <c r="T14" s="361"/>
      <c r="U14" s="359"/>
      <c r="V14" s="359"/>
      <c r="W14" s="359"/>
      <c r="X14" s="359"/>
      <c r="Y14" s="359"/>
      <c r="Z14" s="359"/>
      <c r="AA14" s="359"/>
      <c r="AB14" s="359"/>
      <c r="AC14" s="359"/>
      <c r="AD14" s="359"/>
      <c r="AE14" s="359"/>
      <c r="AF14" s="359"/>
    </row>
    <row r="15" ht="32.25" customHeight="1">
      <c r="A15" s="208"/>
      <c r="B15" s="346"/>
      <c r="C15" s="208"/>
      <c r="J15" s="366"/>
      <c r="K15" s="366"/>
      <c r="L15" s="366"/>
      <c r="M15" s="366"/>
      <c r="N15" s="366"/>
      <c r="O15" s="361"/>
      <c r="P15" s="361"/>
      <c r="Q15" s="361"/>
      <c r="R15" s="361"/>
      <c r="S15" s="361"/>
      <c r="T15" s="361"/>
      <c r="U15" s="359"/>
      <c r="V15" s="359"/>
      <c r="W15" s="359"/>
      <c r="X15" s="359"/>
      <c r="Y15" s="359"/>
      <c r="Z15" s="359"/>
      <c r="AA15" s="359"/>
      <c r="AB15" s="359"/>
      <c r="AC15" s="359"/>
      <c r="AD15" s="359"/>
      <c r="AE15" s="359"/>
      <c r="AF15" s="359"/>
    </row>
    <row r="16" ht="35.25" customHeight="1">
      <c r="A16" s="208"/>
      <c r="B16" s="346"/>
      <c r="C16" s="208"/>
      <c r="J16" s="361"/>
      <c r="K16" s="361"/>
      <c r="L16" s="361"/>
      <c r="M16" s="361"/>
      <c r="N16" s="361"/>
      <c r="O16" s="361"/>
      <c r="P16" s="361"/>
      <c r="Q16" s="361"/>
      <c r="R16" s="361"/>
      <c r="S16" s="361"/>
      <c r="T16" s="361"/>
      <c r="U16" s="359"/>
      <c r="V16" s="359"/>
      <c r="W16" s="359"/>
      <c r="X16" s="359"/>
      <c r="Y16" s="359"/>
      <c r="Z16" s="359"/>
      <c r="AA16" s="359"/>
      <c r="AB16" s="359"/>
      <c r="AC16" s="359"/>
      <c r="AD16" s="359"/>
      <c r="AE16" s="359"/>
      <c r="AF16" s="359"/>
    </row>
    <row r="17" ht="18.75" customHeight="1">
      <c r="A17" s="359"/>
      <c r="B17" s="360"/>
      <c r="C17" s="359"/>
      <c r="D17" s="373" t="s">
        <v>131</v>
      </c>
      <c r="J17" s="361"/>
      <c r="K17" s="361"/>
      <c r="L17" s="361"/>
      <c r="M17" s="361"/>
      <c r="N17" s="361"/>
      <c r="O17" s="361"/>
      <c r="P17" s="361"/>
      <c r="Q17" s="361"/>
      <c r="R17" s="361"/>
      <c r="S17" s="361"/>
      <c r="T17" s="361"/>
      <c r="U17" s="359"/>
      <c r="V17" s="359"/>
      <c r="W17" s="359"/>
      <c r="X17" s="359"/>
      <c r="Y17" s="359"/>
      <c r="Z17" s="359"/>
      <c r="AA17" s="359"/>
      <c r="AB17" s="359"/>
      <c r="AC17" s="359"/>
      <c r="AD17" s="359"/>
      <c r="AE17" s="359"/>
      <c r="AF17" s="359"/>
    </row>
    <row r="18" ht="14.25" customHeight="1">
      <c r="A18" s="359"/>
      <c r="B18" s="359"/>
      <c r="C18" s="359"/>
      <c r="D18" s="361"/>
      <c r="E18" s="361"/>
      <c r="F18" s="361"/>
      <c r="G18" s="361"/>
      <c r="H18" s="361"/>
      <c r="I18" s="366"/>
      <c r="J18" s="361"/>
      <c r="K18" s="361"/>
      <c r="L18" s="361"/>
      <c r="M18" s="361"/>
      <c r="N18" s="361"/>
      <c r="O18" s="361"/>
      <c r="P18" s="361"/>
      <c r="Q18" s="361"/>
      <c r="R18" s="361"/>
      <c r="S18" s="361"/>
      <c r="T18" s="361"/>
      <c r="U18" s="359"/>
      <c r="V18" s="359"/>
      <c r="W18" s="359"/>
      <c r="X18" s="359"/>
      <c r="Y18" s="359"/>
      <c r="Z18" s="359"/>
      <c r="AA18" s="359"/>
      <c r="AB18" s="359"/>
      <c r="AC18" s="359"/>
      <c r="AD18" s="359"/>
      <c r="AE18" s="359"/>
      <c r="AF18" s="359"/>
    </row>
    <row r="19" ht="14.25" customHeight="1">
      <c r="A19" s="359"/>
      <c r="B19" s="359"/>
      <c r="C19" s="359"/>
      <c r="D19" s="361"/>
      <c r="E19" s="361"/>
      <c r="F19" s="361"/>
      <c r="G19" s="361"/>
      <c r="H19" s="361"/>
      <c r="I19" s="361"/>
      <c r="J19" s="361"/>
      <c r="K19" s="361"/>
      <c r="L19" s="361"/>
      <c r="M19" s="361"/>
      <c r="N19" s="361"/>
      <c r="O19" s="361"/>
      <c r="P19" s="361"/>
      <c r="Q19" s="361"/>
      <c r="R19" s="361"/>
      <c r="S19" s="361"/>
      <c r="T19" s="361"/>
      <c r="U19" s="359"/>
      <c r="V19" s="359"/>
      <c r="W19" s="359"/>
      <c r="X19" s="359"/>
      <c r="Y19" s="359"/>
      <c r="Z19" s="359"/>
      <c r="AA19" s="359"/>
      <c r="AB19" s="359"/>
      <c r="AC19" s="359"/>
      <c r="AD19" s="359"/>
      <c r="AE19" s="359"/>
      <c r="AF19" s="359"/>
    </row>
    <row r="20" ht="14.25" customHeight="1">
      <c r="A20" s="359"/>
      <c r="B20" s="359"/>
      <c r="C20" s="359"/>
      <c r="D20" s="374"/>
      <c r="E20" s="374"/>
      <c r="F20" s="374"/>
      <c r="G20" s="374"/>
      <c r="H20" s="374"/>
      <c r="I20" s="374"/>
      <c r="J20" s="374"/>
      <c r="K20" s="374"/>
      <c r="L20" s="374"/>
      <c r="M20" s="374"/>
      <c r="N20" s="374"/>
      <c r="O20" s="374"/>
      <c r="P20" s="374"/>
      <c r="Q20" s="374"/>
      <c r="R20" s="374"/>
      <c r="S20" s="359"/>
      <c r="T20" s="359"/>
      <c r="U20" s="359"/>
      <c r="V20" s="359"/>
      <c r="W20" s="359"/>
      <c r="X20" s="359"/>
      <c r="Y20" s="359"/>
      <c r="Z20" s="359"/>
      <c r="AA20" s="359"/>
      <c r="AB20" s="359"/>
      <c r="AC20" s="359"/>
      <c r="AD20" s="359"/>
      <c r="AE20" s="359"/>
      <c r="AF20" s="359"/>
    </row>
    <row r="21" ht="14.25" customHeight="1">
      <c r="A21" s="359"/>
      <c r="B21" s="359"/>
      <c r="C21" s="359"/>
      <c r="D21" s="374"/>
      <c r="E21" s="374"/>
      <c r="F21" s="374"/>
      <c r="G21" s="374"/>
      <c r="H21" s="374"/>
      <c r="I21" s="374"/>
      <c r="J21" s="374"/>
      <c r="K21" s="374"/>
      <c r="L21" s="374"/>
      <c r="M21" s="374"/>
      <c r="N21" s="374"/>
      <c r="O21" s="374"/>
      <c r="P21" s="374"/>
      <c r="Q21" s="374"/>
      <c r="R21" s="374"/>
      <c r="S21" s="359"/>
      <c r="T21" s="359"/>
      <c r="U21" s="359"/>
      <c r="V21" s="359"/>
      <c r="W21" s="359"/>
      <c r="X21" s="359"/>
      <c r="Y21" s="359"/>
      <c r="Z21" s="359"/>
      <c r="AA21" s="359"/>
      <c r="AB21" s="359"/>
      <c r="AC21" s="359"/>
      <c r="AD21" s="359"/>
      <c r="AE21" s="359"/>
      <c r="AF21" s="359"/>
    </row>
    <row r="22" ht="14.25" customHeight="1">
      <c r="A22" s="359"/>
      <c r="B22" s="359"/>
      <c r="C22" s="359"/>
      <c r="D22" s="374"/>
      <c r="E22" s="374"/>
      <c r="F22" s="374"/>
      <c r="G22" s="374"/>
      <c r="H22" s="374"/>
      <c r="I22" s="374"/>
      <c r="J22" s="374"/>
      <c r="K22" s="374"/>
      <c r="L22" s="374"/>
      <c r="M22" s="374"/>
      <c r="N22" s="374"/>
      <c r="O22" s="374"/>
      <c r="P22" s="374"/>
      <c r="Q22" s="374"/>
      <c r="R22" s="374"/>
      <c r="S22" s="359"/>
      <c r="T22" s="359"/>
      <c r="U22" s="359"/>
      <c r="V22" s="359"/>
      <c r="W22" s="359"/>
      <c r="X22" s="359"/>
      <c r="Y22" s="359"/>
      <c r="Z22" s="359"/>
      <c r="AA22" s="359"/>
      <c r="AB22" s="359"/>
      <c r="AC22" s="359"/>
      <c r="AD22" s="359"/>
      <c r="AE22" s="359"/>
      <c r="AF22" s="359"/>
    </row>
    <row r="23" ht="14.25" customHeight="1">
      <c r="A23" s="359"/>
      <c r="B23" s="359"/>
      <c r="C23" s="359"/>
      <c r="D23" s="374"/>
      <c r="E23" s="374"/>
      <c r="F23" s="374"/>
      <c r="G23" s="374"/>
      <c r="H23" s="374"/>
      <c r="I23" s="374"/>
      <c r="J23" s="374"/>
      <c r="K23" s="374"/>
      <c r="L23" s="374"/>
      <c r="M23" s="374"/>
      <c r="N23" s="374"/>
      <c r="O23" s="374"/>
      <c r="P23" s="374"/>
      <c r="Q23" s="374"/>
      <c r="R23" s="374"/>
      <c r="S23" s="359"/>
      <c r="T23" s="359"/>
      <c r="U23" s="359"/>
      <c r="V23" s="359"/>
      <c r="W23" s="359"/>
      <c r="X23" s="359"/>
      <c r="Y23" s="359"/>
      <c r="Z23" s="359"/>
      <c r="AA23" s="359"/>
      <c r="AB23" s="359"/>
      <c r="AC23" s="359"/>
      <c r="AD23" s="359"/>
      <c r="AE23" s="359"/>
      <c r="AF23" s="359"/>
    </row>
    <row r="24" ht="14.25" customHeight="1">
      <c r="A24" s="359"/>
      <c r="B24" s="359"/>
      <c r="C24" s="359"/>
      <c r="D24" s="374"/>
      <c r="E24" s="374"/>
      <c r="F24" s="374"/>
      <c r="G24" s="374"/>
      <c r="H24" s="374"/>
      <c r="I24" s="374"/>
      <c r="J24" s="374"/>
      <c r="K24" s="374"/>
      <c r="L24" s="374"/>
      <c r="M24" s="374"/>
      <c r="N24" s="374"/>
      <c r="O24" s="374"/>
      <c r="P24" s="374"/>
      <c r="Q24" s="374"/>
      <c r="R24" s="374"/>
      <c r="S24" s="359"/>
      <c r="T24" s="359"/>
      <c r="U24" s="359"/>
      <c r="V24" s="359"/>
      <c r="W24" s="359"/>
      <c r="X24" s="359"/>
      <c r="Y24" s="359"/>
      <c r="Z24" s="359"/>
      <c r="AA24" s="359"/>
      <c r="AB24" s="359"/>
      <c r="AC24" s="359"/>
      <c r="AD24" s="359"/>
      <c r="AE24" s="359"/>
      <c r="AF24" s="359"/>
    </row>
    <row r="25" ht="14.25" customHeight="1">
      <c r="A25" s="359"/>
      <c r="B25" s="359"/>
      <c r="C25" s="359"/>
      <c r="D25" s="374"/>
      <c r="E25" s="374"/>
      <c r="F25" s="374"/>
      <c r="G25" s="374"/>
      <c r="H25" s="374"/>
      <c r="I25" s="374"/>
      <c r="J25" s="374"/>
      <c r="K25" s="374"/>
      <c r="L25" s="374"/>
      <c r="M25" s="374"/>
      <c r="N25" s="374"/>
      <c r="O25" s="374"/>
      <c r="P25" s="374"/>
      <c r="Q25" s="374"/>
      <c r="R25" s="374"/>
      <c r="S25" s="359"/>
      <c r="T25" s="359"/>
      <c r="U25" s="359"/>
      <c r="V25" s="359"/>
      <c r="W25" s="359"/>
      <c r="X25" s="359"/>
      <c r="Y25" s="359"/>
      <c r="Z25" s="359"/>
      <c r="AA25" s="359"/>
      <c r="AB25" s="359"/>
      <c r="AC25" s="359"/>
      <c r="AD25" s="359"/>
      <c r="AE25" s="359"/>
      <c r="AF25" s="359"/>
    </row>
    <row r="26" ht="14.25" customHeight="1">
      <c r="A26" s="359"/>
      <c r="B26" s="359"/>
      <c r="C26" s="359"/>
      <c r="D26" s="374"/>
      <c r="E26" s="374"/>
      <c r="F26" s="374"/>
      <c r="G26" s="374"/>
      <c r="H26" s="374"/>
      <c r="I26" s="374"/>
      <c r="J26" s="374"/>
      <c r="K26" s="374"/>
      <c r="L26" s="374"/>
      <c r="M26" s="374"/>
      <c r="N26" s="374"/>
      <c r="O26" s="374"/>
      <c r="P26" s="374"/>
      <c r="Q26" s="374"/>
      <c r="R26" s="374"/>
      <c r="S26" s="359"/>
      <c r="T26" s="359"/>
      <c r="U26" s="359"/>
      <c r="V26" s="359"/>
      <c r="W26" s="359"/>
      <c r="X26" s="359"/>
      <c r="Y26" s="359"/>
      <c r="Z26" s="359"/>
      <c r="AA26" s="359"/>
      <c r="AB26" s="359"/>
      <c r="AC26" s="359"/>
      <c r="AD26" s="359"/>
      <c r="AE26" s="359"/>
      <c r="AF26" s="359"/>
    </row>
    <row r="27" ht="14.25" customHeight="1">
      <c r="A27" s="359"/>
      <c r="B27" s="359"/>
      <c r="C27" s="359"/>
      <c r="D27" s="374"/>
      <c r="E27" s="374"/>
      <c r="F27" s="374"/>
      <c r="G27" s="374"/>
      <c r="H27" s="374"/>
      <c r="I27" s="374"/>
      <c r="J27" s="374"/>
      <c r="K27" s="374"/>
      <c r="L27" s="374"/>
      <c r="M27" s="374"/>
      <c r="N27" s="374"/>
      <c r="O27" s="374"/>
      <c r="P27" s="374"/>
      <c r="Q27" s="374"/>
      <c r="R27" s="374"/>
      <c r="S27" s="359"/>
      <c r="T27" s="359"/>
      <c r="U27" s="359"/>
      <c r="V27" s="359"/>
      <c r="W27" s="359"/>
      <c r="X27" s="359"/>
      <c r="Y27" s="359"/>
      <c r="Z27" s="359"/>
      <c r="AA27" s="359"/>
      <c r="AB27" s="359"/>
      <c r="AC27" s="359"/>
      <c r="AD27" s="359"/>
      <c r="AE27" s="359"/>
      <c r="AF27" s="359"/>
    </row>
    <row r="28" ht="14.25" customHeight="1">
      <c r="A28" s="359"/>
      <c r="B28" s="359"/>
      <c r="C28" s="359"/>
      <c r="D28" s="374"/>
      <c r="E28" s="374"/>
      <c r="F28" s="374"/>
      <c r="G28" s="374"/>
      <c r="H28" s="374"/>
      <c r="I28" s="374"/>
      <c r="J28" s="374"/>
      <c r="K28" s="374"/>
      <c r="L28" s="374"/>
      <c r="M28" s="374"/>
      <c r="N28" s="374"/>
      <c r="O28" s="374"/>
      <c r="P28" s="374"/>
      <c r="Q28" s="374"/>
      <c r="R28" s="374"/>
      <c r="S28" s="359"/>
      <c r="T28" s="359"/>
      <c r="U28" s="359"/>
      <c r="V28" s="359"/>
      <c r="W28" s="359"/>
      <c r="X28" s="359"/>
      <c r="Y28" s="359"/>
      <c r="Z28" s="359"/>
      <c r="AA28" s="359"/>
      <c r="AB28" s="359"/>
      <c r="AC28" s="359"/>
      <c r="AD28" s="359"/>
      <c r="AE28" s="359"/>
      <c r="AF28" s="359"/>
    </row>
    <row r="29" ht="14.25" customHeight="1">
      <c r="A29" s="359"/>
      <c r="B29" s="359"/>
      <c r="C29" s="359"/>
      <c r="D29" s="374"/>
      <c r="E29" s="374"/>
      <c r="F29" s="374"/>
      <c r="G29" s="374"/>
      <c r="H29" s="374"/>
      <c r="I29" s="374"/>
      <c r="J29" s="374"/>
      <c r="K29" s="374"/>
      <c r="L29" s="374"/>
      <c r="M29" s="374"/>
      <c r="N29" s="374"/>
      <c r="O29" s="374"/>
      <c r="P29" s="374"/>
      <c r="Q29" s="374"/>
      <c r="R29" s="374"/>
      <c r="S29" s="359"/>
      <c r="T29" s="359"/>
      <c r="U29" s="359"/>
      <c r="V29" s="359"/>
      <c r="W29" s="359"/>
      <c r="X29" s="359"/>
      <c r="Y29" s="359"/>
      <c r="Z29" s="359"/>
      <c r="AA29" s="359"/>
      <c r="AB29" s="359"/>
      <c r="AC29" s="359"/>
      <c r="AD29" s="359"/>
      <c r="AE29" s="359"/>
      <c r="AF29" s="359"/>
    </row>
    <row r="30" ht="14.25" customHeight="1">
      <c r="A30" s="359"/>
      <c r="B30" s="359"/>
      <c r="C30" s="359"/>
      <c r="D30" s="374"/>
      <c r="E30" s="374"/>
      <c r="F30" s="374"/>
      <c r="G30" s="374"/>
      <c r="H30" s="374"/>
      <c r="I30" s="374"/>
      <c r="J30" s="374"/>
      <c r="K30" s="374"/>
      <c r="L30" s="374"/>
      <c r="M30" s="374"/>
      <c r="N30" s="374"/>
      <c r="O30" s="374"/>
      <c r="P30" s="374"/>
      <c r="Q30" s="374"/>
      <c r="R30" s="374"/>
      <c r="S30" s="359"/>
      <c r="T30" s="359"/>
      <c r="U30" s="359"/>
      <c r="V30" s="359"/>
      <c r="W30" s="359"/>
      <c r="X30" s="359"/>
      <c r="Y30" s="359"/>
      <c r="Z30" s="359"/>
      <c r="AA30" s="359"/>
      <c r="AB30" s="359"/>
      <c r="AC30" s="359"/>
      <c r="AD30" s="359"/>
      <c r="AE30" s="359"/>
      <c r="AF30" s="359"/>
    </row>
    <row r="31" ht="14.25" customHeight="1">
      <c r="A31" s="359"/>
      <c r="B31" s="359"/>
      <c r="C31" s="359"/>
      <c r="D31" s="374"/>
      <c r="E31" s="374"/>
      <c r="F31" s="374"/>
      <c r="G31" s="374"/>
      <c r="H31" s="374"/>
      <c r="I31" s="374"/>
      <c r="J31" s="374"/>
      <c r="K31" s="374"/>
      <c r="L31" s="374"/>
      <c r="M31" s="374"/>
      <c r="N31" s="374"/>
      <c r="O31" s="374"/>
      <c r="P31" s="374"/>
      <c r="Q31" s="374"/>
      <c r="R31" s="374"/>
      <c r="S31" s="359"/>
      <c r="T31" s="359"/>
      <c r="U31" s="359"/>
      <c r="V31" s="359"/>
      <c r="W31" s="359"/>
      <c r="X31" s="359"/>
      <c r="Y31" s="359"/>
      <c r="Z31" s="359"/>
      <c r="AA31" s="359"/>
      <c r="AB31" s="359"/>
      <c r="AC31" s="359"/>
      <c r="AD31" s="359"/>
      <c r="AE31" s="359"/>
      <c r="AF31" s="359"/>
    </row>
    <row r="32" ht="14.25" customHeight="1">
      <c r="A32" s="359"/>
      <c r="B32" s="359"/>
      <c r="C32" s="359"/>
      <c r="D32" s="374"/>
      <c r="E32" s="374"/>
      <c r="F32" s="374"/>
      <c r="G32" s="374"/>
      <c r="H32" s="374"/>
      <c r="I32" s="374"/>
      <c r="J32" s="374"/>
      <c r="K32" s="374"/>
      <c r="L32" s="374"/>
      <c r="M32" s="374"/>
      <c r="N32" s="374"/>
      <c r="O32" s="374"/>
      <c r="P32" s="374"/>
      <c r="Q32" s="374"/>
      <c r="R32" s="374"/>
      <c r="S32" s="359"/>
      <c r="T32" s="359"/>
      <c r="U32" s="359"/>
      <c r="V32" s="359"/>
      <c r="W32" s="359"/>
      <c r="X32" s="359"/>
      <c r="Y32" s="359"/>
      <c r="Z32" s="359"/>
      <c r="AA32" s="359"/>
      <c r="AB32" s="359"/>
      <c r="AC32" s="359"/>
      <c r="AD32" s="359"/>
      <c r="AE32" s="359"/>
      <c r="AF32" s="359"/>
    </row>
    <row r="33" ht="14.25" customHeight="1">
      <c r="A33" s="359"/>
      <c r="B33" s="359"/>
      <c r="C33" s="359"/>
      <c r="D33" s="374"/>
      <c r="E33" s="374"/>
      <c r="F33" s="374"/>
      <c r="G33" s="374"/>
      <c r="H33" s="374"/>
      <c r="I33" s="374"/>
      <c r="J33" s="374"/>
      <c r="K33" s="374"/>
      <c r="L33" s="374"/>
      <c r="M33" s="374"/>
      <c r="N33" s="374"/>
      <c r="O33" s="374"/>
      <c r="P33" s="374"/>
      <c r="Q33" s="374"/>
      <c r="R33" s="374"/>
      <c r="S33" s="359"/>
      <c r="T33" s="359"/>
      <c r="U33" s="359"/>
      <c r="V33" s="359"/>
      <c r="W33" s="359"/>
      <c r="X33" s="359"/>
      <c r="Y33" s="359"/>
      <c r="Z33" s="359"/>
      <c r="AA33" s="359"/>
      <c r="AB33" s="359"/>
      <c r="AC33" s="359"/>
      <c r="AD33" s="359"/>
      <c r="AE33" s="359"/>
      <c r="AF33" s="359"/>
    </row>
    <row r="34" ht="14.25" customHeight="1">
      <c r="A34" s="359"/>
      <c r="B34" s="359"/>
      <c r="C34" s="359"/>
      <c r="D34" s="374"/>
      <c r="E34" s="374"/>
      <c r="F34" s="374"/>
      <c r="G34" s="374"/>
      <c r="H34" s="374"/>
      <c r="I34" s="374"/>
      <c r="J34" s="374"/>
      <c r="K34" s="374"/>
      <c r="L34" s="374"/>
      <c r="M34" s="374"/>
      <c r="N34" s="374"/>
      <c r="O34" s="374"/>
      <c r="P34" s="374"/>
      <c r="Q34" s="374"/>
      <c r="R34" s="374"/>
      <c r="S34" s="359"/>
      <c r="T34" s="359"/>
      <c r="U34" s="359"/>
      <c r="V34" s="359"/>
      <c r="W34" s="359"/>
      <c r="X34" s="359"/>
      <c r="Y34" s="359"/>
      <c r="Z34" s="359"/>
      <c r="AA34" s="359"/>
      <c r="AB34" s="359"/>
      <c r="AC34" s="359"/>
      <c r="AD34" s="359"/>
      <c r="AE34" s="359"/>
      <c r="AF34" s="359"/>
    </row>
    <row r="35" ht="14.25" customHeight="1">
      <c r="A35" s="359"/>
      <c r="B35" s="359"/>
      <c r="C35" s="359"/>
      <c r="D35" s="374"/>
      <c r="E35" s="374"/>
      <c r="F35" s="374"/>
      <c r="G35" s="374"/>
      <c r="H35" s="374"/>
      <c r="I35" s="374"/>
      <c r="J35" s="374"/>
      <c r="K35" s="374"/>
      <c r="L35" s="374"/>
      <c r="M35" s="374"/>
      <c r="N35" s="374"/>
      <c r="O35" s="374"/>
      <c r="P35" s="374"/>
      <c r="Q35" s="374"/>
      <c r="R35" s="374"/>
      <c r="S35" s="359"/>
      <c r="T35" s="359"/>
      <c r="U35" s="359"/>
      <c r="V35" s="359"/>
      <c r="W35" s="359"/>
      <c r="X35" s="359"/>
      <c r="Y35" s="359"/>
      <c r="Z35" s="359"/>
      <c r="AA35" s="359"/>
      <c r="AB35" s="359"/>
      <c r="AC35" s="359"/>
      <c r="AD35" s="359"/>
      <c r="AE35" s="359"/>
      <c r="AF35" s="359"/>
    </row>
    <row r="36" ht="14.25" customHeight="1">
      <c r="A36" s="359"/>
      <c r="B36" s="359"/>
      <c r="C36" s="359"/>
      <c r="D36" s="374"/>
      <c r="E36" s="374"/>
      <c r="F36" s="374"/>
      <c r="G36" s="374"/>
      <c r="H36" s="374"/>
      <c r="I36" s="374"/>
      <c r="J36" s="374"/>
      <c r="K36" s="374"/>
      <c r="L36" s="374"/>
      <c r="M36" s="374"/>
      <c r="N36" s="374"/>
      <c r="O36" s="374"/>
      <c r="P36" s="374"/>
      <c r="Q36" s="374"/>
      <c r="R36" s="374"/>
      <c r="S36" s="359"/>
      <c r="T36" s="359"/>
      <c r="U36" s="359"/>
      <c r="V36" s="359"/>
      <c r="W36" s="359"/>
      <c r="X36" s="359"/>
      <c r="Y36" s="359"/>
      <c r="Z36" s="359"/>
      <c r="AA36" s="359"/>
      <c r="AB36" s="359"/>
      <c r="AC36" s="359"/>
      <c r="AD36" s="359"/>
      <c r="AE36" s="359"/>
      <c r="AF36" s="359"/>
    </row>
    <row r="37" ht="14.25" customHeight="1">
      <c r="A37" s="359"/>
      <c r="B37" s="359"/>
      <c r="C37" s="359"/>
      <c r="D37" s="374"/>
      <c r="E37" s="374"/>
      <c r="F37" s="374"/>
      <c r="G37" s="374"/>
      <c r="H37" s="374"/>
      <c r="I37" s="374"/>
      <c r="J37" s="374"/>
      <c r="K37" s="374"/>
      <c r="L37" s="374"/>
      <c r="M37" s="374"/>
      <c r="N37" s="374"/>
      <c r="O37" s="374"/>
      <c r="P37" s="374"/>
      <c r="Q37" s="374"/>
      <c r="R37" s="374"/>
      <c r="S37" s="359"/>
      <c r="T37" s="359"/>
      <c r="U37" s="359"/>
      <c r="V37" s="359"/>
      <c r="W37" s="359"/>
      <c r="X37" s="359"/>
      <c r="Y37" s="359"/>
      <c r="Z37" s="359"/>
      <c r="AA37" s="359"/>
      <c r="AB37" s="359"/>
      <c r="AC37" s="359"/>
      <c r="AD37" s="359"/>
      <c r="AE37" s="359"/>
      <c r="AF37" s="359"/>
    </row>
    <row r="38" ht="14.25" customHeight="1">
      <c r="A38" s="359"/>
      <c r="B38" s="359"/>
      <c r="C38" s="359"/>
      <c r="D38" s="374"/>
      <c r="E38" s="374"/>
      <c r="F38" s="374"/>
      <c r="G38" s="374"/>
      <c r="H38" s="374"/>
      <c r="I38" s="374"/>
      <c r="J38" s="374"/>
      <c r="K38" s="374"/>
      <c r="L38" s="374"/>
      <c r="M38" s="374"/>
      <c r="N38" s="374"/>
      <c r="O38" s="374"/>
      <c r="P38" s="374"/>
      <c r="Q38" s="374"/>
      <c r="R38" s="374"/>
      <c r="S38" s="359"/>
      <c r="T38" s="359"/>
      <c r="U38" s="359"/>
      <c r="V38" s="359"/>
      <c r="W38" s="359"/>
      <c r="X38" s="359"/>
      <c r="Y38" s="359"/>
      <c r="Z38" s="359"/>
      <c r="AA38" s="359"/>
      <c r="AB38" s="359"/>
      <c r="AC38" s="359"/>
      <c r="AD38" s="359"/>
      <c r="AE38" s="359"/>
      <c r="AF38" s="359"/>
    </row>
    <row r="39" ht="14.25" customHeight="1">
      <c r="A39" s="359"/>
      <c r="B39" s="359"/>
      <c r="C39" s="359"/>
      <c r="D39" s="374"/>
      <c r="E39" s="374"/>
      <c r="F39" s="374"/>
      <c r="G39" s="374"/>
      <c r="H39" s="374"/>
      <c r="I39" s="374"/>
      <c r="J39" s="374"/>
      <c r="K39" s="374"/>
      <c r="L39" s="374"/>
      <c r="M39" s="374"/>
      <c r="N39" s="374"/>
      <c r="O39" s="374"/>
      <c r="P39" s="374"/>
      <c r="Q39" s="374"/>
      <c r="R39" s="374"/>
      <c r="S39" s="359"/>
      <c r="T39" s="359"/>
      <c r="U39" s="359"/>
      <c r="V39" s="359"/>
      <c r="W39" s="359"/>
      <c r="X39" s="359"/>
      <c r="Y39" s="359"/>
      <c r="Z39" s="359"/>
      <c r="AA39" s="359"/>
      <c r="AB39" s="359"/>
      <c r="AC39" s="359"/>
      <c r="AD39" s="359"/>
      <c r="AE39" s="359"/>
      <c r="AF39" s="359"/>
    </row>
    <row r="40" ht="14.25" customHeight="1">
      <c r="A40" s="359"/>
      <c r="B40" s="359"/>
      <c r="C40" s="359"/>
      <c r="D40" s="374"/>
      <c r="E40" s="374"/>
      <c r="F40" s="374"/>
      <c r="G40" s="374"/>
      <c r="H40" s="374"/>
      <c r="I40" s="374"/>
      <c r="J40" s="374"/>
      <c r="K40" s="374"/>
      <c r="L40" s="374"/>
      <c r="M40" s="374"/>
      <c r="N40" s="374"/>
      <c r="O40" s="374"/>
      <c r="P40" s="374"/>
      <c r="Q40" s="374"/>
      <c r="R40" s="374"/>
      <c r="S40" s="359"/>
      <c r="T40" s="359"/>
      <c r="U40" s="359"/>
      <c r="V40" s="359"/>
      <c r="W40" s="359"/>
      <c r="X40" s="359"/>
      <c r="Y40" s="359"/>
      <c r="Z40" s="359"/>
      <c r="AA40" s="359"/>
      <c r="AB40" s="359"/>
      <c r="AC40" s="359"/>
      <c r="AD40" s="359"/>
      <c r="AE40" s="359"/>
      <c r="AF40" s="359"/>
    </row>
    <row r="41" ht="14.25" customHeight="1">
      <c r="A41" s="359"/>
      <c r="B41" s="359"/>
      <c r="C41" s="359"/>
      <c r="D41" s="374"/>
      <c r="E41" s="374"/>
      <c r="F41" s="374"/>
      <c r="G41" s="374"/>
      <c r="H41" s="374"/>
      <c r="I41" s="374"/>
      <c r="J41" s="374"/>
      <c r="K41" s="374"/>
      <c r="L41" s="374"/>
      <c r="M41" s="374"/>
      <c r="N41" s="374"/>
      <c r="O41" s="374"/>
      <c r="P41" s="374"/>
      <c r="Q41" s="374"/>
      <c r="R41" s="374"/>
      <c r="S41" s="359"/>
      <c r="T41" s="359"/>
      <c r="U41" s="359"/>
      <c r="V41" s="359"/>
      <c r="W41" s="359"/>
      <c r="X41" s="359"/>
      <c r="Y41" s="359"/>
      <c r="Z41" s="359"/>
      <c r="AA41" s="359"/>
      <c r="AB41" s="359"/>
      <c r="AC41" s="359"/>
      <c r="AD41" s="359"/>
      <c r="AE41" s="359"/>
      <c r="AF41" s="359"/>
    </row>
    <row r="42" ht="14.25" customHeight="1">
      <c r="A42" s="359"/>
      <c r="B42" s="359"/>
      <c r="C42" s="359"/>
      <c r="D42" s="374"/>
      <c r="E42" s="374"/>
      <c r="F42" s="374"/>
      <c r="G42" s="374"/>
      <c r="H42" s="374"/>
      <c r="I42" s="374"/>
      <c r="J42" s="374"/>
      <c r="K42" s="374"/>
      <c r="L42" s="374"/>
      <c r="M42" s="374"/>
      <c r="N42" s="374"/>
      <c r="O42" s="374"/>
      <c r="P42" s="374"/>
      <c r="Q42" s="374"/>
      <c r="R42" s="374"/>
      <c r="S42" s="359"/>
      <c r="T42" s="359"/>
      <c r="U42" s="359"/>
      <c r="V42" s="359"/>
      <c r="W42" s="359"/>
      <c r="X42" s="359"/>
      <c r="Y42" s="359"/>
      <c r="Z42" s="359"/>
      <c r="AA42" s="359"/>
      <c r="AB42" s="359"/>
      <c r="AC42" s="359"/>
      <c r="AD42" s="359"/>
      <c r="AE42" s="359"/>
      <c r="AF42" s="359"/>
    </row>
    <row r="43" ht="14.25" customHeight="1">
      <c r="A43" s="359"/>
      <c r="B43" s="359"/>
      <c r="C43" s="359"/>
      <c r="D43" s="374"/>
      <c r="E43" s="374"/>
      <c r="F43" s="374"/>
      <c r="G43" s="374"/>
      <c r="H43" s="374"/>
      <c r="I43" s="374"/>
      <c r="J43" s="374"/>
      <c r="K43" s="374"/>
      <c r="L43" s="374"/>
      <c r="M43" s="374"/>
      <c r="N43" s="374"/>
      <c r="O43" s="374"/>
      <c r="P43" s="374"/>
      <c r="Q43" s="374"/>
      <c r="R43" s="374"/>
      <c r="S43" s="359"/>
      <c r="T43" s="359"/>
      <c r="U43" s="359"/>
      <c r="V43" s="359"/>
      <c r="W43" s="359"/>
      <c r="X43" s="359"/>
      <c r="Y43" s="359"/>
      <c r="Z43" s="359"/>
      <c r="AA43" s="359"/>
      <c r="AB43" s="359"/>
      <c r="AC43" s="359"/>
      <c r="AD43" s="359"/>
      <c r="AE43" s="359"/>
      <c r="AF43" s="359"/>
    </row>
    <row r="44" ht="14.25" customHeight="1">
      <c r="A44" s="359"/>
      <c r="B44" s="359"/>
      <c r="C44" s="359"/>
      <c r="D44" s="374"/>
      <c r="E44" s="374"/>
      <c r="F44" s="374"/>
      <c r="G44" s="374"/>
      <c r="H44" s="374"/>
      <c r="I44" s="374"/>
      <c r="J44" s="374"/>
      <c r="K44" s="374"/>
      <c r="L44" s="374"/>
      <c r="M44" s="374"/>
      <c r="N44" s="374"/>
      <c r="O44" s="374"/>
      <c r="P44" s="374"/>
      <c r="Q44" s="374"/>
      <c r="R44" s="374"/>
      <c r="S44" s="359"/>
      <c r="T44" s="359"/>
      <c r="U44" s="359"/>
      <c r="V44" s="359"/>
      <c r="W44" s="359"/>
      <c r="X44" s="359"/>
      <c r="Y44" s="359"/>
      <c r="Z44" s="359"/>
      <c r="AA44" s="359"/>
      <c r="AB44" s="359"/>
      <c r="AC44" s="359"/>
      <c r="AD44" s="359"/>
      <c r="AE44" s="359"/>
      <c r="AF44" s="359"/>
    </row>
    <row r="45" ht="14.25" customHeight="1">
      <c r="A45" s="359"/>
      <c r="B45" s="359"/>
      <c r="C45" s="359"/>
      <c r="D45" s="374"/>
      <c r="E45" s="374"/>
      <c r="F45" s="374"/>
      <c r="G45" s="374"/>
      <c r="H45" s="374"/>
      <c r="I45" s="374"/>
      <c r="J45" s="374"/>
      <c r="K45" s="374"/>
      <c r="L45" s="374"/>
      <c r="M45" s="374"/>
      <c r="N45" s="374"/>
      <c r="O45" s="374"/>
      <c r="P45" s="374"/>
      <c r="Q45" s="374"/>
      <c r="R45" s="374"/>
      <c r="S45" s="359"/>
      <c r="T45" s="359"/>
      <c r="U45" s="359"/>
      <c r="V45" s="359"/>
      <c r="W45" s="359"/>
      <c r="X45" s="359"/>
      <c r="Y45" s="359"/>
      <c r="Z45" s="359"/>
      <c r="AA45" s="359"/>
      <c r="AB45" s="359"/>
      <c r="AC45" s="359"/>
      <c r="AD45" s="359"/>
      <c r="AE45" s="359"/>
      <c r="AF45" s="359"/>
    </row>
    <row r="46" ht="14.25" customHeight="1">
      <c r="A46" s="359"/>
      <c r="B46" s="359"/>
      <c r="C46" s="359"/>
      <c r="D46" s="374"/>
      <c r="E46" s="374"/>
      <c r="F46" s="374"/>
      <c r="G46" s="374"/>
      <c r="H46" s="374"/>
      <c r="I46" s="374"/>
      <c r="J46" s="374"/>
      <c r="K46" s="374"/>
      <c r="L46" s="374"/>
      <c r="M46" s="374"/>
      <c r="N46" s="374"/>
      <c r="O46" s="374"/>
      <c r="P46" s="374"/>
      <c r="Q46" s="374"/>
      <c r="R46" s="374"/>
      <c r="S46" s="359"/>
      <c r="T46" s="359"/>
      <c r="U46" s="359"/>
      <c r="V46" s="359"/>
      <c r="W46" s="359"/>
      <c r="X46" s="359"/>
      <c r="Y46" s="359"/>
      <c r="Z46" s="359"/>
      <c r="AA46" s="359"/>
      <c r="AB46" s="359"/>
      <c r="AC46" s="359"/>
      <c r="AD46" s="359"/>
      <c r="AE46" s="359"/>
      <c r="AF46" s="359"/>
    </row>
    <row r="47" ht="14.25" customHeight="1">
      <c r="A47" s="359"/>
      <c r="B47" s="359"/>
      <c r="C47" s="359"/>
      <c r="D47" s="374"/>
      <c r="E47" s="374"/>
      <c r="F47" s="374"/>
      <c r="G47" s="374"/>
      <c r="H47" s="374"/>
      <c r="I47" s="374"/>
      <c r="J47" s="374"/>
      <c r="K47" s="374"/>
      <c r="L47" s="374"/>
      <c r="M47" s="374"/>
      <c r="N47" s="374"/>
      <c r="O47" s="374"/>
      <c r="P47" s="374"/>
      <c r="Q47" s="374"/>
      <c r="R47" s="374"/>
      <c r="S47" s="359"/>
      <c r="T47" s="359"/>
      <c r="U47" s="359"/>
      <c r="V47" s="359"/>
      <c r="W47" s="359"/>
      <c r="X47" s="359"/>
      <c r="Y47" s="359"/>
      <c r="Z47" s="359"/>
      <c r="AA47" s="359"/>
      <c r="AB47" s="359"/>
      <c r="AC47" s="359"/>
      <c r="AD47" s="359"/>
      <c r="AE47" s="359"/>
      <c r="AF47" s="359"/>
    </row>
    <row r="48" ht="14.25" customHeight="1">
      <c r="A48" s="359"/>
      <c r="B48" s="359"/>
      <c r="C48" s="359"/>
      <c r="D48" s="374"/>
      <c r="E48" s="374"/>
      <c r="F48" s="374"/>
      <c r="G48" s="374"/>
      <c r="H48" s="374"/>
      <c r="I48" s="374"/>
      <c r="J48" s="374"/>
      <c r="K48" s="374"/>
      <c r="L48" s="374"/>
      <c r="M48" s="374"/>
      <c r="N48" s="374"/>
      <c r="O48" s="374"/>
      <c r="P48" s="374"/>
      <c r="Q48" s="374"/>
      <c r="R48" s="374"/>
      <c r="S48" s="359"/>
      <c r="T48" s="359"/>
      <c r="U48" s="359"/>
      <c r="V48" s="359"/>
      <c r="W48" s="359"/>
      <c r="X48" s="359"/>
      <c r="Y48" s="359"/>
      <c r="Z48" s="359"/>
      <c r="AA48" s="359"/>
      <c r="AB48" s="359"/>
      <c r="AC48" s="359"/>
      <c r="AD48" s="359"/>
      <c r="AE48" s="359"/>
      <c r="AF48" s="359"/>
    </row>
    <row r="49" ht="14.25" customHeight="1">
      <c r="A49" s="359"/>
      <c r="B49" s="359"/>
      <c r="C49" s="359"/>
      <c r="D49" s="374"/>
      <c r="E49" s="374"/>
      <c r="F49" s="374"/>
      <c r="G49" s="374"/>
      <c r="H49" s="374"/>
      <c r="I49" s="374"/>
      <c r="J49" s="374"/>
      <c r="K49" s="374"/>
      <c r="L49" s="374"/>
      <c r="M49" s="374"/>
      <c r="N49" s="374"/>
      <c r="O49" s="374"/>
      <c r="P49" s="374"/>
      <c r="Q49" s="374"/>
      <c r="R49" s="374"/>
      <c r="S49" s="359"/>
      <c r="T49" s="359"/>
      <c r="U49" s="359"/>
      <c r="V49" s="359"/>
      <c r="W49" s="359"/>
      <c r="X49" s="359"/>
      <c r="Y49" s="359"/>
      <c r="Z49" s="359"/>
      <c r="AA49" s="359"/>
      <c r="AB49" s="359"/>
      <c r="AC49" s="359"/>
      <c r="AD49" s="359"/>
      <c r="AE49" s="359"/>
      <c r="AF49" s="359"/>
    </row>
    <row r="50" ht="14.25" customHeight="1">
      <c r="A50" s="359"/>
      <c r="B50" s="359"/>
      <c r="C50" s="359"/>
      <c r="D50" s="374"/>
      <c r="E50" s="374"/>
      <c r="F50" s="374"/>
      <c r="G50" s="374"/>
      <c r="H50" s="374"/>
      <c r="I50" s="374"/>
      <c r="J50" s="374"/>
      <c r="K50" s="374"/>
      <c r="L50" s="374"/>
      <c r="M50" s="374"/>
      <c r="N50" s="374"/>
      <c r="O50" s="374"/>
      <c r="P50" s="374"/>
      <c r="Q50" s="374"/>
      <c r="R50" s="374"/>
      <c r="S50" s="359"/>
      <c r="T50" s="359"/>
      <c r="U50" s="359"/>
      <c r="V50" s="359"/>
      <c r="W50" s="359"/>
      <c r="X50" s="359"/>
      <c r="Y50" s="359"/>
      <c r="Z50" s="359"/>
      <c r="AA50" s="359"/>
      <c r="AB50" s="359"/>
      <c r="AC50" s="359"/>
      <c r="AD50" s="359"/>
      <c r="AE50" s="359"/>
      <c r="AF50" s="359"/>
    </row>
    <row r="51" ht="14.25" customHeight="1">
      <c r="A51" s="359"/>
      <c r="B51" s="359"/>
      <c r="C51" s="359"/>
      <c r="D51" s="374"/>
      <c r="E51" s="374"/>
      <c r="F51" s="374"/>
      <c r="G51" s="374"/>
      <c r="H51" s="374"/>
      <c r="I51" s="374"/>
      <c r="J51" s="374"/>
      <c r="K51" s="374"/>
      <c r="L51" s="374"/>
      <c r="M51" s="374"/>
      <c r="N51" s="374"/>
      <c r="O51" s="374"/>
      <c r="P51" s="374"/>
      <c r="Q51" s="374"/>
      <c r="R51" s="374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359"/>
      <c r="AF51" s="359"/>
    </row>
    <row r="52" ht="14.25" customHeight="1">
      <c r="A52" s="359"/>
      <c r="B52" s="359"/>
      <c r="C52" s="359"/>
      <c r="D52" s="374"/>
      <c r="E52" s="374"/>
      <c r="F52" s="374"/>
      <c r="G52" s="374"/>
      <c r="H52" s="374"/>
      <c r="I52" s="374"/>
      <c r="J52" s="374"/>
      <c r="K52" s="374"/>
      <c r="L52" s="374"/>
      <c r="M52" s="374"/>
      <c r="N52" s="374"/>
      <c r="O52" s="374"/>
      <c r="P52" s="374"/>
      <c r="Q52" s="374"/>
      <c r="R52" s="374"/>
      <c r="S52" s="359"/>
      <c r="T52" s="359"/>
      <c r="U52" s="359"/>
      <c r="V52" s="359"/>
      <c r="W52" s="359"/>
      <c r="X52" s="359"/>
      <c r="Y52" s="359"/>
      <c r="Z52" s="359"/>
      <c r="AA52" s="359"/>
      <c r="AB52" s="359"/>
      <c r="AC52" s="359"/>
      <c r="AD52" s="359"/>
      <c r="AE52" s="359"/>
      <c r="AF52" s="359"/>
    </row>
    <row r="53" ht="14.25" customHeight="1">
      <c r="A53" s="359"/>
      <c r="B53" s="359"/>
      <c r="C53" s="359"/>
      <c r="D53" s="374"/>
      <c r="E53" s="374"/>
      <c r="F53" s="374"/>
      <c r="G53" s="374"/>
      <c r="H53" s="374"/>
      <c r="I53" s="374"/>
      <c r="J53" s="374"/>
      <c r="K53" s="374"/>
      <c r="L53" s="374"/>
      <c r="M53" s="374"/>
      <c r="N53" s="374"/>
      <c r="O53" s="374"/>
      <c r="P53" s="374"/>
      <c r="Q53" s="374"/>
      <c r="R53" s="374"/>
      <c r="S53" s="359"/>
      <c r="T53" s="359"/>
      <c r="U53" s="359"/>
      <c r="V53" s="359"/>
      <c r="W53" s="359"/>
      <c r="X53" s="359"/>
      <c r="Y53" s="359"/>
      <c r="Z53" s="359"/>
      <c r="AA53" s="359"/>
      <c r="AB53" s="359"/>
      <c r="AC53" s="359"/>
      <c r="AD53" s="359"/>
      <c r="AE53" s="359"/>
      <c r="AF53" s="359"/>
    </row>
    <row r="54" ht="14.25" customHeight="1">
      <c r="A54" s="359"/>
      <c r="B54" s="359"/>
      <c r="C54" s="359"/>
      <c r="D54" s="374"/>
      <c r="E54" s="374"/>
      <c r="F54" s="374"/>
      <c r="G54" s="374"/>
      <c r="H54" s="374"/>
      <c r="I54" s="374"/>
      <c r="J54" s="374"/>
      <c r="K54" s="374"/>
      <c r="L54" s="374"/>
      <c r="M54" s="374"/>
      <c r="N54" s="374"/>
      <c r="O54" s="374"/>
      <c r="P54" s="374"/>
      <c r="Q54" s="374"/>
      <c r="R54" s="374"/>
      <c r="S54" s="359"/>
      <c r="T54" s="359"/>
      <c r="U54" s="359"/>
      <c r="V54" s="359"/>
      <c r="W54" s="359"/>
      <c r="X54" s="359"/>
      <c r="Y54" s="359"/>
      <c r="Z54" s="359"/>
      <c r="AA54" s="359"/>
      <c r="AB54" s="359"/>
      <c r="AC54" s="359"/>
      <c r="AD54" s="359"/>
      <c r="AE54" s="359"/>
      <c r="AF54" s="359"/>
    </row>
    <row r="55" ht="14.25" customHeight="1">
      <c r="A55" s="359"/>
      <c r="B55" s="359"/>
      <c r="C55" s="359"/>
      <c r="D55" s="374"/>
      <c r="E55" s="374"/>
      <c r="F55" s="374"/>
      <c r="G55" s="374"/>
      <c r="H55" s="374"/>
      <c r="I55" s="374"/>
      <c r="J55" s="374"/>
      <c r="K55" s="374"/>
      <c r="L55" s="374"/>
      <c r="M55" s="374"/>
      <c r="N55" s="374"/>
      <c r="O55" s="374"/>
      <c r="P55" s="374"/>
      <c r="Q55" s="374"/>
      <c r="R55" s="374"/>
      <c r="S55" s="359"/>
      <c r="T55" s="359"/>
      <c r="U55" s="359"/>
      <c r="V55" s="359"/>
      <c r="W55" s="359"/>
      <c r="X55" s="359"/>
      <c r="Y55" s="359"/>
      <c r="Z55" s="359"/>
      <c r="AA55" s="359"/>
      <c r="AB55" s="359"/>
      <c r="AC55" s="359"/>
      <c r="AD55" s="359"/>
      <c r="AE55" s="359"/>
      <c r="AF55" s="359"/>
    </row>
    <row r="56" ht="14.25" customHeight="1">
      <c r="A56" s="359"/>
      <c r="B56" s="359"/>
      <c r="C56" s="359"/>
      <c r="D56" s="374"/>
      <c r="E56" s="374"/>
      <c r="F56" s="374"/>
      <c r="G56" s="374"/>
      <c r="H56" s="374"/>
      <c r="I56" s="374"/>
      <c r="J56" s="374"/>
      <c r="K56" s="374"/>
      <c r="L56" s="374"/>
      <c r="M56" s="374"/>
      <c r="N56" s="374"/>
      <c r="O56" s="374"/>
      <c r="P56" s="374"/>
      <c r="Q56" s="374"/>
      <c r="R56" s="374"/>
      <c r="S56" s="359"/>
      <c r="T56" s="359"/>
      <c r="U56" s="359"/>
      <c r="V56" s="359"/>
      <c r="W56" s="359"/>
      <c r="X56" s="359"/>
      <c r="Y56" s="359"/>
      <c r="Z56" s="359"/>
      <c r="AA56" s="359"/>
      <c r="AB56" s="359"/>
      <c r="AC56" s="359"/>
      <c r="AD56" s="359"/>
      <c r="AE56" s="359"/>
      <c r="AF56" s="359"/>
    </row>
    <row r="57" ht="14.25" customHeight="1">
      <c r="A57" s="359"/>
      <c r="B57" s="359"/>
      <c r="C57" s="359"/>
      <c r="D57" s="374"/>
      <c r="E57" s="374"/>
      <c r="F57" s="374"/>
      <c r="G57" s="374"/>
      <c r="H57" s="374"/>
      <c r="I57" s="374"/>
      <c r="J57" s="374"/>
      <c r="K57" s="374"/>
      <c r="L57" s="374"/>
      <c r="M57" s="374"/>
      <c r="N57" s="374"/>
      <c r="O57" s="374"/>
      <c r="P57" s="374"/>
      <c r="Q57" s="374"/>
      <c r="R57" s="374"/>
      <c r="S57" s="359"/>
      <c r="T57" s="359"/>
      <c r="U57" s="359"/>
      <c r="V57" s="359"/>
      <c r="W57" s="359"/>
      <c r="X57" s="359"/>
      <c r="Y57" s="359"/>
      <c r="Z57" s="359"/>
      <c r="AA57" s="359"/>
      <c r="AB57" s="359"/>
      <c r="AC57" s="359"/>
      <c r="AD57" s="359"/>
      <c r="AE57" s="359"/>
      <c r="AF57" s="359"/>
    </row>
    <row r="58" ht="14.25" customHeight="1">
      <c r="A58" s="359"/>
      <c r="B58" s="359"/>
      <c r="C58" s="359"/>
      <c r="D58" s="374"/>
      <c r="E58" s="374"/>
      <c r="F58" s="374"/>
      <c r="G58" s="374"/>
      <c r="H58" s="374"/>
      <c r="I58" s="374"/>
      <c r="J58" s="374"/>
      <c r="K58" s="374"/>
      <c r="L58" s="374"/>
      <c r="M58" s="374"/>
      <c r="N58" s="374"/>
      <c r="O58" s="374"/>
      <c r="P58" s="374"/>
      <c r="Q58" s="374"/>
      <c r="R58" s="374"/>
      <c r="S58" s="359"/>
      <c r="T58" s="359"/>
      <c r="U58" s="359"/>
      <c r="V58" s="359"/>
      <c r="W58" s="359"/>
      <c r="X58" s="359"/>
      <c r="Y58" s="359"/>
      <c r="Z58" s="359"/>
      <c r="AA58" s="359"/>
      <c r="AB58" s="359"/>
      <c r="AC58" s="359"/>
      <c r="AD58" s="359"/>
      <c r="AE58" s="359"/>
      <c r="AF58" s="359"/>
    </row>
    <row r="59" ht="14.25" customHeight="1">
      <c r="A59" s="359"/>
      <c r="B59" s="359"/>
      <c r="C59" s="359"/>
      <c r="D59" s="374"/>
      <c r="E59" s="374"/>
      <c r="F59" s="374"/>
      <c r="G59" s="374"/>
      <c r="H59" s="374"/>
      <c r="I59" s="374"/>
      <c r="J59" s="374"/>
      <c r="K59" s="374"/>
      <c r="L59" s="374"/>
      <c r="M59" s="374"/>
      <c r="N59" s="374"/>
      <c r="O59" s="374"/>
      <c r="P59" s="374"/>
      <c r="Q59" s="374"/>
      <c r="R59" s="374"/>
      <c r="S59" s="359"/>
      <c r="T59" s="359"/>
      <c r="U59" s="359"/>
      <c r="V59" s="359"/>
      <c r="W59" s="359"/>
      <c r="X59" s="359"/>
      <c r="Y59" s="359"/>
      <c r="Z59" s="359"/>
      <c r="AA59" s="359"/>
      <c r="AB59" s="359"/>
      <c r="AC59" s="359"/>
      <c r="AD59" s="359"/>
      <c r="AE59" s="359"/>
      <c r="AF59" s="359"/>
    </row>
    <row r="60" ht="14.25" customHeight="1">
      <c r="A60" s="359"/>
      <c r="B60" s="359"/>
      <c r="C60" s="359"/>
      <c r="D60" s="374"/>
      <c r="E60" s="374"/>
      <c r="F60" s="374"/>
      <c r="G60" s="374"/>
      <c r="H60" s="374"/>
      <c r="I60" s="374"/>
      <c r="J60" s="374"/>
      <c r="K60" s="374"/>
      <c r="L60" s="374"/>
      <c r="M60" s="374"/>
      <c r="N60" s="374"/>
      <c r="O60" s="374"/>
      <c r="P60" s="374"/>
      <c r="Q60" s="374"/>
      <c r="R60" s="374"/>
      <c r="S60" s="359"/>
      <c r="T60" s="359"/>
      <c r="U60" s="359"/>
      <c r="V60" s="359"/>
      <c r="W60" s="359"/>
      <c r="X60" s="359"/>
      <c r="Y60" s="359"/>
      <c r="Z60" s="359"/>
      <c r="AA60" s="359"/>
      <c r="AB60" s="359"/>
      <c r="AC60" s="359"/>
      <c r="AD60" s="359"/>
      <c r="AE60" s="359"/>
      <c r="AF60" s="359"/>
    </row>
    <row r="61" ht="14.25" customHeight="1">
      <c r="A61" s="359"/>
      <c r="B61" s="359"/>
      <c r="C61" s="359"/>
      <c r="D61" s="374"/>
      <c r="E61" s="374"/>
      <c r="F61" s="374"/>
      <c r="G61" s="374"/>
      <c r="H61" s="374"/>
      <c r="I61" s="374"/>
      <c r="J61" s="374"/>
      <c r="K61" s="374"/>
      <c r="L61" s="374"/>
      <c r="M61" s="374"/>
      <c r="N61" s="374"/>
      <c r="O61" s="374"/>
      <c r="P61" s="374"/>
      <c r="Q61" s="374"/>
      <c r="R61" s="374"/>
      <c r="S61" s="359"/>
      <c r="T61" s="359"/>
      <c r="U61" s="359"/>
      <c r="V61" s="359"/>
      <c r="W61" s="359"/>
      <c r="X61" s="359"/>
      <c r="Y61" s="359"/>
      <c r="Z61" s="359"/>
      <c r="AA61" s="359"/>
      <c r="AB61" s="359"/>
      <c r="AC61" s="359"/>
      <c r="AD61" s="359"/>
      <c r="AE61" s="359"/>
      <c r="AF61" s="359"/>
    </row>
    <row r="62" ht="14.25" customHeight="1">
      <c r="A62" s="359"/>
      <c r="B62" s="359"/>
      <c r="C62" s="359"/>
      <c r="D62" s="374"/>
      <c r="E62" s="374"/>
      <c r="F62" s="374"/>
      <c r="G62" s="374"/>
      <c r="H62" s="374"/>
      <c r="I62" s="374"/>
      <c r="J62" s="374"/>
      <c r="K62" s="374"/>
      <c r="L62" s="374"/>
      <c r="M62" s="374"/>
      <c r="N62" s="374"/>
      <c r="O62" s="374"/>
      <c r="P62" s="374"/>
      <c r="Q62" s="374"/>
      <c r="R62" s="374"/>
      <c r="S62" s="359"/>
      <c r="T62" s="359"/>
      <c r="U62" s="359"/>
      <c r="V62" s="359"/>
      <c r="W62" s="359"/>
      <c r="X62" s="359"/>
      <c r="Y62" s="359"/>
      <c r="Z62" s="359"/>
      <c r="AA62" s="359"/>
      <c r="AB62" s="359"/>
      <c r="AC62" s="359"/>
      <c r="AD62" s="359"/>
      <c r="AE62" s="359"/>
      <c r="AF62" s="359"/>
    </row>
    <row r="63" ht="14.25" customHeight="1">
      <c r="A63" s="359"/>
      <c r="B63" s="359"/>
      <c r="C63" s="359"/>
      <c r="D63" s="374"/>
      <c r="E63" s="374"/>
      <c r="F63" s="374"/>
      <c r="G63" s="374"/>
      <c r="H63" s="374"/>
      <c r="I63" s="374"/>
      <c r="J63" s="374"/>
      <c r="K63" s="374"/>
      <c r="L63" s="374"/>
      <c r="M63" s="374"/>
      <c r="N63" s="374"/>
      <c r="O63" s="374"/>
      <c r="P63" s="374"/>
      <c r="Q63" s="374"/>
      <c r="R63" s="374"/>
      <c r="S63" s="359"/>
      <c r="T63" s="359"/>
      <c r="U63" s="359"/>
      <c r="V63" s="359"/>
      <c r="W63" s="359"/>
      <c r="X63" s="359"/>
      <c r="Y63" s="359"/>
      <c r="Z63" s="359"/>
      <c r="AA63" s="359"/>
      <c r="AB63" s="359"/>
      <c r="AC63" s="359"/>
      <c r="AD63" s="359"/>
      <c r="AE63" s="359"/>
      <c r="AF63" s="359"/>
    </row>
    <row r="64" ht="14.25" customHeight="1">
      <c r="A64" s="359"/>
      <c r="B64" s="359"/>
      <c r="C64" s="359"/>
      <c r="D64" s="374"/>
      <c r="E64" s="374"/>
      <c r="F64" s="374"/>
      <c r="G64" s="374"/>
      <c r="H64" s="374"/>
      <c r="I64" s="374"/>
      <c r="J64" s="374"/>
      <c r="K64" s="374"/>
      <c r="L64" s="374"/>
      <c r="M64" s="374"/>
      <c r="N64" s="374"/>
      <c r="O64" s="374"/>
      <c r="P64" s="374"/>
      <c r="Q64" s="374"/>
      <c r="R64" s="374"/>
      <c r="S64" s="359"/>
      <c r="T64" s="359"/>
      <c r="U64" s="359"/>
      <c r="V64" s="359"/>
      <c r="W64" s="359"/>
      <c r="X64" s="359"/>
      <c r="Y64" s="359"/>
      <c r="Z64" s="359"/>
      <c r="AA64" s="359"/>
      <c r="AB64" s="359"/>
      <c r="AC64" s="359"/>
      <c r="AD64" s="359"/>
      <c r="AE64" s="359"/>
      <c r="AF64" s="359"/>
    </row>
    <row r="65" ht="14.25" customHeight="1">
      <c r="A65" s="359"/>
      <c r="B65" s="359"/>
      <c r="C65" s="359"/>
      <c r="D65" s="374"/>
      <c r="E65" s="374"/>
      <c r="F65" s="374"/>
      <c r="G65" s="374"/>
      <c r="H65" s="374"/>
      <c r="I65" s="374"/>
      <c r="J65" s="374"/>
      <c r="K65" s="374"/>
      <c r="L65" s="374"/>
      <c r="M65" s="374"/>
      <c r="N65" s="374"/>
      <c r="O65" s="374"/>
      <c r="P65" s="374"/>
      <c r="Q65" s="374"/>
      <c r="R65" s="374"/>
      <c r="S65" s="359"/>
      <c r="T65" s="359"/>
      <c r="U65" s="359"/>
      <c r="V65" s="359"/>
      <c r="W65" s="359"/>
      <c r="X65" s="359"/>
      <c r="Y65" s="359"/>
      <c r="Z65" s="359"/>
      <c r="AA65" s="359"/>
      <c r="AB65" s="359"/>
      <c r="AC65" s="359"/>
      <c r="AD65" s="359"/>
      <c r="AE65" s="359"/>
      <c r="AF65" s="359"/>
    </row>
    <row r="66" ht="14.25" customHeight="1">
      <c r="A66" s="359"/>
      <c r="B66" s="359"/>
      <c r="C66" s="359"/>
      <c r="D66" s="374"/>
      <c r="E66" s="374"/>
      <c r="F66" s="374"/>
      <c r="G66" s="374"/>
      <c r="H66" s="374"/>
      <c r="I66" s="374"/>
      <c r="J66" s="374"/>
      <c r="K66" s="374"/>
      <c r="L66" s="374"/>
      <c r="M66" s="374"/>
      <c r="N66" s="374"/>
      <c r="O66" s="374"/>
      <c r="P66" s="374"/>
      <c r="Q66" s="374"/>
      <c r="R66" s="374"/>
      <c r="S66" s="359"/>
      <c r="T66" s="359"/>
      <c r="U66" s="359"/>
      <c r="V66" s="359"/>
      <c r="W66" s="359"/>
      <c r="X66" s="359"/>
      <c r="Y66" s="359"/>
      <c r="Z66" s="359"/>
      <c r="AA66" s="359"/>
      <c r="AB66" s="359"/>
      <c r="AC66" s="359"/>
      <c r="AD66" s="359"/>
      <c r="AE66" s="359"/>
      <c r="AF66" s="359"/>
    </row>
    <row r="67" ht="14.25" customHeight="1">
      <c r="A67" s="359"/>
      <c r="B67" s="359"/>
      <c r="C67" s="359"/>
      <c r="D67" s="374"/>
      <c r="E67" s="374"/>
      <c r="F67" s="374"/>
      <c r="G67" s="374"/>
      <c r="H67" s="374"/>
      <c r="I67" s="374"/>
      <c r="J67" s="374"/>
      <c r="K67" s="374"/>
      <c r="L67" s="374"/>
      <c r="M67" s="374"/>
      <c r="N67" s="374"/>
      <c r="O67" s="374"/>
      <c r="P67" s="374"/>
      <c r="Q67" s="374"/>
      <c r="R67" s="374"/>
      <c r="S67" s="359"/>
      <c r="T67" s="359"/>
      <c r="U67" s="359"/>
      <c r="V67" s="359"/>
      <c r="W67" s="359"/>
      <c r="X67" s="359"/>
      <c r="Y67" s="359"/>
      <c r="Z67" s="359"/>
      <c r="AA67" s="359"/>
      <c r="AB67" s="359"/>
      <c r="AC67" s="359"/>
      <c r="AD67" s="359"/>
      <c r="AE67" s="359"/>
      <c r="AF67" s="359"/>
    </row>
    <row r="68" ht="14.25" customHeight="1">
      <c r="A68" s="359"/>
      <c r="B68" s="359"/>
      <c r="C68" s="359"/>
      <c r="D68" s="374"/>
      <c r="E68" s="374"/>
      <c r="F68" s="374"/>
      <c r="G68" s="374"/>
      <c r="H68" s="374"/>
      <c r="I68" s="374"/>
      <c r="J68" s="374"/>
      <c r="K68" s="374"/>
      <c r="L68" s="374"/>
      <c r="M68" s="374"/>
      <c r="N68" s="374"/>
      <c r="O68" s="374"/>
      <c r="P68" s="374"/>
      <c r="Q68" s="374"/>
      <c r="R68" s="374"/>
      <c r="S68" s="359"/>
      <c r="T68" s="359"/>
      <c r="U68" s="359"/>
      <c r="V68" s="359"/>
      <c r="W68" s="359"/>
      <c r="X68" s="359"/>
      <c r="Y68" s="359"/>
      <c r="Z68" s="359"/>
      <c r="AA68" s="359"/>
      <c r="AB68" s="359"/>
      <c r="AC68" s="359"/>
      <c r="AD68" s="359"/>
      <c r="AE68" s="359"/>
      <c r="AF68" s="359"/>
    </row>
    <row r="69" ht="14.25" customHeight="1">
      <c r="A69" s="359"/>
      <c r="B69" s="359"/>
      <c r="C69" s="359"/>
      <c r="D69" s="374"/>
      <c r="E69" s="374"/>
      <c r="F69" s="374"/>
      <c r="G69" s="374"/>
      <c r="H69" s="374"/>
      <c r="I69" s="374"/>
      <c r="J69" s="374"/>
      <c r="K69" s="374"/>
      <c r="L69" s="374"/>
      <c r="M69" s="374"/>
      <c r="N69" s="374"/>
      <c r="O69" s="374"/>
      <c r="P69" s="374"/>
      <c r="Q69" s="374"/>
      <c r="R69" s="374"/>
      <c r="S69" s="359"/>
      <c r="T69" s="359"/>
      <c r="U69" s="359"/>
      <c r="V69" s="359"/>
      <c r="W69" s="359"/>
      <c r="X69" s="359"/>
      <c r="Y69" s="359"/>
      <c r="Z69" s="359"/>
      <c r="AA69" s="359"/>
      <c r="AB69" s="359"/>
      <c r="AC69" s="359"/>
      <c r="AD69" s="359"/>
      <c r="AE69" s="359"/>
      <c r="AF69" s="359"/>
    </row>
    <row r="70" ht="14.25" customHeight="1">
      <c r="A70" s="359"/>
      <c r="B70" s="359"/>
      <c r="C70" s="359"/>
      <c r="D70" s="374"/>
      <c r="E70" s="374"/>
      <c r="F70" s="374"/>
      <c r="G70" s="374"/>
      <c r="H70" s="374"/>
      <c r="I70" s="374"/>
      <c r="J70" s="374"/>
      <c r="K70" s="374"/>
      <c r="L70" s="374"/>
      <c r="M70" s="374"/>
      <c r="N70" s="374"/>
      <c r="O70" s="374"/>
      <c r="P70" s="374"/>
      <c r="Q70" s="374"/>
      <c r="R70" s="374"/>
      <c r="S70" s="359"/>
      <c r="T70" s="359"/>
      <c r="U70" s="359"/>
      <c r="V70" s="359"/>
      <c r="W70" s="359"/>
      <c r="X70" s="359"/>
      <c r="Y70" s="359"/>
      <c r="Z70" s="359"/>
      <c r="AA70" s="359"/>
      <c r="AB70" s="359"/>
      <c r="AC70" s="359"/>
      <c r="AD70" s="359"/>
      <c r="AE70" s="359"/>
      <c r="AF70" s="359"/>
    </row>
    <row r="71" ht="14.25" customHeight="1">
      <c r="A71" s="359"/>
      <c r="B71" s="359"/>
      <c r="C71" s="359"/>
      <c r="D71" s="374"/>
      <c r="E71" s="374"/>
      <c r="F71" s="374"/>
      <c r="G71" s="374"/>
      <c r="H71" s="374"/>
      <c r="I71" s="374"/>
      <c r="J71" s="374"/>
      <c r="K71" s="374"/>
      <c r="L71" s="374"/>
      <c r="M71" s="374"/>
      <c r="N71" s="374"/>
      <c r="O71" s="374"/>
      <c r="P71" s="374"/>
      <c r="Q71" s="374"/>
      <c r="R71" s="374"/>
      <c r="S71" s="359"/>
      <c r="T71" s="359"/>
      <c r="U71" s="359"/>
      <c r="V71" s="359"/>
      <c r="W71" s="359"/>
      <c r="X71" s="359"/>
      <c r="Y71" s="359"/>
      <c r="Z71" s="359"/>
      <c r="AA71" s="359"/>
      <c r="AB71" s="359"/>
      <c r="AC71" s="359"/>
      <c r="AD71" s="359"/>
      <c r="AE71" s="359"/>
      <c r="AF71" s="359"/>
    </row>
    <row r="72" ht="14.25" customHeight="1">
      <c r="A72" s="359"/>
      <c r="B72" s="359"/>
      <c r="C72" s="359"/>
      <c r="D72" s="374"/>
      <c r="E72" s="374"/>
      <c r="F72" s="374"/>
      <c r="G72" s="374"/>
      <c r="H72" s="374"/>
      <c r="I72" s="374"/>
      <c r="J72" s="374"/>
      <c r="K72" s="374"/>
      <c r="L72" s="374"/>
      <c r="M72" s="374"/>
      <c r="N72" s="374"/>
      <c r="O72" s="374"/>
      <c r="P72" s="374"/>
      <c r="Q72" s="374"/>
      <c r="R72" s="374"/>
      <c r="S72" s="359"/>
      <c r="T72" s="359"/>
      <c r="U72" s="359"/>
      <c r="V72" s="359"/>
      <c r="W72" s="359"/>
      <c r="X72" s="359"/>
      <c r="Y72" s="359"/>
      <c r="Z72" s="359"/>
      <c r="AA72" s="359"/>
      <c r="AB72" s="359"/>
      <c r="AC72" s="359"/>
      <c r="AD72" s="359"/>
      <c r="AE72" s="359"/>
      <c r="AF72" s="359"/>
    </row>
    <row r="73" ht="14.25" customHeight="1">
      <c r="A73" s="359"/>
      <c r="B73" s="359"/>
      <c r="C73" s="359"/>
      <c r="D73" s="374"/>
      <c r="E73" s="374"/>
      <c r="F73" s="374"/>
      <c r="G73" s="374"/>
      <c r="H73" s="374"/>
      <c r="I73" s="374"/>
      <c r="J73" s="374"/>
      <c r="K73" s="374"/>
      <c r="L73" s="374"/>
      <c r="M73" s="374"/>
      <c r="N73" s="374"/>
      <c r="O73" s="374"/>
      <c r="P73" s="374"/>
      <c r="Q73" s="374"/>
      <c r="R73" s="374"/>
      <c r="S73" s="359"/>
      <c r="T73" s="359"/>
      <c r="U73" s="359"/>
      <c r="V73" s="359"/>
      <c r="W73" s="359"/>
      <c r="X73" s="359"/>
      <c r="Y73" s="359"/>
      <c r="Z73" s="359"/>
      <c r="AA73" s="359"/>
      <c r="AB73" s="359"/>
      <c r="AC73" s="359"/>
      <c r="AD73" s="359"/>
      <c r="AE73" s="359"/>
      <c r="AF73" s="359"/>
    </row>
    <row r="74" ht="14.25" customHeight="1">
      <c r="A74" s="359"/>
      <c r="B74" s="359"/>
      <c r="C74" s="359"/>
      <c r="D74" s="374"/>
      <c r="E74" s="374"/>
      <c r="F74" s="374"/>
      <c r="G74" s="374"/>
      <c r="H74" s="374"/>
      <c r="I74" s="374"/>
      <c r="J74" s="374"/>
      <c r="K74" s="374"/>
      <c r="L74" s="374"/>
      <c r="M74" s="374"/>
      <c r="N74" s="374"/>
      <c r="O74" s="374"/>
      <c r="P74" s="374"/>
      <c r="Q74" s="374"/>
      <c r="R74" s="374"/>
      <c r="S74" s="359"/>
      <c r="T74" s="359"/>
      <c r="U74" s="359"/>
      <c r="V74" s="359"/>
      <c r="W74" s="359"/>
      <c r="X74" s="359"/>
      <c r="Y74" s="359"/>
      <c r="Z74" s="359"/>
      <c r="AA74" s="359"/>
      <c r="AB74" s="359"/>
      <c r="AC74" s="359"/>
      <c r="AD74" s="359"/>
      <c r="AE74" s="359"/>
      <c r="AF74" s="359"/>
    </row>
    <row r="75" ht="14.25" customHeight="1">
      <c r="A75" s="359"/>
      <c r="B75" s="359"/>
      <c r="C75" s="359"/>
      <c r="D75" s="374"/>
      <c r="E75" s="374"/>
      <c r="F75" s="374"/>
      <c r="G75" s="374"/>
      <c r="H75" s="374"/>
      <c r="I75" s="374"/>
      <c r="J75" s="374"/>
      <c r="K75" s="374"/>
      <c r="L75" s="374"/>
      <c r="M75" s="374"/>
      <c r="N75" s="374"/>
      <c r="O75" s="374"/>
      <c r="P75" s="374"/>
      <c r="Q75" s="374"/>
      <c r="R75" s="374"/>
      <c r="S75" s="359"/>
      <c r="T75" s="359"/>
      <c r="U75" s="359"/>
      <c r="V75" s="359"/>
      <c r="W75" s="359"/>
      <c r="X75" s="359"/>
      <c r="Y75" s="359"/>
      <c r="Z75" s="359"/>
      <c r="AA75" s="359"/>
      <c r="AB75" s="359"/>
      <c r="AC75" s="359"/>
      <c r="AD75" s="359"/>
      <c r="AE75" s="359"/>
      <c r="AF75" s="359"/>
    </row>
    <row r="76" ht="14.25" customHeight="1">
      <c r="A76" s="359"/>
      <c r="B76" s="359"/>
      <c r="C76" s="359"/>
      <c r="D76" s="374"/>
      <c r="E76" s="374"/>
      <c r="F76" s="374"/>
      <c r="G76" s="374"/>
      <c r="H76" s="374"/>
      <c r="I76" s="374"/>
      <c r="J76" s="374"/>
      <c r="K76" s="374"/>
      <c r="L76" s="374"/>
      <c r="M76" s="374"/>
      <c r="N76" s="374"/>
      <c r="O76" s="374"/>
      <c r="P76" s="374"/>
      <c r="Q76" s="374"/>
      <c r="R76" s="374"/>
      <c r="S76" s="359"/>
      <c r="T76" s="359"/>
      <c r="U76" s="359"/>
      <c r="V76" s="359"/>
      <c r="W76" s="359"/>
      <c r="X76" s="359"/>
      <c r="Y76" s="359"/>
      <c r="Z76" s="359"/>
      <c r="AA76" s="359"/>
      <c r="AB76" s="359"/>
      <c r="AC76" s="359"/>
      <c r="AD76" s="359"/>
      <c r="AE76" s="359"/>
      <c r="AF76" s="359"/>
    </row>
    <row r="77" ht="14.25" customHeight="1">
      <c r="A77" s="359"/>
      <c r="B77" s="359"/>
      <c r="C77" s="359"/>
      <c r="D77" s="374"/>
      <c r="E77" s="374"/>
      <c r="F77" s="374"/>
      <c r="G77" s="374"/>
      <c r="H77" s="374"/>
      <c r="I77" s="374"/>
      <c r="J77" s="374"/>
      <c r="K77" s="374"/>
      <c r="L77" s="374"/>
      <c r="M77" s="374"/>
      <c r="N77" s="374"/>
      <c r="O77" s="374"/>
      <c r="P77" s="374"/>
      <c r="Q77" s="374"/>
      <c r="R77" s="374"/>
      <c r="S77" s="359"/>
      <c r="T77" s="359"/>
      <c r="U77" s="359"/>
      <c r="V77" s="359"/>
      <c r="W77" s="359"/>
      <c r="X77" s="359"/>
      <c r="Y77" s="359"/>
      <c r="Z77" s="359"/>
      <c r="AA77" s="359"/>
      <c r="AB77" s="359"/>
      <c r="AC77" s="359"/>
      <c r="AD77" s="359"/>
      <c r="AE77" s="359"/>
      <c r="AF77" s="359"/>
    </row>
    <row r="78" ht="14.25" customHeight="1">
      <c r="A78" s="359"/>
      <c r="B78" s="359"/>
      <c r="C78" s="359"/>
      <c r="D78" s="374"/>
      <c r="E78" s="374"/>
      <c r="F78" s="374"/>
      <c r="G78" s="374"/>
      <c r="H78" s="374"/>
      <c r="I78" s="374"/>
      <c r="J78" s="374"/>
      <c r="K78" s="374"/>
      <c r="L78" s="374"/>
      <c r="M78" s="374"/>
      <c r="N78" s="374"/>
      <c r="O78" s="374"/>
      <c r="P78" s="374"/>
      <c r="Q78" s="374"/>
      <c r="R78" s="374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</row>
    <row r="79" ht="14.25" customHeight="1">
      <c r="A79" s="359"/>
      <c r="B79" s="359"/>
      <c r="C79" s="359"/>
      <c r="D79" s="374"/>
      <c r="E79" s="374"/>
      <c r="F79" s="374"/>
      <c r="G79" s="374"/>
      <c r="H79" s="374"/>
      <c r="I79" s="374"/>
      <c r="J79" s="374"/>
      <c r="K79" s="374"/>
      <c r="L79" s="374"/>
      <c r="M79" s="374"/>
      <c r="N79" s="374"/>
      <c r="O79" s="374"/>
      <c r="P79" s="374"/>
      <c r="Q79" s="374"/>
      <c r="R79" s="374"/>
      <c r="S79" s="359"/>
      <c r="T79" s="359"/>
      <c r="U79" s="359"/>
      <c r="V79" s="359"/>
      <c r="W79" s="359"/>
      <c r="X79" s="359"/>
      <c r="Y79" s="359"/>
      <c r="Z79" s="359"/>
      <c r="AA79" s="359"/>
      <c r="AB79" s="359"/>
      <c r="AC79" s="359"/>
      <c r="AD79" s="359"/>
      <c r="AE79" s="359"/>
      <c r="AF79" s="359"/>
    </row>
    <row r="80" ht="14.25" customHeight="1">
      <c r="A80" s="359"/>
      <c r="B80" s="359"/>
      <c r="C80" s="359"/>
      <c r="D80" s="374"/>
      <c r="E80" s="374"/>
      <c r="F80" s="374"/>
      <c r="G80" s="374"/>
      <c r="H80" s="374"/>
      <c r="I80" s="374"/>
      <c r="J80" s="374"/>
      <c r="K80" s="374"/>
      <c r="L80" s="374"/>
      <c r="M80" s="374"/>
      <c r="N80" s="374"/>
      <c r="O80" s="374"/>
      <c r="P80" s="374"/>
      <c r="Q80" s="374"/>
      <c r="R80" s="374"/>
      <c r="S80" s="359"/>
      <c r="T80" s="359"/>
      <c r="U80" s="359"/>
      <c r="V80" s="359"/>
      <c r="W80" s="359"/>
      <c r="X80" s="359"/>
      <c r="Y80" s="359"/>
      <c r="Z80" s="359"/>
      <c r="AA80" s="359"/>
      <c r="AB80" s="359"/>
      <c r="AC80" s="359"/>
      <c r="AD80" s="359"/>
      <c r="AE80" s="359"/>
      <c r="AF80" s="359"/>
    </row>
    <row r="81" ht="14.25" customHeight="1">
      <c r="A81" s="359"/>
      <c r="B81" s="359"/>
      <c r="C81" s="359"/>
      <c r="D81" s="374"/>
      <c r="E81" s="374"/>
      <c r="F81" s="374"/>
      <c r="G81" s="374"/>
      <c r="H81" s="374"/>
      <c r="I81" s="374"/>
      <c r="J81" s="374"/>
      <c r="K81" s="374"/>
      <c r="L81" s="374"/>
      <c r="M81" s="374"/>
      <c r="N81" s="374"/>
      <c r="O81" s="374"/>
      <c r="P81" s="374"/>
      <c r="Q81" s="374"/>
      <c r="R81" s="374"/>
      <c r="S81" s="359"/>
      <c r="T81" s="359"/>
      <c r="U81" s="359"/>
      <c r="V81" s="359"/>
      <c r="W81" s="359"/>
      <c r="X81" s="359"/>
      <c r="Y81" s="359"/>
      <c r="Z81" s="359"/>
      <c r="AA81" s="359"/>
      <c r="AB81" s="359"/>
      <c r="AC81" s="359"/>
      <c r="AD81" s="359"/>
      <c r="AE81" s="359"/>
      <c r="AF81" s="359"/>
    </row>
    <row r="82" ht="14.25" customHeight="1">
      <c r="A82" s="359"/>
      <c r="B82" s="359"/>
      <c r="C82" s="359"/>
      <c r="D82" s="374"/>
      <c r="E82" s="374"/>
      <c r="F82" s="374"/>
      <c r="G82" s="374"/>
      <c r="H82" s="374"/>
      <c r="I82" s="374"/>
      <c r="J82" s="374"/>
      <c r="K82" s="374"/>
      <c r="L82" s="374"/>
      <c r="M82" s="374"/>
      <c r="N82" s="374"/>
      <c r="O82" s="374"/>
      <c r="P82" s="374"/>
      <c r="Q82" s="374"/>
      <c r="R82" s="374"/>
      <c r="S82" s="359"/>
      <c r="T82" s="359"/>
      <c r="U82" s="359"/>
      <c r="V82" s="359"/>
      <c r="W82" s="359"/>
      <c r="X82" s="359"/>
      <c r="Y82" s="359"/>
      <c r="Z82" s="359"/>
      <c r="AA82" s="359"/>
      <c r="AB82" s="359"/>
      <c r="AC82" s="359"/>
      <c r="AD82" s="359"/>
      <c r="AE82" s="359"/>
      <c r="AF82" s="359"/>
    </row>
    <row r="83" ht="14.25" customHeight="1">
      <c r="A83" s="359"/>
      <c r="B83" s="359"/>
      <c r="C83" s="359"/>
      <c r="D83" s="374"/>
      <c r="E83" s="374"/>
      <c r="F83" s="374"/>
      <c r="G83" s="374"/>
      <c r="H83" s="374"/>
      <c r="I83" s="374"/>
      <c r="J83" s="374"/>
      <c r="K83" s="374"/>
      <c r="L83" s="374"/>
      <c r="M83" s="374"/>
      <c r="N83" s="374"/>
      <c r="O83" s="374"/>
      <c r="P83" s="374"/>
      <c r="Q83" s="374"/>
      <c r="R83" s="374"/>
      <c r="S83" s="359"/>
      <c r="T83" s="359"/>
      <c r="U83" s="359"/>
      <c r="V83" s="359"/>
      <c r="W83" s="359"/>
      <c r="X83" s="359"/>
      <c r="Y83" s="359"/>
      <c r="Z83" s="359"/>
      <c r="AA83" s="359"/>
      <c r="AB83" s="359"/>
      <c r="AC83" s="359"/>
      <c r="AD83" s="359"/>
      <c r="AE83" s="359"/>
      <c r="AF83" s="359"/>
    </row>
    <row r="84" ht="14.25" customHeight="1">
      <c r="A84" s="359"/>
      <c r="B84" s="359"/>
      <c r="C84" s="359"/>
      <c r="D84" s="374"/>
      <c r="E84" s="374"/>
      <c r="F84" s="374"/>
      <c r="G84" s="374"/>
      <c r="H84" s="374"/>
      <c r="I84" s="374"/>
      <c r="J84" s="374"/>
      <c r="K84" s="374"/>
      <c r="L84" s="374"/>
      <c r="M84" s="374"/>
      <c r="N84" s="374"/>
      <c r="O84" s="374"/>
      <c r="P84" s="374"/>
      <c r="Q84" s="374"/>
      <c r="R84" s="374"/>
      <c r="S84" s="359"/>
      <c r="T84" s="359"/>
      <c r="U84" s="359"/>
      <c r="V84" s="359"/>
      <c r="W84" s="359"/>
      <c r="X84" s="359"/>
      <c r="Y84" s="359"/>
      <c r="Z84" s="359"/>
      <c r="AA84" s="359"/>
      <c r="AB84" s="359"/>
      <c r="AC84" s="359"/>
      <c r="AD84" s="359"/>
      <c r="AE84" s="359"/>
      <c r="AF84" s="359"/>
    </row>
    <row r="85" ht="14.25" customHeight="1">
      <c r="A85" s="359"/>
      <c r="B85" s="359"/>
      <c r="C85" s="359"/>
      <c r="D85" s="374"/>
      <c r="E85" s="374"/>
      <c r="F85" s="374"/>
      <c r="G85" s="374"/>
      <c r="H85" s="374"/>
      <c r="I85" s="374"/>
      <c r="J85" s="374"/>
      <c r="K85" s="374"/>
      <c r="L85" s="374"/>
      <c r="M85" s="374"/>
      <c r="N85" s="374"/>
      <c r="O85" s="374"/>
      <c r="P85" s="374"/>
      <c r="Q85" s="374"/>
      <c r="R85" s="374"/>
      <c r="S85" s="359"/>
      <c r="T85" s="359"/>
      <c r="U85" s="359"/>
      <c r="V85" s="359"/>
      <c r="W85" s="359"/>
      <c r="X85" s="359"/>
      <c r="Y85" s="359"/>
      <c r="Z85" s="359"/>
      <c r="AA85" s="359"/>
      <c r="AB85" s="359"/>
      <c r="AC85" s="359"/>
      <c r="AD85" s="359"/>
      <c r="AE85" s="359"/>
      <c r="AF85" s="359"/>
    </row>
    <row r="86" ht="14.25" customHeight="1">
      <c r="A86" s="359"/>
      <c r="B86" s="359"/>
      <c r="C86" s="359"/>
      <c r="D86" s="374"/>
      <c r="E86" s="374"/>
      <c r="F86" s="374"/>
      <c r="G86" s="374"/>
      <c r="H86" s="374"/>
      <c r="I86" s="374"/>
      <c r="J86" s="374"/>
      <c r="K86" s="374"/>
      <c r="L86" s="374"/>
      <c r="M86" s="374"/>
      <c r="N86" s="374"/>
      <c r="O86" s="374"/>
      <c r="P86" s="374"/>
      <c r="Q86" s="374"/>
      <c r="R86" s="374"/>
      <c r="S86" s="359"/>
      <c r="T86" s="359"/>
      <c r="U86" s="359"/>
      <c r="V86" s="359"/>
      <c r="W86" s="359"/>
      <c r="X86" s="359"/>
      <c r="Y86" s="359"/>
      <c r="Z86" s="359"/>
      <c r="AA86" s="359"/>
      <c r="AB86" s="359"/>
      <c r="AC86" s="359"/>
      <c r="AD86" s="359"/>
      <c r="AE86" s="359"/>
      <c r="AF86" s="359"/>
    </row>
    <row r="87" ht="14.25" customHeight="1">
      <c r="A87" s="359"/>
      <c r="B87" s="359"/>
      <c r="C87" s="359"/>
      <c r="D87" s="374"/>
      <c r="E87" s="374"/>
      <c r="F87" s="374"/>
      <c r="G87" s="374"/>
      <c r="H87" s="374"/>
      <c r="I87" s="374"/>
      <c r="J87" s="374"/>
      <c r="K87" s="374"/>
      <c r="L87" s="374"/>
      <c r="M87" s="374"/>
      <c r="N87" s="374"/>
      <c r="O87" s="374"/>
      <c r="P87" s="374"/>
      <c r="Q87" s="374"/>
      <c r="R87" s="374"/>
      <c r="S87" s="359"/>
      <c r="T87" s="359"/>
      <c r="U87" s="359"/>
      <c r="V87" s="359"/>
      <c r="W87" s="359"/>
      <c r="X87" s="359"/>
      <c r="Y87" s="359"/>
      <c r="Z87" s="359"/>
      <c r="AA87" s="359"/>
      <c r="AB87" s="359"/>
      <c r="AC87" s="359"/>
      <c r="AD87" s="359"/>
      <c r="AE87" s="359"/>
      <c r="AF87" s="359"/>
    </row>
    <row r="88" ht="14.25" customHeight="1">
      <c r="A88" s="359"/>
      <c r="B88" s="359"/>
      <c r="C88" s="359"/>
      <c r="D88" s="374"/>
      <c r="E88" s="374"/>
      <c r="F88" s="374"/>
      <c r="G88" s="374"/>
      <c r="H88" s="374"/>
      <c r="I88" s="374"/>
      <c r="J88" s="374"/>
      <c r="K88" s="374"/>
      <c r="L88" s="374"/>
      <c r="M88" s="374"/>
      <c r="N88" s="374"/>
      <c r="O88" s="374"/>
      <c r="P88" s="374"/>
      <c r="Q88" s="374"/>
      <c r="R88" s="374"/>
      <c r="S88" s="359"/>
      <c r="T88" s="359"/>
      <c r="U88" s="359"/>
      <c r="V88" s="359"/>
      <c r="W88" s="359"/>
      <c r="X88" s="359"/>
      <c r="Y88" s="359"/>
      <c r="Z88" s="359"/>
      <c r="AA88" s="359"/>
      <c r="AB88" s="359"/>
      <c r="AC88" s="359"/>
      <c r="AD88" s="359"/>
      <c r="AE88" s="359"/>
      <c r="AF88" s="359"/>
    </row>
    <row r="89" ht="14.25" customHeight="1">
      <c r="A89" s="359"/>
      <c r="B89" s="359"/>
      <c r="C89" s="359"/>
      <c r="D89" s="374"/>
      <c r="E89" s="374"/>
      <c r="F89" s="374"/>
      <c r="G89" s="374"/>
      <c r="H89" s="374"/>
      <c r="I89" s="374"/>
      <c r="J89" s="374"/>
      <c r="K89" s="374"/>
      <c r="L89" s="374"/>
      <c r="M89" s="374"/>
      <c r="N89" s="374"/>
      <c r="O89" s="374"/>
      <c r="P89" s="374"/>
      <c r="Q89" s="374"/>
      <c r="R89" s="374"/>
      <c r="S89" s="359"/>
      <c r="T89" s="359"/>
      <c r="U89" s="359"/>
      <c r="V89" s="359"/>
      <c r="W89" s="359"/>
      <c r="X89" s="359"/>
      <c r="Y89" s="359"/>
      <c r="Z89" s="359"/>
      <c r="AA89" s="359"/>
      <c r="AB89" s="359"/>
      <c r="AC89" s="359"/>
      <c r="AD89" s="359"/>
      <c r="AE89" s="359"/>
      <c r="AF89" s="359"/>
    </row>
    <row r="90" ht="14.25" customHeight="1">
      <c r="A90" s="359"/>
      <c r="B90" s="359"/>
      <c r="C90" s="359"/>
      <c r="D90" s="374"/>
      <c r="E90" s="374"/>
      <c r="F90" s="374"/>
      <c r="G90" s="374"/>
      <c r="H90" s="374"/>
      <c r="I90" s="374"/>
      <c r="J90" s="374"/>
      <c r="K90" s="374"/>
      <c r="L90" s="374"/>
      <c r="M90" s="374"/>
      <c r="N90" s="374"/>
      <c r="O90" s="374"/>
      <c r="P90" s="374"/>
      <c r="Q90" s="374"/>
      <c r="R90" s="374"/>
      <c r="S90" s="359"/>
      <c r="T90" s="359"/>
      <c r="U90" s="359"/>
      <c r="V90" s="359"/>
      <c r="W90" s="359"/>
      <c r="X90" s="359"/>
      <c r="Y90" s="359"/>
      <c r="Z90" s="359"/>
      <c r="AA90" s="359"/>
      <c r="AB90" s="359"/>
      <c r="AC90" s="359"/>
      <c r="AD90" s="359"/>
      <c r="AE90" s="359"/>
      <c r="AF90" s="359"/>
    </row>
    <row r="91" ht="14.25" customHeight="1">
      <c r="A91" s="359"/>
      <c r="B91" s="359"/>
      <c r="C91" s="359"/>
      <c r="D91" s="374"/>
      <c r="E91" s="374"/>
      <c r="F91" s="374"/>
      <c r="G91" s="374"/>
      <c r="H91" s="374"/>
      <c r="I91" s="374"/>
      <c r="J91" s="374"/>
      <c r="K91" s="374"/>
      <c r="L91" s="374"/>
      <c r="M91" s="374"/>
      <c r="N91" s="374"/>
      <c r="O91" s="374"/>
      <c r="P91" s="374"/>
      <c r="Q91" s="374"/>
      <c r="R91" s="374"/>
      <c r="S91" s="359"/>
      <c r="T91" s="359"/>
      <c r="U91" s="359"/>
      <c r="V91" s="359"/>
      <c r="W91" s="359"/>
      <c r="X91" s="359"/>
      <c r="Y91" s="359"/>
      <c r="Z91" s="359"/>
      <c r="AA91" s="359"/>
      <c r="AB91" s="359"/>
      <c r="AC91" s="359"/>
      <c r="AD91" s="359"/>
      <c r="AE91" s="359"/>
      <c r="AF91" s="359"/>
    </row>
    <row r="92" ht="14.25" customHeight="1">
      <c r="A92" s="359"/>
      <c r="B92" s="359"/>
      <c r="C92" s="359"/>
      <c r="D92" s="374"/>
      <c r="E92" s="374"/>
      <c r="F92" s="374"/>
      <c r="G92" s="374"/>
      <c r="H92" s="374"/>
      <c r="I92" s="374"/>
      <c r="J92" s="374"/>
      <c r="K92" s="374"/>
      <c r="L92" s="374"/>
      <c r="M92" s="374"/>
      <c r="N92" s="374"/>
      <c r="O92" s="374"/>
      <c r="P92" s="374"/>
      <c r="Q92" s="374"/>
      <c r="R92" s="374"/>
      <c r="S92" s="359"/>
      <c r="T92" s="359"/>
      <c r="U92" s="359"/>
      <c r="V92" s="359"/>
      <c r="W92" s="359"/>
      <c r="X92" s="359"/>
      <c r="Y92" s="359"/>
      <c r="Z92" s="359"/>
      <c r="AA92" s="359"/>
      <c r="AB92" s="359"/>
      <c r="AC92" s="359"/>
      <c r="AD92" s="359"/>
      <c r="AE92" s="359"/>
      <c r="AF92" s="359"/>
    </row>
    <row r="93" ht="14.25" customHeight="1">
      <c r="A93" s="359"/>
      <c r="B93" s="359"/>
      <c r="C93" s="359"/>
      <c r="D93" s="374"/>
      <c r="E93" s="374"/>
      <c r="F93" s="374"/>
      <c r="G93" s="374"/>
      <c r="H93" s="374"/>
      <c r="I93" s="374"/>
      <c r="J93" s="374"/>
      <c r="K93" s="374"/>
      <c r="L93" s="374"/>
      <c r="M93" s="374"/>
      <c r="N93" s="374"/>
      <c r="O93" s="374"/>
      <c r="P93" s="374"/>
      <c r="Q93" s="374"/>
      <c r="R93" s="374"/>
      <c r="S93" s="359"/>
      <c r="T93" s="359"/>
      <c r="U93" s="359"/>
      <c r="V93" s="359"/>
      <c r="W93" s="359"/>
      <c r="X93" s="359"/>
      <c r="Y93" s="359"/>
      <c r="Z93" s="359"/>
      <c r="AA93" s="359"/>
      <c r="AB93" s="359"/>
      <c r="AC93" s="359"/>
      <c r="AD93" s="359"/>
      <c r="AE93" s="359"/>
      <c r="AF93" s="359"/>
    </row>
    <row r="94" ht="14.25" customHeight="1">
      <c r="A94" s="359"/>
      <c r="B94" s="359"/>
      <c r="C94" s="359"/>
      <c r="D94" s="374"/>
      <c r="E94" s="374"/>
      <c r="F94" s="374"/>
      <c r="G94" s="374"/>
      <c r="H94" s="374"/>
      <c r="I94" s="374"/>
      <c r="J94" s="374"/>
      <c r="K94" s="374"/>
      <c r="L94" s="374"/>
      <c r="M94" s="374"/>
      <c r="N94" s="374"/>
      <c r="O94" s="374"/>
      <c r="P94" s="374"/>
      <c r="Q94" s="374"/>
      <c r="R94" s="374"/>
      <c r="S94" s="359"/>
      <c r="T94" s="359"/>
      <c r="U94" s="359"/>
      <c r="V94" s="359"/>
      <c r="W94" s="359"/>
      <c r="X94" s="359"/>
      <c r="Y94" s="359"/>
      <c r="Z94" s="359"/>
      <c r="AA94" s="359"/>
      <c r="AB94" s="359"/>
      <c r="AC94" s="359"/>
      <c r="AD94" s="359"/>
      <c r="AE94" s="359"/>
      <c r="AF94" s="359"/>
    </row>
    <row r="95" ht="14.25" customHeight="1">
      <c r="A95" s="359"/>
      <c r="B95" s="359"/>
      <c r="C95" s="359"/>
      <c r="D95" s="374"/>
      <c r="E95" s="374"/>
      <c r="F95" s="374"/>
      <c r="G95" s="374"/>
      <c r="H95" s="374"/>
      <c r="I95" s="374"/>
      <c r="J95" s="374"/>
      <c r="K95" s="374"/>
      <c r="L95" s="374"/>
      <c r="M95" s="374"/>
      <c r="N95" s="374"/>
      <c r="O95" s="374"/>
      <c r="P95" s="374"/>
      <c r="Q95" s="374"/>
      <c r="R95" s="374"/>
      <c r="S95" s="359"/>
      <c r="T95" s="359"/>
      <c r="U95" s="359"/>
      <c r="V95" s="359"/>
      <c r="W95" s="359"/>
      <c r="X95" s="359"/>
      <c r="Y95" s="359"/>
      <c r="Z95" s="359"/>
      <c r="AA95" s="359"/>
      <c r="AB95" s="359"/>
      <c r="AC95" s="359"/>
      <c r="AD95" s="359"/>
      <c r="AE95" s="359"/>
      <c r="AF95" s="359"/>
    </row>
    <row r="96" ht="14.25" customHeight="1">
      <c r="A96" s="359"/>
      <c r="B96" s="359"/>
      <c r="C96" s="359"/>
      <c r="D96" s="374"/>
      <c r="E96" s="374"/>
      <c r="F96" s="374"/>
      <c r="G96" s="374"/>
      <c r="H96" s="374"/>
      <c r="I96" s="374"/>
      <c r="J96" s="374"/>
      <c r="K96" s="374"/>
      <c r="L96" s="374"/>
      <c r="M96" s="374"/>
      <c r="N96" s="374"/>
      <c r="O96" s="374"/>
      <c r="P96" s="374"/>
      <c r="Q96" s="374"/>
      <c r="R96" s="374"/>
      <c r="S96" s="359"/>
      <c r="T96" s="359"/>
      <c r="U96" s="359"/>
      <c r="V96" s="359"/>
      <c r="W96" s="359"/>
      <c r="X96" s="359"/>
      <c r="Y96" s="359"/>
      <c r="Z96" s="359"/>
      <c r="AA96" s="359"/>
      <c r="AB96" s="359"/>
      <c r="AC96" s="359"/>
      <c r="AD96" s="359"/>
      <c r="AE96" s="359"/>
      <c r="AF96" s="359"/>
    </row>
    <row r="97" ht="14.25" customHeight="1">
      <c r="A97" s="359"/>
      <c r="B97" s="359"/>
      <c r="C97" s="359"/>
      <c r="D97" s="374"/>
      <c r="E97" s="374"/>
      <c r="F97" s="374"/>
      <c r="G97" s="374"/>
      <c r="H97" s="374"/>
      <c r="I97" s="374"/>
      <c r="J97" s="374"/>
      <c r="K97" s="374"/>
      <c r="L97" s="374"/>
      <c r="M97" s="374"/>
      <c r="N97" s="374"/>
      <c r="O97" s="374"/>
      <c r="P97" s="374"/>
      <c r="Q97" s="374"/>
      <c r="R97" s="374"/>
      <c r="S97" s="359"/>
      <c r="T97" s="359"/>
      <c r="U97" s="359"/>
      <c r="V97" s="359"/>
      <c r="W97" s="359"/>
      <c r="X97" s="359"/>
      <c r="Y97" s="359"/>
      <c r="Z97" s="359"/>
      <c r="AA97" s="359"/>
      <c r="AB97" s="359"/>
      <c r="AC97" s="359"/>
      <c r="AD97" s="359"/>
      <c r="AE97" s="359"/>
      <c r="AF97" s="359"/>
    </row>
    <row r="98" ht="14.25" customHeight="1">
      <c r="A98" s="359"/>
      <c r="B98" s="359"/>
      <c r="C98" s="359"/>
      <c r="D98" s="374"/>
      <c r="E98" s="374"/>
      <c r="F98" s="374"/>
      <c r="G98" s="374"/>
      <c r="H98" s="374"/>
      <c r="I98" s="374"/>
      <c r="J98" s="374"/>
      <c r="K98" s="374"/>
      <c r="L98" s="374"/>
      <c r="M98" s="374"/>
      <c r="N98" s="374"/>
      <c r="O98" s="374"/>
      <c r="P98" s="374"/>
      <c r="Q98" s="374"/>
      <c r="R98" s="374"/>
      <c r="S98" s="359"/>
      <c r="T98" s="359"/>
      <c r="U98" s="359"/>
      <c r="V98" s="359"/>
      <c r="W98" s="359"/>
      <c r="X98" s="359"/>
      <c r="Y98" s="359"/>
      <c r="Z98" s="359"/>
      <c r="AA98" s="359"/>
      <c r="AB98" s="359"/>
      <c r="AC98" s="359"/>
      <c r="AD98" s="359"/>
      <c r="AE98" s="359"/>
      <c r="AF98" s="359"/>
    </row>
    <row r="99" ht="14.25" customHeight="1">
      <c r="A99" s="359"/>
      <c r="B99" s="359"/>
      <c r="C99" s="359"/>
      <c r="D99" s="374"/>
      <c r="E99" s="374"/>
      <c r="F99" s="374"/>
      <c r="G99" s="374"/>
      <c r="H99" s="374"/>
      <c r="I99" s="374"/>
      <c r="J99" s="374"/>
      <c r="K99" s="374"/>
      <c r="L99" s="374"/>
      <c r="M99" s="374"/>
      <c r="N99" s="374"/>
      <c r="O99" s="374"/>
      <c r="P99" s="374"/>
      <c r="Q99" s="374"/>
      <c r="R99" s="374"/>
      <c r="S99" s="359"/>
      <c r="T99" s="359"/>
      <c r="U99" s="359"/>
      <c r="V99" s="359"/>
      <c r="W99" s="359"/>
      <c r="X99" s="359"/>
      <c r="Y99" s="359"/>
      <c r="Z99" s="359"/>
      <c r="AA99" s="359"/>
      <c r="AB99" s="359"/>
      <c r="AC99" s="359"/>
      <c r="AD99" s="359"/>
      <c r="AE99" s="359"/>
      <c r="AF99" s="359"/>
    </row>
    <row r="100" ht="14.25" customHeight="1">
      <c r="A100" s="359"/>
      <c r="B100" s="359"/>
      <c r="C100" s="359"/>
      <c r="D100" s="374"/>
      <c r="E100" s="374"/>
      <c r="F100" s="374"/>
      <c r="G100" s="374"/>
      <c r="H100" s="374"/>
      <c r="I100" s="374"/>
      <c r="J100" s="374"/>
      <c r="K100" s="374"/>
      <c r="L100" s="374"/>
      <c r="M100" s="374"/>
      <c r="N100" s="374"/>
      <c r="O100" s="374"/>
      <c r="P100" s="374"/>
      <c r="Q100" s="374"/>
      <c r="R100" s="374"/>
      <c r="S100" s="359"/>
      <c r="T100" s="359"/>
      <c r="U100" s="359"/>
      <c r="V100" s="359"/>
      <c r="W100" s="359"/>
      <c r="X100" s="359"/>
      <c r="Y100" s="359"/>
      <c r="Z100" s="359"/>
      <c r="AA100" s="359"/>
      <c r="AB100" s="359"/>
      <c r="AC100" s="359"/>
      <c r="AD100" s="359"/>
      <c r="AE100" s="359"/>
      <c r="AF100" s="359"/>
    </row>
    <row r="101" ht="14.25" customHeight="1">
      <c r="A101" s="359"/>
      <c r="B101" s="359"/>
      <c r="C101" s="359"/>
      <c r="D101" s="374"/>
      <c r="E101" s="374"/>
      <c r="F101" s="374"/>
      <c r="G101" s="374"/>
      <c r="H101" s="374"/>
      <c r="I101" s="374"/>
      <c r="J101" s="374"/>
      <c r="K101" s="374"/>
      <c r="L101" s="374"/>
      <c r="M101" s="374"/>
      <c r="N101" s="374"/>
      <c r="O101" s="374"/>
      <c r="P101" s="374"/>
      <c r="Q101" s="374"/>
      <c r="R101" s="374"/>
      <c r="S101" s="359"/>
      <c r="T101" s="359"/>
      <c r="U101" s="359"/>
      <c r="V101" s="359"/>
      <c r="W101" s="359"/>
      <c r="X101" s="359"/>
      <c r="Y101" s="359"/>
      <c r="Z101" s="359"/>
      <c r="AA101" s="359"/>
      <c r="AB101" s="359"/>
      <c r="AC101" s="359"/>
      <c r="AD101" s="359"/>
      <c r="AE101" s="359"/>
      <c r="AF101" s="359"/>
    </row>
    <row r="102" ht="14.25" customHeight="1">
      <c r="A102" s="359"/>
      <c r="B102" s="359"/>
      <c r="C102" s="359"/>
      <c r="D102" s="374"/>
      <c r="E102" s="374"/>
      <c r="F102" s="374"/>
      <c r="G102" s="374"/>
      <c r="H102" s="374"/>
      <c r="I102" s="374"/>
      <c r="J102" s="374"/>
      <c r="K102" s="374"/>
      <c r="L102" s="374"/>
      <c r="M102" s="374"/>
      <c r="N102" s="374"/>
      <c r="O102" s="374"/>
      <c r="P102" s="374"/>
      <c r="Q102" s="374"/>
      <c r="R102" s="374"/>
      <c r="S102" s="359"/>
      <c r="T102" s="359"/>
      <c r="U102" s="359"/>
      <c r="V102" s="359"/>
      <c r="W102" s="359"/>
      <c r="X102" s="359"/>
      <c r="Y102" s="359"/>
      <c r="Z102" s="359"/>
      <c r="AA102" s="359"/>
      <c r="AB102" s="359"/>
      <c r="AC102" s="359"/>
      <c r="AD102" s="359"/>
      <c r="AE102" s="359"/>
      <c r="AF102" s="359"/>
    </row>
    <row r="103" ht="14.25" customHeight="1">
      <c r="A103" s="359"/>
      <c r="B103" s="359"/>
      <c r="C103" s="359"/>
      <c r="D103" s="374"/>
      <c r="E103" s="374"/>
      <c r="F103" s="374"/>
      <c r="G103" s="374"/>
      <c r="H103" s="374"/>
      <c r="I103" s="374"/>
      <c r="J103" s="374"/>
      <c r="K103" s="374"/>
      <c r="L103" s="374"/>
      <c r="M103" s="374"/>
      <c r="N103" s="374"/>
      <c r="O103" s="374"/>
      <c r="P103" s="374"/>
      <c r="Q103" s="374"/>
      <c r="R103" s="374"/>
      <c r="S103" s="359"/>
      <c r="T103" s="359"/>
      <c r="U103" s="359"/>
      <c r="V103" s="359"/>
      <c r="W103" s="359"/>
      <c r="X103" s="359"/>
      <c r="Y103" s="359"/>
      <c r="Z103" s="359"/>
      <c r="AA103" s="359"/>
      <c r="AB103" s="359"/>
      <c r="AC103" s="359"/>
      <c r="AD103" s="359"/>
      <c r="AE103" s="359"/>
      <c r="AF103" s="359"/>
    </row>
    <row r="104" ht="14.25" customHeight="1">
      <c r="A104" s="359"/>
      <c r="B104" s="359"/>
      <c r="C104" s="359"/>
      <c r="D104" s="374"/>
      <c r="E104" s="374"/>
      <c r="F104" s="374"/>
      <c r="G104" s="374"/>
      <c r="H104" s="374"/>
      <c r="I104" s="374"/>
      <c r="J104" s="374"/>
      <c r="K104" s="374"/>
      <c r="L104" s="374"/>
      <c r="M104" s="374"/>
      <c r="N104" s="374"/>
      <c r="O104" s="374"/>
      <c r="P104" s="374"/>
      <c r="Q104" s="374"/>
      <c r="R104" s="374"/>
      <c r="S104" s="359"/>
      <c r="T104" s="359"/>
      <c r="U104" s="359"/>
      <c r="V104" s="359"/>
      <c r="W104" s="359"/>
      <c r="X104" s="359"/>
      <c r="Y104" s="359"/>
      <c r="Z104" s="359"/>
      <c r="AA104" s="359"/>
      <c r="AB104" s="359"/>
      <c r="AC104" s="359"/>
      <c r="AD104" s="359"/>
      <c r="AE104" s="359"/>
      <c r="AF104" s="359"/>
    </row>
    <row r="105" ht="15.75" customHeight="1">
      <c r="A105" s="359"/>
      <c r="B105" s="359"/>
      <c r="C105" s="359"/>
      <c r="D105" s="374"/>
      <c r="E105" s="374"/>
      <c r="F105" s="374"/>
      <c r="G105" s="367"/>
      <c r="H105" s="374"/>
      <c r="I105" s="367"/>
      <c r="J105" s="367"/>
      <c r="K105" s="367"/>
      <c r="L105" s="367"/>
      <c r="M105" s="367"/>
      <c r="N105" s="367"/>
      <c r="O105" s="367"/>
      <c r="P105" s="367"/>
      <c r="Q105" s="367"/>
      <c r="R105" s="367"/>
      <c r="S105" s="367"/>
      <c r="T105" s="367"/>
      <c r="U105" s="367"/>
      <c r="V105" s="367"/>
      <c r="W105" s="367"/>
      <c r="X105" s="367"/>
      <c r="Y105" s="367"/>
      <c r="Z105" s="367"/>
      <c r="AA105" s="367"/>
      <c r="AB105" s="367"/>
      <c r="AC105" s="367"/>
      <c r="AD105" s="367"/>
      <c r="AE105" s="367"/>
      <c r="AF105" s="367"/>
    </row>
    <row r="106" ht="15.75" customHeight="1">
      <c r="A106" s="359"/>
      <c r="B106" s="359"/>
      <c r="C106" s="359"/>
      <c r="D106" s="374"/>
      <c r="E106" s="367"/>
      <c r="F106" s="374"/>
      <c r="G106" s="367"/>
      <c r="H106" s="374"/>
      <c r="I106" s="367"/>
      <c r="J106" s="367"/>
      <c r="K106" s="367"/>
      <c r="L106" s="367"/>
      <c r="M106" s="367"/>
      <c r="N106" s="367"/>
      <c r="O106" s="367"/>
      <c r="P106" s="367"/>
      <c r="Q106" s="367"/>
      <c r="R106" s="367"/>
      <c r="S106" s="367"/>
      <c r="T106" s="367"/>
      <c r="U106" s="367"/>
      <c r="V106" s="367"/>
      <c r="W106" s="367"/>
      <c r="X106" s="367"/>
      <c r="Y106" s="367"/>
      <c r="Z106" s="367"/>
      <c r="AA106" s="367"/>
      <c r="AB106" s="367"/>
      <c r="AC106" s="367"/>
      <c r="AD106" s="367"/>
      <c r="AE106" s="367"/>
      <c r="AF106" s="367"/>
    </row>
    <row r="107" ht="15.75" customHeight="1">
      <c r="A107" s="359"/>
      <c r="B107" s="359"/>
      <c r="C107" s="359"/>
      <c r="D107" s="374"/>
      <c r="E107" s="367"/>
      <c r="F107" s="374"/>
      <c r="G107" s="367"/>
      <c r="H107" s="374"/>
      <c r="I107" s="367"/>
      <c r="J107" s="367"/>
      <c r="K107" s="367"/>
      <c r="L107" s="367"/>
      <c r="M107" s="367"/>
      <c r="N107" s="367"/>
      <c r="O107" s="367"/>
      <c r="P107" s="367"/>
      <c r="Q107" s="367"/>
      <c r="R107" s="367"/>
      <c r="S107" s="367"/>
      <c r="T107" s="367"/>
      <c r="U107" s="367"/>
      <c r="V107" s="367"/>
      <c r="W107" s="367"/>
      <c r="X107" s="367"/>
      <c r="Y107" s="367"/>
      <c r="Z107" s="367"/>
      <c r="AA107" s="367"/>
      <c r="AB107" s="367"/>
      <c r="AC107" s="367"/>
      <c r="AD107" s="367"/>
      <c r="AE107" s="367"/>
      <c r="AF107" s="367"/>
    </row>
    <row r="108" ht="15.75" customHeight="1">
      <c r="A108" s="359"/>
      <c r="B108" s="359"/>
      <c r="C108" s="359"/>
      <c r="D108" s="374"/>
      <c r="E108" s="367"/>
      <c r="F108" s="374"/>
      <c r="G108" s="367"/>
      <c r="H108" s="374"/>
      <c r="I108" s="367"/>
      <c r="J108" s="367"/>
      <c r="K108" s="367"/>
      <c r="L108" s="367"/>
      <c r="M108" s="367"/>
      <c r="N108" s="367"/>
      <c r="O108" s="367"/>
      <c r="P108" s="367"/>
      <c r="Q108" s="367"/>
      <c r="R108" s="367"/>
      <c r="S108" s="367"/>
      <c r="T108" s="367"/>
      <c r="U108" s="367"/>
      <c r="V108" s="367"/>
      <c r="W108" s="367"/>
      <c r="X108" s="367"/>
      <c r="Y108" s="367"/>
      <c r="Z108" s="367"/>
      <c r="AA108" s="367"/>
      <c r="AB108" s="367"/>
      <c r="AC108" s="367"/>
      <c r="AD108" s="367"/>
      <c r="AE108" s="367"/>
      <c r="AF108" s="367"/>
    </row>
    <row r="109" ht="15.75" customHeight="1">
      <c r="A109" s="359"/>
      <c r="B109" s="359"/>
      <c r="C109" s="359"/>
      <c r="D109" s="374"/>
      <c r="E109" s="367"/>
      <c r="F109" s="374"/>
      <c r="G109" s="367"/>
      <c r="H109" s="374"/>
      <c r="I109" s="367"/>
      <c r="J109" s="367"/>
      <c r="K109" s="367"/>
      <c r="L109" s="367"/>
      <c r="M109" s="367"/>
      <c r="N109" s="367"/>
      <c r="O109" s="367"/>
      <c r="P109" s="367"/>
      <c r="Q109" s="367"/>
      <c r="R109" s="367"/>
      <c r="S109" s="367"/>
      <c r="T109" s="367"/>
      <c r="U109" s="367"/>
      <c r="V109" s="367"/>
      <c r="W109" s="367"/>
      <c r="X109" s="367"/>
      <c r="Y109" s="367"/>
      <c r="Z109" s="367"/>
      <c r="AA109" s="367"/>
      <c r="AB109" s="367"/>
      <c r="AC109" s="367"/>
      <c r="AD109" s="367"/>
      <c r="AE109" s="367"/>
      <c r="AF109" s="367"/>
    </row>
    <row r="110" ht="15.75" customHeight="1">
      <c r="A110" s="359"/>
      <c r="B110" s="359"/>
      <c r="C110" s="359"/>
      <c r="D110" s="374"/>
      <c r="E110" s="367"/>
      <c r="F110" s="374"/>
      <c r="G110" s="367"/>
      <c r="H110" s="374"/>
      <c r="I110" s="367"/>
      <c r="J110" s="367"/>
      <c r="K110" s="367"/>
      <c r="L110" s="367"/>
      <c r="M110" s="367"/>
      <c r="N110" s="367"/>
      <c r="O110" s="367"/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</row>
    <row r="111" ht="15.75" customHeight="1">
      <c r="A111" s="359"/>
      <c r="B111" s="359"/>
      <c r="C111" s="359"/>
      <c r="D111" s="374"/>
      <c r="E111" s="367"/>
      <c r="F111" s="374"/>
      <c r="G111" s="367"/>
      <c r="H111" s="374"/>
      <c r="I111" s="367"/>
      <c r="J111" s="367"/>
      <c r="K111" s="367"/>
      <c r="L111" s="367"/>
      <c r="M111" s="367"/>
      <c r="N111" s="367"/>
      <c r="O111" s="367"/>
      <c r="P111" s="367"/>
      <c r="Q111" s="367"/>
      <c r="R111" s="367"/>
      <c r="S111" s="367"/>
      <c r="T111" s="367"/>
      <c r="U111" s="367"/>
      <c r="V111" s="367"/>
      <c r="W111" s="367"/>
      <c r="X111" s="367"/>
      <c r="Y111" s="367"/>
      <c r="Z111" s="367"/>
      <c r="AA111" s="367"/>
      <c r="AB111" s="367"/>
      <c r="AC111" s="367"/>
      <c r="AD111" s="367"/>
      <c r="AE111" s="367"/>
      <c r="AF111" s="367"/>
    </row>
    <row r="112" ht="15.75" customHeight="1">
      <c r="A112" s="359"/>
      <c r="B112" s="359"/>
      <c r="C112" s="359"/>
      <c r="D112" s="374"/>
      <c r="E112" s="367"/>
      <c r="F112" s="374"/>
      <c r="G112" s="367"/>
      <c r="H112" s="374"/>
      <c r="I112" s="367"/>
      <c r="J112" s="367"/>
      <c r="K112" s="367"/>
      <c r="L112" s="367"/>
      <c r="M112" s="367"/>
      <c r="N112" s="367"/>
      <c r="O112" s="367"/>
      <c r="P112" s="367"/>
      <c r="Q112" s="367"/>
      <c r="R112" s="367"/>
      <c r="S112" s="367"/>
      <c r="T112" s="367"/>
      <c r="U112" s="367"/>
      <c r="V112" s="367"/>
      <c r="W112" s="367"/>
      <c r="X112" s="367"/>
      <c r="Y112" s="367"/>
      <c r="Z112" s="367"/>
      <c r="AA112" s="367"/>
      <c r="AB112" s="367"/>
      <c r="AC112" s="367"/>
      <c r="AD112" s="367"/>
      <c r="AE112" s="367"/>
      <c r="AF112" s="367"/>
    </row>
    <row r="113" ht="15.75" customHeight="1">
      <c r="A113" s="359"/>
      <c r="B113" s="359"/>
      <c r="C113" s="359"/>
      <c r="D113" s="374"/>
      <c r="E113" s="367"/>
      <c r="F113" s="374"/>
      <c r="G113" s="367"/>
      <c r="H113" s="374"/>
      <c r="I113" s="367"/>
      <c r="J113" s="367"/>
      <c r="K113" s="367"/>
      <c r="L113" s="367"/>
      <c r="M113" s="367"/>
      <c r="N113" s="367"/>
      <c r="O113" s="367"/>
      <c r="P113" s="367"/>
      <c r="Q113" s="367"/>
      <c r="R113" s="367"/>
      <c r="S113" s="367"/>
      <c r="T113" s="367"/>
      <c r="U113" s="367"/>
      <c r="V113" s="367"/>
      <c r="W113" s="367"/>
      <c r="X113" s="367"/>
      <c r="Y113" s="367"/>
      <c r="Z113" s="367"/>
      <c r="AA113" s="367"/>
      <c r="AB113" s="367"/>
      <c r="AC113" s="367"/>
      <c r="AD113" s="367"/>
      <c r="AE113" s="367"/>
      <c r="AF113" s="367"/>
    </row>
    <row r="114" ht="15.75" customHeight="1">
      <c r="A114" s="359"/>
      <c r="B114" s="359"/>
      <c r="C114" s="359"/>
      <c r="D114" s="374"/>
      <c r="E114" s="367"/>
      <c r="F114" s="374"/>
      <c r="G114" s="367"/>
      <c r="H114" s="374"/>
      <c r="I114" s="367"/>
      <c r="J114" s="367"/>
      <c r="K114" s="367"/>
      <c r="L114" s="367"/>
      <c r="M114" s="367"/>
      <c r="N114" s="367"/>
      <c r="O114" s="367"/>
      <c r="P114" s="367"/>
      <c r="Q114" s="367"/>
      <c r="R114" s="367"/>
      <c r="S114" s="367"/>
      <c r="T114" s="367"/>
      <c r="U114" s="367"/>
      <c r="V114" s="367"/>
      <c r="W114" s="367"/>
      <c r="X114" s="367"/>
      <c r="Y114" s="367"/>
      <c r="Z114" s="367"/>
      <c r="AA114" s="367"/>
      <c r="AB114" s="367"/>
      <c r="AC114" s="367"/>
      <c r="AD114" s="367"/>
      <c r="AE114" s="367"/>
      <c r="AF114" s="367"/>
    </row>
    <row r="115" ht="15.75" customHeight="1">
      <c r="A115" s="359"/>
      <c r="B115" s="359"/>
      <c r="C115" s="359"/>
      <c r="D115" s="374"/>
      <c r="E115" s="367"/>
      <c r="F115" s="374"/>
      <c r="G115" s="367"/>
      <c r="H115" s="374"/>
      <c r="I115" s="367"/>
      <c r="J115" s="367"/>
      <c r="K115" s="367"/>
      <c r="L115" s="367"/>
      <c r="M115" s="367"/>
      <c r="N115" s="367"/>
      <c r="O115" s="367"/>
      <c r="P115" s="367"/>
      <c r="Q115" s="367"/>
      <c r="R115" s="367"/>
      <c r="S115" s="367"/>
      <c r="T115" s="367"/>
      <c r="U115" s="367"/>
      <c r="V115" s="367"/>
      <c r="W115" s="367"/>
      <c r="X115" s="367"/>
      <c r="Y115" s="367"/>
      <c r="Z115" s="367"/>
      <c r="AA115" s="367"/>
      <c r="AB115" s="367"/>
      <c r="AC115" s="367"/>
      <c r="AD115" s="367"/>
      <c r="AE115" s="367"/>
      <c r="AF115" s="367"/>
    </row>
    <row r="116" ht="15.75" customHeight="1">
      <c r="A116" s="359"/>
      <c r="B116" s="359"/>
      <c r="C116" s="359"/>
      <c r="D116" s="374"/>
      <c r="E116" s="367"/>
      <c r="F116" s="374"/>
      <c r="G116" s="367"/>
      <c r="H116" s="374"/>
      <c r="I116" s="367"/>
      <c r="J116" s="367"/>
      <c r="K116" s="367"/>
      <c r="L116" s="367"/>
      <c r="M116" s="367"/>
      <c r="N116" s="367"/>
      <c r="O116" s="367"/>
      <c r="P116" s="367"/>
      <c r="Q116" s="367"/>
      <c r="R116" s="367"/>
      <c r="S116" s="367"/>
      <c r="T116" s="367"/>
      <c r="U116" s="367"/>
      <c r="V116" s="367"/>
      <c r="W116" s="367"/>
      <c r="X116" s="367"/>
      <c r="Y116" s="367"/>
      <c r="Z116" s="367"/>
      <c r="AA116" s="367"/>
      <c r="AB116" s="367"/>
      <c r="AC116" s="367"/>
      <c r="AD116" s="367"/>
      <c r="AE116" s="367"/>
      <c r="AF116" s="367"/>
    </row>
    <row r="117" ht="15.75" customHeight="1">
      <c r="A117" s="359"/>
      <c r="B117" s="359"/>
      <c r="C117" s="359"/>
      <c r="D117" s="374"/>
      <c r="E117" s="367"/>
      <c r="F117" s="374"/>
      <c r="G117" s="367"/>
      <c r="H117" s="374"/>
      <c r="I117" s="367"/>
      <c r="J117" s="367"/>
      <c r="K117" s="367"/>
      <c r="L117" s="367"/>
      <c r="M117" s="367"/>
      <c r="N117" s="367"/>
      <c r="O117" s="367"/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</row>
    <row r="118" ht="15.75" customHeight="1">
      <c r="A118" s="359"/>
      <c r="B118" s="359"/>
      <c r="C118" s="359"/>
      <c r="D118" s="374"/>
      <c r="E118" s="367"/>
      <c r="F118" s="374"/>
      <c r="G118" s="367"/>
      <c r="H118" s="374"/>
      <c r="I118" s="367"/>
      <c r="J118" s="367"/>
      <c r="K118" s="367"/>
      <c r="L118" s="367"/>
      <c r="M118" s="367"/>
      <c r="N118" s="367"/>
      <c r="O118" s="367"/>
      <c r="P118" s="367"/>
      <c r="Q118" s="367"/>
      <c r="R118" s="367"/>
      <c r="S118" s="367"/>
      <c r="T118" s="367"/>
      <c r="U118" s="367"/>
      <c r="V118" s="367"/>
      <c r="W118" s="367"/>
      <c r="X118" s="367"/>
      <c r="Y118" s="367"/>
      <c r="Z118" s="367"/>
      <c r="AA118" s="367"/>
      <c r="AB118" s="367"/>
      <c r="AC118" s="367"/>
      <c r="AD118" s="367"/>
      <c r="AE118" s="367"/>
      <c r="AF118" s="367"/>
    </row>
    <row r="119" ht="15.75" customHeight="1">
      <c r="A119" s="359"/>
      <c r="B119" s="359"/>
      <c r="C119" s="359"/>
      <c r="D119" s="374"/>
      <c r="E119" s="367"/>
      <c r="F119" s="374"/>
      <c r="G119" s="367"/>
      <c r="H119" s="374"/>
      <c r="I119" s="367"/>
      <c r="J119" s="367"/>
      <c r="K119" s="367"/>
      <c r="L119" s="367"/>
      <c r="M119" s="367"/>
      <c r="N119" s="367"/>
      <c r="O119" s="367"/>
      <c r="P119" s="367"/>
      <c r="Q119" s="367"/>
      <c r="R119" s="367"/>
      <c r="S119" s="367"/>
      <c r="T119" s="367"/>
      <c r="U119" s="367"/>
      <c r="V119" s="367"/>
      <c r="W119" s="367"/>
      <c r="X119" s="367"/>
      <c r="Y119" s="367"/>
      <c r="Z119" s="367"/>
      <c r="AA119" s="367"/>
      <c r="AB119" s="367"/>
      <c r="AC119" s="367"/>
      <c r="AD119" s="367"/>
      <c r="AE119" s="367"/>
      <c r="AF119" s="367"/>
    </row>
    <row r="120" ht="15.75" customHeight="1">
      <c r="A120" s="359"/>
      <c r="B120" s="359"/>
      <c r="C120" s="359"/>
      <c r="D120" s="374"/>
      <c r="E120" s="367"/>
      <c r="F120" s="374"/>
      <c r="G120" s="367"/>
      <c r="H120" s="374"/>
      <c r="I120" s="367"/>
      <c r="J120" s="367"/>
      <c r="K120" s="367"/>
      <c r="L120" s="367"/>
      <c r="M120" s="367"/>
      <c r="N120" s="367"/>
      <c r="O120" s="367"/>
      <c r="P120" s="367"/>
      <c r="Q120" s="367"/>
      <c r="R120" s="367"/>
      <c r="S120" s="367"/>
      <c r="T120" s="367"/>
      <c r="U120" s="367"/>
      <c r="V120" s="367"/>
      <c r="W120" s="367"/>
      <c r="X120" s="367"/>
      <c r="Y120" s="367"/>
      <c r="Z120" s="367"/>
      <c r="AA120" s="367"/>
      <c r="AB120" s="367"/>
      <c r="AC120" s="367"/>
      <c r="AD120" s="367"/>
      <c r="AE120" s="367"/>
      <c r="AF120" s="367"/>
    </row>
    <row r="121" ht="15.75" customHeight="1">
      <c r="A121" s="359"/>
      <c r="B121" s="359"/>
      <c r="C121" s="359"/>
      <c r="D121" s="374"/>
      <c r="E121" s="367"/>
      <c r="F121" s="374"/>
      <c r="G121" s="367"/>
      <c r="H121" s="374"/>
      <c r="I121" s="367"/>
      <c r="J121" s="367"/>
      <c r="K121" s="367"/>
      <c r="L121" s="367"/>
      <c r="M121" s="367"/>
      <c r="N121" s="367"/>
      <c r="O121" s="367"/>
      <c r="P121" s="367"/>
      <c r="Q121" s="367"/>
      <c r="R121" s="367"/>
      <c r="S121" s="367"/>
      <c r="T121" s="367"/>
      <c r="U121" s="367"/>
      <c r="V121" s="367"/>
      <c r="W121" s="367"/>
      <c r="X121" s="367"/>
      <c r="Y121" s="367"/>
      <c r="Z121" s="367"/>
      <c r="AA121" s="367"/>
      <c r="AB121" s="367"/>
      <c r="AC121" s="367"/>
      <c r="AD121" s="367"/>
      <c r="AE121" s="367"/>
      <c r="AF121" s="367"/>
    </row>
    <row r="122" ht="15.75" customHeight="1">
      <c r="A122" s="359"/>
      <c r="B122" s="359"/>
      <c r="C122" s="359"/>
      <c r="D122" s="374"/>
      <c r="E122" s="367"/>
      <c r="F122" s="374"/>
      <c r="G122" s="367"/>
      <c r="H122" s="374"/>
      <c r="I122" s="367"/>
      <c r="J122" s="367"/>
      <c r="K122" s="367"/>
      <c r="L122" s="367"/>
      <c r="M122" s="367"/>
      <c r="N122" s="367"/>
      <c r="O122" s="367"/>
      <c r="P122" s="367"/>
      <c r="Q122" s="367"/>
      <c r="R122" s="367"/>
      <c r="S122" s="367"/>
      <c r="T122" s="367"/>
      <c r="U122" s="367"/>
      <c r="V122" s="367"/>
      <c r="W122" s="367"/>
      <c r="X122" s="367"/>
      <c r="Y122" s="367"/>
      <c r="Z122" s="367"/>
      <c r="AA122" s="367"/>
      <c r="AB122" s="367"/>
      <c r="AC122" s="367"/>
      <c r="AD122" s="367"/>
      <c r="AE122" s="367"/>
      <c r="AF122" s="367"/>
    </row>
    <row r="123" ht="15.75" customHeight="1">
      <c r="A123" s="359"/>
      <c r="B123" s="359"/>
      <c r="C123" s="359"/>
      <c r="D123" s="374"/>
      <c r="E123" s="367"/>
      <c r="F123" s="374"/>
      <c r="G123" s="367"/>
      <c r="H123" s="374"/>
      <c r="I123" s="367"/>
      <c r="J123" s="367"/>
      <c r="K123" s="367"/>
      <c r="L123" s="367"/>
      <c r="M123" s="367"/>
      <c r="N123" s="367"/>
      <c r="O123" s="367"/>
      <c r="P123" s="367"/>
      <c r="Q123" s="367"/>
      <c r="R123" s="367"/>
      <c r="S123" s="367"/>
      <c r="T123" s="367"/>
      <c r="U123" s="367"/>
      <c r="V123" s="367"/>
      <c r="W123" s="367"/>
      <c r="X123" s="367"/>
      <c r="Y123" s="367"/>
      <c r="Z123" s="367"/>
      <c r="AA123" s="367"/>
      <c r="AB123" s="367"/>
      <c r="AC123" s="367"/>
      <c r="AD123" s="367"/>
      <c r="AE123" s="367"/>
      <c r="AF123" s="367"/>
    </row>
    <row r="124" ht="15.75" customHeight="1">
      <c r="A124" s="359"/>
      <c r="B124" s="359"/>
      <c r="C124" s="359"/>
      <c r="D124" s="374"/>
      <c r="E124" s="367"/>
      <c r="F124" s="374"/>
      <c r="G124" s="367"/>
      <c r="H124" s="374"/>
      <c r="I124" s="367"/>
      <c r="J124" s="367"/>
      <c r="K124" s="367"/>
      <c r="L124" s="367"/>
      <c r="M124" s="367"/>
      <c r="N124" s="367"/>
      <c r="O124" s="367"/>
      <c r="P124" s="367"/>
      <c r="Q124" s="367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</row>
    <row r="125" ht="15.75" customHeight="1">
      <c r="A125" s="359"/>
      <c r="B125" s="359"/>
      <c r="C125" s="359"/>
      <c r="D125" s="374"/>
      <c r="E125" s="367"/>
      <c r="F125" s="374"/>
      <c r="G125" s="367"/>
      <c r="H125" s="374"/>
      <c r="I125" s="367"/>
      <c r="J125" s="367"/>
      <c r="K125" s="367"/>
      <c r="L125" s="367"/>
      <c r="M125" s="367"/>
      <c r="N125" s="367"/>
      <c r="O125" s="367"/>
      <c r="P125" s="367"/>
      <c r="Q125" s="367"/>
      <c r="R125" s="367"/>
      <c r="S125" s="367"/>
      <c r="T125" s="367"/>
      <c r="U125" s="367"/>
      <c r="V125" s="367"/>
      <c r="W125" s="367"/>
      <c r="X125" s="367"/>
      <c r="Y125" s="367"/>
      <c r="Z125" s="367"/>
      <c r="AA125" s="367"/>
      <c r="AB125" s="367"/>
      <c r="AC125" s="367"/>
      <c r="AD125" s="367"/>
      <c r="AE125" s="367"/>
      <c r="AF125" s="367"/>
    </row>
    <row r="126" ht="15.75" customHeight="1">
      <c r="A126" s="359"/>
      <c r="B126" s="359"/>
      <c r="C126" s="359"/>
      <c r="D126" s="374"/>
      <c r="E126" s="367"/>
      <c r="F126" s="374"/>
      <c r="G126" s="367"/>
      <c r="H126" s="374"/>
      <c r="I126" s="367"/>
      <c r="J126" s="367"/>
      <c r="K126" s="367"/>
      <c r="L126" s="367"/>
      <c r="M126" s="367"/>
      <c r="N126" s="367"/>
      <c r="O126" s="367"/>
      <c r="P126" s="367"/>
      <c r="Q126" s="367"/>
      <c r="R126" s="367"/>
      <c r="S126" s="367"/>
      <c r="T126" s="367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  <c r="AE126" s="367"/>
      <c r="AF126" s="367"/>
    </row>
    <row r="127" ht="15.75" customHeight="1">
      <c r="A127" s="359"/>
      <c r="B127" s="359"/>
      <c r="C127" s="359"/>
      <c r="D127" s="374"/>
      <c r="E127" s="367"/>
      <c r="F127" s="374"/>
      <c r="G127" s="367"/>
      <c r="H127" s="374"/>
      <c r="I127" s="367"/>
      <c r="J127" s="367"/>
      <c r="K127" s="367"/>
      <c r="L127" s="367"/>
      <c r="M127" s="367"/>
      <c r="N127" s="367"/>
      <c r="O127" s="367"/>
      <c r="P127" s="367"/>
      <c r="Q127" s="367"/>
      <c r="R127" s="367"/>
      <c r="S127" s="367"/>
      <c r="T127" s="367"/>
      <c r="U127" s="367"/>
      <c r="V127" s="367"/>
      <c r="W127" s="367"/>
      <c r="X127" s="367"/>
      <c r="Y127" s="367"/>
      <c r="Z127" s="367"/>
      <c r="AA127" s="367"/>
      <c r="AB127" s="367"/>
      <c r="AC127" s="367"/>
      <c r="AD127" s="367"/>
      <c r="AE127" s="367"/>
      <c r="AF127" s="367"/>
    </row>
    <row r="128" ht="15.75" customHeight="1">
      <c r="A128" s="359"/>
      <c r="B128" s="359"/>
      <c r="C128" s="359"/>
      <c r="D128" s="374"/>
      <c r="E128" s="367"/>
      <c r="F128" s="374"/>
      <c r="G128" s="367"/>
      <c r="H128" s="374"/>
      <c r="I128" s="367"/>
      <c r="J128" s="367"/>
      <c r="K128" s="367"/>
      <c r="L128" s="367"/>
      <c r="M128" s="367"/>
      <c r="N128" s="367"/>
      <c r="O128" s="367"/>
      <c r="P128" s="367"/>
      <c r="Q128" s="367"/>
      <c r="R128" s="367"/>
      <c r="S128" s="367"/>
      <c r="T128" s="367"/>
      <c r="U128" s="367"/>
      <c r="V128" s="367"/>
      <c r="W128" s="367"/>
      <c r="X128" s="367"/>
      <c r="Y128" s="367"/>
      <c r="Z128" s="367"/>
      <c r="AA128" s="367"/>
      <c r="AB128" s="367"/>
      <c r="AC128" s="367"/>
      <c r="AD128" s="367"/>
      <c r="AE128" s="367"/>
      <c r="AF128" s="367"/>
    </row>
    <row r="129" ht="15.75" customHeight="1">
      <c r="A129" s="359"/>
      <c r="B129" s="359"/>
      <c r="C129" s="359"/>
      <c r="D129" s="374"/>
      <c r="E129" s="367"/>
      <c r="F129" s="374"/>
      <c r="G129" s="367"/>
      <c r="H129" s="374"/>
      <c r="I129" s="367"/>
      <c r="J129" s="367"/>
      <c r="K129" s="367"/>
      <c r="L129" s="367"/>
      <c r="M129" s="367"/>
      <c r="N129" s="367"/>
      <c r="O129" s="367"/>
      <c r="P129" s="367"/>
      <c r="Q129" s="367"/>
      <c r="R129" s="367"/>
      <c r="S129" s="367"/>
      <c r="T129" s="367"/>
      <c r="U129" s="367"/>
      <c r="V129" s="367"/>
      <c r="W129" s="367"/>
      <c r="X129" s="367"/>
      <c r="Y129" s="367"/>
      <c r="Z129" s="367"/>
      <c r="AA129" s="367"/>
      <c r="AB129" s="367"/>
      <c r="AC129" s="367"/>
      <c r="AD129" s="367"/>
      <c r="AE129" s="367"/>
      <c r="AF129" s="367"/>
    </row>
    <row r="130" ht="15.75" customHeight="1">
      <c r="A130" s="359"/>
      <c r="B130" s="359"/>
      <c r="C130" s="359"/>
      <c r="D130" s="374"/>
      <c r="E130" s="367"/>
      <c r="F130" s="374"/>
      <c r="G130" s="367"/>
      <c r="H130" s="374"/>
      <c r="I130" s="367"/>
      <c r="J130" s="367"/>
      <c r="K130" s="367"/>
      <c r="L130" s="367"/>
      <c r="M130" s="367"/>
      <c r="N130" s="367"/>
      <c r="O130" s="367"/>
      <c r="P130" s="367"/>
      <c r="Q130" s="367"/>
      <c r="R130" s="367"/>
      <c r="S130" s="367"/>
      <c r="T130" s="367"/>
      <c r="U130" s="367"/>
      <c r="V130" s="367"/>
      <c r="W130" s="367"/>
      <c r="X130" s="367"/>
      <c r="Y130" s="367"/>
      <c r="Z130" s="367"/>
      <c r="AA130" s="367"/>
      <c r="AB130" s="367"/>
      <c r="AC130" s="367"/>
      <c r="AD130" s="367"/>
      <c r="AE130" s="367"/>
      <c r="AF130" s="367"/>
    </row>
    <row r="131" ht="15.75" customHeight="1">
      <c r="A131" s="359"/>
      <c r="B131" s="359"/>
      <c r="C131" s="359"/>
      <c r="D131" s="374"/>
      <c r="E131" s="367"/>
      <c r="F131" s="374"/>
      <c r="G131" s="367"/>
      <c r="H131" s="374"/>
      <c r="I131" s="367"/>
      <c r="J131" s="367"/>
      <c r="K131" s="367"/>
      <c r="L131" s="367"/>
      <c r="M131" s="367"/>
      <c r="N131" s="367"/>
      <c r="O131" s="367"/>
      <c r="P131" s="367"/>
      <c r="Q131" s="367"/>
      <c r="R131" s="367"/>
      <c r="S131" s="367"/>
      <c r="T131" s="367"/>
      <c r="U131" s="367"/>
      <c r="V131" s="367"/>
      <c r="W131" s="367"/>
      <c r="X131" s="367"/>
      <c r="Y131" s="367"/>
      <c r="Z131" s="367"/>
      <c r="AA131" s="367"/>
      <c r="AB131" s="367"/>
      <c r="AC131" s="367"/>
      <c r="AD131" s="367"/>
      <c r="AE131" s="367"/>
      <c r="AF131" s="367"/>
    </row>
    <row r="132" ht="15.75" customHeight="1">
      <c r="A132" s="359"/>
      <c r="B132" s="359"/>
      <c r="C132" s="359"/>
      <c r="D132" s="374"/>
      <c r="E132" s="367"/>
      <c r="F132" s="374"/>
      <c r="G132" s="367"/>
      <c r="H132" s="374"/>
      <c r="I132" s="367"/>
      <c r="J132" s="367"/>
      <c r="K132" s="367"/>
      <c r="L132" s="367"/>
      <c r="M132" s="367"/>
      <c r="N132" s="367"/>
      <c r="O132" s="367"/>
      <c r="P132" s="367"/>
      <c r="Q132" s="367"/>
      <c r="R132" s="367"/>
      <c r="S132" s="367"/>
      <c r="T132" s="367"/>
      <c r="U132" s="367"/>
      <c r="V132" s="367"/>
      <c r="W132" s="367"/>
      <c r="X132" s="367"/>
      <c r="Y132" s="367"/>
      <c r="Z132" s="367"/>
      <c r="AA132" s="367"/>
      <c r="AB132" s="367"/>
      <c r="AC132" s="367"/>
      <c r="AD132" s="367"/>
      <c r="AE132" s="367"/>
      <c r="AF132" s="367"/>
    </row>
    <row r="133" ht="15.75" customHeight="1">
      <c r="A133" s="359"/>
      <c r="B133" s="359"/>
      <c r="C133" s="359"/>
      <c r="D133" s="374"/>
      <c r="E133" s="367"/>
      <c r="F133" s="374"/>
      <c r="G133" s="367"/>
      <c r="H133" s="374"/>
      <c r="I133" s="367"/>
      <c r="J133" s="367"/>
      <c r="K133" s="367"/>
      <c r="L133" s="367"/>
      <c r="M133" s="367"/>
      <c r="N133" s="367"/>
      <c r="O133" s="367"/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  <c r="AE133" s="367"/>
      <c r="AF133" s="367"/>
    </row>
    <row r="134" ht="15.75" customHeight="1">
      <c r="A134" s="359"/>
      <c r="B134" s="359"/>
      <c r="C134" s="359"/>
      <c r="D134" s="374"/>
      <c r="E134" s="367"/>
      <c r="F134" s="374"/>
      <c r="G134" s="367"/>
      <c r="H134" s="374"/>
      <c r="I134" s="367"/>
      <c r="J134" s="367"/>
      <c r="K134" s="367"/>
      <c r="L134" s="367"/>
      <c r="M134" s="367"/>
      <c r="N134" s="367"/>
      <c r="O134" s="367"/>
      <c r="P134" s="367"/>
      <c r="Q134" s="367"/>
      <c r="R134" s="367"/>
      <c r="S134" s="367"/>
      <c r="T134" s="367"/>
      <c r="U134" s="367"/>
      <c r="V134" s="367"/>
      <c r="W134" s="367"/>
      <c r="X134" s="367"/>
      <c r="Y134" s="367"/>
      <c r="Z134" s="367"/>
      <c r="AA134" s="367"/>
      <c r="AB134" s="367"/>
      <c r="AC134" s="367"/>
      <c r="AD134" s="367"/>
      <c r="AE134" s="367"/>
      <c r="AF134" s="367"/>
    </row>
    <row r="135" ht="15.75" customHeight="1">
      <c r="A135" s="359"/>
      <c r="B135" s="359"/>
      <c r="C135" s="359"/>
      <c r="D135" s="374"/>
      <c r="E135" s="367"/>
      <c r="F135" s="374"/>
      <c r="G135" s="367"/>
      <c r="H135" s="374"/>
      <c r="I135" s="367"/>
      <c r="J135" s="367"/>
      <c r="K135" s="367"/>
      <c r="L135" s="367"/>
      <c r="M135" s="367"/>
      <c r="N135" s="367"/>
      <c r="O135" s="367"/>
      <c r="P135" s="367"/>
      <c r="Q135" s="367"/>
      <c r="R135" s="367"/>
      <c r="S135" s="367"/>
      <c r="T135" s="367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</row>
    <row r="136" ht="15.75" customHeight="1">
      <c r="A136" s="359"/>
      <c r="B136" s="359"/>
      <c r="C136" s="359"/>
      <c r="D136" s="374"/>
      <c r="E136" s="367"/>
      <c r="F136" s="374"/>
      <c r="G136" s="367"/>
      <c r="H136" s="374"/>
      <c r="I136" s="367"/>
      <c r="J136" s="367"/>
      <c r="K136" s="367"/>
      <c r="L136" s="367"/>
      <c r="M136" s="367"/>
      <c r="N136" s="367"/>
      <c r="O136" s="367"/>
      <c r="P136" s="367"/>
      <c r="Q136" s="367"/>
      <c r="R136" s="367"/>
      <c r="S136" s="367"/>
      <c r="T136" s="367"/>
      <c r="U136" s="367"/>
      <c r="V136" s="367"/>
      <c r="W136" s="367"/>
      <c r="X136" s="367"/>
      <c r="Y136" s="367"/>
      <c r="Z136" s="367"/>
      <c r="AA136" s="367"/>
      <c r="AB136" s="367"/>
      <c r="AC136" s="367"/>
      <c r="AD136" s="367"/>
      <c r="AE136" s="367"/>
      <c r="AF136" s="367"/>
    </row>
    <row r="137" ht="15.75" customHeight="1">
      <c r="A137" s="359"/>
      <c r="B137" s="359"/>
      <c r="C137" s="359"/>
      <c r="D137" s="374"/>
      <c r="E137" s="367"/>
      <c r="F137" s="374"/>
      <c r="G137" s="367"/>
      <c r="H137" s="374"/>
      <c r="I137" s="367"/>
      <c r="J137" s="367"/>
      <c r="K137" s="367"/>
      <c r="L137" s="367"/>
      <c r="M137" s="367"/>
      <c r="N137" s="367"/>
      <c r="O137" s="367"/>
      <c r="P137" s="367"/>
      <c r="Q137" s="367"/>
      <c r="R137" s="367"/>
      <c r="S137" s="367"/>
      <c r="T137" s="367"/>
      <c r="U137" s="367"/>
      <c r="V137" s="367"/>
      <c r="W137" s="367"/>
      <c r="X137" s="367"/>
      <c r="Y137" s="367"/>
      <c r="Z137" s="367"/>
      <c r="AA137" s="367"/>
      <c r="AB137" s="367"/>
      <c r="AC137" s="367"/>
      <c r="AD137" s="367"/>
      <c r="AE137" s="367"/>
      <c r="AF137" s="367"/>
    </row>
    <row r="138" ht="15.75" customHeight="1">
      <c r="A138" s="359"/>
      <c r="B138" s="359"/>
      <c r="C138" s="359"/>
      <c r="D138" s="374"/>
      <c r="E138" s="367"/>
      <c r="F138" s="374"/>
      <c r="G138" s="367"/>
      <c r="H138" s="374"/>
      <c r="I138" s="367"/>
      <c r="J138" s="367"/>
      <c r="K138" s="367"/>
      <c r="L138" s="367"/>
      <c r="M138" s="367"/>
      <c r="N138" s="367"/>
      <c r="O138" s="367"/>
      <c r="P138" s="367"/>
      <c r="Q138" s="367"/>
      <c r="R138" s="367"/>
      <c r="S138" s="367"/>
      <c r="T138" s="367"/>
      <c r="U138" s="367"/>
      <c r="V138" s="367"/>
      <c r="W138" s="367"/>
      <c r="X138" s="367"/>
      <c r="Y138" s="367"/>
      <c r="Z138" s="367"/>
      <c r="AA138" s="367"/>
      <c r="AB138" s="367"/>
      <c r="AC138" s="367"/>
      <c r="AD138" s="367"/>
      <c r="AE138" s="367"/>
      <c r="AF138" s="367"/>
    </row>
    <row r="139" ht="15.75" customHeight="1">
      <c r="A139" s="359"/>
      <c r="B139" s="359"/>
      <c r="C139" s="359"/>
      <c r="D139" s="374"/>
      <c r="E139" s="367"/>
      <c r="F139" s="374"/>
      <c r="G139" s="367"/>
      <c r="H139" s="374"/>
      <c r="I139" s="367"/>
      <c r="J139" s="367"/>
      <c r="K139" s="367"/>
      <c r="L139" s="367"/>
      <c r="M139" s="367"/>
      <c r="N139" s="367"/>
      <c r="O139" s="367"/>
      <c r="P139" s="367"/>
      <c r="Q139" s="367"/>
      <c r="R139" s="367"/>
      <c r="S139" s="367"/>
      <c r="T139" s="367"/>
      <c r="U139" s="367"/>
      <c r="V139" s="367"/>
      <c r="W139" s="367"/>
      <c r="X139" s="367"/>
      <c r="Y139" s="367"/>
      <c r="Z139" s="367"/>
      <c r="AA139" s="367"/>
      <c r="AB139" s="367"/>
      <c r="AC139" s="367"/>
      <c r="AD139" s="367"/>
      <c r="AE139" s="367"/>
      <c r="AF139" s="367"/>
    </row>
    <row r="140" ht="15.75" customHeight="1">
      <c r="A140" s="359"/>
      <c r="B140" s="359"/>
      <c r="C140" s="359"/>
      <c r="D140" s="374"/>
      <c r="E140" s="367"/>
      <c r="F140" s="374"/>
      <c r="G140" s="367"/>
      <c r="H140" s="374"/>
      <c r="I140" s="367"/>
      <c r="J140" s="367"/>
      <c r="K140" s="367"/>
      <c r="L140" s="367"/>
      <c r="M140" s="367"/>
      <c r="N140" s="367"/>
      <c r="O140" s="367"/>
      <c r="P140" s="367"/>
      <c r="Q140" s="367"/>
      <c r="R140" s="367"/>
      <c r="S140" s="367"/>
      <c r="T140" s="367"/>
      <c r="U140" s="367"/>
      <c r="V140" s="367"/>
      <c r="W140" s="367"/>
      <c r="X140" s="367"/>
      <c r="Y140" s="367"/>
      <c r="Z140" s="367"/>
      <c r="AA140" s="367"/>
      <c r="AB140" s="367"/>
      <c r="AC140" s="367"/>
      <c r="AD140" s="367"/>
      <c r="AE140" s="367"/>
      <c r="AF140" s="367"/>
    </row>
    <row r="141" ht="15.75" customHeight="1">
      <c r="A141" s="359"/>
      <c r="B141" s="359"/>
      <c r="C141" s="359"/>
      <c r="D141" s="374"/>
      <c r="E141" s="367"/>
      <c r="F141" s="374"/>
      <c r="G141" s="367"/>
      <c r="H141" s="374"/>
      <c r="I141" s="367"/>
      <c r="J141" s="367"/>
      <c r="K141" s="367"/>
      <c r="L141" s="367"/>
      <c r="M141" s="367"/>
      <c r="N141" s="367"/>
      <c r="O141" s="367"/>
      <c r="P141" s="367"/>
      <c r="Q141" s="367"/>
      <c r="R141" s="367"/>
      <c r="S141" s="367"/>
      <c r="T141" s="367"/>
      <c r="U141" s="367"/>
      <c r="V141" s="367"/>
      <c r="W141" s="367"/>
      <c r="X141" s="367"/>
      <c r="Y141" s="367"/>
      <c r="Z141" s="367"/>
      <c r="AA141" s="367"/>
      <c r="AB141" s="367"/>
      <c r="AC141" s="367"/>
      <c r="AD141" s="367"/>
      <c r="AE141" s="367"/>
      <c r="AF141" s="367"/>
    </row>
    <row r="142" ht="15.75" customHeight="1">
      <c r="A142" s="359"/>
      <c r="B142" s="359"/>
      <c r="C142" s="359"/>
      <c r="D142" s="374"/>
      <c r="E142" s="367"/>
      <c r="F142" s="374"/>
      <c r="G142" s="367"/>
      <c r="H142" s="374"/>
      <c r="I142" s="367"/>
      <c r="J142" s="367"/>
      <c r="K142" s="367"/>
      <c r="L142" s="367"/>
      <c r="M142" s="367"/>
      <c r="N142" s="367"/>
      <c r="O142" s="367"/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</row>
    <row r="143" ht="15.75" customHeight="1">
      <c r="A143" s="359"/>
      <c r="B143" s="359"/>
      <c r="C143" s="359"/>
      <c r="D143" s="374"/>
      <c r="E143" s="367"/>
      <c r="F143" s="374"/>
      <c r="G143" s="367"/>
      <c r="H143" s="374"/>
      <c r="I143" s="367"/>
      <c r="J143" s="367"/>
      <c r="K143" s="367"/>
      <c r="L143" s="367"/>
      <c r="M143" s="367"/>
      <c r="N143" s="367"/>
      <c r="O143" s="367"/>
      <c r="P143" s="367"/>
      <c r="Q143" s="367"/>
      <c r="R143" s="367"/>
      <c r="S143" s="367"/>
      <c r="T143" s="367"/>
      <c r="U143" s="367"/>
      <c r="V143" s="367"/>
      <c r="W143" s="367"/>
      <c r="X143" s="367"/>
      <c r="Y143" s="367"/>
      <c r="Z143" s="367"/>
      <c r="AA143" s="367"/>
      <c r="AB143" s="367"/>
      <c r="AC143" s="367"/>
      <c r="AD143" s="367"/>
      <c r="AE143" s="367"/>
      <c r="AF143" s="367"/>
    </row>
    <row r="144" ht="15.75" customHeight="1">
      <c r="A144" s="359"/>
      <c r="B144" s="359"/>
      <c r="C144" s="359"/>
      <c r="D144" s="374"/>
      <c r="E144" s="367"/>
      <c r="F144" s="374"/>
      <c r="G144" s="367"/>
      <c r="H144" s="374"/>
      <c r="I144" s="367"/>
      <c r="J144" s="367"/>
      <c r="K144" s="367"/>
      <c r="L144" s="367"/>
      <c r="M144" s="367"/>
      <c r="N144" s="367"/>
      <c r="O144" s="367"/>
      <c r="P144" s="367"/>
      <c r="Q144" s="367"/>
      <c r="R144" s="367"/>
      <c r="S144" s="367"/>
      <c r="T144" s="367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  <c r="AE144" s="367"/>
      <c r="AF144" s="367"/>
    </row>
    <row r="145" ht="15.75" customHeight="1">
      <c r="A145" s="359"/>
      <c r="B145" s="359"/>
      <c r="C145" s="359"/>
      <c r="D145" s="374"/>
      <c r="E145" s="367"/>
      <c r="F145" s="374"/>
      <c r="G145" s="367"/>
      <c r="H145" s="374"/>
      <c r="I145" s="367"/>
      <c r="J145" s="367"/>
      <c r="K145" s="367"/>
      <c r="L145" s="367"/>
      <c r="M145" s="367"/>
      <c r="N145" s="367"/>
      <c r="O145" s="367"/>
      <c r="P145" s="367"/>
      <c r="Q145" s="367"/>
      <c r="R145" s="367"/>
      <c r="S145" s="367"/>
      <c r="T145" s="367"/>
      <c r="U145" s="367"/>
      <c r="V145" s="367"/>
      <c r="W145" s="367"/>
      <c r="X145" s="367"/>
      <c r="Y145" s="367"/>
      <c r="Z145" s="367"/>
      <c r="AA145" s="367"/>
      <c r="AB145" s="367"/>
      <c r="AC145" s="367"/>
      <c r="AD145" s="367"/>
      <c r="AE145" s="367"/>
      <c r="AF145" s="367"/>
    </row>
    <row r="146" ht="15.75" customHeight="1">
      <c r="A146" s="359"/>
      <c r="B146" s="359"/>
      <c r="C146" s="359"/>
      <c r="D146" s="374"/>
      <c r="E146" s="367"/>
      <c r="F146" s="374"/>
      <c r="G146" s="367"/>
      <c r="H146" s="374"/>
      <c r="I146" s="367"/>
      <c r="J146" s="367"/>
      <c r="K146" s="367"/>
      <c r="L146" s="367"/>
      <c r="M146" s="367"/>
      <c r="N146" s="367"/>
      <c r="O146" s="367"/>
      <c r="P146" s="367"/>
      <c r="Q146" s="367"/>
      <c r="R146" s="367"/>
      <c r="S146" s="367"/>
      <c r="T146" s="367"/>
      <c r="U146" s="367"/>
      <c r="V146" s="367"/>
      <c r="W146" s="367"/>
      <c r="X146" s="367"/>
      <c r="Y146" s="367"/>
      <c r="Z146" s="367"/>
      <c r="AA146" s="367"/>
      <c r="AB146" s="367"/>
      <c r="AC146" s="367"/>
      <c r="AD146" s="367"/>
      <c r="AE146" s="367"/>
      <c r="AF146" s="367"/>
    </row>
    <row r="147" ht="15.75" customHeight="1">
      <c r="A147" s="359"/>
      <c r="B147" s="359"/>
      <c r="C147" s="359"/>
      <c r="D147" s="374"/>
      <c r="E147" s="367"/>
      <c r="F147" s="374"/>
      <c r="G147" s="367"/>
      <c r="H147" s="374"/>
      <c r="I147" s="367"/>
      <c r="J147" s="367"/>
      <c r="K147" s="367"/>
      <c r="L147" s="367"/>
      <c r="M147" s="367"/>
      <c r="N147" s="367"/>
      <c r="O147" s="367"/>
      <c r="P147" s="367"/>
      <c r="Q147" s="367"/>
      <c r="R147" s="367"/>
      <c r="S147" s="367"/>
      <c r="T147" s="367"/>
      <c r="U147" s="367"/>
      <c r="V147" s="367"/>
      <c r="W147" s="367"/>
      <c r="X147" s="367"/>
      <c r="Y147" s="367"/>
      <c r="Z147" s="367"/>
      <c r="AA147" s="367"/>
      <c r="AB147" s="367"/>
      <c r="AC147" s="367"/>
      <c r="AD147" s="367"/>
      <c r="AE147" s="367"/>
      <c r="AF147" s="367"/>
    </row>
    <row r="148" ht="15.75" customHeight="1">
      <c r="A148" s="359"/>
      <c r="B148" s="359"/>
      <c r="C148" s="359"/>
      <c r="D148" s="374"/>
      <c r="E148" s="367"/>
      <c r="F148" s="374"/>
      <c r="G148" s="367"/>
      <c r="H148" s="374"/>
      <c r="I148" s="367"/>
      <c r="J148" s="367"/>
      <c r="K148" s="367"/>
      <c r="L148" s="367"/>
      <c r="M148" s="367"/>
      <c r="N148" s="367"/>
      <c r="O148" s="367"/>
      <c r="P148" s="367"/>
      <c r="Q148" s="367"/>
      <c r="R148" s="367"/>
      <c r="S148" s="367"/>
      <c r="T148" s="367"/>
      <c r="U148" s="367"/>
      <c r="V148" s="367"/>
      <c r="W148" s="367"/>
      <c r="X148" s="367"/>
      <c r="Y148" s="367"/>
      <c r="Z148" s="367"/>
      <c r="AA148" s="367"/>
      <c r="AB148" s="367"/>
      <c r="AC148" s="367"/>
      <c r="AD148" s="367"/>
      <c r="AE148" s="367"/>
      <c r="AF148" s="367"/>
    </row>
    <row r="149" ht="15.75" customHeight="1">
      <c r="A149" s="359"/>
      <c r="B149" s="359"/>
      <c r="C149" s="359"/>
      <c r="D149" s="374"/>
      <c r="E149" s="367"/>
      <c r="F149" s="374"/>
      <c r="G149" s="367"/>
      <c r="H149" s="374"/>
      <c r="I149" s="367"/>
      <c r="J149" s="367"/>
      <c r="K149" s="367"/>
      <c r="L149" s="367"/>
      <c r="M149" s="367"/>
      <c r="N149" s="367"/>
      <c r="O149" s="367"/>
      <c r="P149" s="367"/>
      <c r="Q149" s="367"/>
      <c r="R149" s="367"/>
      <c r="S149" s="367"/>
      <c r="T149" s="367"/>
      <c r="U149" s="367"/>
      <c r="V149" s="367"/>
      <c r="W149" s="367"/>
      <c r="X149" s="367"/>
      <c r="Y149" s="367"/>
      <c r="Z149" s="367"/>
      <c r="AA149" s="367"/>
      <c r="AB149" s="367"/>
      <c r="AC149" s="367"/>
      <c r="AD149" s="367"/>
      <c r="AE149" s="367"/>
      <c r="AF149" s="367"/>
    </row>
    <row r="150" ht="15.75" customHeight="1">
      <c r="A150" s="359"/>
      <c r="B150" s="361"/>
      <c r="C150" s="361"/>
      <c r="D150" s="361"/>
      <c r="E150" s="367"/>
      <c r="F150" s="367"/>
      <c r="G150" s="367"/>
      <c r="H150" s="367"/>
      <c r="I150" s="367"/>
      <c r="J150" s="367"/>
      <c r="K150" s="367"/>
      <c r="L150" s="367"/>
      <c r="M150" s="367"/>
      <c r="N150" s="367"/>
      <c r="O150" s="367"/>
      <c r="P150" s="367"/>
      <c r="Q150" s="367"/>
      <c r="R150" s="367"/>
      <c r="S150" s="367"/>
      <c r="T150" s="367"/>
      <c r="U150" s="367"/>
      <c r="V150" s="367"/>
      <c r="W150" s="367"/>
      <c r="X150" s="367"/>
      <c r="Y150" s="367"/>
      <c r="Z150" s="367"/>
      <c r="AA150" s="367"/>
      <c r="AB150" s="367"/>
      <c r="AC150" s="367"/>
      <c r="AD150" s="367"/>
      <c r="AE150" s="367"/>
      <c r="AF150" s="367"/>
    </row>
    <row r="151" ht="15.75" customHeight="1">
      <c r="A151" s="359"/>
      <c r="B151" s="361"/>
      <c r="C151" s="361"/>
      <c r="D151" s="361"/>
      <c r="E151" s="367"/>
      <c r="F151" s="367"/>
      <c r="G151" s="367"/>
      <c r="H151" s="367"/>
      <c r="I151" s="367"/>
      <c r="J151" s="367"/>
      <c r="K151" s="367"/>
      <c r="L151" s="367"/>
      <c r="M151" s="367"/>
      <c r="N151" s="367"/>
      <c r="O151" s="367"/>
      <c r="P151" s="367"/>
      <c r="Q151" s="367"/>
      <c r="R151" s="367"/>
      <c r="S151" s="367"/>
      <c r="T151" s="367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</row>
    <row r="152" ht="15.75" customHeight="1">
      <c r="A152" s="359"/>
      <c r="B152" s="361"/>
      <c r="C152" s="361"/>
      <c r="D152" s="361"/>
      <c r="E152" s="367"/>
      <c r="F152" s="367"/>
      <c r="G152" s="367"/>
      <c r="H152" s="367"/>
      <c r="I152" s="367"/>
      <c r="J152" s="367"/>
      <c r="K152" s="367"/>
      <c r="L152" s="367"/>
      <c r="M152" s="367"/>
      <c r="N152" s="367"/>
      <c r="O152" s="367"/>
      <c r="P152" s="367"/>
      <c r="Q152" s="367"/>
      <c r="R152" s="367"/>
      <c r="S152" s="367"/>
      <c r="T152" s="367"/>
      <c r="U152" s="367"/>
      <c r="V152" s="367"/>
      <c r="W152" s="367"/>
      <c r="X152" s="367"/>
      <c r="Y152" s="367"/>
      <c r="Z152" s="367"/>
      <c r="AA152" s="367"/>
      <c r="AB152" s="367"/>
      <c r="AC152" s="367"/>
      <c r="AD152" s="367"/>
      <c r="AE152" s="367"/>
      <c r="AF152" s="367"/>
    </row>
    <row r="153" ht="15.75" customHeight="1">
      <c r="A153" s="359"/>
      <c r="B153" s="361"/>
      <c r="C153" s="361"/>
      <c r="D153" s="361"/>
      <c r="E153" s="367"/>
      <c r="F153" s="367"/>
      <c r="G153" s="367"/>
      <c r="H153" s="367"/>
      <c r="I153" s="367"/>
      <c r="J153" s="367"/>
      <c r="K153" s="367"/>
      <c r="L153" s="367"/>
      <c r="M153" s="367"/>
      <c r="N153" s="367"/>
      <c r="O153" s="367"/>
      <c r="P153" s="367"/>
      <c r="Q153" s="367"/>
      <c r="R153" s="367"/>
      <c r="S153" s="367"/>
      <c r="T153" s="367"/>
      <c r="U153" s="367"/>
      <c r="V153" s="367"/>
      <c r="W153" s="367"/>
      <c r="X153" s="367"/>
      <c r="Y153" s="367"/>
      <c r="Z153" s="367"/>
      <c r="AA153" s="367"/>
      <c r="AB153" s="367"/>
      <c r="AC153" s="367"/>
      <c r="AD153" s="367"/>
      <c r="AE153" s="367"/>
      <c r="AF153" s="367"/>
    </row>
    <row r="154" ht="15.75" customHeight="1">
      <c r="A154" s="359"/>
      <c r="B154" s="361"/>
      <c r="C154" s="361"/>
      <c r="D154" s="361"/>
      <c r="E154" s="367"/>
      <c r="F154" s="367"/>
      <c r="G154" s="367"/>
      <c r="H154" s="367"/>
      <c r="I154" s="367"/>
      <c r="J154" s="367"/>
      <c r="K154" s="367"/>
      <c r="L154" s="367"/>
      <c r="M154" s="367"/>
      <c r="N154" s="367"/>
      <c r="O154" s="367"/>
      <c r="P154" s="367"/>
      <c r="Q154" s="367"/>
      <c r="R154" s="367"/>
      <c r="S154" s="367"/>
      <c r="T154" s="367"/>
      <c r="U154" s="367"/>
      <c r="V154" s="367"/>
      <c r="W154" s="367"/>
      <c r="X154" s="367"/>
      <c r="Y154" s="367"/>
      <c r="Z154" s="367"/>
      <c r="AA154" s="367"/>
      <c r="AB154" s="367"/>
      <c r="AC154" s="367"/>
      <c r="AD154" s="367"/>
      <c r="AE154" s="367"/>
      <c r="AF154" s="367"/>
    </row>
    <row r="155" ht="15.75" customHeight="1">
      <c r="A155" s="359"/>
      <c r="B155" s="361"/>
      <c r="C155" s="361"/>
      <c r="D155" s="361"/>
      <c r="E155" s="367"/>
      <c r="F155" s="367"/>
      <c r="G155" s="367"/>
      <c r="H155" s="367"/>
      <c r="I155" s="367"/>
      <c r="J155" s="367"/>
      <c r="K155" s="367"/>
      <c r="L155" s="367"/>
      <c r="M155" s="367"/>
      <c r="N155" s="367"/>
      <c r="O155" s="367"/>
      <c r="P155" s="367"/>
      <c r="Q155" s="367"/>
      <c r="R155" s="367"/>
      <c r="S155" s="367"/>
      <c r="T155" s="367"/>
      <c r="U155" s="367"/>
      <c r="V155" s="367"/>
      <c r="W155" s="367"/>
      <c r="X155" s="367"/>
      <c r="Y155" s="367"/>
      <c r="Z155" s="367"/>
      <c r="AA155" s="367"/>
      <c r="AB155" s="367"/>
      <c r="AC155" s="367"/>
      <c r="AD155" s="367"/>
      <c r="AE155" s="367"/>
      <c r="AF155" s="367"/>
    </row>
    <row r="156" ht="15.75" customHeight="1">
      <c r="A156" s="359"/>
      <c r="B156" s="361"/>
      <c r="C156" s="361"/>
      <c r="D156" s="361"/>
      <c r="E156" s="367"/>
      <c r="F156" s="367"/>
      <c r="G156" s="367"/>
      <c r="H156" s="367"/>
      <c r="I156" s="367"/>
      <c r="J156" s="367"/>
      <c r="K156" s="367"/>
      <c r="L156" s="367"/>
      <c r="M156" s="367"/>
      <c r="N156" s="367"/>
      <c r="O156" s="367"/>
      <c r="P156" s="367"/>
      <c r="Q156" s="367"/>
      <c r="R156" s="367"/>
      <c r="S156" s="367"/>
      <c r="T156" s="367"/>
      <c r="U156" s="367"/>
      <c r="V156" s="367"/>
      <c r="W156" s="367"/>
      <c r="X156" s="367"/>
      <c r="Y156" s="367"/>
      <c r="Z156" s="367"/>
      <c r="AA156" s="367"/>
      <c r="AB156" s="367"/>
      <c r="AC156" s="367"/>
      <c r="AD156" s="367"/>
      <c r="AE156" s="367"/>
      <c r="AF156" s="367"/>
    </row>
    <row r="157" ht="15.75" customHeight="1">
      <c r="A157" s="359"/>
      <c r="B157" s="361"/>
      <c r="C157" s="361"/>
      <c r="D157" s="361"/>
      <c r="E157" s="367"/>
      <c r="F157" s="367"/>
      <c r="G157" s="367"/>
      <c r="H157" s="367"/>
      <c r="I157" s="367"/>
      <c r="J157" s="367"/>
      <c r="K157" s="367"/>
      <c r="L157" s="367"/>
      <c r="M157" s="367"/>
      <c r="N157" s="367"/>
      <c r="O157" s="367"/>
      <c r="P157" s="367"/>
      <c r="Q157" s="367"/>
      <c r="R157" s="367"/>
      <c r="S157" s="367"/>
      <c r="T157" s="367"/>
      <c r="U157" s="367"/>
      <c r="V157" s="367"/>
      <c r="W157" s="367"/>
      <c r="X157" s="367"/>
      <c r="Y157" s="367"/>
      <c r="Z157" s="367"/>
      <c r="AA157" s="367"/>
      <c r="AB157" s="367"/>
      <c r="AC157" s="367"/>
      <c r="AD157" s="367"/>
      <c r="AE157" s="367"/>
      <c r="AF157" s="367"/>
    </row>
    <row r="158" ht="15.75" customHeight="1">
      <c r="A158" s="359"/>
      <c r="B158" s="361"/>
      <c r="C158" s="361"/>
      <c r="D158" s="361"/>
      <c r="E158" s="367"/>
      <c r="F158" s="367"/>
      <c r="G158" s="367"/>
      <c r="H158" s="367"/>
      <c r="I158" s="367"/>
      <c r="J158" s="367"/>
      <c r="K158" s="367"/>
      <c r="L158" s="367"/>
      <c r="M158" s="367"/>
      <c r="N158" s="367"/>
      <c r="O158" s="367"/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  <c r="AE158" s="367"/>
      <c r="AF158" s="367"/>
    </row>
    <row r="159" ht="15.75" customHeight="1">
      <c r="A159" s="359"/>
      <c r="B159" s="361"/>
      <c r="C159" s="361"/>
      <c r="D159" s="361"/>
      <c r="E159" s="367"/>
      <c r="F159" s="367"/>
      <c r="G159" s="367"/>
      <c r="H159" s="367"/>
      <c r="I159" s="367"/>
      <c r="J159" s="367"/>
      <c r="K159" s="367"/>
      <c r="L159" s="367"/>
      <c r="M159" s="367"/>
      <c r="N159" s="367"/>
      <c r="O159" s="367"/>
      <c r="P159" s="367"/>
      <c r="Q159" s="367"/>
      <c r="R159" s="367"/>
      <c r="S159" s="367"/>
      <c r="T159" s="367"/>
      <c r="U159" s="367"/>
      <c r="V159" s="367"/>
      <c r="W159" s="367"/>
      <c r="X159" s="367"/>
      <c r="Y159" s="367"/>
      <c r="Z159" s="367"/>
      <c r="AA159" s="367"/>
      <c r="AB159" s="367"/>
      <c r="AC159" s="367"/>
      <c r="AD159" s="367"/>
      <c r="AE159" s="367"/>
      <c r="AF159" s="367"/>
    </row>
    <row r="160" ht="15.75" customHeight="1">
      <c r="A160" s="359"/>
      <c r="B160" s="361"/>
      <c r="C160" s="361"/>
      <c r="D160" s="361"/>
      <c r="E160" s="367"/>
      <c r="F160" s="367"/>
      <c r="G160" s="367"/>
      <c r="H160" s="367"/>
      <c r="I160" s="367"/>
      <c r="J160" s="367"/>
      <c r="K160" s="367"/>
      <c r="L160" s="367"/>
      <c r="M160" s="367"/>
      <c r="N160" s="367"/>
      <c r="O160" s="367"/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</row>
    <row r="161" ht="15.75" customHeight="1">
      <c r="A161" s="359"/>
      <c r="B161" s="361"/>
      <c r="C161" s="361"/>
      <c r="D161" s="361"/>
      <c r="E161" s="367"/>
      <c r="F161" s="367"/>
      <c r="G161" s="367"/>
      <c r="H161" s="367"/>
      <c r="I161" s="367"/>
      <c r="J161" s="367"/>
      <c r="K161" s="367"/>
      <c r="L161" s="367"/>
      <c r="M161" s="367"/>
      <c r="N161" s="367"/>
      <c r="O161" s="367"/>
      <c r="P161" s="367"/>
      <c r="Q161" s="367"/>
      <c r="R161" s="367"/>
      <c r="S161" s="367"/>
      <c r="T161" s="367"/>
      <c r="U161" s="367"/>
      <c r="V161" s="367"/>
      <c r="W161" s="367"/>
      <c r="X161" s="367"/>
      <c r="Y161" s="367"/>
      <c r="Z161" s="367"/>
      <c r="AA161" s="367"/>
      <c r="AB161" s="367"/>
      <c r="AC161" s="367"/>
      <c r="AD161" s="367"/>
      <c r="AE161" s="367"/>
      <c r="AF161" s="367"/>
    </row>
    <row r="162" ht="15.75" customHeight="1">
      <c r="A162" s="359"/>
      <c r="B162" s="361"/>
      <c r="C162" s="361"/>
      <c r="D162" s="361"/>
      <c r="E162" s="367"/>
      <c r="F162" s="367"/>
      <c r="G162" s="367"/>
      <c r="H162" s="367"/>
      <c r="I162" s="367"/>
      <c r="J162" s="367"/>
      <c r="K162" s="367"/>
      <c r="L162" s="367"/>
      <c r="M162" s="367"/>
      <c r="N162" s="367"/>
      <c r="O162" s="367"/>
      <c r="P162" s="367"/>
      <c r="Q162" s="367"/>
      <c r="R162" s="367"/>
      <c r="S162" s="367"/>
      <c r="T162" s="367"/>
      <c r="U162" s="367"/>
      <c r="V162" s="367"/>
      <c r="W162" s="367"/>
      <c r="X162" s="367"/>
      <c r="Y162" s="367"/>
      <c r="Z162" s="367"/>
      <c r="AA162" s="367"/>
      <c r="AB162" s="367"/>
      <c r="AC162" s="367"/>
      <c r="AD162" s="367"/>
      <c r="AE162" s="367"/>
      <c r="AF162" s="367"/>
    </row>
    <row r="163" ht="15.75" customHeight="1">
      <c r="A163" s="359"/>
      <c r="B163" s="361"/>
      <c r="C163" s="361"/>
      <c r="D163" s="361"/>
      <c r="E163" s="367"/>
      <c r="F163" s="367"/>
      <c r="G163" s="367"/>
      <c r="H163" s="367"/>
      <c r="I163" s="367"/>
      <c r="J163" s="367"/>
      <c r="K163" s="367"/>
      <c r="L163" s="367"/>
      <c r="M163" s="367"/>
      <c r="N163" s="367"/>
      <c r="O163" s="367"/>
      <c r="P163" s="367"/>
      <c r="Q163" s="367"/>
      <c r="R163" s="367"/>
      <c r="S163" s="367"/>
      <c r="T163" s="367"/>
      <c r="U163" s="367"/>
      <c r="V163" s="367"/>
      <c r="W163" s="367"/>
      <c r="X163" s="367"/>
      <c r="Y163" s="367"/>
      <c r="Z163" s="367"/>
      <c r="AA163" s="367"/>
      <c r="AB163" s="367"/>
      <c r="AC163" s="367"/>
      <c r="AD163" s="367"/>
      <c r="AE163" s="367"/>
      <c r="AF163" s="367"/>
    </row>
    <row r="164" ht="15.75" customHeight="1">
      <c r="A164" s="359"/>
      <c r="B164" s="361"/>
      <c r="C164" s="361"/>
      <c r="D164" s="361"/>
      <c r="E164" s="367"/>
      <c r="F164" s="367"/>
      <c r="G164" s="367"/>
      <c r="H164" s="367"/>
      <c r="I164" s="367"/>
      <c r="J164" s="367"/>
      <c r="K164" s="367"/>
      <c r="L164" s="367"/>
      <c r="M164" s="367"/>
      <c r="N164" s="367"/>
      <c r="O164" s="367"/>
      <c r="P164" s="367"/>
      <c r="Q164" s="367"/>
      <c r="R164" s="367"/>
      <c r="S164" s="367"/>
      <c r="T164" s="367"/>
      <c r="U164" s="367"/>
      <c r="V164" s="367"/>
      <c r="W164" s="367"/>
      <c r="X164" s="367"/>
      <c r="Y164" s="367"/>
      <c r="Z164" s="367"/>
      <c r="AA164" s="367"/>
      <c r="AB164" s="367"/>
      <c r="AC164" s="367"/>
      <c r="AD164" s="367"/>
      <c r="AE164" s="367"/>
      <c r="AF164" s="367"/>
    </row>
    <row r="165" ht="15.75" customHeight="1">
      <c r="A165" s="359"/>
      <c r="B165" s="361"/>
      <c r="C165" s="361"/>
      <c r="D165" s="361"/>
      <c r="E165" s="367"/>
      <c r="F165" s="367"/>
      <c r="G165" s="367"/>
      <c r="H165" s="367"/>
      <c r="I165" s="367"/>
      <c r="J165" s="367"/>
      <c r="K165" s="367"/>
      <c r="L165" s="367"/>
      <c r="M165" s="367"/>
      <c r="N165" s="367"/>
      <c r="O165" s="367"/>
      <c r="P165" s="367"/>
      <c r="Q165" s="367"/>
      <c r="R165" s="367"/>
      <c r="S165" s="367"/>
      <c r="T165" s="367"/>
      <c r="U165" s="367"/>
      <c r="V165" s="367"/>
      <c r="W165" s="367"/>
      <c r="X165" s="367"/>
      <c r="Y165" s="367"/>
      <c r="Z165" s="367"/>
      <c r="AA165" s="367"/>
      <c r="AB165" s="367"/>
      <c r="AC165" s="367"/>
      <c r="AD165" s="367"/>
      <c r="AE165" s="367"/>
      <c r="AF165" s="367"/>
    </row>
    <row r="166" ht="15.75" customHeight="1">
      <c r="A166" s="359"/>
      <c r="B166" s="361"/>
      <c r="C166" s="361"/>
      <c r="D166" s="361"/>
      <c r="E166" s="367"/>
      <c r="F166" s="367"/>
      <c r="G166" s="367"/>
      <c r="H166" s="367"/>
      <c r="I166" s="367"/>
      <c r="J166" s="367"/>
      <c r="K166" s="367"/>
      <c r="L166" s="367"/>
      <c r="M166" s="367"/>
      <c r="N166" s="367"/>
      <c r="O166" s="367"/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</row>
    <row r="167" ht="15.75" customHeight="1">
      <c r="A167" s="359"/>
      <c r="B167" s="361"/>
      <c r="C167" s="361"/>
      <c r="D167" s="361"/>
      <c r="E167" s="367"/>
      <c r="F167" s="367"/>
      <c r="G167" s="367"/>
      <c r="H167" s="367"/>
      <c r="I167" s="367"/>
      <c r="J167" s="367"/>
      <c r="K167" s="367"/>
      <c r="L167" s="367"/>
      <c r="M167" s="367"/>
      <c r="N167" s="367"/>
      <c r="O167" s="367"/>
      <c r="P167" s="367"/>
      <c r="Q167" s="367"/>
      <c r="R167" s="367"/>
      <c r="S167" s="367"/>
      <c r="T167" s="367"/>
      <c r="U167" s="367"/>
      <c r="V167" s="367"/>
      <c r="W167" s="367"/>
      <c r="X167" s="367"/>
      <c r="Y167" s="367"/>
      <c r="Z167" s="367"/>
      <c r="AA167" s="367"/>
      <c r="AB167" s="367"/>
      <c r="AC167" s="367"/>
      <c r="AD167" s="367"/>
      <c r="AE167" s="367"/>
      <c r="AF167" s="367"/>
    </row>
    <row r="168" ht="15.75" customHeight="1">
      <c r="A168" s="359"/>
      <c r="B168" s="361"/>
      <c r="C168" s="361"/>
      <c r="D168" s="361"/>
      <c r="E168" s="367"/>
      <c r="F168" s="367"/>
      <c r="G168" s="367"/>
      <c r="H168" s="367"/>
      <c r="I168" s="367"/>
      <c r="J168" s="367"/>
      <c r="K168" s="367"/>
      <c r="L168" s="367"/>
      <c r="M168" s="367"/>
      <c r="N168" s="367"/>
      <c r="O168" s="367"/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</row>
    <row r="169" ht="15.75" customHeight="1">
      <c r="A169" s="359"/>
      <c r="B169" s="361"/>
      <c r="C169" s="361"/>
      <c r="D169" s="361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7"/>
      <c r="T169" s="367"/>
      <c r="U169" s="367"/>
      <c r="V169" s="367"/>
      <c r="W169" s="367"/>
      <c r="X169" s="367"/>
      <c r="Y169" s="367"/>
      <c r="Z169" s="367"/>
      <c r="AA169" s="367"/>
      <c r="AB169" s="367"/>
      <c r="AC169" s="367"/>
      <c r="AD169" s="367"/>
      <c r="AE169" s="367"/>
      <c r="AF169" s="367"/>
    </row>
    <row r="170" ht="15.75" customHeight="1">
      <c r="A170" s="359"/>
      <c r="B170" s="361"/>
      <c r="C170" s="361"/>
      <c r="D170" s="361"/>
      <c r="E170" s="367"/>
      <c r="F170" s="367"/>
      <c r="G170" s="367"/>
      <c r="H170" s="367"/>
      <c r="I170" s="367"/>
      <c r="J170" s="367"/>
      <c r="K170" s="367"/>
      <c r="L170" s="367"/>
      <c r="M170" s="367"/>
      <c r="N170" s="367"/>
      <c r="O170" s="367"/>
      <c r="P170" s="367"/>
      <c r="Q170" s="367"/>
      <c r="R170" s="367"/>
      <c r="S170" s="367"/>
      <c r="T170" s="367"/>
      <c r="U170" s="367"/>
      <c r="V170" s="367"/>
      <c r="W170" s="367"/>
      <c r="X170" s="367"/>
      <c r="Y170" s="367"/>
      <c r="Z170" s="367"/>
      <c r="AA170" s="367"/>
      <c r="AB170" s="367"/>
      <c r="AC170" s="367"/>
      <c r="AD170" s="367"/>
      <c r="AE170" s="367"/>
      <c r="AF170" s="367"/>
    </row>
    <row r="171" ht="15.75" customHeight="1">
      <c r="A171" s="359"/>
      <c r="B171" s="361"/>
      <c r="C171" s="361"/>
      <c r="D171" s="361"/>
      <c r="E171" s="367"/>
      <c r="F171" s="367"/>
      <c r="G171" s="367"/>
      <c r="H171" s="367"/>
      <c r="I171" s="367"/>
      <c r="J171" s="367"/>
      <c r="K171" s="367"/>
      <c r="L171" s="367"/>
      <c r="M171" s="367"/>
      <c r="N171" s="367"/>
      <c r="O171" s="367"/>
      <c r="P171" s="367"/>
      <c r="Q171" s="367"/>
      <c r="R171" s="367"/>
      <c r="S171" s="367"/>
      <c r="T171" s="367"/>
      <c r="U171" s="367"/>
      <c r="V171" s="367"/>
      <c r="W171" s="367"/>
      <c r="X171" s="367"/>
      <c r="Y171" s="367"/>
      <c r="Z171" s="367"/>
      <c r="AA171" s="367"/>
      <c r="AB171" s="367"/>
      <c r="AC171" s="367"/>
      <c r="AD171" s="367"/>
      <c r="AE171" s="367"/>
      <c r="AF171" s="367"/>
    </row>
    <row r="172" ht="15.75" customHeight="1">
      <c r="A172" s="359"/>
      <c r="B172" s="361"/>
      <c r="C172" s="361"/>
      <c r="D172" s="361"/>
      <c r="E172" s="367"/>
      <c r="F172" s="367"/>
      <c r="G172" s="367"/>
      <c r="H172" s="367"/>
      <c r="I172" s="367"/>
      <c r="J172" s="367"/>
      <c r="K172" s="367"/>
      <c r="L172" s="367"/>
      <c r="M172" s="367"/>
      <c r="N172" s="367"/>
      <c r="O172" s="367"/>
      <c r="P172" s="367"/>
      <c r="Q172" s="367"/>
      <c r="R172" s="367"/>
      <c r="S172" s="367"/>
      <c r="T172" s="367"/>
      <c r="U172" s="367"/>
      <c r="V172" s="367"/>
      <c r="W172" s="367"/>
      <c r="X172" s="367"/>
      <c r="Y172" s="367"/>
      <c r="Z172" s="367"/>
      <c r="AA172" s="367"/>
      <c r="AB172" s="367"/>
      <c r="AC172" s="367"/>
      <c r="AD172" s="367"/>
      <c r="AE172" s="367"/>
      <c r="AF172" s="367"/>
    </row>
    <row r="173" ht="15.75" customHeight="1">
      <c r="A173" s="359"/>
      <c r="B173" s="361"/>
      <c r="C173" s="361"/>
      <c r="D173" s="361"/>
      <c r="E173" s="367"/>
      <c r="F173" s="367"/>
      <c r="G173" s="367"/>
      <c r="H173" s="367"/>
      <c r="I173" s="367"/>
      <c r="J173" s="367"/>
      <c r="K173" s="367"/>
      <c r="L173" s="367"/>
      <c r="M173" s="367"/>
      <c r="N173" s="367"/>
      <c r="O173" s="367"/>
      <c r="P173" s="367"/>
      <c r="Q173" s="367"/>
      <c r="R173" s="367"/>
      <c r="S173" s="367"/>
      <c r="T173" s="367"/>
      <c r="U173" s="367"/>
      <c r="V173" s="367"/>
      <c r="W173" s="367"/>
      <c r="X173" s="367"/>
      <c r="Y173" s="367"/>
      <c r="Z173" s="367"/>
      <c r="AA173" s="367"/>
      <c r="AB173" s="367"/>
      <c r="AC173" s="367"/>
      <c r="AD173" s="367"/>
      <c r="AE173" s="367"/>
      <c r="AF173" s="367"/>
    </row>
    <row r="174" ht="15.75" customHeight="1">
      <c r="A174" s="359"/>
      <c r="B174" s="361"/>
      <c r="C174" s="361"/>
      <c r="D174" s="361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7"/>
      <c r="T174" s="367"/>
      <c r="U174" s="367"/>
      <c r="V174" s="367"/>
      <c r="W174" s="367"/>
      <c r="X174" s="367"/>
      <c r="Y174" s="367"/>
      <c r="Z174" s="367"/>
      <c r="AA174" s="367"/>
      <c r="AB174" s="367"/>
      <c r="AC174" s="367"/>
      <c r="AD174" s="367"/>
      <c r="AE174" s="367"/>
      <c r="AF174" s="367"/>
    </row>
    <row r="175" ht="15.75" customHeight="1">
      <c r="A175" s="359"/>
      <c r="B175" s="361"/>
      <c r="C175" s="361"/>
      <c r="D175" s="361"/>
      <c r="E175" s="367"/>
      <c r="F175" s="367"/>
      <c r="G175" s="367"/>
      <c r="H175" s="367"/>
      <c r="I175" s="367"/>
      <c r="J175" s="367"/>
      <c r="K175" s="367"/>
      <c r="L175" s="367"/>
      <c r="M175" s="367"/>
      <c r="N175" s="367"/>
      <c r="O175" s="367"/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  <c r="AE175" s="367"/>
      <c r="AF175" s="367"/>
    </row>
    <row r="176" ht="15.75" customHeight="1">
      <c r="A176" s="359"/>
      <c r="B176" s="361"/>
      <c r="C176" s="361"/>
      <c r="D176" s="361"/>
      <c r="E176" s="367"/>
      <c r="F176" s="367"/>
      <c r="G176" s="367"/>
      <c r="H176" s="367"/>
      <c r="I176" s="367"/>
      <c r="J176" s="367"/>
      <c r="K176" s="367"/>
      <c r="L176" s="367"/>
      <c r="M176" s="367"/>
      <c r="N176" s="367"/>
      <c r="O176" s="367"/>
      <c r="P176" s="367"/>
      <c r="Q176" s="367"/>
      <c r="R176" s="367"/>
      <c r="S176" s="367"/>
      <c r="T176" s="367"/>
      <c r="U176" s="367"/>
      <c r="V176" s="367"/>
      <c r="W176" s="367"/>
      <c r="X176" s="367"/>
      <c r="Y176" s="367"/>
      <c r="Z176" s="367"/>
      <c r="AA176" s="367"/>
      <c r="AB176" s="367"/>
      <c r="AC176" s="367"/>
      <c r="AD176" s="367"/>
      <c r="AE176" s="367"/>
      <c r="AF176" s="367"/>
    </row>
    <row r="177" ht="15.75" customHeight="1">
      <c r="A177" s="359"/>
      <c r="B177" s="361"/>
      <c r="C177" s="361"/>
      <c r="D177" s="361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  <c r="AE177" s="367"/>
      <c r="AF177" s="367"/>
    </row>
    <row r="178" ht="15.75" customHeight="1">
      <c r="A178" s="359"/>
      <c r="B178" s="361"/>
      <c r="C178" s="361"/>
      <c r="D178" s="361"/>
      <c r="E178" s="367"/>
      <c r="F178" s="367"/>
      <c r="G178" s="367"/>
      <c r="H178" s="367"/>
      <c r="I178" s="367"/>
      <c r="J178" s="367"/>
      <c r="K178" s="367"/>
      <c r="L178" s="367"/>
      <c r="M178" s="367"/>
      <c r="N178" s="367"/>
      <c r="O178" s="367"/>
      <c r="P178" s="367"/>
      <c r="Q178" s="367"/>
      <c r="R178" s="367"/>
      <c r="S178" s="367"/>
      <c r="T178" s="367"/>
      <c r="U178" s="367"/>
      <c r="V178" s="367"/>
      <c r="W178" s="367"/>
      <c r="X178" s="367"/>
      <c r="Y178" s="367"/>
      <c r="Z178" s="367"/>
      <c r="AA178" s="367"/>
      <c r="AB178" s="367"/>
      <c r="AC178" s="367"/>
      <c r="AD178" s="367"/>
      <c r="AE178" s="367"/>
      <c r="AF178" s="367"/>
    </row>
    <row r="179" ht="15.75" customHeight="1">
      <c r="A179" s="359"/>
      <c r="B179" s="361"/>
      <c r="C179" s="361"/>
      <c r="D179" s="361"/>
      <c r="E179" s="367"/>
      <c r="F179" s="367"/>
      <c r="G179" s="367"/>
      <c r="H179" s="367"/>
      <c r="I179" s="367"/>
      <c r="J179" s="367"/>
      <c r="K179" s="367"/>
      <c r="L179" s="367"/>
      <c r="M179" s="367"/>
      <c r="N179" s="367"/>
      <c r="O179" s="367"/>
      <c r="P179" s="367"/>
      <c r="Q179" s="367"/>
      <c r="R179" s="367"/>
      <c r="S179" s="367"/>
      <c r="T179" s="367"/>
      <c r="U179" s="367"/>
      <c r="V179" s="367"/>
      <c r="W179" s="367"/>
      <c r="X179" s="367"/>
      <c r="Y179" s="367"/>
      <c r="Z179" s="367"/>
      <c r="AA179" s="367"/>
      <c r="AB179" s="367"/>
      <c r="AC179" s="367"/>
      <c r="AD179" s="367"/>
      <c r="AE179" s="367"/>
      <c r="AF179" s="367"/>
    </row>
    <row r="180" ht="15.75" customHeight="1">
      <c r="A180" s="359"/>
      <c r="B180" s="361"/>
      <c r="C180" s="361"/>
      <c r="D180" s="361"/>
      <c r="E180" s="367"/>
      <c r="F180" s="367"/>
      <c r="G180" s="367"/>
      <c r="H180" s="367"/>
      <c r="I180" s="367"/>
      <c r="J180" s="367"/>
      <c r="K180" s="367"/>
      <c r="L180" s="367"/>
      <c r="M180" s="367"/>
      <c r="N180" s="367"/>
      <c r="O180" s="367"/>
      <c r="P180" s="367"/>
      <c r="Q180" s="367"/>
      <c r="R180" s="367"/>
      <c r="S180" s="367"/>
      <c r="T180" s="367"/>
      <c r="U180" s="367"/>
      <c r="V180" s="367"/>
      <c r="W180" s="367"/>
      <c r="X180" s="367"/>
      <c r="Y180" s="367"/>
      <c r="Z180" s="367"/>
      <c r="AA180" s="367"/>
      <c r="AB180" s="367"/>
      <c r="AC180" s="367"/>
      <c r="AD180" s="367"/>
      <c r="AE180" s="367"/>
      <c r="AF180" s="367"/>
    </row>
    <row r="181" ht="15.75" customHeight="1">
      <c r="A181" s="359"/>
      <c r="B181" s="361"/>
      <c r="C181" s="361"/>
      <c r="D181" s="361"/>
      <c r="E181" s="367"/>
      <c r="F181" s="367"/>
      <c r="G181" s="367"/>
      <c r="H181" s="367"/>
      <c r="I181" s="367"/>
      <c r="J181" s="367"/>
      <c r="K181" s="367"/>
      <c r="L181" s="367"/>
      <c r="M181" s="367"/>
      <c r="N181" s="367"/>
      <c r="O181" s="367"/>
      <c r="P181" s="367"/>
      <c r="Q181" s="367"/>
      <c r="R181" s="367"/>
      <c r="S181" s="367"/>
      <c r="T181" s="367"/>
      <c r="U181" s="367"/>
      <c r="V181" s="367"/>
      <c r="W181" s="367"/>
      <c r="X181" s="367"/>
      <c r="Y181" s="367"/>
      <c r="Z181" s="367"/>
      <c r="AA181" s="367"/>
      <c r="AB181" s="367"/>
      <c r="AC181" s="367"/>
      <c r="AD181" s="367"/>
      <c r="AE181" s="367"/>
      <c r="AF181" s="367"/>
    </row>
    <row r="182" ht="15.75" customHeight="1">
      <c r="A182" s="359"/>
      <c r="B182" s="361"/>
      <c r="C182" s="361"/>
      <c r="D182" s="361"/>
      <c r="E182" s="367"/>
      <c r="F182" s="367"/>
      <c r="G182" s="367"/>
      <c r="H182" s="367"/>
      <c r="I182" s="367"/>
      <c r="J182" s="367"/>
      <c r="K182" s="367"/>
      <c r="L182" s="367"/>
      <c r="M182" s="367"/>
      <c r="N182" s="367"/>
      <c r="O182" s="367"/>
      <c r="P182" s="367"/>
      <c r="Q182" s="367"/>
      <c r="R182" s="367"/>
      <c r="S182" s="367"/>
      <c r="T182" s="367"/>
      <c r="U182" s="367"/>
      <c r="V182" s="367"/>
      <c r="W182" s="367"/>
      <c r="X182" s="367"/>
      <c r="Y182" s="367"/>
      <c r="Z182" s="367"/>
      <c r="AA182" s="367"/>
      <c r="AB182" s="367"/>
      <c r="AC182" s="367"/>
      <c r="AD182" s="367"/>
      <c r="AE182" s="367"/>
      <c r="AF182" s="367"/>
    </row>
    <row r="183" ht="15.75" customHeight="1">
      <c r="A183" s="359"/>
      <c r="B183" s="361"/>
      <c r="C183" s="361"/>
      <c r="D183" s="361"/>
      <c r="E183" s="367"/>
      <c r="F183" s="367"/>
      <c r="G183" s="367"/>
      <c r="H183" s="367"/>
      <c r="I183" s="367"/>
      <c r="J183" s="367"/>
      <c r="K183" s="367"/>
      <c r="L183" s="367"/>
      <c r="M183" s="367"/>
      <c r="N183" s="367"/>
      <c r="O183" s="367"/>
      <c r="P183" s="367"/>
      <c r="Q183" s="367"/>
      <c r="R183" s="367"/>
      <c r="S183" s="367"/>
      <c r="T183" s="367"/>
      <c r="U183" s="367"/>
      <c r="V183" s="367"/>
      <c r="W183" s="367"/>
      <c r="X183" s="367"/>
      <c r="Y183" s="367"/>
      <c r="Z183" s="367"/>
      <c r="AA183" s="367"/>
      <c r="AB183" s="367"/>
      <c r="AC183" s="367"/>
      <c r="AD183" s="367"/>
      <c r="AE183" s="367"/>
      <c r="AF183" s="367"/>
    </row>
    <row r="184" ht="15.75" customHeight="1">
      <c r="A184" s="359"/>
      <c r="B184" s="361"/>
      <c r="C184" s="361"/>
      <c r="D184" s="361"/>
      <c r="E184" s="367"/>
      <c r="F184" s="367"/>
      <c r="G184" s="367"/>
      <c r="H184" s="367"/>
      <c r="I184" s="367"/>
      <c r="J184" s="367"/>
      <c r="K184" s="367"/>
      <c r="L184" s="367"/>
      <c r="M184" s="367"/>
      <c r="N184" s="367"/>
      <c r="O184" s="367"/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  <c r="AE184" s="367"/>
      <c r="AF184" s="367"/>
    </row>
    <row r="185" ht="15.75" customHeight="1">
      <c r="A185" s="359"/>
      <c r="B185" s="361"/>
      <c r="C185" s="361"/>
      <c r="D185" s="361"/>
      <c r="E185" s="367"/>
      <c r="F185" s="367"/>
      <c r="G185" s="367"/>
      <c r="H185" s="367"/>
      <c r="I185" s="367"/>
      <c r="J185" s="367"/>
      <c r="K185" s="367"/>
      <c r="L185" s="367"/>
      <c r="M185" s="367"/>
      <c r="N185" s="367"/>
      <c r="O185" s="367"/>
      <c r="P185" s="367"/>
      <c r="Q185" s="367"/>
      <c r="R185" s="367"/>
      <c r="S185" s="367"/>
      <c r="T185" s="367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  <c r="AE185" s="367"/>
      <c r="AF185" s="367"/>
    </row>
    <row r="186" ht="15.75" customHeight="1">
      <c r="A186" s="359"/>
      <c r="B186" s="361"/>
      <c r="C186" s="361"/>
      <c r="D186" s="361"/>
      <c r="E186" s="367"/>
      <c r="F186" s="367"/>
      <c r="G186" s="367"/>
      <c r="H186" s="367"/>
      <c r="I186" s="367"/>
      <c r="J186" s="367"/>
      <c r="K186" s="367"/>
      <c r="L186" s="367"/>
      <c r="M186" s="367"/>
      <c r="N186" s="367"/>
      <c r="O186" s="367"/>
      <c r="P186" s="367"/>
      <c r="Q186" s="367"/>
      <c r="R186" s="367"/>
      <c r="S186" s="367"/>
      <c r="T186" s="367"/>
      <c r="U186" s="367"/>
      <c r="V186" s="367"/>
      <c r="W186" s="367"/>
      <c r="X186" s="367"/>
      <c r="Y186" s="367"/>
      <c r="Z186" s="367"/>
      <c r="AA186" s="367"/>
      <c r="AB186" s="367"/>
      <c r="AC186" s="367"/>
      <c r="AD186" s="367"/>
      <c r="AE186" s="367"/>
      <c r="AF186" s="367"/>
    </row>
    <row r="187" ht="15.75" customHeight="1">
      <c r="A187" s="359"/>
      <c r="B187" s="361"/>
      <c r="C187" s="361"/>
      <c r="D187" s="361"/>
      <c r="E187" s="367"/>
      <c r="F187" s="367"/>
      <c r="G187" s="367"/>
      <c r="H187" s="367"/>
      <c r="I187" s="367"/>
      <c r="J187" s="367"/>
      <c r="K187" s="367"/>
      <c r="L187" s="367"/>
      <c r="M187" s="367"/>
      <c r="N187" s="367"/>
      <c r="O187" s="367"/>
      <c r="P187" s="367"/>
      <c r="Q187" s="367"/>
      <c r="R187" s="367"/>
      <c r="S187" s="367"/>
      <c r="T187" s="367"/>
      <c r="U187" s="367"/>
      <c r="V187" s="367"/>
      <c r="W187" s="367"/>
      <c r="X187" s="367"/>
      <c r="Y187" s="367"/>
      <c r="Z187" s="367"/>
      <c r="AA187" s="367"/>
      <c r="AB187" s="367"/>
      <c r="AC187" s="367"/>
      <c r="AD187" s="367"/>
      <c r="AE187" s="367"/>
      <c r="AF187" s="367"/>
    </row>
    <row r="188" ht="15.75" customHeight="1">
      <c r="A188" s="359"/>
      <c r="B188" s="361"/>
      <c r="C188" s="361"/>
      <c r="D188" s="361"/>
      <c r="E188" s="367"/>
      <c r="F188" s="367"/>
      <c r="G188" s="367"/>
      <c r="H188" s="367"/>
      <c r="I188" s="367"/>
      <c r="J188" s="367"/>
      <c r="K188" s="367"/>
      <c r="L188" s="367"/>
      <c r="M188" s="367"/>
      <c r="N188" s="367"/>
      <c r="O188" s="367"/>
      <c r="P188" s="367"/>
      <c r="Q188" s="367"/>
      <c r="R188" s="367"/>
      <c r="S188" s="367"/>
      <c r="T188" s="367"/>
      <c r="U188" s="367"/>
      <c r="V188" s="367"/>
      <c r="W188" s="367"/>
      <c r="X188" s="367"/>
      <c r="Y188" s="367"/>
      <c r="Z188" s="367"/>
      <c r="AA188" s="367"/>
      <c r="AB188" s="367"/>
      <c r="AC188" s="367"/>
      <c r="AD188" s="367"/>
      <c r="AE188" s="367"/>
      <c r="AF188" s="367"/>
    </row>
    <row r="189" ht="15.75" customHeight="1">
      <c r="A189" s="359"/>
      <c r="B189" s="361"/>
      <c r="C189" s="361"/>
      <c r="D189" s="361"/>
      <c r="E189" s="367"/>
      <c r="F189" s="367"/>
      <c r="G189" s="367"/>
      <c r="H189" s="367"/>
      <c r="I189" s="367"/>
      <c r="J189" s="367"/>
      <c r="K189" s="367"/>
      <c r="L189" s="367"/>
      <c r="M189" s="367"/>
      <c r="N189" s="367"/>
      <c r="O189" s="367"/>
      <c r="P189" s="367"/>
      <c r="Q189" s="367"/>
      <c r="R189" s="367"/>
      <c r="S189" s="367"/>
      <c r="T189" s="367"/>
      <c r="U189" s="367"/>
      <c r="V189" s="367"/>
      <c r="W189" s="367"/>
      <c r="X189" s="367"/>
      <c r="Y189" s="367"/>
      <c r="Z189" s="367"/>
      <c r="AA189" s="367"/>
      <c r="AB189" s="367"/>
      <c r="AC189" s="367"/>
      <c r="AD189" s="367"/>
      <c r="AE189" s="367"/>
      <c r="AF189" s="367"/>
    </row>
    <row r="190" ht="15.75" customHeight="1">
      <c r="A190" s="359"/>
      <c r="B190" s="361"/>
      <c r="C190" s="361"/>
      <c r="D190" s="361"/>
      <c r="E190" s="367"/>
      <c r="F190" s="367"/>
      <c r="G190" s="367"/>
      <c r="H190" s="367"/>
      <c r="I190" s="367"/>
      <c r="J190" s="367"/>
      <c r="K190" s="367"/>
      <c r="L190" s="367"/>
      <c r="M190" s="367"/>
      <c r="N190" s="367"/>
      <c r="O190" s="367"/>
      <c r="P190" s="367"/>
      <c r="Q190" s="367"/>
      <c r="R190" s="367"/>
      <c r="S190" s="367"/>
      <c r="T190" s="367"/>
      <c r="U190" s="367"/>
      <c r="V190" s="367"/>
      <c r="W190" s="367"/>
      <c r="X190" s="367"/>
      <c r="Y190" s="367"/>
      <c r="Z190" s="367"/>
      <c r="AA190" s="367"/>
      <c r="AB190" s="367"/>
      <c r="AC190" s="367"/>
      <c r="AD190" s="367"/>
      <c r="AE190" s="367"/>
      <c r="AF190" s="367"/>
    </row>
    <row r="191" ht="15.75" customHeight="1">
      <c r="A191" s="359"/>
      <c r="B191" s="361"/>
      <c r="C191" s="361"/>
      <c r="D191" s="361"/>
      <c r="E191" s="367"/>
      <c r="F191" s="367"/>
      <c r="G191" s="367"/>
      <c r="H191" s="367"/>
      <c r="I191" s="367"/>
      <c r="J191" s="367"/>
      <c r="K191" s="367"/>
      <c r="L191" s="367"/>
      <c r="M191" s="367"/>
      <c r="N191" s="367"/>
      <c r="O191" s="367"/>
      <c r="P191" s="367"/>
      <c r="Q191" s="367"/>
      <c r="R191" s="367"/>
      <c r="S191" s="367"/>
      <c r="T191" s="367"/>
      <c r="U191" s="367"/>
      <c r="V191" s="367"/>
      <c r="W191" s="367"/>
      <c r="X191" s="367"/>
      <c r="Y191" s="367"/>
      <c r="Z191" s="367"/>
      <c r="AA191" s="367"/>
      <c r="AB191" s="367"/>
      <c r="AC191" s="367"/>
      <c r="AD191" s="367"/>
      <c r="AE191" s="367"/>
      <c r="AF191" s="367"/>
    </row>
    <row r="192" ht="15.75" customHeight="1">
      <c r="A192" s="359"/>
      <c r="B192" s="361"/>
      <c r="C192" s="361"/>
      <c r="D192" s="361"/>
      <c r="E192" s="367"/>
      <c r="F192" s="367"/>
      <c r="G192" s="367"/>
      <c r="H192" s="367"/>
      <c r="I192" s="367"/>
      <c r="J192" s="367"/>
      <c r="K192" s="367"/>
      <c r="L192" s="367"/>
      <c r="M192" s="367"/>
      <c r="N192" s="367"/>
      <c r="O192" s="367"/>
      <c r="P192" s="367"/>
      <c r="Q192" s="367"/>
      <c r="R192" s="367"/>
      <c r="S192" s="367"/>
      <c r="T192" s="367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  <c r="AE192" s="367"/>
      <c r="AF192" s="367"/>
    </row>
    <row r="193" ht="15.75" customHeight="1">
      <c r="A193" s="359"/>
      <c r="B193" s="361"/>
      <c r="C193" s="361"/>
      <c r="D193" s="361"/>
      <c r="E193" s="367"/>
      <c r="F193" s="367"/>
      <c r="G193" s="367"/>
      <c r="H193" s="367"/>
      <c r="I193" s="367"/>
      <c r="J193" s="367"/>
      <c r="K193" s="367"/>
      <c r="L193" s="367"/>
      <c r="M193" s="367"/>
      <c r="N193" s="367"/>
      <c r="O193" s="367"/>
      <c r="P193" s="367"/>
      <c r="Q193" s="367"/>
      <c r="R193" s="367"/>
      <c r="S193" s="367"/>
      <c r="T193" s="367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  <c r="AE193" s="367"/>
      <c r="AF193" s="367"/>
    </row>
    <row r="194" ht="15.75" customHeight="1">
      <c r="A194" s="359"/>
      <c r="B194" s="361"/>
      <c r="C194" s="361"/>
      <c r="D194" s="361"/>
      <c r="E194" s="367"/>
      <c r="F194" s="367"/>
      <c r="G194" s="367"/>
      <c r="H194" s="367"/>
      <c r="I194" s="367"/>
      <c r="J194" s="367"/>
      <c r="K194" s="367"/>
      <c r="L194" s="367"/>
      <c r="M194" s="367"/>
      <c r="N194" s="367"/>
      <c r="O194" s="367"/>
      <c r="P194" s="367"/>
      <c r="Q194" s="367"/>
      <c r="R194" s="367"/>
      <c r="S194" s="367"/>
      <c r="T194" s="367"/>
      <c r="U194" s="367"/>
      <c r="V194" s="367"/>
      <c r="W194" s="367"/>
      <c r="X194" s="367"/>
      <c r="Y194" s="367"/>
      <c r="Z194" s="367"/>
      <c r="AA194" s="367"/>
      <c r="AB194" s="367"/>
      <c r="AC194" s="367"/>
      <c r="AD194" s="367"/>
      <c r="AE194" s="367"/>
      <c r="AF194" s="367"/>
    </row>
    <row r="195" ht="15.75" customHeight="1">
      <c r="A195" s="359"/>
      <c r="B195" s="361"/>
      <c r="C195" s="361"/>
      <c r="D195" s="361"/>
      <c r="E195" s="367"/>
      <c r="F195" s="367"/>
      <c r="G195" s="367"/>
      <c r="H195" s="367"/>
      <c r="I195" s="367"/>
      <c r="J195" s="367"/>
      <c r="K195" s="367"/>
      <c r="L195" s="367"/>
      <c r="M195" s="367"/>
      <c r="N195" s="367"/>
      <c r="O195" s="367"/>
      <c r="P195" s="367"/>
      <c r="Q195" s="367"/>
      <c r="R195" s="367"/>
      <c r="S195" s="367"/>
      <c r="T195" s="367"/>
      <c r="U195" s="367"/>
      <c r="V195" s="367"/>
      <c r="W195" s="367"/>
      <c r="X195" s="367"/>
      <c r="Y195" s="367"/>
      <c r="Z195" s="367"/>
      <c r="AA195" s="367"/>
      <c r="AB195" s="367"/>
      <c r="AC195" s="367"/>
      <c r="AD195" s="367"/>
      <c r="AE195" s="367"/>
      <c r="AF195" s="367"/>
    </row>
    <row r="196" ht="15.75" customHeight="1">
      <c r="A196" s="359"/>
      <c r="B196" s="361"/>
      <c r="C196" s="361"/>
      <c r="D196" s="361"/>
      <c r="E196" s="367"/>
      <c r="F196" s="367"/>
      <c r="G196" s="367"/>
      <c r="H196" s="367"/>
      <c r="I196" s="367"/>
      <c r="J196" s="367"/>
      <c r="K196" s="367"/>
      <c r="L196" s="367"/>
      <c r="M196" s="367"/>
      <c r="N196" s="367"/>
      <c r="O196" s="367"/>
      <c r="P196" s="367"/>
      <c r="Q196" s="367"/>
      <c r="R196" s="367"/>
      <c r="S196" s="367"/>
      <c r="T196" s="367"/>
      <c r="U196" s="367"/>
      <c r="V196" s="367"/>
      <c r="W196" s="367"/>
      <c r="X196" s="367"/>
      <c r="Y196" s="367"/>
      <c r="Z196" s="367"/>
      <c r="AA196" s="367"/>
      <c r="AB196" s="367"/>
      <c r="AC196" s="367"/>
      <c r="AD196" s="367"/>
      <c r="AE196" s="367"/>
      <c r="AF196" s="367"/>
    </row>
    <row r="197" ht="15.75" customHeight="1">
      <c r="A197" s="359"/>
      <c r="B197" s="361"/>
      <c r="C197" s="361"/>
      <c r="D197" s="361"/>
      <c r="E197" s="367"/>
      <c r="F197" s="367"/>
      <c r="G197" s="367"/>
      <c r="H197" s="367"/>
      <c r="I197" s="367"/>
      <c r="J197" s="367"/>
      <c r="K197" s="367"/>
      <c r="L197" s="367"/>
      <c r="M197" s="367"/>
      <c r="N197" s="367"/>
      <c r="O197" s="367"/>
      <c r="P197" s="367"/>
      <c r="Q197" s="367"/>
      <c r="R197" s="367"/>
      <c r="S197" s="367"/>
      <c r="T197" s="367"/>
      <c r="U197" s="367"/>
      <c r="V197" s="367"/>
      <c r="W197" s="367"/>
      <c r="X197" s="367"/>
      <c r="Y197" s="367"/>
      <c r="Z197" s="367"/>
      <c r="AA197" s="367"/>
      <c r="AB197" s="367"/>
      <c r="AC197" s="367"/>
      <c r="AD197" s="367"/>
      <c r="AE197" s="367"/>
      <c r="AF197" s="367"/>
    </row>
    <row r="198" ht="15.75" customHeight="1">
      <c r="A198" s="359"/>
      <c r="B198" s="361"/>
      <c r="C198" s="361"/>
      <c r="D198" s="361"/>
      <c r="E198" s="367"/>
      <c r="F198" s="367"/>
      <c r="G198" s="367"/>
      <c r="H198" s="367"/>
      <c r="I198" s="367"/>
      <c r="J198" s="367"/>
      <c r="K198" s="367"/>
      <c r="L198" s="367"/>
      <c r="M198" s="367"/>
      <c r="N198" s="367"/>
      <c r="O198" s="367"/>
      <c r="P198" s="367"/>
      <c r="Q198" s="367"/>
      <c r="R198" s="367"/>
      <c r="S198" s="367"/>
      <c r="T198" s="367"/>
      <c r="U198" s="367"/>
      <c r="V198" s="367"/>
      <c r="W198" s="367"/>
      <c r="X198" s="367"/>
      <c r="Y198" s="367"/>
      <c r="Z198" s="367"/>
      <c r="AA198" s="367"/>
      <c r="AB198" s="367"/>
      <c r="AC198" s="367"/>
      <c r="AD198" s="367"/>
      <c r="AE198" s="367"/>
      <c r="AF198" s="367"/>
    </row>
    <row r="199" ht="15.75" customHeight="1">
      <c r="A199" s="359"/>
      <c r="B199" s="361"/>
      <c r="C199" s="361"/>
      <c r="D199" s="361"/>
      <c r="E199" s="367"/>
      <c r="F199" s="367"/>
      <c r="G199" s="367"/>
      <c r="H199" s="367"/>
      <c r="I199" s="367"/>
      <c r="J199" s="367"/>
      <c r="K199" s="367"/>
      <c r="L199" s="367"/>
      <c r="M199" s="367"/>
      <c r="N199" s="367"/>
      <c r="O199" s="367"/>
      <c r="P199" s="367"/>
      <c r="Q199" s="367"/>
      <c r="R199" s="367"/>
      <c r="S199" s="367"/>
      <c r="T199" s="367"/>
      <c r="U199" s="367"/>
      <c r="V199" s="367"/>
      <c r="W199" s="367"/>
      <c r="X199" s="367"/>
      <c r="Y199" s="367"/>
      <c r="Z199" s="367"/>
      <c r="AA199" s="367"/>
      <c r="AB199" s="367"/>
      <c r="AC199" s="367"/>
      <c r="AD199" s="367"/>
      <c r="AE199" s="367"/>
      <c r="AF199" s="367"/>
    </row>
    <row r="200" ht="15.75" customHeight="1">
      <c r="A200" s="359"/>
      <c r="B200" s="361"/>
      <c r="C200" s="361"/>
      <c r="D200" s="361"/>
      <c r="E200" s="367"/>
      <c r="F200" s="367"/>
      <c r="G200" s="367"/>
      <c r="H200" s="367"/>
      <c r="I200" s="367"/>
      <c r="J200" s="367"/>
      <c r="K200" s="367"/>
      <c r="L200" s="367"/>
      <c r="M200" s="367"/>
      <c r="N200" s="367"/>
      <c r="O200" s="367"/>
      <c r="P200" s="367"/>
      <c r="Q200" s="367"/>
      <c r="R200" s="367"/>
      <c r="S200" s="367"/>
      <c r="T200" s="367"/>
      <c r="U200" s="367"/>
      <c r="V200" s="367"/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</row>
    <row r="201" ht="15.75" customHeight="1">
      <c r="A201" s="359"/>
      <c r="B201" s="361"/>
      <c r="C201" s="361"/>
      <c r="D201" s="361"/>
      <c r="E201" s="367"/>
      <c r="F201" s="367"/>
      <c r="G201" s="367"/>
      <c r="H201" s="367"/>
      <c r="I201" s="367"/>
      <c r="J201" s="367"/>
      <c r="K201" s="367"/>
      <c r="L201" s="367"/>
      <c r="M201" s="367"/>
      <c r="N201" s="367"/>
      <c r="O201" s="367"/>
      <c r="P201" s="367"/>
      <c r="Q201" s="367"/>
      <c r="R201" s="367"/>
      <c r="S201" s="367"/>
      <c r="T201" s="367"/>
      <c r="U201" s="367"/>
      <c r="V201" s="367"/>
      <c r="W201" s="367"/>
      <c r="X201" s="367"/>
      <c r="Y201" s="367"/>
      <c r="Z201" s="367"/>
      <c r="AA201" s="367"/>
      <c r="AB201" s="367"/>
      <c r="AC201" s="367"/>
      <c r="AD201" s="367"/>
      <c r="AE201" s="367"/>
      <c r="AF201" s="367"/>
    </row>
    <row r="202" ht="15.75" customHeight="1">
      <c r="A202" s="359"/>
      <c r="B202" s="361"/>
      <c r="C202" s="361"/>
      <c r="D202" s="361"/>
      <c r="E202" s="367"/>
      <c r="F202" s="367"/>
      <c r="G202" s="367"/>
      <c r="H202" s="367"/>
      <c r="I202" s="367"/>
      <c r="J202" s="367"/>
      <c r="K202" s="367"/>
      <c r="L202" s="367"/>
      <c r="M202" s="367"/>
      <c r="N202" s="367"/>
      <c r="O202" s="367"/>
      <c r="P202" s="367"/>
      <c r="Q202" s="367"/>
      <c r="R202" s="367"/>
      <c r="S202" s="367"/>
      <c r="T202" s="367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</row>
    <row r="203" ht="15.75" customHeight="1">
      <c r="A203" s="359"/>
      <c r="B203" s="361"/>
      <c r="C203" s="361"/>
      <c r="D203" s="361"/>
      <c r="E203" s="367"/>
      <c r="F203" s="367"/>
      <c r="G203" s="367"/>
      <c r="H203" s="367"/>
      <c r="I203" s="367"/>
      <c r="J203" s="367"/>
      <c r="K203" s="367"/>
      <c r="L203" s="367"/>
      <c r="M203" s="367"/>
      <c r="N203" s="367"/>
      <c r="O203" s="367"/>
      <c r="P203" s="367"/>
      <c r="Q203" s="367"/>
      <c r="R203" s="367"/>
      <c r="S203" s="367"/>
      <c r="T203" s="367"/>
      <c r="U203" s="367"/>
      <c r="V203" s="367"/>
      <c r="W203" s="367"/>
      <c r="X203" s="367"/>
      <c r="Y203" s="367"/>
      <c r="Z203" s="367"/>
      <c r="AA203" s="367"/>
      <c r="AB203" s="367"/>
      <c r="AC203" s="367"/>
      <c r="AD203" s="367"/>
      <c r="AE203" s="367"/>
      <c r="AF203" s="367"/>
    </row>
    <row r="204" ht="15.75" customHeight="1">
      <c r="A204" s="359"/>
      <c r="B204" s="361"/>
      <c r="C204" s="361"/>
      <c r="D204" s="361"/>
      <c r="E204" s="367"/>
      <c r="F204" s="367"/>
      <c r="G204" s="367"/>
      <c r="H204" s="367"/>
      <c r="I204" s="367"/>
      <c r="J204" s="367"/>
      <c r="K204" s="367"/>
      <c r="L204" s="367"/>
      <c r="M204" s="367"/>
      <c r="N204" s="367"/>
      <c r="O204" s="367"/>
      <c r="P204" s="367"/>
      <c r="Q204" s="367"/>
      <c r="R204" s="367"/>
      <c r="S204" s="367"/>
      <c r="T204" s="367"/>
      <c r="U204" s="367"/>
      <c r="V204" s="367"/>
      <c r="W204" s="367"/>
      <c r="X204" s="367"/>
      <c r="Y204" s="367"/>
      <c r="Z204" s="367"/>
      <c r="AA204" s="367"/>
      <c r="AB204" s="367"/>
      <c r="AC204" s="367"/>
      <c r="AD204" s="367"/>
      <c r="AE204" s="367"/>
      <c r="AF204" s="367"/>
    </row>
    <row r="205" ht="15.75" customHeight="1">
      <c r="A205" s="359"/>
      <c r="B205" s="361"/>
      <c r="C205" s="361"/>
      <c r="D205" s="361"/>
      <c r="E205" s="367"/>
      <c r="F205" s="367"/>
      <c r="G205" s="367"/>
      <c r="H205" s="367"/>
      <c r="I205" s="367"/>
      <c r="J205" s="367"/>
      <c r="K205" s="367"/>
      <c r="L205" s="367"/>
      <c r="M205" s="367"/>
      <c r="N205" s="367"/>
      <c r="O205" s="367"/>
      <c r="P205" s="367"/>
      <c r="Q205" s="367"/>
      <c r="R205" s="367"/>
      <c r="S205" s="367"/>
      <c r="T205" s="367"/>
      <c r="U205" s="367"/>
      <c r="V205" s="367"/>
      <c r="W205" s="367"/>
      <c r="X205" s="367"/>
      <c r="Y205" s="367"/>
      <c r="Z205" s="367"/>
      <c r="AA205" s="367"/>
      <c r="AB205" s="367"/>
      <c r="AC205" s="367"/>
      <c r="AD205" s="367"/>
      <c r="AE205" s="367"/>
      <c r="AF205" s="367"/>
    </row>
    <row r="206" ht="15.75" customHeight="1">
      <c r="A206" s="359"/>
      <c r="B206" s="361"/>
      <c r="C206" s="361"/>
      <c r="D206" s="361"/>
      <c r="E206" s="367"/>
      <c r="F206" s="367"/>
      <c r="G206" s="367"/>
      <c r="H206" s="367"/>
      <c r="I206" s="367"/>
      <c r="J206" s="367"/>
      <c r="K206" s="367"/>
      <c r="L206" s="367"/>
      <c r="M206" s="367"/>
      <c r="N206" s="367"/>
      <c r="O206" s="367"/>
      <c r="P206" s="367"/>
      <c r="Q206" s="367"/>
      <c r="R206" s="367"/>
      <c r="S206" s="367"/>
      <c r="T206" s="367"/>
      <c r="U206" s="367"/>
      <c r="V206" s="367"/>
      <c r="W206" s="367"/>
      <c r="X206" s="367"/>
      <c r="Y206" s="367"/>
      <c r="Z206" s="367"/>
      <c r="AA206" s="367"/>
      <c r="AB206" s="367"/>
      <c r="AC206" s="367"/>
      <c r="AD206" s="367"/>
      <c r="AE206" s="367"/>
      <c r="AF206" s="367"/>
    </row>
    <row r="207" ht="15.75" customHeight="1">
      <c r="A207" s="359"/>
      <c r="B207" s="361"/>
      <c r="C207" s="361"/>
      <c r="D207" s="361"/>
      <c r="E207" s="367"/>
      <c r="F207" s="367"/>
      <c r="G207" s="367"/>
      <c r="H207" s="367"/>
      <c r="I207" s="367"/>
      <c r="J207" s="367"/>
      <c r="K207" s="367"/>
      <c r="L207" s="367"/>
      <c r="M207" s="367"/>
      <c r="N207" s="367"/>
      <c r="O207" s="367"/>
      <c r="P207" s="367"/>
      <c r="Q207" s="367"/>
      <c r="R207" s="367"/>
      <c r="S207" s="367"/>
      <c r="T207" s="367"/>
      <c r="U207" s="367"/>
      <c r="V207" s="367"/>
      <c r="W207" s="367"/>
      <c r="X207" s="367"/>
      <c r="Y207" s="367"/>
      <c r="Z207" s="367"/>
      <c r="AA207" s="367"/>
      <c r="AB207" s="367"/>
      <c r="AC207" s="367"/>
      <c r="AD207" s="367"/>
      <c r="AE207" s="367"/>
      <c r="AF207" s="367"/>
    </row>
    <row r="208" ht="15.75" customHeight="1">
      <c r="A208" s="359"/>
      <c r="B208" s="361"/>
      <c r="C208" s="361"/>
      <c r="D208" s="361"/>
      <c r="E208" s="367"/>
      <c r="F208" s="367"/>
      <c r="G208" s="367"/>
      <c r="H208" s="367"/>
      <c r="I208" s="367"/>
      <c r="J208" s="367"/>
      <c r="K208" s="367"/>
      <c r="L208" s="367"/>
      <c r="M208" s="367"/>
      <c r="N208" s="367"/>
      <c r="O208" s="367"/>
      <c r="P208" s="367"/>
      <c r="Q208" s="367"/>
      <c r="R208" s="367"/>
      <c r="S208" s="367"/>
      <c r="T208" s="367"/>
      <c r="U208" s="367"/>
      <c r="V208" s="367"/>
      <c r="W208" s="367"/>
      <c r="X208" s="367"/>
      <c r="Y208" s="367"/>
      <c r="Z208" s="367"/>
      <c r="AA208" s="367"/>
      <c r="AB208" s="367"/>
      <c r="AC208" s="367"/>
      <c r="AD208" s="367"/>
      <c r="AE208" s="367"/>
      <c r="AF208" s="367"/>
    </row>
    <row r="209" ht="15.75" customHeight="1">
      <c r="A209" s="359"/>
      <c r="B209" s="361"/>
      <c r="C209" s="361"/>
      <c r="D209" s="361"/>
      <c r="E209" s="367"/>
      <c r="F209" s="367"/>
      <c r="G209" s="367"/>
      <c r="H209" s="367"/>
      <c r="I209" s="367"/>
      <c r="J209" s="367"/>
      <c r="K209" s="367"/>
      <c r="L209" s="367"/>
      <c r="M209" s="367"/>
      <c r="N209" s="367"/>
      <c r="O209" s="367"/>
      <c r="P209" s="367"/>
      <c r="Q209" s="367"/>
      <c r="R209" s="367"/>
      <c r="S209" s="367"/>
      <c r="T209" s="367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</row>
    <row r="210" ht="15.75" customHeight="1">
      <c r="A210" s="359"/>
      <c r="B210" s="361"/>
      <c r="C210" s="361"/>
      <c r="D210" s="361"/>
      <c r="E210" s="367"/>
      <c r="F210" s="367"/>
      <c r="G210" s="367"/>
      <c r="H210" s="367"/>
      <c r="I210" s="367"/>
      <c r="J210" s="367"/>
      <c r="K210" s="367"/>
      <c r="L210" s="367"/>
      <c r="M210" s="367"/>
      <c r="N210" s="367"/>
      <c r="O210" s="367"/>
      <c r="P210" s="367"/>
      <c r="Q210" s="367"/>
      <c r="R210" s="367"/>
      <c r="S210" s="367"/>
      <c r="T210" s="367"/>
      <c r="U210" s="367"/>
      <c r="V210" s="367"/>
      <c r="W210" s="367"/>
      <c r="X210" s="367"/>
      <c r="Y210" s="367"/>
      <c r="Z210" s="367"/>
      <c r="AA210" s="367"/>
      <c r="AB210" s="367"/>
      <c r="AC210" s="367"/>
      <c r="AD210" s="367"/>
      <c r="AE210" s="367"/>
      <c r="AF210" s="367"/>
    </row>
    <row r="211" ht="15.75" customHeight="1">
      <c r="A211" s="359"/>
      <c r="B211" s="361"/>
      <c r="C211" s="361"/>
      <c r="D211" s="361"/>
      <c r="E211" s="367"/>
      <c r="F211" s="367"/>
      <c r="G211" s="367"/>
      <c r="H211" s="367"/>
      <c r="I211" s="367"/>
      <c r="J211" s="367"/>
      <c r="K211" s="367"/>
      <c r="L211" s="367"/>
      <c r="M211" s="367"/>
      <c r="N211" s="367"/>
      <c r="O211" s="367"/>
      <c r="P211" s="367"/>
      <c r="Q211" s="367"/>
      <c r="R211" s="367"/>
      <c r="S211" s="367"/>
      <c r="T211" s="367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  <c r="AE211" s="367"/>
      <c r="AF211" s="367"/>
    </row>
    <row r="212" ht="15.75" customHeight="1">
      <c r="A212" s="359"/>
      <c r="B212" s="361"/>
      <c r="C212" s="361"/>
      <c r="D212" s="361"/>
      <c r="E212" s="367"/>
      <c r="F212" s="367"/>
      <c r="G212" s="367"/>
      <c r="H212" s="367"/>
      <c r="I212" s="367"/>
      <c r="J212" s="367"/>
      <c r="K212" s="367"/>
      <c r="L212" s="367"/>
      <c r="M212" s="367"/>
      <c r="N212" s="367"/>
      <c r="O212" s="367"/>
      <c r="P212" s="367"/>
      <c r="Q212" s="367"/>
      <c r="R212" s="367"/>
      <c r="S212" s="367"/>
      <c r="T212" s="367"/>
      <c r="U212" s="367"/>
      <c r="V212" s="367"/>
      <c r="W212" s="367"/>
      <c r="X212" s="367"/>
      <c r="Y212" s="367"/>
      <c r="Z212" s="367"/>
      <c r="AA212" s="367"/>
      <c r="AB212" s="367"/>
      <c r="AC212" s="367"/>
      <c r="AD212" s="367"/>
      <c r="AE212" s="367"/>
      <c r="AF212" s="367"/>
    </row>
    <row r="213" ht="15.75" customHeight="1">
      <c r="A213" s="359"/>
      <c r="B213" s="361"/>
      <c r="C213" s="361"/>
      <c r="D213" s="361"/>
      <c r="E213" s="367"/>
      <c r="F213" s="367"/>
      <c r="G213" s="367"/>
      <c r="H213" s="367"/>
      <c r="I213" s="367"/>
      <c r="J213" s="367"/>
      <c r="K213" s="367"/>
      <c r="L213" s="367"/>
      <c r="M213" s="367"/>
      <c r="N213" s="367"/>
      <c r="O213" s="367"/>
      <c r="P213" s="367"/>
      <c r="Q213" s="367"/>
      <c r="R213" s="367"/>
      <c r="S213" s="367"/>
      <c r="T213" s="367"/>
      <c r="U213" s="367"/>
      <c r="V213" s="367"/>
      <c r="W213" s="367"/>
      <c r="X213" s="367"/>
      <c r="Y213" s="367"/>
      <c r="Z213" s="367"/>
      <c r="AA213" s="367"/>
      <c r="AB213" s="367"/>
      <c r="AC213" s="367"/>
      <c r="AD213" s="367"/>
      <c r="AE213" s="367"/>
      <c r="AF213" s="367"/>
    </row>
    <row r="214" ht="15.75" customHeight="1">
      <c r="A214" s="359"/>
      <c r="B214" s="361"/>
      <c r="C214" s="361"/>
      <c r="D214" s="361"/>
      <c r="E214" s="367"/>
      <c r="F214" s="367"/>
      <c r="G214" s="367"/>
      <c r="H214" s="367"/>
      <c r="I214" s="367"/>
      <c r="J214" s="367"/>
      <c r="K214" s="367"/>
      <c r="L214" s="367"/>
      <c r="M214" s="367"/>
      <c r="N214" s="367"/>
      <c r="O214" s="367"/>
      <c r="P214" s="367"/>
      <c r="Q214" s="367"/>
      <c r="R214" s="367"/>
      <c r="S214" s="367"/>
      <c r="T214" s="367"/>
      <c r="U214" s="367"/>
      <c r="V214" s="367"/>
      <c r="W214" s="367"/>
      <c r="X214" s="367"/>
      <c r="Y214" s="367"/>
      <c r="Z214" s="367"/>
      <c r="AA214" s="367"/>
      <c r="AB214" s="367"/>
      <c r="AC214" s="367"/>
      <c r="AD214" s="367"/>
      <c r="AE214" s="367"/>
      <c r="AF214" s="367"/>
    </row>
    <row r="215" ht="15.75" customHeight="1">
      <c r="A215" s="359"/>
      <c r="B215" s="361"/>
      <c r="C215" s="361"/>
      <c r="D215" s="361"/>
      <c r="E215" s="367"/>
      <c r="F215" s="367"/>
      <c r="G215" s="367"/>
      <c r="H215" s="367"/>
      <c r="I215" s="367"/>
      <c r="J215" s="367"/>
      <c r="K215" s="367"/>
      <c r="L215" s="367"/>
      <c r="M215" s="367"/>
      <c r="N215" s="367"/>
      <c r="O215" s="367"/>
      <c r="P215" s="367"/>
      <c r="Q215" s="367"/>
      <c r="R215" s="367"/>
      <c r="S215" s="367"/>
      <c r="T215" s="367"/>
      <c r="U215" s="367"/>
      <c r="V215" s="367"/>
      <c r="W215" s="367"/>
      <c r="X215" s="367"/>
      <c r="Y215" s="367"/>
      <c r="Z215" s="367"/>
      <c r="AA215" s="367"/>
      <c r="AB215" s="367"/>
      <c r="AC215" s="367"/>
      <c r="AD215" s="367"/>
      <c r="AE215" s="367"/>
      <c r="AF215" s="367"/>
    </row>
    <row r="216" ht="15.75" customHeight="1">
      <c r="A216" s="359"/>
      <c r="B216" s="361"/>
      <c r="C216" s="361"/>
      <c r="D216" s="361"/>
      <c r="E216" s="367"/>
      <c r="F216" s="367"/>
      <c r="G216" s="367"/>
      <c r="H216" s="367"/>
      <c r="I216" s="367"/>
      <c r="J216" s="367"/>
      <c r="K216" s="367"/>
      <c r="L216" s="367"/>
      <c r="M216" s="367"/>
      <c r="N216" s="367"/>
      <c r="O216" s="367"/>
      <c r="P216" s="367"/>
      <c r="Q216" s="367"/>
      <c r="R216" s="367"/>
      <c r="S216" s="367"/>
      <c r="T216" s="367"/>
      <c r="U216" s="367"/>
      <c r="V216" s="367"/>
      <c r="W216" s="367"/>
      <c r="X216" s="367"/>
      <c r="Y216" s="367"/>
      <c r="Z216" s="367"/>
      <c r="AA216" s="367"/>
      <c r="AB216" s="367"/>
      <c r="AC216" s="367"/>
      <c r="AD216" s="367"/>
      <c r="AE216" s="367"/>
      <c r="AF216" s="367"/>
    </row>
    <row r="217" ht="15.75" customHeight="1">
      <c r="A217" s="359"/>
      <c r="B217" s="361"/>
      <c r="C217" s="361"/>
      <c r="D217" s="361"/>
      <c r="E217" s="367"/>
      <c r="F217" s="367"/>
      <c r="G217" s="367"/>
      <c r="H217" s="367"/>
      <c r="I217" s="367"/>
      <c r="J217" s="367"/>
      <c r="K217" s="367"/>
      <c r="L217" s="367"/>
      <c r="M217" s="367"/>
      <c r="N217" s="367"/>
      <c r="O217" s="367"/>
      <c r="P217" s="367"/>
      <c r="Q217" s="367"/>
      <c r="R217" s="367"/>
      <c r="S217" s="367"/>
      <c r="T217" s="367"/>
      <c r="U217" s="367"/>
      <c r="V217" s="367"/>
      <c r="W217" s="367"/>
      <c r="X217" s="367"/>
      <c r="Y217" s="367"/>
      <c r="Z217" s="367"/>
      <c r="AA217" s="367"/>
      <c r="AB217" s="367"/>
      <c r="AC217" s="367"/>
      <c r="AD217" s="367"/>
      <c r="AE217" s="367"/>
      <c r="AF217" s="367"/>
    </row>
    <row r="218" ht="15.75" customHeight="1">
      <c r="A218" s="359"/>
      <c r="B218" s="361"/>
      <c r="C218" s="361"/>
      <c r="D218" s="361"/>
      <c r="E218" s="367"/>
      <c r="F218" s="367"/>
      <c r="G218" s="367"/>
      <c r="H218" s="367"/>
      <c r="I218" s="367"/>
      <c r="J218" s="367"/>
      <c r="K218" s="367"/>
      <c r="L218" s="367"/>
      <c r="M218" s="367"/>
      <c r="N218" s="367"/>
      <c r="O218" s="367"/>
      <c r="P218" s="367"/>
      <c r="Q218" s="367"/>
      <c r="R218" s="367"/>
      <c r="S218" s="367"/>
      <c r="T218" s="367"/>
      <c r="U218" s="367"/>
      <c r="V218" s="367"/>
      <c r="W218" s="367"/>
      <c r="X218" s="367"/>
      <c r="Y218" s="367"/>
      <c r="Z218" s="367"/>
      <c r="AA218" s="367"/>
      <c r="AB218" s="367"/>
      <c r="AC218" s="367"/>
      <c r="AD218" s="367"/>
      <c r="AE218" s="367"/>
      <c r="AF218" s="367"/>
    </row>
    <row r="219" ht="15.75" customHeight="1">
      <c r="A219" s="359"/>
      <c r="B219" s="361"/>
      <c r="C219" s="361"/>
      <c r="D219" s="361"/>
      <c r="E219" s="367"/>
      <c r="F219" s="367"/>
      <c r="G219" s="367"/>
      <c r="H219" s="367"/>
      <c r="I219" s="367"/>
      <c r="J219" s="367"/>
      <c r="K219" s="367"/>
      <c r="L219" s="367"/>
      <c r="M219" s="367"/>
      <c r="N219" s="367"/>
      <c r="O219" s="367"/>
      <c r="P219" s="367"/>
      <c r="Q219" s="367"/>
      <c r="R219" s="367"/>
      <c r="S219" s="367"/>
      <c r="T219" s="367"/>
      <c r="U219" s="367"/>
      <c r="V219" s="367"/>
      <c r="W219" s="367"/>
      <c r="X219" s="367"/>
      <c r="Y219" s="367"/>
      <c r="Z219" s="367"/>
      <c r="AA219" s="367"/>
      <c r="AB219" s="367"/>
      <c r="AC219" s="367"/>
      <c r="AD219" s="367"/>
      <c r="AE219" s="367"/>
      <c r="AF219" s="367"/>
    </row>
    <row r="220" ht="15.75" customHeight="1">
      <c r="A220" s="359"/>
      <c r="B220" s="361"/>
      <c r="C220" s="361"/>
      <c r="D220" s="361"/>
      <c r="E220" s="367"/>
      <c r="F220" s="367"/>
      <c r="G220" s="367"/>
      <c r="H220" s="367"/>
      <c r="I220" s="367"/>
      <c r="J220" s="367"/>
      <c r="K220" s="367"/>
      <c r="L220" s="367"/>
      <c r="M220" s="367"/>
      <c r="N220" s="367"/>
      <c r="O220" s="367"/>
      <c r="P220" s="367"/>
      <c r="Q220" s="367"/>
      <c r="R220" s="367"/>
      <c r="S220" s="367"/>
      <c r="T220" s="367"/>
      <c r="U220" s="367"/>
      <c r="V220" s="367"/>
      <c r="W220" s="367"/>
      <c r="X220" s="367"/>
      <c r="Y220" s="367"/>
      <c r="Z220" s="367"/>
      <c r="AA220" s="367"/>
      <c r="AB220" s="367"/>
      <c r="AC220" s="367"/>
      <c r="AD220" s="367"/>
      <c r="AE220" s="367"/>
      <c r="AF220" s="367"/>
    </row>
    <row r="221" ht="15.75" customHeight="1">
      <c r="A221" s="359"/>
      <c r="B221" s="361"/>
      <c r="C221" s="361"/>
      <c r="D221" s="361"/>
      <c r="E221" s="367"/>
      <c r="F221" s="367"/>
      <c r="G221" s="367"/>
      <c r="H221" s="367"/>
      <c r="I221" s="367"/>
      <c r="J221" s="367"/>
      <c r="K221" s="367"/>
      <c r="L221" s="367"/>
      <c r="M221" s="367"/>
      <c r="N221" s="367"/>
      <c r="O221" s="367"/>
      <c r="P221" s="367"/>
      <c r="Q221" s="367"/>
      <c r="R221" s="367"/>
      <c r="S221" s="367"/>
      <c r="T221" s="367"/>
      <c r="U221" s="367"/>
      <c r="V221" s="367"/>
      <c r="W221" s="367"/>
      <c r="X221" s="367"/>
      <c r="Y221" s="367"/>
      <c r="Z221" s="367"/>
      <c r="AA221" s="367"/>
      <c r="AB221" s="367"/>
      <c r="AC221" s="367"/>
      <c r="AD221" s="367"/>
      <c r="AE221" s="367"/>
      <c r="AF221" s="367"/>
    </row>
    <row r="222" ht="15.75" customHeight="1">
      <c r="A222" s="359"/>
      <c r="B222" s="361"/>
      <c r="C222" s="361"/>
      <c r="D222" s="361"/>
      <c r="E222" s="367"/>
      <c r="F222" s="367"/>
      <c r="G222" s="367"/>
      <c r="H222" s="367"/>
      <c r="I222" s="367"/>
      <c r="J222" s="367"/>
      <c r="K222" s="367"/>
      <c r="L222" s="367"/>
      <c r="M222" s="367"/>
      <c r="N222" s="367"/>
      <c r="O222" s="367"/>
      <c r="P222" s="367"/>
      <c r="Q222" s="367"/>
      <c r="R222" s="367"/>
      <c r="S222" s="367"/>
      <c r="T222" s="367"/>
      <c r="U222" s="367"/>
      <c r="V222" s="367"/>
      <c r="W222" s="367"/>
      <c r="X222" s="367"/>
      <c r="Y222" s="367"/>
      <c r="Z222" s="367"/>
      <c r="AA222" s="367"/>
      <c r="AB222" s="367"/>
      <c r="AC222" s="367"/>
      <c r="AD222" s="367"/>
      <c r="AE222" s="367"/>
      <c r="AF222" s="367"/>
    </row>
    <row r="223" ht="15.75" customHeight="1">
      <c r="A223" s="359"/>
      <c r="B223" s="361"/>
      <c r="C223" s="361"/>
      <c r="D223" s="361"/>
      <c r="E223" s="367"/>
      <c r="F223" s="367"/>
      <c r="G223" s="367"/>
      <c r="H223" s="367"/>
      <c r="I223" s="367"/>
      <c r="J223" s="367"/>
      <c r="K223" s="367"/>
      <c r="L223" s="367"/>
      <c r="M223" s="367"/>
      <c r="N223" s="367"/>
      <c r="O223" s="367"/>
      <c r="P223" s="367"/>
      <c r="Q223" s="367"/>
      <c r="R223" s="367"/>
      <c r="S223" s="367"/>
      <c r="T223" s="367"/>
      <c r="U223" s="367"/>
      <c r="V223" s="367"/>
      <c r="W223" s="367"/>
      <c r="X223" s="367"/>
      <c r="Y223" s="367"/>
      <c r="Z223" s="367"/>
      <c r="AA223" s="367"/>
      <c r="AB223" s="367"/>
      <c r="AC223" s="367"/>
      <c r="AD223" s="367"/>
      <c r="AE223" s="367"/>
      <c r="AF223" s="367"/>
    </row>
    <row r="224" ht="15.75" customHeight="1">
      <c r="A224" s="359"/>
      <c r="B224" s="361"/>
      <c r="C224" s="361"/>
      <c r="D224" s="361"/>
      <c r="E224" s="367"/>
      <c r="F224" s="367"/>
      <c r="G224" s="367"/>
      <c r="H224" s="367"/>
      <c r="I224" s="367"/>
      <c r="J224" s="367"/>
      <c r="K224" s="367"/>
      <c r="L224" s="367"/>
      <c r="M224" s="367"/>
      <c r="N224" s="367"/>
      <c r="O224" s="367"/>
      <c r="P224" s="367"/>
      <c r="Q224" s="367"/>
      <c r="R224" s="367"/>
      <c r="S224" s="367"/>
      <c r="T224" s="367"/>
      <c r="U224" s="367"/>
      <c r="V224" s="367"/>
      <c r="W224" s="367"/>
      <c r="X224" s="367"/>
      <c r="Y224" s="367"/>
      <c r="Z224" s="367"/>
      <c r="AA224" s="367"/>
      <c r="AB224" s="367"/>
      <c r="AC224" s="367"/>
      <c r="AD224" s="367"/>
      <c r="AE224" s="367"/>
      <c r="AF224" s="367"/>
    </row>
    <row r="225" ht="15.75" customHeight="1">
      <c r="A225" s="359"/>
      <c r="B225" s="361"/>
      <c r="C225" s="361"/>
      <c r="D225" s="361"/>
      <c r="E225" s="367"/>
      <c r="F225" s="367"/>
      <c r="G225" s="367"/>
      <c r="H225" s="367"/>
      <c r="I225" s="367"/>
      <c r="J225" s="367"/>
      <c r="K225" s="367"/>
      <c r="L225" s="367"/>
      <c r="M225" s="367"/>
      <c r="N225" s="367"/>
      <c r="O225" s="367"/>
      <c r="P225" s="367"/>
      <c r="Q225" s="367"/>
      <c r="R225" s="367"/>
      <c r="S225" s="367"/>
      <c r="T225" s="367"/>
      <c r="U225" s="367"/>
      <c r="V225" s="367"/>
      <c r="W225" s="367"/>
      <c r="X225" s="367"/>
      <c r="Y225" s="367"/>
      <c r="Z225" s="367"/>
      <c r="AA225" s="367"/>
      <c r="AB225" s="367"/>
      <c r="AC225" s="367"/>
      <c r="AD225" s="367"/>
      <c r="AE225" s="367"/>
      <c r="AF225" s="367"/>
    </row>
    <row r="226" ht="15.75" customHeight="1">
      <c r="A226" s="359"/>
      <c r="B226" s="361"/>
      <c r="C226" s="361"/>
      <c r="D226" s="361"/>
      <c r="E226" s="367"/>
      <c r="F226" s="367"/>
      <c r="G226" s="367"/>
      <c r="H226" s="367"/>
      <c r="I226" s="367"/>
      <c r="J226" s="367"/>
      <c r="K226" s="367"/>
      <c r="L226" s="367"/>
      <c r="M226" s="367"/>
      <c r="N226" s="367"/>
      <c r="O226" s="367"/>
      <c r="P226" s="367"/>
      <c r="Q226" s="367"/>
      <c r="R226" s="367"/>
      <c r="S226" s="367"/>
      <c r="T226" s="367"/>
      <c r="U226" s="367"/>
      <c r="V226" s="367"/>
      <c r="W226" s="367"/>
      <c r="X226" s="367"/>
      <c r="Y226" s="367"/>
      <c r="Z226" s="367"/>
      <c r="AA226" s="367"/>
      <c r="AB226" s="367"/>
      <c r="AC226" s="367"/>
      <c r="AD226" s="367"/>
      <c r="AE226" s="367"/>
      <c r="AF226" s="367"/>
    </row>
    <row r="227" ht="15.75" customHeight="1">
      <c r="A227" s="359"/>
      <c r="B227" s="361"/>
      <c r="C227" s="361"/>
      <c r="D227" s="361"/>
      <c r="E227" s="367"/>
      <c r="F227" s="367"/>
      <c r="G227" s="367"/>
      <c r="H227" s="367"/>
      <c r="I227" s="367"/>
      <c r="J227" s="367"/>
      <c r="K227" s="367"/>
      <c r="L227" s="367"/>
      <c r="M227" s="367"/>
      <c r="N227" s="367"/>
      <c r="O227" s="367"/>
      <c r="P227" s="367"/>
      <c r="Q227" s="367"/>
      <c r="R227" s="367"/>
      <c r="S227" s="367"/>
      <c r="T227" s="367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</row>
    <row r="228" ht="15.75" customHeight="1">
      <c r="A228" s="359"/>
      <c r="B228" s="361"/>
      <c r="C228" s="361"/>
      <c r="D228" s="361"/>
      <c r="E228" s="367"/>
      <c r="F228" s="367"/>
      <c r="G228" s="367"/>
      <c r="H228" s="367"/>
      <c r="I228" s="367"/>
      <c r="J228" s="367"/>
      <c r="K228" s="367"/>
      <c r="L228" s="367"/>
      <c r="M228" s="367"/>
      <c r="N228" s="367"/>
      <c r="O228" s="367"/>
      <c r="P228" s="367"/>
      <c r="Q228" s="367"/>
      <c r="R228" s="367"/>
      <c r="S228" s="367"/>
      <c r="T228" s="367"/>
      <c r="U228" s="367"/>
      <c r="V228" s="367"/>
      <c r="W228" s="367"/>
      <c r="X228" s="367"/>
      <c r="Y228" s="367"/>
      <c r="Z228" s="367"/>
      <c r="AA228" s="367"/>
      <c r="AB228" s="367"/>
      <c r="AC228" s="367"/>
      <c r="AD228" s="367"/>
      <c r="AE228" s="367"/>
      <c r="AF228" s="367"/>
    </row>
    <row r="229" ht="15.75" customHeight="1">
      <c r="A229" s="359"/>
      <c r="B229" s="361"/>
      <c r="C229" s="361"/>
      <c r="D229" s="361"/>
      <c r="E229" s="367"/>
      <c r="F229" s="367"/>
      <c r="G229" s="367"/>
      <c r="H229" s="367"/>
      <c r="I229" s="367"/>
      <c r="J229" s="367"/>
      <c r="K229" s="367"/>
      <c r="L229" s="367"/>
      <c r="M229" s="367"/>
      <c r="N229" s="367"/>
      <c r="O229" s="367"/>
      <c r="P229" s="367"/>
      <c r="Q229" s="367"/>
      <c r="R229" s="367"/>
      <c r="S229" s="367"/>
      <c r="T229" s="367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  <c r="AE229" s="367"/>
      <c r="AF229" s="367"/>
    </row>
    <row r="230" ht="15.75" customHeight="1">
      <c r="A230" s="359"/>
      <c r="B230" s="361"/>
      <c r="C230" s="361"/>
      <c r="D230" s="361"/>
      <c r="E230" s="367"/>
      <c r="F230" s="367"/>
      <c r="G230" s="367"/>
      <c r="H230" s="367"/>
      <c r="I230" s="367"/>
      <c r="J230" s="367"/>
      <c r="K230" s="367"/>
      <c r="L230" s="367"/>
      <c r="M230" s="367"/>
      <c r="N230" s="367"/>
      <c r="O230" s="367"/>
      <c r="P230" s="367"/>
      <c r="Q230" s="367"/>
      <c r="R230" s="367"/>
      <c r="S230" s="367"/>
      <c r="T230" s="367"/>
      <c r="U230" s="367"/>
      <c r="V230" s="367"/>
      <c r="W230" s="367"/>
      <c r="X230" s="367"/>
      <c r="Y230" s="367"/>
      <c r="Z230" s="367"/>
      <c r="AA230" s="367"/>
      <c r="AB230" s="367"/>
      <c r="AC230" s="367"/>
      <c r="AD230" s="367"/>
      <c r="AE230" s="367"/>
      <c r="AF230" s="367"/>
    </row>
    <row r="231" ht="15.75" customHeight="1">
      <c r="A231" s="359"/>
      <c r="B231" s="361"/>
      <c r="C231" s="361"/>
      <c r="D231" s="361"/>
      <c r="E231" s="367"/>
      <c r="F231" s="367"/>
      <c r="G231" s="367"/>
      <c r="H231" s="367"/>
      <c r="I231" s="367"/>
      <c r="J231" s="367"/>
      <c r="K231" s="367"/>
      <c r="L231" s="367"/>
      <c r="M231" s="367"/>
      <c r="N231" s="367"/>
      <c r="O231" s="367"/>
      <c r="P231" s="367"/>
      <c r="Q231" s="367"/>
      <c r="R231" s="367"/>
      <c r="S231" s="367"/>
      <c r="T231" s="367"/>
      <c r="U231" s="367"/>
      <c r="V231" s="367"/>
      <c r="W231" s="367"/>
      <c r="X231" s="367"/>
      <c r="Y231" s="367"/>
      <c r="Z231" s="367"/>
      <c r="AA231" s="367"/>
      <c r="AB231" s="367"/>
      <c r="AC231" s="367"/>
      <c r="AD231" s="367"/>
      <c r="AE231" s="367"/>
      <c r="AF231" s="367"/>
    </row>
    <row r="232" ht="15.75" customHeight="1">
      <c r="A232" s="359"/>
      <c r="B232" s="361"/>
      <c r="C232" s="361"/>
      <c r="D232" s="361"/>
      <c r="E232" s="367"/>
      <c r="F232" s="367"/>
      <c r="G232" s="367"/>
      <c r="H232" s="367"/>
      <c r="I232" s="367"/>
      <c r="J232" s="367"/>
      <c r="K232" s="367"/>
      <c r="L232" s="367"/>
      <c r="M232" s="367"/>
      <c r="N232" s="367"/>
      <c r="O232" s="367"/>
      <c r="P232" s="367"/>
      <c r="Q232" s="367"/>
      <c r="R232" s="367"/>
      <c r="S232" s="367"/>
      <c r="T232" s="367"/>
      <c r="U232" s="367"/>
      <c r="V232" s="367"/>
      <c r="W232" s="367"/>
      <c r="X232" s="367"/>
      <c r="Y232" s="367"/>
      <c r="Z232" s="367"/>
      <c r="AA232" s="367"/>
      <c r="AB232" s="367"/>
      <c r="AC232" s="367"/>
      <c r="AD232" s="367"/>
      <c r="AE232" s="367"/>
      <c r="AF232" s="367"/>
    </row>
    <row r="233" ht="15.75" customHeight="1">
      <c r="A233" s="359"/>
      <c r="B233" s="361"/>
      <c r="C233" s="361"/>
      <c r="D233" s="361"/>
      <c r="E233" s="367"/>
      <c r="F233" s="367"/>
      <c r="G233" s="367"/>
      <c r="H233" s="367"/>
      <c r="I233" s="367"/>
      <c r="J233" s="367"/>
      <c r="K233" s="367"/>
      <c r="L233" s="367"/>
      <c r="M233" s="367"/>
      <c r="N233" s="367"/>
      <c r="O233" s="367"/>
      <c r="P233" s="367"/>
      <c r="Q233" s="367"/>
      <c r="R233" s="367"/>
      <c r="S233" s="367"/>
      <c r="T233" s="367"/>
      <c r="U233" s="367"/>
      <c r="V233" s="367"/>
      <c r="W233" s="367"/>
      <c r="X233" s="367"/>
      <c r="Y233" s="367"/>
      <c r="Z233" s="367"/>
      <c r="AA233" s="367"/>
      <c r="AB233" s="367"/>
      <c r="AC233" s="367"/>
      <c r="AD233" s="367"/>
      <c r="AE233" s="367"/>
      <c r="AF233" s="367"/>
    </row>
    <row r="234" ht="15.75" customHeight="1">
      <c r="A234" s="359"/>
      <c r="B234" s="361"/>
      <c r="C234" s="361"/>
      <c r="D234" s="361"/>
      <c r="E234" s="367"/>
      <c r="F234" s="367"/>
      <c r="G234" s="367"/>
      <c r="H234" s="367"/>
      <c r="I234" s="367"/>
      <c r="J234" s="367"/>
      <c r="K234" s="367"/>
      <c r="L234" s="367"/>
      <c r="M234" s="367"/>
      <c r="N234" s="367"/>
      <c r="O234" s="367"/>
      <c r="P234" s="367"/>
      <c r="Q234" s="367"/>
      <c r="R234" s="367"/>
      <c r="S234" s="367"/>
      <c r="T234" s="367"/>
      <c r="U234" s="367"/>
      <c r="V234" s="367"/>
      <c r="W234" s="367"/>
      <c r="X234" s="367"/>
      <c r="Y234" s="367"/>
      <c r="Z234" s="367"/>
      <c r="AA234" s="367"/>
      <c r="AB234" s="367"/>
      <c r="AC234" s="367"/>
      <c r="AD234" s="367"/>
      <c r="AE234" s="367"/>
      <c r="AF234" s="367"/>
    </row>
    <row r="235" ht="15.75" customHeight="1">
      <c r="A235" s="359"/>
      <c r="B235" s="361"/>
      <c r="C235" s="361"/>
      <c r="D235" s="361"/>
      <c r="E235" s="367"/>
      <c r="F235" s="367"/>
      <c r="G235" s="367"/>
      <c r="H235" s="367"/>
      <c r="I235" s="367"/>
      <c r="J235" s="367"/>
      <c r="K235" s="367"/>
      <c r="L235" s="367"/>
      <c r="M235" s="367"/>
      <c r="N235" s="367"/>
      <c r="O235" s="367"/>
      <c r="P235" s="367"/>
      <c r="Q235" s="367"/>
      <c r="R235" s="367"/>
      <c r="S235" s="367"/>
      <c r="T235" s="367"/>
      <c r="U235" s="367"/>
      <c r="V235" s="367"/>
      <c r="W235" s="367"/>
      <c r="X235" s="367"/>
      <c r="Y235" s="367"/>
      <c r="Z235" s="367"/>
      <c r="AA235" s="367"/>
      <c r="AB235" s="367"/>
      <c r="AC235" s="367"/>
      <c r="AD235" s="367"/>
      <c r="AE235" s="367"/>
      <c r="AF235" s="367"/>
    </row>
    <row r="236" ht="15.75" customHeight="1">
      <c r="A236" s="359"/>
      <c r="B236" s="361"/>
      <c r="C236" s="361"/>
      <c r="D236" s="361"/>
      <c r="E236" s="367"/>
      <c r="F236" s="367"/>
      <c r="G236" s="367"/>
      <c r="H236" s="367"/>
      <c r="I236" s="367"/>
      <c r="J236" s="367"/>
      <c r="K236" s="367"/>
      <c r="L236" s="367"/>
      <c r="M236" s="367"/>
      <c r="N236" s="367"/>
      <c r="O236" s="367"/>
      <c r="P236" s="367"/>
      <c r="Q236" s="367"/>
      <c r="R236" s="367"/>
      <c r="S236" s="367"/>
      <c r="T236" s="367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  <c r="AE236" s="367"/>
      <c r="AF236" s="367"/>
    </row>
    <row r="237" ht="15.75" customHeight="1">
      <c r="A237" s="359"/>
      <c r="B237" s="361"/>
      <c r="C237" s="361"/>
      <c r="D237" s="361"/>
      <c r="E237" s="367"/>
      <c r="F237" s="367"/>
      <c r="G237" s="367"/>
      <c r="H237" s="367"/>
      <c r="I237" s="367"/>
      <c r="J237" s="367"/>
      <c r="K237" s="367"/>
      <c r="L237" s="367"/>
      <c r="M237" s="367"/>
      <c r="N237" s="367"/>
      <c r="O237" s="367"/>
      <c r="P237" s="367"/>
      <c r="Q237" s="367"/>
      <c r="R237" s="367"/>
      <c r="S237" s="367"/>
      <c r="T237" s="367"/>
      <c r="U237" s="367"/>
      <c r="V237" s="367"/>
      <c r="W237" s="367"/>
      <c r="X237" s="367"/>
      <c r="Y237" s="367"/>
      <c r="Z237" s="367"/>
      <c r="AA237" s="367"/>
      <c r="AB237" s="367"/>
      <c r="AC237" s="367"/>
      <c r="AD237" s="367"/>
      <c r="AE237" s="367"/>
      <c r="AF237" s="367"/>
    </row>
    <row r="238" ht="15.75" customHeight="1">
      <c r="A238" s="359"/>
      <c r="B238" s="361"/>
      <c r="C238" s="361"/>
      <c r="D238" s="361"/>
      <c r="E238" s="367"/>
      <c r="F238" s="367"/>
      <c r="G238" s="367"/>
      <c r="H238" s="367"/>
      <c r="I238" s="367"/>
      <c r="J238" s="367"/>
      <c r="K238" s="367"/>
      <c r="L238" s="367"/>
      <c r="M238" s="367"/>
      <c r="N238" s="367"/>
      <c r="O238" s="367"/>
      <c r="P238" s="367"/>
      <c r="Q238" s="367"/>
      <c r="R238" s="367"/>
      <c r="S238" s="367"/>
      <c r="T238" s="367"/>
      <c r="U238" s="367"/>
      <c r="V238" s="367"/>
      <c r="W238" s="367"/>
      <c r="X238" s="367"/>
      <c r="Y238" s="367"/>
      <c r="Z238" s="367"/>
      <c r="AA238" s="367"/>
      <c r="AB238" s="367"/>
      <c r="AC238" s="367"/>
      <c r="AD238" s="367"/>
      <c r="AE238" s="367"/>
      <c r="AF238" s="367"/>
    </row>
    <row r="239" ht="15.75" customHeight="1">
      <c r="A239" s="359"/>
      <c r="B239" s="361"/>
      <c r="C239" s="361"/>
      <c r="D239" s="361"/>
      <c r="E239" s="367"/>
      <c r="F239" s="367"/>
      <c r="G239" s="367"/>
      <c r="H239" s="367"/>
      <c r="I239" s="367"/>
      <c r="J239" s="367"/>
      <c r="K239" s="367"/>
      <c r="L239" s="367"/>
      <c r="M239" s="367"/>
      <c r="N239" s="367"/>
      <c r="O239" s="367"/>
      <c r="P239" s="367"/>
      <c r="Q239" s="367"/>
      <c r="R239" s="367"/>
      <c r="S239" s="367"/>
      <c r="T239" s="367"/>
      <c r="U239" s="367"/>
      <c r="V239" s="367"/>
      <c r="W239" s="367"/>
      <c r="X239" s="367"/>
      <c r="Y239" s="367"/>
      <c r="Z239" s="367"/>
      <c r="AA239" s="367"/>
      <c r="AB239" s="367"/>
      <c r="AC239" s="367"/>
      <c r="AD239" s="367"/>
      <c r="AE239" s="367"/>
      <c r="AF239" s="367"/>
    </row>
    <row r="240" ht="15.75" customHeight="1">
      <c r="A240" s="359"/>
      <c r="B240" s="361"/>
      <c r="C240" s="361"/>
      <c r="D240" s="361"/>
      <c r="E240" s="367"/>
      <c r="F240" s="367"/>
      <c r="G240" s="367"/>
      <c r="H240" s="367"/>
      <c r="I240" s="367"/>
      <c r="J240" s="367"/>
      <c r="K240" s="367"/>
      <c r="L240" s="367"/>
      <c r="M240" s="367"/>
      <c r="N240" s="367"/>
      <c r="O240" s="367"/>
      <c r="P240" s="367"/>
      <c r="Q240" s="367"/>
      <c r="R240" s="367"/>
      <c r="S240" s="367"/>
      <c r="T240" s="367"/>
      <c r="U240" s="367"/>
      <c r="V240" s="367"/>
      <c r="W240" s="367"/>
      <c r="X240" s="367"/>
      <c r="Y240" s="367"/>
      <c r="Z240" s="367"/>
      <c r="AA240" s="367"/>
      <c r="AB240" s="367"/>
      <c r="AC240" s="367"/>
      <c r="AD240" s="367"/>
      <c r="AE240" s="367"/>
      <c r="AF240" s="367"/>
    </row>
    <row r="241" ht="15.75" customHeight="1">
      <c r="A241" s="359"/>
      <c r="B241" s="361"/>
      <c r="C241" s="361"/>
      <c r="D241" s="361"/>
      <c r="E241" s="367"/>
      <c r="F241" s="367"/>
      <c r="G241" s="367"/>
      <c r="H241" s="367"/>
      <c r="I241" s="367"/>
      <c r="J241" s="367"/>
      <c r="K241" s="367"/>
      <c r="L241" s="367"/>
      <c r="M241" s="367"/>
      <c r="N241" s="367"/>
      <c r="O241" s="367"/>
      <c r="P241" s="367"/>
      <c r="Q241" s="367"/>
      <c r="R241" s="367"/>
      <c r="S241" s="367"/>
      <c r="T241" s="367"/>
      <c r="U241" s="367"/>
      <c r="V241" s="367"/>
      <c r="W241" s="367"/>
      <c r="X241" s="367"/>
      <c r="Y241" s="367"/>
      <c r="Z241" s="367"/>
      <c r="AA241" s="367"/>
      <c r="AB241" s="367"/>
      <c r="AC241" s="367"/>
      <c r="AD241" s="367"/>
      <c r="AE241" s="367"/>
      <c r="AF241" s="367"/>
    </row>
    <row r="242" ht="15.75" customHeight="1">
      <c r="A242" s="359"/>
      <c r="B242" s="361"/>
      <c r="C242" s="361"/>
      <c r="D242" s="361"/>
      <c r="E242" s="367"/>
      <c r="F242" s="367"/>
      <c r="G242" s="367"/>
      <c r="H242" s="367"/>
      <c r="I242" s="367"/>
      <c r="J242" s="367"/>
      <c r="K242" s="367"/>
      <c r="L242" s="367"/>
      <c r="M242" s="367"/>
      <c r="N242" s="367"/>
      <c r="O242" s="367"/>
      <c r="P242" s="367"/>
      <c r="Q242" s="367"/>
      <c r="R242" s="367"/>
      <c r="S242" s="367"/>
      <c r="T242" s="367"/>
      <c r="U242" s="367"/>
      <c r="V242" s="367"/>
      <c r="W242" s="367"/>
      <c r="X242" s="367"/>
      <c r="Y242" s="367"/>
      <c r="Z242" s="367"/>
      <c r="AA242" s="367"/>
      <c r="AB242" s="367"/>
      <c r="AC242" s="367"/>
      <c r="AD242" s="367"/>
      <c r="AE242" s="367"/>
      <c r="AF242" s="367"/>
    </row>
    <row r="243" ht="15.75" customHeight="1">
      <c r="A243" s="359"/>
      <c r="B243" s="361"/>
      <c r="C243" s="361"/>
      <c r="D243" s="361"/>
      <c r="E243" s="367"/>
      <c r="F243" s="367"/>
      <c r="G243" s="367"/>
      <c r="H243" s="367"/>
      <c r="I243" s="367"/>
      <c r="J243" s="367"/>
      <c r="K243" s="367"/>
      <c r="L243" s="367"/>
      <c r="M243" s="367"/>
      <c r="N243" s="367"/>
      <c r="O243" s="367"/>
      <c r="P243" s="367"/>
      <c r="Q243" s="367"/>
      <c r="R243" s="367"/>
      <c r="S243" s="367"/>
      <c r="T243" s="367"/>
      <c r="U243" s="367"/>
      <c r="V243" s="367"/>
      <c r="W243" s="367"/>
      <c r="X243" s="367"/>
      <c r="Y243" s="367"/>
      <c r="Z243" s="367"/>
      <c r="AA243" s="367"/>
      <c r="AB243" s="367"/>
      <c r="AC243" s="367"/>
      <c r="AD243" s="367"/>
      <c r="AE243" s="367"/>
      <c r="AF243" s="367"/>
    </row>
    <row r="244" ht="15.75" customHeight="1">
      <c r="A244" s="359"/>
      <c r="B244" s="361"/>
      <c r="C244" s="361"/>
      <c r="D244" s="361"/>
      <c r="E244" s="367"/>
      <c r="F244" s="367"/>
      <c r="G244" s="367"/>
      <c r="H244" s="367"/>
      <c r="I244" s="367"/>
      <c r="J244" s="367"/>
      <c r="K244" s="367"/>
      <c r="L244" s="367"/>
      <c r="M244" s="367"/>
      <c r="N244" s="367"/>
      <c r="O244" s="367"/>
      <c r="P244" s="367"/>
      <c r="Q244" s="367"/>
      <c r="R244" s="367"/>
      <c r="S244" s="367"/>
      <c r="T244" s="367"/>
      <c r="U244" s="367"/>
      <c r="V244" s="367"/>
      <c r="W244" s="367"/>
      <c r="X244" s="367"/>
      <c r="Y244" s="367"/>
      <c r="Z244" s="367"/>
      <c r="AA244" s="367"/>
      <c r="AB244" s="367"/>
      <c r="AC244" s="367"/>
      <c r="AD244" s="367"/>
      <c r="AE244" s="367"/>
      <c r="AF244" s="367"/>
    </row>
    <row r="245" ht="15.75" customHeight="1">
      <c r="A245" s="359"/>
      <c r="B245" s="361"/>
      <c r="C245" s="361"/>
      <c r="D245" s="361"/>
      <c r="E245" s="367"/>
      <c r="F245" s="367"/>
      <c r="G245" s="367"/>
      <c r="H245" s="367"/>
      <c r="I245" s="367"/>
      <c r="J245" s="367"/>
      <c r="K245" s="367"/>
      <c r="L245" s="367"/>
      <c r="M245" s="367"/>
      <c r="N245" s="367"/>
      <c r="O245" s="367"/>
      <c r="P245" s="367"/>
      <c r="Q245" s="367"/>
      <c r="R245" s="367"/>
      <c r="S245" s="367"/>
      <c r="T245" s="367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  <c r="AE245" s="367"/>
      <c r="AF245" s="367"/>
    </row>
    <row r="246" ht="15.75" customHeight="1">
      <c r="A246" s="359"/>
      <c r="B246" s="361"/>
      <c r="C246" s="361"/>
      <c r="D246" s="361"/>
      <c r="E246" s="367"/>
      <c r="F246" s="367"/>
      <c r="G246" s="367"/>
      <c r="H246" s="367"/>
      <c r="I246" s="367"/>
      <c r="J246" s="367"/>
      <c r="K246" s="367"/>
      <c r="L246" s="367"/>
      <c r="M246" s="367"/>
      <c r="N246" s="367"/>
      <c r="O246" s="367"/>
      <c r="P246" s="367"/>
      <c r="Q246" s="367"/>
      <c r="R246" s="367"/>
      <c r="S246" s="367"/>
      <c r="T246" s="367"/>
      <c r="U246" s="367"/>
      <c r="V246" s="367"/>
      <c r="W246" s="367"/>
      <c r="X246" s="367"/>
      <c r="Y246" s="367"/>
      <c r="Z246" s="367"/>
      <c r="AA246" s="367"/>
      <c r="AB246" s="367"/>
      <c r="AC246" s="367"/>
      <c r="AD246" s="367"/>
      <c r="AE246" s="367"/>
      <c r="AF246" s="367"/>
    </row>
    <row r="247" ht="15.75" customHeight="1">
      <c r="A247" s="359"/>
      <c r="B247" s="361"/>
      <c r="C247" s="361"/>
      <c r="D247" s="361"/>
      <c r="E247" s="367"/>
      <c r="F247" s="367"/>
      <c r="G247" s="367"/>
      <c r="H247" s="367"/>
      <c r="I247" s="367"/>
      <c r="J247" s="367"/>
      <c r="K247" s="367"/>
      <c r="L247" s="367"/>
      <c r="M247" s="367"/>
      <c r="N247" s="367"/>
      <c r="O247" s="367"/>
      <c r="P247" s="367"/>
      <c r="Q247" s="367"/>
      <c r="R247" s="367"/>
      <c r="S247" s="367"/>
      <c r="T247" s="367"/>
      <c r="U247" s="367"/>
      <c r="V247" s="367"/>
      <c r="W247" s="367"/>
      <c r="X247" s="367"/>
      <c r="Y247" s="367"/>
      <c r="Z247" s="367"/>
      <c r="AA247" s="367"/>
      <c r="AB247" s="367"/>
      <c r="AC247" s="367"/>
      <c r="AD247" s="367"/>
      <c r="AE247" s="367"/>
      <c r="AF247" s="367"/>
    </row>
    <row r="248" ht="15.75" customHeight="1">
      <c r="A248" s="359"/>
      <c r="B248" s="361"/>
      <c r="C248" s="361"/>
      <c r="D248" s="361"/>
      <c r="E248" s="367"/>
      <c r="F248" s="367"/>
      <c r="G248" s="367"/>
      <c r="H248" s="367"/>
      <c r="I248" s="367"/>
      <c r="J248" s="367"/>
      <c r="K248" s="367"/>
      <c r="L248" s="367"/>
      <c r="M248" s="367"/>
      <c r="N248" s="367"/>
      <c r="O248" s="367"/>
      <c r="P248" s="367"/>
      <c r="Q248" s="367"/>
      <c r="R248" s="367"/>
      <c r="S248" s="367"/>
      <c r="T248" s="367"/>
      <c r="U248" s="367"/>
      <c r="V248" s="367"/>
      <c r="W248" s="367"/>
      <c r="X248" s="367"/>
      <c r="Y248" s="367"/>
      <c r="Z248" s="367"/>
      <c r="AA248" s="367"/>
      <c r="AB248" s="367"/>
      <c r="AC248" s="367"/>
      <c r="AD248" s="367"/>
      <c r="AE248" s="367"/>
      <c r="AF248" s="367"/>
    </row>
    <row r="249" ht="15.75" customHeight="1">
      <c r="A249" s="359"/>
      <c r="B249" s="361"/>
      <c r="C249" s="361"/>
      <c r="D249" s="361"/>
      <c r="E249" s="367"/>
      <c r="F249" s="367"/>
      <c r="G249" s="367"/>
      <c r="H249" s="367"/>
      <c r="I249" s="367"/>
      <c r="J249" s="367"/>
      <c r="K249" s="367"/>
      <c r="L249" s="367"/>
      <c r="M249" s="367"/>
      <c r="N249" s="367"/>
      <c r="O249" s="367"/>
      <c r="P249" s="367"/>
      <c r="Q249" s="367"/>
      <c r="R249" s="367"/>
      <c r="S249" s="367"/>
      <c r="T249" s="367"/>
      <c r="U249" s="367"/>
      <c r="V249" s="367"/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</row>
    <row r="250" ht="15.75" customHeight="1">
      <c r="A250" s="359"/>
      <c r="B250" s="361"/>
      <c r="C250" s="361"/>
      <c r="D250" s="361"/>
      <c r="E250" s="367"/>
      <c r="F250" s="367"/>
      <c r="G250" s="367"/>
      <c r="H250" s="367"/>
      <c r="I250" s="367"/>
      <c r="J250" s="367"/>
      <c r="K250" s="367"/>
      <c r="L250" s="367"/>
      <c r="M250" s="367"/>
      <c r="N250" s="367"/>
      <c r="O250" s="367"/>
      <c r="P250" s="367"/>
      <c r="Q250" s="367"/>
      <c r="R250" s="367"/>
      <c r="S250" s="367"/>
      <c r="T250" s="367"/>
      <c r="U250" s="367"/>
      <c r="V250" s="367"/>
      <c r="W250" s="367"/>
      <c r="X250" s="367"/>
      <c r="Y250" s="367"/>
      <c r="Z250" s="367"/>
      <c r="AA250" s="367"/>
      <c r="AB250" s="367"/>
      <c r="AC250" s="367"/>
      <c r="AD250" s="367"/>
      <c r="AE250" s="367"/>
      <c r="AF250" s="367"/>
    </row>
    <row r="251" ht="15.75" customHeight="1">
      <c r="A251" s="359"/>
      <c r="B251" s="361"/>
      <c r="C251" s="361"/>
      <c r="D251" s="361"/>
      <c r="E251" s="367"/>
      <c r="F251" s="367"/>
      <c r="G251" s="367"/>
      <c r="H251" s="367"/>
      <c r="I251" s="367"/>
      <c r="J251" s="367"/>
      <c r="K251" s="367"/>
      <c r="L251" s="367"/>
      <c r="M251" s="367"/>
      <c r="N251" s="367"/>
      <c r="O251" s="367"/>
      <c r="P251" s="367"/>
      <c r="Q251" s="367"/>
      <c r="R251" s="367"/>
      <c r="S251" s="367"/>
      <c r="T251" s="367"/>
      <c r="U251" s="367"/>
      <c r="V251" s="367"/>
      <c r="W251" s="367"/>
      <c r="X251" s="367"/>
      <c r="Y251" s="367"/>
      <c r="Z251" s="367"/>
      <c r="AA251" s="367"/>
      <c r="AB251" s="367"/>
      <c r="AC251" s="367"/>
      <c r="AD251" s="367"/>
      <c r="AE251" s="367"/>
      <c r="AF251" s="367"/>
    </row>
    <row r="252" ht="15.75" customHeight="1">
      <c r="A252" s="359"/>
      <c r="B252" s="361"/>
      <c r="C252" s="361"/>
      <c r="D252" s="361"/>
      <c r="E252" s="367"/>
      <c r="F252" s="367"/>
      <c r="G252" s="367"/>
      <c r="H252" s="367"/>
      <c r="I252" s="367"/>
      <c r="J252" s="367"/>
      <c r="K252" s="367"/>
      <c r="L252" s="367"/>
      <c r="M252" s="367"/>
      <c r="N252" s="367"/>
      <c r="O252" s="367"/>
      <c r="P252" s="367"/>
      <c r="Q252" s="367"/>
      <c r="R252" s="367"/>
      <c r="S252" s="367"/>
      <c r="T252" s="367"/>
      <c r="U252" s="367"/>
      <c r="V252" s="367"/>
      <c r="W252" s="367"/>
      <c r="X252" s="367"/>
      <c r="Y252" s="367"/>
      <c r="Z252" s="367"/>
      <c r="AA252" s="367"/>
      <c r="AB252" s="367"/>
      <c r="AC252" s="367"/>
      <c r="AD252" s="367"/>
      <c r="AE252" s="367"/>
      <c r="AF252" s="367"/>
    </row>
    <row r="253" ht="15.75" customHeight="1">
      <c r="A253" s="359"/>
      <c r="B253" s="361"/>
      <c r="C253" s="361"/>
      <c r="D253" s="361"/>
      <c r="E253" s="367"/>
      <c r="F253" s="367"/>
      <c r="G253" s="367"/>
      <c r="H253" s="367"/>
      <c r="I253" s="367"/>
      <c r="J253" s="367"/>
      <c r="K253" s="367"/>
      <c r="L253" s="367"/>
      <c r="M253" s="367"/>
      <c r="N253" s="367"/>
      <c r="O253" s="367"/>
      <c r="P253" s="367"/>
      <c r="Q253" s="367"/>
      <c r="R253" s="367"/>
      <c r="S253" s="367"/>
      <c r="T253" s="367"/>
      <c r="U253" s="367"/>
      <c r="V253" s="367"/>
      <c r="W253" s="367"/>
      <c r="X253" s="367"/>
      <c r="Y253" s="367"/>
      <c r="Z253" s="367"/>
      <c r="AA253" s="367"/>
      <c r="AB253" s="367"/>
      <c r="AC253" s="367"/>
      <c r="AD253" s="367"/>
      <c r="AE253" s="367"/>
      <c r="AF253" s="367"/>
    </row>
    <row r="254" ht="15.75" customHeight="1">
      <c r="A254" s="359"/>
      <c r="B254" s="361"/>
      <c r="C254" s="361"/>
      <c r="D254" s="361"/>
      <c r="E254" s="367"/>
      <c r="F254" s="367"/>
      <c r="G254" s="367"/>
      <c r="H254" s="367"/>
      <c r="I254" s="367"/>
      <c r="J254" s="367"/>
      <c r="K254" s="367"/>
      <c r="L254" s="367"/>
      <c r="M254" s="367"/>
      <c r="N254" s="367"/>
      <c r="O254" s="367"/>
      <c r="P254" s="367"/>
      <c r="Q254" s="367"/>
      <c r="R254" s="367"/>
      <c r="S254" s="367"/>
      <c r="T254" s="367"/>
      <c r="U254" s="367"/>
      <c r="V254" s="367"/>
      <c r="W254" s="367"/>
      <c r="X254" s="367"/>
      <c r="Y254" s="367"/>
      <c r="Z254" s="367"/>
      <c r="AA254" s="367"/>
      <c r="AB254" s="367"/>
      <c r="AC254" s="367"/>
      <c r="AD254" s="367"/>
      <c r="AE254" s="367"/>
      <c r="AF254" s="367"/>
    </row>
    <row r="255" ht="15.75" customHeight="1">
      <c r="A255" s="359"/>
      <c r="B255" s="361"/>
      <c r="C255" s="361"/>
      <c r="D255" s="361"/>
      <c r="E255" s="367"/>
      <c r="F255" s="367"/>
      <c r="G255" s="367"/>
      <c r="H255" s="367"/>
      <c r="I255" s="367"/>
      <c r="J255" s="367"/>
      <c r="K255" s="367"/>
      <c r="L255" s="367"/>
      <c r="M255" s="367"/>
      <c r="N255" s="367"/>
      <c r="O255" s="367"/>
      <c r="P255" s="367"/>
      <c r="Q255" s="367"/>
      <c r="R255" s="367"/>
      <c r="S255" s="367"/>
      <c r="T255" s="367"/>
      <c r="U255" s="367"/>
      <c r="V255" s="367"/>
      <c r="W255" s="367"/>
      <c r="X255" s="367"/>
      <c r="Y255" s="367"/>
      <c r="Z255" s="367"/>
      <c r="AA255" s="367"/>
      <c r="AB255" s="367"/>
      <c r="AC255" s="367"/>
      <c r="AD255" s="367"/>
      <c r="AE255" s="367"/>
      <c r="AF255" s="367"/>
    </row>
    <row r="256" ht="15.75" customHeight="1">
      <c r="A256" s="359"/>
      <c r="B256" s="361"/>
      <c r="C256" s="361"/>
      <c r="D256" s="361"/>
      <c r="E256" s="367"/>
      <c r="F256" s="367"/>
      <c r="G256" s="367"/>
      <c r="H256" s="367"/>
      <c r="I256" s="367"/>
      <c r="J256" s="367"/>
      <c r="K256" s="367"/>
      <c r="L256" s="367"/>
      <c r="M256" s="367"/>
      <c r="N256" s="367"/>
      <c r="O256" s="367"/>
      <c r="P256" s="367"/>
      <c r="Q256" s="367"/>
      <c r="R256" s="367"/>
      <c r="S256" s="367"/>
      <c r="T256" s="367"/>
      <c r="U256" s="367"/>
      <c r="V256" s="367"/>
      <c r="W256" s="367"/>
      <c r="X256" s="367"/>
      <c r="Y256" s="367"/>
      <c r="Z256" s="367"/>
      <c r="AA256" s="367"/>
      <c r="AB256" s="367"/>
      <c r="AC256" s="367"/>
      <c r="AD256" s="367"/>
      <c r="AE256" s="367"/>
      <c r="AF256" s="367"/>
    </row>
    <row r="257" ht="15.75" customHeight="1">
      <c r="A257" s="359"/>
      <c r="B257" s="361"/>
      <c r="C257" s="361"/>
      <c r="D257" s="361"/>
      <c r="E257" s="367"/>
      <c r="F257" s="367"/>
      <c r="G257" s="367"/>
      <c r="H257" s="367"/>
      <c r="I257" s="367"/>
      <c r="J257" s="367"/>
      <c r="K257" s="367"/>
      <c r="L257" s="367"/>
      <c r="M257" s="367"/>
      <c r="N257" s="367"/>
      <c r="O257" s="367"/>
      <c r="P257" s="367"/>
      <c r="Q257" s="367"/>
      <c r="R257" s="367"/>
      <c r="S257" s="367"/>
      <c r="T257" s="367"/>
      <c r="U257" s="367"/>
      <c r="V257" s="367"/>
      <c r="W257" s="367"/>
      <c r="X257" s="367"/>
      <c r="Y257" s="367"/>
      <c r="Z257" s="367"/>
      <c r="AA257" s="367"/>
      <c r="AB257" s="367"/>
      <c r="AC257" s="367"/>
      <c r="AD257" s="367"/>
      <c r="AE257" s="367"/>
      <c r="AF257" s="367"/>
    </row>
    <row r="258" ht="15.75" customHeight="1">
      <c r="A258" s="359"/>
      <c r="B258" s="361"/>
      <c r="C258" s="361"/>
      <c r="D258" s="361"/>
      <c r="E258" s="367"/>
      <c r="F258" s="367"/>
      <c r="G258" s="367"/>
      <c r="H258" s="367"/>
      <c r="I258" s="367"/>
      <c r="J258" s="367"/>
      <c r="K258" s="367"/>
      <c r="L258" s="367"/>
      <c r="M258" s="367"/>
      <c r="N258" s="367"/>
      <c r="O258" s="367"/>
      <c r="P258" s="367"/>
      <c r="Q258" s="367"/>
      <c r="R258" s="367"/>
      <c r="S258" s="367"/>
      <c r="T258" s="367"/>
      <c r="U258" s="367"/>
      <c r="V258" s="367"/>
      <c r="W258" s="367"/>
      <c r="X258" s="367"/>
      <c r="Y258" s="367"/>
      <c r="Z258" s="367"/>
      <c r="AA258" s="367"/>
      <c r="AB258" s="367"/>
      <c r="AC258" s="367"/>
      <c r="AD258" s="367"/>
      <c r="AE258" s="367"/>
      <c r="AF258" s="367"/>
    </row>
    <row r="259" ht="15.75" customHeight="1">
      <c r="A259" s="359"/>
      <c r="B259" s="361"/>
      <c r="C259" s="361"/>
      <c r="D259" s="361"/>
      <c r="E259" s="367"/>
      <c r="F259" s="367"/>
      <c r="G259" s="367"/>
      <c r="H259" s="367"/>
      <c r="I259" s="367"/>
      <c r="J259" s="367"/>
      <c r="K259" s="367"/>
      <c r="L259" s="367"/>
      <c r="M259" s="367"/>
      <c r="N259" s="367"/>
      <c r="O259" s="367"/>
      <c r="P259" s="367"/>
      <c r="Q259" s="367"/>
      <c r="R259" s="367"/>
      <c r="S259" s="367"/>
      <c r="T259" s="367"/>
      <c r="U259" s="367"/>
      <c r="V259" s="367"/>
      <c r="W259" s="367"/>
      <c r="X259" s="367"/>
      <c r="Y259" s="367"/>
      <c r="Z259" s="367"/>
      <c r="AA259" s="367"/>
      <c r="AB259" s="367"/>
      <c r="AC259" s="367"/>
      <c r="AD259" s="367"/>
      <c r="AE259" s="367"/>
      <c r="AF259" s="367"/>
    </row>
    <row r="260" ht="15.75" customHeight="1">
      <c r="A260" s="359"/>
      <c r="B260" s="361"/>
      <c r="C260" s="361"/>
      <c r="D260" s="361"/>
      <c r="E260" s="367"/>
      <c r="F260" s="367"/>
      <c r="G260" s="367"/>
      <c r="H260" s="367"/>
      <c r="I260" s="367"/>
      <c r="J260" s="367"/>
      <c r="K260" s="367"/>
      <c r="L260" s="367"/>
      <c r="M260" s="367"/>
      <c r="N260" s="367"/>
      <c r="O260" s="367"/>
      <c r="P260" s="367"/>
      <c r="Q260" s="367"/>
      <c r="R260" s="367"/>
      <c r="S260" s="367"/>
      <c r="T260" s="367"/>
      <c r="U260" s="367"/>
      <c r="V260" s="367"/>
      <c r="W260" s="367"/>
      <c r="X260" s="367"/>
      <c r="Y260" s="367"/>
      <c r="Z260" s="367"/>
      <c r="AA260" s="367"/>
      <c r="AB260" s="367"/>
      <c r="AC260" s="367"/>
      <c r="AD260" s="367"/>
      <c r="AE260" s="367"/>
      <c r="AF260" s="367"/>
    </row>
    <row r="261" ht="15.75" customHeight="1">
      <c r="A261" s="359"/>
      <c r="B261" s="361"/>
      <c r="C261" s="361"/>
      <c r="D261" s="361"/>
      <c r="E261" s="367"/>
      <c r="F261" s="367"/>
      <c r="G261" s="367"/>
      <c r="H261" s="367"/>
      <c r="I261" s="367"/>
      <c r="J261" s="367"/>
      <c r="K261" s="367"/>
      <c r="L261" s="367"/>
      <c r="M261" s="367"/>
      <c r="N261" s="367"/>
      <c r="O261" s="367"/>
      <c r="P261" s="367"/>
      <c r="Q261" s="367"/>
      <c r="R261" s="367"/>
      <c r="S261" s="367"/>
      <c r="T261" s="367"/>
      <c r="U261" s="367"/>
      <c r="V261" s="367"/>
      <c r="W261" s="367"/>
      <c r="X261" s="367"/>
      <c r="Y261" s="367"/>
      <c r="Z261" s="367"/>
      <c r="AA261" s="367"/>
      <c r="AB261" s="367"/>
      <c r="AC261" s="367"/>
      <c r="AD261" s="367"/>
      <c r="AE261" s="367"/>
      <c r="AF261" s="367"/>
    </row>
    <row r="262" ht="15.75" customHeight="1">
      <c r="A262" s="359"/>
      <c r="B262" s="361"/>
      <c r="C262" s="361"/>
      <c r="D262" s="361"/>
      <c r="E262" s="367"/>
      <c r="F262" s="367"/>
      <c r="G262" s="367"/>
      <c r="H262" s="367"/>
      <c r="I262" s="367"/>
      <c r="J262" s="367"/>
      <c r="K262" s="367"/>
      <c r="L262" s="367"/>
      <c r="M262" s="367"/>
      <c r="N262" s="367"/>
      <c r="O262" s="367"/>
      <c r="P262" s="367"/>
      <c r="Q262" s="367"/>
      <c r="R262" s="367"/>
      <c r="S262" s="367"/>
      <c r="T262" s="367"/>
      <c r="U262" s="367"/>
      <c r="V262" s="367"/>
      <c r="W262" s="367"/>
      <c r="X262" s="367"/>
      <c r="Y262" s="367"/>
      <c r="Z262" s="367"/>
      <c r="AA262" s="367"/>
      <c r="AB262" s="367"/>
      <c r="AC262" s="367"/>
      <c r="AD262" s="367"/>
      <c r="AE262" s="367"/>
      <c r="AF262" s="367"/>
    </row>
    <row r="263" ht="15.75" customHeight="1">
      <c r="A263" s="359"/>
      <c r="B263" s="361"/>
      <c r="C263" s="361"/>
      <c r="D263" s="361"/>
      <c r="E263" s="367"/>
      <c r="F263" s="367"/>
      <c r="G263" s="367"/>
      <c r="H263" s="367"/>
      <c r="I263" s="367"/>
      <c r="J263" s="367"/>
      <c r="K263" s="367"/>
      <c r="L263" s="367"/>
      <c r="M263" s="367"/>
      <c r="N263" s="367"/>
      <c r="O263" s="367"/>
      <c r="P263" s="367"/>
      <c r="Q263" s="367"/>
      <c r="R263" s="367"/>
      <c r="S263" s="367"/>
      <c r="T263" s="367"/>
      <c r="U263" s="367"/>
      <c r="V263" s="367"/>
      <c r="W263" s="367"/>
      <c r="X263" s="367"/>
      <c r="Y263" s="367"/>
      <c r="Z263" s="367"/>
      <c r="AA263" s="367"/>
      <c r="AB263" s="367"/>
      <c r="AC263" s="367"/>
      <c r="AD263" s="367"/>
      <c r="AE263" s="367"/>
      <c r="AF263" s="367"/>
    </row>
    <row r="264" ht="15.75" customHeight="1">
      <c r="A264" s="359"/>
      <c r="B264" s="361"/>
      <c r="C264" s="361"/>
      <c r="D264" s="361"/>
      <c r="E264" s="367"/>
      <c r="F264" s="367"/>
      <c r="G264" s="367"/>
      <c r="H264" s="367"/>
      <c r="I264" s="367"/>
      <c r="J264" s="367"/>
      <c r="K264" s="367"/>
      <c r="L264" s="367"/>
      <c r="M264" s="367"/>
      <c r="N264" s="367"/>
      <c r="O264" s="367"/>
      <c r="P264" s="367"/>
      <c r="Q264" s="367"/>
      <c r="R264" s="367"/>
      <c r="S264" s="367"/>
      <c r="T264" s="367"/>
      <c r="U264" s="367"/>
      <c r="V264" s="367"/>
      <c r="W264" s="367"/>
      <c r="X264" s="367"/>
      <c r="Y264" s="367"/>
      <c r="Z264" s="367"/>
      <c r="AA264" s="367"/>
      <c r="AB264" s="367"/>
      <c r="AC264" s="367"/>
      <c r="AD264" s="367"/>
      <c r="AE264" s="367"/>
      <c r="AF264" s="367"/>
    </row>
    <row r="265" ht="15.75" customHeight="1">
      <c r="A265" s="359"/>
      <c r="B265" s="361"/>
      <c r="C265" s="361"/>
      <c r="D265" s="361"/>
      <c r="E265" s="367"/>
      <c r="F265" s="367"/>
      <c r="G265" s="367"/>
      <c r="H265" s="367"/>
      <c r="I265" s="367"/>
      <c r="J265" s="367"/>
      <c r="K265" s="367"/>
      <c r="L265" s="367"/>
      <c r="M265" s="367"/>
      <c r="N265" s="367"/>
      <c r="O265" s="367"/>
      <c r="P265" s="367"/>
      <c r="Q265" s="367"/>
      <c r="R265" s="367"/>
      <c r="S265" s="367"/>
      <c r="T265" s="367"/>
      <c r="U265" s="367"/>
      <c r="V265" s="367"/>
      <c r="W265" s="367"/>
      <c r="X265" s="367"/>
      <c r="Y265" s="367"/>
      <c r="Z265" s="367"/>
      <c r="AA265" s="367"/>
      <c r="AB265" s="367"/>
      <c r="AC265" s="367"/>
      <c r="AD265" s="367"/>
      <c r="AE265" s="367"/>
      <c r="AF265" s="367"/>
    </row>
    <row r="266" ht="15.75" customHeight="1">
      <c r="A266" s="359"/>
      <c r="B266" s="361"/>
      <c r="C266" s="361"/>
      <c r="D266" s="361"/>
      <c r="E266" s="367"/>
      <c r="F266" s="367"/>
      <c r="G266" s="367"/>
      <c r="H266" s="367"/>
      <c r="I266" s="367"/>
      <c r="J266" s="367"/>
      <c r="K266" s="367"/>
      <c r="L266" s="367"/>
      <c r="M266" s="367"/>
      <c r="N266" s="367"/>
      <c r="O266" s="367"/>
      <c r="P266" s="367"/>
      <c r="Q266" s="367"/>
      <c r="R266" s="367"/>
      <c r="S266" s="367"/>
      <c r="T266" s="367"/>
      <c r="U266" s="367"/>
      <c r="V266" s="367"/>
      <c r="W266" s="367"/>
      <c r="X266" s="367"/>
      <c r="Y266" s="367"/>
      <c r="Z266" s="367"/>
      <c r="AA266" s="367"/>
      <c r="AB266" s="367"/>
      <c r="AC266" s="367"/>
      <c r="AD266" s="367"/>
      <c r="AE266" s="367"/>
      <c r="AF266" s="367"/>
    </row>
    <row r="267" ht="15.75" customHeight="1">
      <c r="A267" s="359"/>
      <c r="B267" s="361"/>
      <c r="C267" s="361"/>
      <c r="D267" s="361"/>
      <c r="E267" s="367"/>
      <c r="F267" s="367"/>
      <c r="G267" s="367"/>
      <c r="H267" s="367"/>
      <c r="I267" s="367"/>
      <c r="J267" s="367"/>
      <c r="K267" s="367"/>
      <c r="L267" s="367"/>
      <c r="M267" s="367"/>
      <c r="N267" s="367"/>
      <c r="O267" s="367"/>
      <c r="P267" s="367"/>
      <c r="Q267" s="367"/>
      <c r="R267" s="367"/>
      <c r="S267" s="367"/>
      <c r="T267" s="367"/>
      <c r="U267" s="367"/>
      <c r="V267" s="367"/>
      <c r="W267" s="367"/>
      <c r="X267" s="367"/>
      <c r="Y267" s="367"/>
      <c r="Z267" s="367"/>
      <c r="AA267" s="367"/>
      <c r="AB267" s="367"/>
      <c r="AC267" s="367"/>
      <c r="AD267" s="367"/>
      <c r="AE267" s="367"/>
      <c r="AF267" s="367"/>
    </row>
    <row r="268" ht="15.75" customHeight="1">
      <c r="A268" s="359"/>
      <c r="B268" s="361"/>
      <c r="C268" s="361"/>
      <c r="D268" s="361"/>
      <c r="E268" s="367"/>
      <c r="F268" s="367"/>
      <c r="G268" s="367"/>
      <c r="H268" s="367"/>
      <c r="I268" s="367"/>
      <c r="J268" s="367"/>
      <c r="K268" s="367"/>
      <c r="L268" s="367"/>
      <c r="M268" s="367"/>
      <c r="N268" s="367"/>
      <c r="O268" s="367"/>
      <c r="P268" s="367"/>
      <c r="Q268" s="367"/>
      <c r="R268" s="367"/>
      <c r="S268" s="367"/>
      <c r="T268" s="367"/>
      <c r="U268" s="367"/>
      <c r="V268" s="367"/>
      <c r="W268" s="367"/>
      <c r="X268" s="367"/>
      <c r="Y268" s="367"/>
      <c r="Z268" s="367"/>
      <c r="AA268" s="367"/>
      <c r="AB268" s="367"/>
      <c r="AC268" s="367"/>
      <c r="AD268" s="367"/>
      <c r="AE268" s="367"/>
      <c r="AF268" s="367"/>
    </row>
    <row r="269" ht="15.75" customHeight="1">
      <c r="A269" s="359"/>
      <c r="B269" s="361"/>
      <c r="C269" s="361"/>
      <c r="D269" s="361"/>
      <c r="E269" s="367"/>
      <c r="F269" s="367"/>
      <c r="G269" s="367"/>
      <c r="H269" s="367"/>
      <c r="I269" s="367"/>
      <c r="J269" s="367"/>
      <c r="K269" s="367"/>
      <c r="L269" s="367"/>
      <c r="M269" s="367"/>
      <c r="N269" s="367"/>
      <c r="O269" s="367"/>
      <c r="P269" s="367"/>
      <c r="Q269" s="367"/>
      <c r="R269" s="367"/>
      <c r="S269" s="367"/>
      <c r="T269" s="367"/>
      <c r="U269" s="367"/>
      <c r="V269" s="367"/>
      <c r="W269" s="367"/>
      <c r="X269" s="367"/>
      <c r="Y269" s="367"/>
      <c r="Z269" s="367"/>
      <c r="AA269" s="367"/>
      <c r="AB269" s="367"/>
      <c r="AC269" s="367"/>
      <c r="AD269" s="367"/>
      <c r="AE269" s="367"/>
      <c r="AF269" s="367"/>
    </row>
    <row r="270" ht="15.75" customHeight="1">
      <c r="A270" s="359"/>
      <c r="B270" s="361"/>
      <c r="C270" s="361"/>
      <c r="D270" s="361"/>
      <c r="E270" s="367"/>
      <c r="F270" s="367"/>
      <c r="G270" s="367"/>
      <c r="H270" s="367"/>
      <c r="I270" s="367"/>
      <c r="J270" s="367"/>
      <c r="K270" s="367"/>
      <c r="L270" s="367"/>
      <c r="M270" s="367"/>
      <c r="N270" s="367"/>
      <c r="O270" s="367"/>
      <c r="P270" s="367"/>
      <c r="Q270" s="367"/>
      <c r="R270" s="367"/>
      <c r="S270" s="367"/>
      <c r="T270" s="367"/>
      <c r="U270" s="367"/>
      <c r="V270" s="367"/>
      <c r="W270" s="367"/>
      <c r="X270" s="367"/>
      <c r="Y270" s="367"/>
      <c r="Z270" s="367"/>
      <c r="AA270" s="367"/>
      <c r="AB270" s="367"/>
      <c r="AC270" s="367"/>
      <c r="AD270" s="367"/>
      <c r="AE270" s="367"/>
      <c r="AF270" s="367"/>
    </row>
    <row r="271" ht="15.75" customHeight="1">
      <c r="A271" s="359"/>
      <c r="B271" s="361"/>
      <c r="C271" s="361"/>
      <c r="D271" s="361"/>
      <c r="E271" s="367"/>
      <c r="F271" s="367"/>
      <c r="G271" s="367"/>
      <c r="H271" s="367"/>
      <c r="I271" s="367"/>
      <c r="J271" s="367"/>
      <c r="K271" s="367"/>
      <c r="L271" s="367"/>
      <c r="M271" s="367"/>
      <c r="N271" s="367"/>
      <c r="O271" s="367"/>
      <c r="P271" s="367"/>
      <c r="Q271" s="367"/>
      <c r="R271" s="367"/>
      <c r="S271" s="367"/>
      <c r="T271" s="367"/>
      <c r="U271" s="367"/>
      <c r="V271" s="367"/>
      <c r="W271" s="367"/>
      <c r="X271" s="367"/>
      <c r="Y271" s="367"/>
      <c r="Z271" s="367"/>
      <c r="AA271" s="367"/>
      <c r="AB271" s="367"/>
      <c r="AC271" s="367"/>
      <c r="AD271" s="367"/>
      <c r="AE271" s="367"/>
      <c r="AF271" s="367"/>
    </row>
    <row r="272" ht="15.75" customHeight="1">
      <c r="A272" s="359"/>
      <c r="B272" s="361"/>
      <c r="C272" s="361"/>
      <c r="D272" s="361"/>
      <c r="E272" s="367"/>
      <c r="F272" s="367"/>
      <c r="G272" s="367"/>
      <c r="H272" s="367"/>
      <c r="I272" s="367"/>
      <c r="J272" s="367"/>
      <c r="K272" s="367"/>
      <c r="L272" s="367"/>
      <c r="M272" s="367"/>
      <c r="N272" s="367"/>
      <c r="O272" s="367"/>
      <c r="P272" s="367"/>
      <c r="Q272" s="367"/>
      <c r="R272" s="367"/>
      <c r="S272" s="367"/>
      <c r="T272" s="367"/>
      <c r="U272" s="367"/>
      <c r="V272" s="367"/>
      <c r="W272" s="367"/>
      <c r="X272" s="367"/>
      <c r="Y272" s="367"/>
      <c r="Z272" s="367"/>
      <c r="AA272" s="367"/>
      <c r="AB272" s="367"/>
      <c r="AC272" s="367"/>
      <c r="AD272" s="367"/>
      <c r="AE272" s="367"/>
      <c r="AF272" s="367"/>
    </row>
    <row r="273" ht="15.75" customHeight="1">
      <c r="A273" s="359"/>
      <c r="B273" s="361"/>
      <c r="C273" s="361"/>
      <c r="D273" s="361"/>
      <c r="E273" s="367"/>
      <c r="F273" s="367"/>
      <c r="G273" s="367"/>
      <c r="H273" s="367"/>
      <c r="I273" s="367"/>
      <c r="J273" s="367"/>
      <c r="K273" s="367"/>
      <c r="L273" s="367"/>
      <c r="M273" s="367"/>
      <c r="N273" s="367"/>
      <c r="O273" s="367"/>
      <c r="P273" s="367"/>
      <c r="Q273" s="367"/>
      <c r="R273" s="367"/>
      <c r="S273" s="367"/>
      <c r="T273" s="367"/>
      <c r="U273" s="367"/>
      <c r="V273" s="367"/>
      <c r="W273" s="367"/>
      <c r="X273" s="367"/>
      <c r="Y273" s="367"/>
      <c r="Z273" s="367"/>
      <c r="AA273" s="367"/>
      <c r="AB273" s="367"/>
      <c r="AC273" s="367"/>
      <c r="AD273" s="367"/>
      <c r="AE273" s="367"/>
      <c r="AF273" s="367"/>
    </row>
    <row r="274" ht="15.75" customHeight="1">
      <c r="A274" s="359"/>
      <c r="B274" s="361"/>
      <c r="C274" s="361"/>
      <c r="D274" s="361"/>
      <c r="E274" s="367"/>
      <c r="F274" s="367"/>
      <c r="G274" s="367"/>
      <c r="H274" s="367"/>
      <c r="I274" s="367"/>
      <c r="J274" s="367"/>
      <c r="K274" s="367"/>
      <c r="L274" s="367"/>
      <c r="M274" s="367"/>
      <c r="N274" s="367"/>
      <c r="O274" s="367"/>
      <c r="P274" s="367"/>
      <c r="Q274" s="367"/>
      <c r="R274" s="367"/>
      <c r="S274" s="367"/>
      <c r="T274" s="367"/>
      <c r="U274" s="367"/>
      <c r="V274" s="367"/>
      <c r="W274" s="367"/>
      <c r="X274" s="367"/>
      <c r="Y274" s="367"/>
      <c r="Z274" s="367"/>
      <c r="AA274" s="367"/>
      <c r="AB274" s="367"/>
      <c r="AC274" s="367"/>
      <c r="AD274" s="367"/>
      <c r="AE274" s="367"/>
      <c r="AF274" s="367"/>
    </row>
    <row r="275" ht="15.75" customHeight="1">
      <c r="A275" s="359"/>
      <c r="B275" s="361"/>
      <c r="C275" s="361"/>
      <c r="D275" s="361"/>
      <c r="E275" s="367"/>
      <c r="F275" s="367"/>
      <c r="G275" s="367"/>
      <c r="H275" s="367"/>
      <c r="I275" s="367"/>
      <c r="J275" s="367"/>
      <c r="K275" s="367"/>
      <c r="L275" s="367"/>
      <c r="M275" s="367"/>
      <c r="N275" s="367"/>
      <c r="O275" s="367"/>
      <c r="P275" s="367"/>
      <c r="Q275" s="367"/>
      <c r="R275" s="367"/>
      <c r="S275" s="367"/>
      <c r="T275" s="367"/>
      <c r="U275" s="367"/>
      <c r="V275" s="367"/>
      <c r="W275" s="367"/>
      <c r="X275" s="367"/>
      <c r="Y275" s="367"/>
      <c r="Z275" s="367"/>
      <c r="AA275" s="367"/>
      <c r="AB275" s="367"/>
      <c r="AC275" s="367"/>
      <c r="AD275" s="367"/>
      <c r="AE275" s="367"/>
      <c r="AF275" s="367"/>
    </row>
    <row r="276" ht="15.75" customHeight="1">
      <c r="A276" s="359"/>
      <c r="B276" s="361"/>
      <c r="C276" s="361"/>
      <c r="D276" s="361"/>
      <c r="E276" s="367"/>
      <c r="F276" s="367"/>
      <c r="G276" s="367"/>
      <c r="H276" s="367"/>
      <c r="I276" s="367"/>
      <c r="J276" s="367"/>
      <c r="K276" s="367"/>
      <c r="L276" s="367"/>
      <c r="M276" s="367"/>
      <c r="N276" s="367"/>
      <c r="O276" s="367"/>
      <c r="P276" s="367"/>
      <c r="Q276" s="367"/>
      <c r="R276" s="367"/>
      <c r="S276" s="367"/>
      <c r="T276" s="367"/>
      <c r="U276" s="367"/>
      <c r="V276" s="367"/>
      <c r="W276" s="367"/>
      <c r="X276" s="367"/>
      <c r="Y276" s="367"/>
      <c r="Z276" s="367"/>
      <c r="AA276" s="367"/>
      <c r="AB276" s="367"/>
      <c r="AC276" s="367"/>
      <c r="AD276" s="367"/>
      <c r="AE276" s="367"/>
      <c r="AF276" s="367"/>
    </row>
    <row r="277" ht="15.75" customHeight="1">
      <c r="A277" s="359"/>
      <c r="B277" s="361"/>
      <c r="C277" s="361"/>
      <c r="D277" s="361"/>
      <c r="E277" s="367"/>
      <c r="F277" s="367"/>
      <c r="G277" s="367"/>
      <c r="H277" s="367"/>
      <c r="I277" s="367"/>
      <c r="J277" s="367"/>
      <c r="K277" s="367"/>
      <c r="L277" s="367"/>
      <c r="M277" s="367"/>
      <c r="N277" s="367"/>
      <c r="O277" s="367"/>
      <c r="P277" s="367"/>
      <c r="Q277" s="367"/>
      <c r="R277" s="367"/>
      <c r="S277" s="367"/>
      <c r="T277" s="367"/>
      <c r="U277" s="367"/>
      <c r="V277" s="367"/>
      <c r="W277" s="367"/>
      <c r="X277" s="367"/>
      <c r="Y277" s="367"/>
      <c r="Z277" s="367"/>
      <c r="AA277" s="367"/>
      <c r="AB277" s="367"/>
      <c r="AC277" s="367"/>
      <c r="AD277" s="367"/>
      <c r="AE277" s="367"/>
      <c r="AF277" s="367"/>
    </row>
    <row r="278" ht="15.75" customHeight="1">
      <c r="A278" s="359"/>
      <c r="B278" s="361"/>
      <c r="C278" s="361"/>
      <c r="D278" s="361"/>
      <c r="E278" s="367"/>
      <c r="F278" s="367"/>
      <c r="G278" s="367"/>
      <c r="H278" s="367"/>
      <c r="I278" s="367"/>
      <c r="J278" s="367"/>
      <c r="K278" s="367"/>
      <c r="L278" s="367"/>
      <c r="M278" s="367"/>
      <c r="N278" s="367"/>
      <c r="O278" s="367"/>
      <c r="P278" s="367"/>
      <c r="Q278" s="367"/>
      <c r="R278" s="367"/>
      <c r="S278" s="367"/>
      <c r="T278" s="367"/>
      <c r="U278" s="367"/>
      <c r="V278" s="367"/>
      <c r="W278" s="367"/>
      <c r="X278" s="367"/>
      <c r="Y278" s="367"/>
      <c r="Z278" s="367"/>
      <c r="AA278" s="367"/>
      <c r="AB278" s="367"/>
      <c r="AC278" s="367"/>
      <c r="AD278" s="367"/>
      <c r="AE278" s="367"/>
      <c r="AF278" s="367"/>
    </row>
    <row r="279" ht="15.75" customHeight="1">
      <c r="A279" s="359"/>
      <c r="B279" s="361"/>
      <c r="C279" s="361"/>
      <c r="D279" s="361"/>
      <c r="E279" s="367"/>
      <c r="F279" s="367"/>
      <c r="G279" s="367"/>
      <c r="H279" s="367"/>
      <c r="I279" s="367"/>
      <c r="J279" s="367"/>
      <c r="K279" s="367"/>
      <c r="L279" s="367"/>
      <c r="M279" s="367"/>
      <c r="N279" s="367"/>
      <c r="O279" s="367"/>
      <c r="P279" s="367"/>
      <c r="Q279" s="367"/>
      <c r="R279" s="367"/>
      <c r="S279" s="367"/>
      <c r="T279" s="367"/>
      <c r="U279" s="367"/>
      <c r="V279" s="367"/>
      <c r="W279" s="367"/>
      <c r="X279" s="367"/>
      <c r="Y279" s="367"/>
      <c r="Z279" s="367"/>
      <c r="AA279" s="367"/>
      <c r="AB279" s="367"/>
      <c r="AC279" s="367"/>
      <c r="AD279" s="367"/>
      <c r="AE279" s="367"/>
      <c r="AF279" s="367"/>
    </row>
    <row r="280" ht="15.75" customHeight="1">
      <c r="A280" s="359"/>
      <c r="B280" s="361"/>
      <c r="C280" s="361"/>
      <c r="D280" s="361"/>
      <c r="E280" s="367"/>
      <c r="F280" s="367"/>
      <c r="G280" s="367"/>
      <c r="H280" s="367"/>
      <c r="I280" s="367"/>
      <c r="J280" s="367"/>
      <c r="K280" s="367"/>
      <c r="L280" s="367"/>
      <c r="M280" s="367"/>
      <c r="N280" s="367"/>
      <c r="O280" s="367"/>
      <c r="P280" s="367"/>
      <c r="Q280" s="367"/>
      <c r="R280" s="367"/>
      <c r="S280" s="367"/>
      <c r="T280" s="367"/>
      <c r="U280" s="367"/>
      <c r="V280" s="367"/>
      <c r="W280" s="367"/>
      <c r="X280" s="367"/>
      <c r="Y280" s="367"/>
      <c r="Z280" s="367"/>
      <c r="AA280" s="367"/>
      <c r="AB280" s="367"/>
      <c r="AC280" s="367"/>
      <c r="AD280" s="367"/>
      <c r="AE280" s="367"/>
      <c r="AF280" s="367"/>
    </row>
    <row r="281" ht="15.75" customHeight="1">
      <c r="A281" s="359"/>
      <c r="B281" s="361"/>
      <c r="C281" s="361"/>
      <c r="D281" s="361"/>
      <c r="E281" s="367"/>
      <c r="F281" s="367"/>
      <c r="G281" s="367"/>
      <c r="H281" s="367"/>
      <c r="I281" s="367"/>
      <c r="J281" s="367"/>
      <c r="K281" s="367"/>
      <c r="L281" s="367"/>
      <c r="M281" s="367"/>
      <c r="N281" s="367"/>
      <c r="O281" s="367"/>
      <c r="P281" s="367"/>
      <c r="Q281" s="367"/>
      <c r="R281" s="367"/>
      <c r="S281" s="367"/>
      <c r="T281" s="367"/>
      <c r="U281" s="367"/>
      <c r="V281" s="367"/>
      <c r="W281" s="367"/>
      <c r="X281" s="367"/>
      <c r="Y281" s="367"/>
      <c r="Z281" s="367"/>
      <c r="AA281" s="367"/>
      <c r="AB281" s="367"/>
      <c r="AC281" s="367"/>
      <c r="AD281" s="367"/>
      <c r="AE281" s="367"/>
      <c r="AF281" s="367"/>
    </row>
    <row r="282" ht="15.75" customHeight="1">
      <c r="A282" s="359"/>
      <c r="B282" s="361"/>
      <c r="C282" s="361"/>
      <c r="D282" s="361"/>
      <c r="E282" s="367"/>
      <c r="F282" s="367"/>
      <c r="G282" s="367"/>
      <c r="H282" s="367"/>
      <c r="I282" s="367"/>
      <c r="J282" s="367"/>
      <c r="K282" s="367"/>
      <c r="L282" s="367"/>
      <c r="M282" s="367"/>
      <c r="N282" s="367"/>
      <c r="O282" s="367"/>
      <c r="P282" s="367"/>
      <c r="Q282" s="367"/>
      <c r="R282" s="367"/>
      <c r="S282" s="367"/>
      <c r="T282" s="367"/>
      <c r="U282" s="367"/>
      <c r="V282" s="367"/>
      <c r="W282" s="367"/>
      <c r="X282" s="367"/>
      <c r="Y282" s="367"/>
      <c r="Z282" s="367"/>
      <c r="AA282" s="367"/>
      <c r="AB282" s="367"/>
      <c r="AC282" s="367"/>
      <c r="AD282" s="367"/>
      <c r="AE282" s="367"/>
      <c r="AF282" s="367"/>
    </row>
    <row r="283" ht="15.75" customHeight="1">
      <c r="A283" s="359"/>
      <c r="B283" s="361"/>
      <c r="C283" s="361"/>
      <c r="D283" s="361"/>
      <c r="E283" s="367"/>
      <c r="F283" s="367"/>
      <c r="G283" s="367"/>
      <c r="H283" s="367"/>
      <c r="I283" s="367"/>
      <c r="J283" s="367"/>
      <c r="K283" s="367"/>
      <c r="L283" s="367"/>
      <c r="M283" s="367"/>
      <c r="N283" s="367"/>
      <c r="O283" s="367"/>
      <c r="P283" s="367"/>
      <c r="Q283" s="367"/>
      <c r="R283" s="367"/>
      <c r="S283" s="367"/>
      <c r="T283" s="367"/>
      <c r="U283" s="367"/>
      <c r="V283" s="367"/>
      <c r="W283" s="367"/>
      <c r="X283" s="367"/>
      <c r="Y283" s="367"/>
      <c r="Z283" s="367"/>
      <c r="AA283" s="367"/>
      <c r="AB283" s="367"/>
      <c r="AC283" s="367"/>
      <c r="AD283" s="367"/>
      <c r="AE283" s="367"/>
      <c r="AF283" s="367"/>
    </row>
    <row r="284" ht="15.75" customHeight="1">
      <c r="A284" s="359"/>
      <c r="B284" s="361"/>
      <c r="C284" s="361"/>
      <c r="D284" s="361"/>
      <c r="E284" s="367"/>
      <c r="F284" s="367"/>
      <c r="G284" s="367"/>
      <c r="H284" s="367"/>
      <c r="I284" s="367"/>
      <c r="J284" s="367"/>
      <c r="K284" s="367"/>
      <c r="L284" s="367"/>
      <c r="M284" s="367"/>
      <c r="N284" s="367"/>
      <c r="O284" s="367"/>
      <c r="P284" s="367"/>
      <c r="Q284" s="367"/>
      <c r="R284" s="367"/>
      <c r="S284" s="367"/>
      <c r="T284" s="367"/>
      <c r="U284" s="367"/>
      <c r="V284" s="367"/>
      <c r="W284" s="367"/>
      <c r="X284" s="367"/>
      <c r="Y284" s="367"/>
      <c r="Z284" s="367"/>
      <c r="AA284" s="367"/>
      <c r="AB284" s="367"/>
      <c r="AC284" s="367"/>
      <c r="AD284" s="367"/>
      <c r="AE284" s="367"/>
      <c r="AF284" s="367"/>
    </row>
    <row r="285" ht="15.75" customHeight="1">
      <c r="A285" s="359"/>
      <c r="B285" s="361"/>
      <c r="C285" s="361"/>
      <c r="D285" s="361"/>
      <c r="E285" s="367"/>
      <c r="F285" s="367"/>
      <c r="G285" s="367"/>
      <c r="H285" s="367"/>
      <c r="I285" s="367"/>
      <c r="J285" s="367"/>
      <c r="K285" s="367"/>
      <c r="L285" s="367"/>
      <c r="M285" s="367"/>
      <c r="N285" s="367"/>
      <c r="O285" s="367"/>
      <c r="P285" s="367"/>
      <c r="Q285" s="367"/>
      <c r="R285" s="367"/>
      <c r="S285" s="367"/>
      <c r="T285" s="367"/>
      <c r="U285" s="367"/>
      <c r="V285" s="367"/>
      <c r="W285" s="367"/>
      <c r="X285" s="367"/>
      <c r="Y285" s="367"/>
      <c r="Z285" s="367"/>
      <c r="AA285" s="367"/>
      <c r="AB285" s="367"/>
      <c r="AC285" s="367"/>
      <c r="AD285" s="367"/>
      <c r="AE285" s="367"/>
      <c r="AF285" s="367"/>
    </row>
    <row r="286" ht="15.75" customHeight="1">
      <c r="A286" s="359"/>
      <c r="B286" s="361"/>
      <c r="C286" s="361"/>
      <c r="D286" s="361"/>
      <c r="E286" s="367"/>
      <c r="F286" s="367"/>
      <c r="G286" s="367"/>
      <c r="H286" s="367"/>
      <c r="I286" s="367"/>
      <c r="J286" s="367"/>
      <c r="K286" s="367"/>
      <c r="L286" s="367"/>
      <c r="M286" s="367"/>
      <c r="N286" s="367"/>
      <c r="O286" s="367"/>
      <c r="P286" s="367"/>
      <c r="Q286" s="367"/>
      <c r="R286" s="367"/>
      <c r="S286" s="367"/>
      <c r="T286" s="367"/>
      <c r="U286" s="367"/>
      <c r="V286" s="367"/>
      <c r="W286" s="367"/>
      <c r="X286" s="367"/>
      <c r="Y286" s="367"/>
      <c r="Z286" s="367"/>
      <c r="AA286" s="367"/>
      <c r="AB286" s="367"/>
      <c r="AC286" s="367"/>
      <c r="AD286" s="367"/>
      <c r="AE286" s="367"/>
      <c r="AF286" s="367"/>
    </row>
    <row r="287" ht="15.75" customHeight="1">
      <c r="A287" s="359"/>
      <c r="B287" s="361"/>
      <c r="C287" s="361"/>
      <c r="D287" s="361"/>
      <c r="E287" s="367"/>
      <c r="F287" s="367"/>
      <c r="G287" s="367"/>
      <c r="H287" s="367"/>
      <c r="I287" s="367"/>
      <c r="J287" s="367"/>
      <c r="K287" s="367"/>
      <c r="L287" s="367"/>
      <c r="M287" s="367"/>
      <c r="N287" s="367"/>
      <c r="O287" s="367"/>
      <c r="P287" s="367"/>
      <c r="Q287" s="367"/>
      <c r="R287" s="367"/>
      <c r="S287" s="367"/>
      <c r="T287" s="367"/>
      <c r="U287" s="367"/>
      <c r="V287" s="367"/>
      <c r="W287" s="367"/>
      <c r="X287" s="367"/>
      <c r="Y287" s="367"/>
      <c r="Z287" s="367"/>
      <c r="AA287" s="367"/>
      <c r="AB287" s="367"/>
      <c r="AC287" s="367"/>
      <c r="AD287" s="367"/>
      <c r="AE287" s="367"/>
      <c r="AF287" s="367"/>
    </row>
    <row r="288" ht="15.75" customHeight="1">
      <c r="A288" s="359"/>
      <c r="B288" s="361"/>
      <c r="C288" s="361"/>
      <c r="D288" s="361"/>
      <c r="E288" s="367"/>
      <c r="F288" s="367"/>
      <c r="G288" s="367"/>
      <c r="H288" s="367"/>
      <c r="I288" s="367"/>
      <c r="J288" s="367"/>
      <c r="K288" s="367"/>
      <c r="L288" s="367"/>
      <c r="M288" s="367"/>
      <c r="N288" s="367"/>
      <c r="O288" s="367"/>
      <c r="P288" s="367"/>
      <c r="Q288" s="367"/>
      <c r="R288" s="367"/>
      <c r="S288" s="367"/>
      <c r="T288" s="367"/>
      <c r="U288" s="367"/>
      <c r="V288" s="367"/>
      <c r="W288" s="367"/>
      <c r="X288" s="367"/>
      <c r="Y288" s="367"/>
      <c r="Z288" s="367"/>
      <c r="AA288" s="367"/>
      <c r="AB288" s="367"/>
      <c r="AC288" s="367"/>
      <c r="AD288" s="367"/>
      <c r="AE288" s="367"/>
      <c r="AF288" s="367"/>
    </row>
    <row r="289" ht="15.75" customHeight="1">
      <c r="A289" s="359"/>
      <c r="B289" s="361"/>
      <c r="C289" s="361"/>
      <c r="D289" s="361"/>
      <c r="E289" s="367"/>
      <c r="F289" s="367"/>
      <c r="G289" s="367"/>
      <c r="H289" s="367"/>
      <c r="I289" s="367"/>
      <c r="J289" s="367"/>
      <c r="K289" s="367"/>
      <c r="L289" s="367"/>
      <c r="M289" s="367"/>
      <c r="N289" s="367"/>
      <c r="O289" s="367"/>
      <c r="P289" s="367"/>
      <c r="Q289" s="367"/>
      <c r="R289" s="367"/>
      <c r="S289" s="367"/>
      <c r="T289" s="367"/>
      <c r="U289" s="367"/>
      <c r="V289" s="367"/>
      <c r="W289" s="367"/>
      <c r="X289" s="367"/>
      <c r="Y289" s="367"/>
      <c r="Z289" s="367"/>
      <c r="AA289" s="367"/>
      <c r="AB289" s="367"/>
      <c r="AC289" s="367"/>
      <c r="AD289" s="367"/>
      <c r="AE289" s="367"/>
      <c r="AF289" s="367"/>
    </row>
    <row r="290" ht="15.75" customHeight="1">
      <c r="A290" s="359"/>
      <c r="B290" s="361"/>
      <c r="C290" s="361"/>
      <c r="D290" s="361"/>
      <c r="E290" s="367"/>
      <c r="F290" s="367"/>
      <c r="G290" s="367"/>
      <c r="H290" s="367"/>
      <c r="I290" s="367"/>
      <c r="J290" s="367"/>
      <c r="K290" s="367"/>
      <c r="L290" s="367"/>
      <c r="M290" s="367"/>
      <c r="N290" s="367"/>
      <c r="O290" s="367"/>
      <c r="P290" s="367"/>
      <c r="Q290" s="367"/>
      <c r="R290" s="367"/>
      <c r="S290" s="367"/>
      <c r="T290" s="367"/>
      <c r="U290" s="367"/>
      <c r="V290" s="367"/>
      <c r="W290" s="367"/>
      <c r="X290" s="367"/>
      <c r="Y290" s="367"/>
      <c r="Z290" s="367"/>
      <c r="AA290" s="367"/>
      <c r="AB290" s="367"/>
      <c r="AC290" s="367"/>
      <c r="AD290" s="367"/>
      <c r="AE290" s="367"/>
      <c r="AF290" s="367"/>
    </row>
    <row r="291" ht="15.75" customHeight="1">
      <c r="A291" s="359"/>
      <c r="B291" s="361"/>
      <c r="C291" s="361"/>
      <c r="D291" s="361"/>
      <c r="E291" s="367"/>
      <c r="F291" s="367"/>
      <c r="G291" s="367"/>
      <c r="H291" s="367"/>
      <c r="I291" s="367"/>
      <c r="J291" s="367"/>
      <c r="K291" s="367"/>
      <c r="L291" s="367"/>
      <c r="M291" s="367"/>
      <c r="N291" s="367"/>
      <c r="O291" s="367"/>
      <c r="P291" s="367"/>
      <c r="Q291" s="367"/>
      <c r="R291" s="367"/>
      <c r="S291" s="367"/>
      <c r="T291" s="367"/>
      <c r="U291" s="367"/>
      <c r="V291" s="367"/>
      <c r="W291" s="367"/>
      <c r="X291" s="367"/>
      <c r="Y291" s="367"/>
      <c r="Z291" s="367"/>
      <c r="AA291" s="367"/>
      <c r="AB291" s="367"/>
      <c r="AC291" s="367"/>
      <c r="AD291" s="367"/>
      <c r="AE291" s="367"/>
      <c r="AF291" s="367"/>
    </row>
    <row r="292" ht="15.75" customHeight="1">
      <c r="A292" s="359"/>
      <c r="B292" s="361"/>
      <c r="C292" s="361"/>
      <c r="D292" s="361"/>
      <c r="E292" s="367"/>
      <c r="F292" s="367"/>
      <c r="G292" s="367"/>
      <c r="H292" s="367"/>
      <c r="I292" s="367"/>
      <c r="J292" s="367"/>
      <c r="K292" s="367"/>
      <c r="L292" s="367"/>
      <c r="M292" s="367"/>
      <c r="N292" s="367"/>
      <c r="O292" s="367"/>
      <c r="P292" s="367"/>
      <c r="Q292" s="367"/>
      <c r="R292" s="367"/>
      <c r="S292" s="367"/>
      <c r="T292" s="367"/>
      <c r="U292" s="367"/>
      <c r="V292" s="367"/>
      <c r="W292" s="367"/>
      <c r="X292" s="367"/>
      <c r="Y292" s="367"/>
      <c r="Z292" s="367"/>
      <c r="AA292" s="367"/>
      <c r="AB292" s="367"/>
      <c r="AC292" s="367"/>
      <c r="AD292" s="367"/>
      <c r="AE292" s="367"/>
      <c r="AF292" s="367"/>
    </row>
    <row r="293" ht="15.75" customHeight="1">
      <c r="A293" s="359"/>
      <c r="B293" s="361"/>
      <c r="C293" s="361"/>
      <c r="D293" s="361"/>
      <c r="E293" s="367"/>
      <c r="F293" s="367"/>
      <c r="G293" s="367"/>
      <c r="H293" s="367"/>
      <c r="I293" s="367"/>
      <c r="J293" s="367"/>
      <c r="K293" s="367"/>
      <c r="L293" s="367"/>
      <c r="M293" s="367"/>
      <c r="N293" s="367"/>
      <c r="O293" s="367"/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</row>
    <row r="294" ht="15.75" customHeight="1">
      <c r="A294" s="359"/>
      <c r="B294" s="361"/>
      <c r="C294" s="361"/>
      <c r="D294" s="361"/>
      <c r="E294" s="367"/>
      <c r="F294" s="367"/>
      <c r="G294" s="367"/>
      <c r="H294" s="367"/>
      <c r="I294" s="367"/>
      <c r="J294" s="367"/>
      <c r="K294" s="367"/>
      <c r="L294" s="367"/>
      <c r="M294" s="367"/>
      <c r="N294" s="367"/>
      <c r="O294" s="367"/>
      <c r="P294" s="367"/>
      <c r="Q294" s="367"/>
      <c r="R294" s="367"/>
      <c r="S294" s="367"/>
      <c r="T294" s="367"/>
      <c r="U294" s="367"/>
      <c r="V294" s="367"/>
      <c r="W294" s="367"/>
      <c r="X294" s="367"/>
      <c r="Y294" s="367"/>
      <c r="Z294" s="367"/>
      <c r="AA294" s="367"/>
      <c r="AB294" s="367"/>
      <c r="AC294" s="367"/>
      <c r="AD294" s="367"/>
      <c r="AE294" s="367"/>
      <c r="AF294" s="367"/>
    </row>
    <row r="295" ht="15.75" customHeight="1">
      <c r="A295" s="359"/>
      <c r="B295" s="361"/>
      <c r="C295" s="361"/>
      <c r="D295" s="361"/>
      <c r="E295" s="367"/>
      <c r="F295" s="367"/>
      <c r="G295" s="367"/>
      <c r="H295" s="367"/>
      <c r="I295" s="367"/>
      <c r="J295" s="367"/>
      <c r="K295" s="367"/>
      <c r="L295" s="367"/>
      <c r="M295" s="367"/>
      <c r="N295" s="367"/>
      <c r="O295" s="367"/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  <c r="Z295" s="367"/>
      <c r="AA295" s="367"/>
      <c r="AB295" s="367"/>
      <c r="AC295" s="367"/>
      <c r="AD295" s="367"/>
      <c r="AE295" s="367"/>
      <c r="AF295" s="367"/>
    </row>
    <row r="296" ht="15.75" customHeight="1">
      <c r="A296" s="359"/>
      <c r="B296" s="361"/>
      <c r="C296" s="361"/>
      <c r="D296" s="361"/>
      <c r="E296" s="367"/>
      <c r="F296" s="367"/>
      <c r="G296" s="367"/>
      <c r="H296" s="367"/>
      <c r="I296" s="367"/>
      <c r="J296" s="367"/>
      <c r="K296" s="367"/>
      <c r="L296" s="367"/>
      <c r="M296" s="367"/>
      <c r="N296" s="367"/>
      <c r="O296" s="367"/>
      <c r="P296" s="367"/>
      <c r="Q296" s="367"/>
      <c r="R296" s="367"/>
      <c r="S296" s="367"/>
      <c r="T296" s="367"/>
      <c r="U296" s="367"/>
      <c r="V296" s="367"/>
      <c r="W296" s="367"/>
      <c r="X296" s="367"/>
      <c r="Y296" s="367"/>
      <c r="Z296" s="367"/>
      <c r="AA296" s="367"/>
      <c r="AB296" s="367"/>
      <c r="AC296" s="367"/>
      <c r="AD296" s="367"/>
      <c r="AE296" s="367"/>
      <c r="AF296" s="367"/>
    </row>
    <row r="297" ht="15.75" customHeight="1">
      <c r="A297" s="359"/>
      <c r="B297" s="361"/>
      <c r="C297" s="361"/>
      <c r="D297" s="361"/>
      <c r="E297" s="367"/>
      <c r="F297" s="367"/>
      <c r="G297" s="367"/>
      <c r="H297" s="367"/>
      <c r="I297" s="367"/>
      <c r="J297" s="367"/>
      <c r="K297" s="367"/>
      <c r="L297" s="367"/>
      <c r="M297" s="367"/>
      <c r="N297" s="367"/>
      <c r="O297" s="367"/>
      <c r="P297" s="367"/>
      <c r="Q297" s="367"/>
      <c r="R297" s="367"/>
      <c r="S297" s="367"/>
      <c r="T297" s="367"/>
      <c r="U297" s="367"/>
      <c r="V297" s="367"/>
      <c r="W297" s="367"/>
      <c r="X297" s="367"/>
      <c r="Y297" s="367"/>
      <c r="Z297" s="367"/>
      <c r="AA297" s="367"/>
      <c r="AB297" s="367"/>
      <c r="AC297" s="367"/>
      <c r="AD297" s="367"/>
      <c r="AE297" s="367"/>
      <c r="AF297" s="367"/>
    </row>
    <row r="298" ht="15.75" customHeight="1">
      <c r="A298" s="359"/>
      <c r="B298" s="361"/>
      <c r="C298" s="361"/>
      <c r="D298" s="361"/>
      <c r="E298" s="367"/>
      <c r="F298" s="367"/>
      <c r="G298" s="367"/>
      <c r="H298" s="367"/>
      <c r="I298" s="367"/>
      <c r="J298" s="367"/>
      <c r="K298" s="367"/>
      <c r="L298" s="367"/>
      <c r="M298" s="367"/>
      <c r="N298" s="367"/>
      <c r="O298" s="367"/>
      <c r="P298" s="367"/>
      <c r="Q298" s="367"/>
      <c r="R298" s="367"/>
      <c r="S298" s="367"/>
      <c r="T298" s="367"/>
      <c r="U298" s="367"/>
      <c r="V298" s="367"/>
      <c r="W298" s="367"/>
      <c r="X298" s="367"/>
      <c r="Y298" s="367"/>
      <c r="Z298" s="367"/>
      <c r="AA298" s="367"/>
      <c r="AB298" s="367"/>
      <c r="AC298" s="367"/>
      <c r="AD298" s="367"/>
      <c r="AE298" s="367"/>
      <c r="AF298" s="367"/>
    </row>
    <row r="299" ht="15.75" customHeight="1">
      <c r="A299" s="359"/>
      <c r="B299" s="361"/>
      <c r="C299" s="361"/>
      <c r="D299" s="361"/>
      <c r="E299" s="367"/>
      <c r="F299" s="367"/>
      <c r="G299" s="367"/>
      <c r="H299" s="367"/>
      <c r="I299" s="367"/>
      <c r="J299" s="367"/>
      <c r="K299" s="367"/>
      <c r="L299" s="367"/>
      <c r="M299" s="367"/>
      <c r="N299" s="367"/>
      <c r="O299" s="367"/>
      <c r="P299" s="367"/>
      <c r="Q299" s="367"/>
      <c r="R299" s="367"/>
      <c r="S299" s="367"/>
      <c r="T299" s="367"/>
      <c r="U299" s="367"/>
      <c r="V299" s="367"/>
      <c r="W299" s="367"/>
      <c r="X299" s="367"/>
      <c r="Y299" s="367"/>
      <c r="Z299" s="367"/>
      <c r="AA299" s="367"/>
      <c r="AB299" s="367"/>
      <c r="AC299" s="367"/>
      <c r="AD299" s="367"/>
      <c r="AE299" s="367"/>
      <c r="AF299" s="367"/>
    </row>
    <row r="300" ht="15.75" customHeight="1">
      <c r="A300" s="359"/>
      <c r="B300" s="361"/>
      <c r="C300" s="361"/>
      <c r="D300" s="361"/>
      <c r="E300" s="367"/>
      <c r="F300" s="367"/>
      <c r="G300" s="367"/>
      <c r="H300" s="367"/>
      <c r="I300" s="367"/>
      <c r="J300" s="367"/>
      <c r="K300" s="367"/>
      <c r="L300" s="367"/>
      <c r="M300" s="367"/>
      <c r="N300" s="367"/>
      <c r="O300" s="367"/>
      <c r="P300" s="367"/>
      <c r="Q300" s="367"/>
      <c r="R300" s="367"/>
      <c r="S300" s="367"/>
      <c r="T300" s="367"/>
      <c r="U300" s="367"/>
      <c r="V300" s="367"/>
      <c r="W300" s="367"/>
      <c r="X300" s="367"/>
      <c r="Y300" s="367"/>
      <c r="Z300" s="367"/>
      <c r="AA300" s="367"/>
      <c r="AB300" s="367"/>
      <c r="AC300" s="367"/>
      <c r="AD300" s="367"/>
      <c r="AE300" s="367"/>
      <c r="AF300" s="367"/>
    </row>
    <row r="301" ht="15.75" customHeight="1">
      <c r="A301" s="359"/>
      <c r="B301" s="361"/>
      <c r="C301" s="361"/>
      <c r="D301" s="361"/>
      <c r="E301" s="367"/>
      <c r="F301" s="367"/>
      <c r="G301" s="367"/>
      <c r="H301" s="367"/>
      <c r="I301" s="367"/>
      <c r="J301" s="367"/>
      <c r="K301" s="367"/>
      <c r="L301" s="367"/>
      <c r="M301" s="367"/>
      <c r="N301" s="367"/>
      <c r="O301" s="367"/>
      <c r="P301" s="367"/>
      <c r="Q301" s="367"/>
      <c r="R301" s="367"/>
      <c r="S301" s="367"/>
      <c r="T301" s="367"/>
      <c r="U301" s="367"/>
      <c r="V301" s="367"/>
      <c r="W301" s="367"/>
      <c r="X301" s="367"/>
      <c r="Y301" s="367"/>
      <c r="Z301" s="367"/>
      <c r="AA301" s="367"/>
      <c r="AB301" s="367"/>
      <c r="AC301" s="367"/>
      <c r="AD301" s="367"/>
      <c r="AE301" s="367"/>
      <c r="AF301" s="367"/>
    </row>
    <row r="302" ht="15.75" customHeight="1">
      <c r="A302" s="359"/>
      <c r="B302" s="361"/>
      <c r="C302" s="361"/>
      <c r="D302" s="361"/>
      <c r="E302" s="367"/>
      <c r="F302" s="367"/>
      <c r="G302" s="367"/>
      <c r="H302" s="367"/>
      <c r="I302" s="367"/>
      <c r="J302" s="367"/>
      <c r="K302" s="367"/>
      <c r="L302" s="367"/>
      <c r="M302" s="367"/>
      <c r="N302" s="367"/>
      <c r="O302" s="367"/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  <c r="Z302" s="367"/>
      <c r="AA302" s="367"/>
      <c r="AB302" s="367"/>
      <c r="AC302" s="367"/>
      <c r="AD302" s="367"/>
      <c r="AE302" s="367"/>
      <c r="AF302" s="367"/>
    </row>
    <row r="303" ht="15.75" customHeight="1">
      <c r="A303" s="359"/>
      <c r="B303" s="361"/>
      <c r="C303" s="361"/>
      <c r="D303" s="361"/>
      <c r="E303" s="367"/>
      <c r="F303" s="367"/>
      <c r="G303" s="367"/>
      <c r="H303" s="367"/>
      <c r="I303" s="367"/>
      <c r="J303" s="367"/>
      <c r="K303" s="367"/>
      <c r="L303" s="367"/>
      <c r="M303" s="367"/>
      <c r="N303" s="367"/>
      <c r="O303" s="367"/>
      <c r="P303" s="367"/>
      <c r="Q303" s="367"/>
      <c r="R303" s="367"/>
      <c r="S303" s="367"/>
      <c r="T303" s="367"/>
      <c r="U303" s="367"/>
      <c r="V303" s="367"/>
      <c r="W303" s="367"/>
      <c r="X303" s="367"/>
      <c r="Y303" s="367"/>
      <c r="Z303" s="367"/>
      <c r="AA303" s="367"/>
      <c r="AB303" s="367"/>
      <c r="AC303" s="367"/>
      <c r="AD303" s="367"/>
      <c r="AE303" s="367"/>
      <c r="AF303" s="367"/>
    </row>
    <row r="304" ht="15.75" customHeight="1">
      <c r="A304" s="359"/>
      <c r="B304" s="361"/>
      <c r="C304" s="361"/>
      <c r="D304" s="361"/>
      <c r="E304" s="367"/>
      <c r="F304" s="367"/>
      <c r="G304" s="367"/>
      <c r="H304" s="367"/>
      <c r="I304" s="367"/>
      <c r="J304" s="367"/>
      <c r="K304" s="367"/>
      <c r="L304" s="367"/>
      <c r="M304" s="367"/>
      <c r="N304" s="367"/>
      <c r="O304" s="367"/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</row>
    <row r="305" ht="15.75" customHeight="1">
      <c r="A305" s="359"/>
      <c r="B305" s="361"/>
      <c r="C305" s="361"/>
      <c r="D305" s="361"/>
      <c r="E305" s="367"/>
      <c r="F305" s="367"/>
      <c r="G305" s="367"/>
      <c r="H305" s="367"/>
      <c r="I305" s="367"/>
      <c r="J305" s="367"/>
      <c r="K305" s="367"/>
      <c r="L305" s="367"/>
      <c r="M305" s="367"/>
      <c r="N305" s="367"/>
      <c r="O305" s="367"/>
      <c r="P305" s="367"/>
      <c r="Q305" s="367"/>
      <c r="R305" s="367"/>
      <c r="S305" s="367"/>
      <c r="T305" s="367"/>
      <c r="U305" s="367"/>
      <c r="V305" s="367"/>
      <c r="W305" s="367"/>
      <c r="X305" s="367"/>
      <c r="Y305" s="367"/>
      <c r="Z305" s="367"/>
      <c r="AA305" s="367"/>
      <c r="AB305" s="367"/>
      <c r="AC305" s="367"/>
      <c r="AD305" s="367"/>
      <c r="AE305" s="367"/>
      <c r="AF305" s="367"/>
    </row>
    <row r="306" ht="15.75" customHeight="1">
      <c r="A306" s="359"/>
      <c r="B306" s="361"/>
      <c r="C306" s="361"/>
      <c r="D306" s="361"/>
      <c r="E306" s="367"/>
      <c r="F306" s="367"/>
      <c r="G306" s="367"/>
      <c r="H306" s="367"/>
      <c r="I306" s="367"/>
      <c r="J306" s="367"/>
      <c r="K306" s="367"/>
      <c r="L306" s="367"/>
      <c r="M306" s="367"/>
      <c r="N306" s="367"/>
      <c r="O306" s="367"/>
      <c r="P306" s="367"/>
      <c r="Q306" s="367"/>
      <c r="R306" s="367"/>
      <c r="S306" s="367"/>
      <c r="T306" s="367"/>
      <c r="U306" s="367"/>
      <c r="V306" s="367"/>
      <c r="W306" s="367"/>
      <c r="X306" s="367"/>
      <c r="Y306" s="367"/>
      <c r="Z306" s="367"/>
      <c r="AA306" s="367"/>
      <c r="AB306" s="367"/>
      <c r="AC306" s="367"/>
      <c r="AD306" s="367"/>
      <c r="AE306" s="367"/>
      <c r="AF306" s="367"/>
    </row>
    <row r="307" ht="15.75" customHeight="1">
      <c r="A307" s="359"/>
      <c r="B307" s="361"/>
      <c r="C307" s="361"/>
      <c r="D307" s="361"/>
      <c r="E307" s="367"/>
      <c r="F307" s="367"/>
      <c r="G307" s="367"/>
      <c r="H307" s="367"/>
      <c r="I307" s="367"/>
      <c r="J307" s="367"/>
      <c r="K307" s="367"/>
      <c r="L307" s="367"/>
      <c r="M307" s="367"/>
      <c r="N307" s="367"/>
      <c r="O307" s="367"/>
      <c r="P307" s="367"/>
      <c r="Q307" s="367"/>
      <c r="R307" s="367"/>
      <c r="S307" s="367"/>
      <c r="T307" s="367"/>
      <c r="U307" s="367"/>
      <c r="V307" s="367"/>
      <c r="W307" s="367"/>
      <c r="X307" s="367"/>
      <c r="Y307" s="367"/>
      <c r="Z307" s="367"/>
      <c r="AA307" s="367"/>
      <c r="AB307" s="367"/>
      <c r="AC307" s="367"/>
      <c r="AD307" s="367"/>
      <c r="AE307" s="367"/>
      <c r="AF307" s="367"/>
    </row>
    <row r="308" ht="15.75" customHeight="1">
      <c r="A308" s="359"/>
      <c r="B308" s="361"/>
      <c r="C308" s="361"/>
      <c r="D308" s="361"/>
      <c r="E308" s="367"/>
      <c r="F308" s="367"/>
      <c r="G308" s="367"/>
      <c r="H308" s="367"/>
      <c r="I308" s="367"/>
      <c r="J308" s="367"/>
      <c r="K308" s="367"/>
      <c r="L308" s="367"/>
      <c r="M308" s="367"/>
      <c r="N308" s="367"/>
      <c r="O308" s="367"/>
      <c r="P308" s="367"/>
      <c r="Q308" s="367"/>
      <c r="R308" s="367"/>
      <c r="S308" s="367"/>
      <c r="T308" s="367"/>
      <c r="U308" s="367"/>
      <c r="V308" s="367"/>
      <c r="W308" s="367"/>
      <c r="X308" s="367"/>
      <c r="Y308" s="367"/>
      <c r="Z308" s="367"/>
      <c r="AA308" s="367"/>
      <c r="AB308" s="367"/>
      <c r="AC308" s="367"/>
      <c r="AD308" s="367"/>
      <c r="AE308" s="367"/>
      <c r="AF308" s="367"/>
    </row>
    <row r="309" ht="15.75" customHeight="1">
      <c r="A309" s="359"/>
      <c r="B309" s="361"/>
      <c r="C309" s="361"/>
      <c r="D309" s="361"/>
      <c r="E309" s="367"/>
      <c r="F309" s="367"/>
      <c r="G309" s="367"/>
      <c r="H309" s="367"/>
      <c r="I309" s="367"/>
      <c r="J309" s="367"/>
      <c r="K309" s="367"/>
      <c r="L309" s="367"/>
      <c r="M309" s="367"/>
      <c r="N309" s="367"/>
      <c r="O309" s="367"/>
      <c r="P309" s="367"/>
      <c r="Q309" s="367"/>
      <c r="R309" s="367"/>
      <c r="S309" s="367"/>
      <c r="T309" s="367"/>
      <c r="U309" s="367"/>
      <c r="V309" s="367"/>
      <c r="W309" s="367"/>
      <c r="X309" s="367"/>
      <c r="Y309" s="367"/>
      <c r="Z309" s="367"/>
      <c r="AA309" s="367"/>
      <c r="AB309" s="367"/>
      <c r="AC309" s="367"/>
      <c r="AD309" s="367"/>
      <c r="AE309" s="367"/>
      <c r="AF309" s="367"/>
    </row>
    <row r="310" ht="15.75" customHeight="1">
      <c r="A310" s="359"/>
      <c r="B310" s="361"/>
      <c r="C310" s="361"/>
      <c r="D310" s="361"/>
      <c r="E310" s="367"/>
      <c r="F310" s="367"/>
      <c r="G310" s="367"/>
      <c r="H310" s="367"/>
      <c r="I310" s="367"/>
      <c r="J310" s="367"/>
      <c r="K310" s="367"/>
      <c r="L310" s="367"/>
      <c r="M310" s="367"/>
      <c r="N310" s="367"/>
      <c r="O310" s="367"/>
      <c r="P310" s="367"/>
      <c r="Q310" s="367"/>
      <c r="R310" s="367"/>
      <c r="S310" s="367"/>
      <c r="T310" s="367"/>
      <c r="U310" s="367"/>
      <c r="V310" s="367"/>
      <c r="W310" s="367"/>
      <c r="X310" s="367"/>
      <c r="Y310" s="367"/>
      <c r="Z310" s="367"/>
      <c r="AA310" s="367"/>
      <c r="AB310" s="367"/>
      <c r="AC310" s="367"/>
      <c r="AD310" s="367"/>
      <c r="AE310" s="367"/>
      <c r="AF310" s="367"/>
    </row>
    <row r="311" ht="15.75" customHeight="1">
      <c r="A311" s="359"/>
      <c r="B311" s="361"/>
      <c r="C311" s="361"/>
      <c r="D311" s="361"/>
      <c r="E311" s="367"/>
      <c r="F311" s="367"/>
      <c r="G311" s="367"/>
      <c r="H311" s="367"/>
      <c r="I311" s="367"/>
      <c r="J311" s="367"/>
      <c r="K311" s="367"/>
      <c r="L311" s="367"/>
      <c r="M311" s="367"/>
      <c r="N311" s="367"/>
      <c r="O311" s="367"/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</row>
    <row r="312" ht="15.75" customHeight="1">
      <c r="A312" s="359"/>
      <c r="B312" s="361"/>
      <c r="C312" s="361"/>
      <c r="D312" s="361"/>
      <c r="E312" s="367"/>
      <c r="F312" s="367"/>
      <c r="G312" s="367"/>
      <c r="H312" s="367"/>
      <c r="I312" s="367"/>
      <c r="J312" s="367"/>
      <c r="K312" s="367"/>
      <c r="L312" s="367"/>
      <c r="M312" s="367"/>
      <c r="N312" s="367"/>
      <c r="O312" s="367"/>
      <c r="P312" s="367"/>
      <c r="Q312" s="367"/>
      <c r="R312" s="367"/>
      <c r="S312" s="367"/>
      <c r="T312" s="367"/>
      <c r="U312" s="367"/>
      <c r="V312" s="367"/>
      <c r="W312" s="367"/>
      <c r="X312" s="367"/>
      <c r="Y312" s="367"/>
      <c r="Z312" s="367"/>
      <c r="AA312" s="367"/>
      <c r="AB312" s="367"/>
      <c r="AC312" s="367"/>
      <c r="AD312" s="367"/>
      <c r="AE312" s="367"/>
      <c r="AF312" s="367"/>
    </row>
    <row r="313" ht="15.75" customHeight="1">
      <c r="A313" s="359"/>
      <c r="B313" s="361"/>
      <c r="C313" s="361"/>
      <c r="D313" s="361"/>
      <c r="E313" s="367"/>
      <c r="F313" s="367"/>
      <c r="G313" s="367"/>
      <c r="H313" s="367"/>
      <c r="I313" s="367"/>
      <c r="J313" s="367"/>
      <c r="K313" s="367"/>
      <c r="L313" s="367"/>
      <c r="M313" s="367"/>
      <c r="N313" s="367"/>
      <c r="O313" s="367"/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</row>
    <row r="314" ht="15.75" customHeight="1">
      <c r="A314" s="359"/>
      <c r="B314" s="361"/>
      <c r="C314" s="361"/>
      <c r="D314" s="361"/>
      <c r="E314" s="367"/>
      <c r="F314" s="367"/>
      <c r="G314" s="367"/>
      <c r="H314" s="367"/>
      <c r="I314" s="367"/>
      <c r="J314" s="367"/>
      <c r="K314" s="367"/>
      <c r="L314" s="367"/>
      <c r="M314" s="367"/>
      <c r="N314" s="367"/>
      <c r="O314" s="367"/>
      <c r="P314" s="367"/>
      <c r="Q314" s="367"/>
      <c r="R314" s="367"/>
      <c r="S314" s="367"/>
      <c r="T314" s="367"/>
      <c r="U314" s="367"/>
      <c r="V314" s="367"/>
      <c r="W314" s="367"/>
      <c r="X314" s="367"/>
      <c r="Y314" s="367"/>
      <c r="Z314" s="367"/>
      <c r="AA314" s="367"/>
      <c r="AB314" s="367"/>
      <c r="AC314" s="367"/>
      <c r="AD314" s="367"/>
      <c r="AE314" s="367"/>
      <c r="AF314" s="367"/>
    </row>
    <row r="315" ht="15.75" customHeight="1">
      <c r="A315" s="359"/>
      <c r="B315" s="361"/>
      <c r="C315" s="361"/>
      <c r="D315" s="361"/>
      <c r="E315" s="367"/>
      <c r="F315" s="367"/>
      <c r="G315" s="367"/>
      <c r="H315" s="367"/>
      <c r="I315" s="367"/>
      <c r="J315" s="367"/>
      <c r="K315" s="367"/>
      <c r="L315" s="367"/>
      <c r="M315" s="367"/>
      <c r="N315" s="367"/>
      <c r="O315" s="367"/>
      <c r="P315" s="367"/>
      <c r="Q315" s="367"/>
      <c r="R315" s="367"/>
      <c r="S315" s="367"/>
      <c r="T315" s="367"/>
      <c r="U315" s="367"/>
      <c r="V315" s="367"/>
      <c r="W315" s="367"/>
      <c r="X315" s="367"/>
      <c r="Y315" s="367"/>
      <c r="Z315" s="367"/>
      <c r="AA315" s="367"/>
      <c r="AB315" s="367"/>
      <c r="AC315" s="367"/>
      <c r="AD315" s="367"/>
      <c r="AE315" s="367"/>
      <c r="AF315" s="367"/>
    </row>
    <row r="316" ht="15.75" customHeight="1">
      <c r="A316" s="359"/>
      <c r="B316" s="361"/>
      <c r="C316" s="361"/>
      <c r="D316" s="361"/>
      <c r="E316" s="367"/>
      <c r="F316" s="367"/>
      <c r="G316" s="367"/>
      <c r="H316" s="367"/>
      <c r="I316" s="367"/>
      <c r="J316" s="367"/>
      <c r="K316" s="367"/>
      <c r="L316" s="367"/>
      <c r="M316" s="367"/>
      <c r="N316" s="367"/>
      <c r="O316" s="367"/>
      <c r="P316" s="367"/>
      <c r="Q316" s="367"/>
      <c r="R316" s="367"/>
      <c r="S316" s="367"/>
      <c r="T316" s="367"/>
      <c r="U316" s="367"/>
      <c r="V316" s="367"/>
      <c r="W316" s="367"/>
      <c r="X316" s="367"/>
      <c r="Y316" s="367"/>
      <c r="Z316" s="367"/>
      <c r="AA316" s="367"/>
      <c r="AB316" s="367"/>
      <c r="AC316" s="367"/>
      <c r="AD316" s="367"/>
      <c r="AE316" s="367"/>
      <c r="AF316" s="367"/>
    </row>
    <row r="317" ht="15.75" customHeight="1">
      <c r="A317" s="359"/>
      <c r="B317" s="361"/>
      <c r="C317" s="361"/>
      <c r="D317" s="361"/>
      <c r="E317" s="367"/>
      <c r="F317" s="367"/>
      <c r="G317" s="367"/>
      <c r="H317" s="367"/>
      <c r="I317" s="367"/>
      <c r="J317" s="367"/>
      <c r="K317" s="367"/>
      <c r="L317" s="367"/>
      <c r="M317" s="367"/>
      <c r="N317" s="367"/>
      <c r="O317" s="367"/>
      <c r="P317" s="367"/>
      <c r="Q317" s="367"/>
      <c r="R317" s="367"/>
      <c r="S317" s="367"/>
      <c r="T317" s="367"/>
      <c r="U317" s="367"/>
      <c r="V317" s="367"/>
      <c r="W317" s="367"/>
      <c r="X317" s="367"/>
      <c r="Y317" s="367"/>
      <c r="Z317" s="367"/>
      <c r="AA317" s="367"/>
      <c r="AB317" s="367"/>
      <c r="AC317" s="367"/>
      <c r="AD317" s="367"/>
      <c r="AE317" s="367"/>
      <c r="AF317" s="367"/>
    </row>
    <row r="318" ht="15.75" customHeight="1">
      <c r="A318" s="359"/>
      <c r="B318" s="361"/>
      <c r="C318" s="361"/>
      <c r="D318" s="361"/>
      <c r="E318" s="367"/>
      <c r="F318" s="367"/>
      <c r="G318" s="367"/>
      <c r="H318" s="367"/>
      <c r="I318" s="367"/>
      <c r="J318" s="367"/>
      <c r="K318" s="367"/>
      <c r="L318" s="367"/>
      <c r="M318" s="367"/>
      <c r="N318" s="367"/>
      <c r="O318" s="367"/>
      <c r="P318" s="367"/>
      <c r="Q318" s="367"/>
      <c r="R318" s="367"/>
      <c r="S318" s="367"/>
      <c r="T318" s="367"/>
      <c r="U318" s="367"/>
      <c r="V318" s="367"/>
      <c r="W318" s="367"/>
      <c r="X318" s="367"/>
      <c r="Y318" s="367"/>
      <c r="Z318" s="367"/>
      <c r="AA318" s="367"/>
      <c r="AB318" s="367"/>
      <c r="AC318" s="367"/>
      <c r="AD318" s="367"/>
      <c r="AE318" s="367"/>
      <c r="AF318" s="367"/>
    </row>
    <row r="319" ht="15.75" customHeight="1">
      <c r="A319" s="359"/>
      <c r="B319" s="361"/>
      <c r="C319" s="361"/>
      <c r="D319" s="361"/>
      <c r="E319" s="367"/>
      <c r="F319" s="367"/>
      <c r="G319" s="367"/>
      <c r="H319" s="367"/>
      <c r="I319" s="367"/>
      <c r="J319" s="367"/>
      <c r="K319" s="367"/>
      <c r="L319" s="367"/>
      <c r="M319" s="367"/>
      <c r="N319" s="367"/>
      <c r="O319" s="367"/>
      <c r="P319" s="367"/>
      <c r="Q319" s="367"/>
      <c r="R319" s="367"/>
      <c r="S319" s="367"/>
      <c r="T319" s="367"/>
      <c r="U319" s="367"/>
      <c r="V319" s="367"/>
      <c r="W319" s="367"/>
      <c r="X319" s="367"/>
      <c r="Y319" s="367"/>
      <c r="Z319" s="367"/>
      <c r="AA319" s="367"/>
      <c r="AB319" s="367"/>
      <c r="AC319" s="367"/>
      <c r="AD319" s="367"/>
      <c r="AE319" s="367"/>
      <c r="AF319" s="367"/>
    </row>
    <row r="320" ht="15.75" customHeight="1">
      <c r="A320" s="359"/>
      <c r="B320" s="361"/>
      <c r="C320" s="361"/>
      <c r="D320" s="361"/>
      <c r="E320" s="367"/>
      <c r="F320" s="367"/>
      <c r="G320" s="367"/>
      <c r="H320" s="367"/>
      <c r="I320" s="367"/>
      <c r="J320" s="367"/>
      <c r="K320" s="367"/>
      <c r="L320" s="367"/>
      <c r="M320" s="367"/>
      <c r="N320" s="367"/>
      <c r="O320" s="367"/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  <c r="Z320" s="367"/>
      <c r="AA320" s="367"/>
      <c r="AB320" s="367"/>
      <c r="AC320" s="367"/>
      <c r="AD320" s="367"/>
      <c r="AE320" s="367"/>
      <c r="AF320" s="367"/>
    </row>
    <row r="321" ht="15.75" customHeight="1">
      <c r="A321" s="359"/>
      <c r="B321" s="361"/>
      <c r="C321" s="361"/>
      <c r="D321" s="361"/>
      <c r="E321" s="367"/>
      <c r="F321" s="367"/>
      <c r="G321" s="367"/>
      <c r="H321" s="367"/>
      <c r="I321" s="367"/>
      <c r="J321" s="367"/>
      <c r="K321" s="367"/>
      <c r="L321" s="367"/>
      <c r="M321" s="367"/>
      <c r="N321" s="367"/>
      <c r="O321" s="367"/>
      <c r="P321" s="367"/>
      <c r="Q321" s="367"/>
      <c r="R321" s="367"/>
      <c r="S321" s="367"/>
      <c r="T321" s="367"/>
      <c r="U321" s="367"/>
      <c r="V321" s="367"/>
      <c r="W321" s="367"/>
      <c r="X321" s="367"/>
      <c r="Y321" s="367"/>
      <c r="Z321" s="367"/>
      <c r="AA321" s="367"/>
      <c r="AB321" s="367"/>
      <c r="AC321" s="367"/>
      <c r="AD321" s="367"/>
      <c r="AE321" s="367"/>
      <c r="AF321" s="367"/>
    </row>
    <row r="322" ht="15.75" customHeight="1">
      <c r="A322" s="359"/>
      <c r="B322" s="361"/>
      <c r="C322" s="361"/>
      <c r="D322" s="361"/>
      <c r="E322" s="367"/>
      <c r="F322" s="367"/>
      <c r="G322" s="367"/>
      <c r="H322" s="367"/>
      <c r="I322" s="367"/>
      <c r="J322" s="367"/>
      <c r="K322" s="367"/>
      <c r="L322" s="367"/>
      <c r="M322" s="367"/>
      <c r="N322" s="367"/>
      <c r="O322" s="367"/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</row>
    <row r="323" ht="15.75" customHeight="1">
      <c r="A323" s="359"/>
      <c r="B323" s="361"/>
      <c r="C323" s="361"/>
      <c r="D323" s="361"/>
      <c r="E323" s="367"/>
      <c r="F323" s="367"/>
      <c r="G323" s="367"/>
      <c r="H323" s="367"/>
      <c r="I323" s="367"/>
      <c r="J323" s="367"/>
      <c r="K323" s="367"/>
      <c r="L323" s="367"/>
      <c r="M323" s="367"/>
      <c r="N323" s="367"/>
      <c r="O323" s="367"/>
      <c r="P323" s="367"/>
      <c r="Q323" s="367"/>
      <c r="R323" s="367"/>
      <c r="S323" s="367"/>
      <c r="T323" s="367"/>
      <c r="U323" s="367"/>
      <c r="V323" s="367"/>
      <c r="W323" s="367"/>
      <c r="X323" s="367"/>
      <c r="Y323" s="367"/>
      <c r="Z323" s="367"/>
      <c r="AA323" s="367"/>
      <c r="AB323" s="367"/>
      <c r="AC323" s="367"/>
      <c r="AD323" s="367"/>
      <c r="AE323" s="367"/>
      <c r="AF323" s="367"/>
    </row>
    <row r="324" ht="15.75" customHeight="1">
      <c r="A324" s="359"/>
      <c r="B324" s="361"/>
      <c r="C324" s="361"/>
      <c r="D324" s="361"/>
      <c r="E324" s="367"/>
      <c r="F324" s="367"/>
      <c r="G324" s="367"/>
      <c r="H324" s="367"/>
      <c r="I324" s="367"/>
      <c r="J324" s="367"/>
      <c r="K324" s="367"/>
      <c r="L324" s="367"/>
      <c r="M324" s="367"/>
      <c r="N324" s="367"/>
      <c r="O324" s="367"/>
      <c r="P324" s="367"/>
      <c r="Q324" s="367"/>
      <c r="R324" s="367"/>
      <c r="S324" s="367"/>
      <c r="T324" s="367"/>
      <c r="U324" s="367"/>
      <c r="V324" s="367"/>
      <c r="W324" s="367"/>
      <c r="X324" s="367"/>
      <c r="Y324" s="367"/>
      <c r="Z324" s="367"/>
      <c r="AA324" s="367"/>
      <c r="AB324" s="367"/>
      <c r="AC324" s="367"/>
      <c r="AD324" s="367"/>
      <c r="AE324" s="367"/>
      <c r="AF324" s="367"/>
    </row>
    <row r="325" ht="15.75" customHeight="1">
      <c r="A325" s="359"/>
      <c r="B325" s="361"/>
      <c r="C325" s="361"/>
      <c r="D325" s="361"/>
      <c r="E325" s="367"/>
      <c r="F325" s="367"/>
      <c r="G325" s="367"/>
      <c r="H325" s="367"/>
      <c r="I325" s="367"/>
      <c r="J325" s="367"/>
      <c r="K325" s="367"/>
      <c r="L325" s="367"/>
      <c r="M325" s="367"/>
      <c r="N325" s="367"/>
      <c r="O325" s="367"/>
      <c r="P325" s="367"/>
      <c r="Q325" s="367"/>
      <c r="R325" s="367"/>
      <c r="S325" s="367"/>
      <c r="T325" s="367"/>
      <c r="U325" s="367"/>
      <c r="V325" s="367"/>
      <c r="W325" s="367"/>
      <c r="X325" s="367"/>
      <c r="Y325" s="367"/>
      <c r="Z325" s="367"/>
      <c r="AA325" s="367"/>
      <c r="AB325" s="367"/>
      <c r="AC325" s="367"/>
      <c r="AD325" s="367"/>
      <c r="AE325" s="367"/>
      <c r="AF325" s="367"/>
    </row>
    <row r="326" ht="15.75" customHeight="1">
      <c r="A326" s="359"/>
      <c r="B326" s="361"/>
      <c r="C326" s="361"/>
      <c r="D326" s="361"/>
      <c r="E326" s="367"/>
      <c r="F326" s="367"/>
      <c r="G326" s="367"/>
      <c r="H326" s="367"/>
      <c r="I326" s="367"/>
      <c r="J326" s="367"/>
      <c r="K326" s="367"/>
      <c r="L326" s="367"/>
      <c r="M326" s="367"/>
      <c r="N326" s="367"/>
      <c r="O326" s="367"/>
      <c r="P326" s="367"/>
      <c r="Q326" s="367"/>
      <c r="R326" s="367"/>
      <c r="S326" s="367"/>
      <c r="T326" s="367"/>
      <c r="U326" s="367"/>
      <c r="V326" s="367"/>
      <c r="W326" s="367"/>
      <c r="X326" s="367"/>
      <c r="Y326" s="367"/>
      <c r="Z326" s="367"/>
      <c r="AA326" s="367"/>
      <c r="AB326" s="367"/>
      <c r="AC326" s="367"/>
      <c r="AD326" s="367"/>
      <c r="AE326" s="367"/>
      <c r="AF326" s="367"/>
    </row>
    <row r="327" ht="15.75" customHeight="1">
      <c r="A327" s="359"/>
      <c r="B327" s="361"/>
      <c r="C327" s="361"/>
      <c r="D327" s="361"/>
      <c r="E327" s="367"/>
      <c r="F327" s="367"/>
      <c r="G327" s="367"/>
      <c r="H327" s="367"/>
      <c r="I327" s="367"/>
      <c r="J327" s="367"/>
      <c r="K327" s="367"/>
      <c r="L327" s="367"/>
      <c r="M327" s="367"/>
      <c r="N327" s="367"/>
      <c r="O327" s="367"/>
      <c r="P327" s="367"/>
      <c r="Q327" s="367"/>
      <c r="R327" s="367"/>
      <c r="S327" s="367"/>
      <c r="T327" s="367"/>
      <c r="U327" s="367"/>
      <c r="V327" s="367"/>
      <c r="W327" s="367"/>
      <c r="X327" s="367"/>
      <c r="Y327" s="367"/>
      <c r="Z327" s="367"/>
      <c r="AA327" s="367"/>
      <c r="AB327" s="367"/>
      <c r="AC327" s="367"/>
      <c r="AD327" s="367"/>
      <c r="AE327" s="367"/>
      <c r="AF327" s="367"/>
    </row>
    <row r="328" ht="15.75" customHeight="1">
      <c r="A328" s="359"/>
      <c r="B328" s="361"/>
      <c r="C328" s="361"/>
      <c r="D328" s="361"/>
      <c r="E328" s="367"/>
      <c r="F328" s="367"/>
      <c r="G328" s="367"/>
      <c r="H328" s="367"/>
      <c r="I328" s="367"/>
      <c r="J328" s="367"/>
      <c r="K328" s="367"/>
      <c r="L328" s="367"/>
      <c r="M328" s="367"/>
      <c r="N328" s="367"/>
      <c r="O328" s="367"/>
      <c r="P328" s="367"/>
      <c r="Q328" s="367"/>
      <c r="R328" s="367"/>
      <c r="S328" s="367"/>
      <c r="T328" s="367"/>
      <c r="U328" s="367"/>
      <c r="V328" s="367"/>
      <c r="W328" s="367"/>
      <c r="X328" s="367"/>
      <c r="Y328" s="367"/>
      <c r="Z328" s="367"/>
      <c r="AA328" s="367"/>
      <c r="AB328" s="367"/>
      <c r="AC328" s="367"/>
      <c r="AD328" s="367"/>
      <c r="AE328" s="367"/>
      <c r="AF328" s="367"/>
    </row>
    <row r="329" ht="15.75" customHeight="1">
      <c r="A329" s="359"/>
      <c r="B329" s="361"/>
      <c r="C329" s="361"/>
      <c r="D329" s="361"/>
      <c r="E329" s="367"/>
      <c r="F329" s="367"/>
      <c r="G329" s="367"/>
      <c r="H329" s="367"/>
      <c r="I329" s="367"/>
      <c r="J329" s="367"/>
      <c r="K329" s="367"/>
      <c r="L329" s="367"/>
      <c r="M329" s="367"/>
      <c r="N329" s="367"/>
      <c r="O329" s="367"/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</row>
    <row r="330" ht="15.75" customHeight="1">
      <c r="A330" s="359"/>
      <c r="B330" s="361"/>
      <c r="C330" s="361"/>
      <c r="D330" s="361"/>
      <c r="E330" s="367"/>
      <c r="F330" s="367"/>
      <c r="G330" s="367"/>
      <c r="H330" s="367"/>
      <c r="I330" s="367"/>
      <c r="J330" s="367"/>
      <c r="K330" s="367"/>
      <c r="L330" s="367"/>
      <c r="M330" s="367"/>
      <c r="N330" s="367"/>
      <c r="O330" s="367"/>
      <c r="P330" s="367"/>
      <c r="Q330" s="367"/>
      <c r="R330" s="367"/>
      <c r="S330" s="367"/>
      <c r="T330" s="367"/>
      <c r="U330" s="367"/>
      <c r="V330" s="367"/>
      <c r="W330" s="367"/>
      <c r="X330" s="367"/>
      <c r="Y330" s="367"/>
      <c r="Z330" s="367"/>
      <c r="AA330" s="367"/>
      <c r="AB330" s="367"/>
      <c r="AC330" s="367"/>
      <c r="AD330" s="367"/>
      <c r="AE330" s="367"/>
      <c r="AF330" s="367"/>
    </row>
    <row r="331" ht="15.75" customHeight="1">
      <c r="A331" s="359"/>
      <c r="B331" s="361"/>
      <c r="C331" s="361"/>
      <c r="D331" s="361"/>
      <c r="E331" s="367"/>
      <c r="F331" s="367"/>
      <c r="G331" s="367"/>
      <c r="H331" s="367"/>
      <c r="I331" s="367"/>
      <c r="J331" s="367"/>
      <c r="K331" s="367"/>
      <c r="L331" s="367"/>
      <c r="M331" s="367"/>
      <c r="N331" s="367"/>
      <c r="O331" s="367"/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  <c r="Z331" s="367"/>
      <c r="AA331" s="367"/>
      <c r="AB331" s="367"/>
      <c r="AC331" s="367"/>
      <c r="AD331" s="367"/>
      <c r="AE331" s="367"/>
      <c r="AF331" s="367"/>
    </row>
    <row r="332" ht="15.75" customHeight="1">
      <c r="A332" s="359"/>
      <c r="B332" s="361"/>
      <c r="C332" s="361"/>
      <c r="D332" s="361"/>
      <c r="E332" s="367"/>
      <c r="F332" s="367"/>
      <c r="G332" s="367"/>
      <c r="H332" s="367"/>
      <c r="I332" s="367"/>
      <c r="J332" s="367"/>
      <c r="K332" s="367"/>
      <c r="L332" s="367"/>
      <c r="M332" s="367"/>
      <c r="N332" s="367"/>
      <c r="O332" s="367"/>
      <c r="P332" s="367"/>
      <c r="Q332" s="367"/>
      <c r="R332" s="367"/>
      <c r="S332" s="367"/>
      <c r="T332" s="367"/>
      <c r="U332" s="367"/>
      <c r="V332" s="367"/>
      <c r="W332" s="367"/>
      <c r="X332" s="367"/>
      <c r="Y332" s="367"/>
      <c r="Z332" s="367"/>
      <c r="AA332" s="367"/>
      <c r="AB332" s="367"/>
      <c r="AC332" s="367"/>
      <c r="AD332" s="367"/>
      <c r="AE332" s="367"/>
      <c r="AF332" s="367"/>
    </row>
    <row r="333" ht="15.75" customHeight="1">
      <c r="A333" s="359"/>
      <c r="B333" s="361"/>
      <c r="C333" s="361"/>
      <c r="D333" s="361"/>
      <c r="E333" s="367"/>
      <c r="F333" s="367"/>
      <c r="G333" s="367"/>
      <c r="H333" s="367"/>
      <c r="I333" s="367"/>
      <c r="J333" s="367"/>
      <c r="K333" s="367"/>
      <c r="L333" s="367"/>
      <c r="M333" s="367"/>
      <c r="N333" s="367"/>
      <c r="O333" s="367"/>
      <c r="P333" s="367"/>
      <c r="Q333" s="367"/>
      <c r="R333" s="367"/>
      <c r="S333" s="367"/>
      <c r="T333" s="367"/>
      <c r="U333" s="367"/>
      <c r="V333" s="367"/>
      <c r="W333" s="367"/>
      <c r="X333" s="367"/>
      <c r="Y333" s="367"/>
      <c r="Z333" s="367"/>
      <c r="AA333" s="367"/>
      <c r="AB333" s="367"/>
      <c r="AC333" s="367"/>
      <c r="AD333" s="367"/>
      <c r="AE333" s="367"/>
      <c r="AF333" s="367"/>
    </row>
    <row r="334" ht="15.75" customHeight="1">
      <c r="A334" s="359"/>
      <c r="B334" s="361"/>
      <c r="C334" s="361"/>
      <c r="D334" s="361"/>
      <c r="E334" s="367"/>
      <c r="F334" s="367"/>
      <c r="G334" s="367"/>
      <c r="H334" s="367"/>
      <c r="I334" s="367"/>
      <c r="J334" s="367"/>
      <c r="K334" s="367"/>
      <c r="L334" s="367"/>
      <c r="M334" s="367"/>
      <c r="N334" s="367"/>
      <c r="O334" s="367"/>
      <c r="P334" s="367"/>
      <c r="Q334" s="367"/>
      <c r="R334" s="367"/>
      <c r="S334" s="367"/>
      <c r="T334" s="367"/>
      <c r="U334" s="367"/>
      <c r="V334" s="367"/>
      <c r="W334" s="367"/>
      <c r="X334" s="367"/>
      <c r="Y334" s="367"/>
      <c r="Z334" s="367"/>
      <c r="AA334" s="367"/>
      <c r="AB334" s="367"/>
      <c r="AC334" s="367"/>
      <c r="AD334" s="367"/>
      <c r="AE334" s="367"/>
      <c r="AF334" s="367"/>
    </row>
    <row r="335" ht="15.75" customHeight="1">
      <c r="A335" s="359"/>
      <c r="B335" s="361"/>
      <c r="C335" s="361"/>
      <c r="D335" s="361"/>
      <c r="E335" s="367"/>
      <c r="F335" s="367"/>
      <c r="G335" s="367"/>
      <c r="H335" s="367"/>
      <c r="I335" s="367"/>
      <c r="J335" s="367"/>
      <c r="K335" s="367"/>
      <c r="L335" s="367"/>
      <c r="M335" s="367"/>
      <c r="N335" s="367"/>
      <c r="O335" s="367"/>
      <c r="P335" s="367"/>
      <c r="Q335" s="367"/>
      <c r="R335" s="367"/>
      <c r="S335" s="367"/>
      <c r="T335" s="367"/>
      <c r="U335" s="367"/>
      <c r="V335" s="367"/>
      <c r="W335" s="367"/>
      <c r="X335" s="367"/>
      <c r="Y335" s="367"/>
      <c r="Z335" s="367"/>
      <c r="AA335" s="367"/>
      <c r="AB335" s="367"/>
      <c r="AC335" s="367"/>
      <c r="AD335" s="367"/>
      <c r="AE335" s="367"/>
      <c r="AF335" s="367"/>
    </row>
    <row r="336" ht="15.75" customHeight="1">
      <c r="A336" s="359"/>
      <c r="B336" s="361"/>
      <c r="C336" s="361"/>
      <c r="D336" s="361"/>
      <c r="E336" s="367"/>
      <c r="F336" s="367"/>
      <c r="G336" s="367"/>
      <c r="H336" s="367"/>
      <c r="I336" s="367"/>
      <c r="J336" s="367"/>
      <c r="K336" s="367"/>
      <c r="L336" s="367"/>
      <c r="M336" s="367"/>
      <c r="N336" s="367"/>
      <c r="O336" s="367"/>
      <c r="P336" s="367"/>
      <c r="Q336" s="367"/>
      <c r="R336" s="367"/>
      <c r="S336" s="367"/>
      <c r="T336" s="367"/>
      <c r="U336" s="367"/>
      <c r="V336" s="367"/>
      <c r="W336" s="367"/>
      <c r="X336" s="367"/>
      <c r="Y336" s="367"/>
      <c r="Z336" s="367"/>
      <c r="AA336" s="367"/>
      <c r="AB336" s="367"/>
      <c r="AC336" s="367"/>
      <c r="AD336" s="367"/>
      <c r="AE336" s="367"/>
      <c r="AF336" s="367"/>
    </row>
    <row r="337" ht="15.75" customHeight="1">
      <c r="A337" s="359"/>
      <c r="B337" s="361"/>
      <c r="C337" s="361"/>
      <c r="D337" s="361"/>
      <c r="E337" s="367"/>
      <c r="F337" s="367"/>
      <c r="G337" s="367"/>
      <c r="H337" s="367"/>
      <c r="I337" s="367"/>
      <c r="J337" s="367"/>
      <c r="K337" s="367"/>
      <c r="L337" s="367"/>
      <c r="M337" s="367"/>
      <c r="N337" s="367"/>
      <c r="O337" s="367"/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  <c r="Z337" s="367"/>
      <c r="AA337" s="367"/>
      <c r="AB337" s="367"/>
      <c r="AC337" s="367"/>
      <c r="AD337" s="367"/>
      <c r="AE337" s="367"/>
      <c r="AF337" s="367"/>
    </row>
    <row r="338" ht="15.75" customHeight="1">
      <c r="A338" s="359"/>
      <c r="B338" s="361"/>
      <c r="C338" s="361"/>
      <c r="D338" s="361"/>
      <c r="E338" s="367"/>
      <c r="F338" s="367"/>
      <c r="G338" s="367"/>
      <c r="H338" s="367"/>
      <c r="I338" s="367"/>
      <c r="J338" s="367"/>
      <c r="K338" s="367"/>
      <c r="L338" s="367"/>
      <c r="M338" s="367"/>
      <c r="N338" s="367"/>
      <c r="O338" s="367"/>
      <c r="P338" s="367"/>
      <c r="Q338" s="367"/>
      <c r="R338" s="367"/>
      <c r="S338" s="367"/>
      <c r="T338" s="367"/>
      <c r="U338" s="367"/>
      <c r="V338" s="367"/>
      <c r="W338" s="367"/>
      <c r="X338" s="367"/>
      <c r="Y338" s="367"/>
      <c r="Z338" s="367"/>
      <c r="AA338" s="367"/>
      <c r="AB338" s="367"/>
      <c r="AC338" s="367"/>
      <c r="AD338" s="367"/>
      <c r="AE338" s="367"/>
      <c r="AF338" s="367"/>
    </row>
    <row r="339" ht="15.75" customHeight="1">
      <c r="A339" s="359"/>
      <c r="B339" s="361"/>
      <c r="C339" s="361"/>
      <c r="D339" s="361"/>
      <c r="E339" s="367"/>
      <c r="F339" s="367"/>
      <c r="G339" s="367"/>
      <c r="H339" s="367"/>
      <c r="I339" s="367"/>
      <c r="J339" s="367"/>
      <c r="K339" s="367"/>
      <c r="L339" s="367"/>
      <c r="M339" s="367"/>
      <c r="N339" s="367"/>
      <c r="O339" s="367"/>
      <c r="P339" s="367"/>
      <c r="Q339" s="367"/>
      <c r="R339" s="367"/>
      <c r="S339" s="367"/>
      <c r="T339" s="367"/>
      <c r="U339" s="367"/>
      <c r="V339" s="367"/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</row>
    <row r="340" ht="15.75" customHeight="1">
      <c r="A340" s="359"/>
      <c r="B340" s="361"/>
      <c r="C340" s="361"/>
      <c r="D340" s="361"/>
      <c r="E340" s="367"/>
      <c r="F340" s="367"/>
      <c r="G340" s="367"/>
      <c r="H340" s="367"/>
      <c r="I340" s="367"/>
      <c r="J340" s="367"/>
      <c r="K340" s="367"/>
      <c r="L340" s="367"/>
      <c r="M340" s="367"/>
      <c r="N340" s="367"/>
      <c r="O340" s="367"/>
      <c r="P340" s="367"/>
      <c r="Q340" s="367"/>
      <c r="R340" s="367"/>
      <c r="S340" s="367"/>
      <c r="T340" s="367"/>
      <c r="U340" s="367"/>
      <c r="V340" s="367"/>
      <c r="W340" s="367"/>
      <c r="X340" s="367"/>
      <c r="Y340" s="367"/>
      <c r="Z340" s="367"/>
      <c r="AA340" s="367"/>
      <c r="AB340" s="367"/>
      <c r="AC340" s="367"/>
      <c r="AD340" s="367"/>
      <c r="AE340" s="367"/>
      <c r="AF340" s="367"/>
    </row>
    <row r="341" ht="15.75" customHeight="1">
      <c r="A341" s="359"/>
      <c r="B341" s="361"/>
      <c r="C341" s="361"/>
      <c r="D341" s="361"/>
      <c r="E341" s="367"/>
      <c r="F341" s="367"/>
      <c r="G341" s="367"/>
      <c r="H341" s="367"/>
      <c r="I341" s="367"/>
      <c r="J341" s="367"/>
      <c r="K341" s="367"/>
      <c r="L341" s="367"/>
      <c r="M341" s="367"/>
      <c r="N341" s="367"/>
      <c r="O341" s="367"/>
      <c r="P341" s="367"/>
      <c r="Q341" s="367"/>
      <c r="R341" s="367"/>
      <c r="S341" s="367"/>
      <c r="T341" s="367"/>
      <c r="U341" s="367"/>
      <c r="V341" s="367"/>
      <c r="W341" s="367"/>
      <c r="X341" s="367"/>
      <c r="Y341" s="367"/>
      <c r="Z341" s="367"/>
      <c r="AA341" s="367"/>
      <c r="AB341" s="367"/>
      <c r="AC341" s="367"/>
      <c r="AD341" s="367"/>
      <c r="AE341" s="367"/>
      <c r="AF341" s="367"/>
    </row>
    <row r="342" ht="15.75" customHeight="1">
      <c r="A342" s="359"/>
      <c r="B342" s="361"/>
      <c r="C342" s="361"/>
      <c r="D342" s="361"/>
      <c r="E342" s="367"/>
      <c r="F342" s="367"/>
      <c r="G342" s="367"/>
      <c r="H342" s="367"/>
      <c r="I342" s="367"/>
      <c r="J342" s="367"/>
      <c r="K342" s="367"/>
      <c r="L342" s="367"/>
      <c r="M342" s="367"/>
      <c r="N342" s="367"/>
      <c r="O342" s="367"/>
      <c r="P342" s="367"/>
      <c r="Q342" s="367"/>
      <c r="R342" s="367"/>
      <c r="S342" s="367"/>
      <c r="T342" s="367"/>
      <c r="U342" s="367"/>
      <c r="V342" s="367"/>
      <c r="W342" s="367"/>
      <c r="X342" s="367"/>
      <c r="Y342" s="367"/>
      <c r="Z342" s="367"/>
      <c r="AA342" s="367"/>
      <c r="AB342" s="367"/>
      <c r="AC342" s="367"/>
      <c r="AD342" s="367"/>
      <c r="AE342" s="367"/>
      <c r="AF342" s="367"/>
    </row>
    <row r="343" ht="15.75" customHeight="1">
      <c r="A343" s="359"/>
      <c r="B343" s="361"/>
      <c r="C343" s="361"/>
      <c r="D343" s="361"/>
      <c r="E343" s="367"/>
      <c r="F343" s="367"/>
      <c r="G343" s="367"/>
      <c r="H343" s="367"/>
      <c r="I343" s="367"/>
      <c r="J343" s="367"/>
      <c r="K343" s="367"/>
      <c r="L343" s="367"/>
      <c r="M343" s="367"/>
      <c r="N343" s="367"/>
      <c r="O343" s="367"/>
      <c r="P343" s="367"/>
      <c r="Q343" s="367"/>
      <c r="R343" s="367"/>
      <c r="S343" s="367"/>
      <c r="T343" s="367"/>
      <c r="U343" s="367"/>
      <c r="V343" s="367"/>
      <c r="W343" s="367"/>
      <c r="X343" s="367"/>
      <c r="Y343" s="367"/>
      <c r="Z343" s="367"/>
      <c r="AA343" s="367"/>
      <c r="AB343" s="367"/>
      <c r="AC343" s="367"/>
      <c r="AD343" s="367"/>
      <c r="AE343" s="367"/>
      <c r="AF343" s="367"/>
    </row>
    <row r="344" ht="15.75" customHeight="1">
      <c r="A344" s="359"/>
      <c r="B344" s="361"/>
      <c r="C344" s="361"/>
      <c r="D344" s="361"/>
      <c r="E344" s="367"/>
      <c r="F344" s="367"/>
      <c r="G344" s="367"/>
      <c r="H344" s="367"/>
      <c r="I344" s="367"/>
      <c r="J344" s="367"/>
      <c r="K344" s="367"/>
      <c r="L344" s="367"/>
      <c r="M344" s="367"/>
      <c r="N344" s="367"/>
      <c r="O344" s="367"/>
      <c r="P344" s="367"/>
      <c r="Q344" s="367"/>
      <c r="R344" s="367"/>
      <c r="S344" s="367"/>
      <c r="T344" s="367"/>
      <c r="U344" s="367"/>
      <c r="V344" s="367"/>
      <c r="W344" s="367"/>
      <c r="X344" s="367"/>
      <c r="Y344" s="367"/>
      <c r="Z344" s="367"/>
      <c r="AA344" s="367"/>
      <c r="AB344" s="367"/>
      <c r="AC344" s="367"/>
      <c r="AD344" s="367"/>
      <c r="AE344" s="367"/>
      <c r="AF344" s="367"/>
    </row>
    <row r="345" ht="15.75" customHeight="1">
      <c r="A345" s="359"/>
      <c r="B345" s="361"/>
      <c r="C345" s="361"/>
      <c r="D345" s="361"/>
      <c r="E345" s="367"/>
      <c r="F345" s="367"/>
      <c r="G345" s="367"/>
      <c r="H345" s="367"/>
      <c r="I345" s="367"/>
      <c r="J345" s="367"/>
      <c r="K345" s="367"/>
      <c r="L345" s="367"/>
      <c r="M345" s="367"/>
      <c r="N345" s="367"/>
      <c r="O345" s="367"/>
      <c r="P345" s="367"/>
      <c r="Q345" s="367"/>
      <c r="R345" s="367"/>
      <c r="S345" s="367"/>
      <c r="T345" s="367"/>
      <c r="U345" s="367"/>
      <c r="V345" s="367"/>
      <c r="W345" s="367"/>
      <c r="X345" s="367"/>
      <c r="Y345" s="367"/>
      <c r="Z345" s="367"/>
      <c r="AA345" s="367"/>
      <c r="AB345" s="367"/>
      <c r="AC345" s="367"/>
      <c r="AD345" s="367"/>
      <c r="AE345" s="367"/>
      <c r="AF345" s="367"/>
    </row>
    <row r="346" ht="15.75" customHeight="1">
      <c r="A346" s="359"/>
      <c r="B346" s="361"/>
      <c r="C346" s="361"/>
      <c r="D346" s="361"/>
      <c r="E346" s="367"/>
      <c r="F346" s="367"/>
      <c r="G346" s="367"/>
      <c r="H346" s="367"/>
      <c r="I346" s="367"/>
      <c r="J346" s="367"/>
      <c r="K346" s="367"/>
      <c r="L346" s="367"/>
      <c r="M346" s="367"/>
      <c r="N346" s="367"/>
      <c r="O346" s="367"/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  <c r="Z346" s="367"/>
      <c r="AA346" s="367"/>
      <c r="AB346" s="367"/>
      <c r="AC346" s="367"/>
      <c r="AD346" s="367"/>
      <c r="AE346" s="367"/>
      <c r="AF346" s="367"/>
    </row>
    <row r="347" ht="15.75" customHeight="1">
      <c r="A347" s="359"/>
      <c r="B347" s="361"/>
      <c r="C347" s="361"/>
      <c r="D347" s="361"/>
      <c r="E347" s="367"/>
      <c r="F347" s="367"/>
      <c r="G347" s="367"/>
      <c r="H347" s="367"/>
      <c r="I347" s="367"/>
      <c r="J347" s="367"/>
      <c r="K347" s="367"/>
      <c r="L347" s="367"/>
      <c r="M347" s="367"/>
      <c r="N347" s="367"/>
      <c r="O347" s="367"/>
      <c r="P347" s="367"/>
      <c r="Q347" s="367"/>
      <c r="R347" s="367"/>
      <c r="S347" s="367"/>
      <c r="T347" s="367"/>
      <c r="U347" s="367"/>
      <c r="V347" s="367"/>
      <c r="W347" s="367"/>
      <c r="X347" s="367"/>
      <c r="Y347" s="367"/>
      <c r="Z347" s="367"/>
      <c r="AA347" s="367"/>
      <c r="AB347" s="367"/>
      <c r="AC347" s="367"/>
      <c r="AD347" s="367"/>
      <c r="AE347" s="367"/>
      <c r="AF347" s="367"/>
    </row>
    <row r="348" ht="15.75" customHeight="1">
      <c r="A348" s="359"/>
      <c r="B348" s="361"/>
      <c r="C348" s="361"/>
      <c r="D348" s="361"/>
      <c r="E348" s="367"/>
      <c r="F348" s="367"/>
      <c r="G348" s="367"/>
      <c r="H348" s="367"/>
      <c r="I348" s="367"/>
      <c r="J348" s="367"/>
      <c r="K348" s="367"/>
      <c r="L348" s="367"/>
      <c r="M348" s="367"/>
      <c r="N348" s="367"/>
      <c r="O348" s="367"/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  <c r="Z348" s="367"/>
      <c r="AA348" s="367"/>
      <c r="AB348" s="367"/>
      <c r="AC348" s="367"/>
      <c r="AD348" s="367"/>
      <c r="AE348" s="367"/>
      <c r="AF348" s="367"/>
    </row>
    <row r="349" ht="15.75" customHeight="1">
      <c r="A349" s="359"/>
      <c r="B349" s="361"/>
      <c r="C349" s="361"/>
      <c r="D349" s="361"/>
      <c r="E349" s="367"/>
      <c r="F349" s="367"/>
      <c r="G349" s="367"/>
      <c r="H349" s="367"/>
      <c r="I349" s="367"/>
      <c r="J349" s="367"/>
      <c r="K349" s="367"/>
      <c r="L349" s="367"/>
      <c r="M349" s="367"/>
      <c r="N349" s="367"/>
      <c r="O349" s="367"/>
      <c r="P349" s="367"/>
      <c r="Q349" s="367"/>
      <c r="R349" s="367"/>
      <c r="S349" s="367"/>
      <c r="T349" s="367"/>
      <c r="U349" s="367"/>
      <c r="V349" s="367"/>
      <c r="W349" s="367"/>
      <c r="X349" s="367"/>
      <c r="Y349" s="367"/>
      <c r="Z349" s="367"/>
      <c r="AA349" s="367"/>
      <c r="AB349" s="367"/>
      <c r="AC349" s="367"/>
      <c r="AD349" s="367"/>
      <c r="AE349" s="367"/>
      <c r="AF349" s="367"/>
    </row>
    <row r="350" ht="15.75" customHeight="1">
      <c r="A350" s="359"/>
      <c r="B350" s="361"/>
      <c r="C350" s="361"/>
      <c r="D350" s="361"/>
      <c r="E350" s="367"/>
      <c r="F350" s="367"/>
      <c r="G350" s="367"/>
      <c r="H350" s="367"/>
      <c r="I350" s="367"/>
      <c r="J350" s="367"/>
      <c r="K350" s="367"/>
      <c r="L350" s="367"/>
      <c r="M350" s="367"/>
      <c r="N350" s="367"/>
      <c r="O350" s="367"/>
      <c r="P350" s="367"/>
      <c r="Q350" s="367"/>
      <c r="R350" s="367"/>
      <c r="S350" s="367"/>
      <c r="T350" s="367"/>
      <c r="U350" s="367"/>
      <c r="V350" s="367"/>
      <c r="W350" s="367"/>
      <c r="X350" s="367"/>
      <c r="Y350" s="367"/>
      <c r="Z350" s="367"/>
      <c r="AA350" s="367"/>
      <c r="AB350" s="367"/>
      <c r="AC350" s="367"/>
      <c r="AD350" s="367"/>
      <c r="AE350" s="367"/>
      <c r="AF350" s="367"/>
    </row>
    <row r="351" ht="15.75" customHeight="1">
      <c r="A351" s="359"/>
      <c r="B351" s="361"/>
      <c r="C351" s="361"/>
      <c r="D351" s="361"/>
      <c r="E351" s="367"/>
      <c r="F351" s="367"/>
      <c r="G351" s="367"/>
      <c r="H351" s="367"/>
      <c r="I351" s="367"/>
      <c r="J351" s="367"/>
      <c r="K351" s="367"/>
      <c r="L351" s="367"/>
      <c r="M351" s="367"/>
      <c r="N351" s="367"/>
      <c r="O351" s="367"/>
      <c r="P351" s="367"/>
      <c r="Q351" s="367"/>
      <c r="R351" s="367"/>
      <c r="S351" s="367"/>
      <c r="T351" s="367"/>
      <c r="U351" s="367"/>
      <c r="V351" s="367"/>
      <c r="W351" s="367"/>
      <c r="X351" s="367"/>
      <c r="Y351" s="367"/>
      <c r="Z351" s="367"/>
      <c r="AA351" s="367"/>
      <c r="AB351" s="367"/>
      <c r="AC351" s="367"/>
      <c r="AD351" s="367"/>
      <c r="AE351" s="367"/>
      <c r="AF351" s="367"/>
    </row>
    <row r="352" ht="15.75" customHeight="1">
      <c r="A352" s="359"/>
      <c r="B352" s="361"/>
      <c r="C352" s="361"/>
      <c r="D352" s="361"/>
      <c r="E352" s="367"/>
      <c r="F352" s="367"/>
      <c r="G352" s="367"/>
      <c r="H352" s="367"/>
      <c r="I352" s="367"/>
      <c r="J352" s="367"/>
      <c r="K352" s="367"/>
      <c r="L352" s="367"/>
      <c r="M352" s="367"/>
      <c r="N352" s="367"/>
      <c r="O352" s="367"/>
      <c r="P352" s="367"/>
      <c r="Q352" s="367"/>
      <c r="R352" s="367"/>
      <c r="S352" s="367"/>
      <c r="T352" s="367"/>
      <c r="U352" s="367"/>
      <c r="V352" s="367"/>
      <c r="W352" s="367"/>
      <c r="X352" s="367"/>
      <c r="Y352" s="367"/>
      <c r="Z352" s="367"/>
      <c r="AA352" s="367"/>
      <c r="AB352" s="367"/>
      <c r="AC352" s="367"/>
      <c r="AD352" s="367"/>
      <c r="AE352" s="367"/>
      <c r="AF352" s="367"/>
    </row>
    <row r="353" ht="15.75" customHeight="1">
      <c r="A353" s="359"/>
      <c r="B353" s="361"/>
      <c r="C353" s="361"/>
      <c r="D353" s="361"/>
      <c r="E353" s="367"/>
      <c r="F353" s="367"/>
      <c r="G353" s="367"/>
      <c r="H353" s="367"/>
      <c r="I353" s="367"/>
      <c r="J353" s="367"/>
      <c r="K353" s="367"/>
      <c r="L353" s="367"/>
      <c r="M353" s="367"/>
      <c r="N353" s="367"/>
      <c r="O353" s="367"/>
      <c r="P353" s="367"/>
      <c r="Q353" s="367"/>
      <c r="R353" s="367"/>
      <c r="S353" s="367"/>
      <c r="T353" s="367"/>
      <c r="U353" s="367"/>
      <c r="V353" s="367"/>
      <c r="W353" s="367"/>
      <c r="X353" s="367"/>
      <c r="Y353" s="367"/>
      <c r="Z353" s="367"/>
      <c r="AA353" s="367"/>
      <c r="AB353" s="367"/>
      <c r="AC353" s="367"/>
      <c r="AD353" s="367"/>
      <c r="AE353" s="367"/>
      <c r="AF353" s="367"/>
    </row>
    <row r="354" ht="15.75" customHeight="1">
      <c r="A354" s="359"/>
      <c r="B354" s="361"/>
      <c r="C354" s="361"/>
      <c r="D354" s="361"/>
      <c r="E354" s="367"/>
      <c r="F354" s="367"/>
      <c r="G354" s="367"/>
      <c r="H354" s="367"/>
      <c r="I354" s="367"/>
      <c r="J354" s="367"/>
      <c r="K354" s="367"/>
      <c r="L354" s="367"/>
      <c r="M354" s="367"/>
      <c r="N354" s="367"/>
      <c r="O354" s="367"/>
      <c r="P354" s="367"/>
      <c r="Q354" s="367"/>
      <c r="R354" s="367"/>
      <c r="S354" s="367"/>
      <c r="T354" s="367"/>
      <c r="U354" s="367"/>
      <c r="V354" s="367"/>
      <c r="W354" s="367"/>
      <c r="X354" s="367"/>
      <c r="Y354" s="367"/>
      <c r="Z354" s="367"/>
      <c r="AA354" s="367"/>
      <c r="AB354" s="367"/>
      <c r="AC354" s="367"/>
      <c r="AD354" s="367"/>
      <c r="AE354" s="367"/>
      <c r="AF354" s="367"/>
    </row>
    <row r="355" ht="15.75" customHeight="1">
      <c r="A355" s="359"/>
      <c r="B355" s="361"/>
      <c r="C355" s="361"/>
      <c r="D355" s="361"/>
      <c r="E355" s="367"/>
      <c r="F355" s="367"/>
      <c r="G355" s="367"/>
      <c r="H355" s="367"/>
      <c r="I355" s="367"/>
      <c r="J355" s="367"/>
      <c r="K355" s="367"/>
      <c r="L355" s="367"/>
      <c r="M355" s="367"/>
      <c r="N355" s="367"/>
      <c r="O355" s="367"/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  <c r="Z355" s="367"/>
      <c r="AA355" s="367"/>
      <c r="AB355" s="367"/>
      <c r="AC355" s="367"/>
      <c r="AD355" s="367"/>
      <c r="AE355" s="367"/>
      <c r="AF355" s="367"/>
    </row>
    <row r="356" ht="15.75" customHeight="1">
      <c r="A356" s="359"/>
      <c r="B356" s="361"/>
      <c r="C356" s="361"/>
      <c r="D356" s="361"/>
      <c r="E356" s="367"/>
      <c r="F356" s="367"/>
      <c r="G356" s="367"/>
      <c r="H356" s="367"/>
      <c r="I356" s="367"/>
      <c r="J356" s="367"/>
      <c r="K356" s="367"/>
      <c r="L356" s="367"/>
      <c r="M356" s="367"/>
      <c r="N356" s="367"/>
      <c r="O356" s="367"/>
      <c r="P356" s="367"/>
      <c r="Q356" s="367"/>
      <c r="R356" s="367"/>
      <c r="S356" s="367"/>
      <c r="T356" s="367"/>
      <c r="U356" s="367"/>
      <c r="V356" s="367"/>
      <c r="W356" s="367"/>
      <c r="X356" s="367"/>
      <c r="Y356" s="367"/>
      <c r="Z356" s="367"/>
      <c r="AA356" s="367"/>
      <c r="AB356" s="367"/>
      <c r="AC356" s="367"/>
      <c r="AD356" s="367"/>
      <c r="AE356" s="367"/>
      <c r="AF356" s="367"/>
    </row>
    <row r="357" ht="15.75" customHeight="1">
      <c r="A357" s="359"/>
      <c r="B357" s="361"/>
      <c r="C357" s="361"/>
      <c r="D357" s="361"/>
      <c r="E357" s="367"/>
      <c r="F357" s="367"/>
      <c r="G357" s="367"/>
      <c r="H357" s="367"/>
      <c r="I357" s="367"/>
      <c r="J357" s="367"/>
      <c r="K357" s="367"/>
      <c r="L357" s="367"/>
      <c r="M357" s="367"/>
      <c r="N357" s="367"/>
      <c r="O357" s="367"/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  <c r="Z357" s="367"/>
      <c r="AA357" s="367"/>
      <c r="AB357" s="367"/>
      <c r="AC357" s="367"/>
      <c r="AD357" s="367"/>
      <c r="AE357" s="367"/>
      <c r="AF357" s="367"/>
    </row>
    <row r="358" ht="15.75" customHeight="1">
      <c r="A358" s="359"/>
      <c r="B358" s="361"/>
      <c r="C358" s="361"/>
      <c r="D358" s="361"/>
      <c r="E358" s="367"/>
      <c r="F358" s="367"/>
      <c r="G358" s="367"/>
      <c r="H358" s="367"/>
      <c r="I358" s="367"/>
      <c r="J358" s="367"/>
      <c r="K358" s="367"/>
      <c r="L358" s="367"/>
      <c r="M358" s="367"/>
      <c r="N358" s="367"/>
      <c r="O358" s="367"/>
      <c r="P358" s="367"/>
      <c r="Q358" s="367"/>
      <c r="R358" s="367"/>
      <c r="S358" s="367"/>
      <c r="T358" s="367"/>
      <c r="U358" s="367"/>
      <c r="V358" s="367"/>
      <c r="W358" s="367"/>
      <c r="X358" s="367"/>
      <c r="Y358" s="367"/>
      <c r="Z358" s="367"/>
      <c r="AA358" s="367"/>
      <c r="AB358" s="367"/>
      <c r="AC358" s="367"/>
      <c r="AD358" s="367"/>
      <c r="AE358" s="367"/>
      <c r="AF358" s="367"/>
    </row>
    <row r="359" ht="15.75" customHeight="1">
      <c r="A359" s="359"/>
      <c r="B359" s="361"/>
      <c r="C359" s="361"/>
      <c r="D359" s="361"/>
      <c r="E359" s="367"/>
      <c r="F359" s="367"/>
      <c r="G359" s="367"/>
      <c r="H359" s="367"/>
      <c r="I359" s="367"/>
      <c r="J359" s="367"/>
      <c r="K359" s="367"/>
      <c r="L359" s="367"/>
      <c r="M359" s="367"/>
      <c r="N359" s="367"/>
      <c r="O359" s="367"/>
      <c r="P359" s="367"/>
      <c r="Q359" s="367"/>
      <c r="R359" s="367"/>
      <c r="S359" s="367"/>
      <c r="T359" s="367"/>
      <c r="U359" s="367"/>
      <c r="V359" s="367"/>
      <c r="W359" s="367"/>
      <c r="X359" s="367"/>
      <c r="Y359" s="367"/>
      <c r="Z359" s="367"/>
      <c r="AA359" s="367"/>
      <c r="AB359" s="367"/>
      <c r="AC359" s="367"/>
      <c r="AD359" s="367"/>
      <c r="AE359" s="367"/>
      <c r="AF359" s="367"/>
    </row>
    <row r="360" ht="15.75" customHeight="1">
      <c r="A360" s="359"/>
      <c r="B360" s="361"/>
      <c r="C360" s="361"/>
      <c r="D360" s="361"/>
      <c r="E360" s="367"/>
      <c r="F360" s="367"/>
      <c r="G360" s="367"/>
      <c r="H360" s="367"/>
      <c r="I360" s="367"/>
      <c r="J360" s="367"/>
      <c r="K360" s="367"/>
      <c r="L360" s="367"/>
      <c r="M360" s="367"/>
      <c r="N360" s="367"/>
      <c r="O360" s="367"/>
      <c r="P360" s="367"/>
      <c r="Q360" s="367"/>
      <c r="R360" s="367"/>
      <c r="S360" s="367"/>
      <c r="T360" s="367"/>
      <c r="U360" s="367"/>
      <c r="V360" s="367"/>
      <c r="W360" s="367"/>
      <c r="X360" s="367"/>
      <c r="Y360" s="367"/>
      <c r="Z360" s="367"/>
      <c r="AA360" s="367"/>
      <c r="AB360" s="367"/>
      <c r="AC360" s="367"/>
      <c r="AD360" s="367"/>
      <c r="AE360" s="367"/>
      <c r="AF360" s="367"/>
    </row>
    <row r="361" ht="15.75" customHeight="1">
      <c r="A361" s="359"/>
      <c r="B361" s="361"/>
      <c r="C361" s="361"/>
      <c r="D361" s="361"/>
      <c r="E361" s="367"/>
      <c r="F361" s="367"/>
      <c r="G361" s="367"/>
      <c r="H361" s="367"/>
      <c r="I361" s="367"/>
      <c r="J361" s="367"/>
      <c r="K361" s="367"/>
      <c r="L361" s="367"/>
      <c r="M361" s="367"/>
      <c r="N361" s="367"/>
      <c r="O361" s="367"/>
      <c r="P361" s="367"/>
      <c r="Q361" s="367"/>
      <c r="R361" s="367"/>
      <c r="S361" s="367"/>
      <c r="T361" s="367"/>
      <c r="U361" s="367"/>
      <c r="V361" s="367"/>
      <c r="W361" s="367"/>
      <c r="X361" s="367"/>
      <c r="Y361" s="367"/>
      <c r="Z361" s="367"/>
      <c r="AA361" s="367"/>
      <c r="AB361" s="367"/>
      <c r="AC361" s="367"/>
      <c r="AD361" s="367"/>
      <c r="AE361" s="367"/>
      <c r="AF361" s="367"/>
    </row>
    <row r="362" ht="15.75" customHeight="1">
      <c r="A362" s="359"/>
      <c r="B362" s="361"/>
      <c r="C362" s="361"/>
      <c r="D362" s="361"/>
      <c r="E362" s="367"/>
      <c r="F362" s="367"/>
      <c r="G362" s="367"/>
      <c r="H362" s="367"/>
      <c r="I362" s="367"/>
      <c r="J362" s="367"/>
      <c r="K362" s="367"/>
      <c r="L362" s="367"/>
      <c r="M362" s="367"/>
      <c r="N362" s="367"/>
      <c r="O362" s="367"/>
      <c r="P362" s="367"/>
      <c r="Q362" s="367"/>
      <c r="R362" s="367"/>
      <c r="S362" s="367"/>
      <c r="T362" s="367"/>
      <c r="U362" s="367"/>
      <c r="V362" s="367"/>
      <c r="W362" s="367"/>
      <c r="X362" s="367"/>
      <c r="Y362" s="367"/>
      <c r="Z362" s="367"/>
      <c r="AA362" s="367"/>
      <c r="AB362" s="367"/>
      <c r="AC362" s="367"/>
      <c r="AD362" s="367"/>
      <c r="AE362" s="367"/>
      <c r="AF362" s="367"/>
    </row>
    <row r="363" ht="15.75" customHeight="1">
      <c r="A363" s="359"/>
      <c r="B363" s="361"/>
      <c r="C363" s="361"/>
      <c r="D363" s="361"/>
      <c r="E363" s="367"/>
      <c r="F363" s="367"/>
      <c r="G363" s="367"/>
      <c r="H363" s="367"/>
      <c r="I363" s="367"/>
      <c r="J363" s="367"/>
      <c r="K363" s="367"/>
      <c r="L363" s="367"/>
      <c r="M363" s="367"/>
      <c r="N363" s="367"/>
      <c r="O363" s="367"/>
      <c r="P363" s="367"/>
      <c r="Q363" s="367"/>
      <c r="R363" s="367"/>
      <c r="S363" s="367"/>
      <c r="T363" s="367"/>
      <c r="U363" s="367"/>
      <c r="V363" s="367"/>
      <c r="W363" s="367"/>
      <c r="X363" s="367"/>
      <c r="Y363" s="367"/>
      <c r="Z363" s="367"/>
      <c r="AA363" s="367"/>
      <c r="AB363" s="367"/>
      <c r="AC363" s="367"/>
      <c r="AD363" s="367"/>
      <c r="AE363" s="367"/>
      <c r="AF363" s="367"/>
    </row>
    <row r="364" ht="15.75" customHeight="1">
      <c r="A364" s="359"/>
      <c r="B364" s="361"/>
      <c r="C364" s="361"/>
      <c r="D364" s="361"/>
      <c r="E364" s="367"/>
      <c r="F364" s="367"/>
      <c r="G364" s="367"/>
      <c r="H364" s="367"/>
      <c r="I364" s="367"/>
      <c r="J364" s="367"/>
      <c r="K364" s="367"/>
      <c r="L364" s="367"/>
      <c r="M364" s="367"/>
      <c r="N364" s="367"/>
      <c r="O364" s="367"/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  <c r="Z364" s="367"/>
      <c r="AA364" s="367"/>
      <c r="AB364" s="367"/>
      <c r="AC364" s="367"/>
      <c r="AD364" s="367"/>
      <c r="AE364" s="367"/>
      <c r="AF364" s="367"/>
    </row>
    <row r="365" ht="15.75" customHeight="1">
      <c r="A365" s="359"/>
      <c r="B365" s="361"/>
      <c r="C365" s="361"/>
      <c r="D365" s="361"/>
      <c r="E365" s="367"/>
      <c r="F365" s="367"/>
      <c r="G365" s="367"/>
      <c r="H365" s="367"/>
      <c r="I365" s="367"/>
      <c r="J365" s="367"/>
      <c r="K365" s="367"/>
      <c r="L365" s="367"/>
      <c r="M365" s="367"/>
      <c r="N365" s="367"/>
      <c r="O365" s="367"/>
      <c r="P365" s="367"/>
      <c r="Q365" s="367"/>
      <c r="R365" s="367"/>
      <c r="S365" s="367"/>
      <c r="T365" s="367"/>
      <c r="U365" s="367"/>
      <c r="V365" s="367"/>
      <c r="W365" s="367"/>
      <c r="X365" s="367"/>
      <c r="Y365" s="367"/>
      <c r="Z365" s="367"/>
      <c r="AA365" s="367"/>
      <c r="AB365" s="367"/>
      <c r="AC365" s="367"/>
      <c r="AD365" s="367"/>
      <c r="AE365" s="367"/>
      <c r="AF365" s="367"/>
    </row>
    <row r="366" ht="15.75" customHeight="1">
      <c r="A366" s="359"/>
      <c r="B366" s="361"/>
      <c r="C366" s="361"/>
      <c r="D366" s="361"/>
      <c r="E366" s="367"/>
      <c r="F366" s="367"/>
      <c r="G366" s="367"/>
      <c r="H366" s="367"/>
      <c r="I366" s="367"/>
      <c r="J366" s="367"/>
      <c r="K366" s="367"/>
      <c r="L366" s="367"/>
      <c r="M366" s="367"/>
      <c r="N366" s="367"/>
      <c r="O366" s="367"/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  <c r="Z366" s="367"/>
      <c r="AA366" s="367"/>
      <c r="AB366" s="367"/>
      <c r="AC366" s="367"/>
      <c r="AD366" s="367"/>
      <c r="AE366" s="367"/>
      <c r="AF366" s="367"/>
    </row>
    <row r="367" ht="15.75" customHeight="1">
      <c r="A367" s="359"/>
      <c r="B367" s="361"/>
      <c r="C367" s="361"/>
      <c r="D367" s="361"/>
      <c r="E367" s="367"/>
      <c r="F367" s="367"/>
      <c r="G367" s="367"/>
      <c r="H367" s="367"/>
      <c r="I367" s="367"/>
      <c r="J367" s="367"/>
      <c r="K367" s="367"/>
      <c r="L367" s="367"/>
      <c r="M367" s="367"/>
      <c r="N367" s="367"/>
      <c r="O367" s="367"/>
      <c r="P367" s="367"/>
      <c r="Q367" s="367"/>
      <c r="R367" s="367"/>
      <c r="S367" s="367"/>
      <c r="T367" s="367"/>
      <c r="U367" s="367"/>
      <c r="V367" s="367"/>
      <c r="W367" s="367"/>
      <c r="X367" s="367"/>
      <c r="Y367" s="367"/>
      <c r="Z367" s="367"/>
      <c r="AA367" s="367"/>
      <c r="AB367" s="367"/>
      <c r="AC367" s="367"/>
      <c r="AD367" s="367"/>
      <c r="AE367" s="367"/>
      <c r="AF367" s="367"/>
    </row>
    <row r="368" ht="15.75" customHeight="1">
      <c r="A368" s="359"/>
      <c r="B368" s="361"/>
      <c r="C368" s="361"/>
      <c r="D368" s="361"/>
      <c r="E368" s="367"/>
      <c r="F368" s="367"/>
      <c r="G368" s="367"/>
      <c r="H368" s="367"/>
      <c r="I368" s="367"/>
      <c r="J368" s="367"/>
      <c r="K368" s="367"/>
      <c r="L368" s="367"/>
      <c r="M368" s="367"/>
      <c r="N368" s="367"/>
      <c r="O368" s="367"/>
      <c r="P368" s="367"/>
      <c r="Q368" s="367"/>
      <c r="R368" s="367"/>
      <c r="S368" s="367"/>
      <c r="T368" s="367"/>
      <c r="U368" s="367"/>
      <c r="V368" s="367"/>
      <c r="W368" s="367"/>
      <c r="X368" s="367"/>
      <c r="Y368" s="367"/>
      <c r="Z368" s="367"/>
      <c r="AA368" s="367"/>
      <c r="AB368" s="367"/>
      <c r="AC368" s="367"/>
      <c r="AD368" s="367"/>
      <c r="AE368" s="367"/>
      <c r="AF368" s="367"/>
    </row>
    <row r="369" ht="15.75" customHeight="1">
      <c r="A369" s="359"/>
      <c r="B369" s="361"/>
      <c r="C369" s="361"/>
      <c r="D369" s="361"/>
      <c r="E369" s="367"/>
      <c r="F369" s="367"/>
      <c r="G369" s="367"/>
      <c r="H369" s="367"/>
      <c r="I369" s="367"/>
      <c r="J369" s="367"/>
      <c r="K369" s="367"/>
      <c r="L369" s="367"/>
      <c r="M369" s="367"/>
      <c r="N369" s="367"/>
      <c r="O369" s="367"/>
      <c r="P369" s="367"/>
      <c r="Q369" s="367"/>
      <c r="R369" s="367"/>
      <c r="S369" s="367"/>
      <c r="T369" s="367"/>
      <c r="U369" s="367"/>
      <c r="V369" s="367"/>
      <c r="W369" s="367"/>
      <c r="X369" s="367"/>
      <c r="Y369" s="367"/>
      <c r="Z369" s="367"/>
      <c r="AA369" s="367"/>
      <c r="AB369" s="367"/>
      <c r="AC369" s="367"/>
      <c r="AD369" s="367"/>
      <c r="AE369" s="367"/>
      <c r="AF369" s="367"/>
    </row>
    <row r="370" ht="15.75" customHeight="1">
      <c r="A370" s="359"/>
      <c r="B370" s="361"/>
      <c r="C370" s="361"/>
      <c r="D370" s="361"/>
      <c r="E370" s="367"/>
      <c r="F370" s="367"/>
      <c r="G370" s="367"/>
      <c r="H370" s="367"/>
      <c r="I370" s="367"/>
      <c r="J370" s="367"/>
      <c r="K370" s="367"/>
      <c r="L370" s="367"/>
      <c r="M370" s="367"/>
      <c r="N370" s="367"/>
      <c r="O370" s="367"/>
      <c r="P370" s="367"/>
      <c r="Q370" s="367"/>
      <c r="R370" s="367"/>
      <c r="S370" s="367"/>
      <c r="T370" s="367"/>
      <c r="U370" s="367"/>
      <c r="V370" s="367"/>
      <c r="W370" s="367"/>
      <c r="X370" s="367"/>
      <c r="Y370" s="367"/>
      <c r="Z370" s="367"/>
      <c r="AA370" s="367"/>
      <c r="AB370" s="367"/>
      <c r="AC370" s="367"/>
      <c r="AD370" s="367"/>
      <c r="AE370" s="367"/>
      <c r="AF370" s="367"/>
    </row>
    <row r="371" ht="15.75" customHeight="1">
      <c r="A371" s="359"/>
      <c r="B371" s="361"/>
      <c r="C371" s="361"/>
      <c r="D371" s="361"/>
      <c r="E371" s="367"/>
      <c r="F371" s="367"/>
      <c r="G371" s="367"/>
      <c r="H371" s="367"/>
      <c r="I371" s="367"/>
      <c r="J371" s="367"/>
      <c r="K371" s="367"/>
      <c r="L371" s="367"/>
      <c r="M371" s="367"/>
      <c r="N371" s="367"/>
      <c r="O371" s="367"/>
      <c r="P371" s="367"/>
      <c r="Q371" s="367"/>
      <c r="R371" s="367"/>
      <c r="S371" s="367"/>
      <c r="T371" s="367"/>
      <c r="U371" s="367"/>
      <c r="V371" s="367"/>
      <c r="W371" s="367"/>
      <c r="X371" s="367"/>
      <c r="Y371" s="367"/>
      <c r="Z371" s="367"/>
      <c r="AA371" s="367"/>
      <c r="AB371" s="367"/>
      <c r="AC371" s="367"/>
      <c r="AD371" s="367"/>
      <c r="AE371" s="367"/>
      <c r="AF371" s="367"/>
    </row>
    <row r="372" ht="15.75" customHeight="1">
      <c r="A372" s="359"/>
      <c r="B372" s="361"/>
      <c r="C372" s="361"/>
      <c r="D372" s="361"/>
      <c r="E372" s="367"/>
      <c r="F372" s="367"/>
      <c r="G372" s="367"/>
      <c r="H372" s="367"/>
      <c r="I372" s="367"/>
      <c r="J372" s="367"/>
      <c r="K372" s="367"/>
      <c r="L372" s="367"/>
      <c r="M372" s="367"/>
      <c r="N372" s="367"/>
      <c r="O372" s="367"/>
      <c r="P372" s="367"/>
      <c r="Q372" s="367"/>
      <c r="R372" s="367"/>
      <c r="S372" s="367"/>
      <c r="T372" s="367"/>
      <c r="U372" s="367"/>
      <c r="V372" s="367"/>
      <c r="W372" s="367"/>
      <c r="X372" s="367"/>
      <c r="Y372" s="367"/>
      <c r="Z372" s="367"/>
      <c r="AA372" s="367"/>
      <c r="AB372" s="367"/>
      <c r="AC372" s="367"/>
      <c r="AD372" s="367"/>
      <c r="AE372" s="367"/>
      <c r="AF372" s="367"/>
    </row>
    <row r="373" ht="15.75" customHeight="1">
      <c r="A373" s="359"/>
      <c r="B373" s="361"/>
      <c r="C373" s="361"/>
      <c r="D373" s="361"/>
      <c r="E373" s="367"/>
      <c r="F373" s="367"/>
      <c r="G373" s="367"/>
      <c r="H373" s="367"/>
      <c r="I373" s="367"/>
      <c r="J373" s="367"/>
      <c r="K373" s="367"/>
      <c r="L373" s="367"/>
      <c r="M373" s="367"/>
      <c r="N373" s="367"/>
      <c r="O373" s="367"/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  <c r="Z373" s="367"/>
      <c r="AA373" s="367"/>
      <c r="AB373" s="367"/>
      <c r="AC373" s="367"/>
      <c r="AD373" s="367"/>
      <c r="AE373" s="367"/>
      <c r="AF373" s="367"/>
    </row>
    <row r="374" ht="15.75" customHeight="1">
      <c r="A374" s="359"/>
      <c r="B374" s="361"/>
      <c r="C374" s="361"/>
      <c r="D374" s="361"/>
      <c r="E374" s="367"/>
      <c r="F374" s="367"/>
      <c r="G374" s="367"/>
      <c r="H374" s="367"/>
      <c r="I374" s="367"/>
      <c r="J374" s="367"/>
      <c r="K374" s="367"/>
      <c r="L374" s="367"/>
      <c r="M374" s="367"/>
      <c r="N374" s="367"/>
      <c r="O374" s="367"/>
      <c r="P374" s="367"/>
      <c r="Q374" s="367"/>
      <c r="R374" s="367"/>
      <c r="S374" s="367"/>
      <c r="T374" s="367"/>
      <c r="U374" s="367"/>
      <c r="V374" s="367"/>
      <c r="W374" s="367"/>
      <c r="X374" s="367"/>
      <c r="Y374" s="367"/>
      <c r="Z374" s="367"/>
      <c r="AA374" s="367"/>
      <c r="AB374" s="367"/>
      <c r="AC374" s="367"/>
      <c r="AD374" s="367"/>
      <c r="AE374" s="367"/>
      <c r="AF374" s="367"/>
    </row>
    <row r="375" ht="15.75" customHeight="1">
      <c r="A375" s="359"/>
      <c r="B375" s="361"/>
      <c r="C375" s="361"/>
      <c r="D375" s="361"/>
      <c r="E375" s="367"/>
      <c r="F375" s="367"/>
      <c r="G375" s="367"/>
      <c r="H375" s="367"/>
      <c r="I375" s="367"/>
      <c r="J375" s="367"/>
      <c r="K375" s="367"/>
      <c r="L375" s="367"/>
      <c r="M375" s="367"/>
      <c r="N375" s="367"/>
      <c r="O375" s="367"/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  <c r="Z375" s="367"/>
      <c r="AA375" s="367"/>
      <c r="AB375" s="367"/>
      <c r="AC375" s="367"/>
      <c r="AD375" s="367"/>
      <c r="AE375" s="367"/>
      <c r="AF375" s="367"/>
    </row>
    <row r="376" ht="15.75" customHeight="1">
      <c r="A376" s="359"/>
      <c r="B376" s="361"/>
      <c r="C376" s="361"/>
      <c r="D376" s="361"/>
      <c r="E376" s="367"/>
      <c r="F376" s="367"/>
      <c r="G376" s="367"/>
      <c r="H376" s="367"/>
      <c r="I376" s="367"/>
      <c r="J376" s="367"/>
      <c r="K376" s="367"/>
      <c r="L376" s="367"/>
      <c r="M376" s="367"/>
      <c r="N376" s="367"/>
      <c r="O376" s="367"/>
      <c r="P376" s="367"/>
      <c r="Q376" s="367"/>
      <c r="R376" s="367"/>
      <c r="S376" s="367"/>
      <c r="T376" s="367"/>
      <c r="U376" s="367"/>
      <c r="V376" s="367"/>
      <c r="W376" s="367"/>
      <c r="X376" s="367"/>
      <c r="Y376" s="367"/>
      <c r="Z376" s="367"/>
      <c r="AA376" s="367"/>
      <c r="AB376" s="367"/>
      <c r="AC376" s="367"/>
      <c r="AD376" s="367"/>
      <c r="AE376" s="367"/>
      <c r="AF376" s="367"/>
    </row>
    <row r="377" ht="15.75" customHeight="1">
      <c r="A377" s="359"/>
      <c r="B377" s="361"/>
      <c r="C377" s="361"/>
      <c r="D377" s="361"/>
      <c r="E377" s="367"/>
      <c r="F377" s="367"/>
      <c r="G377" s="367"/>
      <c r="H377" s="367"/>
      <c r="I377" s="367"/>
      <c r="J377" s="367"/>
      <c r="K377" s="367"/>
      <c r="L377" s="367"/>
      <c r="M377" s="367"/>
      <c r="N377" s="367"/>
      <c r="O377" s="367"/>
      <c r="P377" s="367"/>
      <c r="Q377" s="367"/>
      <c r="R377" s="367"/>
      <c r="S377" s="367"/>
      <c r="T377" s="367"/>
      <c r="U377" s="367"/>
      <c r="V377" s="367"/>
      <c r="W377" s="367"/>
      <c r="X377" s="367"/>
      <c r="Y377" s="367"/>
      <c r="Z377" s="367"/>
      <c r="AA377" s="367"/>
      <c r="AB377" s="367"/>
      <c r="AC377" s="367"/>
      <c r="AD377" s="367"/>
      <c r="AE377" s="367"/>
      <c r="AF377" s="367"/>
    </row>
    <row r="378" ht="15.75" customHeight="1">
      <c r="A378" s="359"/>
      <c r="B378" s="361"/>
      <c r="C378" s="361"/>
      <c r="D378" s="361"/>
      <c r="E378" s="367"/>
      <c r="F378" s="367"/>
      <c r="G378" s="367"/>
      <c r="H378" s="367"/>
      <c r="I378" s="367"/>
      <c r="J378" s="367"/>
      <c r="K378" s="367"/>
      <c r="L378" s="367"/>
      <c r="M378" s="367"/>
      <c r="N378" s="367"/>
      <c r="O378" s="367"/>
      <c r="P378" s="367"/>
      <c r="Q378" s="367"/>
      <c r="R378" s="367"/>
      <c r="S378" s="367"/>
      <c r="T378" s="367"/>
      <c r="U378" s="367"/>
      <c r="V378" s="367"/>
      <c r="W378" s="367"/>
      <c r="X378" s="367"/>
      <c r="Y378" s="367"/>
      <c r="Z378" s="367"/>
      <c r="AA378" s="367"/>
      <c r="AB378" s="367"/>
      <c r="AC378" s="367"/>
      <c r="AD378" s="367"/>
      <c r="AE378" s="367"/>
      <c r="AF378" s="367"/>
    </row>
    <row r="379" ht="15.75" customHeight="1">
      <c r="A379" s="359"/>
      <c r="B379" s="361"/>
      <c r="C379" s="361"/>
      <c r="D379" s="361"/>
      <c r="E379" s="367"/>
      <c r="F379" s="367"/>
      <c r="G379" s="367"/>
      <c r="H379" s="367"/>
      <c r="I379" s="367"/>
      <c r="J379" s="367"/>
      <c r="K379" s="367"/>
      <c r="L379" s="367"/>
      <c r="M379" s="367"/>
      <c r="N379" s="367"/>
      <c r="O379" s="367"/>
      <c r="P379" s="367"/>
      <c r="Q379" s="367"/>
      <c r="R379" s="367"/>
      <c r="S379" s="367"/>
      <c r="T379" s="367"/>
      <c r="U379" s="367"/>
      <c r="V379" s="367"/>
      <c r="W379" s="367"/>
      <c r="X379" s="367"/>
      <c r="Y379" s="367"/>
      <c r="Z379" s="367"/>
      <c r="AA379" s="367"/>
      <c r="AB379" s="367"/>
      <c r="AC379" s="367"/>
      <c r="AD379" s="367"/>
      <c r="AE379" s="367"/>
      <c r="AF379" s="367"/>
    </row>
    <row r="380" ht="15.75" customHeight="1">
      <c r="A380" s="359"/>
      <c r="B380" s="361"/>
      <c r="C380" s="361"/>
      <c r="D380" s="361"/>
      <c r="E380" s="367"/>
      <c r="F380" s="367"/>
      <c r="G380" s="367"/>
      <c r="H380" s="367"/>
      <c r="I380" s="367"/>
      <c r="J380" s="367"/>
      <c r="K380" s="367"/>
      <c r="L380" s="367"/>
      <c r="M380" s="367"/>
      <c r="N380" s="367"/>
      <c r="O380" s="367"/>
      <c r="P380" s="367"/>
      <c r="Q380" s="367"/>
      <c r="R380" s="367"/>
      <c r="S380" s="367"/>
      <c r="T380" s="367"/>
      <c r="U380" s="367"/>
      <c r="V380" s="367"/>
      <c r="W380" s="367"/>
      <c r="X380" s="367"/>
      <c r="Y380" s="367"/>
      <c r="Z380" s="367"/>
      <c r="AA380" s="367"/>
      <c r="AB380" s="367"/>
      <c r="AC380" s="367"/>
      <c r="AD380" s="367"/>
      <c r="AE380" s="367"/>
      <c r="AF380" s="367"/>
    </row>
    <row r="381" ht="15.75" customHeight="1">
      <c r="A381" s="359"/>
      <c r="B381" s="361"/>
      <c r="C381" s="361"/>
      <c r="D381" s="361"/>
      <c r="E381" s="367"/>
      <c r="F381" s="367"/>
      <c r="G381" s="367"/>
      <c r="H381" s="367"/>
      <c r="I381" s="367"/>
      <c r="J381" s="367"/>
      <c r="K381" s="367"/>
      <c r="L381" s="367"/>
      <c r="M381" s="367"/>
      <c r="N381" s="367"/>
      <c r="O381" s="367"/>
      <c r="P381" s="367"/>
      <c r="Q381" s="367"/>
      <c r="R381" s="367"/>
      <c r="S381" s="367"/>
      <c r="T381" s="367"/>
      <c r="U381" s="367"/>
      <c r="V381" s="367"/>
      <c r="W381" s="367"/>
      <c r="X381" s="367"/>
      <c r="Y381" s="367"/>
      <c r="Z381" s="367"/>
      <c r="AA381" s="367"/>
      <c r="AB381" s="367"/>
      <c r="AC381" s="367"/>
      <c r="AD381" s="367"/>
      <c r="AE381" s="367"/>
      <c r="AF381" s="367"/>
    </row>
    <row r="382" ht="15.75" customHeight="1">
      <c r="A382" s="359"/>
      <c r="B382" s="361"/>
      <c r="C382" s="361"/>
      <c r="D382" s="361"/>
      <c r="E382" s="367"/>
      <c r="F382" s="367"/>
      <c r="G382" s="367"/>
      <c r="H382" s="367"/>
      <c r="I382" s="367"/>
      <c r="J382" s="367"/>
      <c r="K382" s="367"/>
      <c r="L382" s="367"/>
      <c r="M382" s="367"/>
      <c r="N382" s="367"/>
      <c r="O382" s="367"/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  <c r="Z382" s="367"/>
      <c r="AA382" s="367"/>
      <c r="AB382" s="367"/>
      <c r="AC382" s="367"/>
      <c r="AD382" s="367"/>
      <c r="AE382" s="367"/>
      <c r="AF382" s="367"/>
    </row>
    <row r="383" ht="15.75" customHeight="1">
      <c r="A383" s="359"/>
      <c r="B383" s="361"/>
      <c r="C383" s="361"/>
      <c r="D383" s="361"/>
      <c r="E383" s="367"/>
      <c r="F383" s="367"/>
      <c r="G383" s="367"/>
      <c r="H383" s="367"/>
      <c r="I383" s="367"/>
      <c r="J383" s="367"/>
      <c r="K383" s="367"/>
      <c r="L383" s="367"/>
      <c r="M383" s="367"/>
      <c r="N383" s="367"/>
      <c r="O383" s="367"/>
      <c r="P383" s="367"/>
      <c r="Q383" s="367"/>
      <c r="R383" s="367"/>
      <c r="S383" s="367"/>
      <c r="T383" s="367"/>
      <c r="U383" s="367"/>
      <c r="V383" s="367"/>
      <c r="W383" s="367"/>
      <c r="X383" s="367"/>
      <c r="Y383" s="367"/>
      <c r="Z383" s="367"/>
      <c r="AA383" s="367"/>
      <c r="AB383" s="367"/>
      <c r="AC383" s="367"/>
      <c r="AD383" s="367"/>
      <c r="AE383" s="367"/>
      <c r="AF383" s="367"/>
    </row>
    <row r="384" ht="15.75" customHeight="1">
      <c r="A384" s="359"/>
      <c r="B384" s="361"/>
      <c r="C384" s="361"/>
      <c r="D384" s="361"/>
      <c r="E384" s="367"/>
      <c r="F384" s="367"/>
      <c r="G384" s="367"/>
      <c r="H384" s="367"/>
      <c r="I384" s="367"/>
      <c r="J384" s="367"/>
      <c r="K384" s="367"/>
      <c r="L384" s="367"/>
      <c r="M384" s="367"/>
      <c r="N384" s="367"/>
      <c r="O384" s="367"/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  <c r="Z384" s="367"/>
      <c r="AA384" s="367"/>
      <c r="AB384" s="367"/>
      <c r="AC384" s="367"/>
      <c r="AD384" s="367"/>
      <c r="AE384" s="367"/>
      <c r="AF384" s="367"/>
    </row>
    <row r="385" ht="15.75" customHeight="1">
      <c r="A385" s="359"/>
      <c r="B385" s="361"/>
      <c r="C385" s="361"/>
      <c r="D385" s="361"/>
      <c r="E385" s="367"/>
      <c r="F385" s="367"/>
      <c r="G385" s="367"/>
      <c r="H385" s="367"/>
      <c r="I385" s="367"/>
      <c r="J385" s="367"/>
      <c r="K385" s="367"/>
      <c r="L385" s="367"/>
      <c r="M385" s="367"/>
      <c r="N385" s="367"/>
      <c r="O385" s="367"/>
      <c r="P385" s="367"/>
      <c r="Q385" s="367"/>
      <c r="R385" s="367"/>
      <c r="S385" s="367"/>
      <c r="T385" s="367"/>
      <c r="U385" s="367"/>
      <c r="V385" s="367"/>
      <c r="W385" s="367"/>
      <c r="X385" s="367"/>
      <c r="Y385" s="367"/>
      <c r="Z385" s="367"/>
      <c r="AA385" s="367"/>
      <c r="AB385" s="367"/>
      <c r="AC385" s="367"/>
      <c r="AD385" s="367"/>
      <c r="AE385" s="367"/>
      <c r="AF385" s="367"/>
    </row>
    <row r="386" ht="15.75" customHeight="1">
      <c r="A386" s="359"/>
      <c r="B386" s="361"/>
      <c r="C386" s="361"/>
      <c r="D386" s="361"/>
      <c r="E386" s="367"/>
      <c r="F386" s="367"/>
      <c r="G386" s="367"/>
      <c r="H386" s="367"/>
      <c r="I386" s="367"/>
      <c r="J386" s="367"/>
      <c r="K386" s="367"/>
      <c r="L386" s="367"/>
      <c r="M386" s="367"/>
      <c r="N386" s="367"/>
      <c r="O386" s="367"/>
      <c r="P386" s="367"/>
      <c r="Q386" s="367"/>
      <c r="R386" s="367"/>
      <c r="S386" s="367"/>
      <c r="T386" s="367"/>
      <c r="U386" s="367"/>
      <c r="V386" s="367"/>
      <c r="W386" s="367"/>
      <c r="X386" s="367"/>
      <c r="Y386" s="367"/>
      <c r="Z386" s="367"/>
      <c r="AA386" s="367"/>
      <c r="AB386" s="367"/>
      <c r="AC386" s="367"/>
      <c r="AD386" s="367"/>
      <c r="AE386" s="367"/>
      <c r="AF386" s="367"/>
    </row>
    <row r="387" ht="15.75" customHeight="1">
      <c r="A387" s="359"/>
      <c r="B387" s="361"/>
      <c r="C387" s="361"/>
      <c r="D387" s="361"/>
      <c r="E387" s="367"/>
      <c r="F387" s="367"/>
      <c r="G387" s="367"/>
      <c r="H387" s="367"/>
      <c r="I387" s="367"/>
      <c r="J387" s="367"/>
      <c r="K387" s="367"/>
      <c r="L387" s="367"/>
      <c r="M387" s="367"/>
      <c r="N387" s="367"/>
      <c r="O387" s="367"/>
      <c r="P387" s="367"/>
      <c r="Q387" s="367"/>
      <c r="R387" s="367"/>
      <c r="S387" s="367"/>
      <c r="T387" s="367"/>
      <c r="U387" s="367"/>
      <c r="V387" s="367"/>
      <c r="W387" s="367"/>
      <c r="X387" s="367"/>
      <c r="Y387" s="367"/>
      <c r="Z387" s="367"/>
      <c r="AA387" s="367"/>
      <c r="AB387" s="367"/>
      <c r="AC387" s="367"/>
      <c r="AD387" s="367"/>
      <c r="AE387" s="367"/>
      <c r="AF387" s="367"/>
    </row>
    <row r="388" ht="15.75" customHeight="1">
      <c r="A388" s="359"/>
      <c r="B388" s="361"/>
      <c r="C388" s="361"/>
      <c r="D388" s="361"/>
      <c r="E388" s="367"/>
      <c r="F388" s="367"/>
      <c r="G388" s="367"/>
      <c r="H388" s="367"/>
      <c r="I388" s="367"/>
      <c r="J388" s="367"/>
      <c r="K388" s="367"/>
      <c r="L388" s="367"/>
      <c r="M388" s="367"/>
      <c r="N388" s="367"/>
      <c r="O388" s="367"/>
      <c r="P388" s="367"/>
      <c r="Q388" s="367"/>
      <c r="R388" s="367"/>
      <c r="S388" s="367"/>
      <c r="T388" s="367"/>
      <c r="U388" s="367"/>
      <c r="V388" s="367"/>
      <c r="W388" s="367"/>
      <c r="X388" s="367"/>
      <c r="Y388" s="367"/>
      <c r="Z388" s="367"/>
      <c r="AA388" s="367"/>
      <c r="AB388" s="367"/>
      <c r="AC388" s="367"/>
      <c r="AD388" s="367"/>
      <c r="AE388" s="367"/>
      <c r="AF388" s="367"/>
    </row>
    <row r="389" ht="15.75" customHeight="1">
      <c r="A389" s="359"/>
      <c r="B389" s="361"/>
      <c r="C389" s="361"/>
      <c r="D389" s="361"/>
      <c r="E389" s="367"/>
      <c r="F389" s="367"/>
      <c r="G389" s="367"/>
      <c r="H389" s="367"/>
      <c r="I389" s="367"/>
      <c r="J389" s="367"/>
      <c r="K389" s="367"/>
      <c r="L389" s="367"/>
      <c r="M389" s="367"/>
      <c r="N389" s="367"/>
      <c r="O389" s="367"/>
      <c r="P389" s="367"/>
      <c r="Q389" s="367"/>
      <c r="R389" s="367"/>
      <c r="S389" s="367"/>
      <c r="T389" s="367"/>
      <c r="U389" s="367"/>
      <c r="V389" s="367"/>
      <c r="W389" s="367"/>
      <c r="X389" s="367"/>
      <c r="Y389" s="367"/>
      <c r="Z389" s="367"/>
      <c r="AA389" s="367"/>
      <c r="AB389" s="367"/>
      <c r="AC389" s="367"/>
      <c r="AD389" s="367"/>
      <c r="AE389" s="367"/>
      <c r="AF389" s="367"/>
    </row>
    <row r="390" ht="15.75" customHeight="1">
      <c r="A390" s="359"/>
      <c r="B390" s="361"/>
      <c r="C390" s="361"/>
      <c r="D390" s="361"/>
      <c r="E390" s="367"/>
      <c r="F390" s="367"/>
      <c r="G390" s="367"/>
      <c r="H390" s="367"/>
      <c r="I390" s="367"/>
      <c r="J390" s="367"/>
      <c r="K390" s="367"/>
      <c r="L390" s="367"/>
      <c r="M390" s="367"/>
      <c r="N390" s="367"/>
      <c r="O390" s="367"/>
      <c r="P390" s="367"/>
      <c r="Q390" s="367"/>
      <c r="R390" s="367"/>
      <c r="S390" s="367"/>
      <c r="T390" s="367"/>
      <c r="U390" s="367"/>
      <c r="V390" s="367"/>
      <c r="W390" s="367"/>
      <c r="X390" s="367"/>
      <c r="Y390" s="367"/>
      <c r="Z390" s="367"/>
      <c r="AA390" s="367"/>
      <c r="AB390" s="367"/>
      <c r="AC390" s="367"/>
      <c r="AD390" s="367"/>
      <c r="AE390" s="367"/>
      <c r="AF390" s="367"/>
    </row>
    <row r="391" ht="15.75" customHeight="1">
      <c r="A391" s="359"/>
      <c r="B391" s="361"/>
      <c r="C391" s="361"/>
      <c r="D391" s="361"/>
      <c r="E391" s="367"/>
      <c r="F391" s="367"/>
      <c r="G391" s="367"/>
      <c r="H391" s="367"/>
      <c r="I391" s="367"/>
      <c r="J391" s="367"/>
      <c r="K391" s="367"/>
      <c r="L391" s="367"/>
      <c r="M391" s="367"/>
      <c r="N391" s="367"/>
      <c r="O391" s="367"/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  <c r="Z391" s="367"/>
      <c r="AA391" s="367"/>
      <c r="AB391" s="367"/>
      <c r="AC391" s="367"/>
      <c r="AD391" s="367"/>
      <c r="AE391" s="367"/>
      <c r="AF391" s="367"/>
    </row>
    <row r="392" ht="15.75" customHeight="1">
      <c r="A392" s="359"/>
      <c r="B392" s="361"/>
      <c r="C392" s="361"/>
      <c r="D392" s="361"/>
      <c r="E392" s="367"/>
      <c r="F392" s="367"/>
      <c r="G392" s="367"/>
      <c r="H392" s="367"/>
      <c r="I392" s="367"/>
      <c r="J392" s="367"/>
      <c r="K392" s="367"/>
      <c r="L392" s="367"/>
      <c r="M392" s="367"/>
      <c r="N392" s="367"/>
      <c r="O392" s="367"/>
      <c r="P392" s="367"/>
      <c r="Q392" s="367"/>
      <c r="R392" s="367"/>
      <c r="S392" s="367"/>
      <c r="T392" s="367"/>
      <c r="U392" s="367"/>
      <c r="V392" s="367"/>
      <c r="W392" s="367"/>
      <c r="X392" s="367"/>
      <c r="Y392" s="367"/>
      <c r="Z392" s="367"/>
      <c r="AA392" s="367"/>
      <c r="AB392" s="367"/>
      <c r="AC392" s="367"/>
      <c r="AD392" s="367"/>
      <c r="AE392" s="367"/>
      <c r="AF392" s="367"/>
    </row>
    <row r="393" ht="15.75" customHeight="1">
      <c r="A393" s="359"/>
      <c r="B393" s="361"/>
      <c r="C393" s="361"/>
      <c r="D393" s="361"/>
      <c r="E393" s="367"/>
      <c r="F393" s="367"/>
      <c r="G393" s="367"/>
      <c r="H393" s="367"/>
      <c r="I393" s="367"/>
      <c r="J393" s="367"/>
      <c r="K393" s="367"/>
      <c r="L393" s="367"/>
      <c r="M393" s="367"/>
      <c r="N393" s="367"/>
      <c r="O393" s="367"/>
      <c r="P393" s="367"/>
      <c r="Q393" s="367"/>
      <c r="R393" s="367"/>
      <c r="S393" s="367"/>
      <c r="T393" s="367"/>
      <c r="U393" s="367"/>
      <c r="V393" s="367"/>
      <c r="W393" s="367"/>
      <c r="X393" s="367"/>
      <c r="Y393" s="367"/>
      <c r="Z393" s="367"/>
      <c r="AA393" s="367"/>
      <c r="AB393" s="367"/>
      <c r="AC393" s="367"/>
      <c r="AD393" s="367"/>
      <c r="AE393" s="367"/>
      <c r="AF393" s="367"/>
    </row>
    <row r="394" ht="15.75" customHeight="1">
      <c r="A394" s="359"/>
      <c r="B394" s="361"/>
      <c r="C394" s="361"/>
      <c r="D394" s="361"/>
      <c r="E394" s="367"/>
      <c r="F394" s="367"/>
      <c r="G394" s="367"/>
      <c r="H394" s="367"/>
      <c r="I394" s="367"/>
      <c r="J394" s="367"/>
      <c r="K394" s="367"/>
      <c r="L394" s="367"/>
      <c r="M394" s="367"/>
      <c r="N394" s="367"/>
      <c r="O394" s="367"/>
      <c r="P394" s="367"/>
      <c r="Q394" s="367"/>
      <c r="R394" s="367"/>
      <c r="S394" s="367"/>
      <c r="T394" s="367"/>
      <c r="U394" s="367"/>
      <c r="V394" s="367"/>
      <c r="W394" s="367"/>
      <c r="X394" s="367"/>
      <c r="Y394" s="367"/>
      <c r="Z394" s="367"/>
      <c r="AA394" s="367"/>
      <c r="AB394" s="367"/>
      <c r="AC394" s="367"/>
      <c r="AD394" s="367"/>
      <c r="AE394" s="367"/>
      <c r="AF394" s="367"/>
    </row>
    <row r="395" ht="15.75" customHeight="1">
      <c r="A395" s="359"/>
      <c r="B395" s="361"/>
      <c r="C395" s="361"/>
      <c r="D395" s="361"/>
      <c r="E395" s="367"/>
      <c r="F395" s="367"/>
      <c r="G395" s="367"/>
      <c r="H395" s="367"/>
      <c r="I395" s="367"/>
      <c r="J395" s="367"/>
      <c r="K395" s="367"/>
      <c r="L395" s="367"/>
      <c r="M395" s="367"/>
      <c r="N395" s="367"/>
      <c r="O395" s="367"/>
      <c r="P395" s="367"/>
      <c r="Q395" s="367"/>
      <c r="R395" s="367"/>
      <c r="S395" s="367"/>
      <c r="T395" s="367"/>
      <c r="U395" s="367"/>
      <c r="V395" s="367"/>
      <c r="W395" s="367"/>
      <c r="X395" s="367"/>
      <c r="Y395" s="367"/>
      <c r="Z395" s="367"/>
      <c r="AA395" s="367"/>
      <c r="AB395" s="367"/>
      <c r="AC395" s="367"/>
      <c r="AD395" s="367"/>
      <c r="AE395" s="367"/>
      <c r="AF395" s="367"/>
    </row>
    <row r="396" ht="15.75" customHeight="1">
      <c r="A396" s="359"/>
      <c r="B396" s="361"/>
      <c r="C396" s="361"/>
      <c r="D396" s="361"/>
      <c r="E396" s="367"/>
      <c r="F396" s="367"/>
      <c r="G396" s="367"/>
      <c r="H396" s="367"/>
      <c r="I396" s="367"/>
      <c r="J396" s="367"/>
      <c r="K396" s="367"/>
      <c r="L396" s="367"/>
      <c r="M396" s="367"/>
      <c r="N396" s="367"/>
      <c r="O396" s="367"/>
      <c r="P396" s="367"/>
      <c r="Q396" s="367"/>
      <c r="R396" s="367"/>
      <c r="S396" s="367"/>
      <c r="T396" s="367"/>
      <c r="U396" s="367"/>
      <c r="V396" s="367"/>
      <c r="W396" s="367"/>
      <c r="X396" s="367"/>
      <c r="Y396" s="367"/>
      <c r="Z396" s="367"/>
      <c r="AA396" s="367"/>
      <c r="AB396" s="367"/>
      <c r="AC396" s="367"/>
      <c r="AD396" s="367"/>
      <c r="AE396" s="367"/>
      <c r="AF396" s="367"/>
    </row>
    <row r="397" ht="15.75" customHeight="1">
      <c r="A397" s="359"/>
      <c r="B397" s="361"/>
      <c r="C397" s="361"/>
      <c r="D397" s="361"/>
      <c r="E397" s="367"/>
      <c r="F397" s="367"/>
      <c r="G397" s="367"/>
      <c r="H397" s="367"/>
      <c r="I397" s="367"/>
      <c r="J397" s="367"/>
      <c r="K397" s="367"/>
      <c r="L397" s="367"/>
      <c r="M397" s="367"/>
      <c r="N397" s="367"/>
      <c r="O397" s="367"/>
      <c r="P397" s="367"/>
      <c r="Q397" s="367"/>
      <c r="R397" s="367"/>
      <c r="S397" s="367"/>
      <c r="T397" s="367"/>
      <c r="U397" s="367"/>
      <c r="V397" s="367"/>
      <c r="W397" s="367"/>
      <c r="X397" s="367"/>
      <c r="Y397" s="367"/>
      <c r="Z397" s="367"/>
      <c r="AA397" s="367"/>
      <c r="AB397" s="367"/>
      <c r="AC397" s="367"/>
      <c r="AD397" s="367"/>
      <c r="AE397" s="367"/>
      <c r="AF397" s="367"/>
    </row>
    <row r="398" ht="15.75" customHeight="1">
      <c r="A398" s="359"/>
      <c r="B398" s="361"/>
      <c r="C398" s="361"/>
      <c r="D398" s="361"/>
      <c r="E398" s="367"/>
      <c r="F398" s="367"/>
      <c r="G398" s="367"/>
      <c r="H398" s="367"/>
      <c r="I398" s="367"/>
      <c r="J398" s="367"/>
      <c r="K398" s="367"/>
      <c r="L398" s="367"/>
      <c r="M398" s="367"/>
      <c r="N398" s="367"/>
      <c r="O398" s="367"/>
      <c r="P398" s="367"/>
      <c r="Q398" s="367"/>
      <c r="R398" s="367"/>
      <c r="S398" s="367"/>
      <c r="T398" s="367"/>
      <c r="U398" s="367"/>
      <c r="V398" s="367"/>
      <c r="W398" s="367"/>
      <c r="X398" s="367"/>
      <c r="Y398" s="367"/>
      <c r="Z398" s="367"/>
      <c r="AA398" s="367"/>
      <c r="AB398" s="367"/>
      <c r="AC398" s="367"/>
      <c r="AD398" s="367"/>
      <c r="AE398" s="367"/>
      <c r="AF398" s="367"/>
    </row>
    <row r="399" ht="15.75" customHeight="1">
      <c r="A399" s="359"/>
      <c r="B399" s="361"/>
      <c r="C399" s="361"/>
      <c r="D399" s="361"/>
      <c r="E399" s="367"/>
      <c r="F399" s="367"/>
      <c r="G399" s="367"/>
      <c r="H399" s="367"/>
      <c r="I399" s="367"/>
      <c r="J399" s="367"/>
      <c r="K399" s="367"/>
      <c r="L399" s="367"/>
      <c r="M399" s="367"/>
      <c r="N399" s="367"/>
      <c r="O399" s="367"/>
      <c r="P399" s="367"/>
      <c r="Q399" s="367"/>
      <c r="R399" s="367"/>
      <c r="S399" s="367"/>
      <c r="T399" s="367"/>
      <c r="U399" s="367"/>
      <c r="V399" s="367"/>
      <c r="W399" s="367"/>
      <c r="X399" s="367"/>
      <c r="Y399" s="367"/>
      <c r="Z399" s="367"/>
      <c r="AA399" s="367"/>
      <c r="AB399" s="367"/>
      <c r="AC399" s="367"/>
      <c r="AD399" s="367"/>
      <c r="AE399" s="367"/>
      <c r="AF399" s="367"/>
    </row>
    <row r="400" ht="15.75" customHeight="1">
      <c r="A400" s="359"/>
      <c r="B400" s="361"/>
      <c r="C400" s="361"/>
      <c r="D400" s="361"/>
      <c r="E400" s="367"/>
      <c r="F400" s="367"/>
      <c r="G400" s="367"/>
      <c r="H400" s="367"/>
      <c r="I400" s="367"/>
      <c r="J400" s="367"/>
      <c r="K400" s="367"/>
      <c r="L400" s="367"/>
      <c r="M400" s="367"/>
      <c r="N400" s="367"/>
      <c r="O400" s="367"/>
      <c r="P400" s="367"/>
      <c r="Q400" s="367"/>
      <c r="R400" s="367"/>
      <c r="S400" s="367"/>
      <c r="T400" s="367"/>
      <c r="U400" s="367"/>
      <c r="V400" s="367"/>
      <c r="W400" s="367"/>
      <c r="X400" s="367"/>
      <c r="Y400" s="367"/>
      <c r="Z400" s="367"/>
      <c r="AA400" s="367"/>
      <c r="AB400" s="367"/>
      <c r="AC400" s="367"/>
      <c r="AD400" s="367"/>
      <c r="AE400" s="367"/>
      <c r="AF400" s="367"/>
    </row>
    <row r="401" ht="15.75" customHeight="1">
      <c r="A401" s="359"/>
      <c r="B401" s="361"/>
      <c r="C401" s="361"/>
      <c r="D401" s="361"/>
      <c r="E401" s="367"/>
      <c r="F401" s="367"/>
      <c r="G401" s="367"/>
      <c r="H401" s="367"/>
      <c r="I401" s="367"/>
      <c r="J401" s="367"/>
      <c r="K401" s="367"/>
      <c r="L401" s="367"/>
      <c r="M401" s="367"/>
      <c r="N401" s="367"/>
      <c r="O401" s="367"/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  <c r="Z401" s="367"/>
      <c r="AA401" s="367"/>
      <c r="AB401" s="367"/>
      <c r="AC401" s="367"/>
      <c r="AD401" s="367"/>
      <c r="AE401" s="367"/>
      <c r="AF401" s="367"/>
    </row>
    <row r="402" ht="15.75" customHeight="1">
      <c r="A402" s="359"/>
      <c r="B402" s="361"/>
      <c r="C402" s="361"/>
      <c r="D402" s="361"/>
      <c r="E402" s="367"/>
      <c r="F402" s="367"/>
      <c r="G402" s="367"/>
      <c r="H402" s="367"/>
      <c r="I402" s="367"/>
      <c r="J402" s="367"/>
      <c r="K402" s="367"/>
      <c r="L402" s="367"/>
      <c r="M402" s="367"/>
      <c r="N402" s="367"/>
      <c r="O402" s="367"/>
      <c r="P402" s="367"/>
      <c r="Q402" s="367"/>
      <c r="R402" s="367"/>
      <c r="S402" s="367"/>
      <c r="T402" s="367"/>
      <c r="U402" s="367"/>
      <c r="V402" s="367"/>
      <c r="W402" s="367"/>
      <c r="X402" s="367"/>
      <c r="Y402" s="367"/>
      <c r="Z402" s="367"/>
      <c r="AA402" s="367"/>
      <c r="AB402" s="367"/>
      <c r="AC402" s="367"/>
      <c r="AD402" s="367"/>
      <c r="AE402" s="367"/>
      <c r="AF402" s="367"/>
    </row>
    <row r="403" ht="15.75" customHeight="1">
      <c r="A403" s="359"/>
      <c r="B403" s="361"/>
      <c r="C403" s="361"/>
      <c r="D403" s="361"/>
      <c r="E403" s="367"/>
      <c r="F403" s="367"/>
      <c r="G403" s="367"/>
      <c r="H403" s="367"/>
      <c r="I403" s="367"/>
      <c r="J403" s="367"/>
      <c r="K403" s="367"/>
      <c r="L403" s="367"/>
      <c r="M403" s="367"/>
      <c r="N403" s="367"/>
      <c r="O403" s="367"/>
      <c r="P403" s="367"/>
      <c r="Q403" s="367"/>
      <c r="R403" s="367"/>
      <c r="S403" s="367"/>
      <c r="T403" s="367"/>
      <c r="U403" s="367"/>
      <c r="V403" s="367"/>
      <c r="W403" s="367"/>
      <c r="X403" s="367"/>
      <c r="Y403" s="367"/>
      <c r="Z403" s="367"/>
      <c r="AA403" s="367"/>
      <c r="AB403" s="367"/>
      <c r="AC403" s="367"/>
      <c r="AD403" s="367"/>
      <c r="AE403" s="367"/>
      <c r="AF403" s="367"/>
    </row>
    <row r="404" ht="15.75" customHeight="1">
      <c r="A404" s="359"/>
      <c r="B404" s="361"/>
      <c r="C404" s="361"/>
      <c r="D404" s="361"/>
      <c r="E404" s="367"/>
      <c r="F404" s="367"/>
      <c r="G404" s="367"/>
      <c r="H404" s="367"/>
      <c r="I404" s="367"/>
      <c r="J404" s="367"/>
      <c r="K404" s="367"/>
      <c r="L404" s="367"/>
      <c r="M404" s="367"/>
      <c r="N404" s="367"/>
      <c r="O404" s="367"/>
      <c r="P404" s="367"/>
      <c r="Q404" s="367"/>
      <c r="R404" s="367"/>
      <c r="S404" s="367"/>
      <c r="T404" s="367"/>
      <c r="U404" s="367"/>
      <c r="V404" s="367"/>
      <c r="W404" s="367"/>
      <c r="X404" s="367"/>
      <c r="Y404" s="367"/>
      <c r="Z404" s="367"/>
      <c r="AA404" s="367"/>
      <c r="AB404" s="367"/>
      <c r="AC404" s="367"/>
      <c r="AD404" s="367"/>
      <c r="AE404" s="367"/>
      <c r="AF404" s="367"/>
    </row>
    <row r="405" ht="15.75" customHeight="1">
      <c r="A405" s="359"/>
      <c r="B405" s="361"/>
      <c r="C405" s="361"/>
      <c r="D405" s="361"/>
      <c r="E405" s="367"/>
      <c r="F405" s="367"/>
      <c r="G405" s="367"/>
      <c r="H405" s="367"/>
      <c r="I405" s="367"/>
      <c r="J405" s="367"/>
      <c r="K405" s="367"/>
      <c r="L405" s="367"/>
      <c r="M405" s="367"/>
      <c r="N405" s="367"/>
      <c r="O405" s="367"/>
      <c r="P405" s="367"/>
      <c r="Q405" s="367"/>
      <c r="R405" s="367"/>
      <c r="S405" s="367"/>
      <c r="T405" s="367"/>
      <c r="U405" s="367"/>
      <c r="V405" s="367"/>
      <c r="W405" s="367"/>
      <c r="X405" s="367"/>
      <c r="Y405" s="367"/>
      <c r="Z405" s="367"/>
      <c r="AA405" s="367"/>
      <c r="AB405" s="367"/>
      <c r="AC405" s="367"/>
      <c r="AD405" s="367"/>
      <c r="AE405" s="367"/>
      <c r="AF405" s="367"/>
    </row>
    <row r="406" ht="15.75" customHeight="1">
      <c r="A406" s="359"/>
      <c r="B406" s="361"/>
      <c r="C406" s="361"/>
      <c r="D406" s="361"/>
      <c r="E406" s="367"/>
      <c r="F406" s="367"/>
      <c r="G406" s="367"/>
      <c r="H406" s="367"/>
      <c r="I406" s="367"/>
      <c r="J406" s="367"/>
      <c r="K406" s="367"/>
      <c r="L406" s="367"/>
      <c r="M406" s="367"/>
      <c r="N406" s="367"/>
      <c r="O406" s="367"/>
      <c r="P406" s="367"/>
      <c r="Q406" s="367"/>
      <c r="R406" s="367"/>
      <c r="S406" s="367"/>
      <c r="T406" s="367"/>
      <c r="U406" s="367"/>
      <c r="V406" s="367"/>
      <c r="W406" s="367"/>
      <c r="X406" s="367"/>
      <c r="Y406" s="367"/>
      <c r="Z406" s="367"/>
      <c r="AA406" s="367"/>
      <c r="AB406" s="367"/>
      <c r="AC406" s="367"/>
      <c r="AD406" s="367"/>
      <c r="AE406" s="367"/>
      <c r="AF406" s="367"/>
    </row>
    <row r="407" ht="15.75" customHeight="1">
      <c r="A407" s="359"/>
      <c r="B407" s="361"/>
      <c r="C407" s="361"/>
      <c r="D407" s="361"/>
      <c r="E407" s="367"/>
      <c r="F407" s="367"/>
      <c r="G407" s="367"/>
      <c r="H407" s="367"/>
      <c r="I407" s="367"/>
      <c r="J407" s="367"/>
      <c r="K407" s="367"/>
      <c r="L407" s="367"/>
      <c r="M407" s="367"/>
      <c r="N407" s="367"/>
      <c r="O407" s="367"/>
      <c r="P407" s="367"/>
      <c r="Q407" s="367"/>
      <c r="R407" s="367"/>
      <c r="S407" s="367"/>
      <c r="T407" s="367"/>
      <c r="U407" s="367"/>
      <c r="V407" s="367"/>
      <c r="W407" s="367"/>
      <c r="X407" s="367"/>
      <c r="Y407" s="367"/>
      <c r="Z407" s="367"/>
      <c r="AA407" s="367"/>
      <c r="AB407" s="367"/>
      <c r="AC407" s="367"/>
      <c r="AD407" s="367"/>
      <c r="AE407" s="367"/>
      <c r="AF407" s="367"/>
    </row>
    <row r="408" ht="15.75" customHeight="1">
      <c r="A408" s="359"/>
      <c r="B408" s="361"/>
      <c r="C408" s="361"/>
      <c r="D408" s="361"/>
      <c r="E408" s="367"/>
      <c r="F408" s="367"/>
      <c r="G408" s="367"/>
      <c r="H408" s="367"/>
      <c r="I408" s="367"/>
      <c r="J408" s="367"/>
      <c r="K408" s="367"/>
      <c r="L408" s="367"/>
      <c r="M408" s="367"/>
      <c r="N408" s="367"/>
      <c r="O408" s="367"/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</row>
    <row r="409" ht="15.75" customHeight="1">
      <c r="A409" s="359"/>
      <c r="B409" s="361"/>
      <c r="C409" s="361"/>
      <c r="D409" s="361"/>
      <c r="E409" s="367"/>
      <c r="F409" s="367"/>
      <c r="G409" s="367"/>
      <c r="H409" s="367"/>
      <c r="I409" s="367"/>
      <c r="J409" s="367"/>
      <c r="K409" s="367"/>
      <c r="L409" s="367"/>
      <c r="M409" s="367"/>
      <c r="N409" s="367"/>
      <c r="O409" s="367"/>
      <c r="P409" s="367"/>
      <c r="Q409" s="367"/>
      <c r="R409" s="367"/>
      <c r="S409" s="367"/>
      <c r="T409" s="367"/>
      <c r="U409" s="367"/>
      <c r="V409" s="367"/>
      <c r="W409" s="367"/>
      <c r="X409" s="367"/>
      <c r="Y409" s="367"/>
      <c r="Z409" s="367"/>
      <c r="AA409" s="367"/>
      <c r="AB409" s="367"/>
      <c r="AC409" s="367"/>
      <c r="AD409" s="367"/>
      <c r="AE409" s="367"/>
      <c r="AF409" s="367"/>
    </row>
    <row r="410" ht="15.75" customHeight="1">
      <c r="A410" s="359"/>
      <c r="B410" s="361"/>
      <c r="C410" s="361"/>
      <c r="D410" s="361"/>
      <c r="E410" s="367"/>
      <c r="F410" s="367"/>
      <c r="G410" s="367"/>
      <c r="H410" s="367"/>
      <c r="I410" s="367"/>
      <c r="J410" s="367"/>
      <c r="K410" s="367"/>
      <c r="L410" s="367"/>
      <c r="M410" s="367"/>
      <c r="N410" s="367"/>
      <c r="O410" s="367"/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</row>
    <row r="411" ht="15.75" customHeight="1">
      <c r="A411" s="359"/>
      <c r="B411" s="361"/>
      <c r="C411" s="361"/>
      <c r="D411" s="361"/>
      <c r="E411" s="367"/>
      <c r="F411" s="367"/>
      <c r="G411" s="367"/>
      <c r="H411" s="367"/>
      <c r="I411" s="367"/>
      <c r="J411" s="367"/>
      <c r="K411" s="367"/>
      <c r="L411" s="367"/>
      <c r="M411" s="367"/>
      <c r="N411" s="367"/>
      <c r="O411" s="367"/>
      <c r="P411" s="367"/>
      <c r="Q411" s="367"/>
      <c r="R411" s="367"/>
      <c r="S411" s="367"/>
      <c r="T411" s="367"/>
      <c r="U411" s="367"/>
      <c r="V411" s="367"/>
      <c r="W411" s="367"/>
      <c r="X411" s="367"/>
      <c r="Y411" s="367"/>
      <c r="Z411" s="367"/>
      <c r="AA411" s="367"/>
      <c r="AB411" s="367"/>
      <c r="AC411" s="367"/>
      <c r="AD411" s="367"/>
      <c r="AE411" s="367"/>
      <c r="AF411" s="367"/>
    </row>
    <row r="412" ht="15.75" customHeight="1">
      <c r="A412" s="359"/>
      <c r="B412" s="361"/>
      <c r="C412" s="361"/>
      <c r="D412" s="361"/>
      <c r="E412" s="367"/>
      <c r="F412" s="367"/>
      <c r="G412" s="367"/>
      <c r="H412" s="367"/>
      <c r="I412" s="367"/>
      <c r="J412" s="367"/>
      <c r="K412" s="367"/>
      <c r="L412" s="367"/>
      <c r="M412" s="367"/>
      <c r="N412" s="367"/>
      <c r="O412" s="367"/>
      <c r="P412" s="367"/>
      <c r="Q412" s="367"/>
      <c r="R412" s="367"/>
      <c r="S412" s="367"/>
      <c r="T412" s="367"/>
      <c r="U412" s="367"/>
      <c r="V412" s="367"/>
      <c r="W412" s="367"/>
      <c r="X412" s="367"/>
      <c r="Y412" s="367"/>
      <c r="Z412" s="367"/>
      <c r="AA412" s="367"/>
      <c r="AB412" s="367"/>
      <c r="AC412" s="367"/>
      <c r="AD412" s="367"/>
      <c r="AE412" s="367"/>
      <c r="AF412" s="367"/>
    </row>
    <row r="413" ht="15.75" customHeight="1">
      <c r="A413" s="359"/>
      <c r="B413" s="361"/>
      <c r="C413" s="361"/>
      <c r="D413" s="361"/>
      <c r="E413" s="367"/>
      <c r="F413" s="367"/>
      <c r="G413" s="367"/>
      <c r="H413" s="367"/>
      <c r="I413" s="367"/>
      <c r="J413" s="367"/>
      <c r="K413" s="367"/>
      <c r="L413" s="367"/>
      <c r="M413" s="367"/>
      <c r="N413" s="367"/>
      <c r="O413" s="367"/>
      <c r="P413" s="367"/>
      <c r="Q413" s="367"/>
      <c r="R413" s="367"/>
      <c r="S413" s="367"/>
      <c r="T413" s="367"/>
      <c r="U413" s="367"/>
      <c r="V413" s="367"/>
      <c r="W413" s="367"/>
      <c r="X413" s="367"/>
      <c r="Y413" s="367"/>
      <c r="Z413" s="367"/>
      <c r="AA413" s="367"/>
      <c r="AB413" s="367"/>
      <c r="AC413" s="367"/>
      <c r="AD413" s="367"/>
      <c r="AE413" s="367"/>
      <c r="AF413" s="367"/>
    </row>
    <row r="414" ht="15.75" customHeight="1">
      <c r="A414" s="359"/>
      <c r="B414" s="361"/>
      <c r="C414" s="361"/>
      <c r="D414" s="361"/>
      <c r="E414" s="367"/>
      <c r="F414" s="367"/>
      <c r="G414" s="367"/>
      <c r="H414" s="367"/>
      <c r="I414" s="367"/>
      <c r="J414" s="367"/>
      <c r="K414" s="367"/>
      <c r="L414" s="367"/>
      <c r="M414" s="367"/>
      <c r="N414" s="367"/>
      <c r="O414" s="367"/>
      <c r="P414" s="367"/>
      <c r="Q414" s="367"/>
      <c r="R414" s="367"/>
      <c r="S414" s="367"/>
      <c r="T414" s="367"/>
      <c r="U414" s="367"/>
      <c r="V414" s="367"/>
      <c r="W414" s="367"/>
      <c r="X414" s="367"/>
      <c r="Y414" s="367"/>
      <c r="Z414" s="367"/>
      <c r="AA414" s="367"/>
      <c r="AB414" s="367"/>
      <c r="AC414" s="367"/>
      <c r="AD414" s="367"/>
      <c r="AE414" s="367"/>
      <c r="AF414" s="367"/>
    </row>
    <row r="415" ht="15.75" customHeight="1">
      <c r="A415" s="359"/>
      <c r="B415" s="361"/>
      <c r="C415" s="361"/>
      <c r="D415" s="361"/>
      <c r="E415" s="367"/>
      <c r="F415" s="367"/>
      <c r="G415" s="367"/>
      <c r="H415" s="367"/>
      <c r="I415" s="367"/>
      <c r="J415" s="367"/>
      <c r="K415" s="367"/>
      <c r="L415" s="367"/>
      <c r="M415" s="367"/>
      <c r="N415" s="367"/>
      <c r="O415" s="367"/>
      <c r="P415" s="367"/>
      <c r="Q415" s="367"/>
      <c r="R415" s="367"/>
      <c r="S415" s="367"/>
      <c r="T415" s="367"/>
      <c r="U415" s="367"/>
      <c r="V415" s="367"/>
      <c r="W415" s="367"/>
      <c r="X415" s="367"/>
      <c r="Y415" s="367"/>
      <c r="Z415" s="367"/>
      <c r="AA415" s="367"/>
      <c r="AB415" s="367"/>
      <c r="AC415" s="367"/>
      <c r="AD415" s="367"/>
      <c r="AE415" s="367"/>
      <c r="AF415" s="367"/>
    </row>
    <row r="416" ht="15.75" customHeight="1">
      <c r="A416" s="359"/>
      <c r="B416" s="361"/>
      <c r="C416" s="361"/>
      <c r="D416" s="361"/>
      <c r="E416" s="367"/>
      <c r="F416" s="367"/>
      <c r="G416" s="367"/>
      <c r="H416" s="367"/>
      <c r="I416" s="367"/>
      <c r="J416" s="367"/>
      <c r="K416" s="367"/>
      <c r="L416" s="367"/>
      <c r="M416" s="367"/>
      <c r="N416" s="367"/>
      <c r="O416" s="367"/>
      <c r="P416" s="367"/>
      <c r="Q416" s="367"/>
      <c r="R416" s="367"/>
      <c r="S416" s="367"/>
      <c r="T416" s="367"/>
      <c r="U416" s="367"/>
      <c r="V416" s="367"/>
      <c r="W416" s="367"/>
      <c r="X416" s="367"/>
      <c r="Y416" s="367"/>
      <c r="Z416" s="367"/>
      <c r="AA416" s="367"/>
      <c r="AB416" s="367"/>
      <c r="AC416" s="367"/>
      <c r="AD416" s="367"/>
      <c r="AE416" s="367"/>
      <c r="AF416" s="367"/>
    </row>
    <row r="417" ht="15.75" customHeight="1">
      <c r="A417" s="359"/>
      <c r="B417" s="361"/>
      <c r="C417" s="361"/>
      <c r="D417" s="361"/>
      <c r="E417" s="367"/>
      <c r="F417" s="367"/>
      <c r="G417" s="367"/>
      <c r="H417" s="367"/>
      <c r="I417" s="367"/>
      <c r="J417" s="367"/>
      <c r="K417" s="367"/>
      <c r="L417" s="367"/>
      <c r="M417" s="367"/>
      <c r="N417" s="367"/>
      <c r="O417" s="367"/>
      <c r="P417" s="367"/>
      <c r="Q417" s="367"/>
      <c r="R417" s="367"/>
      <c r="S417" s="367"/>
      <c r="T417" s="367"/>
      <c r="U417" s="367"/>
      <c r="V417" s="367"/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</row>
    <row r="418" ht="15.75" customHeight="1">
      <c r="A418" s="359"/>
      <c r="B418" s="361"/>
      <c r="C418" s="361"/>
      <c r="D418" s="361"/>
      <c r="E418" s="367"/>
      <c r="F418" s="367"/>
      <c r="G418" s="367"/>
      <c r="H418" s="367"/>
      <c r="I418" s="367"/>
      <c r="J418" s="367"/>
      <c r="K418" s="367"/>
      <c r="L418" s="367"/>
      <c r="M418" s="367"/>
      <c r="N418" s="367"/>
      <c r="O418" s="367"/>
      <c r="P418" s="367"/>
      <c r="Q418" s="367"/>
      <c r="R418" s="367"/>
      <c r="S418" s="367"/>
      <c r="T418" s="367"/>
      <c r="U418" s="367"/>
      <c r="V418" s="367"/>
      <c r="W418" s="367"/>
      <c r="X418" s="367"/>
      <c r="Y418" s="367"/>
      <c r="Z418" s="367"/>
      <c r="AA418" s="367"/>
      <c r="AB418" s="367"/>
      <c r="AC418" s="367"/>
      <c r="AD418" s="367"/>
      <c r="AE418" s="367"/>
      <c r="AF418" s="367"/>
    </row>
    <row r="419" ht="15.75" customHeight="1">
      <c r="A419" s="359"/>
      <c r="B419" s="361"/>
      <c r="C419" s="361"/>
      <c r="D419" s="361"/>
      <c r="E419" s="367"/>
      <c r="F419" s="367"/>
      <c r="G419" s="367"/>
      <c r="H419" s="367"/>
      <c r="I419" s="367"/>
      <c r="J419" s="367"/>
      <c r="K419" s="367"/>
      <c r="L419" s="367"/>
      <c r="M419" s="367"/>
      <c r="N419" s="367"/>
      <c r="O419" s="367"/>
      <c r="P419" s="367"/>
      <c r="Q419" s="367"/>
      <c r="R419" s="367"/>
      <c r="S419" s="367"/>
      <c r="T419" s="367"/>
      <c r="U419" s="367"/>
      <c r="V419" s="367"/>
      <c r="W419" s="367"/>
      <c r="X419" s="367"/>
      <c r="Y419" s="367"/>
      <c r="Z419" s="367"/>
      <c r="AA419" s="367"/>
      <c r="AB419" s="367"/>
      <c r="AC419" s="367"/>
      <c r="AD419" s="367"/>
      <c r="AE419" s="367"/>
      <c r="AF419" s="367"/>
    </row>
    <row r="420" ht="15.75" customHeight="1">
      <c r="A420" s="359"/>
      <c r="B420" s="361"/>
      <c r="C420" s="361"/>
      <c r="D420" s="361"/>
      <c r="E420" s="367"/>
      <c r="F420" s="367"/>
      <c r="G420" s="367"/>
      <c r="H420" s="367"/>
      <c r="I420" s="367"/>
      <c r="J420" s="367"/>
      <c r="K420" s="367"/>
      <c r="L420" s="367"/>
      <c r="M420" s="367"/>
      <c r="N420" s="367"/>
      <c r="O420" s="367"/>
      <c r="P420" s="367"/>
      <c r="Q420" s="367"/>
      <c r="R420" s="367"/>
      <c r="S420" s="367"/>
      <c r="T420" s="367"/>
      <c r="U420" s="367"/>
      <c r="V420" s="367"/>
      <c r="W420" s="367"/>
      <c r="X420" s="367"/>
      <c r="Y420" s="367"/>
      <c r="Z420" s="367"/>
      <c r="AA420" s="367"/>
      <c r="AB420" s="367"/>
      <c r="AC420" s="367"/>
      <c r="AD420" s="367"/>
      <c r="AE420" s="367"/>
      <c r="AF420" s="367"/>
    </row>
    <row r="421" ht="15.75" customHeight="1">
      <c r="A421" s="359"/>
      <c r="B421" s="361"/>
      <c r="C421" s="361"/>
      <c r="D421" s="361"/>
      <c r="E421" s="367"/>
      <c r="F421" s="367"/>
      <c r="G421" s="367"/>
      <c r="H421" s="367"/>
      <c r="I421" s="367"/>
      <c r="J421" s="367"/>
      <c r="K421" s="367"/>
      <c r="L421" s="367"/>
      <c r="M421" s="367"/>
      <c r="N421" s="367"/>
      <c r="O421" s="367"/>
      <c r="P421" s="367"/>
      <c r="Q421" s="367"/>
      <c r="R421" s="367"/>
      <c r="S421" s="367"/>
      <c r="T421" s="367"/>
      <c r="U421" s="367"/>
      <c r="V421" s="367"/>
      <c r="W421" s="367"/>
      <c r="X421" s="367"/>
      <c r="Y421" s="367"/>
      <c r="Z421" s="367"/>
      <c r="AA421" s="367"/>
      <c r="AB421" s="367"/>
      <c r="AC421" s="367"/>
      <c r="AD421" s="367"/>
      <c r="AE421" s="367"/>
      <c r="AF421" s="367"/>
    </row>
    <row r="422" ht="15.75" customHeight="1">
      <c r="A422" s="359"/>
      <c r="B422" s="361"/>
      <c r="C422" s="361"/>
      <c r="D422" s="361"/>
      <c r="E422" s="367"/>
      <c r="F422" s="367"/>
      <c r="G422" s="367"/>
      <c r="H422" s="367"/>
      <c r="I422" s="367"/>
      <c r="J422" s="367"/>
      <c r="K422" s="367"/>
      <c r="L422" s="367"/>
      <c r="M422" s="367"/>
      <c r="N422" s="367"/>
      <c r="O422" s="367"/>
      <c r="P422" s="367"/>
      <c r="Q422" s="367"/>
      <c r="R422" s="367"/>
      <c r="S422" s="367"/>
      <c r="T422" s="367"/>
      <c r="U422" s="367"/>
      <c r="V422" s="367"/>
      <c r="W422" s="367"/>
      <c r="X422" s="367"/>
      <c r="Y422" s="367"/>
      <c r="Z422" s="367"/>
      <c r="AA422" s="367"/>
      <c r="AB422" s="367"/>
      <c r="AC422" s="367"/>
      <c r="AD422" s="367"/>
      <c r="AE422" s="367"/>
      <c r="AF422" s="367"/>
    </row>
    <row r="423" ht="15.75" customHeight="1">
      <c r="A423" s="359"/>
      <c r="B423" s="361"/>
      <c r="C423" s="361"/>
      <c r="D423" s="361"/>
      <c r="E423" s="367"/>
      <c r="F423" s="367"/>
      <c r="G423" s="367"/>
      <c r="H423" s="367"/>
      <c r="I423" s="367"/>
      <c r="J423" s="367"/>
      <c r="K423" s="367"/>
      <c r="L423" s="367"/>
      <c r="M423" s="367"/>
      <c r="N423" s="367"/>
      <c r="O423" s="367"/>
      <c r="P423" s="367"/>
      <c r="Q423" s="367"/>
      <c r="R423" s="367"/>
      <c r="S423" s="367"/>
      <c r="T423" s="367"/>
      <c r="U423" s="367"/>
      <c r="V423" s="367"/>
      <c r="W423" s="367"/>
      <c r="X423" s="367"/>
      <c r="Y423" s="367"/>
      <c r="Z423" s="367"/>
      <c r="AA423" s="367"/>
      <c r="AB423" s="367"/>
      <c r="AC423" s="367"/>
      <c r="AD423" s="367"/>
      <c r="AE423" s="367"/>
      <c r="AF423" s="367"/>
    </row>
    <row r="424" ht="15.75" customHeight="1">
      <c r="A424" s="359"/>
      <c r="B424" s="361"/>
      <c r="C424" s="361"/>
      <c r="D424" s="361"/>
      <c r="E424" s="367"/>
      <c r="F424" s="367"/>
      <c r="G424" s="367"/>
      <c r="H424" s="367"/>
      <c r="I424" s="367"/>
      <c r="J424" s="367"/>
      <c r="K424" s="367"/>
      <c r="L424" s="367"/>
      <c r="M424" s="367"/>
      <c r="N424" s="367"/>
      <c r="O424" s="367"/>
      <c r="P424" s="367"/>
      <c r="Q424" s="367"/>
      <c r="R424" s="367"/>
      <c r="S424" s="367"/>
      <c r="T424" s="367"/>
      <c r="U424" s="367"/>
      <c r="V424" s="367"/>
      <c r="W424" s="367"/>
      <c r="X424" s="367"/>
      <c r="Y424" s="367"/>
      <c r="Z424" s="367"/>
      <c r="AA424" s="367"/>
      <c r="AB424" s="367"/>
      <c r="AC424" s="367"/>
      <c r="AD424" s="367"/>
      <c r="AE424" s="367"/>
      <c r="AF424" s="367"/>
    </row>
    <row r="425" ht="15.75" customHeight="1">
      <c r="A425" s="359"/>
      <c r="B425" s="361"/>
      <c r="C425" s="361"/>
      <c r="D425" s="361"/>
      <c r="E425" s="367"/>
      <c r="F425" s="367"/>
      <c r="G425" s="367"/>
      <c r="H425" s="367"/>
      <c r="I425" s="367"/>
      <c r="J425" s="367"/>
      <c r="K425" s="367"/>
      <c r="L425" s="367"/>
      <c r="M425" s="367"/>
      <c r="N425" s="367"/>
      <c r="O425" s="367"/>
      <c r="P425" s="367"/>
      <c r="Q425" s="367"/>
      <c r="R425" s="367"/>
      <c r="S425" s="367"/>
      <c r="T425" s="367"/>
      <c r="U425" s="367"/>
      <c r="V425" s="367"/>
      <c r="W425" s="367"/>
      <c r="X425" s="367"/>
      <c r="Y425" s="367"/>
      <c r="Z425" s="367"/>
      <c r="AA425" s="367"/>
      <c r="AB425" s="367"/>
      <c r="AC425" s="367"/>
      <c r="AD425" s="367"/>
      <c r="AE425" s="367"/>
      <c r="AF425" s="367"/>
    </row>
    <row r="426" ht="15.75" customHeight="1">
      <c r="A426" s="359"/>
      <c r="B426" s="361"/>
      <c r="C426" s="361"/>
      <c r="D426" s="361"/>
      <c r="E426" s="367"/>
      <c r="F426" s="367"/>
      <c r="G426" s="367"/>
      <c r="H426" s="367"/>
      <c r="I426" s="367"/>
      <c r="J426" s="367"/>
      <c r="K426" s="367"/>
      <c r="L426" s="367"/>
      <c r="M426" s="367"/>
      <c r="N426" s="367"/>
      <c r="O426" s="367"/>
      <c r="P426" s="367"/>
      <c r="Q426" s="367"/>
      <c r="R426" s="367"/>
      <c r="S426" s="367"/>
      <c r="T426" s="367"/>
      <c r="U426" s="367"/>
      <c r="V426" s="367"/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</row>
    <row r="427" ht="15.75" customHeight="1">
      <c r="A427" s="359"/>
      <c r="B427" s="361"/>
      <c r="C427" s="361"/>
      <c r="D427" s="361"/>
      <c r="E427" s="367"/>
      <c r="F427" s="367"/>
      <c r="G427" s="367"/>
      <c r="H427" s="367"/>
      <c r="I427" s="367"/>
      <c r="J427" s="367"/>
      <c r="K427" s="367"/>
      <c r="L427" s="367"/>
      <c r="M427" s="367"/>
      <c r="N427" s="367"/>
      <c r="O427" s="367"/>
      <c r="P427" s="367"/>
      <c r="Q427" s="367"/>
      <c r="R427" s="367"/>
      <c r="S427" s="367"/>
      <c r="T427" s="367"/>
      <c r="U427" s="367"/>
      <c r="V427" s="367"/>
      <c r="W427" s="367"/>
      <c r="X427" s="367"/>
      <c r="Y427" s="367"/>
      <c r="Z427" s="367"/>
      <c r="AA427" s="367"/>
      <c r="AB427" s="367"/>
      <c r="AC427" s="367"/>
      <c r="AD427" s="367"/>
      <c r="AE427" s="367"/>
      <c r="AF427" s="367"/>
    </row>
    <row r="428" ht="15.75" customHeight="1">
      <c r="A428" s="359"/>
      <c r="B428" s="361"/>
      <c r="C428" s="361"/>
      <c r="D428" s="361"/>
      <c r="E428" s="367"/>
      <c r="F428" s="367"/>
      <c r="G428" s="367"/>
      <c r="H428" s="367"/>
      <c r="I428" s="367"/>
      <c r="J428" s="367"/>
      <c r="K428" s="367"/>
      <c r="L428" s="367"/>
      <c r="M428" s="367"/>
      <c r="N428" s="367"/>
      <c r="O428" s="367"/>
      <c r="P428" s="367"/>
      <c r="Q428" s="367"/>
      <c r="R428" s="367"/>
      <c r="S428" s="367"/>
      <c r="T428" s="367"/>
      <c r="U428" s="367"/>
      <c r="V428" s="367"/>
      <c r="W428" s="367"/>
      <c r="X428" s="367"/>
      <c r="Y428" s="367"/>
      <c r="Z428" s="367"/>
      <c r="AA428" s="367"/>
      <c r="AB428" s="367"/>
      <c r="AC428" s="367"/>
      <c r="AD428" s="367"/>
      <c r="AE428" s="367"/>
      <c r="AF428" s="367"/>
    </row>
    <row r="429" ht="15.75" customHeight="1">
      <c r="A429" s="359"/>
      <c r="B429" s="361"/>
      <c r="C429" s="361"/>
      <c r="D429" s="361"/>
      <c r="E429" s="367"/>
      <c r="F429" s="367"/>
      <c r="G429" s="367"/>
      <c r="H429" s="367"/>
      <c r="I429" s="367"/>
      <c r="J429" s="367"/>
      <c r="K429" s="367"/>
      <c r="L429" s="367"/>
      <c r="M429" s="367"/>
      <c r="N429" s="367"/>
      <c r="O429" s="367"/>
      <c r="P429" s="367"/>
      <c r="Q429" s="367"/>
      <c r="R429" s="367"/>
      <c r="S429" s="367"/>
      <c r="T429" s="367"/>
      <c r="U429" s="367"/>
      <c r="V429" s="367"/>
      <c r="W429" s="367"/>
      <c r="X429" s="367"/>
      <c r="Y429" s="367"/>
      <c r="Z429" s="367"/>
      <c r="AA429" s="367"/>
      <c r="AB429" s="367"/>
      <c r="AC429" s="367"/>
      <c r="AD429" s="367"/>
      <c r="AE429" s="367"/>
      <c r="AF429" s="367"/>
    </row>
    <row r="430" ht="15.75" customHeight="1">
      <c r="A430" s="359"/>
      <c r="B430" s="361"/>
      <c r="C430" s="361"/>
      <c r="D430" s="361"/>
      <c r="E430" s="367"/>
      <c r="F430" s="367"/>
      <c r="G430" s="367"/>
      <c r="H430" s="367"/>
      <c r="I430" s="367"/>
      <c r="J430" s="367"/>
      <c r="K430" s="367"/>
      <c r="L430" s="367"/>
      <c r="M430" s="367"/>
      <c r="N430" s="367"/>
      <c r="O430" s="367"/>
      <c r="P430" s="367"/>
      <c r="Q430" s="367"/>
      <c r="R430" s="367"/>
      <c r="S430" s="367"/>
      <c r="T430" s="367"/>
      <c r="U430" s="367"/>
      <c r="V430" s="367"/>
      <c r="W430" s="367"/>
      <c r="X430" s="367"/>
      <c r="Y430" s="367"/>
      <c r="Z430" s="367"/>
      <c r="AA430" s="367"/>
      <c r="AB430" s="367"/>
      <c r="AC430" s="367"/>
      <c r="AD430" s="367"/>
      <c r="AE430" s="367"/>
      <c r="AF430" s="367"/>
    </row>
    <row r="431" ht="15.75" customHeight="1">
      <c r="A431" s="359"/>
      <c r="B431" s="361"/>
      <c r="C431" s="361"/>
      <c r="D431" s="361"/>
      <c r="E431" s="367"/>
      <c r="F431" s="367"/>
      <c r="G431" s="367"/>
      <c r="H431" s="367"/>
      <c r="I431" s="367"/>
      <c r="J431" s="367"/>
      <c r="K431" s="367"/>
      <c r="L431" s="367"/>
      <c r="M431" s="367"/>
      <c r="N431" s="367"/>
      <c r="O431" s="367"/>
      <c r="P431" s="367"/>
      <c r="Q431" s="367"/>
      <c r="R431" s="367"/>
      <c r="S431" s="367"/>
      <c r="T431" s="367"/>
      <c r="U431" s="367"/>
      <c r="V431" s="367"/>
      <c r="W431" s="367"/>
      <c r="X431" s="367"/>
      <c r="Y431" s="367"/>
      <c r="Z431" s="367"/>
      <c r="AA431" s="367"/>
      <c r="AB431" s="367"/>
      <c r="AC431" s="367"/>
      <c r="AD431" s="367"/>
      <c r="AE431" s="367"/>
      <c r="AF431" s="367"/>
    </row>
    <row r="432" ht="15.75" customHeight="1">
      <c r="A432" s="359"/>
      <c r="B432" s="361"/>
      <c r="C432" s="361"/>
      <c r="D432" s="361"/>
      <c r="E432" s="367"/>
      <c r="F432" s="367"/>
      <c r="G432" s="367"/>
      <c r="H432" s="367"/>
      <c r="I432" s="367"/>
      <c r="J432" s="367"/>
      <c r="K432" s="367"/>
      <c r="L432" s="367"/>
      <c r="M432" s="367"/>
      <c r="N432" s="367"/>
      <c r="O432" s="367"/>
      <c r="P432" s="367"/>
      <c r="Q432" s="367"/>
      <c r="R432" s="367"/>
      <c r="S432" s="367"/>
      <c r="T432" s="367"/>
      <c r="U432" s="367"/>
      <c r="V432" s="367"/>
      <c r="W432" s="367"/>
      <c r="X432" s="367"/>
      <c r="Y432" s="367"/>
      <c r="Z432" s="367"/>
      <c r="AA432" s="367"/>
      <c r="AB432" s="367"/>
      <c r="AC432" s="367"/>
      <c r="AD432" s="367"/>
      <c r="AE432" s="367"/>
      <c r="AF432" s="367"/>
    </row>
    <row r="433" ht="15.75" customHeight="1">
      <c r="A433" s="359"/>
      <c r="B433" s="361"/>
      <c r="C433" s="361"/>
      <c r="D433" s="361"/>
      <c r="E433" s="367"/>
      <c r="F433" s="367"/>
      <c r="G433" s="367"/>
      <c r="H433" s="367"/>
      <c r="I433" s="367"/>
      <c r="J433" s="367"/>
      <c r="K433" s="367"/>
      <c r="L433" s="367"/>
      <c r="M433" s="367"/>
      <c r="N433" s="367"/>
      <c r="O433" s="367"/>
      <c r="P433" s="367"/>
      <c r="Q433" s="367"/>
      <c r="R433" s="367"/>
      <c r="S433" s="367"/>
      <c r="T433" s="367"/>
      <c r="U433" s="367"/>
      <c r="V433" s="367"/>
      <c r="W433" s="367"/>
      <c r="X433" s="367"/>
      <c r="Y433" s="367"/>
      <c r="Z433" s="367"/>
      <c r="AA433" s="367"/>
      <c r="AB433" s="367"/>
      <c r="AC433" s="367"/>
      <c r="AD433" s="367"/>
      <c r="AE433" s="367"/>
      <c r="AF433" s="367"/>
    </row>
    <row r="434" ht="15.75" customHeight="1">
      <c r="A434" s="359"/>
      <c r="B434" s="361"/>
      <c r="C434" s="361"/>
      <c r="D434" s="361"/>
      <c r="E434" s="367"/>
      <c r="F434" s="367"/>
      <c r="G434" s="367"/>
      <c r="H434" s="367"/>
      <c r="I434" s="367"/>
      <c r="J434" s="367"/>
      <c r="K434" s="367"/>
      <c r="L434" s="367"/>
      <c r="M434" s="367"/>
      <c r="N434" s="367"/>
      <c r="O434" s="367"/>
      <c r="P434" s="367"/>
      <c r="Q434" s="367"/>
      <c r="R434" s="367"/>
      <c r="S434" s="367"/>
      <c r="T434" s="367"/>
      <c r="U434" s="367"/>
      <c r="V434" s="367"/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</row>
    <row r="435" ht="15.75" customHeight="1">
      <c r="A435" s="359"/>
      <c r="B435" s="361"/>
      <c r="C435" s="361"/>
      <c r="D435" s="361"/>
      <c r="E435" s="367"/>
      <c r="F435" s="367"/>
      <c r="G435" s="367"/>
      <c r="H435" s="367"/>
      <c r="I435" s="367"/>
      <c r="J435" s="367"/>
      <c r="K435" s="367"/>
      <c r="L435" s="367"/>
      <c r="M435" s="367"/>
      <c r="N435" s="367"/>
      <c r="O435" s="367"/>
      <c r="P435" s="367"/>
      <c r="Q435" s="367"/>
      <c r="R435" s="367"/>
      <c r="S435" s="367"/>
      <c r="T435" s="367"/>
      <c r="U435" s="367"/>
      <c r="V435" s="367"/>
      <c r="W435" s="367"/>
      <c r="X435" s="367"/>
      <c r="Y435" s="367"/>
      <c r="Z435" s="367"/>
      <c r="AA435" s="367"/>
      <c r="AB435" s="367"/>
      <c r="AC435" s="367"/>
      <c r="AD435" s="367"/>
      <c r="AE435" s="367"/>
      <c r="AF435" s="367"/>
    </row>
    <row r="436" ht="15.75" customHeight="1">
      <c r="A436" s="359"/>
      <c r="B436" s="361"/>
      <c r="C436" s="361"/>
      <c r="D436" s="361"/>
      <c r="E436" s="367"/>
      <c r="F436" s="367"/>
      <c r="G436" s="367"/>
      <c r="H436" s="367"/>
      <c r="I436" s="367"/>
      <c r="J436" s="367"/>
      <c r="K436" s="367"/>
      <c r="L436" s="367"/>
      <c r="M436" s="367"/>
      <c r="N436" s="367"/>
      <c r="O436" s="367"/>
      <c r="P436" s="367"/>
      <c r="Q436" s="367"/>
      <c r="R436" s="367"/>
      <c r="S436" s="367"/>
      <c r="T436" s="367"/>
      <c r="U436" s="367"/>
      <c r="V436" s="367"/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</row>
    <row r="437" ht="15.75" customHeight="1">
      <c r="A437" s="359"/>
      <c r="B437" s="361"/>
      <c r="C437" s="361"/>
      <c r="D437" s="361"/>
      <c r="E437" s="367"/>
      <c r="F437" s="367"/>
      <c r="G437" s="367"/>
      <c r="H437" s="367"/>
      <c r="I437" s="367"/>
      <c r="J437" s="367"/>
      <c r="K437" s="367"/>
      <c r="L437" s="367"/>
      <c r="M437" s="367"/>
      <c r="N437" s="367"/>
      <c r="O437" s="367"/>
      <c r="P437" s="367"/>
      <c r="Q437" s="367"/>
      <c r="R437" s="367"/>
      <c r="S437" s="367"/>
      <c r="T437" s="367"/>
      <c r="U437" s="367"/>
      <c r="V437" s="367"/>
      <c r="W437" s="367"/>
      <c r="X437" s="367"/>
      <c r="Y437" s="367"/>
      <c r="Z437" s="367"/>
      <c r="AA437" s="367"/>
      <c r="AB437" s="367"/>
      <c r="AC437" s="367"/>
      <c r="AD437" s="367"/>
      <c r="AE437" s="367"/>
      <c r="AF437" s="367"/>
    </row>
    <row r="438" ht="15.75" customHeight="1">
      <c r="A438" s="359"/>
      <c r="B438" s="361"/>
      <c r="C438" s="361"/>
      <c r="D438" s="361"/>
      <c r="E438" s="367"/>
      <c r="F438" s="367"/>
      <c r="G438" s="367"/>
      <c r="H438" s="367"/>
      <c r="I438" s="367"/>
      <c r="J438" s="367"/>
      <c r="K438" s="367"/>
      <c r="L438" s="367"/>
      <c r="M438" s="367"/>
      <c r="N438" s="367"/>
      <c r="O438" s="367"/>
      <c r="P438" s="367"/>
      <c r="Q438" s="367"/>
      <c r="R438" s="367"/>
      <c r="S438" s="367"/>
      <c r="T438" s="367"/>
      <c r="U438" s="367"/>
      <c r="V438" s="367"/>
      <c r="W438" s="367"/>
      <c r="X438" s="367"/>
      <c r="Y438" s="367"/>
      <c r="Z438" s="367"/>
      <c r="AA438" s="367"/>
      <c r="AB438" s="367"/>
      <c r="AC438" s="367"/>
      <c r="AD438" s="367"/>
      <c r="AE438" s="367"/>
      <c r="AF438" s="367"/>
    </row>
    <row r="439" ht="15.75" customHeight="1">
      <c r="A439" s="359"/>
      <c r="B439" s="361"/>
      <c r="C439" s="361"/>
      <c r="D439" s="361"/>
      <c r="E439" s="367"/>
      <c r="F439" s="367"/>
      <c r="G439" s="367"/>
      <c r="H439" s="367"/>
      <c r="I439" s="367"/>
      <c r="J439" s="367"/>
      <c r="K439" s="367"/>
      <c r="L439" s="367"/>
      <c r="M439" s="367"/>
      <c r="N439" s="367"/>
      <c r="O439" s="367"/>
      <c r="P439" s="367"/>
      <c r="Q439" s="367"/>
      <c r="R439" s="367"/>
      <c r="S439" s="367"/>
      <c r="T439" s="367"/>
      <c r="U439" s="367"/>
      <c r="V439" s="367"/>
      <c r="W439" s="367"/>
      <c r="X439" s="367"/>
      <c r="Y439" s="367"/>
      <c r="Z439" s="367"/>
      <c r="AA439" s="367"/>
      <c r="AB439" s="367"/>
      <c r="AC439" s="367"/>
      <c r="AD439" s="367"/>
      <c r="AE439" s="367"/>
      <c r="AF439" s="367"/>
    </row>
    <row r="440" ht="15.75" customHeight="1">
      <c r="A440" s="359"/>
      <c r="B440" s="361"/>
      <c r="C440" s="361"/>
      <c r="D440" s="361"/>
      <c r="E440" s="367"/>
      <c r="F440" s="367"/>
      <c r="G440" s="367"/>
      <c r="H440" s="367"/>
      <c r="I440" s="367"/>
      <c r="J440" s="367"/>
      <c r="K440" s="367"/>
      <c r="L440" s="367"/>
      <c r="M440" s="367"/>
      <c r="N440" s="367"/>
      <c r="O440" s="367"/>
      <c r="P440" s="367"/>
      <c r="Q440" s="367"/>
      <c r="R440" s="367"/>
      <c r="S440" s="367"/>
      <c r="T440" s="367"/>
      <c r="U440" s="367"/>
      <c r="V440" s="367"/>
      <c r="W440" s="367"/>
      <c r="X440" s="367"/>
      <c r="Y440" s="367"/>
      <c r="Z440" s="367"/>
      <c r="AA440" s="367"/>
      <c r="AB440" s="367"/>
      <c r="AC440" s="367"/>
      <c r="AD440" s="367"/>
      <c r="AE440" s="367"/>
      <c r="AF440" s="367"/>
    </row>
    <row r="441" ht="15.75" customHeight="1">
      <c r="A441" s="359"/>
      <c r="B441" s="361"/>
      <c r="C441" s="361"/>
      <c r="D441" s="361"/>
      <c r="E441" s="367"/>
      <c r="F441" s="367"/>
      <c r="G441" s="367"/>
      <c r="H441" s="367"/>
      <c r="I441" s="367"/>
      <c r="J441" s="367"/>
      <c r="K441" s="367"/>
      <c r="L441" s="367"/>
      <c r="M441" s="367"/>
      <c r="N441" s="367"/>
      <c r="O441" s="367"/>
      <c r="P441" s="367"/>
      <c r="Q441" s="367"/>
      <c r="R441" s="367"/>
      <c r="S441" s="367"/>
      <c r="T441" s="367"/>
      <c r="U441" s="367"/>
      <c r="V441" s="367"/>
      <c r="W441" s="367"/>
      <c r="X441" s="367"/>
      <c r="Y441" s="367"/>
      <c r="Z441" s="367"/>
      <c r="AA441" s="367"/>
      <c r="AB441" s="367"/>
      <c r="AC441" s="367"/>
      <c r="AD441" s="367"/>
      <c r="AE441" s="367"/>
      <c r="AF441" s="367"/>
    </row>
    <row r="442" ht="15.75" customHeight="1">
      <c r="A442" s="359"/>
      <c r="B442" s="361"/>
      <c r="C442" s="361"/>
      <c r="D442" s="361"/>
      <c r="E442" s="367"/>
      <c r="F442" s="367"/>
      <c r="G442" s="367"/>
      <c r="H442" s="367"/>
      <c r="I442" s="367"/>
      <c r="J442" s="367"/>
      <c r="K442" s="367"/>
      <c r="L442" s="367"/>
      <c r="M442" s="367"/>
      <c r="N442" s="367"/>
      <c r="O442" s="367"/>
      <c r="P442" s="367"/>
      <c r="Q442" s="367"/>
      <c r="R442" s="367"/>
      <c r="S442" s="367"/>
      <c r="T442" s="367"/>
      <c r="U442" s="367"/>
      <c r="V442" s="367"/>
      <c r="W442" s="367"/>
      <c r="X442" s="367"/>
      <c r="Y442" s="367"/>
      <c r="Z442" s="367"/>
      <c r="AA442" s="367"/>
      <c r="AB442" s="367"/>
      <c r="AC442" s="367"/>
      <c r="AD442" s="367"/>
      <c r="AE442" s="367"/>
      <c r="AF442" s="367"/>
    </row>
    <row r="443" ht="15.75" customHeight="1">
      <c r="A443" s="359"/>
      <c r="B443" s="361"/>
      <c r="C443" s="361"/>
      <c r="D443" s="361"/>
      <c r="E443" s="367"/>
      <c r="F443" s="367"/>
      <c r="G443" s="367"/>
      <c r="H443" s="367"/>
      <c r="I443" s="367"/>
      <c r="J443" s="367"/>
      <c r="K443" s="367"/>
      <c r="L443" s="367"/>
      <c r="M443" s="367"/>
      <c r="N443" s="367"/>
      <c r="O443" s="367"/>
      <c r="P443" s="367"/>
      <c r="Q443" s="367"/>
      <c r="R443" s="367"/>
      <c r="S443" s="367"/>
      <c r="T443" s="367"/>
      <c r="U443" s="367"/>
      <c r="V443" s="367"/>
      <c r="W443" s="367"/>
      <c r="X443" s="367"/>
      <c r="Y443" s="367"/>
      <c r="Z443" s="367"/>
      <c r="AA443" s="367"/>
      <c r="AB443" s="367"/>
      <c r="AC443" s="367"/>
      <c r="AD443" s="367"/>
      <c r="AE443" s="367"/>
      <c r="AF443" s="367"/>
    </row>
    <row r="444" ht="15.75" customHeight="1">
      <c r="A444" s="359"/>
      <c r="B444" s="361"/>
      <c r="C444" s="361"/>
      <c r="D444" s="361"/>
      <c r="E444" s="367"/>
      <c r="F444" s="367"/>
      <c r="G444" s="367"/>
      <c r="H444" s="367"/>
      <c r="I444" s="367"/>
      <c r="J444" s="367"/>
      <c r="K444" s="367"/>
      <c r="L444" s="367"/>
      <c r="M444" s="367"/>
      <c r="N444" s="367"/>
      <c r="O444" s="367"/>
      <c r="P444" s="367"/>
      <c r="Q444" s="367"/>
      <c r="R444" s="367"/>
      <c r="S444" s="367"/>
      <c r="T444" s="367"/>
      <c r="U444" s="367"/>
      <c r="V444" s="367"/>
      <c r="W444" s="367"/>
      <c r="X444" s="367"/>
      <c r="Y444" s="367"/>
      <c r="Z444" s="367"/>
      <c r="AA444" s="367"/>
      <c r="AB444" s="367"/>
      <c r="AC444" s="367"/>
      <c r="AD444" s="367"/>
      <c r="AE444" s="367"/>
      <c r="AF444" s="367"/>
    </row>
    <row r="445" ht="15.75" customHeight="1">
      <c r="A445" s="359"/>
      <c r="B445" s="361"/>
      <c r="C445" s="361"/>
      <c r="D445" s="361"/>
      <c r="E445" s="367"/>
      <c r="F445" s="367"/>
      <c r="G445" s="367"/>
      <c r="H445" s="367"/>
      <c r="I445" s="367"/>
      <c r="J445" s="367"/>
      <c r="K445" s="367"/>
      <c r="L445" s="367"/>
      <c r="M445" s="367"/>
      <c r="N445" s="367"/>
      <c r="O445" s="367"/>
      <c r="P445" s="367"/>
      <c r="Q445" s="367"/>
      <c r="R445" s="367"/>
      <c r="S445" s="367"/>
      <c r="T445" s="367"/>
      <c r="U445" s="367"/>
      <c r="V445" s="367"/>
      <c r="W445" s="367"/>
      <c r="X445" s="367"/>
      <c r="Y445" s="367"/>
      <c r="Z445" s="367"/>
      <c r="AA445" s="367"/>
      <c r="AB445" s="367"/>
      <c r="AC445" s="367"/>
      <c r="AD445" s="367"/>
      <c r="AE445" s="367"/>
      <c r="AF445" s="367"/>
    </row>
    <row r="446" ht="15.75" customHeight="1">
      <c r="A446" s="359"/>
      <c r="B446" s="361"/>
      <c r="C446" s="361"/>
      <c r="D446" s="361"/>
      <c r="E446" s="367"/>
      <c r="F446" s="367"/>
      <c r="G446" s="367"/>
      <c r="H446" s="367"/>
      <c r="I446" s="367"/>
      <c r="J446" s="367"/>
      <c r="K446" s="367"/>
      <c r="L446" s="367"/>
      <c r="M446" s="367"/>
      <c r="N446" s="367"/>
      <c r="O446" s="367"/>
      <c r="P446" s="367"/>
      <c r="Q446" s="367"/>
      <c r="R446" s="367"/>
      <c r="S446" s="367"/>
      <c r="T446" s="367"/>
      <c r="U446" s="367"/>
      <c r="V446" s="367"/>
      <c r="W446" s="367"/>
      <c r="X446" s="367"/>
      <c r="Y446" s="367"/>
      <c r="Z446" s="367"/>
      <c r="AA446" s="367"/>
      <c r="AB446" s="367"/>
      <c r="AC446" s="367"/>
      <c r="AD446" s="367"/>
      <c r="AE446" s="367"/>
      <c r="AF446" s="367"/>
    </row>
    <row r="447" ht="15.75" customHeight="1">
      <c r="A447" s="359"/>
      <c r="B447" s="361"/>
      <c r="C447" s="361"/>
      <c r="D447" s="361"/>
      <c r="E447" s="367"/>
      <c r="F447" s="367"/>
      <c r="G447" s="367"/>
      <c r="H447" s="367"/>
      <c r="I447" s="367"/>
      <c r="J447" s="367"/>
      <c r="K447" s="367"/>
      <c r="L447" s="367"/>
      <c r="M447" s="367"/>
      <c r="N447" s="367"/>
      <c r="O447" s="367"/>
      <c r="P447" s="367"/>
      <c r="Q447" s="367"/>
      <c r="R447" s="367"/>
      <c r="S447" s="367"/>
      <c r="T447" s="367"/>
      <c r="U447" s="367"/>
      <c r="V447" s="367"/>
      <c r="W447" s="367"/>
      <c r="X447" s="367"/>
      <c r="Y447" s="367"/>
      <c r="Z447" s="367"/>
      <c r="AA447" s="367"/>
      <c r="AB447" s="367"/>
      <c r="AC447" s="367"/>
      <c r="AD447" s="367"/>
      <c r="AE447" s="367"/>
      <c r="AF447" s="367"/>
    </row>
    <row r="448" ht="15.75" customHeight="1">
      <c r="A448" s="359"/>
      <c r="B448" s="361"/>
      <c r="C448" s="361"/>
      <c r="D448" s="361"/>
      <c r="E448" s="367"/>
      <c r="F448" s="367"/>
      <c r="G448" s="367"/>
      <c r="H448" s="367"/>
      <c r="I448" s="367"/>
      <c r="J448" s="367"/>
      <c r="K448" s="367"/>
      <c r="L448" s="367"/>
      <c r="M448" s="367"/>
      <c r="N448" s="367"/>
      <c r="O448" s="367"/>
      <c r="P448" s="367"/>
      <c r="Q448" s="367"/>
      <c r="R448" s="367"/>
      <c r="S448" s="367"/>
      <c r="T448" s="367"/>
      <c r="U448" s="367"/>
      <c r="V448" s="367"/>
      <c r="W448" s="367"/>
      <c r="X448" s="367"/>
      <c r="Y448" s="367"/>
      <c r="Z448" s="367"/>
      <c r="AA448" s="367"/>
      <c r="AB448" s="367"/>
      <c r="AC448" s="367"/>
      <c r="AD448" s="367"/>
      <c r="AE448" s="367"/>
      <c r="AF448" s="367"/>
    </row>
    <row r="449" ht="15.75" customHeight="1">
      <c r="A449" s="359"/>
      <c r="B449" s="361"/>
      <c r="C449" s="361"/>
      <c r="D449" s="361"/>
      <c r="E449" s="367"/>
      <c r="F449" s="367"/>
      <c r="G449" s="367"/>
      <c r="H449" s="367"/>
      <c r="I449" s="367"/>
      <c r="J449" s="367"/>
      <c r="K449" s="367"/>
      <c r="L449" s="367"/>
      <c r="M449" s="367"/>
      <c r="N449" s="367"/>
      <c r="O449" s="367"/>
      <c r="P449" s="367"/>
      <c r="Q449" s="367"/>
      <c r="R449" s="367"/>
      <c r="S449" s="367"/>
      <c r="T449" s="367"/>
      <c r="U449" s="367"/>
      <c r="V449" s="367"/>
      <c r="W449" s="367"/>
      <c r="X449" s="367"/>
      <c r="Y449" s="367"/>
      <c r="Z449" s="367"/>
      <c r="AA449" s="367"/>
      <c r="AB449" s="367"/>
      <c r="AC449" s="367"/>
      <c r="AD449" s="367"/>
      <c r="AE449" s="367"/>
      <c r="AF449" s="367"/>
    </row>
    <row r="450" ht="15.75" customHeight="1">
      <c r="A450" s="359"/>
      <c r="B450" s="361"/>
      <c r="C450" s="361"/>
      <c r="D450" s="361"/>
      <c r="E450" s="367"/>
      <c r="F450" s="367"/>
      <c r="G450" s="367"/>
      <c r="H450" s="367"/>
      <c r="I450" s="367"/>
      <c r="J450" s="367"/>
      <c r="K450" s="367"/>
      <c r="L450" s="367"/>
      <c r="M450" s="367"/>
      <c r="N450" s="367"/>
      <c r="O450" s="367"/>
      <c r="P450" s="367"/>
      <c r="Q450" s="367"/>
      <c r="R450" s="367"/>
      <c r="S450" s="367"/>
      <c r="T450" s="367"/>
      <c r="U450" s="367"/>
      <c r="V450" s="367"/>
      <c r="W450" s="367"/>
      <c r="X450" s="367"/>
      <c r="Y450" s="367"/>
      <c r="Z450" s="367"/>
      <c r="AA450" s="367"/>
      <c r="AB450" s="367"/>
      <c r="AC450" s="367"/>
      <c r="AD450" s="367"/>
      <c r="AE450" s="367"/>
      <c r="AF450" s="367"/>
    </row>
    <row r="451" ht="15.75" customHeight="1">
      <c r="A451" s="359"/>
      <c r="B451" s="361"/>
      <c r="C451" s="361"/>
      <c r="D451" s="361"/>
      <c r="E451" s="367"/>
      <c r="F451" s="367"/>
      <c r="G451" s="367"/>
      <c r="H451" s="367"/>
      <c r="I451" s="367"/>
      <c r="J451" s="367"/>
      <c r="K451" s="367"/>
      <c r="L451" s="367"/>
      <c r="M451" s="367"/>
      <c r="N451" s="367"/>
      <c r="O451" s="367"/>
      <c r="P451" s="367"/>
      <c r="Q451" s="367"/>
      <c r="R451" s="367"/>
      <c r="S451" s="367"/>
      <c r="T451" s="367"/>
      <c r="U451" s="367"/>
      <c r="V451" s="367"/>
      <c r="W451" s="367"/>
      <c r="X451" s="367"/>
      <c r="Y451" s="367"/>
      <c r="Z451" s="367"/>
      <c r="AA451" s="367"/>
      <c r="AB451" s="367"/>
      <c r="AC451" s="367"/>
      <c r="AD451" s="367"/>
      <c r="AE451" s="367"/>
      <c r="AF451" s="367"/>
    </row>
    <row r="452" ht="15.75" customHeight="1">
      <c r="A452" s="359"/>
      <c r="B452" s="361"/>
      <c r="C452" s="361"/>
      <c r="D452" s="361"/>
      <c r="E452" s="367"/>
      <c r="F452" s="367"/>
      <c r="G452" s="367"/>
      <c r="H452" s="367"/>
      <c r="I452" s="367"/>
      <c r="J452" s="367"/>
      <c r="K452" s="367"/>
      <c r="L452" s="367"/>
      <c r="M452" s="367"/>
      <c r="N452" s="367"/>
      <c r="O452" s="367"/>
      <c r="P452" s="367"/>
      <c r="Q452" s="367"/>
      <c r="R452" s="367"/>
      <c r="S452" s="367"/>
      <c r="T452" s="367"/>
      <c r="U452" s="367"/>
      <c r="V452" s="367"/>
      <c r="W452" s="367"/>
      <c r="X452" s="367"/>
      <c r="Y452" s="367"/>
      <c r="Z452" s="367"/>
      <c r="AA452" s="367"/>
      <c r="AB452" s="367"/>
      <c r="AC452" s="367"/>
      <c r="AD452" s="367"/>
      <c r="AE452" s="367"/>
      <c r="AF452" s="367"/>
    </row>
    <row r="453" ht="15.75" customHeight="1">
      <c r="A453" s="359"/>
      <c r="B453" s="361"/>
      <c r="C453" s="361"/>
      <c r="D453" s="361"/>
      <c r="E453" s="367"/>
      <c r="F453" s="367"/>
      <c r="G453" s="367"/>
      <c r="H453" s="367"/>
      <c r="I453" s="367"/>
      <c r="J453" s="367"/>
      <c r="K453" s="367"/>
      <c r="L453" s="367"/>
      <c r="M453" s="367"/>
      <c r="N453" s="367"/>
      <c r="O453" s="367"/>
      <c r="P453" s="367"/>
      <c r="Q453" s="367"/>
      <c r="R453" s="367"/>
      <c r="S453" s="367"/>
      <c r="T453" s="367"/>
      <c r="U453" s="367"/>
      <c r="V453" s="367"/>
      <c r="W453" s="367"/>
      <c r="X453" s="367"/>
      <c r="Y453" s="367"/>
      <c r="Z453" s="367"/>
      <c r="AA453" s="367"/>
      <c r="AB453" s="367"/>
      <c r="AC453" s="367"/>
      <c r="AD453" s="367"/>
      <c r="AE453" s="367"/>
      <c r="AF453" s="367"/>
    </row>
    <row r="454" ht="15.75" customHeight="1">
      <c r="A454" s="359"/>
      <c r="B454" s="361"/>
      <c r="C454" s="361"/>
      <c r="D454" s="361"/>
      <c r="E454" s="367"/>
      <c r="F454" s="367"/>
      <c r="G454" s="367"/>
      <c r="H454" s="367"/>
      <c r="I454" s="367"/>
      <c r="J454" s="367"/>
      <c r="K454" s="367"/>
      <c r="L454" s="367"/>
      <c r="M454" s="367"/>
      <c r="N454" s="367"/>
      <c r="O454" s="367"/>
      <c r="P454" s="367"/>
      <c r="Q454" s="367"/>
      <c r="R454" s="367"/>
      <c r="S454" s="367"/>
      <c r="T454" s="367"/>
      <c r="U454" s="367"/>
      <c r="V454" s="367"/>
      <c r="W454" s="367"/>
      <c r="X454" s="367"/>
      <c r="Y454" s="367"/>
      <c r="Z454" s="367"/>
      <c r="AA454" s="367"/>
      <c r="AB454" s="367"/>
      <c r="AC454" s="367"/>
      <c r="AD454" s="367"/>
      <c r="AE454" s="367"/>
      <c r="AF454" s="367"/>
    </row>
    <row r="455" ht="15.75" customHeight="1">
      <c r="A455" s="359"/>
      <c r="B455" s="361"/>
      <c r="C455" s="361"/>
      <c r="D455" s="361"/>
      <c r="E455" s="367"/>
      <c r="F455" s="367"/>
      <c r="G455" s="367"/>
      <c r="H455" s="367"/>
      <c r="I455" s="367"/>
      <c r="J455" s="367"/>
      <c r="K455" s="367"/>
      <c r="L455" s="367"/>
      <c r="M455" s="367"/>
      <c r="N455" s="367"/>
      <c r="O455" s="367"/>
      <c r="P455" s="367"/>
      <c r="Q455" s="367"/>
      <c r="R455" s="367"/>
      <c r="S455" s="367"/>
      <c r="T455" s="367"/>
      <c r="U455" s="367"/>
      <c r="V455" s="367"/>
      <c r="W455" s="367"/>
      <c r="X455" s="367"/>
      <c r="Y455" s="367"/>
      <c r="Z455" s="367"/>
      <c r="AA455" s="367"/>
      <c r="AB455" s="367"/>
      <c r="AC455" s="367"/>
      <c r="AD455" s="367"/>
      <c r="AE455" s="367"/>
      <c r="AF455" s="367"/>
    </row>
    <row r="456" ht="15.75" customHeight="1">
      <c r="A456" s="359"/>
      <c r="B456" s="361"/>
      <c r="C456" s="361"/>
      <c r="D456" s="361"/>
      <c r="E456" s="367"/>
      <c r="F456" s="367"/>
      <c r="G456" s="367"/>
      <c r="H456" s="367"/>
      <c r="I456" s="367"/>
      <c r="J456" s="367"/>
      <c r="K456" s="367"/>
      <c r="L456" s="367"/>
      <c r="M456" s="367"/>
      <c r="N456" s="367"/>
      <c r="O456" s="367"/>
      <c r="P456" s="367"/>
      <c r="Q456" s="367"/>
      <c r="R456" s="367"/>
      <c r="S456" s="367"/>
      <c r="T456" s="367"/>
      <c r="U456" s="367"/>
      <c r="V456" s="367"/>
      <c r="W456" s="367"/>
      <c r="X456" s="367"/>
      <c r="Y456" s="367"/>
      <c r="Z456" s="367"/>
      <c r="AA456" s="367"/>
      <c r="AB456" s="367"/>
      <c r="AC456" s="367"/>
      <c r="AD456" s="367"/>
      <c r="AE456" s="367"/>
      <c r="AF456" s="367"/>
    </row>
    <row r="457" ht="15.75" customHeight="1">
      <c r="A457" s="359"/>
      <c r="B457" s="361"/>
      <c r="C457" s="361"/>
      <c r="D457" s="361"/>
      <c r="E457" s="367"/>
      <c r="F457" s="367"/>
      <c r="G457" s="367"/>
      <c r="H457" s="367"/>
      <c r="I457" s="367"/>
      <c r="J457" s="367"/>
      <c r="K457" s="367"/>
      <c r="L457" s="367"/>
      <c r="M457" s="367"/>
      <c r="N457" s="367"/>
      <c r="O457" s="367"/>
      <c r="P457" s="367"/>
      <c r="Q457" s="367"/>
      <c r="R457" s="367"/>
      <c r="S457" s="367"/>
      <c r="T457" s="367"/>
      <c r="U457" s="367"/>
      <c r="V457" s="367"/>
      <c r="W457" s="367"/>
      <c r="X457" s="367"/>
      <c r="Y457" s="367"/>
      <c r="Z457" s="367"/>
      <c r="AA457" s="367"/>
      <c r="AB457" s="367"/>
      <c r="AC457" s="367"/>
      <c r="AD457" s="367"/>
      <c r="AE457" s="367"/>
      <c r="AF457" s="367"/>
    </row>
    <row r="458" ht="15.75" customHeight="1">
      <c r="A458" s="359"/>
      <c r="B458" s="361"/>
      <c r="C458" s="361"/>
      <c r="D458" s="361"/>
      <c r="E458" s="367"/>
      <c r="F458" s="367"/>
      <c r="G458" s="367"/>
      <c r="H458" s="367"/>
      <c r="I458" s="367"/>
      <c r="J458" s="367"/>
      <c r="K458" s="367"/>
      <c r="L458" s="367"/>
      <c r="M458" s="367"/>
      <c r="N458" s="367"/>
      <c r="O458" s="367"/>
      <c r="P458" s="367"/>
      <c r="Q458" s="367"/>
      <c r="R458" s="367"/>
      <c r="S458" s="367"/>
      <c r="T458" s="367"/>
      <c r="U458" s="367"/>
      <c r="V458" s="367"/>
      <c r="W458" s="367"/>
      <c r="X458" s="367"/>
      <c r="Y458" s="367"/>
      <c r="Z458" s="367"/>
      <c r="AA458" s="367"/>
      <c r="AB458" s="367"/>
      <c r="AC458" s="367"/>
      <c r="AD458" s="367"/>
      <c r="AE458" s="367"/>
      <c r="AF458" s="367"/>
    </row>
    <row r="459" ht="15.75" customHeight="1">
      <c r="A459" s="359"/>
      <c r="B459" s="361"/>
      <c r="C459" s="361"/>
      <c r="D459" s="361"/>
      <c r="E459" s="367"/>
      <c r="F459" s="367"/>
      <c r="G459" s="367"/>
      <c r="H459" s="367"/>
      <c r="I459" s="367"/>
      <c r="J459" s="367"/>
      <c r="K459" s="367"/>
      <c r="L459" s="367"/>
      <c r="M459" s="367"/>
      <c r="N459" s="367"/>
      <c r="O459" s="367"/>
      <c r="P459" s="367"/>
      <c r="Q459" s="367"/>
      <c r="R459" s="367"/>
      <c r="S459" s="367"/>
      <c r="T459" s="367"/>
      <c r="U459" s="367"/>
      <c r="V459" s="367"/>
      <c r="W459" s="367"/>
      <c r="X459" s="367"/>
      <c r="Y459" s="367"/>
      <c r="Z459" s="367"/>
      <c r="AA459" s="367"/>
      <c r="AB459" s="367"/>
      <c r="AC459" s="367"/>
      <c r="AD459" s="367"/>
      <c r="AE459" s="367"/>
      <c r="AF459" s="367"/>
    </row>
    <row r="460" ht="15.75" customHeight="1">
      <c r="A460" s="359"/>
      <c r="B460" s="361"/>
      <c r="C460" s="361"/>
      <c r="D460" s="361"/>
      <c r="E460" s="367"/>
      <c r="F460" s="367"/>
      <c r="G460" s="367"/>
      <c r="H460" s="367"/>
      <c r="I460" s="367"/>
      <c r="J460" s="367"/>
      <c r="K460" s="367"/>
      <c r="L460" s="367"/>
      <c r="M460" s="367"/>
      <c r="N460" s="367"/>
      <c r="O460" s="367"/>
      <c r="P460" s="367"/>
      <c r="Q460" s="367"/>
      <c r="R460" s="367"/>
      <c r="S460" s="367"/>
      <c r="T460" s="367"/>
      <c r="U460" s="367"/>
      <c r="V460" s="367"/>
      <c r="W460" s="367"/>
      <c r="X460" s="367"/>
      <c r="Y460" s="367"/>
      <c r="Z460" s="367"/>
      <c r="AA460" s="367"/>
      <c r="AB460" s="367"/>
      <c r="AC460" s="367"/>
      <c r="AD460" s="367"/>
      <c r="AE460" s="367"/>
      <c r="AF460" s="367"/>
    </row>
    <row r="461" ht="15.75" customHeight="1">
      <c r="A461" s="359"/>
      <c r="B461" s="361"/>
      <c r="C461" s="361"/>
      <c r="D461" s="361"/>
      <c r="E461" s="367"/>
      <c r="F461" s="367"/>
      <c r="G461" s="367"/>
      <c r="H461" s="367"/>
      <c r="I461" s="367"/>
      <c r="J461" s="367"/>
      <c r="K461" s="367"/>
      <c r="L461" s="367"/>
      <c r="M461" s="367"/>
      <c r="N461" s="367"/>
      <c r="O461" s="367"/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</row>
    <row r="462" ht="15.75" customHeight="1">
      <c r="A462" s="359"/>
      <c r="B462" s="361"/>
      <c r="C462" s="361"/>
      <c r="D462" s="361"/>
      <c r="E462" s="367"/>
      <c r="F462" s="367"/>
      <c r="G462" s="367"/>
      <c r="H462" s="367"/>
      <c r="I462" s="367"/>
      <c r="J462" s="367"/>
      <c r="K462" s="367"/>
      <c r="L462" s="367"/>
      <c r="M462" s="367"/>
      <c r="N462" s="367"/>
      <c r="O462" s="367"/>
      <c r="P462" s="367"/>
      <c r="Q462" s="367"/>
      <c r="R462" s="367"/>
      <c r="S462" s="367"/>
      <c r="T462" s="367"/>
      <c r="U462" s="367"/>
      <c r="V462" s="367"/>
      <c r="W462" s="367"/>
      <c r="X462" s="367"/>
      <c r="Y462" s="367"/>
      <c r="Z462" s="367"/>
      <c r="AA462" s="367"/>
      <c r="AB462" s="367"/>
      <c r="AC462" s="367"/>
      <c r="AD462" s="367"/>
      <c r="AE462" s="367"/>
      <c r="AF462" s="367"/>
    </row>
    <row r="463" ht="15.75" customHeight="1">
      <c r="A463" s="359"/>
      <c r="B463" s="361"/>
      <c r="C463" s="361"/>
      <c r="D463" s="361"/>
      <c r="E463" s="367"/>
      <c r="F463" s="367"/>
      <c r="G463" s="367"/>
      <c r="H463" s="367"/>
      <c r="I463" s="367"/>
      <c r="J463" s="367"/>
      <c r="K463" s="367"/>
      <c r="L463" s="367"/>
      <c r="M463" s="367"/>
      <c r="N463" s="367"/>
      <c r="O463" s="367"/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</row>
    <row r="464" ht="15.75" customHeight="1">
      <c r="A464" s="359"/>
      <c r="B464" s="361"/>
      <c r="C464" s="361"/>
      <c r="D464" s="361"/>
      <c r="E464" s="367"/>
      <c r="F464" s="367"/>
      <c r="G464" s="367"/>
      <c r="H464" s="367"/>
      <c r="I464" s="367"/>
      <c r="J464" s="367"/>
      <c r="K464" s="367"/>
      <c r="L464" s="367"/>
      <c r="M464" s="367"/>
      <c r="N464" s="367"/>
      <c r="O464" s="367"/>
      <c r="P464" s="367"/>
      <c r="Q464" s="367"/>
      <c r="R464" s="367"/>
      <c r="S464" s="367"/>
      <c r="T464" s="367"/>
      <c r="U464" s="367"/>
      <c r="V464" s="367"/>
      <c r="W464" s="367"/>
      <c r="X464" s="367"/>
      <c r="Y464" s="367"/>
      <c r="Z464" s="367"/>
      <c r="AA464" s="367"/>
      <c r="AB464" s="367"/>
      <c r="AC464" s="367"/>
      <c r="AD464" s="367"/>
      <c r="AE464" s="367"/>
      <c r="AF464" s="367"/>
    </row>
    <row r="465" ht="15.75" customHeight="1">
      <c r="A465" s="359"/>
      <c r="B465" s="361"/>
      <c r="C465" s="361"/>
      <c r="D465" s="361"/>
      <c r="E465" s="367"/>
      <c r="F465" s="367"/>
      <c r="G465" s="367"/>
      <c r="H465" s="367"/>
      <c r="I465" s="367"/>
      <c r="J465" s="367"/>
      <c r="K465" s="367"/>
      <c r="L465" s="367"/>
      <c r="M465" s="367"/>
      <c r="N465" s="367"/>
      <c r="O465" s="367"/>
      <c r="P465" s="367"/>
      <c r="Q465" s="367"/>
      <c r="R465" s="367"/>
      <c r="S465" s="367"/>
      <c r="T465" s="367"/>
      <c r="U465" s="367"/>
      <c r="V465" s="367"/>
      <c r="W465" s="367"/>
      <c r="X465" s="367"/>
      <c r="Y465" s="367"/>
      <c r="Z465" s="367"/>
      <c r="AA465" s="367"/>
      <c r="AB465" s="367"/>
      <c r="AC465" s="367"/>
      <c r="AD465" s="367"/>
      <c r="AE465" s="367"/>
      <c r="AF465" s="367"/>
    </row>
    <row r="466" ht="15.75" customHeight="1">
      <c r="A466" s="359"/>
      <c r="B466" s="361"/>
      <c r="C466" s="361"/>
      <c r="D466" s="361"/>
      <c r="E466" s="367"/>
      <c r="F466" s="367"/>
      <c r="G466" s="367"/>
      <c r="H466" s="367"/>
      <c r="I466" s="367"/>
      <c r="J466" s="367"/>
      <c r="K466" s="367"/>
      <c r="L466" s="367"/>
      <c r="M466" s="367"/>
      <c r="N466" s="367"/>
      <c r="O466" s="367"/>
      <c r="P466" s="367"/>
      <c r="Q466" s="367"/>
      <c r="R466" s="367"/>
      <c r="S466" s="367"/>
      <c r="T466" s="367"/>
      <c r="U466" s="367"/>
      <c r="V466" s="367"/>
      <c r="W466" s="367"/>
      <c r="X466" s="367"/>
      <c r="Y466" s="367"/>
      <c r="Z466" s="367"/>
      <c r="AA466" s="367"/>
      <c r="AB466" s="367"/>
      <c r="AC466" s="367"/>
      <c r="AD466" s="367"/>
      <c r="AE466" s="367"/>
      <c r="AF466" s="367"/>
    </row>
    <row r="467" ht="15.75" customHeight="1">
      <c r="A467" s="359"/>
      <c r="B467" s="361"/>
      <c r="C467" s="361"/>
      <c r="D467" s="361"/>
      <c r="E467" s="367"/>
      <c r="F467" s="367"/>
      <c r="G467" s="367"/>
      <c r="H467" s="367"/>
      <c r="I467" s="367"/>
      <c r="J467" s="367"/>
      <c r="K467" s="367"/>
      <c r="L467" s="367"/>
      <c r="M467" s="367"/>
      <c r="N467" s="367"/>
      <c r="O467" s="367"/>
      <c r="P467" s="367"/>
      <c r="Q467" s="367"/>
      <c r="R467" s="367"/>
      <c r="S467" s="367"/>
      <c r="T467" s="367"/>
      <c r="U467" s="367"/>
      <c r="V467" s="367"/>
      <c r="W467" s="367"/>
      <c r="X467" s="367"/>
      <c r="Y467" s="367"/>
      <c r="Z467" s="367"/>
      <c r="AA467" s="367"/>
      <c r="AB467" s="367"/>
      <c r="AC467" s="367"/>
      <c r="AD467" s="367"/>
      <c r="AE467" s="367"/>
      <c r="AF467" s="367"/>
    </row>
    <row r="468" ht="15.75" customHeight="1">
      <c r="A468" s="359"/>
      <c r="B468" s="361"/>
      <c r="C468" s="361"/>
      <c r="D468" s="361"/>
      <c r="E468" s="367"/>
      <c r="F468" s="367"/>
      <c r="G468" s="367"/>
      <c r="H468" s="367"/>
      <c r="I468" s="367"/>
      <c r="J468" s="367"/>
      <c r="K468" s="367"/>
      <c r="L468" s="367"/>
      <c r="M468" s="367"/>
      <c r="N468" s="367"/>
      <c r="O468" s="367"/>
      <c r="P468" s="367"/>
      <c r="Q468" s="367"/>
      <c r="R468" s="367"/>
      <c r="S468" s="367"/>
      <c r="T468" s="367"/>
      <c r="U468" s="367"/>
      <c r="V468" s="367"/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</row>
    <row r="469" ht="15.75" customHeight="1">
      <c r="A469" s="359"/>
      <c r="B469" s="361"/>
      <c r="C469" s="361"/>
      <c r="D469" s="361"/>
      <c r="E469" s="367"/>
      <c r="F469" s="367"/>
      <c r="G469" s="367"/>
      <c r="H469" s="367"/>
      <c r="I469" s="367"/>
      <c r="J469" s="367"/>
      <c r="K469" s="367"/>
      <c r="L469" s="367"/>
      <c r="M469" s="367"/>
      <c r="N469" s="367"/>
      <c r="O469" s="367"/>
      <c r="P469" s="367"/>
      <c r="Q469" s="367"/>
      <c r="R469" s="367"/>
      <c r="S469" s="367"/>
      <c r="T469" s="367"/>
      <c r="U469" s="367"/>
      <c r="V469" s="367"/>
      <c r="W469" s="367"/>
      <c r="X469" s="367"/>
      <c r="Y469" s="367"/>
      <c r="Z469" s="367"/>
      <c r="AA469" s="367"/>
      <c r="AB469" s="367"/>
      <c r="AC469" s="367"/>
      <c r="AD469" s="367"/>
      <c r="AE469" s="367"/>
      <c r="AF469" s="367"/>
    </row>
    <row r="470" ht="15.75" customHeight="1">
      <c r="A470" s="359"/>
      <c r="B470" s="361"/>
      <c r="C470" s="361"/>
      <c r="D470" s="361"/>
      <c r="E470" s="367"/>
      <c r="F470" s="367"/>
      <c r="G470" s="367"/>
      <c r="H470" s="367"/>
      <c r="I470" s="367"/>
      <c r="J470" s="367"/>
      <c r="K470" s="367"/>
      <c r="L470" s="367"/>
      <c r="M470" s="367"/>
      <c r="N470" s="367"/>
      <c r="O470" s="367"/>
      <c r="P470" s="367"/>
      <c r="Q470" s="367"/>
      <c r="R470" s="367"/>
      <c r="S470" s="367"/>
      <c r="T470" s="367"/>
      <c r="U470" s="367"/>
      <c r="V470" s="367"/>
      <c r="W470" s="367"/>
      <c r="X470" s="367"/>
      <c r="Y470" s="367"/>
      <c r="Z470" s="367"/>
      <c r="AA470" s="367"/>
      <c r="AB470" s="367"/>
      <c r="AC470" s="367"/>
      <c r="AD470" s="367"/>
      <c r="AE470" s="367"/>
      <c r="AF470" s="367"/>
    </row>
    <row r="471" ht="15.75" customHeight="1">
      <c r="A471" s="359"/>
      <c r="B471" s="361"/>
      <c r="C471" s="361"/>
      <c r="D471" s="361"/>
      <c r="E471" s="367"/>
      <c r="F471" s="367"/>
      <c r="G471" s="367"/>
      <c r="H471" s="367"/>
      <c r="I471" s="367"/>
      <c r="J471" s="367"/>
      <c r="K471" s="367"/>
      <c r="L471" s="367"/>
      <c r="M471" s="367"/>
      <c r="N471" s="367"/>
      <c r="O471" s="367"/>
      <c r="P471" s="367"/>
      <c r="Q471" s="367"/>
      <c r="R471" s="367"/>
      <c r="S471" s="367"/>
      <c r="T471" s="367"/>
      <c r="U471" s="367"/>
      <c r="V471" s="367"/>
      <c r="W471" s="367"/>
      <c r="X471" s="367"/>
      <c r="Y471" s="367"/>
      <c r="Z471" s="367"/>
      <c r="AA471" s="367"/>
      <c r="AB471" s="367"/>
      <c r="AC471" s="367"/>
      <c r="AD471" s="367"/>
      <c r="AE471" s="367"/>
      <c r="AF471" s="367"/>
    </row>
    <row r="472" ht="15.75" customHeight="1">
      <c r="A472" s="359"/>
      <c r="B472" s="361"/>
      <c r="C472" s="361"/>
      <c r="D472" s="361"/>
      <c r="E472" s="367"/>
      <c r="F472" s="367"/>
      <c r="G472" s="367"/>
      <c r="H472" s="367"/>
      <c r="I472" s="367"/>
      <c r="J472" s="367"/>
      <c r="K472" s="367"/>
      <c r="L472" s="367"/>
      <c r="M472" s="367"/>
      <c r="N472" s="367"/>
      <c r="O472" s="367"/>
      <c r="P472" s="367"/>
      <c r="Q472" s="367"/>
      <c r="R472" s="367"/>
      <c r="S472" s="367"/>
      <c r="T472" s="367"/>
      <c r="U472" s="367"/>
      <c r="V472" s="367"/>
      <c r="W472" s="367"/>
      <c r="X472" s="367"/>
      <c r="Y472" s="367"/>
      <c r="Z472" s="367"/>
      <c r="AA472" s="367"/>
      <c r="AB472" s="367"/>
      <c r="AC472" s="367"/>
      <c r="AD472" s="367"/>
      <c r="AE472" s="367"/>
      <c r="AF472" s="367"/>
    </row>
    <row r="473" ht="15.75" customHeight="1">
      <c r="A473" s="359"/>
      <c r="B473" s="361"/>
      <c r="C473" s="361"/>
      <c r="D473" s="361"/>
      <c r="E473" s="367"/>
      <c r="F473" s="367"/>
      <c r="G473" s="367"/>
      <c r="H473" s="367"/>
      <c r="I473" s="367"/>
      <c r="J473" s="367"/>
      <c r="K473" s="367"/>
      <c r="L473" s="367"/>
      <c r="M473" s="367"/>
      <c r="N473" s="367"/>
      <c r="O473" s="367"/>
      <c r="P473" s="367"/>
      <c r="Q473" s="367"/>
      <c r="R473" s="367"/>
      <c r="S473" s="367"/>
      <c r="T473" s="367"/>
      <c r="U473" s="367"/>
      <c r="V473" s="367"/>
      <c r="W473" s="367"/>
      <c r="X473" s="367"/>
      <c r="Y473" s="367"/>
      <c r="Z473" s="367"/>
      <c r="AA473" s="367"/>
      <c r="AB473" s="367"/>
      <c r="AC473" s="367"/>
      <c r="AD473" s="367"/>
      <c r="AE473" s="367"/>
      <c r="AF473" s="367"/>
    </row>
    <row r="474" ht="15.75" customHeight="1">
      <c r="A474" s="359"/>
      <c r="B474" s="361"/>
      <c r="C474" s="361"/>
      <c r="D474" s="361"/>
      <c r="E474" s="367"/>
      <c r="F474" s="367"/>
      <c r="G474" s="367"/>
      <c r="H474" s="367"/>
      <c r="I474" s="367"/>
      <c r="J474" s="367"/>
      <c r="K474" s="367"/>
      <c r="L474" s="367"/>
      <c r="M474" s="367"/>
      <c r="N474" s="367"/>
      <c r="O474" s="367"/>
      <c r="P474" s="367"/>
      <c r="Q474" s="367"/>
      <c r="R474" s="367"/>
      <c r="S474" s="367"/>
      <c r="T474" s="367"/>
      <c r="U474" s="367"/>
      <c r="V474" s="367"/>
      <c r="W474" s="367"/>
      <c r="X474" s="367"/>
      <c r="Y474" s="367"/>
      <c r="Z474" s="367"/>
      <c r="AA474" s="367"/>
      <c r="AB474" s="367"/>
      <c r="AC474" s="367"/>
      <c r="AD474" s="367"/>
      <c r="AE474" s="367"/>
      <c r="AF474" s="367"/>
    </row>
    <row r="475" ht="15.75" customHeight="1">
      <c r="A475" s="359"/>
      <c r="B475" s="361"/>
      <c r="C475" s="361"/>
      <c r="D475" s="361"/>
      <c r="E475" s="367"/>
      <c r="F475" s="367"/>
      <c r="G475" s="367"/>
      <c r="H475" s="367"/>
      <c r="I475" s="367"/>
      <c r="J475" s="367"/>
      <c r="K475" s="367"/>
      <c r="L475" s="367"/>
      <c r="M475" s="367"/>
      <c r="N475" s="367"/>
      <c r="O475" s="367"/>
      <c r="P475" s="367"/>
      <c r="Q475" s="367"/>
      <c r="R475" s="367"/>
      <c r="S475" s="367"/>
      <c r="T475" s="367"/>
      <c r="U475" s="367"/>
      <c r="V475" s="367"/>
      <c r="W475" s="367"/>
      <c r="X475" s="367"/>
      <c r="Y475" s="367"/>
      <c r="Z475" s="367"/>
      <c r="AA475" s="367"/>
      <c r="AB475" s="367"/>
      <c r="AC475" s="367"/>
      <c r="AD475" s="367"/>
      <c r="AE475" s="367"/>
      <c r="AF475" s="367"/>
    </row>
    <row r="476" ht="15.75" customHeight="1">
      <c r="A476" s="359"/>
      <c r="B476" s="361"/>
      <c r="C476" s="361"/>
      <c r="D476" s="361"/>
      <c r="E476" s="367"/>
      <c r="F476" s="367"/>
      <c r="G476" s="367"/>
      <c r="H476" s="367"/>
      <c r="I476" s="367"/>
      <c r="J476" s="367"/>
      <c r="K476" s="367"/>
      <c r="L476" s="367"/>
      <c r="M476" s="367"/>
      <c r="N476" s="367"/>
      <c r="O476" s="367"/>
      <c r="P476" s="367"/>
      <c r="Q476" s="367"/>
      <c r="R476" s="367"/>
      <c r="S476" s="367"/>
      <c r="T476" s="367"/>
      <c r="U476" s="367"/>
      <c r="V476" s="367"/>
      <c r="W476" s="367"/>
      <c r="X476" s="367"/>
      <c r="Y476" s="367"/>
      <c r="Z476" s="367"/>
      <c r="AA476" s="367"/>
      <c r="AB476" s="367"/>
      <c r="AC476" s="367"/>
      <c r="AD476" s="367"/>
      <c r="AE476" s="367"/>
      <c r="AF476" s="367"/>
    </row>
    <row r="477" ht="15.75" customHeight="1">
      <c r="A477" s="359"/>
      <c r="B477" s="361"/>
      <c r="C477" s="361"/>
      <c r="D477" s="361"/>
      <c r="E477" s="367"/>
      <c r="F477" s="367"/>
      <c r="G477" s="367"/>
      <c r="H477" s="367"/>
      <c r="I477" s="367"/>
      <c r="J477" s="367"/>
      <c r="K477" s="367"/>
      <c r="L477" s="367"/>
      <c r="M477" s="367"/>
      <c r="N477" s="367"/>
      <c r="O477" s="367"/>
      <c r="P477" s="367"/>
      <c r="Q477" s="367"/>
      <c r="R477" s="367"/>
      <c r="S477" s="367"/>
      <c r="T477" s="367"/>
      <c r="U477" s="367"/>
      <c r="V477" s="367"/>
      <c r="W477" s="367"/>
      <c r="X477" s="367"/>
      <c r="Y477" s="367"/>
      <c r="Z477" s="367"/>
      <c r="AA477" s="367"/>
      <c r="AB477" s="367"/>
      <c r="AC477" s="367"/>
      <c r="AD477" s="367"/>
      <c r="AE477" s="367"/>
      <c r="AF477" s="367"/>
    </row>
    <row r="478" ht="15.75" customHeight="1">
      <c r="A478" s="359"/>
      <c r="B478" s="361"/>
      <c r="C478" s="361"/>
      <c r="D478" s="361"/>
      <c r="E478" s="367"/>
      <c r="F478" s="367"/>
      <c r="G478" s="367"/>
      <c r="H478" s="367"/>
      <c r="I478" s="367"/>
      <c r="J478" s="367"/>
      <c r="K478" s="367"/>
      <c r="L478" s="367"/>
      <c r="M478" s="367"/>
      <c r="N478" s="367"/>
      <c r="O478" s="367"/>
      <c r="P478" s="367"/>
      <c r="Q478" s="367"/>
      <c r="R478" s="367"/>
      <c r="S478" s="367"/>
      <c r="T478" s="367"/>
      <c r="U478" s="367"/>
      <c r="V478" s="367"/>
      <c r="W478" s="367"/>
      <c r="X478" s="367"/>
      <c r="Y478" s="367"/>
      <c r="Z478" s="367"/>
      <c r="AA478" s="367"/>
      <c r="AB478" s="367"/>
      <c r="AC478" s="367"/>
      <c r="AD478" s="367"/>
      <c r="AE478" s="367"/>
      <c r="AF478" s="367"/>
    </row>
    <row r="479" ht="15.75" customHeight="1">
      <c r="A479" s="359"/>
      <c r="B479" s="361"/>
      <c r="C479" s="361"/>
      <c r="D479" s="361"/>
      <c r="E479" s="367"/>
      <c r="F479" s="367"/>
      <c r="G479" s="367"/>
      <c r="H479" s="367"/>
      <c r="I479" s="367"/>
      <c r="J479" s="367"/>
      <c r="K479" s="367"/>
      <c r="L479" s="367"/>
      <c r="M479" s="367"/>
      <c r="N479" s="367"/>
      <c r="O479" s="367"/>
      <c r="P479" s="367"/>
      <c r="Q479" s="367"/>
      <c r="R479" s="367"/>
      <c r="S479" s="367"/>
      <c r="T479" s="367"/>
      <c r="U479" s="367"/>
      <c r="V479" s="367"/>
      <c r="W479" s="367"/>
      <c r="X479" s="367"/>
      <c r="Y479" s="367"/>
      <c r="Z479" s="367"/>
      <c r="AA479" s="367"/>
      <c r="AB479" s="367"/>
      <c r="AC479" s="367"/>
      <c r="AD479" s="367"/>
      <c r="AE479" s="367"/>
      <c r="AF479" s="367"/>
    </row>
    <row r="480" ht="15.75" customHeight="1">
      <c r="A480" s="359"/>
      <c r="B480" s="361"/>
      <c r="C480" s="361"/>
      <c r="D480" s="361"/>
      <c r="E480" s="367"/>
      <c r="F480" s="367"/>
      <c r="G480" s="367"/>
      <c r="H480" s="367"/>
      <c r="I480" s="367"/>
      <c r="J480" s="367"/>
      <c r="K480" s="367"/>
      <c r="L480" s="367"/>
      <c r="M480" s="367"/>
      <c r="N480" s="367"/>
      <c r="O480" s="367"/>
      <c r="P480" s="367"/>
      <c r="Q480" s="367"/>
      <c r="R480" s="367"/>
      <c r="S480" s="367"/>
      <c r="T480" s="367"/>
      <c r="U480" s="367"/>
      <c r="V480" s="367"/>
      <c r="W480" s="367"/>
      <c r="X480" s="367"/>
      <c r="Y480" s="367"/>
      <c r="Z480" s="367"/>
      <c r="AA480" s="367"/>
      <c r="AB480" s="367"/>
      <c r="AC480" s="367"/>
      <c r="AD480" s="367"/>
      <c r="AE480" s="367"/>
      <c r="AF480" s="367"/>
    </row>
    <row r="481" ht="15.75" customHeight="1">
      <c r="A481" s="359"/>
      <c r="B481" s="361"/>
      <c r="C481" s="361"/>
      <c r="D481" s="361"/>
      <c r="E481" s="367"/>
      <c r="F481" s="367"/>
      <c r="G481" s="367"/>
      <c r="H481" s="367"/>
      <c r="I481" s="367"/>
      <c r="J481" s="367"/>
      <c r="K481" s="367"/>
      <c r="L481" s="367"/>
      <c r="M481" s="367"/>
      <c r="N481" s="367"/>
      <c r="O481" s="367"/>
      <c r="P481" s="367"/>
      <c r="Q481" s="367"/>
      <c r="R481" s="367"/>
      <c r="S481" s="367"/>
      <c r="T481" s="367"/>
      <c r="U481" s="367"/>
      <c r="V481" s="367"/>
      <c r="W481" s="367"/>
      <c r="X481" s="367"/>
      <c r="Y481" s="367"/>
      <c r="Z481" s="367"/>
      <c r="AA481" s="367"/>
      <c r="AB481" s="367"/>
      <c r="AC481" s="367"/>
      <c r="AD481" s="367"/>
      <c r="AE481" s="367"/>
      <c r="AF481" s="367"/>
    </row>
    <row r="482" ht="15.75" customHeight="1">
      <c r="A482" s="359"/>
      <c r="B482" s="361"/>
      <c r="C482" s="361"/>
      <c r="D482" s="361"/>
      <c r="E482" s="367"/>
      <c r="F482" s="367"/>
      <c r="G482" s="367"/>
      <c r="H482" s="367"/>
      <c r="I482" s="367"/>
      <c r="J482" s="367"/>
      <c r="K482" s="367"/>
      <c r="L482" s="367"/>
      <c r="M482" s="367"/>
      <c r="N482" s="367"/>
      <c r="O482" s="367"/>
      <c r="P482" s="367"/>
      <c r="Q482" s="367"/>
      <c r="R482" s="367"/>
      <c r="S482" s="367"/>
      <c r="T482" s="367"/>
      <c r="U482" s="367"/>
      <c r="V482" s="367"/>
      <c r="W482" s="367"/>
      <c r="X482" s="367"/>
      <c r="Y482" s="367"/>
      <c r="Z482" s="367"/>
      <c r="AA482" s="367"/>
      <c r="AB482" s="367"/>
      <c r="AC482" s="367"/>
      <c r="AD482" s="367"/>
      <c r="AE482" s="367"/>
      <c r="AF482" s="367"/>
    </row>
    <row r="483" ht="15.75" customHeight="1">
      <c r="A483" s="359"/>
      <c r="B483" s="361"/>
      <c r="C483" s="361"/>
      <c r="D483" s="361"/>
      <c r="E483" s="367"/>
      <c r="F483" s="367"/>
      <c r="G483" s="367"/>
      <c r="H483" s="367"/>
      <c r="I483" s="367"/>
      <c r="J483" s="367"/>
      <c r="K483" s="367"/>
      <c r="L483" s="367"/>
      <c r="M483" s="367"/>
      <c r="N483" s="367"/>
      <c r="O483" s="367"/>
      <c r="P483" s="367"/>
      <c r="Q483" s="367"/>
      <c r="R483" s="367"/>
      <c r="S483" s="367"/>
      <c r="T483" s="367"/>
      <c r="U483" s="367"/>
      <c r="V483" s="367"/>
      <c r="W483" s="367"/>
      <c r="X483" s="367"/>
      <c r="Y483" s="367"/>
      <c r="Z483" s="367"/>
      <c r="AA483" s="367"/>
      <c r="AB483" s="367"/>
      <c r="AC483" s="367"/>
      <c r="AD483" s="367"/>
      <c r="AE483" s="367"/>
      <c r="AF483" s="367"/>
    </row>
    <row r="484" ht="15.75" customHeight="1">
      <c r="A484" s="359"/>
      <c r="B484" s="361"/>
      <c r="C484" s="361"/>
      <c r="D484" s="361"/>
      <c r="E484" s="367"/>
      <c r="F484" s="367"/>
      <c r="G484" s="367"/>
      <c r="H484" s="367"/>
      <c r="I484" s="367"/>
      <c r="J484" s="367"/>
      <c r="K484" s="367"/>
      <c r="L484" s="367"/>
      <c r="M484" s="367"/>
      <c r="N484" s="367"/>
      <c r="O484" s="367"/>
      <c r="P484" s="367"/>
      <c r="Q484" s="367"/>
      <c r="R484" s="367"/>
      <c r="S484" s="367"/>
      <c r="T484" s="367"/>
      <c r="U484" s="367"/>
      <c r="V484" s="367"/>
      <c r="W484" s="367"/>
      <c r="X484" s="367"/>
      <c r="Y484" s="367"/>
      <c r="Z484" s="367"/>
      <c r="AA484" s="367"/>
      <c r="AB484" s="367"/>
      <c r="AC484" s="367"/>
      <c r="AD484" s="367"/>
      <c r="AE484" s="367"/>
      <c r="AF484" s="367"/>
    </row>
    <row r="485" ht="15.75" customHeight="1">
      <c r="A485" s="359"/>
      <c r="B485" s="361"/>
      <c r="C485" s="361"/>
      <c r="D485" s="361"/>
      <c r="E485" s="367"/>
      <c r="F485" s="367"/>
      <c r="G485" s="367"/>
      <c r="H485" s="367"/>
      <c r="I485" s="367"/>
      <c r="J485" s="367"/>
      <c r="K485" s="367"/>
      <c r="L485" s="367"/>
      <c r="M485" s="367"/>
      <c r="N485" s="367"/>
      <c r="O485" s="367"/>
      <c r="P485" s="367"/>
      <c r="Q485" s="367"/>
      <c r="R485" s="367"/>
      <c r="S485" s="367"/>
      <c r="T485" s="367"/>
      <c r="U485" s="367"/>
      <c r="V485" s="367"/>
      <c r="W485" s="367"/>
      <c r="X485" s="367"/>
      <c r="Y485" s="367"/>
      <c r="Z485" s="367"/>
      <c r="AA485" s="367"/>
      <c r="AB485" s="367"/>
      <c r="AC485" s="367"/>
      <c r="AD485" s="367"/>
      <c r="AE485" s="367"/>
      <c r="AF485" s="367"/>
    </row>
    <row r="486" ht="15.75" customHeight="1">
      <c r="A486" s="359"/>
      <c r="B486" s="361"/>
      <c r="C486" s="361"/>
      <c r="D486" s="361"/>
      <c r="E486" s="367"/>
      <c r="F486" s="367"/>
      <c r="G486" s="367"/>
      <c r="H486" s="367"/>
      <c r="I486" s="367"/>
      <c r="J486" s="367"/>
      <c r="K486" s="367"/>
      <c r="L486" s="367"/>
      <c r="M486" s="367"/>
      <c r="N486" s="367"/>
      <c r="O486" s="367"/>
      <c r="P486" s="367"/>
      <c r="Q486" s="367"/>
      <c r="R486" s="367"/>
      <c r="S486" s="367"/>
      <c r="T486" s="367"/>
      <c r="U486" s="367"/>
      <c r="V486" s="367"/>
      <c r="W486" s="367"/>
      <c r="X486" s="367"/>
      <c r="Y486" s="367"/>
      <c r="Z486" s="367"/>
      <c r="AA486" s="367"/>
      <c r="AB486" s="367"/>
      <c r="AC486" s="367"/>
      <c r="AD486" s="367"/>
      <c r="AE486" s="367"/>
      <c r="AF486" s="367"/>
    </row>
    <row r="487" ht="15.75" customHeight="1">
      <c r="A487" s="359"/>
      <c r="B487" s="361"/>
      <c r="C487" s="361"/>
      <c r="D487" s="361"/>
      <c r="E487" s="367"/>
      <c r="F487" s="367"/>
      <c r="G487" s="367"/>
      <c r="H487" s="367"/>
      <c r="I487" s="367"/>
      <c r="J487" s="367"/>
      <c r="K487" s="367"/>
      <c r="L487" s="367"/>
      <c r="M487" s="367"/>
      <c r="N487" s="367"/>
      <c r="O487" s="367"/>
      <c r="P487" s="367"/>
      <c r="Q487" s="367"/>
      <c r="R487" s="367"/>
      <c r="S487" s="367"/>
      <c r="T487" s="367"/>
      <c r="U487" s="367"/>
      <c r="V487" s="367"/>
      <c r="W487" s="367"/>
      <c r="X487" s="367"/>
      <c r="Y487" s="367"/>
      <c r="Z487" s="367"/>
      <c r="AA487" s="367"/>
      <c r="AB487" s="367"/>
      <c r="AC487" s="367"/>
      <c r="AD487" s="367"/>
      <c r="AE487" s="367"/>
      <c r="AF487" s="367"/>
    </row>
    <row r="488" ht="15.75" customHeight="1">
      <c r="A488" s="359"/>
      <c r="B488" s="361"/>
      <c r="C488" s="361"/>
      <c r="D488" s="361"/>
      <c r="E488" s="367"/>
      <c r="F488" s="367"/>
      <c r="G488" s="367"/>
      <c r="H488" s="367"/>
      <c r="I488" s="367"/>
      <c r="J488" s="367"/>
      <c r="K488" s="367"/>
      <c r="L488" s="367"/>
      <c r="M488" s="367"/>
      <c r="N488" s="367"/>
      <c r="O488" s="367"/>
      <c r="P488" s="367"/>
      <c r="Q488" s="367"/>
      <c r="R488" s="367"/>
      <c r="S488" s="367"/>
      <c r="T488" s="367"/>
      <c r="U488" s="367"/>
      <c r="V488" s="367"/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</row>
    <row r="489" ht="15.75" customHeight="1">
      <c r="A489" s="359"/>
      <c r="B489" s="361"/>
      <c r="C489" s="361"/>
      <c r="D489" s="361"/>
      <c r="E489" s="367"/>
      <c r="F489" s="367"/>
      <c r="G489" s="367"/>
      <c r="H489" s="367"/>
      <c r="I489" s="367"/>
      <c r="J489" s="367"/>
      <c r="K489" s="367"/>
      <c r="L489" s="367"/>
      <c r="M489" s="367"/>
      <c r="N489" s="367"/>
      <c r="O489" s="367"/>
      <c r="P489" s="367"/>
      <c r="Q489" s="367"/>
      <c r="R489" s="367"/>
      <c r="S489" s="367"/>
      <c r="T489" s="367"/>
      <c r="U489" s="367"/>
      <c r="V489" s="367"/>
      <c r="W489" s="367"/>
      <c r="X489" s="367"/>
      <c r="Y489" s="367"/>
      <c r="Z489" s="367"/>
      <c r="AA489" s="367"/>
      <c r="AB489" s="367"/>
      <c r="AC489" s="367"/>
      <c r="AD489" s="367"/>
      <c r="AE489" s="367"/>
      <c r="AF489" s="367"/>
    </row>
    <row r="490" ht="15.75" customHeight="1">
      <c r="A490" s="359"/>
      <c r="B490" s="361"/>
      <c r="C490" s="361"/>
      <c r="D490" s="361"/>
      <c r="E490" s="367"/>
      <c r="F490" s="367"/>
      <c r="G490" s="367"/>
      <c r="H490" s="367"/>
      <c r="I490" s="367"/>
      <c r="J490" s="367"/>
      <c r="K490" s="367"/>
      <c r="L490" s="367"/>
      <c r="M490" s="367"/>
      <c r="N490" s="367"/>
      <c r="O490" s="367"/>
      <c r="P490" s="367"/>
      <c r="Q490" s="367"/>
      <c r="R490" s="367"/>
      <c r="S490" s="367"/>
      <c r="T490" s="367"/>
      <c r="U490" s="367"/>
      <c r="V490" s="367"/>
      <c r="W490" s="367"/>
      <c r="X490" s="367"/>
      <c r="Y490" s="367"/>
      <c r="Z490" s="367"/>
      <c r="AA490" s="367"/>
      <c r="AB490" s="367"/>
      <c r="AC490" s="367"/>
      <c r="AD490" s="367"/>
      <c r="AE490" s="367"/>
      <c r="AF490" s="367"/>
    </row>
    <row r="491" ht="15.75" customHeight="1">
      <c r="A491" s="359"/>
      <c r="B491" s="361"/>
      <c r="C491" s="361"/>
      <c r="D491" s="361"/>
      <c r="E491" s="367"/>
      <c r="F491" s="367"/>
      <c r="G491" s="367"/>
      <c r="H491" s="367"/>
      <c r="I491" s="367"/>
      <c r="J491" s="367"/>
      <c r="K491" s="367"/>
      <c r="L491" s="367"/>
      <c r="M491" s="367"/>
      <c r="N491" s="367"/>
      <c r="O491" s="367"/>
      <c r="P491" s="367"/>
      <c r="Q491" s="367"/>
      <c r="R491" s="367"/>
      <c r="S491" s="367"/>
      <c r="T491" s="367"/>
      <c r="U491" s="367"/>
      <c r="V491" s="367"/>
      <c r="W491" s="367"/>
      <c r="X491" s="367"/>
      <c r="Y491" s="367"/>
      <c r="Z491" s="367"/>
      <c r="AA491" s="367"/>
      <c r="AB491" s="367"/>
      <c r="AC491" s="367"/>
      <c r="AD491" s="367"/>
      <c r="AE491" s="367"/>
      <c r="AF491" s="367"/>
    </row>
    <row r="492" ht="15.75" customHeight="1">
      <c r="A492" s="359"/>
      <c r="B492" s="361"/>
      <c r="C492" s="361"/>
      <c r="D492" s="361"/>
      <c r="E492" s="367"/>
      <c r="F492" s="367"/>
      <c r="G492" s="367"/>
      <c r="H492" s="367"/>
      <c r="I492" s="367"/>
      <c r="J492" s="367"/>
      <c r="K492" s="367"/>
      <c r="L492" s="367"/>
      <c r="M492" s="367"/>
      <c r="N492" s="367"/>
      <c r="O492" s="367"/>
      <c r="P492" s="367"/>
      <c r="Q492" s="367"/>
      <c r="R492" s="367"/>
      <c r="S492" s="367"/>
      <c r="T492" s="367"/>
      <c r="U492" s="367"/>
      <c r="V492" s="367"/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</row>
    <row r="493" ht="15.75" customHeight="1">
      <c r="A493" s="359"/>
      <c r="B493" s="361"/>
      <c r="C493" s="361"/>
      <c r="D493" s="361"/>
      <c r="E493" s="367"/>
      <c r="F493" s="367"/>
      <c r="G493" s="367"/>
      <c r="H493" s="367"/>
      <c r="I493" s="367"/>
      <c r="J493" s="367"/>
      <c r="K493" s="367"/>
      <c r="L493" s="367"/>
      <c r="M493" s="367"/>
      <c r="N493" s="367"/>
      <c r="O493" s="367"/>
      <c r="P493" s="367"/>
      <c r="Q493" s="367"/>
      <c r="R493" s="367"/>
      <c r="S493" s="367"/>
      <c r="T493" s="367"/>
      <c r="U493" s="367"/>
      <c r="V493" s="367"/>
      <c r="W493" s="367"/>
      <c r="X493" s="367"/>
      <c r="Y493" s="367"/>
      <c r="Z493" s="367"/>
      <c r="AA493" s="367"/>
      <c r="AB493" s="367"/>
      <c r="AC493" s="367"/>
      <c r="AD493" s="367"/>
      <c r="AE493" s="367"/>
      <c r="AF493" s="367"/>
    </row>
    <row r="494" ht="15.75" customHeight="1">
      <c r="A494" s="359"/>
      <c r="B494" s="361"/>
      <c r="C494" s="361"/>
      <c r="D494" s="361"/>
      <c r="E494" s="367"/>
      <c r="F494" s="367"/>
      <c r="G494" s="367"/>
      <c r="H494" s="367"/>
      <c r="I494" s="367"/>
      <c r="J494" s="367"/>
      <c r="K494" s="367"/>
      <c r="L494" s="367"/>
      <c r="M494" s="367"/>
      <c r="N494" s="367"/>
      <c r="O494" s="367"/>
      <c r="P494" s="367"/>
      <c r="Q494" s="367"/>
      <c r="R494" s="367"/>
      <c r="S494" s="367"/>
      <c r="T494" s="367"/>
      <c r="U494" s="367"/>
      <c r="V494" s="367"/>
      <c r="W494" s="367"/>
      <c r="X494" s="367"/>
      <c r="Y494" s="367"/>
      <c r="Z494" s="367"/>
      <c r="AA494" s="367"/>
      <c r="AB494" s="367"/>
      <c r="AC494" s="367"/>
      <c r="AD494" s="367"/>
      <c r="AE494" s="367"/>
      <c r="AF494" s="367"/>
    </row>
    <row r="495" ht="15.75" customHeight="1">
      <c r="A495" s="359"/>
      <c r="B495" s="361"/>
      <c r="C495" s="361"/>
      <c r="D495" s="361"/>
      <c r="E495" s="367"/>
      <c r="F495" s="367"/>
      <c r="G495" s="367"/>
      <c r="H495" s="367"/>
      <c r="I495" s="367"/>
      <c r="J495" s="367"/>
      <c r="K495" s="367"/>
      <c r="L495" s="367"/>
      <c r="M495" s="367"/>
      <c r="N495" s="367"/>
      <c r="O495" s="367"/>
      <c r="P495" s="367"/>
      <c r="Q495" s="367"/>
      <c r="R495" s="367"/>
      <c r="S495" s="367"/>
      <c r="T495" s="367"/>
      <c r="U495" s="367"/>
      <c r="V495" s="367"/>
      <c r="W495" s="367"/>
      <c r="X495" s="367"/>
      <c r="Y495" s="367"/>
      <c r="Z495" s="367"/>
      <c r="AA495" s="367"/>
      <c r="AB495" s="367"/>
      <c r="AC495" s="367"/>
      <c r="AD495" s="367"/>
      <c r="AE495" s="367"/>
      <c r="AF495" s="367"/>
    </row>
    <row r="496" ht="15.75" customHeight="1">
      <c r="A496" s="359"/>
      <c r="B496" s="361"/>
      <c r="C496" s="361"/>
      <c r="D496" s="361"/>
      <c r="E496" s="367"/>
      <c r="F496" s="367"/>
      <c r="G496" s="367"/>
      <c r="H496" s="367"/>
      <c r="I496" s="367"/>
      <c r="J496" s="367"/>
      <c r="K496" s="367"/>
      <c r="L496" s="367"/>
      <c r="M496" s="367"/>
      <c r="N496" s="367"/>
      <c r="O496" s="367"/>
      <c r="P496" s="367"/>
      <c r="Q496" s="367"/>
      <c r="R496" s="367"/>
      <c r="S496" s="367"/>
      <c r="T496" s="367"/>
      <c r="U496" s="367"/>
      <c r="V496" s="367"/>
      <c r="W496" s="367"/>
      <c r="X496" s="367"/>
      <c r="Y496" s="367"/>
      <c r="Z496" s="367"/>
      <c r="AA496" s="367"/>
      <c r="AB496" s="367"/>
      <c r="AC496" s="367"/>
      <c r="AD496" s="367"/>
      <c r="AE496" s="367"/>
      <c r="AF496" s="367"/>
    </row>
    <row r="497" ht="15.75" customHeight="1">
      <c r="A497" s="359"/>
      <c r="B497" s="361"/>
      <c r="C497" s="361"/>
      <c r="D497" s="361"/>
      <c r="E497" s="367"/>
      <c r="F497" s="367"/>
      <c r="G497" s="367"/>
      <c r="H497" s="367"/>
      <c r="I497" s="367"/>
      <c r="J497" s="367"/>
      <c r="K497" s="367"/>
      <c r="L497" s="367"/>
      <c r="M497" s="367"/>
      <c r="N497" s="367"/>
      <c r="O497" s="367"/>
      <c r="P497" s="367"/>
      <c r="Q497" s="367"/>
      <c r="R497" s="367"/>
      <c r="S497" s="367"/>
      <c r="T497" s="367"/>
      <c r="U497" s="367"/>
      <c r="V497" s="367"/>
      <c r="W497" s="367"/>
      <c r="X497" s="367"/>
      <c r="Y497" s="367"/>
      <c r="Z497" s="367"/>
      <c r="AA497" s="367"/>
      <c r="AB497" s="367"/>
      <c r="AC497" s="367"/>
      <c r="AD497" s="367"/>
      <c r="AE497" s="367"/>
      <c r="AF497" s="367"/>
    </row>
    <row r="498" ht="15.75" customHeight="1">
      <c r="A498" s="359"/>
      <c r="B498" s="361"/>
      <c r="C498" s="361"/>
      <c r="D498" s="361"/>
      <c r="E498" s="367"/>
      <c r="F498" s="367"/>
      <c r="G498" s="367"/>
      <c r="H498" s="367"/>
      <c r="I498" s="367"/>
      <c r="J498" s="367"/>
      <c r="K498" s="367"/>
      <c r="L498" s="367"/>
      <c r="M498" s="367"/>
      <c r="N498" s="367"/>
      <c r="O498" s="367"/>
      <c r="P498" s="367"/>
      <c r="Q498" s="367"/>
      <c r="R498" s="367"/>
      <c r="S498" s="367"/>
      <c r="T498" s="367"/>
      <c r="U498" s="367"/>
      <c r="V498" s="367"/>
      <c r="W498" s="367"/>
      <c r="X498" s="367"/>
      <c r="Y498" s="367"/>
      <c r="Z498" s="367"/>
      <c r="AA498" s="367"/>
      <c r="AB498" s="367"/>
      <c r="AC498" s="367"/>
      <c r="AD498" s="367"/>
      <c r="AE498" s="367"/>
      <c r="AF498" s="367"/>
    </row>
    <row r="499" ht="15.75" customHeight="1">
      <c r="A499" s="359"/>
      <c r="B499" s="361"/>
      <c r="C499" s="361"/>
      <c r="D499" s="361"/>
      <c r="E499" s="367"/>
      <c r="F499" s="367"/>
      <c r="G499" s="367"/>
      <c r="H499" s="367"/>
      <c r="I499" s="367"/>
      <c r="J499" s="367"/>
      <c r="K499" s="367"/>
      <c r="L499" s="367"/>
      <c r="M499" s="367"/>
      <c r="N499" s="367"/>
      <c r="O499" s="367"/>
      <c r="P499" s="367"/>
      <c r="Q499" s="367"/>
      <c r="R499" s="367"/>
      <c r="S499" s="367"/>
      <c r="T499" s="367"/>
      <c r="U499" s="367"/>
      <c r="V499" s="367"/>
      <c r="W499" s="367"/>
      <c r="X499" s="367"/>
      <c r="Y499" s="367"/>
      <c r="Z499" s="367"/>
      <c r="AA499" s="367"/>
      <c r="AB499" s="367"/>
      <c r="AC499" s="367"/>
      <c r="AD499" s="367"/>
      <c r="AE499" s="367"/>
      <c r="AF499" s="367"/>
    </row>
    <row r="500" ht="15.75" customHeight="1">
      <c r="A500" s="359"/>
      <c r="B500" s="361"/>
      <c r="C500" s="361"/>
      <c r="D500" s="361"/>
      <c r="E500" s="367"/>
      <c r="F500" s="367"/>
      <c r="G500" s="367"/>
      <c r="H500" s="367"/>
      <c r="I500" s="367"/>
      <c r="J500" s="367"/>
      <c r="K500" s="367"/>
      <c r="L500" s="367"/>
      <c r="M500" s="367"/>
      <c r="N500" s="367"/>
      <c r="O500" s="367"/>
      <c r="P500" s="367"/>
      <c r="Q500" s="367"/>
      <c r="R500" s="367"/>
      <c r="S500" s="367"/>
      <c r="T500" s="367"/>
      <c r="U500" s="367"/>
      <c r="V500" s="367"/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</row>
    <row r="501" ht="15.75" customHeight="1">
      <c r="A501" s="359"/>
      <c r="B501" s="361"/>
      <c r="C501" s="361"/>
      <c r="D501" s="361"/>
      <c r="E501" s="367"/>
      <c r="F501" s="367"/>
      <c r="G501" s="367"/>
      <c r="H501" s="367"/>
      <c r="I501" s="367"/>
      <c r="J501" s="367"/>
      <c r="K501" s="367"/>
      <c r="L501" s="367"/>
      <c r="M501" s="367"/>
      <c r="N501" s="367"/>
      <c r="O501" s="367"/>
      <c r="P501" s="367"/>
      <c r="Q501" s="367"/>
      <c r="R501" s="367"/>
      <c r="S501" s="367"/>
      <c r="T501" s="367"/>
      <c r="U501" s="367"/>
      <c r="V501" s="367"/>
      <c r="W501" s="367"/>
      <c r="X501" s="367"/>
      <c r="Y501" s="367"/>
      <c r="Z501" s="367"/>
      <c r="AA501" s="367"/>
      <c r="AB501" s="367"/>
      <c r="AC501" s="367"/>
      <c r="AD501" s="367"/>
      <c r="AE501" s="367"/>
      <c r="AF501" s="367"/>
    </row>
    <row r="502" ht="15.75" customHeight="1">
      <c r="A502" s="359"/>
      <c r="B502" s="361"/>
      <c r="C502" s="361"/>
      <c r="D502" s="361"/>
      <c r="E502" s="367"/>
      <c r="F502" s="367"/>
      <c r="G502" s="367"/>
      <c r="H502" s="367"/>
      <c r="I502" s="367"/>
      <c r="J502" s="367"/>
      <c r="K502" s="367"/>
      <c r="L502" s="367"/>
      <c r="M502" s="367"/>
      <c r="N502" s="367"/>
      <c r="O502" s="367"/>
      <c r="P502" s="367"/>
      <c r="Q502" s="367"/>
      <c r="R502" s="367"/>
      <c r="S502" s="367"/>
      <c r="T502" s="367"/>
      <c r="U502" s="367"/>
      <c r="V502" s="367"/>
      <c r="W502" s="367"/>
      <c r="X502" s="367"/>
      <c r="Y502" s="367"/>
      <c r="Z502" s="367"/>
      <c r="AA502" s="367"/>
      <c r="AB502" s="367"/>
      <c r="AC502" s="367"/>
      <c r="AD502" s="367"/>
      <c r="AE502" s="367"/>
      <c r="AF502" s="367"/>
    </row>
    <row r="503" ht="15.75" customHeight="1">
      <c r="A503" s="359"/>
      <c r="B503" s="361"/>
      <c r="C503" s="361"/>
      <c r="D503" s="361"/>
      <c r="E503" s="367"/>
      <c r="F503" s="367"/>
      <c r="G503" s="367"/>
      <c r="H503" s="367"/>
      <c r="I503" s="367"/>
      <c r="J503" s="367"/>
      <c r="K503" s="367"/>
      <c r="L503" s="367"/>
      <c r="M503" s="367"/>
      <c r="N503" s="367"/>
      <c r="O503" s="367"/>
      <c r="P503" s="367"/>
      <c r="Q503" s="367"/>
      <c r="R503" s="367"/>
      <c r="S503" s="367"/>
      <c r="T503" s="367"/>
      <c r="U503" s="367"/>
      <c r="V503" s="367"/>
      <c r="W503" s="367"/>
      <c r="X503" s="367"/>
      <c r="Y503" s="367"/>
      <c r="Z503" s="367"/>
      <c r="AA503" s="367"/>
      <c r="AB503" s="367"/>
      <c r="AC503" s="367"/>
      <c r="AD503" s="367"/>
      <c r="AE503" s="367"/>
      <c r="AF503" s="367"/>
    </row>
    <row r="504" ht="15.75" customHeight="1">
      <c r="A504" s="359"/>
      <c r="B504" s="361"/>
      <c r="C504" s="361"/>
      <c r="D504" s="361"/>
      <c r="E504" s="367"/>
      <c r="F504" s="367"/>
      <c r="G504" s="367"/>
      <c r="H504" s="367"/>
      <c r="I504" s="367"/>
      <c r="J504" s="367"/>
      <c r="K504" s="367"/>
      <c r="L504" s="367"/>
      <c r="M504" s="367"/>
      <c r="N504" s="367"/>
      <c r="O504" s="367"/>
      <c r="P504" s="367"/>
      <c r="Q504" s="367"/>
      <c r="R504" s="367"/>
      <c r="S504" s="367"/>
      <c r="T504" s="367"/>
      <c r="U504" s="367"/>
      <c r="V504" s="367"/>
      <c r="W504" s="367"/>
      <c r="X504" s="367"/>
      <c r="Y504" s="367"/>
      <c r="Z504" s="367"/>
      <c r="AA504" s="367"/>
      <c r="AB504" s="367"/>
      <c r="AC504" s="367"/>
      <c r="AD504" s="367"/>
      <c r="AE504" s="367"/>
      <c r="AF504" s="367"/>
    </row>
    <row r="505" ht="15.75" customHeight="1">
      <c r="A505" s="359"/>
      <c r="B505" s="361"/>
      <c r="C505" s="361"/>
      <c r="D505" s="361"/>
      <c r="E505" s="367"/>
      <c r="F505" s="367"/>
      <c r="G505" s="367"/>
      <c r="H505" s="367"/>
      <c r="I505" s="367"/>
      <c r="J505" s="367"/>
      <c r="K505" s="367"/>
      <c r="L505" s="367"/>
      <c r="M505" s="367"/>
      <c r="N505" s="367"/>
      <c r="O505" s="367"/>
      <c r="P505" s="367"/>
      <c r="Q505" s="367"/>
      <c r="R505" s="367"/>
      <c r="S505" s="367"/>
      <c r="T505" s="367"/>
      <c r="U505" s="367"/>
      <c r="V505" s="367"/>
      <c r="W505" s="367"/>
      <c r="X505" s="367"/>
      <c r="Y505" s="367"/>
      <c r="Z505" s="367"/>
      <c r="AA505" s="367"/>
      <c r="AB505" s="367"/>
      <c r="AC505" s="367"/>
      <c r="AD505" s="367"/>
      <c r="AE505" s="367"/>
      <c r="AF505" s="367"/>
    </row>
    <row r="506" ht="15.75" customHeight="1">
      <c r="A506" s="359"/>
      <c r="B506" s="361"/>
      <c r="C506" s="361"/>
      <c r="D506" s="361"/>
      <c r="E506" s="367"/>
      <c r="F506" s="367"/>
      <c r="G506" s="367"/>
      <c r="H506" s="367"/>
      <c r="I506" s="367"/>
      <c r="J506" s="367"/>
      <c r="K506" s="367"/>
      <c r="L506" s="367"/>
      <c r="M506" s="367"/>
      <c r="N506" s="367"/>
      <c r="O506" s="367"/>
      <c r="P506" s="367"/>
      <c r="Q506" s="367"/>
      <c r="R506" s="367"/>
      <c r="S506" s="367"/>
      <c r="T506" s="367"/>
      <c r="U506" s="367"/>
      <c r="V506" s="367"/>
      <c r="W506" s="367"/>
      <c r="X506" s="367"/>
      <c r="Y506" s="367"/>
      <c r="Z506" s="367"/>
      <c r="AA506" s="367"/>
      <c r="AB506" s="367"/>
      <c r="AC506" s="367"/>
      <c r="AD506" s="367"/>
      <c r="AE506" s="367"/>
      <c r="AF506" s="367"/>
    </row>
    <row r="507" ht="15.75" customHeight="1">
      <c r="A507" s="359"/>
      <c r="B507" s="361"/>
      <c r="C507" s="361"/>
      <c r="D507" s="361"/>
      <c r="E507" s="367"/>
      <c r="F507" s="367"/>
      <c r="G507" s="367"/>
      <c r="H507" s="367"/>
      <c r="I507" s="367"/>
      <c r="J507" s="367"/>
      <c r="K507" s="367"/>
      <c r="L507" s="367"/>
      <c r="M507" s="367"/>
      <c r="N507" s="367"/>
      <c r="O507" s="367"/>
      <c r="P507" s="367"/>
      <c r="Q507" s="367"/>
      <c r="R507" s="367"/>
      <c r="S507" s="367"/>
      <c r="T507" s="367"/>
      <c r="U507" s="367"/>
      <c r="V507" s="367"/>
      <c r="W507" s="367"/>
      <c r="X507" s="367"/>
      <c r="Y507" s="367"/>
      <c r="Z507" s="367"/>
      <c r="AA507" s="367"/>
      <c r="AB507" s="367"/>
      <c r="AC507" s="367"/>
      <c r="AD507" s="367"/>
      <c r="AE507" s="367"/>
      <c r="AF507" s="367"/>
    </row>
    <row r="508" ht="15.75" customHeight="1">
      <c r="A508" s="359"/>
      <c r="B508" s="361"/>
      <c r="C508" s="361"/>
      <c r="D508" s="361"/>
      <c r="E508" s="367"/>
      <c r="F508" s="367"/>
      <c r="G508" s="367"/>
      <c r="H508" s="367"/>
      <c r="I508" s="367"/>
      <c r="J508" s="367"/>
      <c r="K508" s="367"/>
      <c r="L508" s="367"/>
      <c r="M508" s="367"/>
      <c r="N508" s="367"/>
      <c r="O508" s="367"/>
      <c r="P508" s="367"/>
      <c r="Q508" s="367"/>
      <c r="R508" s="367"/>
      <c r="S508" s="367"/>
      <c r="T508" s="367"/>
      <c r="U508" s="367"/>
      <c r="V508" s="367"/>
      <c r="W508" s="367"/>
      <c r="X508" s="367"/>
      <c r="Y508" s="367"/>
      <c r="Z508" s="367"/>
      <c r="AA508" s="367"/>
      <c r="AB508" s="367"/>
      <c r="AC508" s="367"/>
      <c r="AD508" s="367"/>
      <c r="AE508" s="367"/>
      <c r="AF508" s="367"/>
    </row>
    <row r="509" ht="15.75" customHeight="1">
      <c r="A509" s="359"/>
      <c r="B509" s="361"/>
      <c r="C509" s="361"/>
      <c r="D509" s="361"/>
      <c r="E509" s="367"/>
      <c r="F509" s="367"/>
      <c r="G509" s="367"/>
      <c r="H509" s="367"/>
      <c r="I509" s="367"/>
      <c r="J509" s="367"/>
      <c r="K509" s="367"/>
      <c r="L509" s="367"/>
      <c r="M509" s="367"/>
      <c r="N509" s="367"/>
      <c r="O509" s="367"/>
      <c r="P509" s="367"/>
      <c r="Q509" s="367"/>
      <c r="R509" s="367"/>
      <c r="S509" s="367"/>
      <c r="T509" s="367"/>
      <c r="U509" s="367"/>
      <c r="V509" s="367"/>
      <c r="W509" s="367"/>
      <c r="X509" s="367"/>
      <c r="Y509" s="367"/>
      <c r="Z509" s="367"/>
      <c r="AA509" s="367"/>
      <c r="AB509" s="367"/>
      <c r="AC509" s="367"/>
      <c r="AD509" s="367"/>
      <c r="AE509" s="367"/>
      <c r="AF509" s="367"/>
    </row>
    <row r="510" ht="15.75" customHeight="1">
      <c r="A510" s="359"/>
      <c r="B510" s="361"/>
      <c r="C510" s="361"/>
      <c r="D510" s="361"/>
      <c r="E510" s="367"/>
      <c r="F510" s="367"/>
      <c r="G510" s="367"/>
      <c r="H510" s="367"/>
      <c r="I510" s="367"/>
      <c r="J510" s="367"/>
      <c r="K510" s="367"/>
      <c r="L510" s="367"/>
      <c r="M510" s="367"/>
      <c r="N510" s="367"/>
      <c r="O510" s="367"/>
      <c r="P510" s="367"/>
      <c r="Q510" s="367"/>
      <c r="R510" s="367"/>
      <c r="S510" s="367"/>
      <c r="T510" s="367"/>
      <c r="U510" s="367"/>
      <c r="V510" s="367"/>
      <c r="W510" s="367"/>
      <c r="X510" s="367"/>
      <c r="Y510" s="367"/>
      <c r="Z510" s="367"/>
      <c r="AA510" s="367"/>
      <c r="AB510" s="367"/>
      <c r="AC510" s="367"/>
      <c r="AD510" s="367"/>
      <c r="AE510" s="367"/>
      <c r="AF510" s="367"/>
    </row>
    <row r="511" ht="15.75" customHeight="1">
      <c r="A511" s="359"/>
      <c r="B511" s="361"/>
      <c r="C511" s="361"/>
      <c r="D511" s="361"/>
      <c r="E511" s="367"/>
      <c r="F511" s="367"/>
      <c r="G511" s="367"/>
      <c r="H511" s="367"/>
      <c r="I511" s="367"/>
      <c r="J511" s="367"/>
      <c r="K511" s="367"/>
      <c r="L511" s="367"/>
      <c r="M511" s="367"/>
      <c r="N511" s="367"/>
      <c r="O511" s="367"/>
      <c r="P511" s="367"/>
      <c r="Q511" s="367"/>
      <c r="R511" s="367"/>
      <c r="S511" s="367"/>
      <c r="T511" s="367"/>
      <c r="U511" s="367"/>
      <c r="V511" s="367"/>
      <c r="W511" s="367"/>
      <c r="X511" s="367"/>
      <c r="Y511" s="367"/>
      <c r="Z511" s="367"/>
      <c r="AA511" s="367"/>
      <c r="AB511" s="367"/>
      <c r="AC511" s="367"/>
      <c r="AD511" s="367"/>
      <c r="AE511" s="367"/>
      <c r="AF511" s="367"/>
    </row>
    <row r="512" ht="15.75" customHeight="1">
      <c r="A512" s="359"/>
      <c r="B512" s="361"/>
      <c r="C512" s="361"/>
      <c r="D512" s="361"/>
      <c r="E512" s="367"/>
      <c r="F512" s="367"/>
      <c r="G512" s="367"/>
      <c r="H512" s="367"/>
      <c r="I512" s="367"/>
      <c r="J512" s="367"/>
      <c r="K512" s="367"/>
      <c r="L512" s="367"/>
      <c r="M512" s="367"/>
      <c r="N512" s="367"/>
      <c r="O512" s="367"/>
      <c r="P512" s="367"/>
      <c r="Q512" s="367"/>
      <c r="R512" s="367"/>
      <c r="S512" s="367"/>
      <c r="T512" s="367"/>
      <c r="U512" s="367"/>
      <c r="V512" s="367"/>
      <c r="W512" s="367"/>
      <c r="X512" s="367"/>
      <c r="Y512" s="367"/>
      <c r="Z512" s="367"/>
      <c r="AA512" s="367"/>
      <c r="AB512" s="367"/>
      <c r="AC512" s="367"/>
      <c r="AD512" s="367"/>
      <c r="AE512" s="367"/>
      <c r="AF512" s="367"/>
    </row>
    <row r="513" ht="15.75" customHeight="1">
      <c r="A513" s="359"/>
      <c r="B513" s="361"/>
      <c r="C513" s="361"/>
      <c r="D513" s="361"/>
      <c r="E513" s="367"/>
      <c r="F513" s="367"/>
      <c r="G513" s="367"/>
      <c r="H513" s="367"/>
      <c r="I513" s="367"/>
      <c r="J513" s="367"/>
      <c r="K513" s="367"/>
      <c r="L513" s="367"/>
      <c r="M513" s="367"/>
      <c r="N513" s="367"/>
      <c r="O513" s="367"/>
      <c r="P513" s="367"/>
      <c r="Q513" s="367"/>
      <c r="R513" s="367"/>
      <c r="S513" s="367"/>
      <c r="T513" s="367"/>
      <c r="U513" s="367"/>
      <c r="V513" s="367"/>
      <c r="W513" s="367"/>
      <c r="X513" s="367"/>
      <c r="Y513" s="367"/>
      <c r="Z513" s="367"/>
      <c r="AA513" s="367"/>
      <c r="AB513" s="367"/>
      <c r="AC513" s="367"/>
      <c r="AD513" s="367"/>
      <c r="AE513" s="367"/>
      <c r="AF513" s="367"/>
    </row>
    <row r="514" ht="15.75" customHeight="1">
      <c r="A514" s="359"/>
      <c r="B514" s="361"/>
      <c r="C514" s="361"/>
      <c r="D514" s="361"/>
      <c r="E514" s="367"/>
      <c r="F514" s="367"/>
      <c r="G514" s="367"/>
      <c r="H514" s="367"/>
      <c r="I514" s="367"/>
      <c r="J514" s="367"/>
      <c r="K514" s="367"/>
      <c r="L514" s="367"/>
      <c r="M514" s="367"/>
      <c r="N514" s="367"/>
      <c r="O514" s="367"/>
      <c r="P514" s="367"/>
      <c r="Q514" s="367"/>
      <c r="R514" s="367"/>
      <c r="S514" s="367"/>
      <c r="T514" s="367"/>
      <c r="U514" s="367"/>
      <c r="V514" s="367"/>
      <c r="W514" s="367"/>
      <c r="X514" s="367"/>
      <c r="Y514" s="367"/>
      <c r="Z514" s="367"/>
      <c r="AA514" s="367"/>
      <c r="AB514" s="367"/>
      <c r="AC514" s="367"/>
      <c r="AD514" s="367"/>
      <c r="AE514" s="367"/>
      <c r="AF514" s="367"/>
    </row>
    <row r="515" ht="15.75" customHeight="1">
      <c r="A515" s="359"/>
      <c r="B515" s="361"/>
      <c r="C515" s="361"/>
      <c r="D515" s="361"/>
      <c r="E515" s="367"/>
      <c r="F515" s="367"/>
      <c r="G515" s="367"/>
      <c r="H515" s="367"/>
      <c r="I515" s="367"/>
      <c r="J515" s="367"/>
      <c r="K515" s="367"/>
      <c r="L515" s="367"/>
      <c r="M515" s="367"/>
      <c r="N515" s="367"/>
      <c r="O515" s="367"/>
      <c r="P515" s="367"/>
      <c r="Q515" s="367"/>
      <c r="R515" s="367"/>
      <c r="S515" s="367"/>
      <c r="T515" s="367"/>
      <c r="U515" s="367"/>
      <c r="V515" s="367"/>
      <c r="W515" s="367"/>
      <c r="X515" s="367"/>
      <c r="Y515" s="367"/>
      <c r="Z515" s="367"/>
      <c r="AA515" s="367"/>
      <c r="AB515" s="367"/>
      <c r="AC515" s="367"/>
      <c r="AD515" s="367"/>
      <c r="AE515" s="367"/>
      <c r="AF515" s="367"/>
    </row>
    <row r="516" ht="15.75" customHeight="1">
      <c r="A516" s="359"/>
      <c r="B516" s="361"/>
      <c r="C516" s="361"/>
      <c r="D516" s="361"/>
      <c r="E516" s="367"/>
      <c r="F516" s="367"/>
      <c r="G516" s="367"/>
      <c r="H516" s="367"/>
      <c r="I516" s="367"/>
      <c r="J516" s="367"/>
      <c r="K516" s="367"/>
      <c r="L516" s="367"/>
      <c r="M516" s="367"/>
      <c r="N516" s="367"/>
      <c r="O516" s="367"/>
      <c r="P516" s="367"/>
      <c r="Q516" s="367"/>
      <c r="R516" s="367"/>
      <c r="S516" s="367"/>
      <c r="T516" s="367"/>
      <c r="U516" s="367"/>
      <c r="V516" s="367"/>
      <c r="W516" s="367"/>
      <c r="X516" s="367"/>
      <c r="Y516" s="367"/>
      <c r="Z516" s="367"/>
      <c r="AA516" s="367"/>
      <c r="AB516" s="367"/>
      <c r="AC516" s="367"/>
      <c r="AD516" s="367"/>
      <c r="AE516" s="367"/>
      <c r="AF516" s="367"/>
    </row>
    <row r="517" ht="15.75" customHeight="1">
      <c r="A517" s="359"/>
      <c r="B517" s="361"/>
      <c r="C517" s="361"/>
      <c r="D517" s="361"/>
      <c r="E517" s="367"/>
      <c r="F517" s="367"/>
      <c r="G517" s="367"/>
      <c r="H517" s="367"/>
      <c r="I517" s="367"/>
      <c r="J517" s="367"/>
      <c r="K517" s="367"/>
      <c r="L517" s="367"/>
      <c r="M517" s="367"/>
      <c r="N517" s="367"/>
      <c r="O517" s="367"/>
      <c r="P517" s="367"/>
      <c r="Q517" s="367"/>
      <c r="R517" s="367"/>
      <c r="S517" s="367"/>
      <c r="T517" s="367"/>
      <c r="U517" s="367"/>
      <c r="V517" s="367"/>
      <c r="W517" s="367"/>
      <c r="X517" s="367"/>
      <c r="Y517" s="367"/>
      <c r="Z517" s="367"/>
      <c r="AA517" s="367"/>
      <c r="AB517" s="367"/>
      <c r="AC517" s="367"/>
      <c r="AD517" s="367"/>
      <c r="AE517" s="367"/>
      <c r="AF517" s="367"/>
    </row>
    <row r="518" ht="15.75" customHeight="1">
      <c r="A518" s="359"/>
      <c r="B518" s="361"/>
      <c r="C518" s="361"/>
      <c r="D518" s="361"/>
      <c r="E518" s="367"/>
      <c r="F518" s="367"/>
      <c r="G518" s="367"/>
      <c r="H518" s="367"/>
      <c r="I518" s="367"/>
      <c r="J518" s="367"/>
      <c r="K518" s="367"/>
      <c r="L518" s="367"/>
      <c r="M518" s="367"/>
      <c r="N518" s="367"/>
      <c r="O518" s="367"/>
      <c r="P518" s="367"/>
      <c r="Q518" s="367"/>
      <c r="R518" s="367"/>
      <c r="S518" s="367"/>
      <c r="T518" s="367"/>
      <c r="U518" s="367"/>
      <c r="V518" s="367"/>
      <c r="W518" s="367"/>
      <c r="X518" s="367"/>
      <c r="Y518" s="367"/>
      <c r="Z518" s="367"/>
      <c r="AA518" s="367"/>
      <c r="AB518" s="367"/>
      <c r="AC518" s="367"/>
      <c r="AD518" s="367"/>
      <c r="AE518" s="367"/>
      <c r="AF518" s="367"/>
    </row>
    <row r="519" ht="15.75" customHeight="1">
      <c r="A519" s="359"/>
      <c r="B519" s="361"/>
      <c r="C519" s="361"/>
      <c r="D519" s="361"/>
      <c r="E519" s="367"/>
      <c r="F519" s="367"/>
      <c r="G519" s="367"/>
      <c r="H519" s="367"/>
      <c r="I519" s="367"/>
      <c r="J519" s="367"/>
      <c r="K519" s="367"/>
      <c r="L519" s="367"/>
      <c r="M519" s="367"/>
      <c r="N519" s="367"/>
      <c r="O519" s="367"/>
      <c r="P519" s="367"/>
      <c r="Q519" s="367"/>
      <c r="R519" s="367"/>
      <c r="S519" s="367"/>
      <c r="T519" s="367"/>
      <c r="U519" s="367"/>
      <c r="V519" s="367"/>
      <c r="W519" s="367"/>
      <c r="X519" s="367"/>
      <c r="Y519" s="367"/>
      <c r="Z519" s="367"/>
      <c r="AA519" s="367"/>
      <c r="AB519" s="367"/>
      <c r="AC519" s="367"/>
      <c r="AD519" s="367"/>
      <c r="AE519" s="367"/>
      <c r="AF519" s="367"/>
    </row>
    <row r="520" ht="15.75" customHeight="1">
      <c r="A520" s="359"/>
      <c r="B520" s="361"/>
      <c r="C520" s="361"/>
      <c r="D520" s="361"/>
      <c r="E520" s="367"/>
      <c r="F520" s="367"/>
      <c r="G520" s="367"/>
      <c r="H520" s="367"/>
      <c r="I520" s="367"/>
      <c r="J520" s="367"/>
      <c r="K520" s="367"/>
      <c r="L520" s="367"/>
      <c r="M520" s="367"/>
      <c r="N520" s="367"/>
      <c r="O520" s="367"/>
      <c r="P520" s="367"/>
      <c r="Q520" s="367"/>
      <c r="R520" s="367"/>
      <c r="S520" s="367"/>
      <c r="T520" s="367"/>
      <c r="U520" s="367"/>
      <c r="V520" s="367"/>
      <c r="W520" s="367"/>
      <c r="X520" s="367"/>
      <c r="Y520" s="367"/>
      <c r="Z520" s="367"/>
      <c r="AA520" s="367"/>
      <c r="AB520" s="367"/>
      <c r="AC520" s="367"/>
      <c r="AD520" s="367"/>
      <c r="AE520" s="367"/>
      <c r="AF520" s="367"/>
    </row>
    <row r="521" ht="15.75" customHeight="1">
      <c r="A521" s="359"/>
      <c r="B521" s="361"/>
      <c r="C521" s="361"/>
      <c r="D521" s="361"/>
      <c r="E521" s="367"/>
      <c r="F521" s="367"/>
      <c r="G521" s="367"/>
      <c r="H521" s="367"/>
      <c r="I521" s="367"/>
      <c r="J521" s="367"/>
      <c r="K521" s="367"/>
      <c r="L521" s="367"/>
      <c r="M521" s="367"/>
      <c r="N521" s="367"/>
      <c r="O521" s="367"/>
      <c r="P521" s="367"/>
      <c r="Q521" s="367"/>
      <c r="R521" s="367"/>
      <c r="S521" s="367"/>
      <c r="T521" s="367"/>
      <c r="U521" s="367"/>
      <c r="V521" s="367"/>
      <c r="W521" s="367"/>
      <c r="X521" s="367"/>
      <c r="Y521" s="367"/>
      <c r="Z521" s="367"/>
      <c r="AA521" s="367"/>
      <c r="AB521" s="367"/>
      <c r="AC521" s="367"/>
      <c r="AD521" s="367"/>
      <c r="AE521" s="367"/>
      <c r="AF521" s="367"/>
    </row>
    <row r="522" ht="15.75" customHeight="1">
      <c r="A522" s="359"/>
      <c r="B522" s="361"/>
      <c r="C522" s="361"/>
      <c r="D522" s="361"/>
      <c r="E522" s="367"/>
      <c r="F522" s="367"/>
      <c r="G522" s="367"/>
      <c r="H522" s="367"/>
      <c r="I522" s="367"/>
      <c r="J522" s="367"/>
      <c r="K522" s="367"/>
      <c r="L522" s="367"/>
      <c r="M522" s="367"/>
      <c r="N522" s="367"/>
      <c r="O522" s="367"/>
      <c r="P522" s="367"/>
      <c r="Q522" s="367"/>
      <c r="R522" s="367"/>
      <c r="S522" s="367"/>
      <c r="T522" s="367"/>
      <c r="U522" s="367"/>
      <c r="V522" s="367"/>
      <c r="W522" s="367"/>
      <c r="X522" s="367"/>
      <c r="Y522" s="367"/>
      <c r="Z522" s="367"/>
      <c r="AA522" s="367"/>
      <c r="AB522" s="367"/>
      <c r="AC522" s="367"/>
      <c r="AD522" s="367"/>
      <c r="AE522" s="367"/>
      <c r="AF522" s="367"/>
    </row>
    <row r="523" ht="15.75" customHeight="1">
      <c r="A523" s="359"/>
      <c r="B523" s="361"/>
      <c r="C523" s="361"/>
      <c r="D523" s="361"/>
      <c r="E523" s="367"/>
      <c r="F523" s="367"/>
      <c r="G523" s="367"/>
      <c r="H523" s="367"/>
      <c r="I523" s="367"/>
      <c r="J523" s="367"/>
      <c r="K523" s="367"/>
      <c r="L523" s="367"/>
      <c r="M523" s="367"/>
      <c r="N523" s="367"/>
      <c r="O523" s="367"/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  <c r="Z523" s="367"/>
      <c r="AA523" s="367"/>
      <c r="AB523" s="367"/>
      <c r="AC523" s="367"/>
      <c r="AD523" s="367"/>
      <c r="AE523" s="367"/>
      <c r="AF523" s="367"/>
    </row>
    <row r="524" ht="15.75" customHeight="1">
      <c r="A524" s="359"/>
      <c r="B524" s="361"/>
      <c r="C524" s="361"/>
      <c r="D524" s="361"/>
      <c r="E524" s="367"/>
      <c r="F524" s="367"/>
      <c r="G524" s="367"/>
      <c r="H524" s="367"/>
      <c r="I524" s="367"/>
      <c r="J524" s="367"/>
      <c r="K524" s="367"/>
      <c r="L524" s="367"/>
      <c r="M524" s="367"/>
      <c r="N524" s="367"/>
      <c r="O524" s="367"/>
      <c r="P524" s="367"/>
      <c r="Q524" s="367"/>
      <c r="R524" s="367"/>
      <c r="S524" s="367"/>
      <c r="T524" s="367"/>
      <c r="U524" s="367"/>
      <c r="V524" s="367"/>
      <c r="W524" s="367"/>
      <c r="X524" s="367"/>
      <c r="Y524" s="367"/>
      <c r="Z524" s="367"/>
      <c r="AA524" s="367"/>
      <c r="AB524" s="367"/>
      <c r="AC524" s="367"/>
      <c r="AD524" s="367"/>
      <c r="AE524" s="367"/>
      <c r="AF524" s="367"/>
    </row>
    <row r="525" ht="15.75" customHeight="1">
      <c r="A525" s="359"/>
      <c r="B525" s="361"/>
      <c r="C525" s="361"/>
      <c r="D525" s="361"/>
      <c r="E525" s="367"/>
      <c r="F525" s="367"/>
      <c r="G525" s="367"/>
      <c r="H525" s="367"/>
      <c r="I525" s="367"/>
      <c r="J525" s="367"/>
      <c r="K525" s="367"/>
      <c r="L525" s="367"/>
      <c r="M525" s="367"/>
      <c r="N525" s="367"/>
      <c r="O525" s="367"/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  <c r="Z525" s="367"/>
      <c r="AA525" s="367"/>
      <c r="AB525" s="367"/>
      <c r="AC525" s="367"/>
      <c r="AD525" s="367"/>
      <c r="AE525" s="367"/>
      <c r="AF525" s="367"/>
    </row>
    <row r="526" ht="15.75" customHeight="1">
      <c r="A526" s="359"/>
      <c r="B526" s="361"/>
      <c r="C526" s="361"/>
      <c r="D526" s="361"/>
      <c r="E526" s="367"/>
      <c r="F526" s="367"/>
      <c r="G526" s="367"/>
      <c r="H526" s="367"/>
      <c r="I526" s="367"/>
      <c r="J526" s="367"/>
      <c r="K526" s="367"/>
      <c r="L526" s="367"/>
      <c r="M526" s="367"/>
      <c r="N526" s="367"/>
      <c r="O526" s="367"/>
      <c r="P526" s="367"/>
      <c r="Q526" s="367"/>
      <c r="R526" s="367"/>
      <c r="S526" s="367"/>
      <c r="T526" s="367"/>
      <c r="U526" s="367"/>
      <c r="V526" s="367"/>
      <c r="W526" s="367"/>
      <c r="X526" s="367"/>
      <c r="Y526" s="367"/>
      <c r="Z526" s="367"/>
      <c r="AA526" s="367"/>
      <c r="AB526" s="367"/>
      <c r="AC526" s="367"/>
      <c r="AD526" s="367"/>
      <c r="AE526" s="367"/>
      <c r="AF526" s="367"/>
    </row>
    <row r="527" ht="15.75" customHeight="1">
      <c r="A527" s="359"/>
      <c r="B527" s="361"/>
      <c r="C527" s="361"/>
      <c r="D527" s="361"/>
      <c r="E527" s="367"/>
      <c r="F527" s="367"/>
      <c r="G527" s="367"/>
      <c r="H527" s="367"/>
      <c r="I527" s="367"/>
      <c r="J527" s="367"/>
      <c r="K527" s="367"/>
      <c r="L527" s="367"/>
      <c r="M527" s="367"/>
      <c r="N527" s="367"/>
      <c r="O527" s="367"/>
      <c r="P527" s="367"/>
      <c r="Q527" s="367"/>
      <c r="R527" s="367"/>
      <c r="S527" s="367"/>
      <c r="T527" s="367"/>
      <c r="U527" s="367"/>
      <c r="V527" s="367"/>
      <c r="W527" s="367"/>
      <c r="X527" s="367"/>
      <c r="Y527" s="367"/>
      <c r="Z527" s="367"/>
      <c r="AA527" s="367"/>
      <c r="AB527" s="367"/>
      <c r="AC527" s="367"/>
      <c r="AD527" s="367"/>
      <c r="AE527" s="367"/>
      <c r="AF527" s="367"/>
    </row>
    <row r="528" ht="15.75" customHeight="1">
      <c r="A528" s="359"/>
      <c r="B528" s="361"/>
      <c r="C528" s="361"/>
      <c r="D528" s="361"/>
      <c r="E528" s="367"/>
      <c r="F528" s="367"/>
      <c r="G528" s="367"/>
      <c r="H528" s="367"/>
      <c r="I528" s="367"/>
      <c r="J528" s="367"/>
      <c r="K528" s="367"/>
      <c r="L528" s="367"/>
      <c r="M528" s="367"/>
      <c r="N528" s="367"/>
      <c r="O528" s="367"/>
      <c r="P528" s="367"/>
      <c r="Q528" s="367"/>
      <c r="R528" s="367"/>
      <c r="S528" s="367"/>
      <c r="T528" s="367"/>
      <c r="U528" s="367"/>
      <c r="V528" s="367"/>
      <c r="W528" s="367"/>
      <c r="X528" s="367"/>
      <c r="Y528" s="367"/>
      <c r="Z528" s="367"/>
      <c r="AA528" s="367"/>
      <c r="AB528" s="367"/>
      <c r="AC528" s="367"/>
      <c r="AD528" s="367"/>
      <c r="AE528" s="367"/>
      <c r="AF528" s="367"/>
    </row>
    <row r="529" ht="15.75" customHeight="1">
      <c r="A529" s="359"/>
      <c r="B529" s="361"/>
      <c r="C529" s="361"/>
      <c r="D529" s="361"/>
      <c r="E529" s="367"/>
      <c r="F529" s="367"/>
      <c r="G529" s="367"/>
      <c r="H529" s="367"/>
      <c r="I529" s="367"/>
      <c r="J529" s="367"/>
      <c r="K529" s="367"/>
      <c r="L529" s="367"/>
      <c r="M529" s="367"/>
      <c r="N529" s="367"/>
      <c r="O529" s="367"/>
      <c r="P529" s="367"/>
      <c r="Q529" s="367"/>
      <c r="R529" s="367"/>
      <c r="S529" s="367"/>
      <c r="T529" s="367"/>
      <c r="U529" s="367"/>
      <c r="V529" s="367"/>
      <c r="W529" s="367"/>
      <c r="X529" s="367"/>
      <c r="Y529" s="367"/>
      <c r="Z529" s="367"/>
      <c r="AA529" s="367"/>
      <c r="AB529" s="367"/>
      <c r="AC529" s="367"/>
      <c r="AD529" s="367"/>
      <c r="AE529" s="367"/>
      <c r="AF529" s="367"/>
    </row>
    <row r="530" ht="15.75" customHeight="1">
      <c r="A530" s="359"/>
      <c r="B530" s="361"/>
      <c r="C530" s="361"/>
      <c r="D530" s="361"/>
      <c r="E530" s="367"/>
      <c r="F530" s="367"/>
      <c r="G530" s="367"/>
      <c r="H530" s="367"/>
      <c r="I530" s="367"/>
      <c r="J530" s="367"/>
      <c r="K530" s="367"/>
      <c r="L530" s="367"/>
      <c r="M530" s="367"/>
      <c r="N530" s="367"/>
      <c r="O530" s="367"/>
      <c r="P530" s="367"/>
      <c r="Q530" s="367"/>
      <c r="R530" s="367"/>
      <c r="S530" s="367"/>
      <c r="T530" s="367"/>
      <c r="U530" s="367"/>
      <c r="V530" s="367"/>
      <c r="W530" s="367"/>
      <c r="X530" s="367"/>
      <c r="Y530" s="367"/>
      <c r="Z530" s="367"/>
      <c r="AA530" s="367"/>
      <c r="AB530" s="367"/>
      <c r="AC530" s="367"/>
      <c r="AD530" s="367"/>
      <c r="AE530" s="367"/>
      <c r="AF530" s="367"/>
    </row>
    <row r="531" ht="15.75" customHeight="1">
      <c r="A531" s="359"/>
      <c r="B531" s="361"/>
      <c r="C531" s="361"/>
      <c r="D531" s="361"/>
      <c r="E531" s="367"/>
      <c r="F531" s="367"/>
      <c r="G531" s="367"/>
      <c r="H531" s="367"/>
      <c r="I531" s="367"/>
      <c r="J531" s="367"/>
      <c r="K531" s="367"/>
      <c r="L531" s="367"/>
      <c r="M531" s="367"/>
      <c r="N531" s="367"/>
      <c r="O531" s="367"/>
      <c r="P531" s="367"/>
      <c r="Q531" s="367"/>
      <c r="R531" s="367"/>
      <c r="S531" s="367"/>
      <c r="T531" s="367"/>
      <c r="U531" s="367"/>
      <c r="V531" s="367"/>
      <c r="W531" s="367"/>
      <c r="X531" s="367"/>
      <c r="Y531" s="367"/>
      <c r="Z531" s="367"/>
      <c r="AA531" s="367"/>
      <c r="AB531" s="367"/>
      <c r="AC531" s="367"/>
      <c r="AD531" s="367"/>
      <c r="AE531" s="367"/>
      <c r="AF531" s="367"/>
    </row>
    <row r="532" ht="15.75" customHeight="1">
      <c r="A532" s="359"/>
      <c r="B532" s="361"/>
      <c r="C532" s="361"/>
      <c r="D532" s="361"/>
      <c r="E532" s="367"/>
      <c r="F532" s="367"/>
      <c r="G532" s="367"/>
      <c r="H532" s="367"/>
      <c r="I532" s="367"/>
      <c r="J532" s="367"/>
      <c r="K532" s="367"/>
      <c r="L532" s="367"/>
      <c r="M532" s="367"/>
      <c r="N532" s="367"/>
      <c r="O532" s="367"/>
      <c r="P532" s="367"/>
      <c r="Q532" s="367"/>
      <c r="R532" s="367"/>
      <c r="S532" s="367"/>
      <c r="T532" s="367"/>
      <c r="U532" s="367"/>
      <c r="V532" s="367"/>
      <c r="W532" s="367"/>
      <c r="X532" s="367"/>
      <c r="Y532" s="367"/>
      <c r="Z532" s="367"/>
      <c r="AA532" s="367"/>
      <c r="AB532" s="367"/>
      <c r="AC532" s="367"/>
      <c r="AD532" s="367"/>
      <c r="AE532" s="367"/>
      <c r="AF532" s="367"/>
    </row>
    <row r="533" ht="15.75" customHeight="1">
      <c r="A533" s="359"/>
      <c r="B533" s="361"/>
      <c r="C533" s="361"/>
      <c r="D533" s="361"/>
      <c r="E533" s="367"/>
      <c r="F533" s="367"/>
      <c r="G533" s="367"/>
      <c r="H533" s="367"/>
      <c r="I533" s="367"/>
      <c r="J533" s="367"/>
      <c r="K533" s="367"/>
      <c r="L533" s="367"/>
      <c r="M533" s="367"/>
      <c r="N533" s="367"/>
      <c r="O533" s="367"/>
      <c r="P533" s="367"/>
      <c r="Q533" s="367"/>
      <c r="R533" s="367"/>
      <c r="S533" s="367"/>
      <c r="T533" s="367"/>
      <c r="U533" s="367"/>
      <c r="V533" s="367"/>
      <c r="W533" s="367"/>
      <c r="X533" s="367"/>
      <c r="Y533" s="367"/>
      <c r="Z533" s="367"/>
      <c r="AA533" s="367"/>
      <c r="AB533" s="367"/>
      <c r="AC533" s="367"/>
      <c r="AD533" s="367"/>
      <c r="AE533" s="367"/>
      <c r="AF533" s="367"/>
    </row>
    <row r="534" ht="15.75" customHeight="1">
      <c r="A534" s="359"/>
      <c r="B534" s="361"/>
      <c r="C534" s="361"/>
      <c r="D534" s="361"/>
      <c r="E534" s="367"/>
      <c r="F534" s="367"/>
      <c r="G534" s="367"/>
      <c r="H534" s="367"/>
      <c r="I534" s="367"/>
      <c r="J534" s="367"/>
      <c r="K534" s="367"/>
      <c r="L534" s="367"/>
      <c r="M534" s="367"/>
      <c r="N534" s="367"/>
      <c r="O534" s="367"/>
      <c r="P534" s="367"/>
      <c r="Q534" s="367"/>
      <c r="R534" s="367"/>
      <c r="S534" s="367"/>
      <c r="T534" s="367"/>
      <c r="U534" s="367"/>
      <c r="V534" s="367"/>
      <c r="W534" s="367"/>
      <c r="X534" s="367"/>
      <c r="Y534" s="367"/>
      <c r="Z534" s="367"/>
      <c r="AA534" s="367"/>
      <c r="AB534" s="367"/>
      <c r="AC534" s="367"/>
      <c r="AD534" s="367"/>
      <c r="AE534" s="367"/>
      <c r="AF534" s="367"/>
    </row>
    <row r="535" ht="15.75" customHeight="1">
      <c r="A535" s="359"/>
      <c r="B535" s="361"/>
      <c r="C535" s="361"/>
      <c r="D535" s="361"/>
      <c r="E535" s="367"/>
      <c r="F535" s="367"/>
      <c r="G535" s="367"/>
      <c r="H535" s="367"/>
      <c r="I535" s="367"/>
      <c r="J535" s="367"/>
      <c r="K535" s="367"/>
      <c r="L535" s="367"/>
      <c r="M535" s="367"/>
      <c r="N535" s="367"/>
      <c r="O535" s="367"/>
      <c r="P535" s="367"/>
      <c r="Q535" s="367"/>
      <c r="R535" s="367"/>
      <c r="S535" s="367"/>
      <c r="T535" s="367"/>
      <c r="U535" s="367"/>
      <c r="V535" s="367"/>
      <c r="W535" s="367"/>
      <c r="X535" s="367"/>
      <c r="Y535" s="367"/>
      <c r="Z535" s="367"/>
      <c r="AA535" s="367"/>
      <c r="AB535" s="367"/>
      <c r="AC535" s="367"/>
      <c r="AD535" s="367"/>
      <c r="AE535" s="367"/>
      <c r="AF535" s="367"/>
    </row>
    <row r="536" ht="15.75" customHeight="1">
      <c r="A536" s="359"/>
      <c r="B536" s="361"/>
      <c r="C536" s="361"/>
      <c r="D536" s="361"/>
      <c r="E536" s="367"/>
      <c r="F536" s="367"/>
      <c r="G536" s="367"/>
      <c r="H536" s="367"/>
      <c r="I536" s="367"/>
      <c r="J536" s="367"/>
      <c r="K536" s="367"/>
      <c r="L536" s="367"/>
      <c r="M536" s="367"/>
      <c r="N536" s="367"/>
      <c r="O536" s="367"/>
      <c r="P536" s="367"/>
      <c r="Q536" s="367"/>
      <c r="R536" s="367"/>
      <c r="S536" s="367"/>
      <c r="T536" s="367"/>
      <c r="U536" s="367"/>
      <c r="V536" s="367"/>
      <c r="W536" s="367"/>
      <c r="X536" s="367"/>
      <c r="Y536" s="367"/>
      <c r="Z536" s="367"/>
      <c r="AA536" s="367"/>
      <c r="AB536" s="367"/>
      <c r="AC536" s="367"/>
      <c r="AD536" s="367"/>
      <c r="AE536" s="367"/>
      <c r="AF536" s="367"/>
    </row>
    <row r="537" ht="15.75" customHeight="1">
      <c r="A537" s="359"/>
      <c r="B537" s="361"/>
      <c r="C537" s="361"/>
      <c r="D537" s="361"/>
      <c r="E537" s="367"/>
      <c r="F537" s="367"/>
      <c r="G537" s="367"/>
      <c r="H537" s="367"/>
      <c r="I537" s="367"/>
      <c r="J537" s="367"/>
      <c r="K537" s="367"/>
      <c r="L537" s="367"/>
      <c r="M537" s="367"/>
      <c r="N537" s="367"/>
      <c r="O537" s="367"/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  <c r="Z537" s="367"/>
      <c r="AA537" s="367"/>
      <c r="AB537" s="367"/>
      <c r="AC537" s="367"/>
      <c r="AD537" s="367"/>
      <c r="AE537" s="367"/>
      <c r="AF537" s="367"/>
    </row>
    <row r="538" ht="15.75" customHeight="1">
      <c r="A538" s="359"/>
      <c r="B538" s="361"/>
      <c r="C538" s="361"/>
      <c r="D538" s="361"/>
      <c r="E538" s="367"/>
      <c r="F538" s="367"/>
      <c r="G538" s="367"/>
      <c r="H538" s="367"/>
      <c r="I538" s="367"/>
      <c r="J538" s="367"/>
      <c r="K538" s="367"/>
      <c r="L538" s="367"/>
      <c r="M538" s="367"/>
      <c r="N538" s="367"/>
      <c r="O538" s="367"/>
      <c r="P538" s="367"/>
      <c r="Q538" s="367"/>
      <c r="R538" s="367"/>
      <c r="S538" s="367"/>
      <c r="T538" s="367"/>
      <c r="U538" s="367"/>
      <c r="V538" s="367"/>
      <c r="W538" s="367"/>
      <c r="X538" s="367"/>
      <c r="Y538" s="367"/>
      <c r="Z538" s="367"/>
      <c r="AA538" s="367"/>
      <c r="AB538" s="367"/>
      <c r="AC538" s="367"/>
      <c r="AD538" s="367"/>
      <c r="AE538" s="367"/>
      <c r="AF538" s="367"/>
    </row>
    <row r="539" ht="15.75" customHeight="1">
      <c r="A539" s="359"/>
      <c r="B539" s="361"/>
      <c r="C539" s="361"/>
      <c r="D539" s="361"/>
      <c r="E539" s="367"/>
      <c r="F539" s="367"/>
      <c r="G539" s="367"/>
      <c r="H539" s="367"/>
      <c r="I539" s="367"/>
      <c r="J539" s="367"/>
      <c r="K539" s="367"/>
      <c r="L539" s="367"/>
      <c r="M539" s="367"/>
      <c r="N539" s="367"/>
      <c r="O539" s="367"/>
      <c r="P539" s="367"/>
      <c r="Q539" s="367"/>
      <c r="R539" s="367"/>
      <c r="S539" s="367"/>
      <c r="T539" s="367"/>
      <c r="U539" s="367"/>
      <c r="V539" s="367"/>
      <c r="W539" s="367"/>
      <c r="X539" s="367"/>
      <c r="Y539" s="367"/>
      <c r="Z539" s="367"/>
      <c r="AA539" s="367"/>
      <c r="AB539" s="367"/>
      <c r="AC539" s="367"/>
      <c r="AD539" s="367"/>
      <c r="AE539" s="367"/>
      <c r="AF539" s="367"/>
    </row>
    <row r="540" ht="15.75" customHeight="1">
      <c r="A540" s="359"/>
      <c r="B540" s="361"/>
      <c r="C540" s="361"/>
      <c r="D540" s="361"/>
      <c r="E540" s="367"/>
      <c r="F540" s="367"/>
      <c r="G540" s="367"/>
      <c r="H540" s="367"/>
      <c r="I540" s="367"/>
      <c r="J540" s="367"/>
      <c r="K540" s="367"/>
      <c r="L540" s="367"/>
      <c r="M540" s="367"/>
      <c r="N540" s="367"/>
      <c r="O540" s="367"/>
      <c r="P540" s="367"/>
      <c r="Q540" s="367"/>
      <c r="R540" s="367"/>
      <c r="S540" s="367"/>
      <c r="T540" s="367"/>
      <c r="U540" s="367"/>
      <c r="V540" s="367"/>
      <c r="W540" s="367"/>
      <c r="X540" s="367"/>
      <c r="Y540" s="367"/>
      <c r="Z540" s="367"/>
      <c r="AA540" s="367"/>
      <c r="AB540" s="367"/>
      <c r="AC540" s="367"/>
      <c r="AD540" s="367"/>
      <c r="AE540" s="367"/>
      <c r="AF540" s="367"/>
    </row>
    <row r="541" ht="15.75" customHeight="1">
      <c r="A541" s="359"/>
      <c r="B541" s="361"/>
      <c r="C541" s="361"/>
      <c r="D541" s="361"/>
      <c r="E541" s="367"/>
      <c r="F541" s="367"/>
      <c r="G541" s="367"/>
      <c r="H541" s="367"/>
      <c r="I541" s="367"/>
      <c r="J541" s="367"/>
      <c r="K541" s="367"/>
      <c r="L541" s="367"/>
      <c r="M541" s="367"/>
      <c r="N541" s="367"/>
      <c r="O541" s="367"/>
      <c r="P541" s="367"/>
      <c r="Q541" s="367"/>
      <c r="R541" s="367"/>
      <c r="S541" s="367"/>
      <c r="T541" s="367"/>
      <c r="U541" s="367"/>
      <c r="V541" s="367"/>
      <c r="W541" s="367"/>
      <c r="X541" s="367"/>
      <c r="Y541" s="367"/>
      <c r="Z541" s="367"/>
      <c r="AA541" s="367"/>
      <c r="AB541" s="367"/>
      <c r="AC541" s="367"/>
      <c r="AD541" s="367"/>
      <c r="AE541" s="367"/>
      <c r="AF541" s="367"/>
    </row>
    <row r="542" ht="15.75" customHeight="1">
      <c r="A542" s="359"/>
      <c r="B542" s="361"/>
      <c r="C542" s="361"/>
      <c r="D542" s="361"/>
      <c r="E542" s="367"/>
      <c r="F542" s="367"/>
      <c r="G542" s="367"/>
      <c r="H542" s="367"/>
      <c r="I542" s="367"/>
      <c r="J542" s="367"/>
      <c r="K542" s="367"/>
      <c r="L542" s="367"/>
      <c r="M542" s="367"/>
      <c r="N542" s="367"/>
      <c r="O542" s="367"/>
      <c r="P542" s="367"/>
      <c r="Q542" s="367"/>
      <c r="R542" s="367"/>
      <c r="S542" s="367"/>
      <c r="T542" s="367"/>
      <c r="U542" s="367"/>
      <c r="V542" s="367"/>
      <c r="W542" s="367"/>
      <c r="X542" s="367"/>
      <c r="Y542" s="367"/>
      <c r="Z542" s="367"/>
      <c r="AA542" s="367"/>
      <c r="AB542" s="367"/>
      <c r="AC542" s="367"/>
      <c r="AD542" s="367"/>
      <c r="AE542" s="367"/>
      <c r="AF542" s="367"/>
    </row>
    <row r="543" ht="15.75" customHeight="1">
      <c r="A543" s="359"/>
      <c r="B543" s="361"/>
      <c r="C543" s="361"/>
      <c r="D543" s="361"/>
      <c r="E543" s="367"/>
      <c r="F543" s="367"/>
      <c r="G543" s="367"/>
      <c r="H543" s="367"/>
      <c r="I543" s="367"/>
      <c r="J543" s="367"/>
      <c r="K543" s="367"/>
      <c r="L543" s="367"/>
      <c r="M543" s="367"/>
      <c r="N543" s="367"/>
      <c r="O543" s="367"/>
      <c r="P543" s="367"/>
      <c r="Q543" s="367"/>
      <c r="R543" s="367"/>
      <c r="S543" s="367"/>
      <c r="T543" s="367"/>
      <c r="U543" s="367"/>
      <c r="V543" s="367"/>
      <c r="W543" s="367"/>
      <c r="X543" s="367"/>
      <c r="Y543" s="367"/>
      <c r="Z543" s="367"/>
      <c r="AA543" s="367"/>
      <c r="AB543" s="367"/>
      <c r="AC543" s="367"/>
      <c r="AD543" s="367"/>
      <c r="AE543" s="367"/>
      <c r="AF543" s="367"/>
    </row>
    <row r="544" ht="15.75" customHeight="1">
      <c r="A544" s="359"/>
      <c r="B544" s="361"/>
      <c r="C544" s="361"/>
      <c r="D544" s="361"/>
      <c r="E544" s="367"/>
      <c r="F544" s="367"/>
      <c r="G544" s="367"/>
      <c r="H544" s="367"/>
      <c r="I544" s="367"/>
      <c r="J544" s="367"/>
      <c r="K544" s="367"/>
      <c r="L544" s="367"/>
      <c r="M544" s="367"/>
      <c r="N544" s="367"/>
      <c r="O544" s="367"/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  <c r="Z544" s="367"/>
      <c r="AA544" s="367"/>
      <c r="AB544" s="367"/>
      <c r="AC544" s="367"/>
      <c r="AD544" s="367"/>
      <c r="AE544" s="367"/>
      <c r="AF544" s="367"/>
    </row>
    <row r="545" ht="15.75" customHeight="1">
      <c r="A545" s="359"/>
      <c r="B545" s="361"/>
      <c r="C545" s="361"/>
      <c r="D545" s="361"/>
      <c r="E545" s="367"/>
      <c r="F545" s="367"/>
      <c r="G545" s="367"/>
      <c r="H545" s="367"/>
      <c r="I545" s="367"/>
      <c r="J545" s="367"/>
      <c r="K545" s="367"/>
      <c r="L545" s="367"/>
      <c r="M545" s="367"/>
      <c r="N545" s="367"/>
      <c r="O545" s="367"/>
      <c r="P545" s="367"/>
      <c r="Q545" s="367"/>
      <c r="R545" s="367"/>
      <c r="S545" s="367"/>
      <c r="T545" s="367"/>
      <c r="U545" s="367"/>
      <c r="V545" s="367"/>
      <c r="W545" s="367"/>
      <c r="X545" s="367"/>
      <c r="Y545" s="367"/>
      <c r="Z545" s="367"/>
      <c r="AA545" s="367"/>
      <c r="AB545" s="367"/>
      <c r="AC545" s="367"/>
      <c r="AD545" s="367"/>
      <c r="AE545" s="367"/>
      <c r="AF545" s="367"/>
    </row>
    <row r="546" ht="15.75" customHeight="1">
      <c r="A546" s="359"/>
      <c r="B546" s="361"/>
      <c r="C546" s="361"/>
      <c r="D546" s="361"/>
      <c r="E546" s="367"/>
      <c r="F546" s="367"/>
      <c r="G546" s="367"/>
      <c r="H546" s="367"/>
      <c r="I546" s="367"/>
      <c r="J546" s="367"/>
      <c r="K546" s="367"/>
      <c r="L546" s="367"/>
      <c r="M546" s="367"/>
      <c r="N546" s="367"/>
      <c r="O546" s="367"/>
      <c r="P546" s="367"/>
      <c r="Q546" s="367"/>
      <c r="R546" s="367"/>
      <c r="S546" s="367"/>
      <c r="T546" s="367"/>
      <c r="U546" s="367"/>
      <c r="V546" s="367"/>
      <c r="W546" s="367"/>
      <c r="X546" s="367"/>
      <c r="Y546" s="367"/>
      <c r="Z546" s="367"/>
      <c r="AA546" s="367"/>
      <c r="AB546" s="367"/>
      <c r="AC546" s="367"/>
      <c r="AD546" s="367"/>
      <c r="AE546" s="367"/>
      <c r="AF546" s="367"/>
    </row>
    <row r="547" ht="15.75" customHeight="1">
      <c r="A547" s="359"/>
      <c r="B547" s="361"/>
      <c r="C547" s="361"/>
      <c r="D547" s="361"/>
      <c r="E547" s="367"/>
      <c r="F547" s="367"/>
      <c r="G547" s="367"/>
      <c r="H547" s="367"/>
      <c r="I547" s="367"/>
      <c r="J547" s="367"/>
      <c r="K547" s="367"/>
      <c r="L547" s="367"/>
      <c r="M547" s="367"/>
      <c r="N547" s="367"/>
      <c r="O547" s="367"/>
      <c r="P547" s="367"/>
      <c r="Q547" s="367"/>
      <c r="R547" s="367"/>
      <c r="S547" s="367"/>
      <c r="T547" s="367"/>
      <c r="U547" s="367"/>
      <c r="V547" s="367"/>
      <c r="W547" s="367"/>
      <c r="X547" s="367"/>
      <c r="Y547" s="367"/>
      <c r="Z547" s="367"/>
      <c r="AA547" s="367"/>
      <c r="AB547" s="367"/>
      <c r="AC547" s="367"/>
      <c r="AD547" s="367"/>
      <c r="AE547" s="367"/>
      <c r="AF547" s="367"/>
    </row>
    <row r="548" ht="15.75" customHeight="1">
      <c r="A548" s="359"/>
      <c r="B548" s="361"/>
      <c r="C548" s="361"/>
      <c r="D548" s="361"/>
      <c r="E548" s="367"/>
      <c r="F548" s="367"/>
      <c r="G548" s="367"/>
      <c r="H548" s="367"/>
      <c r="I548" s="367"/>
      <c r="J548" s="367"/>
      <c r="K548" s="367"/>
      <c r="L548" s="367"/>
      <c r="M548" s="367"/>
      <c r="N548" s="367"/>
      <c r="O548" s="367"/>
      <c r="P548" s="367"/>
      <c r="Q548" s="367"/>
      <c r="R548" s="367"/>
      <c r="S548" s="367"/>
      <c r="T548" s="367"/>
      <c r="U548" s="367"/>
      <c r="V548" s="367"/>
      <c r="W548" s="367"/>
      <c r="X548" s="367"/>
      <c r="Y548" s="367"/>
      <c r="Z548" s="367"/>
      <c r="AA548" s="367"/>
      <c r="AB548" s="367"/>
      <c r="AC548" s="367"/>
      <c r="AD548" s="367"/>
      <c r="AE548" s="367"/>
      <c r="AF548" s="367"/>
    </row>
    <row r="549" ht="15.75" customHeight="1">
      <c r="A549" s="359"/>
      <c r="B549" s="361"/>
      <c r="C549" s="361"/>
      <c r="D549" s="361"/>
      <c r="E549" s="367"/>
      <c r="F549" s="367"/>
      <c r="G549" s="367"/>
      <c r="H549" s="367"/>
      <c r="I549" s="367"/>
      <c r="J549" s="367"/>
      <c r="K549" s="367"/>
      <c r="L549" s="367"/>
      <c r="M549" s="367"/>
      <c r="N549" s="367"/>
      <c r="O549" s="367"/>
      <c r="P549" s="367"/>
      <c r="Q549" s="367"/>
      <c r="R549" s="367"/>
      <c r="S549" s="367"/>
      <c r="T549" s="367"/>
      <c r="U549" s="367"/>
      <c r="V549" s="367"/>
      <c r="W549" s="367"/>
      <c r="X549" s="367"/>
      <c r="Y549" s="367"/>
      <c r="Z549" s="367"/>
      <c r="AA549" s="367"/>
      <c r="AB549" s="367"/>
      <c r="AC549" s="367"/>
      <c r="AD549" s="367"/>
      <c r="AE549" s="367"/>
      <c r="AF549" s="367"/>
    </row>
    <row r="550" ht="15.75" customHeight="1">
      <c r="A550" s="359"/>
      <c r="B550" s="361"/>
      <c r="C550" s="361"/>
      <c r="D550" s="361"/>
      <c r="E550" s="367"/>
      <c r="F550" s="367"/>
      <c r="G550" s="367"/>
      <c r="H550" s="367"/>
      <c r="I550" s="367"/>
      <c r="J550" s="367"/>
      <c r="K550" s="367"/>
      <c r="L550" s="367"/>
      <c r="M550" s="367"/>
      <c r="N550" s="367"/>
      <c r="O550" s="367"/>
      <c r="P550" s="367"/>
      <c r="Q550" s="367"/>
      <c r="R550" s="367"/>
      <c r="S550" s="367"/>
      <c r="T550" s="367"/>
      <c r="U550" s="367"/>
      <c r="V550" s="367"/>
      <c r="W550" s="367"/>
      <c r="X550" s="367"/>
      <c r="Y550" s="367"/>
      <c r="Z550" s="367"/>
      <c r="AA550" s="367"/>
      <c r="AB550" s="367"/>
      <c r="AC550" s="367"/>
      <c r="AD550" s="367"/>
      <c r="AE550" s="367"/>
      <c r="AF550" s="367"/>
    </row>
    <row r="551" ht="15.75" customHeight="1">
      <c r="A551" s="359"/>
      <c r="B551" s="361"/>
      <c r="C551" s="361"/>
      <c r="D551" s="361"/>
      <c r="E551" s="367"/>
      <c r="F551" s="367"/>
      <c r="G551" s="367"/>
      <c r="H551" s="367"/>
      <c r="I551" s="367"/>
      <c r="J551" s="367"/>
      <c r="K551" s="367"/>
      <c r="L551" s="367"/>
      <c r="M551" s="367"/>
      <c r="N551" s="367"/>
      <c r="O551" s="367"/>
      <c r="P551" s="367"/>
      <c r="Q551" s="367"/>
      <c r="R551" s="367"/>
      <c r="S551" s="367"/>
      <c r="T551" s="367"/>
      <c r="U551" s="367"/>
      <c r="V551" s="367"/>
      <c r="W551" s="367"/>
      <c r="X551" s="367"/>
      <c r="Y551" s="367"/>
      <c r="Z551" s="367"/>
      <c r="AA551" s="367"/>
      <c r="AB551" s="367"/>
      <c r="AC551" s="367"/>
      <c r="AD551" s="367"/>
      <c r="AE551" s="367"/>
      <c r="AF551" s="367"/>
    </row>
    <row r="552" ht="15.75" customHeight="1">
      <c r="A552" s="359"/>
      <c r="B552" s="361"/>
      <c r="C552" s="361"/>
      <c r="D552" s="361"/>
      <c r="E552" s="367"/>
      <c r="F552" s="367"/>
      <c r="G552" s="367"/>
      <c r="H552" s="367"/>
      <c r="I552" s="367"/>
      <c r="J552" s="367"/>
      <c r="K552" s="367"/>
      <c r="L552" s="367"/>
      <c r="M552" s="367"/>
      <c r="N552" s="367"/>
      <c r="O552" s="367"/>
      <c r="P552" s="367"/>
      <c r="Q552" s="367"/>
      <c r="R552" s="367"/>
      <c r="S552" s="367"/>
      <c r="T552" s="367"/>
      <c r="U552" s="367"/>
      <c r="V552" s="367"/>
      <c r="W552" s="367"/>
      <c r="X552" s="367"/>
      <c r="Y552" s="367"/>
      <c r="Z552" s="367"/>
      <c r="AA552" s="367"/>
      <c r="AB552" s="367"/>
      <c r="AC552" s="367"/>
      <c r="AD552" s="367"/>
      <c r="AE552" s="367"/>
      <c r="AF552" s="367"/>
    </row>
    <row r="553" ht="15.75" customHeight="1">
      <c r="A553" s="359"/>
      <c r="B553" s="361"/>
      <c r="C553" s="361"/>
      <c r="D553" s="361"/>
      <c r="E553" s="367"/>
      <c r="F553" s="367"/>
      <c r="G553" s="367"/>
      <c r="H553" s="367"/>
      <c r="I553" s="367"/>
      <c r="J553" s="367"/>
      <c r="K553" s="367"/>
      <c r="L553" s="367"/>
      <c r="M553" s="367"/>
      <c r="N553" s="367"/>
      <c r="O553" s="367"/>
      <c r="P553" s="367"/>
      <c r="Q553" s="367"/>
      <c r="R553" s="367"/>
      <c r="S553" s="367"/>
      <c r="T553" s="367"/>
      <c r="U553" s="367"/>
      <c r="V553" s="367"/>
      <c r="W553" s="367"/>
      <c r="X553" s="367"/>
      <c r="Y553" s="367"/>
      <c r="Z553" s="367"/>
      <c r="AA553" s="367"/>
      <c r="AB553" s="367"/>
      <c r="AC553" s="367"/>
      <c r="AD553" s="367"/>
      <c r="AE553" s="367"/>
      <c r="AF553" s="367"/>
    </row>
    <row r="554" ht="15.75" customHeight="1">
      <c r="A554" s="359"/>
      <c r="B554" s="361"/>
      <c r="C554" s="361"/>
      <c r="D554" s="361"/>
      <c r="E554" s="367"/>
      <c r="F554" s="367"/>
      <c r="G554" s="367"/>
      <c r="H554" s="367"/>
      <c r="I554" s="367"/>
      <c r="J554" s="367"/>
      <c r="K554" s="367"/>
      <c r="L554" s="367"/>
      <c r="M554" s="367"/>
      <c r="N554" s="367"/>
      <c r="O554" s="367"/>
      <c r="P554" s="367"/>
      <c r="Q554" s="367"/>
      <c r="R554" s="367"/>
      <c r="S554" s="367"/>
      <c r="T554" s="367"/>
      <c r="U554" s="367"/>
      <c r="V554" s="367"/>
      <c r="W554" s="367"/>
      <c r="X554" s="367"/>
      <c r="Y554" s="367"/>
      <c r="Z554" s="367"/>
      <c r="AA554" s="367"/>
      <c r="AB554" s="367"/>
      <c r="AC554" s="367"/>
      <c r="AD554" s="367"/>
      <c r="AE554" s="367"/>
      <c r="AF554" s="367"/>
    </row>
    <row r="555" ht="15.75" customHeight="1">
      <c r="A555" s="359"/>
      <c r="B555" s="361"/>
      <c r="C555" s="361"/>
      <c r="D555" s="361"/>
      <c r="E555" s="367"/>
      <c r="F555" s="367"/>
      <c r="G555" s="367"/>
      <c r="H555" s="367"/>
      <c r="I555" s="367"/>
      <c r="J555" s="367"/>
      <c r="K555" s="367"/>
      <c r="L555" s="367"/>
      <c r="M555" s="367"/>
      <c r="N555" s="367"/>
      <c r="O555" s="367"/>
      <c r="P555" s="367"/>
      <c r="Q555" s="367"/>
      <c r="R555" s="367"/>
      <c r="S555" s="367"/>
      <c r="T555" s="367"/>
      <c r="U555" s="367"/>
      <c r="V555" s="367"/>
      <c r="W555" s="367"/>
      <c r="X555" s="367"/>
      <c r="Y555" s="367"/>
      <c r="Z555" s="367"/>
      <c r="AA555" s="367"/>
      <c r="AB555" s="367"/>
      <c r="AC555" s="367"/>
      <c r="AD555" s="367"/>
      <c r="AE555" s="367"/>
      <c r="AF555" s="367"/>
    </row>
    <row r="556" ht="15.75" customHeight="1">
      <c r="A556" s="359"/>
      <c r="B556" s="361"/>
      <c r="C556" s="361"/>
      <c r="D556" s="361"/>
      <c r="E556" s="367"/>
      <c r="F556" s="367"/>
      <c r="G556" s="367"/>
      <c r="H556" s="367"/>
      <c r="I556" s="367"/>
      <c r="J556" s="367"/>
      <c r="K556" s="367"/>
      <c r="L556" s="367"/>
      <c r="M556" s="367"/>
      <c r="N556" s="367"/>
      <c r="O556" s="367"/>
      <c r="P556" s="367"/>
      <c r="Q556" s="367"/>
      <c r="R556" s="367"/>
      <c r="S556" s="367"/>
      <c r="T556" s="367"/>
      <c r="U556" s="367"/>
      <c r="V556" s="367"/>
      <c r="W556" s="367"/>
      <c r="X556" s="367"/>
      <c r="Y556" s="367"/>
      <c r="Z556" s="367"/>
      <c r="AA556" s="367"/>
      <c r="AB556" s="367"/>
      <c r="AC556" s="367"/>
      <c r="AD556" s="367"/>
      <c r="AE556" s="367"/>
      <c r="AF556" s="367"/>
    </row>
    <row r="557" ht="15.75" customHeight="1">
      <c r="A557" s="359"/>
      <c r="B557" s="361"/>
      <c r="C557" s="361"/>
      <c r="D557" s="361"/>
      <c r="E557" s="367"/>
      <c r="F557" s="367"/>
      <c r="G557" s="367"/>
      <c r="H557" s="367"/>
      <c r="I557" s="367"/>
      <c r="J557" s="367"/>
      <c r="K557" s="367"/>
      <c r="L557" s="367"/>
      <c r="M557" s="367"/>
      <c r="N557" s="367"/>
      <c r="O557" s="367"/>
      <c r="P557" s="367"/>
      <c r="Q557" s="367"/>
      <c r="R557" s="367"/>
      <c r="S557" s="367"/>
      <c r="T557" s="367"/>
      <c r="U557" s="367"/>
      <c r="V557" s="367"/>
      <c r="W557" s="367"/>
      <c r="X557" s="367"/>
      <c r="Y557" s="367"/>
      <c r="Z557" s="367"/>
      <c r="AA557" s="367"/>
      <c r="AB557" s="367"/>
      <c r="AC557" s="367"/>
      <c r="AD557" s="367"/>
      <c r="AE557" s="367"/>
      <c r="AF557" s="367"/>
    </row>
    <row r="558" ht="15.75" customHeight="1">
      <c r="A558" s="359"/>
      <c r="B558" s="361"/>
      <c r="C558" s="361"/>
      <c r="D558" s="361"/>
      <c r="E558" s="367"/>
      <c r="F558" s="367"/>
      <c r="G558" s="367"/>
      <c r="H558" s="367"/>
      <c r="I558" s="367"/>
      <c r="J558" s="367"/>
      <c r="K558" s="367"/>
      <c r="L558" s="367"/>
      <c r="M558" s="367"/>
      <c r="N558" s="367"/>
      <c r="O558" s="367"/>
      <c r="P558" s="367"/>
      <c r="Q558" s="367"/>
      <c r="R558" s="367"/>
      <c r="S558" s="367"/>
      <c r="T558" s="367"/>
      <c r="U558" s="367"/>
      <c r="V558" s="367"/>
      <c r="W558" s="367"/>
      <c r="X558" s="367"/>
      <c r="Y558" s="367"/>
      <c r="Z558" s="367"/>
      <c r="AA558" s="367"/>
      <c r="AB558" s="367"/>
      <c r="AC558" s="367"/>
      <c r="AD558" s="367"/>
      <c r="AE558" s="367"/>
      <c r="AF558" s="367"/>
    </row>
    <row r="559" ht="15.75" customHeight="1">
      <c r="A559" s="359"/>
      <c r="B559" s="361"/>
      <c r="C559" s="361"/>
      <c r="D559" s="361"/>
      <c r="E559" s="367"/>
      <c r="F559" s="367"/>
      <c r="G559" s="367"/>
      <c r="H559" s="367"/>
      <c r="I559" s="367"/>
      <c r="J559" s="367"/>
      <c r="K559" s="367"/>
      <c r="L559" s="367"/>
      <c r="M559" s="367"/>
      <c r="N559" s="367"/>
      <c r="O559" s="367"/>
      <c r="P559" s="367"/>
      <c r="Q559" s="367"/>
      <c r="R559" s="367"/>
      <c r="S559" s="367"/>
      <c r="T559" s="367"/>
      <c r="U559" s="367"/>
      <c r="V559" s="367"/>
      <c r="W559" s="367"/>
      <c r="X559" s="367"/>
      <c r="Y559" s="367"/>
      <c r="Z559" s="367"/>
      <c r="AA559" s="367"/>
      <c r="AB559" s="367"/>
      <c r="AC559" s="367"/>
      <c r="AD559" s="367"/>
      <c r="AE559" s="367"/>
      <c r="AF559" s="367"/>
    </row>
    <row r="560" ht="15.75" customHeight="1">
      <c r="A560" s="359"/>
      <c r="B560" s="361"/>
      <c r="C560" s="361"/>
      <c r="D560" s="361"/>
      <c r="E560" s="367"/>
      <c r="F560" s="367"/>
      <c r="G560" s="367"/>
      <c r="H560" s="367"/>
      <c r="I560" s="367"/>
      <c r="J560" s="367"/>
      <c r="K560" s="367"/>
      <c r="L560" s="367"/>
      <c r="M560" s="367"/>
      <c r="N560" s="367"/>
      <c r="O560" s="367"/>
      <c r="P560" s="367"/>
      <c r="Q560" s="367"/>
      <c r="R560" s="367"/>
      <c r="S560" s="367"/>
      <c r="T560" s="367"/>
      <c r="U560" s="367"/>
      <c r="V560" s="367"/>
      <c r="W560" s="367"/>
      <c r="X560" s="367"/>
      <c r="Y560" s="367"/>
      <c r="Z560" s="367"/>
      <c r="AA560" s="367"/>
      <c r="AB560" s="367"/>
      <c r="AC560" s="367"/>
      <c r="AD560" s="367"/>
      <c r="AE560" s="367"/>
      <c r="AF560" s="367"/>
    </row>
    <row r="561" ht="15.75" customHeight="1">
      <c r="A561" s="359"/>
      <c r="B561" s="361"/>
      <c r="C561" s="361"/>
      <c r="D561" s="361"/>
      <c r="E561" s="367"/>
      <c r="F561" s="367"/>
      <c r="G561" s="367"/>
      <c r="H561" s="367"/>
      <c r="I561" s="367"/>
      <c r="J561" s="367"/>
      <c r="K561" s="367"/>
      <c r="L561" s="367"/>
      <c r="M561" s="367"/>
      <c r="N561" s="367"/>
      <c r="O561" s="367"/>
      <c r="P561" s="367"/>
      <c r="Q561" s="367"/>
      <c r="R561" s="367"/>
      <c r="S561" s="367"/>
      <c r="T561" s="367"/>
      <c r="U561" s="367"/>
      <c r="V561" s="367"/>
      <c r="W561" s="367"/>
      <c r="X561" s="367"/>
      <c r="Y561" s="367"/>
      <c r="Z561" s="367"/>
      <c r="AA561" s="367"/>
      <c r="AB561" s="367"/>
      <c r="AC561" s="367"/>
      <c r="AD561" s="367"/>
      <c r="AE561" s="367"/>
      <c r="AF561" s="367"/>
    </row>
    <row r="562" ht="15.75" customHeight="1">
      <c r="A562" s="359"/>
      <c r="B562" s="361"/>
      <c r="C562" s="361"/>
      <c r="D562" s="361"/>
      <c r="E562" s="367"/>
      <c r="F562" s="367"/>
      <c r="G562" s="367"/>
      <c r="H562" s="367"/>
      <c r="I562" s="367"/>
      <c r="J562" s="367"/>
      <c r="K562" s="367"/>
      <c r="L562" s="367"/>
      <c r="M562" s="367"/>
      <c r="N562" s="367"/>
      <c r="O562" s="367"/>
      <c r="P562" s="367"/>
      <c r="Q562" s="367"/>
      <c r="R562" s="367"/>
      <c r="S562" s="367"/>
      <c r="T562" s="367"/>
      <c r="U562" s="367"/>
      <c r="V562" s="367"/>
      <c r="W562" s="367"/>
      <c r="X562" s="367"/>
      <c r="Y562" s="367"/>
      <c r="Z562" s="367"/>
      <c r="AA562" s="367"/>
      <c r="AB562" s="367"/>
      <c r="AC562" s="367"/>
      <c r="AD562" s="367"/>
      <c r="AE562" s="367"/>
      <c r="AF562" s="367"/>
    </row>
    <row r="563" ht="15.75" customHeight="1">
      <c r="A563" s="359"/>
      <c r="B563" s="361"/>
      <c r="C563" s="361"/>
      <c r="D563" s="361"/>
      <c r="E563" s="367"/>
      <c r="F563" s="367"/>
      <c r="G563" s="367"/>
      <c r="H563" s="367"/>
      <c r="I563" s="367"/>
      <c r="J563" s="367"/>
      <c r="K563" s="367"/>
      <c r="L563" s="367"/>
      <c r="M563" s="367"/>
      <c r="N563" s="367"/>
      <c r="O563" s="367"/>
      <c r="P563" s="367"/>
      <c r="Q563" s="367"/>
      <c r="R563" s="367"/>
      <c r="S563" s="367"/>
      <c r="T563" s="367"/>
      <c r="U563" s="367"/>
      <c r="V563" s="367"/>
      <c r="W563" s="367"/>
      <c r="X563" s="367"/>
      <c r="Y563" s="367"/>
      <c r="Z563" s="367"/>
      <c r="AA563" s="367"/>
      <c r="AB563" s="367"/>
      <c r="AC563" s="367"/>
      <c r="AD563" s="367"/>
      <c r="AE563" s="367"/>
      <c r="AF563" s="367"/>
    </row>
    <row r="564" ht="15.75" customHeight="1">
      <c r="A564" s="359"/>
      <c r="B564" s="361"/>
      <c r="C564" s="361"/>
      <c r="D564" s="361"/>
      <c r="E564" s="367"/>
      <c r="F564" s="367"/>
      <c r="G564" s="367"/>
      <c r="H564" s="367"/>
      <c r="I564" s="367"/>
      <c r="J564" s="367"/>
      <c r="K564" s="367"/>
      <c r="L564" s="367"/>
      <c r="M564" s="367"/>
      <c r="N564" s="367"/>
      <c r="O564" s="367"/>
      <c r="P564" s="367"/>
      <c r="Q564" s="367"/>
      <c r="R564" s="367"/>
      <c r="S564" s="367"/>
      <c r="T564" s="367"/>
      <c r="U564" s="367"/>
      <c r="V564" s="367"/>
      <c r="W564" s="367"/>
      <c r="X564" s="367"/>
      <c r="Y564" s="367"/>
      <c r="Z564" s="367"/>
      <c r="AA564" s="367"/>
      <c r="AB564" s="367"/>
      <c r="AC564" s="367"/>
      <c r="AD564" s="367"/>
      <c r="AE564" s="367"/>
      <c r="AF564" s="367"/>
    </row>
    <row r="565" ht="15.75" customHeight="1">
      <c r="A565" s="359"/>
      <c r="B565" s="361"/>
      <c r="C565" s="361"/>
      <c r="D565" s="361"/>
      <c r="E565" s="367"/>
      <c r="F565" s="367"/>
      <c r="G565" s="367"/>
      <c r="H565" s="367"/>
      <c r="I565" s="367"/>
      <c r="J565" s="367"/>
      <c r="K565" s="367"/>
      <c r="L565" s="367"/>
      <c r="M565" s="367"/>
      <c r="N565" s="367"/>
      <c r="O565" s="367"/>
      <c r="P565" s="367"/>
      <c r="Q565" s="367"/>
      <c r="R565" s="367"/>
      <c r="S565" s="367"/>
      <c r="T565" s="367"/>
      <c r="U565" s="367"/>
      <c r="V565" s="367"/>
      <c r="W565" s="367"/>
      <c r="X565" s="367"/>
      <c r="Y565" s="367"/>
      <c r="Z565" s="367"/>
      <c r="AA565" s="367"/>
      <c r="AB565" s="367"/>
      <c r="AC565" s="367"/>
      <c r="AD565" s="367"/>
      <c r="AE565" s="367"/>
      <c r="AF565" s="367"/>
    </row>
    <row r="566" ht="15.75" customHeight="1">
      <c r="A566" s="359"/>
      <c r="B566" s="361"/>
      <c r="C566" s="361"/>
      <c r="D566" s="361"/>
      <c r="E566" s="367"/>
      <c r="F566" s="367"/>
      <c r="G566" s="367"/>
      <c r="H566" s="367"/>
      <c r="I566" s="367"/>
      <c r="J566" s="367"/>
      <c r="K566" s="367"/>
      <c r="L566" s="367"/>
      <c r="M566" s="367"/>
      <c r="N566" s="367"/>
      <c r="O566" s="367"/>
      <c r="P566" s="367"/>
      <c r="Q566" s="367"/>
      <c r="R566" s="367"/>
      <c r="S566" s="367"/>
      <c r="T566" s="367"/>
      <c r="U566" s="367"/>
      <c r="V566" s="367"/>
      <c r="W566" s="367"/>
      <c r="X566" s="367"/>
      <c r="Y566" s="367"/>
      <c r="Z566" s="367"/>
      <c r="AA566" s="367"/>
      <c r="AB566" s="367"/>
      <c r="AC566" s="367"/>
      <c r="AD566" s="367"/>
      <c r="AE566" s="367"/>
      <c r="AF566" s="367"/>
    </row>
    <row r="567" ht="15.75" customHeight="1">
      <c r="A567" s="359"/>
      <c r="B567" s="361"/>
      <c r="C567" s="361"/>
      <c r="D567" s="361"/>
      <c r="E567" s="367"/>
      <c r="F567" s="367"/>
      <c r="G567" s="367"/>
      <c r="H567" s="367"/>
      <c r="I567" s="367"/>
      <c r="J567" s="367"/>
      <c r="K567" s="367"/>
      <c r="L567" s="367"/>
      <c r="M567" s="367"/>
      <c r="N567" s="367"/>
      <c r="O567" s="367"/>
      <c r="P567" s="367"/>
      <c r="Q567" s="367"/>
      <c r="R567" s="367"/>
      <c r="S567" s="367"/>
      <c r="T567" s="367"/>
      <c r="U567" s="367"/>
      <c r="V567" s="367"/>
      <c r="W567" s="367"/>
      <c r="X567" s="367"/>
      <c r="Y567" s="367"/>
      <c r="Z567" s="367"/>
      <c r="AA567" s="367"/>
      <c r="AB567" s="367"/>
      <c r="AC567" s="367"/>
      <c r="AD567" s="367"/>
      <c r="AE567" s="367"/>
      <c r="AF567" s="367"/>
    </row>
    <row r="568" ht="15.75" customHeight="1">
      <c r="A568" s="359"/>
      <c r="B568" s="361"/>
      <c r="C568" s="361"/>
      <c r="D568" s="361"/>
      <c r="E568" s="367"/>
      <c r="F568" s="367"/>
      <c r="G568" s="367"/>
      <c r="H568" s="367"/>
      <c r="I568" s="367"/>
      <c r="J568" s="367"/>
      <c r="K568" s="367"/>
      <c r="L568" s="367"/>
      <c r="M568" s="367"/>
      <c r="N568" s="367"/>
      <c r="O568" s="367"/>
      <c r="P568" s="367"/>
      <c r="Q568" s="367"/>
      <c r="R568" s="367"/>
      <c r="S568" s="367"/>
      <c r="T568" s="367"/>
      <c r="U568" s="367"/>
      <c r="V568" s="367"/>
      <c r="W568" s="367"/>
      <c r="X568" s="367"/>
      <c r="Y568" s="367"/>
      <c r="Z568" s="367"/>
      <c r="AA568" s="367"/>
      <c r="AB568" s="367"/>
      <c r="AC568" s="367"/>
      <c r="AD568" s="367"/>
      <c r="AE568" s="367"/>
      <c r="AF568" s="367"/>
    </row>
    <row r="569" ht="15.75" customHeight="1">
      <c r="A569" s="359"/>
      <c r="B569" s="361"/>
      <c r="C569" s="361"/>
      <c r="D569" s="361"/>
      <c r="E569" s="367"/>
      <c r="F569" s="367"/>
      <c r="G569" s="367"/>
      <c r="H569" s="367"/>
      <c r="I569" s="367"/>
      <c r="J569" s="367"/>
      <c r="K569" s="367"/>
      <c r="L569" s="367"/>
      <c r="M569" s="367"/>
      <c r="N569" s="367"/>
      <c r="O569" s="367"/>
      <c r="P569" s="367"/>
      <c r="Q569" s="367"/>
      <c r="R569" s="367"/>
      <c r="S569" s="367"/>
      <c r="T569" s="367"/>
      <c r="U569" s="367"/>
      <c r="V569" s="367"/>
      <c r="W569" s="367"/>
      <c r="X569" s="367"/>
      <c r="Y569" s="367"/>
      <c r="Z569" s="367"/>
      <c r="AA569" s="367"/>
      <c r="AB569" s="367"/>
      <c r="AC569" s="367"/>
      <c r="AD569" s="367"/>
      <c r="AE569" s="367"/>
      <c r="AF569" s="367"/>
    </row>
    <row r="570" ht="15.75" customHeight="1">
      <c r="A570" s="359"/>
      <c r="B570" s="361"/>
      <c r="C570" s="361"/>
      <c r="D570" s="361"/>
      <c r="E570" s="367"/>
      <c r="F570" s="367"/>
      <c r="G570" s="367"/>
      <c r="H570" s="367"/>
      <c r="I570" s="367"/>
      <c r="J570" s="367"/>
      <c r="K570" s="367"/>
      <c r="L570" s="367"/>
      <c r="M570" s="367"/>
      <c r="N570" s="367"/>
      <c r="O570" s="367"/>
      <c r="P570" s="367"/>
      <c r="Q570" s="367"/>
      <c r="R570" s="367"/>
      <c r="S570" s="367"/>
      <c r="T570" s="367"/>
      <c r="U570" s="367"/>
      <c r="V570" s="367"/>
      <c r="W570" s="367"/>
      <c r="X570" s="367"/>
      <c r="Y570" s="367"/>
      <c r="Z570" s="367"/>
      <c r="AA570" s="367"/>
      <c r="AB570" s="367"/>
      <c r="AC570" s="367"/>
      <c r="AD570" s="367"/>
      <c r="AE570" s="367"/>
      <c r="AF570" s="367"/>
    </row>
    <row r="571" ht="15.75" customHeight="1">
      <c r="A571" s="359"/>
      <c r="B571" s="361"/>
      <c r="C571" s="361"/>
      <c r="D571" s="361"/>
      <c r="E571" s="367"/>
      <c r="F571" s="367"/>
      <c r="G571" s="367"/>
      <c r="H571" s="367"/>
      <c r="I571" s="367"/>
      <c r="J571" s="367"/>
      <c r="K571" s="367"/>
      <c r="L571" s="367"/>
      <c r="M571" s="367"/>
      <c r="N571" s="367"/>
      <c r="O571" s="367"/>
      <c r="P571" s="367"/>
      <c r="Q571" s="367"/>
      <c r="R571" s="367"/>
      <c r="S571" s="367"/>
      <c r="T571" s="367"/>
      <c r="U571" s="367"/>
      <c r="V571" s="367"/>
      <c r="W571" s="367"/>
      <c r="X571" s="367"/>
      <c r="Y571" s="367"/>
      <c r="Z571" s="367"/>
      <c r="AA571" s="367"/>
      <c r="AB571" s="367"/>
      <c r="AC571" s="367"/>
      <c r="AD571" s="367"/>
      <c r="AE571" s="367"/>
      <c r="AF571" s="367"/>
    </row>
    <row r="572" ht="15.75" customHeight="1">
      <c r="A572" s="359"/>
      <c r="B572" s="361"/>
      <c r="C572" s="361"/>
      <c r="D572" s="361"/>
      <c r="E572" s="367"/>
      <c r="F572" s="367"/>
      <c r="G572" s="367"/>
      <c r="H572" s="367"/>
      <c r="I572" s="367"/>
      <c r="J572" s="367"/>
      <c r="K572" s="367"/>
      <c r="L572" s="367"/>
      <c r="M572" s="367"/>
      <c r="N572" s="367"/>
      <c r="O572" s="367"/>
      <c r="P572" s="367"/>
      <c r="Q572" s="367"/>
      <c r="R572" s="367"/>
      <c r="S572" s="367"/>
      <c r="T572" s="367"/>
      <c r="U572" s="367"/>
      <c r="V572" s="367"/>
      <c r="W572" s="367"/>
      <c r="X572" s="367"/>
      <c r="Y572" s="367"/>
      <c r="Z572" s="367"/>
      <c r="AA572" s="367"/>
      <c r="AB572" s="367"/>
      <c r="AC572" s="367"/>
      <c r="AD572" s="367"/>
      <c r="AE572" s="367"/>
      <c r="AF572" s="367"/>
    </row>
    <row r="573" ht="15.75" customHeight="1">
      <c r="A573" s="359"/>
      <c r="B573" s="361"/>
      <c r="C573" s="361"/>
      <c r="D573" s="361"/>
      <c r="E573" s="367"/>
      <c r="F573" s="367"/>
      <c r="G573" s="367"/>
      <c r="H573" s="367"/>
      <c r="I573" s="367"/>
      <c r="J573" s="367"/>
      <c r="K573" s="367"/>
      <c r="L573" s="367"/>
      <c r="M573" s="367"/>
      <c r="N573" s="367"/>
      <c r="O573" s="367"/>
      <c r="P573" s="367"/>
      <c r="Q573" s="367"/>
      <c r="R573" s="367"/>
      <c r="S573" s="367"/>
      <c r="T573" s="367"/>
      <c r="U573" s="367"/>
      <c r="V573" s="367"/>
      <c r="W573" s="367"/>
      <c r="X573" s="367"/>
      <c r="Y573" s="367"/>
      <c r="Z573" s="367"/>
      <c r="AA573" s="367"/>
      <c r="AB573" s="367"/>
      <c r="AC573" s="367"/>
      <c r="AD573" s="367"/>
      <c r="AE573" s="367"/>
      <c r="AF573" s="367"/>
    </row>
    <row r="574" ht="15.75" customHeight="1">
      <c r="A574" s="359"/>
      <c r="B574" s="361"/>
      <c r="C574" s="361"/>
      <c r="D574" s="361"/>
      <c r="E574" s="367"/>
      <c r="F574" s="367"/>
      <c r="G574" s="367"/>
      <c r="H574" s="367"/>
      <c r="I574" s="367"/>
      <c r="J574" s="367"/>
      <c r="K574" s="367"/>
      <c r="L574" s="367"/>
      <c r="M574" s="367"/>
      <c r="N574" s="367"/>
      <c r="O574" s="367"/>
      <c r="P574" s="367"/>
      <c r="Q574" s="367"/>
      <c r="R574" s="367"/>
      <c r="S574" s="367"/>
      <c r="T574" s="367"/>
      <c r="U574" s="367"/>
      <c r="V574" s="367"/>
      <c r="W574" s="367"/>
      <c r="X574" s="367"/>
      <c r="Y574" s="367"/>
      <c r="Z574" s="367"/>
      <c r="AA574" s="367"/>
      <c r="AB574" s="367"/>
      <c r="AC574" s="367"/>
      <c r="AD574" s="367"/>
      <c r="AE574" s="367"/>
      <c r="AF574" s="367"/>
    </row>
    <row r="575" ht="15.75" customHeight="1">
      <c r="A575" s="359"/>
      <c r="B575" s="361"/>
      <c r="C575" s="361"/>
      <c r="D575" s="361"/>
      <c r="E575" s="367"/>
      <c r="F575" s="367"/>
      <c r="G575" s="367"/>
      <c r="H575" s="367"/>
      <c r="I575" s="367"/>
      <c r="J575" s="367"/>
      <c r="K575" s="367"/>
      <c r="L575" s="367"/>
      <c r="M575" s="367"/>
      <c r="N575" s="367"/>
      <c r="O575" s="367"/>
      <c r="P575" s="367"/>
      <c r="Q575" s="367"/>
      <c r="R575" s="367"/>
      <c r="S575" s="367"/>
      <c r="T575" s="367"/>
      <c r="U575" s="367"/>
      <c r="V575" s="367"/>
      <c r="W575" s="367"/>
      <c r="X575" s="367"/>
      <c r="Y575" s="367"/>
      <c r="Z575" s="367"/>
      <c r="AA575" s="367"/>
      <c r="AB575" s="367"/>
      <c r="AC575" s="367"/>
      <c r="AD575" s="367"/>
      <c r="AE575" s="367"/>
      <c r="AF575" s="367"/>
    </row>
    <row r="576" ht="15.75" customHeight="1">
      <c r="A576" s="359"/>
      <c r="B576" s="361"/>
      <c r="C576" s="361"/>
      <c r="D576" s="361"/>
      <c r="E576" s="367"/>
      <c r="F576" s="367"/>
      <c r="G576" s="367"/>
      <c r="H576" s="367"/>
      <c r="I576" s="367"/>
      <c r="J576" s="367"/>
      <c r="K576" s="367"/>
      <c r="L576" s="367"/>
      <c r="M576" s="367"/>
      <c r="N576" s="367"/>
      <c r="O576" s="367"/>
      <c r="P576" s="367"/>
      <c r="Q576" s="367"/>
      <c r="R576" s="367"/>
      <c r="S576" s="367"/>
      <c r="T576" s="367"/>
      <c r="U576" s="367"/>
      <c r="V576" s="367"/>
      <c r="W576" s="367"/>
      <c r="X576" s="367"/>
      <c r="Y576" s="367"/>
      <c r="Z576" s="367"/>
      <c r="AA576" s="367"/>
      <c r="AB576" s="367"/>
      <c r="AC576" s="367"/>
      <c r="AD576" s="367"/>
      <c r="AE576" s="367"/>
      <c r="AF576" s="367"/>
    </row>
    <row r="577" ht="15.75" customHeight="1">
      <c r="A577" s="359"/>
      <c r="B577" s="361"/>
      <c r="C577" s="361"/>
      <c r="D577" s="361"/>
      <c r="E577" s="367"/>
      <c r="F577" s="367"/>
      <c r="G577" s="367"/>
      <c r="H577" s="367"/>
      <c r="I577" s="367"/>
      <c r="J577" s="367"/>
      <c r="K577" s="367"/>
      <c r="L577" s="367"/>
      <c r="M577" s="367"/>
      <c r="N577" s="367"/>
      <c r="O577" s="367"/>
      <c r="P577" s="367"/>
      <c r="Q577" s="367"/>
      <c r="R577" s="367"/>
      <c r="S577" s="367"/>
      <c r="T577" s="367"/>
      <c r="U577" s="367"/>
      <c r="V577" s="367"/>
      <c r="W577" s="367"/>
      <c r="X577" s="367"/>
      <c r="Y577" s="367"/>
      <c r="Z577" s="367"/>
      <c r="AA577" s="367"/>
      <c r="AB577" s="367"/>
      <c r="AC577" s="367"/>
      <c r="AD577" s="367"/>
      <c r="AE577" s="367"/>
      <c r="AF577" s="367"/>
    </row>
    <row r="578" ht="15.75" customHeight="1">
      <c r="A578" s="359"/>
      <c r="B578" s="361"/>
      <c r="C578" s="361"/>
      <c r="D578" s="361"/>
      <c r="E578" s="367"/>
      <c r="F578" s="367"/>
      <c r="G578" s="367"/>
      <c r="H578" s="367"/>
      <c r="I578" s="367"/>
      <c r="J578" s="367"/>
      <c r="K578" s="367"/>
      <c r="L578" s="367"/>
      <c r="M578" s="367"/>
      <c r="N578" s="367"/>
      <c r="O578" s="367"/>
      <c r="P578" s="367"/>
      <c r="Q578" s="367"/>
      <c r="R578" s="367"/>
      <c r="S578" s="367"/>
      <c r="T578" s="367"/>
      <c r="U578" s="367"/>
      <c r="V578" s="367"/>
      <c r="W578" s="367"/>
      <c r="X578" s="367"/>
      <c r="Y578" s="367"/>
      <c r="Z578" s="367"/>
      <c r="AA578" s="367"/>
      <c r="AB578" s="367"/>
      <c r="AC578" s="367"/>
      <c r="AD578" s="367"/>
      <c r="AE578" s="367"/>
      <c r="AF578" s="367"/>
    </row>
    <row r="579" ht="15.75" customHeight="1">
      <c r="A579" s="359"/>
      <c r="B579" s="361"/>
      <c r="C579" s="361"/>
      <c r="D579" s="361"/>
      <c r="E579" s="367"/>
      <c r="F579" s="367"/>
      <c r="G579" s="367"/>
      <c r="H579" s="367"/>
      <c r="I579" s="367"/>
      <c r="J579" s="367"/>
      <c r="K579" s="367"/>
      <c r="L579" s="367"/>
      <c r="M579" s="367"/>
      <c r="N579" s="367"/>
      <c r="O579" s="367"/>
      <c r="P579" s="367"/>
      <c r="Q579" s="367"/>
      <c r="R579" s="367"/>
      <c r="S579" s="367"/>
      <c r="T579" s="367"/>
      <c r="U579" s="367"/>
      <c r="V579" s="367"/>
      <c r="W579" s="367"/>
      <c r="X579" s="367"/>
      <c r="Y579" s="367"/>
      <c r="Z579" s="367"/>
      <c r="AA579" s="367"/>
      <c r="AB579" s="367"/>
      <c r="AC579" s="367"/>
      <c r="AD579" s="367"/>
      <c r="AE579" s="367"/>
      <c r="AF579" s="367"/>
    </row>
    <row r="580" ht="15.75" customHeight="1">
      <c r="A580" s="359"/>
      <c r="B580" s="361"/>
      <c r="C580" s="361"/>
      <c r="D580" s="361"/>
      <c r="E580" s="367"/>
      <c r="F580" s="367"/>
      <c r="G580" s="367"/>
      <c r="H580" s="367"/>
      <c r="I580" s="367"/>
      <c r="J580" s="367"/>
      <c r="K580" s="367"/>
      <c r="L580" s="367"/>
      <c r="M580" s="367"/>
      <c r="N580" s="367"/>
      <c r="O580" s="367"/>
      <c r="P580" s="367"/>
      <c r="Q580" s="367"/>
      <c r="R580" s="367"/>
      <c r="S580" s="367"/>
      <c r="T580" s="367"/>
      <c r="U580" s="367"/>
      <c r="V580" s="367"/>
      <c r="W580" s="367"/>
      <c r="X580" s="367"/>
      <c r="Y580" s="367"/>
      <c r="Z580" s="367"/>
      <c r="AA580" s="367"/>
      <c r="AB580" s="367"/>
      <c r="AC580" s="367"/>
      <c r="AD580" s="367"/>
      <c r="AE580" s="367"/>
      <c r="AF580" s="367"/>
    </row>
    <row r="581" ht="15.75" customHeight="1">
      <c r="A581" s="359"/>
      <c r="B581" s="361"/>
      <c r="C581" s="361"/>
      <c r="D581" s="361"/>
      <c r="E581" s="367"/>
      <c r="F581" s="367"/>
      <c r="G581" s="367"/>
      <c r="H581" s="367"/>
      <c r="I581" s="367"/>
      <c r="J581" s="367"/>
      <c r="K581" s="367"/>
      <c r="L581" s="367"/>
      <c r="M581" s="367"/>
      <c r="N581" s="367"/>
      <c r="O581" s="367"/>
      <c r="P581" s="367"/>
      <c r="Q581" s="367"/>
      <c r="R581" s="367"/>
      <c r="S581" s="367"/>
      <c r="T581" s="367"/>
      <c r="U581" s="367"/>
      <c r="V581" s="367"/>
      <c r="W581" s="367"/>
      <c r="X581" s="367"/>
      <c r="Y581" s="367"/>
      <c r="Z581" s="367"/>
      <c r="AA581" s="367"/>
      <c r="AB581" s="367"/>
      <c r="AC581" s="367"/>
      <c r="AD581" s="367"/>
      <c r="AE581" s="367"/>
      <c r="AF581" s="367"/>
    </row>
    <row r="582" ht="15.75" customHeight="1">
      <c r="A582" s="359"/>
      <c r="B582" s="361"/>
      <c r="C582" s="361"/>
      <c r="D582" s="361"/>
      <c r="E582" s="367"/>
      <c r="F582" s="367"/>
      <c r="G582" s="367"/>
      <c r="H582" s="367"/>
      <c r="I582" s="367"/>
      <c r="J582" s="367"/>
      <c r="K582" s="367"/>
      <c r="L582" s="367"/>
      <c r="M582" s="367"/>
      <c r="N582" s="367"/>
      <c r="O582" s="367"/>
      <c r="P582" s="367"/>
      <c r="Q582" s="367"/>
      <c r="R582" s="367"/>
      <c r="S582" s="367"/>
      <c r="T582" s="367"/>
      <c r="U582" s="367"/>
      <c r="V582" s="367"/>
      <c r="W582" s="367"/>
      <c r="X582" s="367"/>
      <c r="Y582" s="367"/>
      <c r="Z582" s="367"/>
      <c r="AA582" s="367"/>
      <c r="AB582" s="367"/>
      <c r="AC582" s="367"/>
      <c r="AD582" s="367"/>
      <c r="AE582" s="367"/>
      <c r="AF582" s="367"/>
    </row>
    <row r="583" ht="15.75" customHeight="1">
      <c r="A583" s="359"/>
      <c r="B583" s="361"/>
      <c r="C583" s="361"/>
      <c r="D583" s="361"/>
      <c r="E583" s="367"/>
      <c r="F583" s="367"/>
      <c r="G583" s="367"/>
      <c r="H583" s="367"/>
      <c r="I583" s="367"/>
      <c r="J583" s="367"/>
      <c r="K583" s="367"/>
      <c r="L583" s="367"/>
      <c r="M583" s="367"/>
      <c r="N583" s="367"/>
      <c r="O583" s="367"/>
      <c r="P583" s="367"/>
      <c r="Q583" s="367"/>
      <c r="R583" s="367"/>
      <c r="S583" s="367"/>
      <c r="T583" s="367"/>
      <c r="U583" s="367"/>
      <c r="V583" s="367"/>
      <c r="W583" s="367"/>
      <c r="X583" s="367"/>
      <c r="Y583" s="367"/>
      <c r="Z583" s="367"/>
      <c r="AA583" s="367"/>
      <c r="AB583" s="367"/>
      <c r="AC583" s="367"/>
      <c r="AD583" s="367"/>
      <c r="AE583" s="367"/>
      <c r="AF583" s="367"/>
    </row>
    <row r="584" ht="15.75" customHeight="1">
      <c r="A584" s="359"/>
      <c r="B584" s="361"/>
      <c r="C584" s="361"/>
      <c r="D584" s="361"/>
      <c r="E584" s="367"/>
      <c r="F584" s="367"/>
      <c r="G584" s="367"/>
      <c r="H584" s="367"/>
      <c r="I584" s="367"/>
      <c r="J584" s="367"/>
      <c r="K584" s="367"/>
      <c r="L584" s="367"/>
      <c r="M584" s="367"/>
      <c r="N584" s="367"/>
      <c r="O584" s="367"/>
      <c r="P584" s="367"/>
      <c r="Q584" s="367"/>
      <c r="R584" s="367"/>
      <c r="S584" s="367"/>
      <c r="T584" s="367"/>
      <c r="U584" s="367"/>
      <c r="V584" s="367"/>
      <c r="W584" s="367"/>
      <c r="X584" s="367"/>
      <c r="Y584" s="367"/>
      <c r="Z584" s="367"/>
      <c r="AA584" s="367"/>
      <c r="AB584" s="367"/>
      <c r="AC584" s="367"/>
      <c r="AD584" s="367"/>
      <c r="AE584" s="367"/>
      <c r="AF584" s="367"/>
    </row>
    <row r="585" ht="15.75" customHeight="1">
      <c r="A585" s="359"/>
      <c r="B585" s="361"/>
      <c r="C585" s="361"/>
      <c r="D585" s="361"/>
      <c r="E585" s="367"/>
      <c r="F585" s="367"/>
      <c r="G585" s="367"/>
      <c r="H585" s="367"/>
      <c r="I585" s="367"/>
      <c r="J585" s="367"/>
      <c r="K585" s="367"/>
      <c r="L585" s="367"/>
      <c r="M585" s="367"/>
      <c r="N585" s="367"/>
      <c r="O585" s="367"/>
      <c r="P585" s="367"/>
      <c r="Q585" s="367"/>
      <c r="R585" s="367"/>
      <c r="S585" s="367"/>
      <c r="T585" s="367"/>
      <c r="U585" s="367"/>
      <c r="V585" s="367"/>
      <c r="W585" s="367"/>
      <c r="X585" s="367"/>
      <c r="Y585" s="367"/>
      <c r="Z585" s="367"/>
      <c r="AA585" s="367"/>
      <c r="AB585" s="367"/>
      <c r="AC585" s="367"/>
      <c r="AD585" s="367"/>
      <c r="AE585" s="367"/>
      <c r="AF585" s="367"/>
    </row>
    <row r="586" ht="15.75" customHeight="1">
      <c r="A586" s="359"/>
      <c r="B586" s="361"/>
      <c r="C586" s="361"/>
      <c r="D586" s="361"/>
      <c r="E586" s="367"/>
      <c r="F586" s="367"/>
      <c r="G586" s="367"/>
      <c r="H586" s="367"/>
      <c r="I586" s="367"/>
      <c r="J586" s="367"/>
      <c r="K586" s="367"/>
      <c r="L586" s="367"/>
      <c r="M586" s="367"/>
      <c r="N586" s="367"/>
      <c r="O586" s="367"/>
      <c r="P586" s="367"/>
      <c r="Q586" s="367"/>
      <c r="R586" s="367"/>
      <c r="S586" s="367"/>
      <c r="T586" s="367"/>
      <c r="U586" s="367"/>
      <c r="V586" s="367"/>
      <c r="W586" s="367"/>
      <c r="X586" s="367"/>
      <c r="Y586" s="367"/>
      <c r="Z586" s="367"/>
      <c r="AA586" s="367"/>
      <c r="AB586" s="367"/>
      <c r="AC586" s="367"/>
      <c r="AD586" s="367"/>
      <c r="AE586" s="367"/>
      <c r="AF586" s="367"/>
    </row>
    <row r="587" ht="15.75" customHeight="1">
      <c r="A587" s="359"/>
      <c r="B587" s="361"/>
      <c r="C587" s="361"/>
      <c r="D587" s="361"/>
      <c r="E587" s="367"/>
      <c r="F587" s="367"/>
      <c r="G587" s="367"/>
      <c r="H587" s="367"/>
      <c r="I587" s="367"/>
      <c r="J587" s="367"/>
      <c r="K587" s="367"/>
      <c r="L587" s="367"/>
      <c r="M587" s="367"/>
      <c r="N587" s="367"/>
      <c r="O587" s="367"/>
      <c r="P587" s="367"/>
      <c r="Q587" s="367"/>
      <c r="R587" s="367"/>
      <c r="S587" s="367"/>
      <c r="T587" s="367"/>
      <c r="U587" s="367"/>
      <c r="V587" s="367"/>
      <c r="W587" s="367"/>
      <c r="X587" s="367"/>
      <c r="Y587" s="367"/>
      <c r="Z587" s="367"/>
      <c r="AA587" s="367"/>
      <c r="AB587" s="367"/>
      <c r="AC587" s="367"/>
      <c r="AD587" s="367"/>
      <c r="AE587" s="367"/>
      <c r="AF587" s="367"/>
    </row>
    <row r="588" ht="15.75" customHeight="1">
      <c r="A588" s="359"/>
      <c r="B588" s="361"/>
      <c r="C588" s="361"/>
      <c r="D588" s="361"/>
      <c r="E588" s="367"/>
      <c r="F588" s="367"/>
      <c r="G588" s="367"/>
      <c r="H588" s="367"/>
      <c r="I588" s="367"/>
      <c r="J588" s="367"/>
      <c r="K588" s="367"/>
      <c r="L588" s="367"/>
      <c r="M588" s="367"/>
      <c r="N588" s="367"/>
      <c r="O588" s="367"/>
      <c r="P588" s="367"/>
      <c r="Q588" s="367"/>
      <c r="R588" s="367"/>
      <c r="S588" s="367"/>
      <c r="T588" s="367"/>
      <c r="U588" s="367"/>
      <c r="V588" s="367"/>
      <c r="W588" s="367"/>
      <c r="X588" s="367"/>
      <c r="Y588" s="367"/>
      <c r="Z588" s="367"/>
      <c r="AA588" s="367"/>
      <c r="AB588" s="367"/>
      <c r="AC588" s="367"/>
      <c r="AD588" s="367"/>
      <c r="AE588" s="367"/>
      <c r="AF588" s="367"/>
    </row>
    <row r="589" ht="15.75" customHeight="1">
      <c r="A589" s="359"/>
      <c r="B589" s="361"/>
      <c r="C589" s="361"/>
      <c r="D589" s="361"/>
      <c r="E589" s="367"/>
      <c r="F589" s="367"/>
      <c r="G589" s="367"/>
      <c r="H589" s="367"/>
      <c r="I589" s="367"/>
      <c r="J589" s="367"/>
      <c r="K589" s="367"/>
      <c r="L589" s="367"/>
      <c r="M589" s="367"/>
      <c r="N589" s="367"/>
      <c r="O589" s="367"/>
      <c r="P589" s="367"/>
      <c r="Q589" s="367"/>
      <c r="R589" s="367"/>
      <c r="S589" s="367"/>
      <c r="T589" s="367"/>
      <c r="U589" s="367"/>
      <c r="V589" s="367"/>
      <c r="W589" s="367"/>
      <c r="X589" s="367"/>
      <c r="Y589" s="367"/>
      <c r="Z589" s="367"/>
      <c r="AA589" s="367"/>
      <c r="AB589" s="367"/>
      <c r="AC589" s="367"/>
      <c r="AD589" s="367"/>
      <c r="AE589" s="367"/>
      <c r="AF589" s="367"/>
    </row>
    <row r="590" ht="15.75" customHeight="1">
      <c r="A590" s="359"/>
      <c r="B590" s="361"/>
      <c r="C590" s="361"/>
      <c r="D590" s="361"/>
      <c r="E590" s="367"/>
      <c r="F590" s="367"/>
      <c r="G590" s="367"/>
      <c r="H590" s="367"/>
      <c r="I590" s="367"/>
      <c r="J590" s="367"/>
      <c r="K590" s="367"/>
      <c r="L590" s="367"/>
      <c r="M590" s="367"/>
      <c r="N590" s="367"/>
      <c r="O590" s="367"/>
      <c r="P590" s="367"/>
      <c r="Q590" s="367"/>
      <c r="R590" s="367"/>
      <c r="S590" s="367"/>
      <c r="T590" s="367"/>
      <c r="U590" s="367"/>
      <c r="V590" s="367"/>
      <c r="W590" s="367"/>
      <c r="X590" s="367"/>
      <c r="Y590" s="367"/>
      <c r="Z590" s="367"/>
      <c r="AA590" s="367"/>
      <c r="AB590" s="367"/>
      <c r="AC590" s="367"/>
      <c r="AD590" s="367"/>
      <c r="AE590" s="367"/>
      <c r="AF590" s="367"/>
    </row>
    <row r="591" ht="15.75" customHeight="1">
      <c r="A591" s="359"/>
      <c r="B591" s="361"/>
      <c r="C591" s="361"/>
      <c r="D591" s="361"/>
      <c r="E591" s="367"/>
      <c r="F591" s="367"/>
      <c r="G591" s="367"/>
      <c r="H591" s="367"/>
      <c r="I591" s="367"/>
      <c r="J591" s="367"/>
      <c r="K591" s="367"/>
      <c r="L591" s="367"/>
      <c r="M591" s="367"/>
      <c r="N591" s="367"/>
      <c r="O591" s="367"/>
      <c r="P591" s="367"/>
      <c r="Q591" s="367"/>
      <c r="R591" s="367"/>
      <c r="S591" s="367"/>
      <c r="T591" s="367"/>
      <c r="U591" s="367"/>
      <c r="V591" s="367"/>
      <c r="W591" s="367"/>
      <c r="X591" s="367"/>
      <c r="Y591" s="367"/>
      <c r="Z591" s="367"/>
      <c r="AA591" s="367"/>
      <c r="AB591" s="367"/>
      <c r="AC591" s="367"/>
      <c r="AD591" s="367"/>
      <c r="AE591" s="367"/>
      <c r="AF591" s="367"/>
    </row>
    <row r="592" ht="15.75" customHeight="1">
      <c r="A592" s="359"/>
      <c r="B592" s="361"/>
      <c r="C592" s="361"/>
      <c r="D592" s="361"/>
      <c r="E592" s="367"/>
      <c r="F592" s="367"/>
      <c r="G592" s="367"/>
      <c r="H592" s="367"/>
      <c r="I592" s="367"/>
      <c r="J592" s="367"/>
      <c r="K592" s="367"/>
      <c r="L592" s="367"/>
      <c r="M592" s="367"/>
      <c r="N592" s="367"/>
      <c r="O592" s="367"/>
      <c r="P592" s="367"/>
      <c r="Q592" s="367"/>
      <c r="R592" s="367"/>
      <c r="S592" s="367"/>
      <c r="T592" s="367"/>
      <c r="U592" s="367"/>
      <c r="V592" s="367"/>
      <c r="W592" s="367"/>
      <c r="X592" s="367"/>
      <c r="Y592" s="367"/>
      <c r="Z592" s="367"/>
      <c r="AA592" s="367"/>
      <c r="AB592" s="367"/>
      <c r="AC592" s="367"/>
      <c r="AD592" s="367"/>
      <c r="AE592" s="367"/>
      <c r="AF592" s="367"/>
    </row>
    <row r="593" ht="15.75" customHeight="1">
      <c r="A593" s="359"/>
      <c r="B593" s="361"/>
      <c r="C593" s="361"/>
      <c r="D593" s="361"/>
      <c r="E593" s="367"/>
      <c r="F593" s="367"/>
      <c r="G593" s="367"/>
      <c r="H593" s="367"/>
      <c r="I593" s="367"/>
      <c r="J593" s="367"/>
      <c r="K593" s="367"/>
      <c r="L593" s="367"/>
      <c r="M593" s="367"/>
      <c r="N593" s="367"/>
      <c r="O593" s="367"/>
      <c r="P593" s="367"/>
      <c r="Q593" s="367"/>
      <c r="R593" s="367"/>
      <c r="S593" s="367"/>
      <c r="T593" s="367"/>
      <c r="U593" s="367"/>
      <c r="V593" s="367"/>
      <c r="W593" s="367"/>
      <c r="X593" s="367"/>
      <c r="Y593" s="367"/>
      <c r="Z593" s="367"/>
      <c r="AA593" s="367"/>
      <c r="AB593" s="367"/>
      <c r="AC593" s="367"/>
      <c r="AD593" s="367"/>
      <c r="AE593" s="367"/>
      <c r="AF593" s="367"/>
    </row>
    <row r="594" ht="15.75" customHeight="1">
      <c r="A594" s="359"/>
      <c r="B594" s="361"/>
      <c r="C594" s="361"/>
      <c r="D594" s="361"/>
      <c r="E594" s="367"/>
      <c r="F594" s="367"/>
      <c r="G594" s="367"/>
      <c r="H594" s="367"/>
      <c r="I594" s="367"/>
      <c r="J594" s="367"/>
      <c r="K594" s="367"/>
      <c r="L594" s="367"/>
      <c r="M594" s="367"/>
      <c r="N594" s="367"/>
      <c r="O594" s="367"/>
      <c r="P594" s="367"/>
      <c r="Q594" s="367"/>
      <c r="R594" s="367"/>
      <c r="S594" s="367"/>
      <c r="T594" s="367"/>
      <c r="U594" s="367"/>
      <c r="V594" s="367"/>
      <c r="W594" s="367"/>
      <c r="X594" s="367"/>
      <c r="Y594" s="367"/>
      <c r="Z594" s="367"/>
      <c r="AA594" s="367"/>
      <c r="AB594" s="367"/>
      <c r="AC594" s="367"/>
      <c r="AD594" s="367"/>
      <c r="AE594" s="367"/>
      <c r="AF594" s="367"/>
    </row>
    <row r="595" ht="15.75" customHeight="1">
      <c r="A595" s="359"/>
      <c r="B595" s="361"/>
      <c r="C595" s="361"/>
      <c r="D595" s="361"/>
      <c r="E595" s="367"/>
      <c r="F595" s="367"/>
      <c r="G595" s="367"/>
      <c r="H595" s="367"/>
      <c r="I595" s="367"/>
      <c r="J595" s="367"/>
      <c r="K595" s="367"/>
      <c r="L595" s="367"/>
      <c r="M595" s="367"/>
      <c r="N595" s="367"/>
      <c r="O595" s="367"/>
      <c r="P595" s="367"/>
      <c r="Q595" s="367"/>
      <c r="R595" s="367"/>
      <c r="S595" s="367"/>
      <c r="T595" s="367"/>
      <c r="U595" s="367"/>
      <c r="V595" s="367"/>
      <c r="W595" s="367"/>
      <c r="X595" s="367"/>
      <c r="Y595" s="367"/>
      <c r="Z595" s="367"/>
      <c r="AA595" s="367"/>
      <c r="AB595" s="367"/>
      <c r="AC595" s="367"/>
      <c r="AD595" s="367"/>
      <c r="AE595" s="367"/>
      <c r="AF595" s="367"/>
    </row>
    <row r="596" ht="15.75" customHeight="1">
      <c r="A596" s="359"/>
      <c r="B596" s="361"/>
      <c r="C596" s="361"/>
      <c r="D596" s="361"/>
      <c r="E596" s="367"/>
      <c r="F596" s="367"/>
      <c r="G596" s="367"/>
      <c r="H596" s="367"/>
      <c r="I596" s="367"/>
      <c r="J596" s="367"/>
      <c r="K596" s="367"/>
      <c r="L596" s="367"/>
      <c r="M596" s="367"/>
      <c r="N596" s="367"/>
      <c r="O596" s="367"/>
      <c r="P596" s="367"/>
      <c r="Q596" s="367"/>
      <c r="R596" s="367"/>
      <c r="S596" s="367"/>
      <c r="T596" s="367"/>
      <c r="U596" s="367"/>
      <c r="V596" s="367"/>
      <c r="W596" s="367"/>
      <c r="X596" s="367"/>
      <c r="Y596" s="367"/>
      <c r="Z596" s="367"/>
      <c r="AA596" s="367"/>
      <c r="AB596" s="367"/>
      <c r="AC596" s="367"/>
      <c r="AD596" s="367"/>
      <c r="AE596" s="367"/>
      <c r="AF596" s="367"/>
    </row>
    <row r="597" ht="15.75" customHeight="1">
      <c r="A597" s="359"/>
      <c r="B597" s="361"/>
      <c r="C597" s="361"/>
      <c r="D597" s="361"/>
      <c r="E597" s="367"/>
      <c r="F597" s="367"/>
      <c r="G597" s="367"/>
      <c r="H597" s="367"/>
      <c r="I597" s="367"/>
      <c r="J597" s="367"/>
      <c r="K597" s="367"/>
      <c r="L597" s="367"/>
      <c r="M597" s="367"/>
      <c r="N597" s="367"/>
      <c r="O597" s="367"/>
      <c r="P597" s="367"/>
      <c r="Q597" s="367"/>
      <c r="R597" s="367"/>
      <c r="S597" s="367"/>
      <c r="T597" s="367"/>
      <c r="U597" s="367"/>
      <c r="V597" s="367"/>
      <c r="W597" s="367"/>
      <c r="X597" s="367"/>
      <c r="Y597" s="367"/>
      <c r="Z597" s="367"/>
      <c r="AA597" s="367"/>
      <c r="AB597" s="367"/>
      <c r="AC597" s="367"/>
      <c r="AD597" s="367"/>
      <c r="AE597" s="367"/>
      <c r="AF597" s="367"/>
    </row>
    <row r="598" ht="15.75" customHeight="1">
      <c r="A598" s="359"/>
      <c r="B598" s="361"/>
      <c r="C598" s="361"/>
      <c r="D598" s="361"/>
      <c r="E598" s="367"/>
      <c r="F598" s="367"/>
      <c r="G598" s="367"/>
      <c r="H598" s="367"/>
      <c r="I598" s="367"/>
      <c r="J598" s="367"/>
      <c r="K598" s="367"/>
      <c r="L598" s="367"/>
      <c r="M598" s="367"/>
      <c r="N598" s="367"/>
      <c r="O598" s="367"/>
      <c r="P598" s="367"/>
      <c r="Q598" s="367"/>
      <c r="R598" s="367"/>
      <c r="S598" s="367"/>
      <c r="T598" s="367"/>
      <c r="U598" s="367"/>
      <c r="V598" s="367"/>
      <c r="W598" s="367"/>
      <c r="X598" s="367"/>
      <c r="Y598" s="367"/>
      <c r="Z598" s="367"/>
      <c r="AA598" s="367"/>
      <c r="AB598" s="367"/>
      <c r="AC598" s="367"/>
      <c r="AD598" s="367"/>
      <c r="AE598" s="367"/>
      <c r="AF598" s="367"/>
    </row>
    <row r="599" ht="15.75" customHeight="1">
      <c r="A599" s="359"/>
      <c r="B599" s="361"/>
      <c r="C599" s="361"/>
      <c r="D599" s="361"/>
      <c r="E599" s="367"/>
      <c r="F599" s="367"/>
      <c r="G599" s="367"/>
      <c r="H599" s="367"/>
      <c r="I599" s="367"/>
      <c r="J599" s="367"/>
      <c r="K599" s="367"/>
      <c r="L599" s="367"/>
      <c r="M599" s="367"/>
      <c r="N599" s="367"/>
      <c r="O599" s="367"/>
      <c r="P599" s="367"/>
      <c r="Q599" s="367"/>
      <c r="R599" s="367"/>
      <c r="S599" s="367"/>
      <c r="T599" s="367"/>
      <c r="U599" s="367"/>
      <c r="V599" s="367"/>
      <c r="W599" s="367"/>
      <c r="X599" s="367"/>
      <c r="Y599" s="367"/>
      <c r="Z599" s="367"/>
      <c r="AA599" s="367"/>
      <c r="AB599" s="367"/>
      <c r="AC599" s="367"/>
      <c r="AD599" s="367"/>
      <c r="AE599" s="367"/>
      <c r="AF599" s="367"/>
    </row>
    <row r="600" ht="15.75" customHeight="1">
      <c r="A600" s="359"/>
      <c r="B600" s="361"/>
      <c r="C600" s="361"/>
      <c r="D600" s="361"/>
      <c r="E600" s="367"/>
      <c r="F600" s="367"/>
      <c r="G600" s="367"/>
      <c r="H600" s="367"/>
      <c r="I600" s="367"/>
      <c r="J600" s="367"/>
      <c r="K600" s="367"/>
      <c r="L600" s="367"/>
      <c r="M600" s="367"/>
      <c r="N600" s="367"/>
      <c r="O600" s="367"/>
      <c r="P600" s="367"/>
      <c r="Q600" s="367"/>
      <c r="R600" s="367"/>
      <c r="S600" s="367"/>
      <c r="T600" s="367"/>
      <c r="U600" s="367"/>
      <c r="V600" s="367"/>
      <c r="W600" s="367"/>
      <c r="X600" s="367"/>
      <c r="Y600" s="367"/>
      <c r="Z600" s="367"/>
      <c r="AA600" s="367"/>
      <c r="AB600" s="367"/>
      <c r="AC600" s="367"/>
      <c r="AD600" s="367"/>
      <c r="AE600" s="367"/>
      <c r="AF600" s="367"/>
    </row>
    <row r="601" ht="15.75" customHeight="1">
      <c r="A601" s="359"/>
      <c r="B601" s="361"/>
      <c r="C601" s="361"/>
      <c r="D601" s="361"/>
      <c r="E601" s="367"/>
      <c r="F601" s="367"/>
      <c r="G601" s="367"/>
      <c r="H601" s="367"/>
      <c r="I601" s="367"/>
      <c r="J601" s="367"/>
      <c r="K601" s="367"/>
      <c r="L601" s="367"/>
      <c r="M601" s="367"/>
      <c r="N601" s="367"/>
      <c r="O601" s="367"/>
      <c r="P601" s="367"/>
      <c r="Q601" s="367"/>
      <c r="R601" s="367"/>
      <c r="S601" s="367"/>
      <c r="T601" s="367"/>
      <c r="U601" s="367"/>
      <c r="V601" s="367"/>
      <c r="W601" s="367"/>
      <c r="X601" s="367"/>
      <c r="Y601" s="367"/>
      <c r="Z601" s="367"/>
      <c r="AA601" s="367"/>
      <c r="AB601" s="367"/>
      <c r="AC601" s="367"/>
      <c r="AD601" s="367"/>
      <c r="AE601" s="367"/>
      <c r="AF601" s="367"/>
    </row>
    <row r="602" ht="15.75" customHeight="1">
      <c r="A602" s="359"/>
      <c r="B602" s="361"/>
      <c r="C602" s="361"/>
      <c r="D602" s="361"/>
      <c r="E602" s="367"/>
      <c r="F602" s="367"/>
      <c r="G602" s="367"/>
      <c r="H602" s="367"/>
      <c r="I602" s="367"/>
      <c r="J602" s="367"/>
      <c r="K602" s="367"/>
      <c r="L602" s="367"/>
      <c r="M602" s="367"/>
      <c r="N602" s="367"/>
      <c r="O602" s="367"/>
      <c r="P602" s="367"/>
      <c r="Q602" s="367"/>
      <c r="R602" s="367"/>
      <c r="S602" s="367"/>
      <c r="T602" s="367"/>
      <c r="U602" s="367"/>
      <c r="V602" s="367"/>
      <c r="W602" s="367"/>
      <c r="X602" s="367"/>
      <c r="Y602" s="367"/>
      <c r="Z602" s="367"/>
      <c r="AA602" s="367"/>
      <c r="AB602" s="367"/>
      <c r="AC602" s="367"/>
      <c r="AD602" s="367"/>
      <c r="AE602" s="367"/>
      <c r="AF602" s="367"/>
    </row>
    <row r="603" ht="15.75" customHeight="1">
      <c r="A603" s="359"/>
      <c r="B603" s="361"/>
      <c r="C603" s="361"/>
      <c r="D603" s="361"/>
      <c r="E603" s="367"/>
      <c r="F603" s="367"/>
      <c r="G603" s="367"/>
      <c r="H603" s="367"/>
      <c r="I603" s="367"/>
      <c r="J603" s="367"/>
      <c r="K603" s="367"/>
      <c r="L603" s="367"/>
      <c r="M603" s="367"/>
      <c r="N603" s="367"/>
      <c r="O603" s="367"/>
      <c r="P603" s="367"/>
      <c r="Q603" s="367"/>
      <c r="R603" s="367"/>
      <c r="S603" s="367"/>
      <c r="T603" s="367"/>
      <c r="U603" s="367"/>
      <c r="V603" s="367"/>
      <c r="W603" s="367"/>
      <c r="X603" s="367"/>
      <c r="Y603" s="367"/>
      <c r="Z603" s="367"/>
      <c r="AA603" s="367"/>
      <c r="AB603" s="367"/>
      <c r="AC603" s="367"/>
      <c r="AD603" s="367"/>
      <c r="AE603" s="367"/>
      <c r="AF603" s="367"/>
    </row>
    <row r="604" ht="15.75" customHeight="1">
      <c r="A604" s="359"/>
      <c r="B604" s="361"/>
      <c r="C604" s="361"/>
      <c r="D604" s="361"/>
      <c r="E604" s="367"/>
      <c r="F604" s="367"/>
      <c r="G604" s="367"/>
      <c r="H604" s="367"/>
      <c r="I604" s="367"/>
      <c r="J604" s="367"/>
      <c r="K604" s="367"/>
      <c r="L604" s="367"/>
      <c r="M604" s="367"/>
      <c r="N604" s="367"/>
      <c r="O604" s="367"/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  <c r="Z604" s="367"/>
      <c r="AA604" s="367"/>
      <c r="AB604" s="367"/>
      <c r="AC604" s="367"/>
      <c r="AD604" s="367"/>
      <c r="AE604" s="367"/>
      <c r="AF604" s="367"/>
    </row>
    <row r="605" ht="15.75" customHeight="1">
      <c r="A605" s="359"/>
      <c r="B605" s="361"/>
      <c r="C605" s="361"/>
      <c r="D605" s="361"/>
      <c r="E605" s="367"/>
      <c r="F605" s="367"/>
      <c r="G605" s="367"/>
      <c r="H605" s="367"/>
      <c r="I605" s="367"/>
      <c r="J605" s="367"/>
      <c r="K605" s="367"/>
      <c r="L605" s="367"/>
      <c r="M605" s="367"/>
      <c r="N605" s="367"/>
      <c r="O605" s="367"/>
      <c r="P605" s="367"/>
      <c r="Q605" s="367"/>
      <c r="R605" s="367"/>
      <c r="S605" s="367"/>
      <c r="T605" s="367"/>
      <c r="U605" s="367"/>
      <c r="V605" s="367"/>
      <c r="W605" s="367"/>
      <c r="X605" s="367"/>
      <c r="Y605" s="367"/>
      <c r="Z605" s="367"/>
      <c r="AA605" s="367"/>
      <c r="AB605" s="367"/>
      <c r="AC605" s="367"/>
      <c r="AD605" s="367"/>
      <c r="AE605" s="367"/>
      <c r="AF605" s="367"/>
    </row>
    <row r="606" ht="15.75" customHeight="1">
      <c r="A606" s="359"/>
      <c r="B606" s="361"/>
      <c r="C606" s="361"/>
      <c r="D606" s="361"/>
      <c r="E606" s="367"/>
      <c r="F606" s="367"/>
      <c r="G606" s="367"/>
      <c r="H606" s="367"/>
      <c r="I606" s="367"/>
      <c r="J606" s="367"/>
      <c r="K606" s="367"/>
      <c r="L606" s="367"/>
      <c r="M606" s="367"/>
      <c r="N606" s="367"/>
      <c r="O606" s="367"/>
      <c r="P606" s="367"/>
      <c r="Q606" s="367"/>
      <c r="R606" s="367"/>
      <c r="S606" s="367"/>
      <c r="T606" s="367"/>
      <c r="U606" s="367"/>
      <c r="V606" s="367"/>
      <c r="W606" s="367"/>
      <c r="X606" s="367"/>
      <c r="Y606" s="367"/>
      <c r="Z606" s="367"/>
      <c r="AA606" s="367"/>
      <c r="AB606" s="367"/>
      <c r="AC606" s="367"/>
      <c r="AD606" s="367"/>
      <c r="AE606" s="367"/>
      <c r="AF606" s="367"/>
    </row>
    <row r="607" ht="15.75" customHeight="1">
      <c r="A607" s="359"/>
      <c r="B607" s="361"/>
      <c r="C607" s="361"/>
      <c r="D607" s="361"/>
      <c r="E607" s="367"/>
      <c r="F607" s="367"/>
      <c r="G607" s="367"/>
      <c r="H607" s="367"/>
      <c r="I607" s="367"/>
      <c r="J607" s="367"/>
      <c r="K607" s="367"/>
      <c r="L607" s="367"/>
      <c r="M607" s="367"/>
      <c r="N607" s="367"/>
      <c r="O607" s="367"/>
      <c r="P607" s="367"/>
      <c r="Q607" s="367"/>
      <c r="R607" s="367"/>
      <c r="S607" s="367"/>
      <c r="T607" s="367"/>
      <c r="U607" s="367"/>
      <c r="V607" s="367"/>
      <c r="W607" s="367"/>
      <c r="X607" s="367"/>
      <c r="Y607" s="367"/>
      <c r="Z607" s="367"/>
      <c r="AA607" s="367"/>
      <c r="AB607" s="367"/>
      <c r="AC607" s="367"/>
      <c r="AD607" s="367"/>
      <c r="AE607" s="367"/>
      <c r="AF607" s="367"/>
    </row>
    <row r="608" ht="15.75" customHeight="1">
      <c r="A608" s="359"/>
      <c r="B608" s="361"/>
      <c r="C608" s="361"/>
      <c r="D608" s="361"/>
      <c r="E608" s="367"/>
      <c r="F608" s="367"/>
      <c r="G608" s="367"/>
      <c r="H608" s="367"/>
      <c r="I608" s="367"/>
      <c r="J608" s="367"/>
      <c r="K608" s="367"/>
      <c r="L608" s="367"/>
      <c r="M608" s="367"/>
      <c r="N608" s="367"/>
      <c r="O608" s="367"/>
      <c r="P608" s="367"/>
      <c r="Q608" s="367"/>
      <c r="R608" s="367"/>
      <c r="S608" s="367"/>
      <c r="T608" s="367"/>
      <c r="U608" s="367"/>
      <c r="V608" s="367"/>
      <c r="W608" s="367"/>
      <c r="X608" s="367"/>
      <c r="Y608" s="367"/>
      <c r="Z608" s="367"/>
      <c r="AA608" s="367"/>
      <c r="AB608" s="367"/>
      <c r="AC608" s="367"/>
      <c r="AD608" s="367"/>
      <c r="AE608" s="367"/>
      <c r="AF608" s="367"/>
    </row>
    <row r="609" ht="15.75" customHeight="1">
      <c r="A609" s="359"/>
      <c r="B609" s="361"/>
      <c r="C609" s="361"/>
      <c r="D609" s="361"/>
      <c r="E609" s="367"/>
      <c r="F609" s="367"/>
      <c r="G609" s="367"/>
      <c r="H609" s="367"/>
      <c r="I609" s="367"/>
      <c r="J609" s="367"/>
      <c r="K609" s="367"/>
      <c r="L609" s="367"/>
      <c r="M609" s="367"/>
      <c r="N609" s="367"/>
      <c r="O609" s="367"/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  <c r="Z609" s="367"/>
      <c r="AA609" s="367"/>
      <c r="AB609" s="367"/>
      <c r="AC609" s="367"/>
      <c r="AD609" s="367"/>
      <c r="AE609" s="367"/>
      <c r="AF609" s="367"/>
    </row>
    <row r="610" ht="15.75" customHeight="1">
      <c r="A610" s="359"/>
      <c r="B610" s="361"/>
      <c r="C610" s="361"/>
      <c r="D610" s="361"/>
      <c r="E610" s="367"/>
      <c r="F610" s="367"/>
      <c r="G610" s="367"/>
      <c r="H610" s="367"/>
      <c r="I610" s="367"/>
      <c r="J610" s="367"/>
      <c r="K610" s="367"/>
      <c r="L610" s="367"/>
      <c r="M610" s="367"/>
      <c r="N610" s="367"/>
      <c r="O610" s="367"/>
      <c r="P610" s="367"/>
      <c r="Q610" s="367"/>
      <c r="R610" s="367"/>
      <c r="S610" s="367"/>
      <c r="T610" s="367"/>
      <c r="U610" s="367"/>
      <c r="V610" s="367"/>
      <c r="W610" s="367"/>
      <c r="X610" s="367"/>
      <c r="Y610" s="367"/>
      <c r="Z610" s="367"/>
      <c r="AA610" s="367"/>
      <c r="AB610" s="367"/>
      <c r="AC610" s="367"/>
      <c r="AD610" s="367"/>
      <c r="AE610" s="367"/>
      <c r="AF610" s="367"/>
    </row>
    <row r="611" ht="15.75" customHeight="1">
      <c r="A611" s="359"/>
      <c r="B611" s="361"/>
      <c r="C611" s="361"/>
      <c r="D611" s="361"/>
      <c r="E611" s="367"/>
      <c r="F611" s="367"/>
      <c r="G611" s="367"/>
      <c r="H611" s="367"/>
      <c r="I611" s="367"/>
      <c r="J611" s="367"/>
      <c r="K611" s="367"/>
      <c r="L611" s="367"/>
      <c r="M611" s="367"/>
      <c r="N611" s="367"/>
      <c r="O611" s="367"/>
      <c r="P611" s="367"/>
      <c r="Q611" s="367"/>
      <c r="R611" s="367"/>
      <c r="S611" s="367"/>
      <c r="T611" s="367"/>
      <c r="U611" s="367"/>
      <c r="V611" s="367"/>
      <c r="W611" s="367"/>
      <c r="X611" s="367"/>
      <c r="Y611" s="367"/>
      <c r="Z611" s="367"/>
      <c r="AA611" s="367"/>
      <c r="AB611" s="367"/>
      <c r="AC611" s="367"/>
      <c r="AD611" s="367"/>
      <c r="AE611" s="367"/>
      <c r="AF611" s="367"/>
    </row>
    <row r="612" ht="15.75" customHeight="1">
      <c r="A612" s="359"/>
      <c r="B612" s="361"/>
      <c r="C612" s="361"/>
      <c r="D612" s="361"/>
      <c r="E612" s="367"/>
      <c r="F612" s="367"/>
      <c r="G612" s="367"/>
      <c r="H612" s="367"/>
      <c r="I612" s="367"/>
      <c r="J612" s="367"/>
      <c r="K612" s="367"/>
      <c r="L612" s="367"/>
      <c r="M612" s="367"/>
      <c r="N612" s="367"/>
      <c r="O612" s="367"/>
      <c r="P612" s="367"/>
      <c r="Q612" s="367"/>
      <c r="R612" s="367"/>
      <c r="S612" s="367"/>
      <c r="T612" s="367"/>
      <c r="U612" s="367"/>
      <c r="V612" s="367"/>
      <c r="W612" s="367"/>
      <c r="X612" s="367"/>
      <c r="Y612" s="367"/>
      <c r="Z612" s="367"/>
      <c r="AA612" s="367"/>
      <c r="AB612" s="367"/>
      <c r="AC612" s="367"/>
      <c r="AD612" s="367"/>
      <c r="AE612" s="367"/>
      <c r="AF612" s="367"/>
    </row>
    <row r="613" ht="15.75" customHeight="1">
      <c r="A613" s="359"/>
      <c r="B613" s="361"/>
      <c r="C613" s="361"/>
      <c r="D613" s="361"/>
      <c r="E613" s="367"/>
      <c r="F613" s="367"/>
      <c r="G613" s="367"/>
      <c r="H613" s="367"/>
      <c r="I613" s="367"/>
      <c r="J613" s="367"/>
      <c r="K613" s="367"/>
      <c r="L613" s="367"/>
      <c r="M613" s="367"/>
      <c r="N613" s="367"/>
      <c r="O613" s="367"/>
      <c r="P613" s="367"/>
      <c r="Q613" s="367"/>
      <c r="R613" s="367"/>
      <c r="S613" s="367"/>
      <c r="T613" s="367"/>
      <c r="U613" s="367"/>
      <c r="V613" s="367"/>
      <c r="W613" s="367"/>
      <c r="X613" s="367"/>
      <c r="Y613" s="367"/>
      <c r="Z613" s="367"/>
      <c r="AA613" s="367"/>
      <c r="AB613" s="367"/>
      <c r="AC613" s="367"/>
      <c r="AD613" s="367"/>
      <c r="AE613" s="367"/>
      <c r="AF613" s="367"/>
    </row>
    <row r="614" ht="15.75" customHeight="1">
      <c r="A614" s="359"/>
      <c r="B614" s="361"/>
      <c r="C614" s="361"/>
      <c r="D614" s="361"/>
      <c r="E614" s="367"/>
      <c r="F614" s="367"/>
      <c r="G614" s="367"/>
      <c r="H614" s="367"/>
      <c r="I614" s="367"/>
      <c r="J614" s="367"/>
      <c r="K614" s="367"/>
      <c r="L614" s="367"/>
      <c r="M614" s="367"/>
      <c r="N614" s="367"/>
      <c r="O614" s="367"/>
      <c r="P614" s="367"/>
      <c r="Q614" s="367"/>
      <c r="R614" s="367"/>
      <c r="S614" s="367"/>
      <c r="T614" s="367"/>
      <c r="U614" s="367"/>
      <c r="V614" s="367"/>
      <c r="W614" s="367"/>
      <c r="X614" s="367"/>
      <c r="Y614" s="367"/>
      <c r="Z614" s="367"/>
      <c r="AA614" s="367"/>
      <c r="AB614" s="367"/>
      <c r="AC614" s="367"/>
      <c r="AD614" s="367"/>
      <c r="AE614" s="367"/>
      <c r="AF614" s="367"/>
    </row>
    <row r="615" ht="15.75" customHeight="1">
      <c r="A615" s="359"/>
      <c r="B615" s="361"/>
      <c r="C615" s="361"/>
      <c r="D615" s="361"/>
      <c r="E615" s="367"/>
      <c r="F615" s="367"/>
      <c r="G615" s="367"/>
      <c r="H615" s="367"/>
      <c r="I615" s="367"/>
      <c r="J615" s="367"/>
      <c r="K615" s="367"/>
      <c r="L615" s="367"/>
      <c r="M615" s="367"/>
      <c r="N615" s="367"/>
      <c r="O615" s="367"/>
      <c r="P615" s="367"/>
      <c r="Q615" s="367"/>
      <c r="R615" s="367"/>
      <c r="S615" s="367"/>
      <c r="T615" s="367"/>
      <c r="U615" s="367"/>
      <c r="V615" s="367"/>
      <c r="W615" s="367"/>
      <c r="X615" s="367"/>
      <c r="Y615" s="367"/>
      <c r="Z615" s="367"/>
      <c r="AA615" s="367"/>
      <c r="AB615" s="367"/>
      <c r="AC615" s="367"/>
      <c r="AD615" s="367"/>
      <c r="AE615" s="367"/>
      <c r="AF615" s="367"/>
    </row>
    <row r="616" ht="15.75" customHeight="1">
      <c r="A616" s="359"/>
      <c r="B616" s="361"/>
      <c r="C616" s="361"/>
      <c r="D616" s="361"/>
      <c r="E616" s="367"/>
      <c r="F616" s="367"/>
      <c r="G616" s="367"/>
      <c r="H616" s="367"/>
      <c r="I616" s="367"/>
      <c r="J616" s="367"/>
      <c r="K616" s="367"/>
      <c r="L616" s="367"/>
      <c r="M616" s="367"/>
      <c r="N616" s="367"/>
      <c r="O616" s="367"/>
      <c r="P616" s="367"/>
      <c r="Q616" s="367"/>
      <c r="R616" s="367"/>
      <c r="S616" s="367"/>
      <c r="T616" s="367"/>
      <c r="U616" s="367"/>
      <c r="V616" s="367"/>
      <c r="W616" s="367"/>
      <c r="X616" s="367"/>
      <c r="Y616" s="367"/>
      <c r="Z616" s="367"/>
      <c r="AA616" s="367"/>
      <c r="AB616" s="367"/>
      <c r="AC616" s="367"/>
      <c r="AD616" s="367"/>
      <c r="AE616" s="367"/>
      <c r="AF616" s="367"/>
    </row>
    <row r="617" ht="15.75" customHeight="1">
      <c r="A617" s="359"/>
      <c r="B617" s="361"/>
      <c r="C617" s="361"/>
      <c r="D617" s="361"/>
      <c r="E617" s="367"/>
      <c r="F617" s="367"/>
      <c r="G617" s="367"/>
      <c r="H617" s="367"/>
      <c r="I617" s="367"/>
      <c r="J617" s="367"/>
      <c r="K617" s="367"/>
      <c r="L617" s="367"/>
      <c r="M617" s="367"/>
      <c r="N617" s="367"/>
      <c r="O617" s="367"/>
      <c r="P617" s="367"/>
      <c r="Q617" s="367"/>
      <c r="R617" s="367"/>
      <c r="S617" s="367"/>
      <c r="T617" s="367"/>
      <c r="U617" s="367"/>
      <c r="V617" s="367"/>
      <c r="W617" s="367"/>
      <c r="X617" s="367"/>
      <c r="Y617" s="367"/>
      <c r="Z617" s="367"/>
      <c r="AA617" s="367"/>
      <c r="AB617" s="367"/>
      <c r="AC617" s="367"/>
      <c r="AD617" s="367"/>
      <c r="AE617" s="367"/>
      <c r="AF617" s="367"/>
    </row>
    <row r="618" ht="15.75" customHeight="1">
      <c r="A618" s="359"/>
      <c r="B618" s="361"/>
      <c r="C618" s="361"/>
      <c r="D618" s="361"/>
      <c r="E618" s="367"/>
      <c r="F618" s="367"/>
      <c r="G618" s="367"/>
      <c r="H618" s="367"/>
      <c r="I618" s="367"/>
      <c r="J618" s="367"/>
      <c r="K618" s="367"/>
      <c r="L618" s="367"/>
      <c r="M618" s="367"/>
      <c r="N618" s="367"/>
      <c r="O618" s="367"/>
      <c r="P618" s="367"/>
      <c r="Q618" s="367"/>
      <c r="R618" s="367"/>
      <c r="S618" s="367"/>
      <c r="T618" s="367"/>
      <c r="U618" s="367"/>
      <c r="V618" s="367"/>
      <c r="W618" s="367"/>
      <c r="X618" s="367"/>
      <c r="Y618" s="367"/>
      <c r="Z618" s="367"/>
      <c r="AA618" s="367"/>
      <c r="AB618" s="367"/>
      <c r="AC618" s="367"/>
      <c r="AD618" s="367"/>
      <c r="AE618" s="367"/>
      <c r="AF618" s="367"/>
    </row>
    <row r="619" ht="15.75" customHeight="1">
      <c r="A619" s="359"/>
      <c r="B619" s="361"/>
      <c r="C619" s="361"/>
      <c r="D619" s="361"/>
      <c r="E619" s="367"/>
      <c r="F619" s="367"/>
      <c r="G619" s="367"/>
      <c r="H619" s="367"/>
      <c r="I619" s="367"/>
      <c r="J619" s="367"/>
      <c r="K619" s="367"/>
      <c r="L619" s="367"/>
      <c r="M619" s="367"/>
      <c r="N619" s="367"/>
      <c r="O619" s="367"/>
      <c r="P619" s="367"/>
      <c r="Q619" s="367"/>
      <c r="R619" s="367"/>
      <c r="S619" s="367"/>
      <c r="T619" s="367"/>
      <c r="U619" s="367"/>
      <c r="V619" s="367"/>
      <c r="W619" s="367"/>
      <c r="X619" s="367"/>
      <c r="Y619" s="367"/>
      <c r="Z619" s="367"/>
      <c r="AA619" s="367"/>
      <c r="AB619" s="367"/>
      <c r="AC619" s="367"/>
      <c r="AD619" s="367"/>
      <c r="AE619" s="367"/>
      <c r="AF619" s="367"/>
    </row>
    <row r="620" ht="15.75" customHeight="1">
      <c r="A620" s="359"/>
      <c r="B620" s="361"/>
      <c r="C620" s="361"/>
      <c r="D620" s="361"/>
      <c r="E620" s="367"/>
      <c r="F620" s="367"/>
      <c r="G620" s="367"/>
      <c r="H620" s="367"/>
      <c r="I620" s="367"/>
      <c r="J620" s="367"/>
      <c r="K620" s="367"/>
      <c r="L620" s="367"/>
      <c r="M620" s="367"/>
      <c r="N620" s="367"/>
      <c r="O620" s="367"/>
      <c r="P620" s="367"/>
      <c r="Q620" s="367"/>
      <c r="R620" s="367"/>
      <c r="S620" s="367"/>
      <c r="T620" s="367"/>
      <c r="U620" s="367"/>
      <c r="V620" s="367"/>
      <c r="W620" s="367"/>
      <c r="X620" s="367"/>
      <c r="Y620" s="367"/>
      <c r="Z620" s="367"/>
      <c r="AA620" s="367"/>
      <c r="AB620" s="367"/>
      <c r="AC620" s="367"/>
      <c r="AD620" s="367"/>
      <c r="AE620" s="367"/>
      <c r="AF620" s="367"/>
    </row>
    <row r="621" ht="15.75" customHeight="1">
      <c r="A621" s="359"/>
      <c r="B621" s="361"/>
      <c r="C621" s="361"/>
      <c r="D621" s="361"/>
      <c r="E621" s="367"/>
      <c r="F621" s="367"/>
      <c r="G621" s="367"/>
      <c r="H621" s="367"/>
      <c r="I621" s="367"/>
      <c r="J621" s="367"/>
      <c r="K621" s="367"/>
      <c r="L621" s="367"/>
      <c r="M621" s="367"/>
      <c r="N621" s="367"/>
      <c r="O621" s="367"/>
      <c r="P621" s="367"/>
      <c r="Q621" s="367"/>
      <c r="R621" s="367"/>
      <c r="S621" s="367"/>
      <c r="T621" s="367"/>
      <c r="U621" s="367"/>
      <c r="V621" s="367"/>
      <c r="W621" s="367"/>
      <c r="X621" s="367"/>
      <c r="Y621" s="367"/>
      <c r="Z621" s="367"/>
      <c r="AA621" s="367"/>
      <c r="AB621" s="367"/>
      <c r="AC621" s="367"/>
      <c r="AD621" s="367"/>
      <c r="AE621" s="367"/>
      <c r="AF621" s="367"/>
    </row>
    <row r="622" ht="15.75" customHeight="1">
      <c r="A622" s="359"/>
      <c r="B622" s="361"/>
      <c r="C622" s="361"/>
      <c r="D622" s="361"/>
      <c r="E622" s="367"/>
      <c r="F622" s="367"/>
      <c r="G622" s="367"/>
      <c r="H622" s="367"/>
      <c r="I622" s="367"/>
      <c r="J622" s="367"/>
      <c r="K622" s="367"/>
      <c r="L622" s="367"/>
      <c r="M622" s="367"/>
      <c r="N622" s="367"/>
      <c r="O622" s="367"/>
      <c r="P622" s="367"/>
      <c r="Q622" s="367"/>
      <c r="R622" s="367"/>
      <c r="S622" s="367"/>
      <c r="T622" s="367"/>
      <c r="U622" s="367"/>
      <c r="V622" s="367"/>
      <c r="W622" s="367"/>
      <c r="X622" s="367"/>
      <c r="Y622" s="367"/>
      <c r="Z622" s="367"/>
      <c r="AA622" s="367"/>
      <c r="AB622" s="367"/>
      <c r="AC622" s="367"/>
      <c r="AD622" s="367"/>
      <c r="AE622" s="367"/>
      <c r="AF622" s="367"/>
    </row>
    <row r="623" ht="15.75" customHeight="1">
      <c r="A623" s="359"/>
      <c r="B623" s="361"/>
      <c r="C623" s="361"/>
      <c r="D623" s="361"/>
      <c r="E623" s="367"/>
      <c r="F623" s="367"/>
      <c r="G623" s="367"/>
      <c r="H623" s="367"/>
      <c r="I623" s="367"/>
      <c r="J623" s="367"/>
      <c r="K623" s="367"/>
      <c r="L623" s="367"/>
      <c r="M623" s="367"/>
      <c r="N623" s="367"/>
      <c r="O623" s="367"/>
      <c r="P623" s="367"/>
      <c r="Q623" s="367"/>
      <c r="R623" s="367"/>
      <c r="S623" s="367"/>
      <c r="T623" s="367"/>
      <c r="U623" s="367"/>
      <c r="V623" s="367"/>
      <c r="W623" s="367"/>
      <c r="X623" s="367"/>
      <c r="Y623" s="367"/>
      <c r="Z623" s="367"/>
      <c r="AA623" s="367"/>
      <c r="AB623" s="367"/>
      <c r="AC623" s="367"/>
      <c r="AD623" s="367"/>
      <c r="AE623" s="367"/>
      <c r="AF623" s="367"/>
    </row>
    <row r="624" ht="15.75" customHeight="1">
      <c r="A624" s="359"/>
      <c r="B624" s="361"/>
      <c r="C624" s="361"/>
      <c r="D624" s="361"/>
      <c r="E624" s="367"/>
      <c r="F624" s="367"/>
      <c r="G624" s="367"/>
      <c r="H624" s="367"/>
      <c r="I624" s="367"/>
      <c r="J624" s="367"/>
      <c r="K624" s="367"/>
      <c r="L624" s="367"/>
      <c r="M624" s="367"/>
      <c r="N624" s="367"/>
      <c r="O624" s="367"/>
      <c r="P624" s="367"/>
      <c r="Q624" s="367"/>
      <c r="R624" s="367"/>
      <c r="S624" s="367"/>
      <c r="T624" s="367"/>
      <c r="U624" s="367"/>
      <c r="V624" s="367"/>
      <c r="W624" s="367"/>
      <c r="X624" s="367"/>
      <c r="Y624" s="367"/>
      <c r="Z624" s="367"/>
      <c r="AA624" s="367"/>
      <c r="AB624" s="367"/>
      <c r="AC624" s="367"/>
      <c r="AD624" s="367"/>
      <c r="AE624" s="367"/>
      <c r="AF624" s="367"/>
    </row>
    <row r="625" ht="15.75" customHeight="1">
      <c r="A625" s="359"/>
      <c r="B625" s="361"/>
      <c r="C625" s="361"/>
      <c r="D625" s="361"/>
      <c r="E625" s="367"/>
      <c r="F625" s="367"/>
      <c r="G625" s="367"/>
      <c r="H625" s="367"/>
      <c r="I625" s="367"/>
      <c r="J625" s="367"/>
      <c r="K625" s="367"/>
      <c r="L625" s="367"/>
      <c r="M625" s="367"/>
      <c r="N625" s="367"/>
      <c r="O625" s="367"/>
      <c r="P625" s="367"/>
      <c r="Q625" s="367"/>
      <c r="R625" s="367"/>
      <c r="S625" s="367"/>
      <c r="T625" s="367"/>
      <c r="U625" s="367"/>
      <c r="V625" s="367"/>
      <c r="W625" s="367"/>
      <c r="X625" s="367"/>
      <c r="Y625" s="367"/>
      <c r="Z625" s="367"/>
      <c r="AA625" s="367"/>
      <c r="AB625" s="367"/>
      <c r="AC625" s="367"/>
      <c r="AD625" s="367"/>
      <c r="AE625" s="367"/>
      <c r="AF625" s="367"/>
    </row>
    <row r="626" ht="15.75" customHeight="1">
      <c r="A626" s="359"/>
      <c r="B626" s="361"/>
      <c r="C626" s="361"/>
      <c r="D626" s="361"/>
      <c r="E626" s="367"/>
      <c r="F626" s="367"/>
      <c r="G626" s="367"/>
      <c r="H626" s="367"/>
      <c r="I626" s="367"/>
      <c r="J626" s="367"/>
      <c r="K626" s="367"/>
      <c r="L626" s="367"/>
      <c r="M626" s="367"/>
      <c r="N626" s="367"/>
      <c r="O626" s="367"/>
      <c r="P626" s="367"/>
      <c r="Q626" s="367"/>
      <c r="R626" s="367"/>
      <c r="S626" s="367"/>
      <c r="T626" s="367"/>
      <c r="U626" s="367"/>
      <c r="V626" s="367"/>
      <c r="W626" s="367"/>
      <c r="X626" s="367"/>
      <c r="Y626" s="367"/>
      <c r="Z626" s="367"/>
      <c r="AA626" s="367"/>
      <c r="AB626" s="367"/>
      <c r="AC626" s="367"/>
      <c r="AD626" s="367"/>
      <c r="AE626" s="367"/>
      <c r="AF626" s="367"/>
    </row>
    <row r="627" ht="15.75" customHeight="1">
      <c r="A627" s="359"/>
      <c r="B627" s="361"/>
      <c r="C627" s="361"/>
      <c r="D627" s="361"/>
      <c r="E627" s="367"/>
      <c r="F627" s="367"/>
      <c r="G627" s="367"/>
      <c r="H627" s="367"/>
      <c r="I627" s="367"/>
      <c r="J627" s="367"/>
      <c r="K627" s="367"/>
      <c r="L627" s="367"/>
      <c r="M627" s="367"/>
      <c r="N627" s="367"/>
      <c r="O627" s="367"/>
      <c r="P627" s="367"/>
      <c r="Q627" s="367"/>
      <c r="R627" s="367"/>
      <c r="S627" s="367"/>
      <c r="T627" s="367"/>
      <c r="U627" s="367"/>
      <c r="V627" s="367"/>
      <c r="W627" s="367"/>
      <c r="X627" s="367"/>
      <c r="Y627" s="367"/>
      <c r="Z627" s="367"/>
      <c r="AA627" s="367"/>
      <c r="AB627" s="367"/>
      <c r="AC627" s="367"/>
      <c r="AD627" s="367"/>
      <c r="AE627" s="367"/>
      <c r="AF627" s="367"/>
    </row>
    <row r="628" ht="15.75" customHeight="1">
      <c r="A628" s="359"/>
      <c r="B628" s="361"/>
      <c r="C628" s="361"/>
      <c r="D628" s="361"/>
      <c r="E628" s="367"/>
      <c r="F628" s="367"/>
      <c r="G628" s="367"/>
      <c r="H628" s="367"/>
      <c r="I628" s="367"/>
      <c r="J628" s="367"/>
      <c r="K628" s="367"/>
      <c r="L628" s="367"/>
      <c r="M628" s="367"/>
      <c r="N628" s="367"/>
      <c r="O628" s="367"/>
      <c r="P628" s="367"/>
      <c r="Q628" s="367"/>
      <c r="R628" s="367"/>
      <c r="S628" s="367"/>
      <c r="T628" s="367"/>
      <c r="U628" s="367"/>
      <c r="V628" s="367"/>
      <c r="W628" s="367"/>
      <c r="X628" s="367"/>
      <c r="Y628" s="367"/>
      <c r="Z628" s="367"/>
      <c r="AA628" s="367"/>
      <c r="AB628" s="367"/>
      <c r="AC628" s="367"/>
      <c r="AD628" s="367"/>
      <c r="AE628" s="367"/>
      <c r="AF628" s="367"/>
    </row>
    <row r="629" ht="15.75" customHeight="1">
      <c r="A629" s="359"/>
      <c r="B629" s="361"/>
      <c r="C629" s="361"/>
      <c r="D629" s="361"/>
      <c r="E629" s="367"/>
      <c r="F629" s="367"/>
      <c r="G629" s="367"/>
      <c r="H629" s="367"/>
      <c r="I629" s="367"/>
      <c r="J629" s="367"/>
      <c r="K629" s="367"/>
      <c r="L629" s="367"/>
      <c r="M629" s="367"/>
      <c r="N629" s="367"/>
      <c r="O629" s="367"/>
      <c r="P629" s="367"/>
      <c r="Q629" s="367"/>
      <c r="R629" s="367"/>
      <c r="S629" s="367"/>
      <c r="T629" s="367"/>
      <c r="U629" s="367"/>
      <c r="V629" s="367"/>
      <c r="W629" s="367"/>
      <c r="X629" s="367"/>
      <c r="Y629" s="367"/>
      <c r="Z629" s="367"/>
      <c r="AA629" s="367"/>
      <c r="AB629" s="367"/>
      <c r="AC629" s="367"/>
      <c r="AD629" s="367"/>
      <c r="AE629" s="367"/>
      <c r="AF629" s="367"/>
    </row>
    <row r="630" ht="15.75" customHeight="1">
      <c r="A630" s="359"/>
      <c r="B630" s="361"/>
      <c r="C630" s="361"/>
      <c r="D630" s="361"/>
      <c r="E630" s="367"/>
      <c r="F630" s="367"/>
      <c r="G630" s="367"/>
      <c r="H630" s="367"/>
      <c r="I630" s="367"/>
      <c r="J630" s="367"/>
      <c r="K630" s="367"/>
      <c r="L630" s="367"/>
      <c r="M630" s="367"/>
      <c r="N630" s="367"/>
      <c r="O630" s="367"/>
      <c r="P630" s="367"/>
      <c r="Q630" s="367"/>
      <c r="R630" s="367"/>
      <c r="S630" s="367"/>
      <c r="T630" s="367"/>
      <c r="U630" s="367"/>
      <c r="V630" s="367"/>
      <c r="W630" s="367"/>
      <c r="X630" s="367"/>
      <c r="Y630" s="367"/>
      <c r="Z630" s="367"/>
      <c r="AA630" s="367"/>
      <c r="AB630" s="367"/>
      <c r="AC630" s="367"/>
      <c r="AD630" s="367"/>
      <c r="AE630" s="367"/>
      <c r="AF630" s="367"/>
    </row>
    <row r="631" ht="15.75" customHeight="1">
      <c r="A631" s="359"/>
      <c r="B631" s="361"/>
      <c r="C631" s="361"/>
      <c r="D631" s="361"/>
      <c r="E631" s="367"/>
      <c r="F631" s="367"/>
      <c r="G631" s="367"/>
      <c r="H631" s="367"/>
      <c r="I631" s="367"/>
      <c r="J631" s="367"/>
      <c r="K631" s="367"/>
      <c r="L631" s="367"/>
      <c r="M631" s="367"/>
      <c r="N631" s="367"/>
      <c r="O631" s="367"/>
      <c r="P631" s="367"/>
      <c r="Q631" s="367"/>
      <c r="R631" s="367"/>
      <c r="S631" s="367"/>
      <c r="T631" s="367"/>
      <c r="U631" s="367"/>
      <c r="V631" s="367"/>
      <c r="W631" s="367"/>
      <c r="X631" s="367"/>
      <c r="Y631" s="367"/>
      <c r="Z631" s="367"/>
      <c r="AA631" s="367"/>
      <c r="AB631" s="367"/>
      <c r="AC631" s="367"/>
      <c r="AD631" s="367"/>
      <c r="AE631" s="367"/>
      <c r="AF631" s="367"/>
    </row>
    <row r="632" ht="15.75" customHeight="1">
      <c r="A632" s="359"/>
      <c r="B632" s="361"/>
      <c r="C632" s="361"/>
      <c r="D632" s="361"/>
      <c r="E632" s="367"/>
      <c r="F632" s="367"/>
      <c r="G632" s="367"/>
      <c r="H632" s="367"/>
      <c r="I632" s="367"/>
      <c r="J632" s="367"/>
      <c r="K632" s="367"/>
      <c r="L632" s="367"/>
      <c r="M632" s="367"/>
      <c r="N632" s="367"/>
      <c r="O632" s="367"/>
      <c r="P632" s="367"/>
      <c r="Q632" s="367"/>
      <c r="R632" s="367"/>
      <c r="S632" s="367"/>
      <c r="T632" s="367"/>
      <c r="U632" s="367"/>
      <c r="V632" s="367"/>
      <c r="W632" s="367"/>
      <c r="X632" s="367"/>
      <c r="Y632" s="367"/>
      <c r="Z632" s="367"/>
      <c r="AA632" s="367"/>
      <c r="AB632" s="367"/>
      <c r="AC632" s="367"/>
      <c r="AD632" s="367"/>
      <c r="AE632" s="367"/>
      <c r="AF632" s="367"/>
    </row>
    <row r="633" ht="15.75" customHeight="1">
      <c r="A633" s="359"/>
      <c r="B633" s="361"/>
      <c r="C633" s="361"/>
      <c r="D633" s="361"/>
      <c r="E633" s="367"/>
      <c r="F633" s="367"/>
      <c r="G633" s="367"/>
      <c r="H633" s="367"/>
      <c r="I633" s="367"/>
      <c r="J633" s="367"/>
      <c r="K633" s="367"/>
      <c r="L633" s="367"/>
      <c r="M633" s="367"/>
      <c r="N633" s="367"/>
      <c r="O633" s="367"/>
      <c r="P633" s="367"/>
      <c r="Q633" s="367"/>
      <c r="R633" s="367"/>
      <c r="S633" s="367"/>
      <c r="T633" s="367"/>
      <c r="U633" s="367"/>
      <c r="V633" s="367"/>
      <c r="W633" s="367"/>
      <c r="X633" s="367"/>
      <c r="Y633" s="367"/>
      <c r="Z633" s="367"/>
      <c r="AA633" s="367"/>
      <c r="AB633" s="367"/>
      <c r="AC633" s="367"/>
      <c r="AD633" s="367"/>
      <c r="AE633" s="367"/>
      <c r="AF633" s="367"/>
    </row>
    <row r="634" ht="15.75" customHeight="1">
      <c r="A634" s="359"/>
      <c r="B634" s="361"/>
      <c r="C634" s="361"/>
      <c r="D634" s="361"/>
      <c r="E634" s="367"/>
      <c r="F634" s="367"/>
      <c r="G634" s="367"/>
      <c r="H634" s="367"/>
      <c r="I634" s="367"/>
      <c r="J634" s="367"/>
      <c r="K634" s="367"/>
      <c r="L634" s="367"/>
      <c r="M634" s="367"/>
      <c r="N634" s="367"/>
      <c r="O634" s="367"/>
      <c r="P634" s="367"/>
      <c r="Q634" s="367"/>
      <c r="R634" s="367"/>
      <c r="S634" s="367"/>
      <c r="T634" s="367"/>
      <c r="U634" s="367"/>
      <c r="V634" s="367"/>
      <c r="W634" s="367"/>
      <c r="X634" s="367"/>
      <c r="Y634" s="367"/>
      <c r="Z634" s="367"/>
      <c r="AA634" s="367"/>
      <c r="AB634" s="367"/>
      <c r="AC634" s="367"/>
      <c r="AD634" s="367"/>
      <c r="AE634" s="367"/>
      <c r="AF634" s="367"/>
    </row>
    <row r="635" ht="15.75" customHeight="1">
      <c r="A635" s="359"/>
      <c r="B635" s="361"/>
      <c r="C635" s="361"/>
      <c r="D635" s="361"/>
      <c r="E635" s="367"/>
      <c r="F635" s="367"/>
      <c r="G635" s="367"/>
      <c r="H635" s="367"/>
      <c r="I635" s="367"/>
      <c r="J635" s="367"/>
      <c r="K635" s="367"/>
      <c r="L635" s="367"/>
      <c r="M635" s="367"/>
      <c r="N635" s="367"/>
      <c r="O635" s="367"/>
      <c r="P635" s="367"/>
      <c r="Q635" s="367"/>
      <c r="R635" s="367"/>
      <c r="S635" s="367"/>
      <c r="T635" s="367"/>
      <c r="U635" s="367"/>
      <c r="V635" s="367"/>
      <c r="W635" s="367"/>
      <c r="X635" s="367"/>
      <c r="Y635" s="367"/>
      <c r="Z635" s="367"/>
      <c r="AA635" s="367"/>
      <c r="AB635" s="367"/>
      <c r="AC635" s="367"/>
      <c r="AD635" s="367"/>
      <c r="AE635" s="367"/>
      <c r="AF635" s="367"/>
    </row>
    <row r="636" ht="15.75" customHeight="1">
      <c r="A636" s="359"/>
      <c r="B636" s="361"/>
      <c r="C636" s="361"/>
      <c r="D636" s="361"/>
      <c r="E636" s="367"/>
      <c r="F636" s="367"/>
      <c r="G636" s="367"/>
      <c r="H636" s="367"/>
      <c r="I636" s="367"/>
      <c r="J636" s="367"/>
      <c r="K636" s="367"/>
      <c r="L636" s="367"/>
      <c r="M636" s="367"/>
      <c r="N636" s="367"/>
      <c r="O636" s="367"/>
      <c r="P636" s="367"/>
      <c r="Q636" s="367"/>
      <c r="R636" s="367"/>
      <c r="S636" s="367"/>
      <c r="T636" s="367"/>
      <c r="U636" s="367"/>
      <c r="V636" s="367"/>
      <c r="W636" s="367"/>
      <c r="X636" s="367"/>
      <c r="Y636" s="367"/>
      <c r="Z636" s="367"/>
      <c r="AA636" s="367"/>
      <c r="AB636" s="367"/>
      <c r="AC636" s="367"/>
      <c r="AD636" s="367"/>
      <c r="AE636" s="367"/>
      <c r="AF636" s="367"/>
    </row>
    <row r="637" ht="15.75" customHeight="1">
      <c r="A637" s="359"/>
      <c r="B637" s="361"/>
      <c r="C637" s="361"/>
      <c r="D637" s="361"/>
      <c r="E637" s="367"/>
      <c r="F637" s="367"/>
      <c r="G637" s="367"/>
      <c r="H637" s="367"/>
      <c r="I637" s="367"/>
      <c r="J637" s="367"/>
      <c r="K637" s="367"/>
      <c r="L637" s="367"/>
      <c r="M637" s="367"/>
      <c r="N637" s="367"/>
      <c r="O637" s="367"/>
      <c r="P637" s="367"/>
      <c r="Q637" s="367"/>
      <c r="R637" s="367"/>
      <c r="S637" s="367"/>
      <c r="T637" s="367"/>
      <c r="U637" s="367"/>
      <c r="V637" s="367"/>
      <c r="W637" s="367"/>
      <c r="X637" s="367"/>
      <c r="Y637" s="367"/>
      <c r="Z637" s="367"/>
      <c r="AA637" s="367"/>
      <c r="AB637" s="367"/>
      <c r="AC637" s="367"/>
      <c r="AD637" s="367"/>
      <c r="AE637" s="367"/>
      <c r="AF637" s="367"/>
    </row>
    <row r="638" ht="15.75" customHeight="1">
      <c r="A638" s="359"/>
      <c r="B638" s="361"/>
      <c r="C638" s="361"/>
      <c r="D638" s="361"/>
      <c r="E638" s="367"/>
      <c r="F638" s="367"/>
      <c r="G638" s="367"/>
      <c r="H638" s="367"/>
      <c r="I638" s="367"/>
      <c r="J638" s="367"/>
      <c r="K638" s="367"/>
      <c r="L638" s="367"/>
      <c r="M638" s="367"/>
      <c r="N638" s="367"/>
      <c r="O638" s="367"/>
      <c r="P638" s="367"/>
      <c r="Q638" s="367"/>
      <c r="R638" s="367"/>
      <c r="S638" s="367"/>
      <c r="T638" s="367"/>
      <c r="U638" s="367"/>
      <c r="V638" s="367"/>
      <c r="W638" s="367"/>
      <c r="X638" s="367"/>
      <c r="Y638" s="367"/>
      <c r="Z638" s="367"/>
      <c r="AA638" s="367"/>
      <c r="AB638" s="367"/>
      <c r="AC638" s="367"/>
      <c r="AD638" s="367"/>
      <c r="AE638" s="367"/>
      <c r="AF638" s="367"/>
    </row>
    <row r="639" ht="15.75" customHeight="1">
      <c r="A639" s="359"/>
      <c r="B639" s="361"/>
      <c r="C639" s="361"/>
      <c r="D639" s="361"/>
      <c r="E639" s="367"/>
      <c r="F639" s="367"/>
      <c r="G639" s="367"/>
      <c r="H639" s="367"/>
      <c r="I639" s="367"/>
      <c r="J639" s="367"/>
      <c r="K639" s="367"/>
      <c r="L639" s="367"/>
      <c r="M639" s="367"/>
      <c r="N639" s="367"/>
      <c r="O639" s="367"/>
      <c r="P639" s="367"/>
      <c r="Q639" s="367"/>
      <c r="R639" s="367"/>
      <c r="S639" s="367"/>
      <c r="T639" s="367"/>
      <c r="U639" s="367"/>
      <c r="V639" s="367"/>
      <c r="W639" s="367"/>
      <c r="X639" s="367"/>
      <c r="Y639" s="367"/>
      <c r="Z639" s="367"/>
      <c r="AA639" s="367"/>
      <c r="AB639" s="367"/>
      <c r="AC639" s="367"/>
      <c r="AD639" s="367"/>
      <c r="AE639" s="367"/>
      <c r="AF639" s="367"/>
    </row>
    <row r="640" ht="15.75" customHeight="1">
      <c r="A640" s="359"/>
      <c r="B640" s="361"/>
      <c r="C640" s="361"/>
      <c r="D640" s="361"/>
      <c r="E640" s="367"/>
      <c r="F640" s="367"/>
      <c r="G640" s="367"/>
      <c r="H640" s="367"/>
      <c r="I640" s="367"/>
      <c r="J640" s="367"/>
      <c r="K640" s="367"/>
      <c r="L640" s="367"/>
      <c r="M640" s="367"/>
      <c r="N640" s="367"/>
      <c r="O640" s="367"/>
      <c r="P640" s="367"/>
      <c r="Q640" s="367"/>
      <c r="R640" s="367"/>
      <c r="S640" s="367"/>
      <c r="T640" s="367"/>
      <c r="U640" s="367"/>
      <c r="V640" s="367"/>
      <c r="W640" s="367"/>
      <c r="X640" s="367"/>
      <c r="Y640" s="367"/>
      <c r="Z640" s="367"/>
      <c r="AA640" s="367"/>
      <c r="AB640" s="367"/>
      <c r="AC640" s="367"/>
      <c r="AD640" s="367"/>
      <c r="AE640" s="367"/>
      <c r="AF640" s="367"/>
    </row>
    <row r="641" ht="15.75" customHeight="1">
      <c r="A641" s="359"/>
      <c r="B641" s="361"/>
      <c r="C641" s="361"/>
      <c r="D641" s="361"/>
      <c r="E641" s="367"/>
      <c r="F641" s="367"/>
      <c r="G641" s="367"/>
      <c r="H641" s="367"/>
      <c r="I641" s="367"/>
      <c r="J641" s="367"/>
      <c r="K641" s="367"/>
      <c r="L641" s="367"/>
      <c r="M641" s="367"/>
      <c r="N641" s="367"/>
      <c r="O641" s="367"/>
      <c r="P641" s="367"/>
      <c r="Q641" s="367"/>
      <c r="R641" s="367"/>
      <c r="S641" s="367"/>
      <c r="T641" s="367"/>
      <c r="U641" s="367"/>
      <c r="V641" s="367"/>
      <c r="W641" s="367"/>
      <c r="X641" s="367"/>
      <c r="Y641" s="367"/>
      <c r="Z641" s="367"/>
      <c r="AA641" s="367"/>
      <c r="AB641" s="367"/>
      <c r="AC641" s="367"/>
      <c r="AD641" s="367"/>
      <c r="AE641" s="367"/>
      <c r="AF641" s="367"/>
    </row>
    <row r="642" ht="15.75" customHeight="1">
      <c r="A642" s="359"/>
      <c r="B642" s="361"/>
      <c r="C642" s="361"/>
      <c r="D642" s="361"/>
      <c r="E642" s="367"/>
      <c r="F642" s="367"/>
      <c r="G642" s="367"/>
      <c r="H642" s="367"/>
      <c r="I642" s="367"/>
      <c r="J642" s="367"/>
      <c r="K642" s="367"/>
      <c r="L642" s="367"/>
      <c r="M642" s="367"/>
      <c r="N642" s="367"/>
      <c r="O642" s="367"/>
      <c r="P642" s="367"/>
      <c r="Q642" s="367"/>
      <c r="R642" s="367"/>
      <c r="S642" s="367"/>
      <c r="T642" s="367"/>
      <c r="U642" s="367"/>
      <c r="V642" s="367"/>
      <c r="W642" s="367"/>
      <c r="X642" s="367"/>
      <c r="Y642" s="367"/>
      <c r="Z642" s="367"/>
      <c r="AA642" s="367"/>
      <c r="AB642" s="367"/>
      <c r="AC642" s="367"/>
      <c r="AD642" s="367"/>
      <c r="AE642" s="367"/>
      <c r="AF642" s="367"/>
    </row>
    <row r="643" ht="15.75" customHeight="1">
      <c r="A643" s="359"/>
      <c r="B643" s="361"/>
      <c r="C643" s="361"/>
      <c r="D643" s="361"/>
      <c r="E643" s="367"/>
      <c r="F643" s="367"/>
      <c r="G643" s="367"/>
      <c r="H643" s="367"/>
      <c r="I643" s="367"/>
      <c r="J643" s="367"/>
      <c r="K643" s="367"/>
      <c r="L643" s="367"/>
      <c r="M643" s="367"/>
      <c r="N643" s="367"/>
      <c r="O643" s="367"/>
      <c r="P643" s="367"/>
      <c r="Q643" s="367"/>
      <c r="R643" s="367"/>
      <c r="S643" s="367"/>
      <c r="T643" s="367"/>
      <c r="U643" s="367"/>
      <c r="V643" s="367"/>
      <c r="W643" s="367"/>
      <c r="X643" s="367"/>
      <c r="Y643" s="367"/>
      <c r="Z643" s="367"/>
      <c r="AA643" s="367"/>
      <c r="AB643" s="367"/>
      <c r="AC643" s="367"/>
      <c r="AD643" s="367"/>
      <c r="AE643" s="367"/>
      <c r="AF643" s="367"/>
    </row>
    <row r="644" ht="15.75" customHeight="1">
      <c r="A644" s="359"/>
      <c r="B644" s="361"/>
      <c r="C644" s="361"/>
      <c r="D644" s="361"/>
      <c r="E644" s="367"/>
      <c r="F644" s="367"/>
      <c r="G644" s="367"/>
      <c r="H644" s="367"/>
      <c r="I644" s="367"/>
      <c r="J644" s="367"/>
      <c r="K644" s="367"/>
      <c r="L644" s="367"/>
      <c r="M644" s="367"/>
      <c r="N644" s="367"/>
      <c r="O644" s="367"/>
      <c r="P644" s="367"/>
      <c r="Q644" s="367"/>
      <c r="R644" s="367"/>
      <c r="S644" s="367"/>
      <c r="T644" s="367"/>
      <c r="U644" s="367"/>
      <c r="V644" s="367"/>
      <c r="W644" s="367"/>
      <c r="X644" s="367"/>
      <c r="Y644" s="367"/>
      <c r="Z644" s="367"/>
      <c r="AA644" s="367"/>
      <c r="AB644" s="367"/>
      <c r="AC644" s="367"/>
      <c r="AD644" s="367"/>
      <c r="AE644" s="367"/>
      <c r="AF644" s="367"/>
    </row>
    <row r="645" ht="15.75" customHeight="1">
      <c r="A645" s="359"/>
      <c r="B645" s="361"/>
      <c r="C645" s="361"/>
      <c r="D645" s="361"/>
      <c r="E645" s="367"/>
      <c r="F645" s="367"/>
      <c r="G645" s="367"/>
      <c r="H645" s="367"/>
      <c r="I645" s="367"/>
      <c r="J645" s="367"/>
      <c r="K645" s="367"/>
      <c r="L645" s="367"/>
      <c r="M645" s="367"/>
      <c r="N645" s="367"/>
      <c r="O645" s="367"/>
      <c r="P645" s="367"/>
      <c r="Q645" s="367"/>
      <c r="R645" s="367"/>
      <c r="S645" s="367"/>
      <c r="T645" s="367"/>
      <c r="U645" s="367"/>
      <c r="V645" s="367"/>
      <c r="W645" s="367"/>
      <c r="X645" s="367"/>
      <c r="Y645" s="367"/>
      <c r="Z645" s="367"/>
      <c r="AA645" s="367"/>
      <c r="AB645" s="367"/>
      <c r="AC645" s="367"/>
      <c r="AD645" s="367"/>
      <c r="AE645" s="367"/>
      <c r="AF645" s="367"/>
    </row>
    <row r="646" ht="15.75" customHeight="1">
      <c r="A646" s="359"/>
      <c r="B646" s="361"/>
      <c r="C646" s="361"/>
      <c r="D646" s="361"/>
      <c r="E646" s="367"/>
      <c r="F646" s="367"/>
      <c r="G646" s="367"/>
      <c r="H646" s="367"/>
      <c r="I646" s="367"/>
      <c r="J646" s="367"/>
      <c r="K646" s="367"/>
      <c r="L646" s="367"/>
      <c r="M646" s="367"/>
      <c r="N646" s="367"/>
      <c r="O646" s="367"/>
      <c r="P646" s="367"/>
      <c r="Q646" s="367"/>
      <c r="R646" s="367"/>
      <c r="S646" s="367"/>
      <c r="T646" s="367"/>
      <c r="U646" s="367"/>
      <c r="V646" s="367"/>
      <c r="W646" s="367"/>
      <c r="X646" s="367"/>
      <c r="Y646" s="367"/>
      <c r="Z646" s="367"/>
      <c r="AA646" s="367"/>
      <c r="AB646" s="367"/>
      <c r="AC646" s="367"/>
      <c r="AD646" s="367"/>
      <c r="AE646" s="367"/>
      <c r="AF646" s="367"/>
    </row>
    <row r="647" ht="15.75" customHeight="1">
      <c r="A647" s="359"/>
      <c r="B647" s="361"/>
      <c r="C647" s="361"/>
      <c r="D647" s="361"/>
      <c r="E647" s="367"/>
      <c r="F647" s="367"/>
      <c r="G647" s="367"/>
      <c r="H647" s="367"/>
      <c r="I647" s="367"/>
      <c r="J647" s="367"/>
      <c r="K647" s="367"/>
      <c r="L647" s="367"/>
      <c r="M647" s="367"/>
      <c r="N647" s="367"/>
      <c r="O647" s="367"/>
      <c r="P647" s="367"/>
      <c r="Q647" s="367"/>
      <c r="R647" s="367"/>
      <c r="S647" s="367"/>
      <c r="T647" s="367"/>
      <c r="U647" s="367"/>
      <c r="V647" s="367"/>
      <c r="W647" s="367"/>
      <c r="X647" s="367"/>
      <c r="Y647" s="367"/>
      <c r="Z647" s="367"/>
      <c r="AA647" s="367"/>
      <c r="AB647" s="367"/>
      <c r="AC647" s="367"/>
      <c r="AD647" s="367"/>
      <c r="AE647" s="367"/>
      <c r="AF647" s="367"/>
    </row>
    <row r="648" ht="15.75" customHeight="1">
      <c r="A648" s="359"/>
      <c r="B648" s="361"/>
      <c r="C648" s="361"/>
      <c r="D648" s="361"/>
      <c r="E648" s="367"/>
      <c r="F648" s="367"/>
      <c r="G648" s="367"/>
      <c r="H648" s="367"/>
      <c r="I648" s="367"/>
      <c r="J648" s="367"/>
      <c r="K648" s="367"/>
      <c r="L648" s="367"/>
      <c r="M648" s="367"/>
      <c r="N648" s="367"/>
      <c r="O648" s="367"/>
      <c r="P648" s="367"/>
      <c r="Q648" s="367"/>
      <c r="R648" s="367"/>
      <c r="S648" s="367"/>
      <c r="T648" s="367"/>
      <c r="U648" s="367"/>
      <c r="V648" s="367"/>
      <c r="W648" s="367"/>
      <c r="X648" s="367"/>
      <c r="Y648" s="367"/>
      <c r="Z648" s="367"/>
      <c r="AA648" s="367"/>
      <c r="AB648" s="367"/>
      <c r="AC648" s="367"/>
      <c r="AD648" s="367"/>
      <c r="AE648" s="367"/>
      <c r="AF648" s="367"/>
    </row>
    <row r="649" ht="15.75" customHeight="1">
      <c r="A649" s="359"/>
      <c r="B649" s="361"/>
      <c r="C649" s="361"/>
      <c r="D649" s="361"/>
      <c r="E649" s="367"/>
      <c r="F649" s="367"/>
      <c r="G649" s="367"/>
      <c r="H649" s="367"/>
      <c r="I649" s="367"/>
      <c r="J649" s="367"/>
      <c r="K649" s="367"/>
      <c r="L649" s="367"/>
      <c r="M649" s="367"/>
      <c r="N649" s="367"/>
      <c r="O649" s="367"/>
      <c r="P649" s="367"/>
      <c r="Q649" s="367"/>
      <c r="R649" s="367"/>
      <c r="S649" s="367"/>
      <c r="T649" s="367"/>
      <c r="U649" s="367"/>
      <c r="V649" s="367"/>
      <c r="W649" s="367"/>
      <c r="X649" s="367"/>
      <c r="Y649" s="367"/>
      <c r="Z649" s="367"/>
      <c r="AA649" s="367"/>
      <c r="AB649" s="367"/>
      <c r="AC649" s="367"/>
      <c r="AD649" s="367"/>
      <c r="AE649" s="367"/>
      <c r="AF649" s="367"/>
    </row>
    <row r="650" ht="15.75" customHeight="1">
      <c r="A650" s="359"/>
      <c r="B650" s="361"/>
      <c r="C650" s="361"/>
      <c r="D650" s="361"/>
      <c r="E650" s="367"/>
      <c r="F650" s="367"/>
      <c r="G650" s="367"/>
      <c r="H650" s="367"/>
      <c r="I650" s="367"/>
      <c r="J650" s="367"/>
      <c r="K650" s="367"/>
      <c r="L650" s="367"/>
      <c r="M650" s="367"/>
      <c r="N650" s="367"/>
      <c r="O650" s="367"/>
      <c r="P650" s="367"/>
      <c r="Q650" s="367"/>
      <c r="R650" s="367"/>
      <c r="S650" s="367"/>
      <c r="T650" s="367"/>
      <c r="U650" s="367"/>
      <c r="V650" s="367"/>
      <c r="W650" s="367"/>
      <c r="X650" s="367"/>
      <c r="Y650" s="367"/>
      <c r="Z650" s="367"/>
      <c r="AA650" s="367"/>
      <c r="AB650" s="367"/>
      <c r="AC650" s="367"/>
      <c r="AD650" s="367"/>
      <c r="AE650" s="367"/>
      <c r="AF650" s="367"/>
    </row>
    <row r="651" ht="15.75" customHeight="1">
      <c r="A651" s="359"/>
      <c r="B651" s="361"/>
      <c r="C651" s="361"/>
      <c r="D651" s="361"/>
      <c r="E651" s="367"/>
      <c r="F651" s="367"/>
      <c r="G651" s="367"/>
      <c r="H651" s="367"/>
      <c r="I651" s="367"/>
      <c r="J651" s="367"/>
      <c r="K651" s="367"/>
      <c r="L651" s="367"/>
      <c r="M651" s="367"/>
      <c r="N651" s="367"/>
      <c r="O651" s="367"/>
      <c r="P651" s="367"/>
      <c r="Q651" s="367"/>
      <c r="R651" s="367"/>
      <c r="S651" s="367"/>
      <c r="T651" s="367"/>
      <c r="U651" s="367"/>
      <c r="V651" s="367"/>
      <c r="W651" s="367"/>
      <c r="X651" s="367"/>
      <c r="Y651" s="367"/>
      <c r="Z651" s="367"/>
      <c r="AA651" s="367"/>
      <c r="AB651" s="367"/>
      <c r="AC651" s="367"/>
      <c r="AD651" s="367"/>
      <c r="AE651" s="367"/>
      <c r="AF651" s="367"/>
    </row>
    <row r="652" ht="15.75" customHeight="1">
      <c r="A652" s="359"/>
      <c r="B652" s="361"/>
      <c r="C652" s="361"/>
      <c r="D652" s="361"/>
      <c r="E652" s="367"/>
      <c r="F652" s="367"/>
      <c r="G652" s="367"/>
      <c r="H652" s="367"/>
      <c r="I652" s="367"/>
      <c r="J652" s="367"/>
      <c r="K652" s="367"/>
      <c r="L652" s="367"/>
      <c r="M652" s="367"/>
      <c r="N652" s="367"/>
      <c r="O652" s="367"/>
      <c r="P652" s="367"/>
      <c r="Q652" s="367"/>
      <c r="R652" s="367"/>
      <c r="S652" s="367"/>
      <c r="T652" s="367"/>
      <c r="U652" s="367"/>
      <c r="V652" s="367"/>
      <c r="W652" s="367"/>
      <c r="X652" s="367"/>
      <c r="Y652" s="367"/>
      <c r="Z652" s="367"/>
      <c r="AA652" s="367"/>
      <c r="AB652" s="367"/>
      <c r="AC652" s="367"/>
      <c r="AD652" s="367"/>
      <c r="AE652" s="367"/>
      <c r="AF652" s="367"/>
    </row>
    <row r="653" ht="15.75" customHeight="1">
      <c r="A653" s="359"/>
      <c r="B653" s="361"/>
      <c r="C653" s="361"/>
      <c r="D653" s="361"/>
      <c r="E653" s="367"/>
      <c r="F653" s="367"/>
      <c r="G653" s="367"/>
      <c r="H653" s="367"/>
      <c r="I653" s="367"/>
      <c r="J653" s="367"/>
      <c r="K653" s="367"/>
      <c r="L653" s="367"/>
      <c r="M653" s="367"/>
      <c r="N653" s="367"/>
      <c r="O653" s="367"/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  <c r="Z653" s="367"/>
      <c r="AA653" s="367"/>
      <c r="AB653" s="367"/>
      <c r="AC653" s="367"/>
      <c r="AD653" s="367"/>
      <c r="AE653" s="367"/>
      <c r="AF653" s="367"/>
    </row>
    <row r="654" ht="15.75" customHeight="1">
      <c r="A654" s="359"/>
      <c r="B654" s="361"/>
      <c r="C654" s="361"/>
      <c r="D654" s="361"/>
      <c r="E654" s="367"/>
      <c r="F654" s="367"/>
      <c r="G654" s="367"/>
      <c r="H654" s="367"/>
      <c r="I654" s="367"/>
      <c r="J654" s="367"/>
      <c r="K654" s="367"/>
      <c r="L654" s="367"/>
      <c r="M654" s="367"/>
      <c r="N654" s="367"/>
      <c r="O654" s="367"/>
      <c r="P654" s="367"/>
      <c r="Q654" s="367"/>
      <c r="R654" s="367"/>
      <c r="S654" s="367"/>
      <c r="T654" s="367"/>
      <c r="U654" s="367"/>
      <c r="V654" s="367"/>
      <c r="W654" s="367"/>
      <c r="X654" s="367"/>
      <c r="Y654" s="367"/>
      <c r="Z654" s="367"/>
      <c r="AA654" s="367"/>
      <c r="AB654" s="367"/>
      <c r="AC654" s="367"/>
      <c r="AD654" s="367"/>
      <c r="AE654" s="367"/>
      <c r="AF654" s="367"/>
    </row>
    <row r="655" ht="15.75" customHeight="1">
      <c r="A655" s="359"/>
      <c r="B655" s="361"/>
      <c r="C655" s="361"/>
      <c r="D655" s="361"/>
      <c r="E655" s="367"/>
      <c r="F655" s="367"/>
      <c r="G655" s="367"/>
      <c r="H655" s="367"/>
      <c r="I655" s="367"/>
      <c r="J655" s="367"/>
      <c r="K655" s="367"/>
      <c r="L655" s="367"/>
      <c r="M655" s="367"/>
      <c r="N655" s="367"/>
      <c r="O655" s="367"/>
      <c r="P655" s="367"/>
      <c r="Q655" s="367"/>
      <c r="R655" s="367"/>
      <c r="S655" s="367"/>
      <c r="T655" s="367"/>
      <c r="U655" s="367"/>
      <c r="V655" s="367"/>
      <c r="W655" s="367"/>
      <c r="X655" s="367"/>
      <c r="Y655" s="367"/>
      <c r="Z655" s="367"/>
      <c r="AA655" s="367"/>
      <c r="AB655" s="367"/>
      <c r="AC655" s="367"/>
      <c r="AD655" s="367"/>
      <c r="AE655" s="367"/>
      <c r="AF655" s="367"/>
    </row>
    <row r="656" ht="15.75" customHeight="1">
      <c r="A656" s="359"/>
      <c r="B656" s="361"/>
      <c r="C656" s="361"/>
      <c r="D656" s="361"/>
      <c r="E656" s="367"/>
      <c r="F656" s="367"/>
      <c r="G656" s="367"/>
      <c r="H656" s="367"/>
      <c r="I656" s="367"/>
      <c r="J656" s="367"/>
      <c r="K656" s="367"/>
      <c r="L656" s="367"/>
      <c r="M656" s="367"/>
      <c r="N656" s="367"/>
      <c r="O656" s="367"/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  <c r="Z656" s="367"/>
      <c r="AA656" s="367"/>
      <c r="AB656" s="367"/>
      <c r="AC656" s="367"/>
      <c r="AD656" s="367"/>
      <c r="AE656" s="367"/>
      <c r="AF656" s="367"/>
    </row>
    <row r="657" ht="15.75" customHeight="1">
      <c r="A657" s="359"/>
      <c r="B657" s="361"/>
      <c r="C657" s="361"/>
      <c r="D657" s="361"/>
      <c r="E657" s="367"/>
      <c r="F657" s="367"/>
      <c r="G657" s="367"/>
      <c r="H657" s="367"/>
      <c r="I657" s="367"/>
      <c r="J657" s="367"/>
      <c r="K657" s="367"/>
      <c r="L657" s="367"/>
      <c r="M657" s="367"/>
      <c r="N657" s="367"/>
      <c r="O657" s="367"/>
      <c r="P657" s="367"/>
      <c r="Q657" s="367"/>
      <c r="R657" s="367"/>
      <c r="S657" s="367"/>
      <c r="T657" s="367"/>
      <c r="U657" s="367"/>
      <c r="V657" s="367"/>
      <c r="W657" s="367"/>
      <c r="X657" s="367"/>
      <c r="Y657" s="367"/>
      <c r="Z657" s="367"/>
      <c r="AA657" s="367"/>
      <c r="AB657" s="367"/>
      <c r="AC657" s="367"/>
      <c r="AD657" s="367"/>
      <c r="AE657" s="367"/>
      <c r="AF657" s="367"/>
    </row>
    <row r="658" ht="15.75" customHeight="1">
      <c r="A658" s="359"/>
      <c r="B658" s="361"/>
      <c r="C658" s="361"/>
      <c r="D658" s="361"/>
      <c r="E658" s="367"/>
      <c r="F658" s="367"/>
      <c r="G658" s="367"/>
      <c r="H658" s="367"/>
      <c r="I658" s="367"/>
      <c r="J658" s="367"/>
      <c r="K658" s="367"/>
      <c r="L658" s="367"/>
      <c r="M658" s="367"/>
      <c r="N658" s="367"/>
      <c r="O658" s="367"/>
      <c r="P658" s="367"/>
      <c r="Q658" s="367"/>
      <c r="R658" s="367"/>
      <c r="S658" s="367"/>
      <c r="T658" s="367"/>
      <c r="U658" s="367"/>
      <c r="V658" s="367"/>
      <c r="W658" s="367"/>
      <c r="X658" s="367"/>
      <c r="Y658" s="367"/>
      <c r="Z658" s="367"/>
      <c r="AA658" s="367"/>
      <c r="AB658" s="367"/>
      <c r="AC658" s="367"/>
      <c r="AD658" s="367"/>
      <c r="AE658" s="367"/>
      <c r="AF658" s="367"/>
    </row>
    <row r="659" ht="15.75" customHeight="1">
      <c r="A659" s="359"/>
      <c r="B659" s="361"/>
      <c r="C659" s="361"/>
      <c r="D659" s="361"/>
      <c r="E659" s="367"/>
      <c r="F659" s="367"/>
      <c r="G659" s="367"/>
      <c r="H659" s="367"/>
      <c r="I659" s="367"/>
      <c r="J659" s="367"/>
      <c r="K659" s="367"/>
      <c r="L659" s="367"/>
      <c r="M659" s="367"/>
      <c r="N659" s="367"/>
      <c r="O659" s="367"/>
      <c r="P659" s="367"/>
      <c r="Q659" s="367"/>
      <c r="R659" s="367"/>
      <c r="S659" s="367"/>
      <c r="T659" s="367"/>
      <c r="U659" s="367"/>
      <c r="V659" s="367"/>
      <c r="W659" s="367"/>
      <c r="X659" s="367"/>
      <c r="Y659" s="367"/>
      <c r="Z659" s="367"/>
      <c r="AA659" s="367"/>
      <c r="AB659" s="367"/>
      <c r="AC659" s="367"/>
      <c r="AD659" s="367"/>
      <c r="AE659" s="367"/>
      <c r="AF659" s="367"/>
    </row>
    <row r="660" ht="15.75" customHeight="1">
      <c r="A660" s="359"/>
      <c r="B660" s="361"/>
      <c r="C660" s="361"/>
      <c r="D660" s="361"/>
      <c r="E660" s="367"/>
      <c r="F660" s="367"/>
      <c r="G660" s="367"/>
      <c r="H660" s="367"/>
      <c r="I660" s="367"/>
      <c r="J660" s="367"/>
      <c r="K660" s="367"/>
      <c r="L660" s="367"/>
      <c r="M660" s="367"/>
      <c r="N660" s="367"/>
      <c r="O660" s="367"/>
      <c r="P660" s="367"/>
      <c r="Q660" s="367"/>
      <c r="R660" s="367"/>
      <c r="S660" s="367"/>
      <c r="T660" s="367"/>
      <c r="U660" s="367"/>
      <c r="V660" s="367"/>
      <c r="W660" s="367"/>
      <c r="X660" s="367"/>
      <c r="Y660" s="367"/>
      <c r="Z660" s="367"/>
      <c r="AA660" s="367"/>
      <c r="AB660" s="367"/>
      <c r="AC660" s="367"/>
      <c r="AD660" s="367"/>
      <c r="AE660" s="367"/>
      <c r="AF660" s="367"/>
    </row>
    <row r="661" ht="15.75" customHeight="1">
      <c r="A661" s="359"/>
      <c r="B661" s="361"/>
      <c r="C661" s="361"/>
      <c r="D661" s="361"/>
      <c r="E661" s="367"/>
      <c r="F661" s="367"/>
      <c r="G661" s="367"/>
      <c r="H661" s="367"/>
      <c r="I661" s="367"/>
      <c r="J661" s="367"/>
      <c r="K661" s="367"/>
      <c r="L661" s="367"/>
      <c r="M661" s="367"/>
      <c r="N661" s="367"/>
      <c r="O661" s="367"/>
      <c r="P661" s="367"/>
      <c r="Q661" s="367"/>
      <c r="R661" s="367"/>
      <c r="S661" s="367"/>
      <c r="T661" s="367"/>
      <c r="U661" s="367"/>
      <c r="V661" s="367"/>
      <c r="W661" s="367"/>
      <c r="X661" s="367"/>
      <c r="Y661" s="367"/>
      <c r="Z661" s="367"/>
      <c r="AA661" s="367"/>
      <c r="AB661" s="367"/>
      <c r="AC661" s="367"/>
      <c r="AD661" s="367"/>
      <c r="AE661" s="367"/>
      <c r="AF661" s="367"/>
    </row>
    <row r="662" ht="15.75" customHeight="1">
      <c r="A662" s="359"/>
      <c r="B662" s="361"/>
      <c r="C662" s="361"/>
      <c r="D662" s="361"/>
      <c r="E662" s="367"/>
      <c r="F662" s="367"/>
      <c r="G662" s="367"/>
      <c r="H662" s="367"/>
      <c r="I662" s="367"/>
      <c r="J662" s="367"/>
      <c r="K662" s="367"/>
      <c r="L662" s="367"/>
      <c r="M662" s="367"/>
      <c r="N662" s="367"/>
      <c r="O662" s="367"/>
      <c r="P662" s="367"/>
      <c r="Q662" s="367"/>
      <c r="R662" s="367"/>
      <c r="S662" s="367"/>
      <c r="T662" s="367"/>
      <c r="U662" s="367"/>
      <c r="V662" s="367"/>
      <c r="W662" s="367"/>
      <c r="X662" s="367"/>
      <c r="Y662" s="367"/>
      <c r="Z662" s="367"/>
      <c r="AA662" s="367"/>
      <c r="AB662" s="367"/>
      <c r="AC662" s="367"/>
      <c r="AD662" s="367"/>
      <c r="AE662" s="367"/>
      <c r="AF662" s="367"/>
    </row>
    <row r="663" ht="15.75" customHeight="1">
      <c r="A663" s="359"/>
      <c r="B663" s="361"/>
      <c r="C663" s="361"/>
      <c r="D663" s="361"/>
      <c r="E663" s="367"/>
      <c r="F663" s="367"/>
      <c r="G663" s="367"/>
      <c r="H663" s="367"/>
      <c r="I663" s="367"/>
      <c r="J663" s="367"/>
      <c r="K663" s="367"/>
      <c r="L663" s="367"/>
      <c r="M663" s="367"/>
      <c r="N663" s="367"/>
      <c r="O663" s="367"/>
      <c r="P663" s="367"/>
      <c r="Q663" s="367"/>
      <c r="R663" s="367"/>
      <c r="S663" s="367"/>
      <c r="T663" s="367"/>
      <c r="U663" s="367"/>
      <c r="V663" s="367"/>
      <c r="W663" s="367"/>
      <c r="X663" s="367"/>
      <c r="Y663" s="367"/>
      <c r="Z663" s="367"/>
      <c r="AA663" s="367"/>
      <c r="AB663" s="367"/>
      <c r="AC663" s="367"/>
      <c r="AD663" s="367"/>
      <c r="AE663" s="367"/>
      <c r="AF663" s="367"/>
    </row>
    <row r="664" ht="15.75" customHeight="1">
      <c r="A664" s="359"/>
      <c r="B664" s="361"/>
      <c r="C664" s="361"/>
      <c r="D664" s="361"/>
      <c r="E664" s="367"/>
      <c r="F664" s="367"/>
      <c r="G664" s="367"/>
      <c r="H664" s="367"/>
      <c r="I664" s="367"/>
      <c r="J664" s="367"/>
      <c r="K664" s="367"/>
      <c r="L664" s="367"/>
      <c r="M664" s="367"/>
      <c r="N664" s="367"/>
      <c r="O664" s="367"/>
      <c r="P664" s="367"/>
      <c r="Q664" s="367"/>
      <c r="R664" s="367"/>
      <c r="S664" s="367"/>
      <c r="T664" s="367"/>
      <c r="U664" s="367"/>
      <c r="V664" s="367"/>
      <c r="W664" s="367"/>
      <c r="X664" s="367"/>
      <c r="Y664" s="367"/>
      <c r="Z664" s="367"/>
      <c r="AA664" s="367"/>
      <c r="AB664" s="367"/>
      <c r="AC664" s="367"/>
      <c r="AD664" s="367"/>
      <c r="AE664" s="367"/>
      <c r="AF664" s="367"/>
    </row>
    <row r="665" ht="15.75" customHeight="1">
      <c r="A665" s="359"/>
      <c r="B665" s="361"/>
      <c r="C665" s="361"/>
      <c r="D665" s="361"/>
      <c r="E665" s="367"/>
      <c r="F665" s="367"/>
      <c r="G665" s="367"/>
      <c r="H665" s="367"/>
      <c r="I665" s="367"/>
      <c r="J665" s="367"/>
      <c r="K665" s="367"/>
      <c r="L665" s="367"/>
      <c r="M665" s="367"/>
      <c r="N665" s="367"/>
      <c r="O665" s="367"/>
      <c r="P665" s="367"/>
      <c r="Q665" s="367"/>
      <c r="R665" s="367"/>
      <c r="S665" s="367"/>
      <c r="T665" s="367"/>
      <c r="U665" s="367"/>
      <c r="V665" s="367"/>
      <c r="W665" s="367"/>
      <c r="X665" s="367"/>
      <c r="Y665" s="367"/>
      <c r="Z665" s="367"/>
      <c r="AA665" s="367"/>
      <c r="AB665" s="367"/>
      <c r="AC665" s="367"/>
      <c r="AD665" s="367"/>
      <c r="AE665" s="367"/>
      <c r="AF665" s="367"/>
    </row>
    <row r="666" ht="15.75" customHeight="1">
      <c r="A666" s="359"/>
      <c r="B666" s="361"/>
      <c r="C666" s="361"/>
      <c r="D666" s="361"/>
      <c r="E666" s="367"/>
      <c r="F666" s="367"/>
      <c r="G666" s="367"/>
      <c r="H666" s="367"/>
      <c r="I666" s="367"/>
      <c r="J666" s="367"/>
      <c r="K666" s="367"/>
      <c r="L666" s="367"/>
      <c r="M666" s="367"/>
      <c r="N666" s="367"/>
      <c r="O666" s="367"/>
      <c r="P666" s="367"/>
      <c r="Q666" s="367"/>
      <c r="R666" s="367"/>
      <c r="S666" s="367"/>
      <c r="T666" s="367"/>
      <c r="U666" s="367"/>
      <c r="V666" s="367"/>
      <c r="W666" s="367"/>
      <c r="X666" s="367"/>
      <c r="Y666" s="367"/>
      <c r="Z666" s="367"/>
      <c r="AA666" s="367"/>
      <c r="AB666" s="367"/>
      <c r="AC666" s="367"/>
      <c r="AD666" s="367"/>
      <c r="AE666" s="367"/>
      <c r="AF666" s="367"/>
    </row>
    <row r="667" ht="15.75" customHeight="1">
      <c r="A667" s="359"/>
      <c r="B667" s="361"/>
      <c r="C667" s="361"/>
      <c r="D667" s="361"/>
      <c r="E667" s="367"/>
      <c r="F667" s="367"/>
      <c r="G667" s="367"/>
      <c r="H667" s="367"/>
      <c r="I667" s="367"/>
      <c r="J667" s="367"/>
      <c r="K667" s="367"/>
      <c r="L667" s="367"/>
      <c r="M667" s="367"/>
      <c r="N667" s="367"/>
      <c r="O667" s="367"/>
      <c r="P667" s="367"/>
      <c r="Q667" s="367"/>
      <c r="R667" s="367"/>
      <c r="S667" s="367"/>
      <c r="T667" s="367"/>
      <c r="U667" s="367"/>
      <c r="V667" s="367"/>
      <c r="W667" s="367"/>
      <c r="X667" s="367"/>
      <c r="Y667" s="367"/>
      <c r="Z667" s="367"/>
      <c r="AA667" s="367"/>
      <c r="AB667" s="367"/>
      <c r="AC667" s="367"/>
      <c r="AD667" s="367"/>
      <c r="AE667" s="367"/>
      <c r="AF667" s="367"/>
    </row>
    <row r="668" ht="15.75" customHeight="1">
      <c r="A668" s="359"/>
      <c r="B668" s="361"/>
      <c r="C668" s="361"/>
      <c r="D668" s="361"/>
      <c r="E668" s="367"/>
      <c r="F668" s="367"/>
      <c r="G668" s="367"/>
      <c r="H668" s="367"/>
      <c r="I668" s="367"/>
      <c r="J668" s="367"/>
      <c r="K668" s="367"/>
      <c r="L668" s="367"/>
      <c r="M668" s="367"/>
      <c r="N668" s="367"/>
      <c r="O668" s="367"/>
      <c r="P668" s="367"/>
      <c r="Q668" s="367"/>
      <c r="R668" s="367"/>
      <c r="S668" s="367"/>
      <c r="T668" s="367"/>
      <c r="U668" s="367"/>
      <c r="V668" s="367"/>
      <c r="W668" s="367"/>
      <c r="X668" s="367"/>
      <c r="Y668" s="367"/>
      <c r="Z668" s="367"/>
      <c r="AA668" s="367"/>
      <c r="AB668" s="367"/>
      <c r="AC668" s="367"/>
      <c r="AD668" s="367"/>
      <c r="AE668" s="367"/>
      <c r="AF668" s="367"/>
    </row>
    <row r="669" ht="15.75" customHeight="1">
      <c r="A669" s="359"/>
      <c r="B669" s="361"/>
      <c r="C669" s="361"/>
      <c r="D669" s="361"/>
      <c r="E669" s="367"/>
      <c r="F669" s="367"/>
      <c r="G669" s="367"/>
      <c r="H669" s="367"/>
      <c r="I669" s="367"/>
      <c r="J669" s="367"/>
      <c r="K669" s="367"/>
      <c r="L669" s="367"/>
      <c r="M669" s="367"/>
      <c r="N669" s="367"/>
      <c r="O669" s="367"/>
      <c r="P669" s="367"/>
      <c r="Q669" s="367"/>
      <c r="R669" s="367"/>
      <c r="S669" s="367"/>
      <c r="T669" s="367"/>
      <c r="U669" s="367"/>
      <c r="V669" s="367"/>
      <c r="W669" s="367"/>
      <c r="X669" s="367"/>
      <c r="Y669" s="367"/>
      <c r="Z669" s="367"/>
      <c r="AA669" s="367"/>
      <c r="AB669" s="367"/>
      <c r="AC669" s="367"/>
      <c r="AD669" s="367"/>
      <c r="AE669" s="367"/>
      <c r="AF669" s="367"/>
    </row>
    <row r="670" ht="15.75" customHeight="1">
      <c r="A670" s="359"/>
      <c r="B670" s="361"/>
      <c r="C670" s="361"/>
      <c r="D670" s="361"/>
      <c r="E670" s="367"/>
      <c r="F670" s="367"/>
      <c r="G670" s="367"/>
      <c r="H670" s="367"/>
      <c r="I670" s="367"/>
      <c r="J670" s="367"/>
      <c r="K670" s="367"/>
      <c r="L670" s="367"/>
      <c r="M670" s="367"/>
      <c r="N670" s="367"/>
      <c r="O670" s="367"/>
      <c r="P670" s="367"/>
      <c r="Q670" s="367"/>
      <c r="R670" s="367"/>
      <c r="S670" s="367"/>
      <c r="T670" s="367"/>
      <c r="U670" s="367"/>
      <c r="V670" s="367"/>
      <c r="W670" s="367"/>
      <c r="X670" s="367"/>
      <c r="Y670" s="367"/>
      <c r="Z670" s="367"/>
      <c r="AA670" s="367"/>
      <c r="AB670" s="367"/>
      <c r="AC670" s="367"/>
      <c r="AD670" s="367"/>
      <c r="AE670" s="367"/>
      <c r="AF670" s="367"/>
    </row>
    <row r="671" ht="15.75" customHeight="1">
      <c r="A671" s="359"/>
      <c r="B671" s="361"/>
      <c r="C671" s="361"/>
      <c r="D671" s="361"/>
      <c r="E671" s="367"/>
      <c r="F671" s="367"/>
      <c r="G671" s="367"/>
      <c r="H671" s="367"/>
      <c r="I671" s="367"/>
      <c r="J671" s="367"/>
      <c r="K671" s="367"/>
      <c r="L671" s="367"/>
      <c r="M671" s="367"/>
      <c r="N671" s="367"/>
      <c r="O671" s="367"/>
      <c r="P671" s="367"/>
      <c r="Q671" s="367"/>
      <c r="R671" s="367"/>
      <c r="S671" s="367"/>
      <c r="T671" s="367"/>
      <c r="U671" s="367"/>
      <c r="V671" s="367"/>
      <c r="W671" s="367"/>
      <c r="X671" s="367"/>
      <c r="Y671" s="367"/>
      <c r="Z671" s="367"/>
      <c r="AA671" s="367"/>
      <c r="AB671" s="367"/>
      <c r="AC671" s="367"/>
      <c r="AD671" s="367"/>
      <c r="AE671" s="367"/>
      <c r="AF671" s="367"/>
    </row>
    <row r="672" ht="15.75" customHeight="1">
      <c r="A672" s="359"/>
      <c r="B672" s="361"/>
      <c r="C672" s="361"/>
      <c r="D672" s="361"/>
      <c r="E672" s="367"/>
      <c r="F672" s="367"/>
      <c r="G672" s="367"/>
      <c r="H672" s="367"/>
      <c r="I672" s="367"/>
      <c r="J672" s="367"/>
      <c r="K672" s="367"/>
      <c r="L672" s="367"/>
      <c r="M672" s="367"/>
      <c r="N672" s="367"/>
      <c r="O672" s="367"/>
      <c r="P672" s="367"/>
      <c r="Q672" s="367"/>
      <c r="R672" s="367"/>
      <c r="S672" s="367"/>
      <c r="T672" s="367"/>
      <c r="U672" s="367"/>
      <c r="V672" s="367"/>
      <c r="W672" s="367"/>
      <c r="X672" s="367"/>
      <c r="Y672" s="367"/>
      <c r="Z672" s="367"/>
      <c r="AA672" s="367"/>
      <c r="AB672" s="367"/>
      <c r="AC672" s="367"/>
      <c r="AD672" s="367"/>
      <c r="AE672" s="367"/>
      <c r="AF672" s="367"/>
    </row>
    <row r="673" ht="15.75" customHeight="1">
      <c r="A673" s="359"/>
      <c r="B673" s="361"/>
      <c r="C673" s="361"/>
      <c r="D673" s="361"/>
      <c r="E673" s="367"/>
      <c r="F673" s="367"/>
      <c r="G673" s="367"/>
      <c r="H673" s="367"/>
      <c r="I673" s="367"/>
      <c r="J673" s="367"/>
      <c r="K673" s="367"/>
      <c r="L673" s="367"/>
      <c r="M673" s="367"/>
      <c r="N673" s="367"/>
      <c r="O673" s="367"/>
      <c r="P673" s="367"/>
      <c r="Q673" s="367"/>
      <c r="R673" s="367"/>
      <c r="S673" s="367"/>
      <c r="T673" s="367"/>
      <c r="U673" s="367"/>
      <c r="V673" s="367"/>
      <c r="W673" s="367"/>
      <c r="X673" s="367"/>
      <c r="Y673" s="367"/>
      <c r="Z673" s="367"/>
      <c r="AA673" s="367"/>
      <c r="AB673" s="367"/>
      <c r="AC673" s="367"/>
      <c r="AD673" s="367"/>
      <c r="AE673" s="367"/>
      <c r="AF673" s="367"/>
    </row>
    <row r="674" ht="15.75" customHeight="1">
      <c r="A674" s="359"/>
      <c r="B674" s="361"/>
      <c r="C674" s="361"/>
      <c r="D674" s="361"/>
      <c r="E674" s="367"/>
      <c r="F674" s="367"/>
      <c r="G674" s="367"/>
      <c r="H674" s="367"/>
      <c r="I674" s="367"/>
      <c r="J674" s="367"/>
      <c r="K674" s="367"/>
      <c r="L674" s="367"/>
      <c r="M674" s="367"/>
      <c r="N674" s="367"/>
      <c r="O674" s="367"/>
      <c r="P674" s="367"/>
      <c r="Q674" s="367"/>
      <c r="R674" s="367"/>
      <c r="S674" s="367"/>
      <c r="T674" s="367"/>
      <c r="U674" s="367"/>
      <c r="V674" s="367"/>
      <c r="W674" s="367"/>
      <c r="X674" s="367"/>
      <c r="Y674" s="367"/>
      <c r="Z674" s="367"/>
      <c r="AA674" s="367"/>
      <c r="AB674" s="367"/>
      <c r="AC674" s="367"/>
      <c r="AD674" s="367"/>
      <c r="AE674" s="367"/>
      <c r="AF674" s="367"/>
    </row>
    <row r="675" ht="15.75" customHeight="1">
      <c r="A675" s="359"/>
      <c r="B675" s="361"/>
      <c r="C675" s="361"/>
      <c r="D675" s="361"/>
      <c r="E675" s="367"/>
      <c r="F675" s="367"/>
      <c r="G675" s="367"/>
      <c r="H675" s="367"/>
      <c r="I675" s="367"/>
      <c r="J675" s="367"/>
      <c r="K675" s="367"/>
      <c r="L675" s="367"/>
      <c r="M675" s="367"/>
      <c r="N675" s="367"/>
      <c r="O675" s="367"/>
      <c r="P675" s="367"/>
      <c r="Q675" s="367"/>
      <c r="R675" s="367"/>
      <c r="S675" s="367"/>
      <c r="T675" s="367"/>
      <c r="U675" s="367"/>
      <c r="V675" s="367"/>
      <c r="W675" s="367"/>
      <c r="X675" s="367"/>
      <c r="Y675" s="367"/>
      <c r="Z675" s="367"/>
      <c r="AA675" s="367"/>
      <c r="AB675" s="367"/>
      <c r="AC675" s="367"/>
      <c r="AD675" s="367"/>
      <c r="AE675" s="367"/>
      <c r="AF675" s="367"/>
    </row>
    <row r="676" ht="15.75" customHeight="1">
      <c r="A676" s="359"/>
      <c r="B676" s="361"/>
      <c r="C676" s="361"/>
      <c r="D676" s="361"/>
      <c r="E676" s="367"/>
      <c r="F676" s="367"/>
      <c r="G676" s="367"/>
      <c r="H676" s="367"/>
      <c r="I676" s="367"/>
      <c r="J676" s="367"/>
      <c r="K676" s="367"/>
      <c r="L676" s="367"/>
      <c r="M676" s="367"/>
      <c r="N676" s="367"/>
      <c r="O676" s="367"/>
      <c r="P676" s="367"/>
      <c r="Q676" s="367"/>
      <c r="R676" s="367"/>
      <c r="S676" s="367"/>
      <c r="T676" s="367"/>
      <c r="U676" s="367"/>
      <c r="V676" s="367"/>
      <c r="W676" s="367"/>
      <c r="X676" s="367"/>
      <c r="Y676" s="367"/>
      <c r="Z676" s="367"/>
      <c r="AA676" s="367"/>
      <c r="AB676" s="367"/>
      <c r="AC676" s="367"/>
      <c r="AD676" s="367"/>
      <c r="AE676" s="367"/>
      <c r="AF676" s="367"/>
    </row>
    <row r="677" ht="15.75" customHeight="1">
      <c r="A677" s="359"/>
      <c r="B677" s="361"/>
      <c r="C677" s="361"/>
      <c r="D677" s="361"/>
      <c r="E677" s="367"/>
      <c r="F677" s="367"/>
      <c r="G677" s="367"/>
      <c r="H677" s="367"/>
      <c r="I677" s="367"/>
      <c r="J677" s="367"/>
      <c r="K677" s="367"/>
      <c r="L677" s="367"/>
      <c r="M677" s="367"/>
      <c r="N677" s="367"/>
      <c r="O677" s="367"/>
      <c r="P677" s="367"/>
      <c r="Q677" s="367"/>
      <c r="R677" s="367"/>
      <c r="S677" s="367"/>
      <c r="T677" s="367"/>
      <c r="U677" s="367"/>
      <c r="V677" s="367"/>
      <c r="W677" s="367"/>
      <c r="X677" s="367"/>
      <c r="Y677" s="367"/>
      <c r="Z677" s="367"/>
      <c r="AA677" s="367"/>
      <c r="AB677" s="367"/>
      <c r="AC677" s="367"/>
      <c r="AD677" s="367"/>
      <c r="AE677" s="367"/>
      <c r="AF677" s="367"/>
    </row>
    <row r="678" ht="15.75" customHeight="1">
      <c r="A678" s="359"/>
      <c r="B678" s="361"/>
      <c r="C678" s="361"/>
      <c r="D678" s="361"/>
      <c r="E678" s="367"/>
      <c r="F678" s="367"/>
      <c r="G678" s="367"/>
      <c r="H678" s="367"/>
      <c r="I678" s="367"/>
      <c r="J678" s="367"/>
      <c r="K678" s="367"/>
      <c r="L678" s="367"/>
      <c r="M678" s="367"/>
      <c r="N678" s="367"/>
      <c r="O678" s="367"/>
      <c r="P678" s="367"/>
      <c r="Q678" s="367"/>
      <c r="R678" s="367"/>
      <c r="S678" s="367"/>
      <c r="T678" s="367"/>
      <c r="U678" s="367"/>
      <c r="V678" s="367"/>
      <c r="W678" s="367"/>
      <c r="X678" s="367"/>
      <c r="Y678" s="367"/>
      <c r="Z678" s="367"/>
      <c r="AA678" s="367"/>
      <c r="AB678" s="367"/>
      <c r="AC678" s="367"/>
      <c r="AD678" s="367"/>
      <c r="AE678" s="367"/>
      <c r="AF678" s="367"/>
    </row>
    <row r="679" ht="15.75" customHeight="1">
      <c r="A679" s="359"/>
      <c r="B679" s="361"/>
      <c r="C679" s="361"/>
      <c r="D679" s="361"/>
      <c r="E679" s="367"/>
      <c r="F679" s="367"/>
      <c r="G679" s="367"/>
      <c r="H679" s="367"/>
      <c r="I679" s="367"/>
      <c r="J679" s="367"/>
      <c r="K679" s="367"/>
      <c r="L679" s="367"/>
      <c r="M679" s="367"/>
      <c r="N679" s="367"/>
      <c r="O679" s="367"/>
      <c r="P679" s="367"/>
      <c r="Q679" s="367"/>
      <c r="R679" s="367"/>
      <c r="S679" s="367"/>
      <c r="T679" s="367"/>
      <c r="U679" s="367"/>
      <c r="V679" s="367"/>
      <c r="W679" s="367"/>
      <c r="X679" s="367"/>
      <c r="Y679" s="367"/>
      <c r="Z679" s="367"/>
      <c r="AA679" s="367"/>
      <c r="AB679" s="367"/>
      <c r="AC679" s="367"/>
      <c r="AD679" s="367"/>
      <c r="AE679" s="367"/>
      <c r="AF679" s="367"/>
    </row>
    <row r="680" ht="15.75" customHeight="1">
      <c r="A680" s="359"/>
      <c r="B680" s="361"/>
      <c r="C680" s="361"/>
      <c r="D680" s="361"/>
      <c r="E680" s="367"/>
      <c r="F680" s="367"/>
      <c r="G680" s="367"/>
      <c r="H680" s="367"/>
      <c r="I680" s="367"/>
      <c r="J680" s="367"/>
      <c r="K680" s="367"/>
      <c r="L680" s="367"/>
      <c r="M680" s="367"/>
      <c r="N680" s="367"/>
      <c r="O680" s="367"/>
      <c r="P680" s="367"/>
      <c r="Q680" s="367"/>
      <c r="R680" s="367"/>
      <c r="S680" s="367"/>
      <c r="T680" s="367"/>
      <c r="U680" s="367"/>
      <c r="V680" s="367"/>
      <c r="W680" s="367"/>
      <c r="X680" s="367"/>
      <c r="Y680" s="367"/>
      <c r="Z680" s="367"/>
      <c r="AA680" s="367"/>
      <c r="AB680" s="367"/>
      <c r="AC680" s="367"/>
      <c r="AD680" s="367"/>
      <c r="AE680" s="367"/>
      <c r="AF680" s="367"/>
    </row>
    <row r="681" ht="15.75" customHeight="1">
      <c r="A681" s="359"/>
      <c r="B681" s="361"/>
      <c r="C681" s="361"/>
      <c r="D681" s="361"/>
      <c r="E681" s="367"/>
      <c r="F681" s="367"/>
      <c r="G681" s="367"/>
      <c r="H681" s="367"/>
      <c r="I681" s="367"/>
      <c r="J681" s="367"/>
      <c r="K681" s="367"/>
      <c r="L681" s="367"/>
      <c r="M681" s="367"/>
      <c r="N681" s="367"/>
      <c r="O681" s="367"/>
      <c r="P681" s="367"/>
      <c r="Q681" s="367"/>
      <c r="R681" s="367"/>
      <c r="S681" s="367"/>
      <c r="T681" s="367"/>
      <c r="U681" s="367"/>
      <c r="V681" s="367"/>
      <c r="W681" s="367"/>
      <c r="X681" s="367"/>
      <c r="Y681" s="367"/>
      <c r="Z681" s="367"/>
      <c r="AA681" s="367"/>
      <c r="AB681" s="367"/>
      <c r="AC681" s="367"/>
      <c r="AD681" s="367"/>
      <c r="AE681" s="367"/>
      <c r="AF681" s="367"/>
    </row>
    <row r="682" ht="15.75" customHeight="1">
      <c r="A682" s="359"/>
      <c r="B682" s="361"/>
      <c r="C682" s="361"/>
      <c r="D682" s="361"/>
      <c r="E682" s="367"/>
      <c r="F682" s="367"/>
      <c r="G682" s="367"/>
      <c r="H682" s="367"/>
      <c r="I682" s="367"/>
      <c r="J682" s="367"/>
      <c r="K682" s="367"/>
      <c r="L682" s="367"/>
      <c r="M682" s="367"/>
      <c r="N682" s="367"/>
      <c r="O682" s="367"/>
      <c r="P682" s="367"/>
      <c r="Q682" s="367"/>
      <c r="R682" s="367"/>
      <c r="S682" s="367"/>
      <c r="T682" s="367"/>
      <c r="U682" s="367"/>
      <c r="V682" s="367"/>
      <c r="W682" s="367"/>
      <c r="X682" s="367"/>
      <c r="Y682" s="367"/>
      <c r="Z682" s="367"/>
      <c r="AA682" s="367"/>
      <c r="AB682" s="367"/>
      <c r="AC682" s="367"/>
      <c r="AD682" s="367"/>
      <c r="AE682" s="367"/>
      <c r="AF682" s="367"/>
    </row>
    <row r="683" ht="15.75" customHeight="1">
      <c r="A683" s="359"/>
      <c r="B683" s="361"/>
      <c r="C683" s="361"/>
      <c r="D683" s="361"/>
      <c r="E683" s="367"/>
      <c r="F683" s="367"/>
      <c r="G683" s="367"/>
      <c r="H683" s="367"/>
      <c r="I683" s="367"/>
      <c r="J683" s="367"/>
      <c r="K683" s="367"/>
      <c r="L683" s="367"/>
      <c r="M683" s="367"/>
      <c r="N683" s="367"/>
      <c r="O683" s="367"/>
      <c r="P683" s="367"/>
      <c r="Q683" s="367"/>
      <c r="R683" s="367"/>
      <c r="S683" s="367"/>
      <c r="T683" s="367"/>
      <c r="U683" s="367"/>
      <c r="V683" s="367"/>
      <c r="W683" s="367"/>
      <c r="X683" s="367"/>
      <c r="Y683" s="367"/>
      <c r="Z683" s="367"/>
      <c r="AA683" s="367"/>
      <c r="AB683" s="367"/>
      <c r="AC683" s="367"/>
      <c r="AD683" s="367"/>
      <c r="AE683" s="367"/>
      <c r="AF683" s="367"/>
    </row>
    <row r="684" ht="15.75" customHeight="1">
      <c r="A684" s="359"/>
      <c r="B684" s="361"/>
      <c r="C684" s="361"/>
      <c r="D684" s="361"/>
      <c r="E684" s="367"/>
      <c r="F684" s="367"/>
      <c r="G684" s="367"/>
      <c r="H684" s="367"/>
      <c r="I684" s="367"/>
      <c r="J684" s="367"/>
      <c r="K684" s="367"/>
      <c r="L684" s="367"/>
      <c r="M684" s="367"/>
      <c r="N684" s="367"/>
      <c r="O684" s="367"/>
      <c r="P684" s="367"/>
      <c r="Q684" s="367"/>
      <c r="R684" s="367"/>
      <c r="S684" s="367"/>
      <c r="T684" s="367"/>
      <c r="U684" s="367"/>
      <c r="V684" s="367"/>
      <c r="W684" s="367"/>
      <c r="X684" s="367"/>
      <c r="Y684" s="367"/>
      <c r="Z684" s="367"/>
      <c r="AA684" s="367"/>
      <c r="AB684" s="367"/>
      <c r="AC684" s="367"/>
      <c r="AD684" s="367"/>
      <c r="AE684" s="367"/>
      <c r="AF684" s="367"/>
    </row>
    <row r="685" ht="15.75" customHeight="1">
      <c r="A685" s="359"/>
      <c r="B685" s="361"/>
      <c r="C685" s="361"/>
      <c r="D685" s="361"/>
      <c r="E685" s="367"/>
      <c r="F685" s="367"/>
      <c r="G685" s="367"/>
      <c r="H685" s="367"/>
      <c r="I685" s="367"/>
      <c r="J685" s="367"/>
      <c r="K685" s="367"/>
      <c r="L685" s="367"/>
      <c r="M685" s="367"/>
      <c r="N685" s="367"/>
      <c r="O685" s="367"/>
      <c r="P685" s="367"/>
      <c r="Q685" s="367"/>
      <c r="R685" s="367"/>
      <c r="S685" s="367"/>
      <c r="T685" s="367"/>
      <c r="U685" s="367"/>
      <c r="V685" s="367"/>
      <c r="W685" s="367"/>
      <c r="X685" s="367"/>
      <c r="Y685" s="367"/>
      <c r="Z685" s="367"/>
      <c r="AA685" s="367"/>
      <c r="AB685" s="367"/>
      <c r="AC685" s="367"/>
      <c r="AD685" s="367"/>
      <c r="AE685" s="367"/>
      <c r="AF685" s="367"/>
    </row>
    <row r="686" ht="15.75" customHeight="1">
      <c r="A686" s="359"/>
      <c r="B686" s="361"/>
      <c r="C686" s="361"/>
      <c r="D686" s="361"/>
      <c r="E686" s="367"/>
      <c r="F686" s="367"/>
      <c r="G686" s="367"/>
      <c r="H686" s="367"/>
      <c r="I686" s="367"/>
      <c r="J686" s="367"/>
      <c r="K686" s="367"/>
      <c r="L686" s="367"/>
      <c r="M686" s="367"/>
      <c r="N686" s="367"/>
      <c r="O686" s="367"/>
      <c r="P686" s="367"/>
      <c r="Q686" s="367"/>
      <c r="R686" s="367"/>
      <c r="S686" s="367"/>
      <c r="T686" s="367"/>
      <c r="U686" s="367"/>
      <c r="V686" s="367"/>
      <c r="W686" s="367"/>
      <c r="X686" s="367"/>
      <c r="Y686" s="367"/>
      <c r="Z686" s="367"/>
      <c r="AA686" s="367"/>
      <c r="AB686" s="367"/>
      <c r="AC686" s="367"/>
      <c r="AD686" s="367"/>
      <c r="AE686" s="367"/>
      <c r="AF686" s="367"/>
    </row>
    <row r="687" ht="15.75" customHeight="1">
      <c r="A687" s="359"/>
      <c r="B687" s="361"/>
      <c r="C687" s="361"/>
      <c r="D687" s="361"/>
      <c r="E687" s="367"/>
      <c r="F687" s="367"/>
      <c r="G687" s="367"/>
      <c r="H687" s="367"/>
      <c r="I687" s="367"/>
      <c r="J687" s="367"/>
      <c r="K687" s="367"/>
      <c r="L687" s="367"/>
      <c r="M687" s="367"/>
      <c r="N687" s="367"/>
      <c r="O687" s="367"/>
      <c r="P687" s="367"/>
      <c r="Q687" s="367"/>
      <c r="R687" s="367"/>
      <c r="S687" s="367"/>
      <c r="T687" s="367"/>
      <c r="U687" s="367"/>
      <c r="V687" s="367"/>
      <c r="W687" s="367"/>
      <c r="X687" s="367"/>
      <c r="Y687" s="367"/>
      <c r="Z687" s="367"/>
      <c r="AA687" s="367"/>
      <c r="AB687" s="367"/>
      <c r="AC687" s="367"/>
      <c r="AD687" s="367"/>
      <c r="AE687" s="367"/>
      <c r="AF687" s="367"/>
    </row>
    <row r="688" ht="15.75" customHeight="1">
      <c r="A688" s="359"/>
      <c r="B688" s="361"/>
      <c r="C688" s="361"/>
      <c r="D688" s="361"/>
      <c r="E688" s="367"/>
      <c r="F688" s="367"/>
      <c r="G688" s="367"/>
      <c r="H688" s="367"/>
      <c r="I688" s="367"/>
      <c r="J688" s="367"/>
      <c r="K688" s="367"/>
      <c r="L688" s="367"/>
      <c r="M688" s="367"/>
      <c r="N688" s="367"/>
      <c r="O688" s="367"/>
      <c r="P688" s="367"/>
      <c r="Q688" s="367"/>
      <c r="R688" s="367"/>
      <c r="S688" s="367"/>
      <c r="T688" s="367"/>
      <c r="U688" s="367"/>
      <c r="V688" s="367"/>
      <c r="W688" s="367"/>
      <c r="X688" s="367"/>
      <c r="Y688" s="367"/>
      <c r="Z688" s="367"/>
      <c r="AA688" s="367"/>
      <c r="AB688" s="367"/>
      <c r="AC688" s="367"/>
      <c r="AD688" s="367"/>
      <c r="AE688" s="367"/>
      <c r="AF688" s="367"/>
    </row>
    <row r="689" ht="15.75" customHeight="1">
      <c r="A689" s="359"/>
      <c r="B689" s="361"/>
      <c r="C689" s="361"/>
      <c r="D689" s="361"/>
      <c r="E689" s="367"/>
      <c r="F689" s="367"/>
      <c r="G689" s="367"/>
      <c r="H689" s="367"/>
      <c r="I689" s="367"/>
      <c r="J689" s="367"/>
      <c r="K689" s="367"/>
      <c r="L689" s="367"/>
      <c r="M689" s="367"/>
      <c r="N689" s="367"/>
      <c r="O689" s="367"/>
      <c r="P689" s="367"/>
      <c r="Q689" s="367"/>
      <c r="R689" s="367"/>
      <c r="S689" s="367"/>
      <c r="T689" s="367"/>
      <c r="U689" s="367"/>
      <c r="V689" s="367"/>
      <c r="W689" s="367"/>
      <c r="X689" s="367"/>
      <c r="Y689" s="367"/>
      <c r="Z689" s="367"/>
      <c r="AA689" s="367"/>
      <c r="AB689" s="367"/>
      <c r="AC689" s="367"/>
      <c r="AD689" s="367"/>
      <c r="AE689" s="367"/>
      <c r="AF689" s="367"/>
    </row>
    <row r="690" ht="15.75" customHeight="1">
      <c r="A690" s="359"/>
      <c r="B690" s="361"/>
      <c r="C690" s="361"/>
      <c r="D690" s="361"/>
      <c r="E690" s="367"/>
      <c r="F690" s="367"/>
      <c r="G690" s="367"/>
      <c r="H690" s="367"/>
      <c r="I690" s="367"/>
      <c r="J690" s="367"/>
      <c r="K690" s="367"/>
      <c r="L690" s="367"/>
      <c r="M690" s="367"/>
      <c r="N690" s="367"/>
      <c r="O690" s="367"/>
      <c r="P690" s="367"/>
      <c r="Q690" s="367"/>
      <c r="R690" s="367"/>
      <c r="S690" s="367"/>
      <c r="T690" s="367"/>
      <c r="U690" s="367"/>
      <c r="V690" s="367"/>
      <c r="W690" s="367"/>
      <c r="X690" s="367"/>
      <c r="Y690" s="367"/>
      <c r="Z690" s="367"/>
      <c r="AA690" s="367"/>
      <c r="AB690" s="367"/>
      <c r="AC690" s="367"/>
      <c r="AD690" s="367"/>
      <c r="AE690" s="367"/>
      <c r="AF690" s="367"/>
    </row>
    <row r="691" ht="15.75" customHeight="1">
      <c r="A691" s="359"/>
      <c r="B691" s="361"/>
      <c r="C691" s="361"/>
      <c r="D691" s="361"/>
      <c r="E691" s="367"/>
      <c r="F691" s="367"/>
      <c r="G691" s="367"/>
      <c r="H691" s="367"/>
      <c r="I691" s="367"/>
      <c r="J691" s="367"/>
      <c r="K691" s="367"/>
      <c r="L691" s="367"/>
      <c r="M691" s="367"/>
      <c r="N691" s="367"/>
      <c r="O691" s="367"/>
      <c r="P691" s="367"/>
      <c r="Q691" s="367"/>
      <c r="R691" s="367"/>
      <c r="S691" s="367"/>
      <c r="T691" s="367"/>
      <c r="U691" s="367"/>
      <c r="V691" s="367"/>
      <c r="W691" s="367"/>
      <c r="X691" s="367"/>
      <c r="Y691" s="367"/>
      <c r="Z691" s="367"/>
      <c r="AA691" s="367"/>
      <c r="AB691" s="367"/>
      <c r="AC691" s="367"/>
      <c r="AD691" s="367"/>
      <c r="AE691" s="367"/>
      <c r="AF691" s="367"/>
    </row>
    <row r="692" ht="15.75" customHeight="1">
      <c r="A692" s="359"/>
      <c r="B692" s="361"/>
      <c r="C692" s="361"/>
      <c r="D692" s="361"/>
      <c r="E692" s="367"/>
      <c r="F692" s="367"/>
      <c r="G692" s="367"/>
      <c r="H692" s="367"/>
      <c r="I692" s="367"/>
      <c r="J692" s="367"/>
      <c r="K692" s="367"/>
      <c r="L692" s="367"/>
      <c r="M692" s="367"/>
      <c r="N692" s="367"/>
      <c r="O692" s="367"/>
      <c r="P692" s="367"/>
      <c r="Q692" s="367"/>
      <c r="R692" s="367"/>
      <c r="S692" s="367"/>
      <c r="T692" s="367"/>
      <c r="U692" s="367"/>
      <c r="V692" s="367"/>
      <c r="W692" s="367"/>
      <c r="X692" s="367"/>
      <c r="Y692" s="367"/>
      <c r="Z692" s="367"/>
      <c r="AA692" s="367"/>
      <c r="AB692" s="367"/>
      <c r="AC692" s="367"/>
      <c r="AD692" s="367"/>
      <c r="AE692" s="367"/>
      <c r="AF692" s="367"/>
    </row>
    <row r="693" ht="15.75" customHeight="1">
      <c r="A693" s="359"/>
      <c r="B693" s="361"/>
      <c r="C693" s="361"/>
      <c r="D693" s="361"/>
      <c r="E693" s="367"/>
      <c r="F693" s="367"/>
      <c r="G693" s="367"/>
      <c r="H693" s="367"/>
      <c r="I693" s="367"/>
      <c r="J693" s="367"/>
      <c r="K693" s="367"/>
      <c r="L693" s="367"/>
      <c r="M693" s="367"/>
      <c r="N693" s="367"/>
      <c r="O693" s="367"/>
      <c r="P693" s="367"/>
      <c r="Q693" s="367"/>
      <c r="R693" s="367"/>
      <c r="S693" s="367"/>
      <c r="T693" s="367"/>
      <c r="U693" s="367"/>
      <c r="V693" s="367"/>
      <c r="W693" s="367"/>
      <c r="X693" s="367"/>
      <c r="Y693" s="367"/>
      <c r="Z693" s="367"/>
      <c r="AA693" s="367"/>
      <c r="AB693" s="367"/>
      <c r="AC693" s="367"/>
      <c r="AD693" s="367"/>
      <c r="AE693" s="367"/>
      <c r="AF693" s="367"/>
    </row>
    <row r="694" ht="15.75" customHeight="1">
      <c r="A694" s="359"/>
      <c r="B694" s="361"/>
      <c r="C694" s="361"/>
      <c r="D694" s="361"/>
      <c r="E694" s="367"/>
      <c r="F694" s="367"/>
      <c r="G694" s="367"/>
      <c r="H694" s="367"/>
      <c r="I694" s="367"/>
      <c r="J694" s="367"/>
      <c r="K694" s="367"/>
      <c r="L694" s="367"/>
      <c r="M694" s="367"/>
      <c r="N694" s="367"/>
      <c r="O694" s="367"/>
      <c r="P694" s="367"/>
      <c r="Q694" s="367"/>
      <c r="R694" s="367"/>
      <c r="S694" s="367"/>
      <c r="T694" s="367"/>
      <c r="U694" s="367"/>
      <c r="V694" s="367"/>
      <c r="W694" s="367"/>
      <c r="X694" s="367"/>
      <c r="Y694" s="367"/>
      <c r="Z694" s="367"/>
      <c r="AA694" s="367"/>
      <c r="AB694" s="367"/>
      <c r="AC694" s="367"/>
      <c r="AD694" s="367"/>
      <c r="AE694" s="367"/>
      <c r="AF694" s="367"/>
    </row>
    <row r="695" ht="15.75" customHeight="1">
      <c r="A695" s="359"/>
      <c r="B695" s="361"/>
      <c r="C695" s="361"/>
      <c r="D695" s="361"/>
      <c r="E695" s="367"/>
      <c r="F695" s="367"/>
      <c r="G695" s="367"/>
      <c r="H695" s="367"/>
      <c r="I695" s="367"/>
      <c r="J695" s="367"/>
      <c r="K695" s="367"/>
      <c r="L695" s="367"/>
      <c r="M695" s="367"/>
      <c r="N695" s="367"/>
      <c r="O695" s="367"/>
      <c r="P695" s="367"/>
      <c r="Q695" s="367"/>
      <c r="R695" s="367"/>
      <c r="S695" s="367"/>
      <c r="T695" s="367"/>
      <c r="U695" s="367"/>
      <c r="V695" s="367"/>
      <c r="W695" s="367"/>
      <c r="X695" s="367"/>
      <c r="Y695" s="367"/>
      <c r="Z695" s="367"/>
      <c r="AA695" s="367"/>
      <c r="AB695" s="367"/>
      <c r="AC695" s="367"/>
      <c r="AD695" s="367"/>
      <c r="AE695" s="367"/>
      <c r="AF695" s="367"/>
    </row>
    <row r="696" ht="15.75" customHeight="1">
      <c r="A696" s="359"/>
      <c r="B696" s="361"/>
      <c r="C696" s="361"/>
      <c r="D696" s="361"/>
      <c r="E696" s="367"/>
      <c r="F696" s="367"/>
      <c r="G696" s="367"/>
      <c r="H696" s="367"/>
      <c r="I696" s="367"/>
      <c r="J696" s="367"/>
      <c r="K696" s="367"/>
      <c r="L696" s="367"/>
      <c r="M696" s="367"/>
      <c r="N696" s="367"/>
      <c r="O696" s="367"/>
      <c r="P696" s="367"/>
      <c r="Q696" s="367"/>
      <c r="R696" s="367"/>
      <c r="S696" s="367"/>
      <c r="T696" s="367"/>
      <c r="U696" s="367"/>
      <c r="V696" s="367"/>
      <c r="W696" s="367"/>
      <c r="X696" s="367"/>
      <c r="Y696" s="367"/>
      <c r="Z696" s="367"/>
      <c r="AA696" s="367"/>
      <c r="AB696" s="367"/>
      <c r="AC696" s="367"/>
      <c r="AD696" s="367"/>
      <c r="AE696" s="367"/>
      <c r="AF696" s="367"/>
    </row>
    <row r="697" ht="15.75" customHeight="1">
      <c r="A697" s="359"/>
      <c r="B697" s="361"/>
      <c r="C697" s="361"/>
      <c r="D697" s="361"/>
      <c r="E697" s="367"/>
      <c r="F697" s="367"/>
      <c r="G697" s="367"/>
      <c r="H697" s="367"/>
      <c r="I697" s="367"/>
      <c r="J697" s="367"/>
      <c r="K697" s="367"/>
      <c r="L697" s="367"/>
      <c r="M697" s="367"/>
      <c r="N697" s="367"/>
      <c r="O697" s="367"/>
      <c r="P697" s="367"/>
      <c r="Q697" s="367"/>
      <c r="R697" s="367"/>
      <c r="S697" s="367"/>
      <c r="T697" s="367"/>
      <c r="U697" s="367"/>
      <c r="V697" s="367"/>
      <c r="W697" s="367"/>
      <c r="X697" s="367"/>
      <c r="Y697" s="367"/>
      <c r="Z697" s="367"/>
      <c r="AA697" s="367"/>
      <c r="AB697" s="367"/>
      <c r="AC697" s="367"/>
      <c r="AD697" s="367"/>
      <c r="AE697" s="367"/>
      <c r="AF697" s="367"/>
    </row>
    <row r="698" ht="15.75" customHeight="1">
      <c r="A698" s="359"/>
      <c r="B698" s="361"/>
      <c r="C698" s="361"/>
      <c r="D698" s="361"/>
      <c r="E698" s="367"/>
      <c r="F698" s="367"/>
      <c r="G698" s="367"/>
      <c r="H698" s="367"/>
      <c r="I698" s="367"/>
      <c r="J698" s="367"/>
      <c r="K698" s="367"/>
      <c r="L698" s="367"/>
      <c r="M698" s="367"/>
      <c r="N698" s="367"/>
      <c r="O698" s="367"/>
      <c r="P698" s="367"/>
      <c r="Q698" s="367"/>
      <c r="R698" s="367"/>
      <c r="S698" s="367"/>
      <c r="T698" s="367"/>
      <c r="U698" s="367"/>
      <c r="V698" s="367"/>
      <c r="W698" s="367"/>
      <c r="X698" s="367"/>
      <c r="Y698" s="367"/>
      <c r="Z698" s="367"/>
      <c r="AA698" s="367"/>
      <c r="AB698" s="367"/>
      <c r="AC698" s="367"/>
      <c r="AD698" s="367"/>
      <c r="AE698" s="367"/>
      <c r="AF698" s="367"/>
    </row>
    <row r="699" ht="15.75" customHeight="1">
      <c r="A699" s="359"/>
      <c r="B699" s="361"/>
      <c r="C699" s="361"/>
      <c r="D699" s="361"/>
      <c r="E699" s="367"/>
      <c r="F699" s="367"/>
      <c r="G699" s="367"/>
      <c r="H699" s="367"/>
      <c r="I699" s="367"/>
      <c r="J699" s="367"/>
      <c r="K699" s="367"/>
      <c r="L699" s="367"/>
      <c r="M699" s="367"/>
      <c r="N699" s="367"/>
      <c r="O699" s="367"/>
      <c r="P699" s="367"/>
      <c r="Q699" s="367"/>
      <c r="R699" s="367"/>
      <c r="S699" s="367"/>
      <c r="T699" s="367"/>
      <c r="U699" s="367"/>
      <c r="V699" s="367"/>
      <c r="W699" s="367"/>
      <c r="X699" s="367"/>
      <c r="Y699" s="367"/>
      <c r="Z699" s="367"/>
      <c r="AA699" s="367"/>
      <c r="AB699" s="367"/>
      <c r="AC699" s="367"/>
      <c r="AD699" s="367"/>
      <c r="AE699" s="367"/>
      <c r="AF699" s="367"/>
    </row>
    <row r="700" ht="15.75" customHeight="1">
      <c r="A700" s="359"/>
      <c r="B700" s="361"/>
      <c r="C700" s="361"/>
      <c r="D700" s="361"/>
      <c r="E700" s="367"/>
      <c r="F700" s="367"/>
      <c r="G700" s="367"/>
      <c r="H700" s="367"/>
      <c r="I700" s="367"/>
      <c r="J700" s="367"/>
      <c r="K700" s="367"/>
      <c r="L700" s="367"/>
      <c r="M700" s="367"/>
      <c r="N700" s="367"/>
      <c r="O700" s="367"/>
      <c r="P700" s="367"/>
      <c r="Q700" s="367"/>
      <c r="R700" s="367"/>
      <c r="S700" s="367"/>
      <c r="T700" s="367"/>
      <c r="U700" s="367"/>
      <c r="V700" s="367"/>
      <c r="W700" s="367"/>
      <c r="X700" s="367"/>
      <c r="Y700" s="367"/>
      <c r="Z700" s="367"/>
      <c r="AA700" s="367"/>
      <c r="AB700" s="367"/>
      <c r="AC700" s="367"/>
      <c r="AD700" s="367"/>
      <c r="AE700" s="367"/>
      <c r="AF700" s="367"/>
    </row>
    <row r="701" ht="15.75" customHeight="1">
      <c r="A701" s="359"/>
      <c r="B701" s="361"/>
      <c r="C701" s="361"/>
      <c r="D701" s="361"/>
      <c r="E701" s="367"/>
      <c r="F701" s="367"/>
      <c r="G701" s="367"/>
      <c r="H701" s="367"/>
      <c r="I701" s="367"/>
      <c r="J701" s="367"/>
      <c r="K701" s="367"/>
      <c r="L701" s="367"/>
      <c r="M701" s="367"/>
      <c r="N701" s="367"/>
      <c r="O701" s="367"/>
      <c r="P701" s="367"/>
      <c r="Q701" s="367"/>
      <c r="R701" s="367"/>
      <c r="S701" s="367"/>
      <c r="T701" s="367"/>
      <c r="U701" s="367"/>
      <c r="V701" s="367"/>
      <c r="W701" s="367"/>
      <c r="X701" s="367"/>
      <c r="Y701" s="367"/>
      <c r="Z701" s="367"/>
      <c r="AA701" s="367"/>
      <c r="AB701" s="367"/>
      <c r="AC701" s="367"/>
      <c r="AD701" s="367"/>
      <c r="AE701" s="367"/>
      <c r="AF701" s="367"/>
    </row>
    <row r="702" ht="15.75" customHeight="1">
      <c r="A702" s="359"/>
      <c r="B702" s="361"/>
      <c r="C702" s="361"/>
      <c r="D702" s="361"/>
      <c r="E702" s="367"/>
      <c r="F702" s="367"/>
      <c r="G702" s="367"/>
      <c r="H702" s="367"/>
      <c r="I702" s="367"/>
      <c r="J702" s="367"/>
      <c r="K702" s="367"/>
      <c r="L702" s="367"/>
      <c r="M702" s="367"/>
      <c r="N702" s="367"/>
      <c r="O702" s="367"/>
      <c r="P702" s="367"/>
      <c r="Q702" s="367"/>
      <c r="R702" s="367"/>
      <c r="S702" s="367"/>
      <c r="T702" s="367"/>
      <c r="U702" s="367"/>
      <c r="V702" s="367"/>
      <c r="W702" s="367"/>
      <c r="X702" s="367"/>
      <c r="Y702" s="367"/>
      <c r="Z702" s="367"/>
      <c r="AA702" s="367"/>
      <c r="AB702" s="367"/>
      <c r="AC702" s="367"/>
      <c r="AD702" s="367"/>
      <c r="AE702" s="367"/>
      <c r="AF702" s="367"/>
    </row>
    <row r="703" ht="15.75" customHeight="1">
      <c r="A703" s="359"/>
      <c r="B703" s="361"/>
      <c r="C703" s="361"/>
      <c r="D703" s="361"/>
      <c r="E703" s="367"/>
      <c r="F703" s="367"/>
      <c r="G703" s="367"/>
      <c r="H703" s="367"/>
      <c r="I703" s="367"/>
      <c r="J703" s="367"/>
      <c r="K703" s="367"/>
      <c r="L703" s="367"/>
      <c r="M703" s="367"/>
      <c r="N703" s="367"/>
      <c r="O703" s="367"/>
      <c r="P703" s="367"/>
      <c r="Q703" s="367"/>
      <c r="R703" s="367"/>
      <c r="S703" s="367"/>
      <c r="T703" s="367"/>
      <c r="U703" s="367"/>
      <c r="V703" s="367"/>
      <c r="W703" s="367"/>
      <c r="X703" s="367"/>
      <c r="Y703" s="367"/>
      <c r="Z703" s="367"/>
      <c r="AA703" s="367"/>
      <c r="AB703" s="367"/>
      <c r="AC703" s="367"/>
      <c r="AD703" s="367"/>
      <c r="AE703" s="367"/>
      <c r="AF703" s="367"/>
    </row>
    <row r="704" ht="15.75" customHeight="1">
      <c r="A704" s="359"/>
      <c r="B704" s="361"/>
      <c r="C704" s="361"/>
      <c r="D704" s="361"/>
      <c r="E704" s="367"/>
      <c r="F704" s="367"/>
      <c r="G704" s="367"/>
      <c r="H704" s="367"/>
      <c r="I704" s="367"/>
      <c r="J704" s="367"/>
      <c r="K704" s="367"/>
      <c r="L704" s="367"/>
      <c r="M704" s="367"/>
      <c r="N704" s="367"/>
      <c r="O704" s="367"/>
      <c r="P704" s="367"/>
      <c r="Q704" s="367"/>
      <c r="R704" s="367"/>
      <c r="S704" s="367"/>
      <c r="T704" s="367"/>
      <c r="U704" s="367"/>
      <c r="V704" s="367"/>
      <c r="W704" s="367"/>
      <c r="X704" s="367"/>
      <c r="Y704" s="367"/>
      <c r="Z704" s="367"/>
      <c r="AA704" s="367"/>
      <c r="AB704" s="367"/>
      <c r="AC704" s="367"/>
      <c r="AD704" s="367"/>
      <c r="AE704" s="367"/>
      <c r="AF704" s="367"/>
    </row>
    <row r="705" ht="15.75" customHeight="1">
      <c r="A705" s="359"/>
      <c r="B705" s="361"/>
      <c r="C705" s="361"/>
      <c r="D705" s="361"/>
      <c r="E705" s="367"/>
      <c r="F705" s="367"/>
      <c r="G705" s="367"/>
      <c r="H705" s="367"/>
      <c r="I705" s="367"/>
      <c r="J705" s="367"/>
      <c r="K705" s="367"/>
      <c r="L705" s="367"/>
      <c r="M705" s="367"/>
      <c r="N705" s="367"/>
      <c r="O705" s="367"/>
      <c r="P705" s="367"/>
      <c r="Q705" s="367"/>
      <c r="R705" s="367"/>
      <c r="S705" s="367"/>
      <c r="T705" s="367"/>
      <c r="U705" s="367"/>
      <c r="V705" s="367"/>
      <c r="W705" s="367"/>
      <c r="X705" s="367"/>
      <c r="Y705" s="367"/>
      <c r="Z705" s="367"/>
      <c r="AA705" s="367"/>
      <c r="AB705" s="367"/>
      <c r="AC705" s="367"/>
      <c r="AD705" s="367"/>
      <c r="AE705" s="367"/>
      <c r="AF705" s="367"/>
    </row>
    <row r="706" ht="15.75" customHeight="1">
      <c r="A706" s="359"/>
      <c r="B706" s="361"/>
      <c r="C706" s="361"/>
      <c r="D706" s="361"/>
      <c r="E706" s="367"/>
      <c r="F706" s="367"/>
      <c r="G706" s="367"/>
      <c r="H706" s="367"/>
      <c r="I706" s="367"/>
      <c r="J706" s="367"/>
      <c r="K706" s="367"/>
      <c r="L706" s="367"/>
      <c r="M706" s="367"/>
      <c r="N706" s="367"/>
      <c r="O706" s="367"/>
      <c r="P706" s="367"/>
      <c r="Q706" s="367"/>
      <c r="R706" s="367"/>
      <c r="S706" s="367"/>
      <c r="T706" s="367"/>
      <c r="U706" s="367"/>
      <c r="V706" s="367"/>
      <c r="W706" s="367"/>
      <c r="X706" s="367"/>
      <c r="Y706" s="367"/>
      <c r="Z706" s="367"/>
      <c r="AA706" s="367"/>
      <c r="AB706" s="367"/>
      <c r="AC706" s="367"/>
      <c r="AD706" s="367"/>
      <c r="AE706" s="367"/>
      <c r="AF706" s="367"/>
    </row>
    <row r="707" ht="15.75" customHeight="1">
      <c r="A707" s="359"/>
      <c r="B707" s="361"/>
      <c r="C707" s="361"/>
      <c r="D707" s="361"/>
      <c r="E707" s="367"/>
      <c r="F707" s="367"/>
      <c r="G707" s="367"/>
      <c r="H707" s="367"/>
      <c r="I707" s="367"/>
      <c r="J707" s="367"/>
      <c r="K707" s="367"/>
      <c r="L707" s="367"/>
      <c r="M707" s="367"/>
      <c r="N707" s="367"/>
      <c r="O707" s="367"/>
      <c r="P707" s="367"/>
      <c r="Q707" s="367"/>
      <c r="R707" s="367"/>
      <c r="S707" s="367"/>
      <c r="T707" s="367"/>
      <c r="U707" s="367"/>
      <c r="V707" s="367"/>
      <c r="W707" s="367"/>
      <c r="X707" s="367"/>
      <c r="Y707" s="367"/>
      <c r="Z707" s="367"/>
      <c r="AA707" s="367"/>
      <c r="AB707" s="367"/>
      <c r="AC707" s="367"/>
      <c r="AD707" s="367"/>
      <c r="AE707" s="367"/>
      <c r="AF707" s="367"/>
    </row>
    <row r="708" ht="15.75" customHeight="1">
      <c r="A708" s="359"/>
      <c r="B708" s="361"/>
      <c r="C708" s="361"/>
      <c r="D708" s="361"/>
      <c r="E708" s="367"/>
      <c r="F708" s="367"/>
      <c r="G708" s="367"/>
      <c r="H708" s="367"/>
      <c r="I708" s="367"/>
      <c r="J708" s="367"/>
      <c r="K708" s="367"/>
      <c r="L708" s="367"/>
      <c r="M708" s="367"/>
      <c r="N708" s="367"/>
      <c r="O708" s="367"/>
      <c r="P708" s="367"/>
      <c r="Q708" s="367"/>
      <c r="R708" s="367"/>
      <c r="S708" s="367"/>
      <c r="T708" s="367"/>
      <c r="U708" s="367"/>
      <c r="V708" s="367"/>
      <c r="W708" s="367"/>
      <c r="X708" s="367"/>
      <c r="Y708" s="367"/>
      <c r="Z708" s="367"/>
      <c r="AA708" s="367"/>
      <c r="AB708" s="367"/>
      <c r="AC708" s="367"/>
      <c r="AD708" s="367"/>
      <c r="AE708" s="367"/>
      <c r="AF708" s="367"/>
    </row>
    <row r="709" ht="15.75" customHeight="1">
      <c r="A709" s="359"/>
      <c r="B709" s="361"/>
      <c r="C709" s="361"/>
      <c r="D709" s="361"/>
      <c r="E709" s="367"/>
      <c r="F709" s="367"/>
      <c r="G709" s="367"/>
      <c r="H709" s="367"/>
      <c r="I709" s="367"/>
      <c r="J709" s="367"/>
      <c r="K709" s="367"/>
      <c r="L709" s="367"/>
      <c r="M709" s="367"/>
      <c r="N709" s="367"/>
      <c r="O709" s="367"/>
      <c r="P709" s="367"/>
      <c r="Q709" s="367"/>
      <c r="R709" s="367"/>
      <c r="S709" s="367"/>
      <c r="T709" s="367"/>
      <c r="U709" s="367"/>
      <c r="V709" s="367"/>
      <c r="W709" s="367"/>
      <c r="X709" s="367"/>
      <c r="Y709" s="367"/>
      <c r="Z709" s="367"/>
      <c r="AA709" s="367"/>
      <c r="AB709" s="367"/>
      <c r="AC709" s="367"/>
      <c r="AD709" s="367"/>
      <c r="AE709" s="367"/>
      <c r="AF709" s="367"/>
    </row>
    <row r="710" ht="15.75" customHeight="1">
      <c r="A710" s="359"/>
      <c r="B710" s="361"/>
      <c r="C710" s="361"/>
      <c r="D710" s="361"/>
      <c r="E710" s="367"/>
      <c r="F710" s="367"/>
      <c r="G710" s="367"/>
      <c r="H710" s="367"/>
      <c r="I710" s="367"/>
      <c r="J710" s="367"/>
      <c r="K710" s="367"/>
      <c r="L710" s="367"/>
      <c r="M710" s="367"/>
      <c r="N710" s="367"/>
      <c r="O710" s="367"/>
      <c r="P710" s="367"/>
      <c r="Q710" s="367"/>
      <c r="R710" s="367"/>
      <c r="S710" s="367"/>
      <c r="T710" s="367"/>
      <c r="U710" s="367"/>
      <c r="V710" s="367"/>
      <c r="W710" s="367"/>
      <c r="X710" s="367"/>
      <c r="Y710" s="367"/>
      <c r="Z710" s="367"/>
      <c r="AA710" s="367"/>
      <c r="AB710" s="367"/>
      <c r="AC710" s="367"/>
      <c r="AD710" s="367"/>
      <c r="AE710" s="367"/>
      <c r="AF710" s="367"/>
    </row>
    <row r="711" ht="15.75" customHeight="1">
      <c r="A711" s="359"/>
      <c r="B711" s="361"/>
      <c r="C711" s="361"/>
      <c r="D711" s="361"/>
      <c r="E711" s="367"/>
      <c r="F711" s="367"/>
      <c r="G711" s="367"/>
      <c r="H711" s="367"/>
      <c r="I711" s="367"/>
      <c r="J711" s="367"/>
      <c r="K711" s="367"/>
      <c r="L711" s="367"/>
      <c r="M711" s="367"/>
      <c r="N711" s="367"/>
      <c r="O711" s="367"/>
      <c r="P711" s="367"/>
      <c r="Q711" s="367"/>
      <c r="R711" s="367"/>
      <c r="S711" s="367"/>
      <c r="T711" s="367"/>
      <c r="U711" s="367"/>
      <c r="V711" s="367"/>
      <c r="W711" s="367"/>
      <c r="X711" s="367"/>
      <c r="Y711" s="367"/>
      <c r="Z711" s="367"/>
      <c r="AA711" s="367"/>
      <c r="AB711" s="367"/>
      <c r="AC711" s="367"/>
      <c r="AD711" s="367"/>
      <c r="AE711" s="367"/>
      <c r="AF711" s="367"/>
    </row>
    <row r="712" ht="15.75" customHeight="1">
      <c r="A712" s="359"/>
      <c r="B712" s="361"/>
      <c r="C712" s="361"/>
      <c r="D712" s="361"/>
      <c r="E712" s="367"/>
      <c r="F712" s="367"/>
      <c r="G712" s="367"/>
      <c r="H712" s="367"/>
      <c r="I712" s="367"/>
      <c r="J712" s="367"/>
      <c r="K712" s="367"/>
      <c r="L712" s="367"/>
      <c r="M712" s="367"/>
      <c r="N712" s="367"/>
      <c r="O712" s="367"/>
      <c r="P712" s="367"/>
      <c r="Q712" s="367"/>
      <c r="R712" s="367"/>
      <c r="S712" s="367"/>
      <c r="T712" s="367"/>
      <c r="U712" s="367"/>
      <c r="V712" s="367"/>
      <c r="W712" s="367"/>
      <c r="X712" s="367"/>
      <c r="Y712" s="367"/>
      <c r="Z712" s="367"/>
      <c r="AA712" s="367"/>
      <c r="AB712" s="367"/>
      <c r="AC712" s="367"/>
      <c r="AD712" s="367"/>
      <c r="AE712" s="367"/>
      <c r="AF712" s="367"/>
    </row>
    <row r="713" ht="15.75" customHeight="1">
      <c r="A713" s="359"/>
      <c r="B713" s="361"/>
      <c r="C713" s="361"/>
      <c r="D713" s="361"/>
      <c r="E713" s="367"/>
      <c r="F713" s="367"/>
      <c r="G713" s="367"/>
      <c r="H713" s="367"/>
      <c r="I713" s="367"/>
      <c r="J713" s="367"/>
      <c r="K713" s="367"/>
      <c r="L713" s="367"/>
      <c r="M713" s="367"/>
      <c r="N713" s="367"/>
      <c r="O713" s="367"/>
      <c r="P713" s="367"/>
      <c r="Q713" s="367"/>
      <c r="R713" s="367"/>
      <c r="S713" s="367"/>
      <c r="T713" s="367"/>
      <c r="U713" s="367"/>
      <c r="V713" s="367"/>
      <c r="W713" s="367"/>
      <c r="X713" s="367"/>
      <c r="Y713" s="367"/>
      <c r="Z713" s="367"/>
      <c r="AA713" s="367"/>
      <c r="AB713" s="367"/>
      <c r="AC713" s="367"/>
      <c r="AD713" s="367"/>
      <c r="AE713" s="367"/>
      <c r="AF713" s="367"/>
    </row>
    <row r="714" ht="15.75" customHeight="1">
      <c r="A714" s="359"/>
      <c r="B714" s="361"/>
      <c r="C714" s="361"/>
      <c r="D714" s="361"/>
      <c r="E714" s="367"/>
      <c r="F714" s="367"/>
      <c r="G714" s="367"/>
      <c r="H714" s="367"/>
      <c r="I714" s="367"/>
      <c r="J714" s="367"/>
      <c r="K714" s="367"/>
      <c r="L714" s="367"/>
      <c r="M714" s="367"/>
      <c r="N714" s="367"/>
      <c r="O714" s="367"/>
      <c r="P714" s="367"/>
      <c r="Q714" s="367"/>
      <c r="R714" s="367"/>
      <c r="S714" s="367"/>
      <c r="T714" s="367"/>
      <c r="U714" s="367"/>
      <c r="V714" s="367"/>
      <c r="W714" s="367"/>
      <c r="X714" s="367"/>
      <c r="Y714" s="367"/>
      <c r="Z714" s="367"/>
      <c r="AA714" s="367"/>
      <c r="AB714" s="367"/>
      <c r="AC714" s="367"/>
      <c r="AD714" s="367"/>
      <c r="AE714" s="367"/>
      <c r="AF714" s="367"/>
    </row>
    <row r="715" ht="15.75" customHeight="1">
      <c r="A715" s="359"/>
      <c r="B715" s="361"/>
      <c r="C715" s="361"/>
      <c r="D715" s="361"/>
      <c r="E715" s="367"/>
      <c r="F715" s="367"/>
      <c r="G715" s="367"/>
      <c r="H715" s="367"/>
      <c r="I715" s="367"/>
      <c r="J715" s="367"/>
      <c r="K715" s="367"/>
      <c r="L715" s="367"/>
      <c r="M715" s="367"/>
      <c r="N715" s="367"/>
      <c r="O715" s="367"/>
      <c r="P715" s="367"/>
      <c r="Q715" s="367"/>
      <c r="R715" s="367"/>
      <c r="S715" s="367"/>
      <c r="T715" s="367"/>
      <c r="U715" s="367"/>
      <c r="V715" s="367"/>
      <c r="W715" s="367"/>
      <c r="X715" s="367"/>
      <c r="Y715" s="367"/>
      <c r="Z715" s="367"/>
      <c r="AA715" s="367"/>
      <c r="AB715" s="367"/>
      <c r="AC715" s="367"/>
      <c r="AD715" s="367"/>
      <c r="AE715" s="367"/>
      <c r="AF715" s="367"/>
    </row>
    <row r="716" ht="15.75" customHeight="1">
      <c r="A716" s="359"/>
      <c r="B716" s="361"/>
      <c r="C716" s="361"/>
      <c r="D716" s="361"/>
      <c r="E716" s="367"/>
      <c r="F716" s="367"/>
      <c r="G716" s="367"/>
      <c r="H716" s="367"/>
      <c r="I716" s="367"/>
      <c r="J716" s="367"/>
      <c r="K716" s="367"/>
      <c r="L716" s="367"/>
      <c r="M716" s="367"/>
      <c r="N716" s="367"/>
      <c r="O716" s="367"/>
      <c r="P716" s="367"/>
      <c r="Q716" s="367"/>
      <c r="R716" s="367"/>
      <c r="S716" s="367"/>
      <c r="T716" s="367"/>
      <c r="U716" s="367"/>
      <c r="V716" s="367"/>
      <c r="W716" s="367"/>
      <c r="X716" s="367"/>
      <c r="Y716" s="367"/>
      <c r="Z716" s="367"/>
      <c r="AA716" s="367"/>
      <c r="AB716" s="367"/>
      <c r="AC716" s="367"/>
      <c r="AD716" s="367"/>
      <c r="AE716" s="367"/>
      <c r="AF716" s="367"/>
    </row>
    <row r="717" ht="15.75" customHeight="1">
      <c r="A717" s="359"/>
      <c r="B717" s="361"/>
      <c r="C717" s="361"/>
      <c r="D717" s="361"/>
      <c r="E717" s="367"/>
      <c r="F717" s="367"/>
      <c r="G717" s="367"/>
      <c r="H717" s="367"/>
      <c r="I717" s="367"/>
      <c r="J717" s="367"/>
      <c r="K717" s="367"/>
      <c r="L717" s="367"/>
      <c r="M717" s="367"/>
      <c r="N717" s="367"/>
      <c r="O717" s="367"/>
      <c r="P717" s="367"/>
      <c r="Q717" s="367"/>
      <c r="R717" s="367"/>
      <c r="S717" s="367"/>
      <c r="T717" s="367"/>
      <c r="U717" s="367"/>
      <c r="V717" s="367"/>
      <c r="W717" s="367"/>
      <c r="X717" s="367"/>
      <c r="Y717" s="367"/>
      <c r="Z717" s="367"/>
      <c r="AA717" s="367"/>
      <c r="AB717" s="367"/>
      <c r="AC717" s="367"/>
      <c r="AD717" s="367"/>
      <c r="AE717" s="367"/>
      <c r="AF717" s="367"/>
    </row>
    <row r="718" ht="15.75" customHeight="1">
      <c r="A718" s="359"/>
      <c r="B718" s="361"/>
      <c r="C718" s="361"/>
      <c r="D718" s="361"/>
      <c r="E718" s="367"/>
      <c r="F718" s="367"/>
      <c r="G718" s="367"/>
      <c r="H718" s="367"/>
      <c r="I718" s="367"/>
      <c r="J718" s="367"/>
      <c r="K718" s="367"/>
      <c r="L718" s="367"/>
      <c r="M718" s="367"/>
      <c r="N718" s="367"/>
      <c r="O718" s="367"/>
      <c r="P718" s="367"/>
      <c r="Q718" s="367"/>
      <c r="R718" s="367"/>
      <c r="S718" s="367"/>
      <c r="T718" s="367"/>
      <c r="U718" s="367"/>
      <c r="V718" s="367"/>
      <c r="W718" s="367"/>
      <c r="X718" s="367"/>
      <c r="Y718" s="367"/>
      <c r="Z718" s="367"/>
      <c r="AA718" s="367"/>
      <c r="AB718" s="367"/>
      <c r="AC718" s="367"/>
      <c r="AD718" s="367"/>
      <c r="AE718" s="367"/>
      <c r="AF718" s="367"/>
    </row>
    <row r="719" ht="15.75" customHeight="1">
      <c r="A719" s="359"/>
      <c r="B719" s="361"/>
      <c r="C719" s="361"/>
      <c r="D719" s="361"/>
      <c r="E719" s="367"/>
      <c r="F719" s="367"/>
      <c r="G719" s="367"/>
      <c r="H719" s="367"/>
      <c r="I719" s="367"/>
      <c r="J719" s="367"/>
      <c r="K719" s="367"/>
      <c r="L719" s="367"/>
      <c r="M719" s="367"/>
      <c r="N719" s="367"/>
      <c r="O719" s="367"/>
      <c r="P719" s="367"/>
      <c r="Q719" s="367"/>
      <c r="R719" s="367"/>
      <c r="S719" s="367"/>
      <c r="T719" s="367"/>
      <c r="U719" s="367"/>
      <c r="V719" s="367"/>
      <c r="W719" s="367"/>
      <c r="X719" s="367"/>
      <c r="Y719" s="367"/>
      <c r="Z719" s="367"/>
      <c r="AA719" s="367"/>
      <c r="AB719" s="367"/>
      <c r="AC719" s="367"/>
      <c r="AD719" s="367"/>
      <c r="AE719" s="367"/>
      <c r="AF719" s="367"/>
    </row>
    <row r="720" ht="15.75" customHeight="1">
      <c r="A720" s="359"/>
      <c r="B720" s="361"/>
      <c r="C720" s="361"/>
      <c r="D720" s="361"/>
      <c r="E720" s="367"/>
      <c r="F720" s="367"/>
      <c r="G720" s="367"/>
      <c r="H720" s="367"/>
      <c r="I720" s="367"/>
      <c r="J720" s="367"/>
      <c r="K720" s="367"/>
      <c r="L720" s="367"/>
      <c r="M720" s="367"/>
      <c r="N720" s="367"/>
      <c r="O720" s="367"/>
      <c r="P720" s="367"/>
      <c r="Q720" s="367"/>
      <c r="R720" s="367"/>
      <c r="S720" s="367"/>
      <c r="T720" s="367"/>
      <c r="U720" s="367"/>
      <c r="V720" s="367"/>
      <c r="W720" s="367"/>
      <c r="X720" s="367"/>
      <c r="Y720" s="367"/>
      <c r="Z720" s="367"/>
      <c r="AA720" s="367"/>
      <c r="AB720" s="367"/>
      <c r="AC720" s="367"/>
      <c r="AD720" s="367"/>
      <c r="AE720" s="367"/>
      <c r="AF720" s="367"/>
    </row>
    <row r="721" ht="15.75" customHeight="1">
      <c r="A721" s="359"/>
      <c r="B721" s="361"/>
      <c r="C721" s="361"/>
      <c r="D721" s="361"/>
      <c r="E721" s="367"/>
      <c r="F721" s="367"/>
      <c r="G721" s="367"/>
      <c r="H721" s="367"/>
      <c r="I721" s="367"/>
      <c r="J721" s="367"/>
      <c r="K721" s="367"/>
      <c r="L721" s="367"/>
      <c r="M721" s="367"/>
      <c r="N721" s="367"/>
      <c r="O721" s="367"/>
      <c r="P721" s="367"/>
      <c r="Q721" s="367"/>
      <c r="R721" s="367"/>
      <c r="S721" s="367"/>
      <c r="T721" s="367"/>
      <c r="U721" s="367"/>
      <c r="V721" s="367"/>
      <c r="W721" s="367"/>
      <c r="X721" s="367"/>
      <c r="Y721" s="367"/>
      <c r="Z721" s="367"/>
      <c r="AA721" s="367"/>
      <c r="AB721" s="367"/>
      <c r="AC721" s="367"/>
      <c r="AD721" s="367"/>
      <c r="AE721" s="367"/>
      <c r="AF721" s="367"/>
    </row>
    <row r="722" ht="15.75" customHeight="1">
      <c r="A722" s="359"/>
      <c r="B722" s="361"/>
      <c r="C722" s="361"/>
      <c r="D722" s="361"/>
      <c r="E722" s="367"/>
      <c r="F722" s="367"/>
      <c r="G722" s="367"/>
      <c r="H722" s="367"/>
      <c r="I722" s="367"/>
      <c r="J722" s="367"/>
      <c r="K722" s="367"/>
      <c r="L722" s="367"/>
      <c r="M722" s="367"/>
      <c r="N722" s="367"/>
      <c r="O722" s="367"/>
      <c r="P722" s="367"/>
      <c r="Q722" s="367"/>
      <c r="R722" s="367"/>
      <c r="S722" s="367"/>
      <c r="T722" s="367"/>
      <c r="U722" s="367"/>
      <c r="V722" s="367"/>
      <c r="W722" s="367"/>
      <c r="X722" s="367"/>
      <c r="Y722" s="367"/>
      <c r="Z722" s="367"/>
      <c r="AA722" s="367"/>
      <c r="AB722" s="367"/>
      <c r="AC722" s="367"/>
      <c r="AD722" s="367"/>
      <c r="AE722" s="367"/>
      <c r="AF722" s="367"/>
    </row>
    <row r="723" ht="15.75" customHeight="1">
      <c r="A723" s="359"/>
      <c r="B723" s="361"/>
      <c r="C723" s="361"/>
      <c r="D723" s="361"/>
      <c r="E723" s="367"/>
      <c r="F723" s="367"/>
      <c r="G723" s="367"/>
      <c r="H723" s="367"/>
      <c r="I723" s="367"/>
      <c r="J723" s="367"/>
      <c r="K723" s="367"/>
      <c r="L723" s="367"/>
      <c r="M723" s="367"/>
      <c r="N723" s="367"/>
      <c r="O723" s="367"/>
      <c r="P723" s="367"/>
      <c r="Q723" s="367"/>
      <c r="R723" s="367"/>
      <c r="S723" s="367"/>
      <c r="T723" s="367"/>
      <c r="U723" s="367"/>
      <c r="V723" s="367"/>
      <c r="W723" s="367"/>
      <c r="X723" s="367"/>
      <c r="Y723" s="367"/>
      <c r="Z723" s="367"/>
      <c r="AA723" s="367"/>
      <c r="AB723" s="367"/>
      <c r="AC723" s="367"/>
      <c r="AD723" s="367"/>
      <c r="AE723" s="367"/>
      <c r="AF723" s="367"/>
    </row>
    <row r="724" ht="15.75" customHeight="1">
      <c r="A724" s="359"/>
      <c r="B724" s="361"/>
      <c r="C724" s="361"/>
      <c r="D724" s="361"/>
      <c r="E724" s="367"/>
      <c r="F724" s="367"/>
      <c r="G724" s="367"/>
      <c r="H724" s="367"/>
      <c r="I724" s="367"/>
      <c r="J724" s="367"/>
      <c r="K724" s="367"/>
      <c r="L724" s="367"/>
      <c r="M724" s="367"/>
      <c r="N724" s="367"/>
      <c r="O724" s="367"/>
      <c r="P724" s="367"/>
      <c r="Q724" s="367"/>
      <c r="R724" s="367"/>
      <c r="S724" s="367"/>
      <c r="T724" s="367"/>
      <c r="U724" s="367"/>
      <c r="V724" s="367"/>
      <c r="W724" s="367"/>
      <c r="X724" s="367"/>
      <c r="Y724" s="367"/>
      <c r="Z724" s="367"/>
      <c r="AA724" s="367"/>
      <c r="AB724" s="367"/>
      <c r="AC724" s="367"/>
      <c r="AD724" s="367"/>
      <c r="AE724" s="367"/>
      <c r="AF724" s="367"/>
    </row>
    <row r="725" ht="15.75" customHeight="1">
      <c r="A725" s="359"/>
      <c r="B725" s="361"/>
      <c r="C725" s="361"/>
      <c r="D725" s="361"/>
      <c r="E725" s="367"/>
      <c r="F725" s="367"/>
      <c r="G725" s="367"/>
      <c r="H725" s="367"/>
      <c r="I725" s="367"/>
      <c r="J725" s="367"/>
      <c r="K725" s="367"/>
      <c r="L725" s="367"/>
      <c r="M725" s="367"/>
      <c r="N725" s="367"/>
      <c r="O725" s="367"/>
      <c r="P725" s="367"/>
      <c r="Q725" s="367"/>
      <c r="R725" s="367"/>
      <c r="S725" s="367"/>
      <c r="T725" s="367"/>
      <c r="U725" s="367"/>
      <c r="V725" s="367"/>
      <c r="W725" s="367"/>
      <c r="X725" s="367"/>
      <c r="Y725" s="367"/>
      <c r="Z725" s="367"/>
      <c r="AA725" s="367"/>
      <c r="AB725" s="367"/>
      <c r="AC725" s="367"/>
      <c r="AD725" s="367"/>
      <c r="AE725" s="367"/>
      <c r="AF725" s="367"/>
    </row>
    <row r="726" ht="15.75" customHeight="1">
      <c r="A726" s="359"/>
      <c r="B726" s="361"/>
      <c r="C726" s="361"/>
      <c r="D726" s="361"/>
      <c r="E726" s="367"/>
      <c r="F726" s="367"/>
      <c r="G726" s="367"/>
      <c r="H726" s="367"/>
      <c r="I726" s="367"/>
      <c r="J726" s="367"/>
      <c r="K726" s="367"/>
      <c r="L726" s="367"/>
      <c r="M726" s="367"/>
      <c r="N726" s="367"/>
      <c r="O726" s="367"/>
      <c r="P726" s="367"/>
      <c r="Q726" s="367"/>
      <c r="R726" s="367"/>
      <c r="S726" s="367"/>
      <c r="T726" s="367"/>
      <c r="U726" s="367"/>
      <c r="V726" s="367"/>
      <c r="W726" s="367"/>
      <c r="X726" s="367"/>
      <c r="Y726" s="367"/>
      <c r="Z726" s="367"/>
      <c r="AA726" s="367"/>
      <c r="AB726" s="367"/>
      <c r="AC726" s="367"/>
      <c r="AD726" s="367"/>
      <c r="AE726" s="367"/>
      <c r="AF726" s="367"/>
    </row>
    <row r="727" ht="15.75" customHeight="1">
      <c r="A727" s="359"/>
      <c r="B727" s="361"/>
      <c r="C727" s="361"/>
      <c r="D727" s="361"/>
      <c r="E727" s="367"/>
      <c r="F727" s="367"/>
      <c r="G727" s="367"/>
      <c r="H727" s="367"/>
      <c r="I727" s="367"/>
      <c r="J727" s="367"/>
      <c r="K727" s="367"/>
      <c r="L727" s="367"/>
      <c r="M727" s="367"/>
      <c r="N727" s="367"/>
      <c r="O727" s="367"/>
      <c r="P727" s="367"/>
      <c r="Q727" s="367"/>
      <c r="R727" s="367"/>
      <c r="S727" s="367"/>
      <c r="T727" s="367"/>
      <c r="U727" s="367"/>
      <c r="V727" s="367"/>
      <c r="W727" s="367"/>
      <c r="X727" s="367"/>
      <c r="Y727" s="367"/>
      <c r="Z727" s="367"/>
      <c r="AA727" s="367"/>
      <c r="AB727" s="367"/>
      <c r="AC727" s="367"/>
      <c r="AD727" s="367"/>
      <c r="AE727" s="367"/>
      <c r="AF727" s="367"/>
    </row>
    <row r="728" ht="15.75" customHeight="1">
      <c r="A728" s="359"/>
      <c r="B728" s="361"/>
      <c r="C728" s="361"/>
      <c r="D728" s="361"/>
      <c r="E728" s="367"/>
      <c r="F728" s="367"/>
      <c r="G728" s="367"/>
      <c r="H728" s="367"/>
      <c r="I728" s="367"/>
      <c r="J728" s="367"/>
      <c r="K728" s="367"/>
      <c r="L728" s="367"/>
      <c r="M728" s="367"/>
      <c r="N728" s="367"/>
      <c r="O728" s="367"/>
      <c r="P728" s="367"/>
      <c r="Q728" s="367"/>
      <c r="R728" s="367"/>
      <c r="S728" s="367"/>
      <c r="T728" s="367"/>
      <c r="U728" s="367"/>
      <c r="V728" s="367"/>
      <c r="W728" s="367"/>
      <c r="X728" s="367"/>
      <c r="Y728" s="367"/>
      <c r="Z728" s="367"/>
      <c r="AA728" s="367"/>
      <c r="AB728" s="367"/>
      <c r="AC728" s="367"/>
      <c r="AD728" s="367"/>
      <c r="AE728" s="367"/>
      <c r="AF728" s="367"/>
    </row>
    <row r="729" ht="15.75" customHeight="1">
      <c r="A729" s="359"/>
      <c r="B729" s="361"/>
      <c r="C729" s="361"/>
      <c r="D729" s="361"/>
      <c r="E729" s="367"/>
      <c r="F729" s="367"/>
      <c r="G729" s="367"/>
      <c r="H729" s="367"/>
      <c r="I729" s="367"/>
      <c r="J729" s="367"/>
      <c r="K729" s="367"/>
      <c r="L729" s="367"/>
      <c r="M729" s="367"/>
      <c r="N729" s="367"/>
      <c r="O729" s="367"/>
      <c r="P729" s="367"/>
      <c r="Q729" s="367"/>
      <c r="R729" s="367"/>
      <c r="S729" s="367"/>
      <c r="T729" s="367"/>
      <c r="U729" s="367"/>
      <c r="V729" s="367"/>
      <c r="W729" s="367"/>
      <c r="X729" s="367"/>
      <c r="Y729" s="367"/>
      <c r="Z729" s="367"/>
      <c r="AA729" s="367"/>
      <c r="AB729" s="367"/>
      <c r="AC729" s="367"/>
      <c r="AD729" s="367"/>
      <c r="AE729" s="367"/>
      <c r="AF729" s="367"/>
    </row>
    <row r="730" ht="15.75" customHeight="1">
      <c r="A730" s="359"/>
      <c r="B730" s="361"/>
      <c r="C730" s="361"/>
      <c r="D730" s="361"/>
      <c r="E730" s="367"/>
      <c r="F730" s="367"/>
      <c r="G730" s="367"/>
      <c r="H730" s="367"/>
      <c r="I730" s="367"/>
      <c r="J730" s="367"/>
      <c r="K730" s="367"/>
      <c r="L730" s="367"/>
      <c r="M730" s="367"/>
      <c r="N730" s="367"/>
      <c r="O730" s="367"/>
      <c r="P730" s="367"/>
      <c r="Q730" s="367"/>
      <c r="R730" s="367"/>
      <c r="S730" s="367"/>
      <c r="T730" s="367"/>
      <c r="U730" s="367"/>
      <c r="V730" s="367"/>
      <c r="W730" s="367"/>
      <c r="X730" s="367"/>
      <c r="Y730" s="367"/>
      <c r="Z730" s="367"/>
      <c r="AA730" s="367"/>
      <c r="AB730" s="367"/>
      <c r="AC730" s="367"/>
      <c r="AD730" s="367"/>
      <c r="AE730" s="367"/>
      <c r="AF730" s="367"/>
    </row>
    <row r="731" ht="15.75" customHeight="1">
      <c r="A731" s="359"/>
      <c r="B731" s="361"/>
      <c r="C731" s="361"/>
      <c r="D731" s="361"/>
      <c r="E731" s="367"/>
      <c r="F731" s="367"/>
      <c r="G731" s="367"/>
      <c r="H731" s="367"/>
      <c r="I731" s="367"/>
      <c r="J731" s="367"/>
      <c r="K731" s="367"/>
      <c r="L731" s="367"/>
      <c r="M731" s="367"/>
      <c r="N731" s="367"/>
      <c r="O731" s="367"/>
      <c r="P731" s="367"/>
      <c r="Q731" s="367"/>
      <c r="R731" s="367"/>
      <c r="S731" s="367"/>
      <c r="T731" s="367"/>
      <c r="U731" s="367"/>
      <c r="V731" s="367"/>
      <c r="W731" s="367"/>
      <c r="X731" s="367"/>
      <c r="Y731" s="367"/>
      <c r="Z731" s="367"/>
      <c r="AA731" s="367"/>
      <c r="AB731" s="367"/>
      <c r="AC731" s="367"/>
      <c r="AD731" s="367"/>
      <c r="AE731" s="367"/>
      <c r="AF731" s="367"/>
    </row>
    <row r="732" ht="15.75" customHeight="1">
      <c r="A732" s="359"/>
      <c r="B732" s="361"/>
      <c r="C732" s="361"/>
      <c r="D732" s="361"/>
      <c r="E732" s="367"/>
      <c r="F732" s="367"/>
      <c r="G732" s="367"/>
      <c r="H732" s="367"/>
      <c r="I732" s="367"/>
      <c r="J732" s="367"/>
      <c r="K732" s="367"/>
      <c r="L732" s="367"/>
      <c r="M732" s="367"/>
      <c r="N732" s="367"/>
      <c r="O732" s="367"/>
      <c r="P732" s="367"/>
      <c r="Q732" s="367"/>
      <c r="R732" s="367"/>
      <c r="S732" s="367"/>
      <c r="T732" s="367"/>
      <c r="U732" s="367"/>
      <c r="V732" s="367"/>
      <c r="W732" s="367"/>
      <c r="X732" s="367"/>
      <c r="Y732" s="367"/>
      <c r="Z732" s="367"/>
      <c r="AA732" s="367"/>
      <c r="AB732" s="367"/>
      <c r="AC732" s="367"/>
      <c r="AD732" s="367"/>
      <c r="AE732" s="367"/>
      <c r="AF732" s="367"/>
    </row>
    <row r="733" ht="15.75" customHeight="1">
      <c r="A733" s="359"/>
      <c r="B733" s="361"/>
      <c r="C733" s="361"/>
      <c r="D733" s="361"/>
      <c r="E733" s="367"/>
      <c r="F733" s="367"/>
      <c r="G733" s="367"/>
      <c r="H733" s="367"/>
      <c r="I733" s="367"/>
      <c r="J733" s="367"/>
      <c r="K733" s="367"/>
      <c r="L733" s="367"/>
      <c r="M733" s="367"/>
      <c r="N733" s="367"/>
      <c r="O733" s="367"/>
      <c r="P733" s="367"/>
      <c r="Q733" s="367"/>
      <c r="R733" s="367"/>
      <c r="S733" s="367"/>
      <c r="T733" s="367"/>
      <c r="U733" s="367"/>
      <c r="V733" s="367"/>
      <c r="W733" s="367"/>
      <c r="X733" s="367"/>
      <c r="Y733" s="367"/>
      <c r="Z733" s="367"/>
      <c r="AA733" s="367"/>
      <c r="AB733" s="367"/>
      <c r="AC733" s="367"/>
      <c r="AD733" s="367"/>
      <c r="AE733" s="367"/>
      <c r="AF733" s="367"/>
    </row>
    <row r="734" ht="15.75" customHeight="1">
      <c r="A734" s="359"/>
      <c r="B734" s="361"/>
      <c r="C734" s="361"/>
      <c r="D734" s="361"/>
      <c r="E734" s="367"/>
      <c r="F734" s="367"/>
      <c r="G734" s="367"/>
      <c r="H734" s="367"/>
      <c r="I734" s="367"/>
      <c r="J734" s="367"/>
      <c r="K734" s="367"/>
      <c r="L734" s="367"/>
      <c r="M734" s="367"/>
      <c r="N734" s="367"/>
      <c r="O734" s="367"/>
      <c r="P734" s="367"/>
      <c r="Q734" s="367"/>
      <c r="R734" s="367"/>
      <c r="S734" s="367"/>
      <c r="T734" s="367"/>
      <c r="U734" s="367"/>
      <c r="V734" s="367"/>
      <c r="W734" s="367"/>
      <c r="X734" s="367"/>
      <c r="Y734" s="367"/>
      <c r="Z734" s="367"/>
      <c r="AA734" s="367"/>
      <c r="AB734" s="367"/>
      <c r="AC734" s="367"/>
      <c r="AD734" s="367"/>
      <c r="AE734" s="367"/>
      <c r="AF734" s="367"/>
    </row>
    <row r="735" ht="15.75" customHeight="1">
      <c r="A735" s="359"/>
      <c r="B735" s="361"/>
      <c r="C735" s="361"/>
      <c r="D735" s="361"/>
      <c r="E735" s="367"/>
      <c r="F735" s="367"/>
      <c r="G735" s="367"/>
      <c r="H735" s="367"/>
      <c r="I735" s="367"/>
      <c r="J735" s="367"/>
      <c r="K735" s="367"/>
      <c r="L735" s="367"/>
      <c r="M735" s="367"/>
      <c r="N735" s="367"/>
      <c r="O735" s="367"/>
      <c r="P735" s="367"/>
      <c r="Q735" s="367"/>
      <c r="R735" s="367"/>
      <c r="S735" s="367"/>
      <c r="T735" s="367"/>
      <c r="U735" s="367"/>
      <c r="V735" s="367"/>
      <c r="W735" s="367"/>
      <c r="X735" s="367"/>
      <c r="Y735" s="367"/>
      <c r="Z735" s="367"/>
      <c r="AA735" s="367"/>
      <c r="AB735" s="367"/>
      <c r="AC735" s="367"/>
      <c r="AD735" s="367"/>
      <c r="AE735" s="367"/>
      <c r="AF735" s="367"/>
    </row>
    <row r="736" ht="15.75" customHeight="1">
      <c r="A736" s="359"/>
      <c r="B736" s="361"/>
      <c r="C736" s="361"/>
      <c r="D736" s="361"/>
      <c r="E736" s="367"/>
      <c r="F736" s="367"/>
      <c r="G736" s="367"/>
      <c r="H736" s="367"/>
      <c r="I736" s="367"/>
      <c r="J736" s="367"/>
      <c r="K736" s="367"/>
      <c r="L736" s="367"/>
      <c r="M736" s="367"/>
      <c r="N736" s="367"/>
      <c r="O736" s="367"/>
      <c r="P736" s="367"/>
      <c r="Q736" s="367"/>
      <c r="R736" s="367"/>
      <c r="S736" s="367"/>
      <c r="T736" s="367"/>
      <c r="U736" s="367"/>
      <c r="V736" s="367"/>
      <c r="W736" s="367"/>
      <c r="X736" s="367"/>
      <c r="Y736" s="367"/>
      <c r="Z736" s="367"/>
      <c r="AA736" s="367"/>
      <c r="AB736" s="367"/>
      <c r="AC736" s="367"/>
      <c r="AD736" s="367"/>
      <c r="AE736" s="367"/>
      <c r="AF736" s="367"/>
    </row>
    <row r="737" ht="15.75" customHeight="1">
      <c r="A737" s="359"/>
      <c r="B737" s="361"/>
      <c r="C737" s="361"/>
      <c r="D737" s="361"/>
      <c r="E737" s="367"/>
      <c r="F737" s="367"/>
      <c r="G737" s="367"/>
      <c r="H737" s="367"/>
      <c r="I737" s="367"/>
      <c r="J737" s="367"/>
      <c r="K737" s="367"/>
      <c r="L737" s="367"/>
      <c r="M737" s="367"/>
      <c r="N737" s="367"/>
      <c r="O737" s="367"/>
      <c r="P737" s="367"/>
      <c r="Q737" s="367"/>
      <c r="R737" s="367"/>
      <c r="S737" s="367"/>
      <c r="T737" s="367"/>
      <c r="U737" s="367"/>
      <c r="V737" s="367"/>
      <c r="W737" s="367"/>
      <c r="X737" s="367"/>
      <c r="Y737" s="367"/>
      <c r="Z737" s="367"/>
      <c r="AA737" s="367"/>
      <c r="AB737" s="367"/>
      <c r="AC737" s="367"/>
      <c r="AD737" s="367"/>
      <c r="AE737" s="367"/>
      <c r="AF737" s="367"/>
    </row>
    <row r="738" ht="15.75" customHeight="1">
      <c r="A738" s="359"/>
      <c r="B738" s="361"/>
      <c r="C738" s="361"/>
      <c r="D738" s="361"/>
      <c r="E738" s="367"/>
      <c r="F738" s="367"/>
      <c r="G738" s="367"/>
      <c r="H738" s="367"/>
      <c r="I738" s="367"/>
      <c r="J738" s="367"/>
      <c r="K738" s="367"/>
      <c r="L738" s="367"/>
      <c r="M738" s="367"/>
      <c r="N738" s="367"/>
      <c r="O738" s="367"/>
      <c r="P738" s="367"/>
      <c r="Q738" s="367"/>
      <c r="R738" s="367"/>
      <c r="S738" s="367"/>
      <c r="T738" s="367"/>
      <c r="U738" s="367"/>
      <c r="V738" s="367"/>
      <c r="W738" s="367"/>
      <c r="X738" s="367"/>
      <c r="Y738" s="367"/>
      <c r="Z738" s="367"/>
      <c r="AA738" s="367"/>
      <c r="AB738" s="367"/>
      <c r="AC738" s="367"/>
      <c r="AD738" s="367"/>
      <c r="AE738" s="367"/>
      <c r="AF738" s="367"/>
    </row>
    <row r="739" ht="15.75" customHeight="1">
      <c r="A739" s="359"/>
      <c r="B739" s="361"/>
      <c r="C739" s="361"/>
      <c r="D739" s="361"/>
      <c r="E739" s="367"/>
      <c r="F739" s="367"/>
      <c r="G739" s="367"/>
      <c r="H739" s="367"/>
      <c r="I739" s="367"/>
      <c r="J739" s="367"/>
      <c r="K739" s="367"/>
      <c r="L739" s="367"/>
      <c r="M739" s="367"/>
      <c r="N739" s="367"/>
      <c r="O739" s="367"/>
      <c r="P739" s="367"/>
      <c r="Q739" s="367"/>
      <c r="R739" s="367"/>
      <c r="S739" s="367"/>
      <c r="T739" s="367"/>
      <c r="U739" s="367"/>
      <c r="V739" s="367"/>
      <c r="W739" s="367"/>
      <c r="X739" s="367"/>
      <c r="Y739" s="367"/>
      <c r="Z739" s="367"/>
      <c r="AA739" s="367"/>
      <c r="AB739" s="367"/>
      <c r="AC739" s="367"/>
      <c r="AD739" s="367"/>
      <c r="AE739" s="367"/>
      <c r="AF739" s="367"/>
    </row>
    <row r="740" ht="15.75" customHeight="1">
      <c r="A740" s="359"/>
      <c r="B740" s="361"/>
      <c r="C740" s="361"/>
      <c r="D740" s="361"/>
      <c r="E740" s="367"/>
      <c r="F740" s="367"/>
      <c r="G740" s="367"/>
      <c r="H740" s="367"/>
      <c r="I740" s="367"/>
      <c r="J740" s="367"/>
      <c r="K740" s="367"/>
      <c r="L740" s="367"/>
      <c r="M740" s="367"/>
      <c r="N740" s="367"/>
      <c r="O740" s="367"/>
      <c r="P740" s="367"/>
      <c r="Q740" s="367"/>
      <c r="R740" s="367"/>
      <c r="S740" s="367"/>
      <c r="T740" s="367"/>
      <c r="U740" s="367"/>
      <c r="V740" s="367"/>
      <c r="W740" s="367"/>
      <c r="X740" s="367"/>
      <c r="Y740" s="367"/>
      <c r="Z740" s="367"/>
      <c r="AA740" s="367"/>
      <c r="AB740" s="367"/>
      <c r="AC740" s="367"/>
      <c r="AD740" s="367"/>
      <c r="AE740" s="367"/>
      <c r="AF740" s="367"/>
    </row>
    <row r="741" ht="15.75" customHeight="1">
      <c r="A741" s="359"/>
      <c r="B741" s="361"/>
      <c r="C741" s="361"/>
      <c r="D741" s="361"/>
      <c r="E741" s="367"/>
      <c r="F741" s="367"/>
      <c r="G741" s="367"/>
      <c r="H741" s="367"/>
      <c r="I741" s="367"/>
      <c r="J741" s="367"/>
      <c r="K741" s="367"/>
      <c r="L741" s="367"/>
      <c r="M741" s="367"/>
      <c r="N741" s="367"/>
      <c r="O741" s="367"/>
      <c r="P741" s="367"/>
      <c r="Q741" s="367"/>
      <c r="R741" s="367"/>
      <c r="S741" s="367"/>
      <c r="T741" s="367"/>
      <c r="U741" s="367"/>
      <c r="V741" s="367"/>
      <c r="W741" s="367"/>
      <c r="X741" s="367"/>
      <c r="Y741" s="367"/>
      <c r="Z741" s="367"/>
      <c r="AA741" s="367"/>
      <c r="AB741" s="367"/>
      <c r="AC741" s="367"/>
      <c r="AD741" s="367"/>
      <c r="AE741" s="367"/>
      <c r="AF741" s="367"/>
    </row>
    <row r="742" ht="15.75" customHeight="1">
      <c r="A742" s="359"/>
      <c r="B742" s="361"/>
      <c r="C742" s="361"/>
      <c r="D742" s="361"/>
      <c r="E742" s="367"/>
      <c r="F742" s="367"/>
      <c r="G742" s="367"/>
      <c r="H742" s="367"/>
      <c r="I742" s="367"/>
      <c r="J742" s="367"/>
      <c r="K742" s="367"/>
      <c r="L742" s="367"/>
      <c r="M742" s="367"/>
      <c r="N742" s="367"/>
      <c r="O742" s="367"/>
      <c r="P742" s="367"/>
      <c r="Q742" s="367"/>
      <c r="R742" s="367"/>
      <c r="S742" s="367"/>
      <c r="T742" s="367"/>
      <c r="U742" s="367"/>
      <c r="V742" s="367"/>
      <c r="W742" s="367"/>
      <c r="X742" s="367"/>
      <c r="Y742" s="367"/>
      <c r="Z742" s="367"/>
      <c r="AA742" s="367"/>
      <c r="AB742" s="367"/>
      <c r="AC742" s="367"/>
      <c r="AD742" s="367"/>
      <c r="AE742" s="367"/>
      <c r="AF742" s="367"/>
    </row>
    <row r="743" ht="15.75" customHeight="1">
      <c r="A743" s="359"/>
      <c r="B743" s="361"/>
      <c r="C743" s="361"/>
      <c r="D743" s="361"/>
      <c r="E743" s="367"/>
      <c r="F743" s="367"/>
      <c r="G743" s="367"/>
      <c r="H743" s="367"/>
      <c r="I743" s="367"/>
      <c r="J743" s="367"/>
      <c r="K743" s="367"/>
      <c r="L743" s="367"/>
      <c r="M743" s="367"/>
      <c r="N743" s="367"/>
      <c r="O743" s="367"/>
      <c r="P743" s="367"/>
      <c r="Q743" s="367"/>
      <c r="R743" s="367"/>
      <c r="S743" s="367"/>
      <c r="T743" s="367"/>
      <c r="U743" s="367"/>
      <c r="V743" s="367"/>
      <c r="W743" s="367"/>
      <c r="X743" s="367"/>
      <c r="Y743" s="367"/>
      <c r="Z743" s="367"/>
      <c r="AA743" s="367"/>
      <c r="AB743" s="367"/>
      <c r="AC743" s="367"/>
      <c r="AD743" s="367"/>
      <c r="AE743" s="367"/>
      <c r="AF743" s="367"/>
    </row>
    <row r="744" ht="15.75" customHeight="1">
      <c r="A744" s="359"/>
      <c r="B744" s="361"/>
      <c r="C744" s="361"/>
      <c r="D744" s="361"/>
      <c r="E744" s="367"/>
      <c r="F744" s="367"/>
      <c r="G744" s="367"/>
      <c r="H744" s="367"/>
      <c r="I744" s="367"/>
      <c r="J744" s="367"/>
      <c r="K744" s="367"/>
      <c r="L744" s="367"/>
      <c r="M744" s="367"/>
      <c r="N744" s="367"/>
      <c r="O744" s="367"/>
      <c r="P744" s="367"/>
      <c r="Q744" s="367"/>
      <c r="R744" s="367"/>
      <c r="S744" s="367"/>
      <c r="T744" s="367"/>
      <c r="U744" s="367"/>
      <c r="V744" s="367"/>
      <c r="W744" s="367"/>
      <c r="X744" s="367"/>
      <c r="Y744" s="367"/>
      <c r="Z744" s="367"/>
      <c r="AA744" s="367"/>
      <c r="AB744" s="367"/>
      <c r="AC744" s="367"/>
      <c r="AD744" s="367"/>
      <c r="AE744" s="367"/>
      <c r="AF744" s="367"/>
    </row>
    <row r="745" ht="15.75" customHeight="1">
      <c r="A745" s="359"/>
      <c r="B745" s="361"/>
      <c r="C745" s="361"/>
      <c r="D745" s="361"/>
      <c r="E745" s="367"/>
      <c r="F745" s="367"/>
      <c r="G745" s="367"/>
      <c r="H745" s="367"/>
      <c r="I745" s="367"/>
      <c r="J745" s="367"/>
      <c r="K745" s="367"/>
      <c r="L745" s="367"/>
      <c r="M745" s="367"/>
      <c r="N745" s="367"/>
      <c r="O745" s="367"/>
      <c r="P745" s="367"/>
      <c r="Q745" s="367"/>
      <c r="R745" s="367"/>
      <c r="S745" s="367"/>
      <c r="T745" s="367"/>
      <c r="U745" s="367"/>
      <c r="V745" s="367"/>
      <c r="W745" s="367"/>
      <c r="X745" s="367"/>
      <c r="Y745" s="367"/>
      <c r="Z745" s="367"/>
      <c r="AA745" s="367"/>
      <c r="AB745" s="367"/>
      <c r="AC745" s="367"/>
      <c r="AD745" s="367"/>
      <c r="AE745" s="367"/>
      <c r="AF745" s="367"/>
    </row>
    <row r="746" ht="15.75" customHeight="1">
      <c r="A746" s="359"/>
      <c r="B746" s="361"/>
      <c r="C746" s="361"/>
      <c r="D746" s="361"/>
      <c r="E746" s="367"/>
      <c r="F746" s="367"/>
      <c r="G746" s="367"/>
      <c r="H746" s="367"/>
      <c r="I746" s="367"/>
      <c r="J746" s="367"/>
      <c r="K746" s="367"/>
      <c r="L746" s="367"/>
      <c r="M746" s="367"/>
      <c r="N746" s="367"/>
      <c r="O746" s="367"/>
      <c r="P746" s="367"/>
      <c r="Q746" s="367"/>
      <c r="R746" s="367"/>
      <c r="S746" s="367"/>
      <c r="T746" s="367"/>
      <c r="U746" s="367"/>
      <c r="V746" s="367"/>
      <c r="W746" s="367"/>
      <c r="X746" s="367"/>
      <c r="Y746" s="367"/>
      <c r="Z746" s="367"/>
      <c r="AA746" s="367"/>
      <c r="AB746" s="367"/>
      <c r="AC746" s="367"/>
      <c r="AD746" s="367"/>
      <c r="AE746" s="367"/>
      <c r="AF746" s="367"/>
    </row>
    <row r="747" ht="15.75" customHeight="1">
      <c r="A747" s="359"/>
      <c r="B747" s="361"/>
      <c r="C747" s="361"/>
      <c r="D747" s="361"/>
      <c r="E747" s="367"/>
      <c r="F747" s="367"/>
      <c r="G747" s="367"/>
      <c r="H747" s="367"/>
      <c r="I747" s="367"/>
      <c r="J747" s="367"/>
      <c r="K747" s="367"/>
      <c r="L747" s="367"/>
      <c r="M747" s="367"/>
      <c r="N747" s="367"/>
      <c r="O747" s="367"/>
      <c r="P747" s="367"/>
      <c r="Q747" s="367"/>
      <c r="R747" s="367"/>
      <c r="S747" s="367"/>
      <c r="T747" s="367"/>
      <c r="U747" s="367"/>
      <c r="V747" s="367"/>
      <c r="W747" s="367"/>
      <c r="X747" s="367"/>
      <c r="Y747" s="367"/>
      <c r="Z747" s="367"/>
      <c r="AA747" s="367"/>
      <c r="AB747" s="367"/>
      <c r="AC747" s="367"/>
      <c r="AD747" s="367"/>
      <c r="AE747" s="367"/>
      <c r="AF747" s="367"/>
    </row>
    <row r="748" ht="15.75" customHeight="1">
      <c r="A748" s="359"/>
      <c r="B748" s="361"/>
      <c r="C748" s="361"/>
      <c r="D748" s="361"/>
      <c r="E748" s="367"/>
      <c r="F748" s="367"/>
      <c r="G748" s="367"/>
      <c r="H748" s="367"/>
      <c r="I748" s="367"/>
      <c r="J748" s="367"/>
      <c r="K748" s="367"/>
      <c r="L748" s="367"/>
      <c r="M748" s="367"/>
      <c r="N748" s="367"/>
      <c r="O748" s="367"/>
      <c r="P748" s="367"/>
      <c r="Q748" s="367"/>
      <c r="R748" s="367"/>
      <c r="S748" s="367"/>
      <c r="T748" s="367"/>
      <c r="U748" s="367"/>
      <c r="V748" s="367"/>
      <c r="W748" s="367"/>
      <c r="X748" s="367"/>
      <c r="Y748" s="367"/>
      <c r="Z748" s="367"/>
      <c r="AA748" s="367"/>
      <c r="AB748" s="367"/>
      <c r="AC748" s="367"/>
      <c r="AD748" s="367"/>
      <c r="AE748" s="367"/>
      <c r="AF748" s="367"/>
    </row>
    <row r="749" ht="15.75" customHeight="1">
      <c r="A749" s="359"/>
      <c r="B749" s="361"/>
      <c r="C749" s="361"/>
      <c r="D749" s="361"/>
      <c r="E749" s="367"/>
      <c r="F749" s="367"/>
      <c r="G749" s="367"/>
      <c r="H749" s="367"/>
      <c r="I749" s="367"/>
      <c r="J749" s="367"/>
      <c r="K749" s="367"/>
      <c r="L749" s="367"/>
      <c r="M749" s="367"/>
      <c r="N749" s="367"/>
      <c r="O749" s="367"/>
      <c r="P749" s="367"/>
      <c r="Q749" s="367"/>
      <c r="R749" s="367"/>
      <c r="S749" s="367"/>
      <c r="T749" s="367"/>
      <c r="U749" s="367"/>
      <c r="V749" s="367"/>
      <c r="W749" s="367"/>
      <c r="X749" s="367"/>
      <c r="Y749" s="367"/>
      <c r="Z749" s="367"/>
      <c r="AA749" s="367"/>
      <c r="AB749" s="367"/>
      <c r="AC749" s="367"/>
      <c r="AD749" s="367"/>
      <c r="AE749" s="367"/>
      <c r="AF749" s="367"/>
    </row>
    <row r="750" ht="15.75" customHeight="1">
      <c r="A750" s="359"/>
      <c r="B750" s="361"/>
      <c r="C750" s="361"/>
      <c r="D750" s="361"/>
      <c r="E750" s="367"/>
      <c r="F750" s="367"/>
      <c r="G750" s="367"/>
      <c r="H750" s="367"/>
      <c r="I750" s="367"/>
      <c r="J750" s="367"/>
      <c r="K750" s="367"/>
      <c r="L750" s="367"/>
      <c r="M750" s="367"/>
      <c r="N750" s="367"/>
      <c r="O750" s="367"/>
      <c r="P750" s="367"/>
      <c r="Q750" s="367"/>
      <c r="R750" s="367"/>
      <c r="S750" s="367"/>
      <c r="T750" s="367"/>
      <c r="U750" s="367"/>
      <c r="V750" s="367"/>
      <c r="W750" s="367"/>
      <c r="X750" s="367"/>
      <c r="Y750" s="367"/>
      <c r="Z750" s="367"/>
      <c r="AA750" s="367"/>
      <c r="AB750" s="367"/>
      <c r="AC750" s="367"/>
      <c r="AD750" s="367"/>
      <c r="AE750" s="367"/>
      <c r="AF750" s="367"/>
    </row>
    <row r="751" ht="15.75" customHeight="1">
      <c r="A751" s="359"/>
      <c r="B751" s="361"/>
      <c r="C751" s="361"/>
      <c r="D751" s="361"/>
      <c r="E751" s="367"/>
      <c r="F751" s="367"/>
      <c r="G751" s="367"/>
      <c r="H751" s="367"/>
      <c r="I751" s="367"/>
      <c r="J751" s="367"/>
      <c r="K751" s="367"/>
      <c r="L751" s="367"/>
      <c r="M751" s="367"/>
      <c r="N751" s="367"/>
      <c r="O751" s="367"/>
      <c r="P751" s="367"/>
      <c r="Q751" s="367"/>
      <c r="R751" s="367"/>
      <c r="S751" s="367"/>
      <c r="T751" s="367"/>
      <c r="U751" s="367"/>
      <c r="V751" s="367"/>
      <c r="W751" s="367"/>
      <c r="X751" s="367"/>
      <c r="Y751" s="367"/>
      <c r="Z751" s="367"/>
      <c r="AA751" s="367"/>
      <c r="AB751" s="367"/>
      <c r="AC751" s="367"/>
      <c r="AD751" s="367"/>
      <c r="AE751" s="367"/>
      <c r="AF751" s="367"/>
    </row>
    <row r="752" ht="15.75" customHeight="1">
      <c r="A752" s="359"/>
      <c r="B752" s="361"/>
      <c r="C752" s="361"/>
      <c r="D752" s="361"/>
      <c r="E752" s="367"/>
      <c r="F752" s="367"/>
      <c r="G752" s="367"/>
      <c r="H752" s="367"/>
      <c r="I752" s="367"/>
      <c r="J752" s="367"/>
      <c r="K752" s="367"/>
      <c r="L752" s="367"/>
      <c r="M752" s="367"/>
      <c r="N752" s="367"/>
      <c r="O752" s="367"/>
      <c r="P752" s="367"/>
      <c r="Q752" s="367"/>
      <c r="R752" s="367"/>
      <c r="S752" s="367"/>
      <c r="T752" s="367"/>
      <c r="U752" s="367"/>
      <c r="V752" s="367"/>
      <c r="W752" s="367"/>
      <c r="X752" s="367"/>
      <c r="Y752" s="367"/>
      <c r="Z752" s="367"/>
      <c r="AA752" s="367"/>
      <c r="AB752" s="367"/>
      <c r="AC752" s="367"/>
      <c r="AD752" s="367"/>
      <c r="AE752" s="367"/>
      <c r="AF752" s="367"/>
    </row>
    <row r="753" ht="15.75" customHeight="1">
      <c r="A753" s="359"/>
      <c r="B753" s="361"/>
      <c r="C753" s="361"/>
      <c r="D753" s="361"/>
      <c r="E753" s="367"/>
      <c r="F753" s="367"/>
      <c r="G753" s="367"/>
      <c r="H753" s="367"/>
      <c r="I753" s="367"/>
      <c r="J753" s="367"/>
      <c r="K753" s="367"/>
      <c r="L753" s="367"/>
      <c r="M753" s="367"/>
      <c r="N753" s="367"/>
      <c r="O753" s="367"/>
      <c r="P753" s="367"/>
      <c r="Q753" s="367"/>
      <c r="R753" s="367"/>
      <c r="S753" s="367"/>
      <c r="T753" s="367"/>
      <c r="U753" s="367"/>
      <c r="V753" s="367"/>
      <c r="W753" s="367"/>
      <c r="X753" s="367"/>
      <c r="Y753" s="367"/>
      <c r="Z753" s="367"/>
      <c r="AA753" s="367"/>
      <c r="AB753" s="367"/>
      <c r="AC753" s="367"/>
      <c r="AD753" s="367"/>
      <c r="AE753" s="367"/>
      <c r="AF753" s="367"/>
    </row>
    <row r="754" ht="15.75" customHeight="1">
      <c r="A754" s="359"/>
      <c r="B754" s="361"/>
      <c r="C754" s="361"/>
      <c r="D754" s="361"/>
      <c r="E754" s="367"/>
      <c r="F754" s="367"/>
      <c r="G754" s="367"/>
      <c r="H754" s="367"/>
      <c r="I754" s="367"/>
      <c r="J754" s="367"/>
      <c r="K754" s="367"/>
      <c r="L754" s="367"/>
      <c r="M754" s="367"/>
      <c r="N754" s="367"/>
      <c r="O754" s="367"/>
      <c r="P754" s="367"/>
      <c r="Q754" s="367"/>
      <c r="R754" s="367"/>
      <c r="S754" s="367"/>
      <c r="T754" s="367"/>
      <c r="U754" s="367"/>
      <c r="V754" s="367"/>
      <c r="W754" s="367"/>
      <c r="X754" s="367"/>
      <c r="Y754" s="367"/>
      <c r="Z754" s="367"/>
      <c r="AA754" s="367"/>
      <c r="AB754" s="367"/>
      <c r="AC754" s="367"/>
      <c r="AD754" s="367"/>
      <c r="AE754" s="367"/>
      <c r="AF754" s="367"/>
    </row>
    <row r="755" ht="15.75" customHeight="1">
      <c r="A755" s="359"/>
      <c r="B755" s="361"/>
      <c r="C755" s="361"/>
      <c r="D755" s="361"/>
      <c r="E755" s="367"/>
      <c r="F755" s="367"/>
      <c r="G755" s="367"/>
      <c r="H755" s="367"/>
      <c r="I755" s="367"/>
      <c r="J755" s="367"/>
      <c r="K755" s="367"/>
      <c r="L755" s="367"/>
      <c r="M755" s="367"/>
      <c r="N755" s="367"/>
      <c r="O755" s="367"/>
      <c r="P755" s="367"/>
      <c r="Q755" s="367"/>
      <c r="R755" s="367"/>
      <c r="S755" s="367"/>
      <c r="T755" s="367"/>
      <c r="U755" s="367"/>
      <c r="V755" s="367"/>
      <c r="W755" s="367"/>
      <c r="X755" s="367"/>
      <c r="Y755" s="367"/>
      <c r="Z755" s="367"/>
      <c r="AA755" s="367"/>
      <c r="AB755" s="367"/>
      <c r="AC755" s="367"/>
      <c r="AD755" s="367"/>
      <c r="AE755" s="367"/>
      <c r="AF755" s="367"/>
    </row>
    <row r="756" ht="15.75" customHeight="1">
      <c r="A756" s="359"/>
      <c r="B756" s="361"/>
      <c r="C756" s="361"/>
      <c r="D756" s="361"/>
      <c r="E756" s="367"/>
      <c r="F756" s="367"/>
      <c r="G756" s="367"/>
      <c r="H756" s="367"/>
      <c r="I756" s="367"/>
      <c r="J756" s="367"/>
      <c r="K756" s="367"/>
      <c r="L756" s="367"/>
      <c r="M756" s="367"/>
      <c r="N756" s="367"/>
      <c r="O756" s="367"/>
      <c r="P756" s="367"/>
      <c r="Q756" s="367"/>
      <c r="R756" s="367"/>
      <c r="S756" s="367"/>
      <c r="T756" s="367"/>
      <c r="U756" s="367"/>
      <c r="V756" s="367"/>
      <c r="W756" s="367"/>
      <c r="X756" s="367"/>
      <c r="Y756" s="367"/>
      <c r="Z756" s="367"/>
      <c r="AA756" s="367"/>
      <c r="AB756" s="367"/>
      <c r="AC756" s="367"/>
      <c r="AD756" s="367"/>
      <c r="AE756" s="367"/>
      <c r="AF756" s="367"/>
    </row>
    <row r="757" ht="15.75" customHeight="1">
      <c r="A757" s="359"/>
      <c r="B757" s="361"/>
      <c r="C757" s="361"/>
      <c r="D757" s="361"/>
      <c r="E757" s="367"/>
      <c r="F757" s="367"/>
      <c r="G757" s="367"/>
      <c r="H757" s="367"/>
      <c r="I757" s="367"/>
      <c r="J757" s="367"/>
      <c r="K757" s="367"/>
      <c r="L757" s="367"/>
      <c r="M757" s="367"/>
      <c r="N757" s="367"/>
      <c r="O757" s="367"/>
      <c r="P757" s="367"/>
      <c r="Q757" s="367"/>
      <c r="R757" s="367"/>
      <c r="S757" s="367"/>
      <c r="T757" s="367"/>
      <c r="U757" s="367"/>
      <c r="V757" s="367"/>
      <c r="W757" s="367"/>
      <c r="X757" s="367"/>
      <c r="Y757" s="367"/>
      <c r="Z757" s="367"/>
      <c r="AA757" s="367"/>
      <c r="AB757" s="367"/>
      <c r="AC757" s="367"/>
      <c r="AD757" s="367"/>
      <c r="AE757" s="367"/>
      <c r="AF757" s="367"/>
    </row>
    <row r="758" ht="15.75" customHeight="1">
      <c r="A758" s="359"/>
      <c r="B758" s="361"/>
      <c r="C758" s="361"/>
      <c r="D758" s="361"/>
      <c r="E758" s="367"/>
      <c r="F758" s="367"/>
      <c r="G758" s="367"/>
      <c r="H758" s="367"/>
      <c r="I758" s="367"/>
      <c r="J758" s="367"/>
      <c r="K758" s="367"/>
      <c r="L758" s="367"/>
      <c r="M758" s="367"/>
      <c r="N758" s="367"/>
      <c r="O758" s="367"/>
      <c r="P758" s="367"/>
      <c r="Q758" s="367"/>
      <c r="R758" s="367"/>
      <c r="S758" s="367"/>
      <c r="T758" s="367"/>
      <c r="U758" s="367"/>
      <c r="V758" s="367"/>
      <c r="W758" s="367"/>
      <c r="X758" s="367"/>
      <c r="Y758" s="367"/>
      <c r="Z758" s="367"/>
      <c r="AA758" s="367"/>
      <c r="AB758" s="367"/>
      <c r="AC758" s="367"/>
      <c r="AD758" s="367"/>
      <c r="AE758" s="367"/>
      <c r="AF758" s="367"/>
    </row>
    <row r="759" ht="15.75" customHeight="1">
      <c r="A759" s="359"/>
      <c r="B759" s="361"/>
      <c r="C759" s="361"/>
      <c r="D759" s="361"/>
      <c r="E759" s="367"/>
      <c r="F759" s="367"/>
      <c r="G759" s="367"/>
      <c r="H759" s="367"/>
      <c r="I759" s="367"/>
      <c r="J759" s="367"/>
      <c r="K759" s="367"/>
      <c r="L759" s="367"/>
      <c r="M759" s="367"/>
      <c r="N759" s="367"/>
      <c r="O759" s="367"/>
      <c r="P759" s="367"/>
      <c r="Q759" s="367"/>
      <c r="R759" s="367"/>
      <c r="S759" s="367"/>
      <c r="T759" s="367"/>
      <c r="U759" s="367"/>
      <c r="V759" s="367"/>
      <c r="W759" s="367"/>
      <c r="X759" s="367"/>
      <c r="Y759" s="367"/>
      <c r="Z759" s="367"/>
      <c r="AA759" s="367"/>
      <c r="AB759" s="367"/>
      <c r="AC759" s="367"/>
      <c r="AD759" s="367"/>
      <c r="AE759" s="367"/>
      <c r="AF759" s="367"/>
    </row>
    <row r="760" ht="15.75" customHeight="1">
      <c r="A760" s="359"/>
      <c r="B760" s="361"/>
      <c r="C760" s="361"/>
      <c r="D760" s="361"/>
      <c r="E760" s="367"/>
      <c r="F760" s="367"/>
      <c r="G760" s="367"/>
      <c r="H760" s="367"/>
      <c r="I760" s="367"/>
      <c r="J760" s="367"/>
      <c r="K760" s="367"/>
      <c r="L760" s="367"/>
      <c r="M760" s="367"/>
      <c r="N760" s="367"/>
      <c r="O760" s="367"/>
      <c r="P760" s="367"/>
      <c r="Q760" s="367"/>
      <c r="R760" s="367"/>
      <c r="S760" s="367"/>
      <c r="T760" s="367"/>
      <c r="U760" s="367"/>
      <c r="V760" s="367"/>
      <c r="W760" s="367"/>
      <c r="X760" s="367"/>
      <c r="Y760" s="367"/>
      <c r="Z760" s="367"/>
      <c r="AA760" s="367"/>
      <c r="AB760" s="367"/>
      <c r="AC760" s="367"/>
      <c r="AD760" s="367"/>
      <c r="AE760" s="367"/>
      <c r="AF760" s="367"/>
    </row>
    <row r="761" ht="15.75" customHeight="1">
      <c r="A761" s="359"/>
      <c r="B761" s="361"/>
      <c r="C761" s="361"/>
      <c r="D761" s="361"/>
      <c r="E761" s="367"/>
      <c r="F761" s="367"/>
      <c r="G761" s="367"/>
      <c r="H761" s="367"/>
      <c r="I761" s="367"/>
      <c r="J761" s="367"/>
      <c r="K761" s="367"/>
      <c r="L761" s="367"/>
      <c r="M761" s="367"/>
      <c r="N761" s="367"/>
      <c r="O761" s="367"/>
      <c r="P761" s="367"/>
      <c r="Q761" s="367"/>
      <c r="R761" s="367"/>
      <c r="S761" s="367"/>
      <c r="T761" s="367"/>
      <c r="U761" s="367"/>
      <c r="V761" s="367"/>
      <c r="W761" s="367"/>
      <c r="X761" s="367"/>
      <c r="Y761" s="367"/>
      <c r="Z761" s="367"/>
      <c r="AA761" s="367"/>
      <c r="AB761" s="367"/>
      <c r="AC761" s="367"/>
      <c r="AD761" s="367"/>
      <c r="AE761" s="367"/>
      <c r="AF761" s="367"/>
    </row>
    <row r="762" ht="15.75" customHeight="1">
      <c r="A762" s="359"/>
      <c r="B762" s="361"/>
      <c r="C762" s="361"/>
      <c r="D762" s="361"/>
      <c r="E762" s="367"/>
      <c r="F762" s="367"/>
      <c r="G762" s="367"/>
      <c r="H762" s="367"/>
      <c r="I762" s="367"/>
      <c r="J762" s="367"/>
      <c r="K762" s="367"/>
      <c r="L762" s="367"/>
      <c r="M762" s="367"/>
      <c r="N762" s="367"/>
      <c r="O762" s="367"/>
      <c r="P762" s="367"/>
      <c r="Q762" s="367"/>
      <c r="R762" s="367"/>
      <c r="S762" s="367"/>
      <c r="T762" s="367"/>
      <c r="U762" s="367"/>
      <c r="V762" s="367"/>
      <c r="W762" s="367"/>
      <c r="X762" s="367"/>
      <c r="Y762" s="367"/>
      <c r="Z762" s="367"/>
      <c r="AA762" s="367"/>
      <c r="AB762" s="367"/>
      <c r="AC762" s="367"/>
      <c r="AD762" s="367"/>
      <c r="AE762" s="367"/>
      <c r="AF762" s="367"/>
    </row>
    <row r="763" ht="15.75" customHeight="1">
      <c r="A763" s="359"/>
      <c r="B763" s="361"/>
      <c r="C763" s="361"/>
      <c r="D763" s="361"/>
      <c r="E763" s="367"/>
      <c r="F763" s="367"/>
      <c r="G763" s="367"/>
      <c r="H763" s="367"/>
      <c r="I763" s="367"/>
      <c r="J763" s="367"/>
      <c r="K763" s="367"/>
      <c r="L763" s="367"/>
      <c r="M763" s="367"/>
      <c r="N763" s="367"/>
      <c r="O763" s="367"/>
      <c r="P763" s="367"/>
      <c r="Q763" s="367"/>
      <c r="R763" s="367"/>
      <c r="S763" s="367"/>
      <c r="T763" s="367"/>
      <c r="U763" s="367"/>
      <c r="V763" s="367"/>
      <c r="W763" s="367"/>
      <c r="X763" s="367"/>
      <c r="Y763" s="367"/>
      <c r="Z763" s="367"/>
      <c r="AA763" s="367"/>
      <c r="AB763" s="367"/>
      <c r="AC763" s="367"/>
      <c r="AD763" s="367"/>
      <c r="AE763" s="367"/>
      <c r="AF763" s="367"/>
    </row>
    <row r="764" ht="15.75" customHeight="1">
      <c r="A764" s="359"/>
      <c r="B764" s="361"/>
      <c r="C764" s="361"/>
      <c r="D764" s="361"/>
      <c r="E764" s="367"/>
      <c r="F764" s="367"/>
      <c r="G764" s="367"/>
      <c r="H764" s="367"/>
      <c r="I764" s="367"/>
      <c r="J764" s="367"/>
      <c r="K764" s="367"/>
      <c r="L764" s="367"/>
      <c r="M764" s="367"/>
      <c r="N764" s="367"/>
      <c r="O764" s="367"/>
      <c r="P764" s="367"/>
      <c r="Q764" s="367"/>
      <c r="R764" s="367"/>
      <c r="S764" s="367"/>
      <c r="T764" s="367"/>
      <c r="U764" s="367"/>
      <c r="V764" s="367"/>
      <c r="W764" s="367"/>
      <c r="X764" s="367"/>
      <c r="Y764" s="367"/>
      <c r="Z764" s="367"/>
      <c r="AA764" s="367"/>
      <c r="AB764" s="367"/>
      <c r="AC764" s="367"/>
      <c r="AD764" s="367"/>
      <c r="AE764" s="367"/>
      <c r="AF764" s="367"/>
    </row>
    <row r="765" ht="15.75" customHeight="1">
      <c r="A765" s="359"/>
      <c r="B765" s="361"/>
      <c r="C765" s="361"/>
      <c r="D765" s="361"/>
      <c r="E765" s="367"/>
      <c r="F765" s="367"/>
      <c r="G765" s="367"/>
      <c r="H765" s="367"/>
      <c r="I765" s="367"/>
      <c r="J765" s="367"/>
      <c r="K765" s="367"/>
      <c r="L765" s="367"/>
      <c r="M765" s="367"/>
      <c r="N765" s="367"/>
      <c r="O765" s="367"/>
      <c r="P765" s="367"/>
      <c r="Q765" s="367"/>
      <c r="R765" s="367"/>
      <c r="S765" s="367"/>
      <c r="T765" s="367"/>
      <c r="U765" s="367"/>
      <c r="V765" s="367"/>
      <c r="W765" s="367"/>
      <c r="X765" s="367"/>
      <c r="Y765" s="367"/>
      <c r="Z765" s="367"/>
      <c r="AA765" s="367"/>
      <c r="AB765" s="367"/>
      <c r="AC765" s="367"/>
      <c r="AD765" s="367"/>
      <c r="AE765" s="367"/>
      <c r="AF765" s="367"/>
    </row>
    <row r="766" ht="15.75" customHeight="1">
      <c r="A766" s="359"/>
      <c r="B766" s="361"/>
      <c r="C766" s="361"/>
      <c r="D766" s="361"/>
      <c r="E766" s="367"/>
      <c r="F766" s="367"/>
      <c r="G766" s="367"/>
      <c r="H766" s="367"/>
      <c r="I766" s="367"/>
      <c r="J766" s="367"/>
      <c r="K766" s="367"/>
      <c r="L766" s="367"/>
      <c r="M766" s="367"/>
      <c r="N766" s="367"/>
      <c r="O766" s="367"/>
      <c r="P766" s="367"/>
      <c r="Q766" s="367"/>
      <c r="R766" s="367"/>
      <c r="S766" s="367"/>
      <c r="T766" s="367"/>
      <c r="U766" s="367"/>
      <c r="V766" s="367"/>
      <c r="W766" s="367"/>
      <c r="X766" s="367"/>
      <c r="Y766" s="367"/>
      <c r="Z766" s="367"/>
      <c r="AA766" s="367"/>
      <c r="AB766" s="367"/>
      <c r="AC766" s="367"/>
      <c r="AD766" s="367"/>
      <c r="AE766" s="367"/>
      <c r="AF766" s="367"/>
    </row>
    <row r="767" ht="15.75" customHeight="1">
      <c r="A767" s="359"/>
      <c r="B767" s="361"/>
      <c r="C767" s="361"/>
      <c r="D767" s="361"/>
      <c r="E767" s="367"/>
      <c r="F767" s="367"/>
      <c r="G767" s="367"/>
      <c r="H767" s="367"/>
      <c r="I767" s="367"/>
      <c r="J767" s="367"/>
      <c r="K767" s="367"/>
      <c r="L767" s="367"/>
      <c r="M767" s="367"/>
      <c r="N767" s="367"/>
      <c r="O767" s="367"/>
      <c r="P767" s="367"/>
      <c r="Q767" s="367"/>
      <c r="R767" s="367"/>
      <c r="S767" s="367"/>
      <c r="T767" s="367"/>
      <c r="U767" s="367"/>
      <c r="V767" s="367"/>
      <c r="W767" s="367"/>
      <c r="X767" s="367"/>
      <c r="Y767" s="367"/>
      <c r="Z767" s="367"/>
      <c r="AA767" s="367"/>
      <c r="AB767" s="367"/>
      <c r="AC767" s="367"/>
      <c r="AD767" s="367"/>
      <c r="AE767" s="367"/>
      <c r="AF767" s="367"/>
    </row>
    <row r="768" ht="15.75" customHeight="1">
      <c r="A768" s="359"/>
      <c r="B768" s="361"/>
      <c r="C768" s="361"/>
      <c r="D768" s="361"/>
      <c r="E768" s="367"/>
      <c r="F768" s="367"/>
      <c r="G768" s="367"/>
      <c r="H768" s="367"/>
      <c r="I768" s="367"/>
      <c r="J768" s="367"/>
      <c r="K768" s="367"/>
      <c r="L768" s="367"/>
      <c r="M768" s="367"/>
      <c r="N768" s="367"/>
      <c r="O768" s="367"/>
      <c r="P768" s="367"/>
      <c r="Q768" s="367"/>
      <c r="R768" s="367"/>
      <c r="S768" s="367"/>
      <c r="T768" s="367"/>
      <c r="U768" s="367"/>
      <c r="V768" s="367"/>
      <c r="W768" s="367"/>
      <c r="X768" s="367"/>
      <c r="Y768" s="367"/>
      <c r="Z768" s="367"/>
      <c r="AA768" s="367"/>
      <c r="AB768" s="367"/>
      <c r="AC768" s="367"/>
      <c r="AD768" s="367"/>
      <c r="AE768" s="367"/>
      <c r="AF768" s="367"/>
    </row>
    <row r="769" ht="15.75" customHeight="1">
      <c r="A769" s="359"/>
      <c r="B769" s="361"/>
      <c r="C769" s="361"/>
      <c r="D769" s="361"/>
      <c r="E769" s="367"/>
      <c r="F769" s="367"/>
      <c r="G769" s="367"/>
      <c r="H769" s="367"/>
      <c r="I769" s="367"/>
      <c r="J769" s="367"/>
      <c r="K769" s="367"/>
      <c r="L769" s="367"/>
      <c r="M769" s="367"/>
      <c r="N769" s="367"/>
      <c r="O769" s="367"/>
      <c r="P769" s="367"/>
      <c r="Q769" s="367"/>
      <c r="R769" s="367"/>
      <c r="S769" s="367"/>
      <c r="T769" s="367"/>
      <c r="U769" s="367"/>
      <c r="V769" s="367"/>
      <c r="W769" s="367"/>
      <c r="X769" s="367"/>
      <c r="Y769" s="367"/>
      <c r="Z769" s="367"/>
      <c r="AA769" s="367"/>
      <c r="AB769" s="367"/>
      <c r="AC769" s="367"/>
      <c r="AD769" s="367"/>
      <c r="AE769" s="367"/>
      <c r="AF769" s="367"/>
    </row>
    <row r="770" ht="15.75" customHeight="1">
      <c r="A770" s="359"/>
      <c r="B770" s="361"/>
      <c r="C770" s="361"/>
      <c r="D770" s="361"/>
      <c r="E770" s="367"/>
      <c r="F770" s="367"/>
      <c r="G770" s="367"/>
      <c r="H770" s="367"/>
      <c r="I770" s="367"/>
      <c r="J770" s="367"/>
      <c r="K770" s="367"/>
      <c r="L770" s="367"/>
      <c r="M770" s="367"/>
      <c r="N770" s="367"/>
      <c r="O770" s="367"/>
      <c r="P770" s="367"/>
      <c r="Q770" s="367"/>
      <c r="R770" s="367"/>
      <c r="S770" s="367"/>
      <c r="T770" s="367"/>
      <c r="U770" s="367"/>
      <c r="V770" s="367"/>
      <c r="W770" s="367"/>
      <c r="X770" s="367"/>
      <c r="Y770" s="367"/>
      <c r="Z770" s="367"/>
      <c r="AA770" s="367"/>
      <c r="AB770" s="367"/>
      <c r="AC770" s="367"/>
      <c r="AD770" s="367"/>
      <c r="AE770" s="367"/>
      <c r="AF770" s="367"/>
    </row>
    <row r="771" ht="15.75" customHeight="1">
      <c r="A771" s="359"/>
      <c r="B771" s="361"/>
      <c r="C771" s="361"/>
      <c r="D771" s="361"/>
      <c r="E771" s="367"/>
      <c r="F771" s="367"/>
      <c r="G771" s="367"/>
      <c r="H771" s="367"/>
      <c r="I771" s="367"/>
      <c r="J771" s="367"/>
      <c r="K771" s="367"/>
      <c r="L771" s="367"/>
      <c r="M771" s="367"/>
      <c r="N771" s="367"/>
      <c r="O771" s="367"/>
      <c r="P771" s="367"/>
      <c r="Q771" s="367"/>
      <c r="R771" s="367"/>
      <c r="S771" s="367"/>
      <c r="T771" s="367"/>
      <c r="U771" s="367"/>
      <c r="V771" s="367"/>
      <c r="W771" s="367"/>
      <c r="X771" s="367"/>
      <c r="Y771" s="367"/>
      <c r="Z771" s="367"/>
      <c r="AA771" s="367"/>
      <c r="AB771" s="367"/>
      <c r="AC771" s="367"/>
      <c r="AD771" s="367"/>
      <c r="AE771" s="367"/>
      <c r="AF771" s="367"/>
    </row>
    <row r="772" ht="15.75" customHeight="1">
      <c r="A772" s="359"/>
      <c r="B772" s="361"/>
      <c r="C772" s="361"/>
      <c r="D772" s="361"/>
      <c r="E772" s="367"/>
      <c r="F772" s="367"/>
      <c r="G772" s="367"/>
      <c r="H772" s="367"/>
      <c r="I772" s="367"/>
      <c r="J772" s="367"/>
      <c r="K772" s="367"/>
      <c r="L772" s="367"/>
      <c r="M772" s="367"/>
      <c r="N772" s="367"/>
      <c r="O772" s="367"/>
      <c r="P772" s="367"/>
      <c r="Q772" s="367"/>
      <c r="R772" s="367"/>
      <c r="S772" s="367"/>
      <c r="T772" s="367"/>
      <c r="U772" s="367"/>
      <c r="V772" s="367"/>
      <c r="W772" s="367"/>
      <c r="X772" s="367"/>
      <c r="Y772" s="367"/>
      <c r="Z772" s="367"/>
      <c r="AA772" s="367"/>
      <c r="AB772" s="367"/>
      <c r="AC772" s="367"/>
      <c r="AD772" s="367"/>
      <c r="AE772" s="367"/>
      <c r="AF772" s="367"/>
    </row>
    <row r="773" ht="15.75" customHeight="1">
      <c r="A773" s="359"/>
      <c r="B773" s="361"/>
      <c r="C773" s="361"/>
      <c r="D773" s="361"/>
      <c r="E773" s="367"/>
      <c r="F773" s="367"/>
      <c r="G773" s="367"/>
      <c r="H773" s="367"/>
      <c r="I773" s="367"/>
      <c r="J773" s="367"/>
      <c r="K773" s="367"/>
      <c r="L773" s="367"/>
      <c r="M773" s="367"/>
      <c r="N773" s="367"/>
      <c r="O773" s="367"/>
      <c r="P773" s="367"/>
      <c r="Q773" s="367"/>
      <c r="R773" s="367"/>
      <c r="S773" s="367"/>
      <c r="T773" s="367"/>
      <c r="U773" s="367"/>
      <c r="V773" s="367"/>
      <c r="W773" s="367"/>
      <c r="X773" s="367"/>
      <c r="Y773" s="367"/>
      <c r="Z773" s="367"/>
      <c r="AA773" s="367"/>
      <c r="AB773" s="367"/>
      <c r="AC773" s="367"/>
      <c r="AD773" s="367"/>
      <c r="AE773" s="367"/>
      <c r="AF773" s="367"/>
    </row>
    <row r="774" ht="15.75" customHeight="1">
      <c r="A774" s="359"/>
      <c r="B774" s="361"/>
      <c r="C774" s="361"/>
      <c r="D774" s="361"/>
      <c r="E774" s="367"/>
      <c r="F774" s="367"/>
      <c r="G774" s="367"/>
      <c r="H774" s="367"/>
      <c r="I774" s="367"/>
      <c r="J774" s="367"/>
      <c r="K774" s="367"/>
      <c r="L774" s="367"/>
      <c r="M774" s="367"/>
      <c r="N774" s="367"/>
      <c r="O774" s="367"/>
      <c r="P774" s="367"/>
      <c r="Q774" s="367"/>
      <c r="R774" s="367"/>
      <c r="S774" s="367"/>
      <c r="T774" s="367"/>
      <c r="U774" s="367"/>
      <c r="V774" s="367"/>
      <c r="W774" s="367"/>
      <c r="X774" s="367"/>
      <c r="Y774" s="367"/>
      <c r="Z774" s="367"/>
      <c r="AA774" s="367"/>
      <c r="AB774" s="367"/>
      <c r="AC774" s="367"/>
      <c r="AD774" s="367"/>
      <c r="AE774" s="367"/>
      <c r="AF774" s="367"/>
    </row>
    <row r="775" ht="15.75" customHeight="1">
      <c r="A775" s="359"/>
      <c r="B775" s="361"/>
      <c r="C775" s="361"/>
      <c r="D775" s="361"/>
      <c r="E775" s="367"/>
      <c r="F775" s="367"/>
      <c r="G775" s="367"/>
      <c r="H775" s="367"/>
      <c r="I775" s="367"/>
      <c r="J775" s="367"/>
      <c r="K775" s="367"/>
      <c r="L775" s="367"/>
      <c r="M775" s="367"/>
      <c r="N775" s="367"/>
      <c r="O775" s="367"/>
      <c r="P775" s="367"/>
      <c r="Q775" s="367"/>
      <c r="R775" s="367"/>
      <c r="S775" s="367"/>
      <c r="T775" s="367"/>
      <c r="U775" s="367"/>
      <c r="V775" s="367"/>
      <c r="W775" s="367"/>
      <c r="X775" s="367"/>
      <c r="Y775" s="367"/>
      <c r="Z775" s="367"/>
      <c r="AA775" s="367"/>
      <c r="AB775" s="367"/>
      <c r="AC775" s="367"/>
      <c r="AD775" s="367"/>
      <c r="AE775" s="367"/>
      <c r="AF775" s="367"/>
    </row>
    <row r="776" ht="15.75" customHeight="1">
      <c r="A776" s="359"/>
      <c r="B776" s="361"/>
      <c r="C776" s="361"/>
      <c r="D776" s="361"/>
      <c r="E776" s="367"/>
      <c r="F776" s="367"/>
      <c r="G776" s="367"/>
      <c r="H776" s="367"/>
      <c r="I776" s="367"/>
      <c r="J776" s="367"/>
      <c r="K776" s="367"/>
      <c r="L776" s="367"/>
      <c r="M776" s="367"/>
      <c r="N776" s="367"/>
      <c r="O776" s="367"/>
      <c r="P776" s="367"/>
      <c r="Q776" s="367"/>
      <c r="R776" s="367"/>
      <c r="S776" s="367"/>
      <c r="T776" s="367"/>
      <c r="U776" s="367"/>
      <c r="V776" s="367"/>
      <c r="W776" s="367"/>
      <c r="X776" s="367"/>
      <c r="Y776" s="367"/>
      <c r="Z776" s="367"/>
      <c r="AA776" s="367"/>
      <c r="AB776" s="367"/>
      <c r="AC776" s="367"/>
      <c r="AD776" s="367"/>
      <c r="AE776" s="367"/>
      <c r="AF776" s="367"/>
    </row>
    <row r="777" ht="15.75" customHeight="1">
      <c r="A777" s="359"/>
      <c r="B777" s="361"/>
      <c r="C777" s="361"/>
      <c r="D777" s="361"/>
      <c r="E777" s="367"/>
      <c r="F777" s="367"/>
      <c r="G777" s="367"/>
      <c r="H777" s="367"/>
      <c r="I777" s="367"/>
      <c r="J777" s="367"/>
      <c r="K777" s="367"/>
      <c r="L777" s="367"/>
      <c r="M777" s="367"/>
      <c r="N777" s="367"/>
      <c r="O777" s="367"/>
      <c r="P777" s="367"/>
      <c r="Q777" s="367"/>
      <c r="R777" s="367"/>
      <c r="S777" s="367"/>
      <c r="T777" s="367"/>
      <c r="U777" s="367"/>
      <c r="V777" s="367"/>
      <c r="W777" s="367"/>
      <c r="X777" s="367"/>
      <c r="Y777" s="367"/>
      <c r="Z777" s="367"/>
      <c r="AA777" s="367"/>
      <c r="AB777" s="367"/>
      <c r="AC777" s="367"/>
      <c r="AD777" s="367"/>
      <c r="AE777" s="367"/>
      <c r="AF777" s="367"/>
    </row>
    <row r="778" ht="15.75" customHeight="1">
      <c r="A778" s="359"/>
      <c r="B778" s="361"/>
      <c r="C778" s="361"/>
      <c r="D778" s="361"/>
      <c r="E778" s="367"/>
      <c r="F778" s="367"/>
      <c r="G778" s="367"/>
      <c r="H778" s="367"/>
      <c r="I778" s="367"/>
      <c r="J778" s="367"/>
      <c r="K778" s="367"/>
      <c r="L778" s="367"/>
      <c r="M778" s="367"/>
      <c r="N778" s="367"/>
      <c r="O778" s="367"/>
      <c r="P778" s="367"/>
      <c r="Q778" s="367"/>
      <c r="R778" s="367"/>
      <c r="S778" s="367"/>
      <c r="T778" s="367"/>
      <c r="U778" s="367"/>
      <c r="V778" s="367"/>
      <c r="W778" s="367"/>
      <c r="X778" s="367"/>
      <c r="Y778" s="367"/>
      <c r="Z778" s="367"/>
      <c r="AA778" s="367"/>
      <c r="AB778" s="367"/>
      <c r="AC778" s="367"/>
      <c r="AD778" s="367"/>
      <c r="AE778" s="367"/>
      <c r="AF778" s="367"/>
    </row>
    <row r="779" ht="15.75" customHeight="1">
      <c r="A779" s="359"/>
      <c r="B779" s="361"/>
      <c r="C779" s="361"/>
      <c r="D779" s="361"/>
      <c r="E779" s="367"/>
      <c r="F779" s="367"/>
      <c r="G779" s="367"/>
      <c r="H779" s="367"/>
      <c r="I779" s="367"/>
      <c r="J779" s="367"/>
      <c r="K779" s="367"/>
      <c r="L779" s="367"/>
      <c r="M779" s="367"/>
      <c r="N779" s="367"/>
      <c r="O779" s="367"/>
      <c r="P779" s="367"/>
      <c r="Q779" s="367"/>
      <c r="R779" s="367"/>
      <c r="S779" s="367"/>
      <c r="T779" s="367"/>
      <c r="U779" s="367"/>
      <c r="V779" s="367"/>
      <c r="W779" s="367"/>
      <c r="X779" s="367"/>
      <c r="Y779" s="367"/>
      <c r="Z779" s="367"/>
      <c r="AA779" s="367"/>
      <c r="AB779" s="367"/>
      <c r="AC779" s="367"/>
      <c r="AD779" s="367"/>
      <c r="AE779" s="367"/>
      <c r="AF779" s="367"/>
    </row>
    <row r="780" ht="15.75" customHeight="1">
      <c r="A780" s="359"/>
      <c r="B780" s="361"/>
      <c r="C780" s="361"/>
      <c r="D780" s="361"/>
      <c r="E780" s="367"/>
      <c r="F780" s="367"/>
      <c r="G780" s="367"/>
      <c r="H780" s="367"/>
      <c r="I780" s="367"/>
      <c r="J780" s="367"/>
      <c r="K780" s="367"/>
      <c r="L780" s="367"/>
      <c r="M780" s="367"/>
      <c r="N780" s="367"/>
      <c r="O780" s="367"/>
      <c r="P780" s="367"/>
      <c r="Q780" s="367"/>
      <c r="R780" s="367"/>
      <c r="S780" s="367"/>
      <c r="T780" s="367"/>
      <c r="U780" s="367"/>
      <c r="V780" s="367"/>
      <c r="W780" s="367"/>
      <c r="X780" s="367"/>
      <c r="Y780" s="367"/>
      <c r="Z780" s="367"/>
      <c r="AA780" s="367"/>
      <c r="AB780" s="367"/>
      <c r="AC780" s="367"/>
      <c r="AD780" s="367"/>
      <c r="AE780" s="367"/>
      <c r="AF780" s="367"/>
    </row>
    <row r="781" ht="15.75" customHeight="1">
      <c r="A781" s="359"/>
      <c r="B781" s="361"/>
      <c r="C781" s="361"/>
      <c r="D781" s="361"/>
      <c r="E781" s="367"/>
      <c r="F781" s="367"/>
      <c r="G781" s="367"/>
      <c r="H781" s="367"/>
      <c r="I781" s="367"/>
      <c r="J781" s="367"/>
      <c r="K781" s="367"/>
      <c r="L781" s="367"/>
      <c r="M781" s="367"/>
      <c r="N781" s="367"/>
      <c r="O781" s="367"/>
      <c r="P781" s="367"/>
      <c r="Q781" s="367"/>
      <c r="R781" s="367"/>
      <c r="S781" s="367"/>
      <c r="T781" s="367"/>
      <c r="U781" s="367"/>
      <c r="V781" s="367"/>
      <c r="W781" s="367"/>
      <c r="X781" s="367"/>
      <c r="Y781" s="367"/>
      <c r="Z781" s="367"/>
      <c r="AA781" s="367"/>
      <c r="AB781" s="367"/>
      <c r="AC781" s="367"/>
      <c r="AD781" s="367"/>
      <c r="AE781" s="367"/>
      <c r="AF781" s="367"/>
    </row>
    <row r="782" ht="15.75" customHeight="1">
      <c r="A782" s="359"/>
      <c r="B782" s="361"/>
      <c r="C782" s="361"/>
      <c r="D782" s="361"/>
      <c r="E782" s="367"/>
      <c r="F782" s="367"/>
      <c r="G782" s="367"/>
      <c r="H782" s="367"/>
      <c r="I782" s="367"/>
      <c r="J782" s="367"/>
      <c r="K782" s="367"/>
      <c r="L782" s="367"/>
      <c r="M782" s="367"/>
      <c r="N782" s="367"/>
      <c r="O782" s="367"/>
      <c r="P782" s="367"/>
      <c r="Q782" s="367"/>
      <c r="R782" s="367"/>
      <c r="S782" s="367"/>
      <c r="T782" s="367"/>
      <c r="U782" s="367"/>
      <c r="V782" s="367"/>
      <c r="W782" s="367"/>
      <c r="X782" s="367"/>
      <c r="Y782" s="367"/>
      <c r="Z782" s="367"/>
      <c r="AA782" s="367"/>
      <c r="AB782" s="367"/>
      <c r="AC782" s="367"/>
      <c r="AD782" s="367"/>
      <c r="AE782" s="367"/>
      <c r="AF782" s="367"/>
    </row>
    <row r="783" ht="15.75" customHeight="1">
      <c r="A783" s="359"/>
      <c r="B783" s="361"/>
      <c r="C783" s="361"/>
      <c r="D783" s="361"/>
      <c r="E783" s="367"/>
      <c r="F783" s="367"/>
      <c r="G783" s="367"/>
      <c r="H783" s="367"/>
      <c r="I783" s="367"/>
      <c r="J783" s="367"/>
      <c r="K783" s="367"/>
      <c r="L783" s="367"/>
      <c r="M783" s="367"/>
      <c r="N783" s="367"/>
      <c r="O783" s="367"/>
      <c r="P783" s="367"/>
      <c r="Q783" s="367"/>
      <c r="R783" s="367"/>
      <c r="S783" s="367"/>
      <c r="T783" s="367"/>
      <c r="U783" s="367"/>
      <c r="V783" s="367"/>
      <c r="W783" s="367"/>
      <c r="X783" s="367"/>
      <c r="Y783" s="367"/>
      <c r="Z783" s="367"/>
      <c r="AA783" s="367"/>
      <c r="AB783" s="367"/>
      <c r="AC783" s="367"/>
      <c r="AD783" s="367"/>
      <c r="AE783" s="367"/>
      <c r="AF783" s="367"/>
    </row>
    <row r="784" ht="15.75" customHeight="1">
      <c r="A784" s="359"/>
      <c r="B784" s="361"/>
      <c r="C784" s="361"/>
      <c r="D784" s="361"/>
      <c r="E784" s="367"/>
      <c r="F784" s="367"/>
      <c r="G784" s="367"/>
      <c r="H784" s="367"/>
      <c r="I784" s="367"/>
      <c r="J784" s="367"/>
      <c r="K784" s="367"/>
      <c r="L784" s="367"/>
      <c r="M784" s="367"/>
      <c r="N784" s="367"/>
      <c r="O784" s="367"/>
      <c r="P784" s="367"/>
      <c r="Q784" s="367"/>
      <c r="R784" s="367"/>
      <c r="S784" s="367"/>
      <c r="T784" s="367"/>
      <c r="U784" s="367"/>
      <c r="V784" s="367"/>
      <c r="W784" s="367"/>
      <c r="X784" s="367"/>
      <c r="Y784" s="367"/>
      <c r="Z784" s="367"/>
      <c r="AA784" s="367"/>
      <c r="AB784" s="367"/>
      <c r="AC784" s="367"/>
      <c r="AD784" s="367"/>
      <c r="AE784" s="367"/>
      <c r="AF784" s="367"/>
    </row>
    <row r="785" ht="15.75" customHeight="1">
      <c r="A785" s="359"/>
      <c r="B785" s="361"/>
      <c r="C785" s="361"/>
      <c r="D785" s="361"/>
      <c r="E785" s="367"/>
      <c r="F785" s="367"/>
      <c r="G785" s="367"/>
      <c r="H785" s="367"/>
      <c r="I785" s="367"/>
      <c r="J785" s="367"/>
      <c r="K785" s="367"/>
      <c r="L785" s="367"/>
      <c r="M785" s="367"/>
      <c r="N785" s="367"/>
      <c r="O785" s="367"/>
      <c r="P785" s="367"/>
      <c r="Q785" s="367"/>
      <c r="R785" s="367"/>
      <c r="S785" s="367"/>
      <c r="T785" s="367"/>
      <c r="U785" s="367"/>
      <c r="V785" s="367"/>
      <c r="W785" s="367"/>
      <c r="X785" s="367"/>
      <c r="Y785" s="367"/>
      <c r="Z785" s="367"/>
      <c r="AA785" s="367"/>
      <c r="AB785" s="367"/>
      <c r="AC785" s="367"/>
      <c r="AD785" s="367"/>
      <c r="AE785" s="367"/>
      <c r="AF785" s="367"/>
    </row>
    <row r="786" ht="15.75" customHeight="1">
      <c r="A786" s="359"/>
      <c r="B786" s="361"/>
      <c r="C786" s="361"/>
      <c r="D786" s="361"/>
      <c r="E786" s="367"/>
      <c r="F786" s="367"/>
      <c r="G786" s="367"/>
      <c r="H786" s="367"/>
      <c r="I786" s="367"/>
      <c r="J786" s="367"/>
      <c r="K786" s="367"/>
      <c r="L786" s="367"/>
      <c r="M786" s="367"/>
      <c r="N786" s="367"/>
      <c r="O786" s="367"/>
      <c r="P786" s="367"/>
      <c r="Q786" s="367"/>
      <c r="R786" s="367"/>
      <c r="S786" s="367"/>
      <c r="T786" s="367"/>
      <c r="U786" s="367"/>
      <c r="V786" s="367"/>
      <c r="W786" s="367"/>
      <c r="X786" s="367"/>
      <c r="Y786" s="367"/>
      <c r="Z786" s="367"/>
      <c r="AA786" s="367"/>
      <c r="AB786" s="367"/>
      <c r="AC786" s="367"/>
      <c r="AD786" s="367"/>
      <c r="AE786" s="367"/>
      <c r="AF786" s="367"/>
    </row>
    <row r="787" ht="15.75" customHeight="1">
      <c r="A787" s="359"/>
      <c r="B787" s="361"/>
      <c r="C787" s="361"/>
      <c r="D787" s="361"/>
      <c r="E787" s="367"/>
      <c r="F787" s="367"/>
      <c r="G787" s="367"/>
      <c r="H787" s="367"/>
      <c r="I787" s="367"/>
      <c r="J787" s="367"/>
      <c r="K787" s="367"/>
      <c r="L787" s="367"/>
      <c r="M787" s="367"/>
      <c r="N787" s="367"/>
      <c r="O787" s="367"/>
      <c r="P787" s="367"/>
      <c r="Q787" s="367"/>
      <c r="R787" s="367"/>
      <c r="S787" s="367"/>
      <c r="T787" s="367"/>
      <c r="U787" s="367"/>
      <c r="V787" s="367"/>
      <c r="W787" s="367"/>
      <c r="X787" s="367"/>
      <c r="Y787" s="367"/>
      <c r="Z787" s="367"/>
      <c r="AA787" s="367"/>
      <c r="AB787" s="367"/>
      <c r="AC787" s="367"/>
      <c r="AD787" s="367"/>
      <c r="AE787" s="367"/>
      <c r="AF787" s="367"/>
    </row>
    <row r="788" ht="15.75" customHeight="1">
      <c r="A788" s="359"/>
      <c r="B788" s="361"/>
      <c r="C788" s="361"/>
      <c r="D788" s="361"/>
      <c r="E788" s="367"/>
      <c r="F788" s="367"/>
      <c r="G788" s="367"/>
      <c r="H788" s="367"/>
      <c r="I788" s="367"/>
      <c r="J788" s="367"/>
      <c r="K788" s="367"/>
      <c r="L788" s="367"/>
      <c r="M788" s="367"/>
      <c r="N788" s="367"/>
      <c r="O788" s="367"/>
      <c r="P788" s="367"/>
      <c r="Q788" s="367"/>
      <c r="R788" s="367"/>
      <c r="S788" s="367"/>
      <c r="T788" s="367"/>
      <c r="U788" s="367"/>
      <c r="V788" s="367"/>
      <c r="W788" s="367"/>
      <c r="X788" s="367"/>
      <c r="Y788" s="367"/>
      <c r="Z788" s="367"/>
      <c r="AA788" s="367"/>
      <c r="AB788" s="367"/>
      <c r="AC788" s="367"/>
      <c r="AD788" s="367"/>
      <c r="AE788" s="367"/>
      <c r="AF788" s="367"/>
    </row>
    <row r="789" ht="15.75" customHeight="1">
      <c r="A789" s="359"/>
      <c r="B789" s="361"/>
      <c r="C789" s="361"/>
      <c r="D789" s="361"/>
      <c r="E789" s="367"/>
      <c r="F789" s="367"/>
      <c r="G789" s="367"/>
      <c r="H789" s="367"/>
      <c r="I789" s="367"/>
      <c r="J789" s="367"/>
      <c r="K789" s="367"/>
      <c r="L789" s="367"/>
      <c r="M789" s="367"/>
      <c r="N789" s="367"/>
      <c r="O789" s="367"/>
      <c r="P789" s="367"/>
      <c r="Q789" s="367"/>
      <c r="R789" s="367"/>
      <c r="S789" s="367"/>
      <c r="T789" s="367"/>
      <c r="U789" s="367"/>
      <c r="V789" s="367"/>
      <c r="W789" s="367"/>
      <c r="X789" s="367"/>
      <c r="Y789" s="367"/>
      <c r="Z789" s="367"/>
      <c r="AA789" s="367"/>
      <c r="AB789" s="367"/>
      <c r="AC789" s="367"/>
      <c r="AD789" s="367"/>
      <c r="AE789" s="367"/>
      <c r="AF789" s="367"/>
    </row>
    <row r="790" ht="15.75" customHeight="1">
      <c r="A790" s="359"/>
      <c r="B790" s="361"/>
      <c r="C790" s="361"/>
      <c r="D790" s="361"/>
      <c r="E790" s="367"/>
      <c r="F790" s="367"/>
      <c r="G790" s="367"/>
      <c r="H790" s="367"/>
      <c r="I790" s="367"/>
      <c r="J790" s="367"/>
      <c r="K790" s="367"/>
      <c r="L790" s="367"/>
      <c r="M790" s="367"/>
      <c r="N790" s="367"/>
      <c r="O790" s="367"/>
      <c r="P790" s="367"/>
      <c r="Q790" s="367"/>
      <c r="R790" s="367"/>
      <c r="S790" s="367"/>
      <c r="T790" s="367"/>
      <c r="U790" s="367"/>
      <c r="V790" s="367"/>
      <c r="W790" s="367"/>
      <c r="X790" s="367"/>
      <c r="Y790" s="367"/>
      <c r="Z790" s="367"/>
      <c r="AA790" s="367"/>
      <c r="AB790" s="367"/>
      <c r="AC790" s="367"/>
      <c r="AD790" s="367"/>
      <c r="AE790" s="367"/>
      <c r="AF790" s="367"/>
    </row>
    <row r="791" ht="15.75" customHeight="1">
      <c r="A791" s="359"/>
      <c r="B791" s="361"/>
      <c r="C791" s="361"/>
      <c r="D791" s="361"/>
      <c r="E791" s="367"/>
      <c r="F791" s="367"/>
      <c r="G791" s="367"/>
      <c r="H791" s="367"/>
      <c r="I791" s="367"/>
      <c r="J791" s="367"/>
      <c r="K791" s="367"/>
      <c r="L791" s="367"/>
      <c r="M791" s="367"/>
      <c r="N791" s="367"/>
      <c r="O791" s="367"/>
      <c r="P791" s="367"/>
      <c r="Q791" s="367"/>
      <c r="R791" s="367"/>
      <c r="S791" s="367"/>
      <c r="T791" s="367"/>
      <c r="U791" s="367"/>
      <c r="V791" s="367"/>
      <c r="W791" s="367"/>
      <c r="X791" s="367"/>
      <c r="Y791" s="367"/>
      <c r="Z791" s="367"/>
      <c r="AA791" s="367"/>
      <c r="AB791" s="367"/>
      <c r="AC791" s="367"/>
      <c r="AD791" s="367"/>
      <c r="AE791" s="367"/>
      <c r="AF791" s="367"/>
    </row>
    <row r="792" ht="15.75" customHeight="1">
      <c r="A792" s="359"/>
      <c r="B792" s="361"/>
      <c r="C792" s="361"/>
      <c r="D792" s="361"/>
      <c r="E792" s="367"/>
      <c r="F792" s="367"/>
      <c r="G792" s="367"/>
      <c r="H792" s="367"/>
      <c r="I792" s="367"/>
      <c r="J792" s="367"/>
      <c r="K792" s="367"/>
      <c r="L792" s="367"/>
      <c r="M792" s="367"/>
      <c r="N792" s="367"/>
      <c r="O792" s="367"/>
      <c r="P792" s="367"/>
      <c r="Q792" s="367"/>
      <c r="R792" s="367"/>
      <c r="S792" s="367"/>
      <c r="T792" s="367"/>
      <c r="U792" s="367"/>
      <c r="V792" s="367"/>
      <c r="W792" s="367"/>
      <c r="X792" s="367"/>
      <c r="Y792" s="367"/>
      <c r="Z792" s="367"/>
      <c r="AA792" s="367"/>
      <c r="AB792" s="367"/>
      <c r="AC792" s="367"/>
      <c r="AD792" s="367"/>
      <c r="AE792" s="367"/>
      <c r="AF792" s="367"/>
    </row>
    <row r="793" ht="15.75" customHeight="1">
      <c r="A793" s="359"/>
      <c r="B793" s="361"/>
      <c r="C793" s="361"/>
      <c r="D793" s="361"/>
      <c r="E793" s="367"/>
      <c r="F793" s="367"/>
      <c r="G793" s="367"/>
      <c r="H793" s="367"/>
      <c r="I793" s="367"/>
      <c r="J793" s="367"/>
      <c r="K793" s="367"/>
      <c r="L793" s="367"/>
      <c r="M793" s="367"/>
      <c r="N793" s="367"/>
      <c r="O793" s="367"/>
      <c r="P793" s="367"/>
      <c r="Q793" s="367"/>
      <c r="R793" s="367"/>
      <c r="S793" s="367"/>
      <c r="T793" s="367"/>
      <c r="U793" s="367"/>
      <c r="V793" s="367"/>
      <c r="W793" s="367"/>
      <c r="X793" s="367"/>
      <c r="Y793" s="367"/>
      <c r="Z793" s="367"/>
      <c r="AA793" s="367"/>
      <c r="AB793" s="367"/>
      <c r="AC793" s="367"/>
      <c r="AD793" s="367"/>
      <c r="AE793" s="367"/>
      <c r="AF793" s="367"/>
    </row>
    <row r="794" ht="15.75" customHeight="1">
      <c r="A794" s="359"/>
      <c r="B794" s="361"/>
      <c r="C794" s="361"/>
      <c r="D794" s="361"/>
      <c r="E794" s="367"/>
      <c r="F794" s="367"/>
      <c r="G794" s="367"/>
      <c r="H794" s="367"/>
      <c r="I794" s="367"/>
      <c r="J794" s="367"/>
      <c r="K794" s="367"/>
      <c r="L794" s="367"/>
      <c r="M794" s="367"/>
      <c r="N794" s="367"/>
      <c r="O794" s="367"/>
      <c r="P794" s="367"/>
      <c r="Q794" s="367"/>
      <c r="R794" s="367"/>
      <c r="S794" s="367"/>
      <c r="T794" s="367"/>
      <c r="U794" s="367"/>
      <c r="V794" s="367"/>
      <c r="W794" s="367"/>
      <c r="X794" s="367"/>
      <c r="Y794" s="367"/>
      <c r="Z794" s="367"/>
      <c r="AA794" s="367"/>
      <c r="AB794" s="367"/>
      <c r="AC794" s="367"/>
      <c r="AD794" s="367"/>
      <c r="AE794" s="367"/>
      <c r="AF794" s="367"/>
    </row>
    <row r="795" ht="15.75" customHeight="1">
      <c r="A795" s="359"/>
      <c r="B795" s="361"/>
      <c r="C795" s="361"/>
      <c r="D795" s="361"/>
      <c r="E795" s="367"/>
      <c r="F795" s="367"/>
      <c r="G795" s="367"/>
      <c r="H795" s="367"/>
      <c r="I795" s="367"/>
      <c r="J795" s="367"/>
      <c r="K795" s="367"/>
      <c r="L795" s="367"/>
      <c r="M795" s="367"/>
      <c r="N795" s="367"/>
      <c r="O795" s="367"/>
      <c r="P795" s="367"/>
      <c r="Q795" s="367"/>
      <c r="R795" s="367"/>
      <c r="S795" s="367"/>
      <c r="T795" s="367"/>
      <c r="U795" s="367"/>
      <c r="V795" s="367"/>
      <c r="W795" s="367"/>
      <c r="X795" s="367"/>
      <c r="Y795" s="367"/>
      <c r="Z795" s="367"/>
      <c r="AA795" s="367"/>
      <c r="AB795" s="367"/>
      <c r="AC795" s="367"/>
      <c r="AD795" s="367"/>
      <c r="AE795" s="367"/>
      <c r="AF795" s="367"/>
    </row>
    <row r="796" ht="15.75" customHeight="1">
      <c r="A796" s="359"/>
      <c r="B796" s="361"/>
      <c r="C796" s="361"/>
      <c r="D796" s="361"/>
      <c r="E796" s="367"/>
      <c r="F796" s="367"/>
      <c r="G796" s="367"/>
      <c r="H796" s="367"/>
      <c r="I796" s="367"/>
      <c r="J796" s="367"/>
      <c r="K796" s="367"/>
      <c r="L796" s="367"/>
      <c r="M796" s="367"/>
      <c r="N796" s="367"/>
      <c r="O796" s="367"/>
      <c r="P796" s="367"/>
      <c r="Q796" s="367"/>
      <c r="R796" s="367"/>
      <c r="S796" s="367"/>
      <c r="T796" s="367"/>
      <c r="U796" s="367"/>
      <c r="V796" s="367"/>
      <c r="W796" s="367"/>
      <c r="X796" s="367"/>
      <c r="Y796" s="367"/>
      <c r="Z796" s="367"/>
      <c r="AA796" s="367"/>
      <c r="AB796" s="367"/>
      <c r="AC796" s="367"/>
      <c r="AD796" s="367"/>
      <c r="AE796" s="367"/>
      <c r="AF796" s="367"/>
    </row>
    <row r="797" ht="15.75" customHeight="1">
      <c r="A797" s="359"/>
      <c r="B797" s="361"/>
      <c r="C797" s="361"/>
      <c r="D797" s="361"/>
      <c r="E797" s="367"/>
      <c r="F797" s="367"/>
      <c r="G797" s="367"/>
      <c r="H797" s="367"/>
      <c r="I797" s="367"/>
      <c r="J797" s="367"/>
      <c r="K797" s="367"/>
      <c r="L797" s="367"/>
      <c r="M797" s="367"/>
      <c r="N797" s="367"/>
      <c r="O797" s="367"/>
      <c r="P797" s="367"/>
      <c r="Q797" s="367"/>
      <c r="R797" s="367"/>
      <c r="S797" s="367"/>
      <c r="T797" s="367"/>
      <c r="U797" s="367"/>
      <c r="V797" s="367"/>
      <c r="W797" s="367"/>
      <c r="X797" s="367"/>
      <c r="Y797" s="367"/>
      <c r="Z797" s="367"/>
      <c r="AA797" s="367"/>
      <c r="AB797" s="367"/>
      <c r="AC797" s="367"/>
      <c r="AD797" s="367"/>
      <c r="AE797" s="367"/>
      <c r="AF797" s="367"/>
    </row>
    <row r="798" ht="15.75" customHeight="1">
      <c r="A798" s="359"/>
      <c r="B798" s="361"/>
      <c r="C798" s="361"/>
      <c r="D798" s="361"/>
      <c r="E798" s="367"/>
      <c r="F798" s="367"/>
      <c r="G798" s="367"/>
      <c r="H798" s="367"/>
      <c r="I798" s="367"/>
      <c r="J798" s="367"/>
      <c r="K798" s="367"/>
      <c r="L798" s="367"/>
      <c r="M798" s="367"/>
      <c r="N798" s="367"/>
      <c r="O798" s="367"/>
      <c r="P798" s="367"/>
      <c r="Q798" s="367"/>
      <c r="R798" s="367"/>
      <c r="S798" s="367"/>
      <c r="T798" s="367"/>
      <c r="U798" s="367"/>
      <c r="V798" s="367"/>
      <c r="W798" s="367"/>
      <c r="X798" s="367"/>
      <c r="Y798" s="367"/>
      <c r="Z798" s="367"/>
      <c r="AA798" s="367"/>
      <c r="AB798" s="367"/>
      <c r="AC798" s="367"/>
      <c r="AD798" s="367"/>
      <c r="AE798" s="367"/>
      <c r="AF798" s="367"/>
    </row>
    <row r="799" ht="15.75" customHeight="1">
      <c r="A799" s="359"/>
      <c r="B799" s="361"/>
      <c r="C799" s="361"/>
      <c r="D799" s="361"/>
      <c r="E799" s="367"/>
      <c r="F799" s="367"/>
      <c r="G799" s="367"/>
      <c r="H799" s="367"/>
      <c r="I799" s="367"/>
      <c r="J799" s="367"/>
      <c r="K799" s="367"/>
      <c r="L799" s="367"/>
      <c r="M799" s="367"/>
      <c r="N799" s="367"/>
      <c r="O799" s="367"/>
      <c r="P799" s="367"/>
      <c r="Q799" s="367"/>
      <c r="R799" s="367"/>
      <c r="S799" s="367"/>
      <c r="T799" s="367"/>
      <c r="U799" s="367"/>
      <c r="V799" s="367"/>
      <c r="W799" s="367"/>
      <c r="X799" s="367"/>
      <c r="Y799" s="367"/>
      <c r="Z799" s="367"/>
      <c r="AA799" s="367"/>
      <c r="AB799" s="367"/>
      <c r="AC799" s="367"/>
      <c r="AD799" s="367"/>
      <c r="AE799" s="367"/>
      <c r="AF799" s="367"/>
    </row>
    <row r="800" ht="15.75" customHeight="1">
      <c r="A800" s="359"/>
      <c r="B800" s="361"/>
      <c r="C800" s="361"/>
      <c r="D800" s="361"/>
      <c r="E800" s="367"/>
      <c r="F800" s="367"/>
      <c r="G800" s="367"/>
      <c r="H800" s="367"/>
      <c r="I800" s="367"/>
      <c r="J800" s="367"/>
      <c r="K800" s="367"/>
      <c r="L800" s="367"/>
      <c r="M800" s="367"/>
      <c r="N800" s="367"/>
      <c r="O800" s="367"/>
      <c r="P800" s="367"/>
      <c r="Q800" s="367"/>
      <c r="R800" s="367"/>
      <c r="S800" s="367"/>
      <c r="T800" s="367"/>
      <c r="U800" s="367"/>
      <c r="V800" s="367"/>
      <c r="W800" s="367"/>
      <c r="X800" s="367"/>
      <c r="Y800" s="367"/>
      <c r="Z800" s="367"/>
      <c r="AA800" s="367"/>
      <c r="AB800" s="367"/>
      <c r="AC800" s="367"/>
      <c r="AD800" s="367"/>
      <c r="AE800" s="367"/>
      <c r="AF800" s="367"/>
    </row>
    <row r="801" ht="15.75" customHeight="1">
      <c r="A801" s="359"/>
      <c r="B801" s="361"/>
      <c r="C801" s="361"/>
      <c r="D801" s="361"/>
      <c r="E801" s="367"/>
      <c r="F801" s="367"/>
      <c r="G801" s="367"/>
      <c r="H801" s="367"/>
      <c r="I801" s="367"/>
      <c r="J801" s="367"/>
      <c r="K801" s="367"/>
      <c r="L801" s="367"/>
      <c r="M801" s="367"/>
      <c r="N801" s="367"/>
      <c r="O801" s="367"/>
      <c r="P801" s="367"/>
      <c r="Q801" s="367"/>
      <c r="R801" s="367"/>
      <c r="S801" s="367"/>
      <c r="T801" s="367"/>
      <c r="U801" s="367"/>
      <c r="V801" s="367"/>
      <c r="W801" s="367"/>
      <c r="X801" s="367"/>
      <c r="Y801" s="367"/>
      <c r="Z801" s="367"/>
      <c r="AA801" s="367"/>
      <c r="AB801" s="367"/>
      <c r="AC801" s="367"/>
      <c r="AD801" s="367"/>
      <c r="AE801" s="367"/>
      <c r="AF801" s="367"/>
    </row>
    <row r="802" ht="15.75" customHeight="1">
      <c r="A802" s="359"/>
      <c r="B802" s="361"/>
      <c r="C802" s="361"/>
      <c r="D802" s="361"/>
      <c r="E802" s="367"/>
      <c r="F802" s="367"/>
      <c r="G802" s="367"/>
      <c r="H802" s="367"/>
      <c r="I802" s="367"/>
      <c r="J802" s="367"/>
      <c r="K802" s="367"/>
      <c r="L802" s="367"/>
      <c r="M802" s="367"/>
      <c r="N802" s="367"/>
      <c r="O802" s="367"/>
      <c r="P802" s="367"/>
      <c r="Q802" s="367"/>
      <c r="R802" s="367"/>
      <c r="S802" s="367"/>
      <c r="T802" s="367"/>
      <c r="U802" s="367"/>
      <c r="V802" s="367"/>
      <c r="W802" s="367"/>
      <c r="X802" s="367"/>
      <c r="Y802" s="367"/>
      <c r="Z802" s="367"/>
      <c r="AA802" s="367"/>
      <c r="AB802" s="367"/>
      <c r="AC802" s="367"/>
      <c r="AD802" s="367"/>
      <c r="AE802" s="367"/>
      <c r="AF802" s="367"/>
    </row>
    <row r="803" ht="15.75" customHeight="1">
      <c r="A803" s="359"/>
      <c r="B803" s="361"/>
      <c r="C803" s="361"/>
      <c r="D803" s="361"/>
      <c r="E803" s="367"/>
      <c r="F803" s="367"/>
      <c r="G803" s="367"/>
      <c r="H803" s="367"/>
      <c r="I803" s="367"/>
      <c r="J803" s="367"/>
      <c r="K803" s="367"/>
      <c r="L803" s="367"/>
      <c r="M803" s="367"/>
      <c r="N803" s="367"/>
      <c r="O803" s="367"/>
      <c r="P803" s="367"/>
      <c r="Q803" s="367"/>
      <c r="R803" s="367"/>
      <c r="S803" s="367"/>
      <c r="T803" s="367"/>
      <c r="U803" s="367"/>
      <c r="V803" s="367"/>
      <c r="W803" s="367"/>
      <c r="X803" s="367"/>
      <c r="Y803" s="367"/>
      <c r="Z803" s="367"/>
      <c r="AA803" s="367"/>
      <c r="AB803" s="367"/>
      <c r="AC803" s="367"/>
      <c r="AD803" s="367"/>
      <c r="AE803" s="367"/>
      <c r="AF803" s="367"/>
    </row>
    <row r="804" ht="15.75" customHeight="1">
      <c r="A804" s="359"/>
      <c r="B804" s="361"/>
      <c r="C804" s="361"/>
      <c r="D804" s="361"/>
      <c r="E804" s="367"/>
      <c r="F804" s="367"/>
      <c r="G804" s="367"/>
      <c r="H804" s="367"/>
      <c r="I804" s="367"/>
      <c r="J804" s="367"/>
      <c r="K804" s="367"/>
      <c r="L804" s="367"/>
      <c r="M804" s="367"/>
      <c r="N804" s="367"/>
      <c r="O804" s="367"/>
      <c r="P804" s="367"/>
      <c r="Q804" s="367"/>
      <c r="R804" s="367"/>
      <c r="S804" s="367"/>
      <c r="T804" s="367"/>
      <c r="U804" s="367"/>
      <c r="V804" s="367"/>
      <c r="W804" s="367"/>
      <c r="X804" s="367"/>
      <c r="Y804" s="367"/>
      <c r="Z804" s="367"/>
      <c r="AA804" s="367"/>
      <c r="AB804" s="367"/>
      <c r="AC804" s="367"/>
      <c r="AD804" s="367"/>
      <c r="AE804" s="367"/>
      <c r="AF804" s="367"/>
    </row>
    <row r="805" ht="15.75" customHeight="1">
      <c r="A805" s="359"/>
      <c r="B805" s="361"/>
      <c r="C805" s="361"/>
      <c r="D805" s="361"/>
      <c r="E805" s="367"/>
      <c r="F805" s="367"/>
      <c r="G805" s="367"/>
      <c r="H805" s="367"/>
      <c r="I805" s="367"/>
      <c r="J805" s="367"/>
      <c r="K805" s="367"/>
      <c r="L805" s="367"/>
      <c r="M805" s="367"/>
      <c r="N805" s="367"/>
      <c r="O805" s="367"/>
      <c r="P805" s="367"/>
      <c r="Q805" s="367"/>
      <c r="R805" s="367"/>
      <c r="S805" s="367"/>
      <c r="T805" s="367"/>
      <c r="U805" s="367"/>
      <c r="V805" s="367"/>
      <c r="W805" s="367"/>
      <c r="X805" s="367"/>
      <c r="Y805" s="367"/>
      <c r="Z805" s="367"/>
      <c r="AA805" s="367"/>
      <c r="AB805" s="367"/>
      <c r="AC805" s="367"/>
      <c r="AD805" s="367"/>
      <c r="AE805" s="367"/>
      <c r="AF805" s="367"/>
    </row>
    <row r="806" ht="15.75" customHeight="1">
      <c r="A806" s="359"/>
      <c r="B806" s="361"/>
      <c r="C806" s="361"/>
      <c r="D806" s="361"/>
      <c r="E806" s="367"/>
      <c r="F806" s="367"/>
      <c r="G806" s="367"/>
      <c r="H806" s="367"/>
      <c r="I806" s="367"/>
      <c r="J806" s="367"/>
      <c r="K806" s="367"/>
      <c r="L806" s="367"/>
      <c r="M806" s="367"/>
      <c r="N806" s="367"/>
      <c r="O806" s="367"/>
      <c r="P806" s="367"/>
      <c r="Q806" s="367"/>
      <c r="R806" s="367"/>
      <c r="S806" s="367"/>
      <c r="T806" s="367"/>
      <c r="U806" s="367"/>
      <c r="V806" s="367"/>
      <c r="W806" s="367"/>
      <c r="X806" s="367"/>
      <c r="Y806" s="367"/>
      <c r="Z806" s="367"/>
      <c r="AA806" s="367"/>
      <c r="AB806" s="367"/>
      <c r="AC806" s="367"/>
      <c r="AD806" s="367"/>
      <c r="AE806" s="367"/>
      <c r="AF806" s="367"/>
    </row>
    <row r="807" ht="15.75" customHeight="1">
      <c r="A807" s="359"/>
      <c r="B807" s="361"/>
      <c r="C807" s="361"/>
      <c r="D807" s="361"/>
      <c r="E807" s="367"/>
      <c r="F807" s="367"/>
      <c r="G807" s="367"/>
      <c r="H807" s="367"/>
      <c r="I807" s="367"/>
      <c r="J807" s="367"/>
      <c r="K807" s="367"/>
      <c r="L807" s="367"/>
      <c r="M807" s="367"/>
      <c r="N807" s="367"/>
      <c r="O807" s="367"/>
      <c r="P807" s="367"/>
      <c r="Q807" s="367"/>
      <c r="R807" s="367"/>
      <c r="S807" s="367"/>
      <c r="T807" s="367"/>
      <c r="U807" s="367"/>
      <c r="V807" s="367"/>
      <c r="W807" s="367"/>
      <c r="X807" s="367"/>
      <c r="Y807" s="367"/>
      <c r="Z807" s="367"/>
      <c r="AA807" s="367"/>
      <c r="AB807" s="367"/>
      <c r="AC807" s="367"/>
      <c r="AD807" s="367"/>
      <c r="AE807" s="367"/>
      <c r="AF807" s="367"/>
    </row>
    <row r="808" ht="15.75" customHeight="1">
      <c r="A808" s="359"/>
      <c r="B808" s="361"/>
      <c r="C808" s="361"/>
      <c r="D808" s="361"/>
      <c r="E808" s="367"/>
      <c r="F808" s="367"/>
      <c r="G808" s="367"/>
      <c r="H808" s="367"/>
      <c r="I808" s="367"/>
      <c r="J808" s="367"/>
      <c r="K808" s="367"/>
      <c r="L808" s="367"/>
      <c r="M808" s="367"/>
      <c r="N808" s="367"/>
      <c r="O808" s="367"/>
      <c r="P808" s="367"/>
      <c r="Q808" s="367"/>
      <c r="R808" s="367"/>
      <c r="S808" s="367"/>
      <c r="T808" s="367"/>
      <c r="U808" s="367"/>
      <c r="V808" s="367"/>
      <c r="W808" s="367"/>
      <c r="X808" s="367"/>
      <c r="Y808" s="367"/>
      <c r="Z808" s="367"/>
      <c r="AA808" s="367"/>
      <c r="AB808" s="367"/>
      <c r="AC808" s="367"/>
      <c r="AD808" s="367"/>
      <c r="AE808" s="367"/>
      <c r="AF808" s="367"/>
    </row>
    <row r="809" ht="15.75" customHeight="1">
      <c r="A809" s="359"/>
      <c r="B809" s="361"/>
      <c r="C809" s="361"/>
      <c r="D809" s="361"/>
      <c r="E809" s="367"/>
      <c r="F809" s="367"/>
      <c r="G809" s="367"/>
      <c r="H809" s="367"/>
      <c r="I809" s="367"/>
      <c r="J809" s="367"/>
      <c r="K809" s="367"/>
      <c r="L809" s="367"/>
      <c r="M809" s="367"/>
      <c r="N809" s="367"/>
      <c r="O809" s="367"/>
      <c r="P809" s="367"/>
      <c r="Q809" s="367"/>
      <c r="R809" s="367"/>
      <c r="S809" s="367"/>
      <c r="T809" s="367"/>
      <c r="U809" s="367"/>
      <c r="V809" s="367"/>
      <c r="W809" s="367"/>
      <c r="X809" s="367"/>
      <c r="Y809" s="367"/>
      <c r="Z809" s="367"/>
      <c r="AA809" s="367"/>
      <c r="AB809" s="367"/>
      <c r="AC809" s="367"/>
      <c r="AD809" s="367"/>
      <c r="AE809" s="367"/>
      <c r="AF809" s="367"/>
    </row>
    <row r="810" ht="15.75" customHeight="1">
      <c r="A810" s="359"/>
      <c r="B810" s="361"/>
      <c r="C810" s="361"/>
      <c r="D810" s="361"/>
      <c r="E810" s="367"/>
      <c r="F810" s="367"/>
      <c r="G810" s="367"/>
      <c r="H810" s="367"/>
      <c r="I810" s="367"/>
      <c r="J810" s="367"/>
      <c r="K810" s="367"/>
      <c r="L810" s="367"/>
      <c r="M810" s="367"/>
      <c r="N810" s="367"/>
      <c r="O810" s="367"/>
      <c r="P810" s="367"/>
      <c r="Q810" s="367"/>
      <c r="R810" s="367"/>
      <c r="S810" s="367"/>
      <c r="T810" s="367"/>
      <c r="U810" s="367"/>
      <c r="V810" s="367"/>
      <c r="W810" s="367"/>
      <c r="X810" s="367"/>
      <c r="Y810" s="367"/>
      <c r="Z810" s="367"/>
      <c r="AA810" s="367"/>
      <c r="AB810" s="367"/>
      <c r="AC810" s="367"/>
      <c r="AD810" s="367"/>
      <c r="AE810" s="367"/>
      <c r="AF810" s="367"/>
    </row>
    <row r="811" ht="15.75" customHeight="1">
      <c r="A811" s="359"/>
      <c r="B811" s="361"/>
      <c r="C811" s="361"/>
      <c r="D811" s="361"/>
      <c r="E811" s="367"/>
      <c r="F811" s="367"/>
      <c r="G811" s="367"/>
      <c r="H811" s="367"/>
      <c r="I811" s="367"/>
      <c r="J811" s="367"/>
      <c r="K811" s="367"/>
      <c r="L811" s="367"/>
      <c r="M811" s="367"/>
      <c r="N811" s="367"/>
      <c r="O811" s="367"/>
      <c r="P811" s="367"/>
      <c r="Q811" s="367"/>
      <c r="R811" s="367"/>
      <c r="S811" s="367"/>
      <c r="T811" s="367"/>
      <c r="U811" s="367"/>
      <c r="V811" s="367"/>
      <c r="W811" s="367"/>
      <c r="X811" s="367"/>
      <c r="Y811" s="367"/>
      <c r="Z811" s="367"/>
      <c r="AA811" s="367"/>
      <c r="AB811" s="367"/>
      <c r="AC811" s="367"/>
      <c r="AD811" s="367"/>
      <c r="AE811" s="367"/>
      <c r="AF811" s="367"/>
    </row>
    <row r="812" ht="15.75" customHeight="1">
      <c r="A812" s="359"/>
      <c r="B812" s="361"/>
      <c r="C812" s="361"/>
      <c r="D812" s="361"/>
      <c r="E812" s="367"/>
      <c r="F812" s="367"/>
      <c r="G812" s="367"/>
      <c r="H812" s="367"/>
      <c r="I812" s="367"/>
      <c r="J812" s="367"/>
      <c r="K812" s="367"/>
      <c r="L812" s="367"/>
      <c r="M812" s="367"/>
      <c r="N812" s="367"/>
      <c r="O812" s="367"/>
      <c r="P812" s="367"/>
      <c r="Q812" s="367"/>
      <c r="R812" s="367"/>
      <c r="S812" s="367"/>
      <c r="T812" s="367"/>
      <c r="U812" s="367"/>
      <c r="V812" s="367"/>
      <c r="W812" s="367"/>
      <c r="X812" s="367"/>
      <c r="Y812" s="367"/>
      <c r="Z812" s="367"/>
      <c r="AA812" s="367"/>
      <c r="AB812" s="367"/>
      <c r="AC812" s="367"/>
      <c r="AD812" s="367"/>
      <c r="AE812" s="367"/>
      <c r="AF812" s="367"/>
    </row>
    <row r="813" ht="15.75" customHeight="1">
      <c r="A813" s="359"/>
      <c r="B813" s="361"/>
      <c r="C813" s="361"/>
      <c r="D813" s="361"/>
      <c r="E813" s="367"/>
      <c r="F813" s="367"/>
      <c r="G813" s="367"/>
      <c r="H813" s="367"/>
      <c r="I813" s="367"/>
      <c r="J813" s="367"/>
      <c r="K813" s="367"/>
      <c r="L813" s="367"/>
      <c r="M813" s="367"/>
      <c r="N813" s="367"/>
      <c r="O813" s="367"/>
      <c r="P813" s="367"/>
      <c r="Q813" s="367"/>
      <c r="R813" s="367"/>
      <c r="S813" s="367"/>
      <c r="T813" s="367"/>
      <c r="U813" s="367"/>
      <c r="V813" s="367"/>
      <c r="W813" s="367"/>
      <c r="X813" s="367"/>
      <c r="Y813" s="367"/>
      <c r="Z813" s="367"/>
      <c r="AA813" s="367"/>
      <c r="AB813" s="367"/>
      <c r="AC813" s="367"/>
      <c r="AD813" s="367"/>
      <c r="AE813" s="367"/>
      <c r="AF813" s="367"/>
    </row>
    <row r="814" ht="15.75" customHeight="1">
      <c r="A814" s="359"/>
      <c r="B814" s="361"/>
      <c r="C814" s="361"/>
      <c r="D814" s="361"/>
      <c r="E814" s="367"/>
      <c r="F814" s="367"/>
      <c r="G814" s="367"/>
      <c r="H814" s="367"/>
      <c r="I814" s="367"/>
      <c r="J814" s="367"/>
      <c r="K814" s="367"/>
      <c r="L814" s="367"/>
      <c r="M814" s="367"/>
      <c r="N814" s="367"/>
      <c r="O814" s="367"/>
      <c r="P814" s="367"/>
      <c r="Q814" s="367"/>
      <c r="R814" s="367"/>
      <c r="S814" s="367"/>
      <c r="T814" s="367"/>
      <c r="U814" s="367"/>
      <c r="V814" s="367"/>
      <c r="W814" s="367"/>
      <c r="X814" s="367"/>
      <c r="Y814" s="367"/>
      <c r="Z814" s="367"/>
      <c r="AA814" s="367"/>
      <c r="AB814" s="367"/>
      <c r="AC814" s="367"/>
      <c r="AD814" s="367"/>
      <c r="AE814" s="367"/>
      <c r="AF814" s="367"/>
    </row>
    <row r="815" ht="15.75" customHeight="1">
      <c r="A815" s="359"/>
      <c r="B815" s="361"/>
      <c r="C815" s="361"/>
      <c r="D815" s="361"/>
      <c r="E815" s="367"/>
      <c r="F815" s="367"/>
      <c r="G815" s="367"/>
      <c r="H815" s="367"/>
      <c r="I815" s="367"/>
      <c r="J815" s="367"/>
      <c r="K815" s="367"/>
      <c r="L815" s="367"/>
      <c r="M815" s="367"/>
      <c r="N815" s="367"/>
      <c r="O815" s="367"/>
      <c r="P815" s="367"/>
      <c r="Q815" s="367"/>
      <c r="R815" s="367"/>
      <c r="S815" s="367"/>
      <c r="T815" s="367"/>
      <c r="U815" s="367"/>
      <c r="V815" s="367"/>
      <c r="W815" s="367"/>
      <c r="X815" s="367"/>
      <c r="Y815" s="367"/>
      <c r="Z815" s="367"/>
      <c r="AA815" s="367"/>
      <c r="AB815" s="367"/>
      <c r="AC815" s="367"/>
      <c r="AD815" s="367"/>
      <c r="AE815" s="367"/>
      <c r="AF815" s="367"/>
    </row>
    <row r="816" ht="15.75" customHeight="1">
      <c r="A816" s="359"/>
      <c r="B816" s="361"/>
      <c r="C816" s="361"/>
      <c r="D816" s="361"/>
      <c r="E816" s="367"/>
      <c r="F816" s="367"/>
      <c r="G816" s="367"/>
      <c r="H816" s="367"/>
      <c r="I816" s="367"/>
      <c r="J816" s="367"/>
      <c r="K816" s="367"/>
      <c r="L816" s="367"/>
      <c r="M816" s="367"/>
      <c r="N816" s="367"/>
      <c r="O816" s="367"/>
      <c r="P816" s="367"/>
      <c r="Q816" s="367"/>
      <c r="R816" s="367"/>
      <c r="S816" s="367"/>
      <c r="T816" s="367"/>
      <c r="U816" s="367"/>
      <c r="V816" s="367"/>
      <c r="W816" s="367"/>
      <c r="X816" s="367"/>
      <c r="Y816" s="367"/>
      <c r="Z816" s="367"/>
      <c r="AA816" s="367"/>
      <c r="AB816" s="367"/>
      <c r="AC816" s="367"/>
      <c r="AD816" s="367"/>
      <c r="AE816" s="367"/>
      <c r="AF816" s="367"/>
    </row>
    <row r="817" ht="15.75" customHeight="1">
      <c r="A817" s="359"/>
      <c r="B817" s="361"/>
      <c r="C817" s="361"/>
      <c r="D817" s="361"/>
      <c r="E817" s="367"/>
      <c r="F817" s="367"/>
      <c r="G817" s="367"/>
      <c r="H817" s="367"/>
      <c r="I817" s="367"/>
      <c r="J817" s="367"/>
      <c r="K817" s="367"/>
      <c r="L817" s="367"/>
      <c r="M817" s="367"/>
      <c r="N817" s="367"/>
      <c r="O817" s="367"/>
      <c r="P817" s="367"/>
      <c r="Q817" s="367"/>
      <c r="R817" s="367"/>
      <c r="S817" s="367"/>
      <c r="T817" s="367"/>
      <c r="U817" s="367"/>
      <c r="V817" s="367"/>
      <c r="W817" s="367"/>
      <c r="X817" s="367"/>
      <c r="Y817" s="367"/>
      <c r="Z817" s="367"/>
      <c r="AA817" s="367"/>
      <c r="AB817" s="367"/>
      <c r="AC817" s="367"/>
      <c r="AD817" s="367"/>
      <c r="AE817" s="367"/>
      <c r="AF817" s="367"/>
    </row>
    <row r="818" ht="15.75" customHeight="1">
      <c r="A818" s="359"/>
      <c r="B818" s="361"/>
      <c r="C818" s="361"/>
      <c r="D818" s="361"/>
      <c r="E818" s="367"/>
      <c r="F818" s="367"/>
      <c r="G818" s="367"/>
      <c r="H818" s="367"/>
      <c r="I818" s="367"/>
      <c r="J818" s="367"/>
      <c r="K818" s="367"/>
      <c r="L818" s="367"/>
      <c r="M818" s="367"/>
      <c r="N818" s="367"/>
      <c r="O818" s="367"/>
      <c r="P818" s="367"/>
      <c r="Q818" s="367"/>
      <c r="R818" s="367"/>
      <c r="S818" s="367"/>
      <c r="T818" s="367"/>
      <c r="U818" s="367"/>
      <c r="V818" s="367"/>
      <c r="W818" s="367"/>
      <c r="X818" s="367"/>
      <c r="Y818" s="367"/>
      <c r="Z818" s="367"/>
      <c r="AA818" s="367"/>
      <c r="AB818" s="367"/>
      <c r="AC818" s="367"/>
      <c r="AD818" s="367"/>
      <c r="AE818" s="367"/>
      <c r="AF818" s="367"/>
    </row>
    <row r="819" ht="15.75" customHeight="1">
      <c r="A819" s="359"/>
      <c r="B819" s="361"/>
      <c r="C819" s="361"/>
      <c r="D819" s="361"/>
      <c r="E819" s="367"/>
      <c r="F819" s="367"/>
      <c r="G819" s="367"/>
      <c r="H819" s="367"/>
      <c r="I819" s="367"/>
      <c r="J819" s="367"/>
      <c r="K819" s="367"/>
      <c r="L819" s="367"/>
      <c r="M819" s="367"/>
      <c r="N819" s="367"/>
      <c r="O819" s="367"/>
      <c r="P819" s="367"/>
      <c r="Q819" s="367"/>
      <c r="R819" s="367"/>
      <c r="S819" s="367"/>
      <c r="T819" s="367"/>
      <c r="U819" s="367"/>
      <c r="V819" s="367"/>
      <c r="W819" s="367"/>
      <c r="X819" s="367"/>
      <c r="Y819" s="367"/>
      <c r="Z819" s="367"/>
      <c r="AA819" s="367"/>
      <c r="AB819" s="367"/>
      <c r="AC819" s="367"/>
      <c r="AD819" s="367"/>
      <c r="AE819" s="367"/>
      <c r="AF819" s="367"/>
    </row>
    <row r="820" ht="15.75" customHeight="1">
      <c r="A820" s="359"/>
      <c r="B820" s="361"/>
      <c r="C820" s="361"/>
      <c r="D820" s="361"/>
      <c r="E820" s="367"/>
      <c r="F820" s="367"/>
      <c r="G820" s="367"/>
      <c r="H820" s="367"/>
      <c r="I820" s="367"/>
      <c r="J820" s="367"/>
      <c r="K820" s="367"/>
      <c r="L820" s="367"/>
      <c r="M820" s="367"/>
      <c r="N820" s="367"/>
      <c r="O820" s="367"/>
      <c r="P820" s="367"/>
      <c r="Q820" s="367"/>
      <c r="R820" s="367"/>
      <c r="S820" s="367"/>
      <c r="T820" s="367"/>
      <c r="U820" s="367"/>
      <c r="V820" s="367"/>
      <c r="W820" s="367"/>
      <c r="X820" s="367"/>
      <c r="Y820" s="367"/>
      <c r="Z820" s="367"/>
      <c r="AA820" s="367"/>
      <c r="AB820" s="367"/>
      <c r="AC820" s="367"/>
      <c r="AD820" s="367"/>
      <c r="AE820" s="367"/>
      <c r="AF820" s="367"/>
    </row>
    <row r="821" ht="15.75" customHeight="1">
      <c r="A821" s="359"/>
      <c r="B821" s="361"/>
      <c r="C821" s="361"/>
      <c r="D821" s="361"/>
      <c r="E821" s="367"/>
      <c r="F821" s="367"/>
      <c r="G821" s="367"/>
      <c r="H821" s="367"/>
      <c r="I821" s="367"/>
      <c r="J821" s="367"/>
      <c r="K821" s="367"/>
      <c r="L821" s="367"/>
      <c r="M821" s="367"/>
      <c r="N821" s="367"/>
      <c r="O821" s="367"/>
      <c r="P821" s="367"/>
      <c r="Q821" s="367"/>
      <c r="R821" s="367"/>
      <c r="S821" s="367"/>
      <c r="T821" s="367"/>
      <c r="U821" s="367"/>
      <c r="V821" s="367"/>
      <c r="W821" s="367"/>
      <c r="X821" s="367"/>
      <c r="Y821" s="367"/>
      <c r="Z821" s="367"/>
      <c r="AA821" s="367"/>
      <c r="AB821" s="367"/>
      <c r="AC821" s="367"/>
      <c r="AD821" s="367"/>
      <c r="AE821" s="367"/>
      <c r="AF821" s="367"/>
    </row>
    <row r="822" ht="15.75" customHeight="1">
      <c r="A822" s="359"/>
      <c r="B822" s="361"/>
      <c r="C822" s="361"/>
      <c r="D822" s="361"/>
      <c r="E822" s="367"/>
      <c r="F822" s="367"/>
      <c r="G822" s="367"/>
      <c r="H822" s="367"/>
      <c r="I822" s="367"/>
      <c r="J822" s="367"/>
      <c r="K822" s="367"/>
      <c r="L822" s="367"/>
      <c r="M822" s="367"/>
      <c r="N822" s="367"/>
      <c r="O822" s="367"/>
      <c r="P822" s="367"/>
      <c r="Q822" s="367"/>
      <c r="R822" s="367"/>
      <c r="S822" s="367"/>
      <c r="T822" s="367"/>
      <c r="U822" s="367"/>
      <c r="V822" s="367"/>
      <c r="W822" s="367"/>
      <c r="X822" s="367"/>
      <c r="Y822" s="367"/>
      <c r="Z822" s="367"/>
      <c r="AA822" s="367"/>
      <c r="AB822" s="367"/>
      <c r="AC822" s="367"/>
      <c r="AD822" s="367"/>
      <c r="AE822" s="367"/>
      <c r="AF822" s="367"/>
    </row>
    <row r="823" ht="15.75" customHeight="1">
      <c r="A823" s="359"/>
      <c r="B823" s="361"/>
      <c r="C823" s="361"/>
      <c r="D823" s="361"/>
      <c r="E823" s="367"/>
      <c r="F823" s="367"/>
      <c r="G823" s="367"/>
      <c r="H823" s="367"/>
      <c r="I823" s="367"/>
      <c r="J823" s="367"/>
      <c r="K823" s="367"/>
      <c r="L823" s="367"/>
      <c r="M823" s="367"/>
      <c r="N823" s="367"/>
      <c r="O823" s="367"/>
      <c r="P823" s="367"/>
      <c r="Q823" s="367"/>
      <c r="R823" s="367"/>
      <c r="S823" s="367"/>
      <c r="T823" s="367"/>
      <c r="U823" s="367"/>
      <c r="V823" s="367"/>
      <c r="W823" s="367"/>
      <c r="X823" s="367"/>
      <c r="Y823" s="367"/>
      <c r="Z823" s="367"/>
      <c r="AA823" s="367"/>
      <c r="AB823" s="367"/>
      <c r="AC823" s="367"/>
      <c r="AD823" s="367"/>
      <c r="AE823" s="367"/>
      <c r="AF823" s="367"/>
    </row>
    <row r="824" ht="15.75" customHeight="1">
      <c r="A824" s="359"/>
      <c r="B824" s="361"/>
      <c r="C824" s="361"/>
      <c r="D824" s="361"/>
      <c r="E824" s="367"/>
      <c r="F824" s="367"/>
      <c r="G824" s="367"/>
      <c r="H824" s="367"/>
      <c r="I824" s="367"/>
      <c r="J824" s="367"/>
      <c r="K824" s="367"/>
      <c r="L824" s="367"/>
      <c r="M824" s="367"/>
      <c r="N824" s="367"/>
      <c r="O824" s="367"/>
      <c r="P824" s="367"/>
      <c r="Q824" s="367"/>
      <c r="R824" s="367"/>
      <c r="S824" s="367"/>
      <c r="T824" s="367"/>
      <c r="U824" s="367"/>
      <c r="V824" s="367"/>
      <c r="W824" s="367"/>
      <c r="X824" s="367"/>
      <c r="Y824" s="367"/>
      <c r="Z824" s="367"/>
      <c r="AA824" s="367"/>
      <c r="AB824" s="367"/>
      <c r="AC824" s="367"/>
      <c r="AD824" s="367"/>
      <c r="AE824" s="367"/>
      <c r="AF824" s="367"/>
    </row>
    <row r="825" ht="15.75" customHeight="1">
      <c r="A825" s="359"/>
      <c r="B825" s="361"/>
      <c r="C825" s="361"/>
      <c r="D825" s="361"/>
      <c r="E825" s="367"/>
      <c r="F825" s="367"/>
      <c r="G825" s="367"/>
      <c r="H825" s="367"/>
      <c r="I825" s="367"/>
      <c r="J825" s="367"/>
      <c r="K825" s="367"/>
      <c r="L825" s="367"/>
      <c r="M825" s="367"/>
      <c r="N825" s="367"/>
      <c r="O825" s="367"/>
      <c r="P825" s="367"/>
      <c r="Q825" s="367"/>
      <c r="R825" s="367"/>
      <c r="S825" s="367"/>
      <c r="T825" s="367"/>
      <c r="U825" s="367"/>
      <c r="V825" s="367"/>
      <c r="W825" s="367"/>
      <c r="X825" s="367"/>
      <c r="Y825" s="367"/>
      <c r="Z825" s="367"/>
      <c r="AA825" s="367"/>
      <c r="AB825" s="367"/>
      <c r="AC825" s="367"/>
      <c r="AD825" s="367"/>
      <c r="AE825" s="367"/>
      <c r="AF825" s="367"/>
    </row>
    <row r="826" ht="15.75" customHeight="1">
      <c r="A826" s="359"/>
      <c r="B826" s="361"/>
      <c r="C826" s="361"/>
      <c r="D826" s="361"/>
      <c r="E826" s="367"/>
      <c r="F826" s="367"/>
      <c r="G826" s="367"/>
      <c r="H826" s="367"/>
      <c r="I826" s="367"/>
      <c r="J826" s="367"/>
      <c r="K826" s="367"/>
      <c r="L826" s="367"/>
      <c r="M826" s="367"/>
      <c r="N826" s="367"/>
      <c r="O826" s="367"/>
      <c r="P826" s="367"/>
      <c r="Q826" s="367"/>
      <c r="R826" s="367"/>
      <c r="S826" s="367"/>
      <c r="T826" s="367"/>
      <c r="U826" s="367"/>
      <c r="V826" s="367"/>
      <c r="W826" s="367"/>
      <c r="X826" s="367"/>
      <c r="Y826" s="367"/>
      <c r="Z826" s="367"/>
      <c r="AA826" s="367"/>
      <c r="AB826" s="367"/>
      <c r="AC826" s="367"/>
      <c r="AD826" s="367"/>
      <c r="AE826" s="367"/>
      <c r="AF826" s="367"/>
    </row>
    <row r="827" ht="15.75" customHeight="1">
      <c r="A827" s="359"/>
      <c r="B827" s="361"/>
      <c r="C827" s="361"/>
      <c r="D827" s="361"/>
      <c r="E827" s="367"/>
      <c r="F827" s="367"/>
      <c r="G827" s="367"/>
      <c r="H827" s="367"/>
      <c r="I827" s="367"/>
      <c r="J827" s="367"/>
      <c r="K827" s="367"/>
      <c r="L827" s="367"/>
      <c r="M827" s="367"/>
      <c r="N827" s="367"/>
      <c r="O827" s="367"/>
      <c r="P827" s="367"/>
      <c r="Q827" s="367"/>
      <c r="R827" s="367"/>
      <c r="S827" s="367"/>
      <c r="T827" s="367"/>
      <c r="U827" s="367"/>
      <c r="V827" s="367"/>
      <c r="W827" s="367"/>
      <c r="X827" s="367"/>
      <c r="Y827" s="367"/>
      <c r="Z827" s="367"/>
      <c r="AA827" s="367"/>
      <c r="AB827" s="367"/>
      <c r="AC827" s="367"/>
      <c r="AD827" s="367"/>
      <c r="AE827" s="367"/>
      <c r="AF827" s="367"/>
    </row>
    <row r="828" ht="15.75" customHeight="1">
      <c r="A828" s="359"/>
      <c r="B828" s="361"/>
      <c r="C828" s="361"/>
      <c r="D828" s="361"/>
      <c r="E828" s="367"/>
      <c r="F828" s="367"/>
      <c r="G828" s="367"/>
      <c r="H828" s="367"/>
      <c r="I828" s="367"/>
      <c r="J828" s="367"/>
      <c r="K828" s="367"/>
      <c r="L828" s="367"/>
      <c r="M828" s="367"/>
      <c r="N828" s="367"/>
      <c r="O828" s="367"/>
      <c r="P828" s="367"/>
      <c r="Q828" s="367"/>
      <c r="R828" s="367"/>
      <c r="S828" s="367"/>
      <c r="T828" s="367"/>
      <c r="U828" s="367"/>
      <c r="V828" s="367"/>
      <c r="W828" s="367"/>
      <c r="X828" s="367"/>
      <c r="Y828" s="367"/>
      <c r="Z828" s="367"/>
      <c r="AA828" s="367"/>
      <c r="AB828" s="367"/>
      <c r="AC828" s="367"/>
      <c r="AD828" s="367"/>
      <c r="AE828" s="367"/>
      <c r="AF828" s="367"/>
    </row>
    <row r="829" ht="15.75" customHeight="1">
      <c r="A829" s="359"/>
      <c r="B829" s="361"/>
      <c r="C829" s="361"/>
      <c r="D829" s="361"/>
      <c r="E829" s="367"/>
      <c r="F829" s="367"/>
      <c r="G829" s="367"/>
      <c r="H829" s="367"/>
      <c r="I829" s="367"/>
      <c r="J829" s="367"/>
      <c r="K829" s="367"/>
      <c r="L829" s="367"/>
      <c r="M829" s="367"/>
      <c r="N829" s="367"/>
      <c r="O829" s="367"/>
      <c r="P829" s="367"/>
      <c r="Q829" s="367"/>
      <c r="R829" s="367"/>
      <c r="S829" s="367"/>
      <c r="T829" s="367"/>
      <c r="U829" s="367"/>
      <c r="V829" s="367"/>
      <c r="W829" s="367"/>
      <c r="X829" s="367"/>
      <c r="Y829" s="367"/>
      <c r="Z829" s="367"/>
      <c r="AA829" s="367"/>
      <c r="AB829" s="367"/>
      <c r="AC829" s="367"/>
      <c r="AD829" s="367"/>
      <c r="AE829" s="367"/>
      <c r="AF829" s="367"/>
    </row>
    <row r="830" ht="15.75" customHeight="1">
      <c r="A830" s="359"/>
      <c r="B830" s="361"/>
      <c r="C830" s="361"/>
      <c r="D830" s="361"/>
      <c r="E830" s="367"/>
      <c r="F830" s="367"/>
      <c r="G830" s="367"/>
      <c r="H830" s="367"/>
      <c r="I830" s="367"/>
      <c r="J830" s="367"/>
      <c r="K830" s="367"/>
      <c r="L830" s="367"/>
      <c r="M830" s="367"/>
      <c r="N830" s="367"/>
      <c r="O830" s="367"/>
      <c r="P830" s="367"/>
      <c r="Q830" s="367"/>
      <c r="R830" s="367"/>
      <c r="S830" s="367"/>
      <c r="T830" s="367"/>
      <c r="U830" s="367"/>
      <c r="V830" s="367"/>
      <c r="W830" s="367"/>
      <c r="X830" s="367"/>
      <c r="Y830" s="367"/>
      <c r="Z830" s="367"/>
      <c r="AA830" s="367"/>
      <c r="AB830" s="367"/>
      <c r="AC830" s="367"/>
      <c r="AD830" s="367"/>
      <c r="AE830" s="367"/>
      <c r="AF830" s="367"/>
    </row>
    <row r="831" ht="15.75" customHeight="1">
      <c r="A831" s="359"/>
      <c r="B831" s="361"/>
      <c r="C831" s="361"/>
      <c r="D831" s="361"/>
      <c r="E831" s="367"/>
      <c r="F831" s="367"/>
      <c r="G831" s="367"/>
      <c r="H831" s="367"/>
      <c r="I831" s="367"/>
      <c r="J831" s="367"/>
      <c r="K831" s="367"/>
      <c r="L831" s="367"/>
      <c r="M831" s="367"/>
      <c r="N831" s="367"/>
      <c r="O831" s="367"/>
      <c r="P831" s="367"/>
      <c r="Q831" s="367"/>
      <c r="R831" s="367"/>
      <c r="S831" s="367"/>
      <c r="T831" s="367"/>
      <c r="U831" s="367"/>
      <c r="V831" s="367"/>
      <c r="W831" s="367"/>
      <c r="X831" s="367"/>
      <c r="Y831" s="367"/>
      <c r="Z831" s="367"/>
      <c r="AA831" s="367"/>
      <c r="AB831" s="367"/>
      <c r="AC831" s="367"/>
      <c r="AD831" s="367"/>
      <c r="AE831" s="367"/>
      <c r="AF831" s="367"/>
    </row>
    <row r="832" ht="15.75" customHeight="1">
      <c r="A832" s="359"/>
      <c r="B832" s="361"/>
      <c r="C832" s="361"/>
      <c r="D832" s="361"/>
      <c r="E832" s="367"/>
      <c r="F832" s="367"/>
      <c r="G832" s="367"/>
      <c r="H832" s="367"/>
      <c r="I832" s="367"/>
      <c r="J832" s="367"/>
      <c r="K832" s="367"/>
      <c r="L832" s="367"/>
      <c r="M832" s="367"/>
      <c r="N832" s="367"/>
      <c r="O832" s="367"/>
      <c r="P832" s="367"/>
      <c r="Q832" s="367"/>
      <c r="R832" s="367"/>
      <c r="S832" s="367"/>
      <c r="T832" s="367"/>
      <c r="U832" s="367"/>
      <c r="V832" s="367"/>
      <c r="W832" s="367"/>
      <c r="X832" s="367"/>
      <c r="Y832" s="367"/>
      <c r="Z832" s="367"/>
      <c r="AA832" s="367"/>
      <c r="AB832" s="367"/>
      <c r="AC832" s="367"/>
      <c r="AD832" s="367"/>
      <c r="AE832" s="367"/>
      <c r="AF832" s="367"/>
    </row>
    <row r="833" ht="15.75" customHeight="1">
      <c r="A833" s="359"/>
      <c r="B833" s="361"/>
      <c r="C833" s="361"/>
      <c r="D833" s="361"/>
      <c r="E833" s="367"/>
      <c r="F833" s="367"/>
      <c r="G833" s="367"/>
      <c r="H833" s="367"/>
      <c r="I833" s="367"/>
      <c r="J833" s="367"/>
      <c r="K833" s="367"/>
      <c r="L833" s="367"/>
      <c r="M833" s="367"/>
      <c r="N833" s="367"/>
      <c r="O833" s="367"/>
      <c r="P833" s="367"/>
      <c r="Q833" s="367"/>
      <c r="R833" s="367"/>
      <c r="S833" s="367"/>
      <c r="T833" s="367"/>
      <c r="U833" s="367"/>
      <c r="V833" s="367"/>
      <c r="W833" s="367"/>
      <c r="X833" s="367"/>
      <c r="Y833" s="367"/>
      <c r="Z833" s="367"/>
      <c r="AA833" s="367"/>
      <c r="AB833" s="367"/>
      <c r="AC833" s="367"/>
      <c r="AD833" s="367"/>
      <c r="AE833" s="367"/>
      <c r="AF833" s="367"/>
    </row>
    <row r="834" ht="15.75" customHeight="1">
      <c r="A834" s="359"/>
      <c r="B834" s="361"/>
      <c r="C834" s="361"/>
      <c r="D834" s="361"/>
      <c r="E834" s="367"/>
      <c r="F834" s="367"/>
      <c r="G834" s="367"/>
      <c r="H834" s="367"/>
      <c r="I834" s="367"/>
      <c r="J834" s="367"/>
      <c r="K834" s="367"/>
      <c r="L834" s="367"/>
      <c r="M834" s="367"/>
      <c r="N834" s="367"/>
      <c r="O834" s="367"/>
      <c r="P834" s="367"/>
      <c r="Q834" s="367"/>
      <c r="R834" s="367"/>
      <c r="S834" s="367"/>
      <c r="T834" s="367"/>
      <c r="U834" s="367"/>
      <c r="V834" s="367"/>
      <c r="W834" s="367"/>
      <c r="X834" s="367"/>
      <c r="Y834" s="367"/>
      <c r="Z834" s="367"/>
      <c r="AA834" s="367"/>
      <c r="AB834" s="367"/>
      <c r="AC834" s="367"/>
      <c r="AD834" s="367"/>
      <c r="AE834" s="367"/>
      <c r="AF834" s="367"/>
    </row>
    <row r="835" ht="15.75" customHeight="1">
      <c r="A835" s="359"/>
      <c r="B835" s="361"/>
      <c r="C835" s="361"/>
      <c r="D835" s="361"/>
      <c r="E835" s="367"/>
      <c r="F835" s="367"/>
      <c r="G835" s="367"/>
      <c r="H835" s="367"/>
      <c r="I835" s="367"/>
      <c r="J835" s="367"/>
      <c r="K835" s="367"/>
      <c r="L835" s="367"/>
      <c r="M835" s="367"/>
      <c r="N835" s="367"/>
      <c r="O835" s="367"/>
      <c r="P835" s="367"/>
      <c r="Q835" s="367"/>
      <c r="R835" s="367"/>
      <c r="S835" s="367"/>
      <c r="T835" s="367"/>
      <c r="U835" s="367"/>
      <c r="V835" s="367"/>
      <c r="W835" s="367"/>
      <c r="X835" s="367"/>
      <c r="Y835" s="367"/>
      <c r="Z835" s="367"/>
      <c r="AA835" s="367"/>
      <c r="AB835" s="367"/>
      <c r="AC835" s="367"/>
      <c r="AD835" s="367"/>
      <c r="AE835" s="367"/>
      <c r="AF835" s="367"/>
    </row>
    <row r="836" ht="15.75" customHeight="1">
      <c r="A836" s="359"/>
      <c r="B836" s="361"/>
      <c r="C836" s="361"/>
      <c r="D836" s="361"/>
      <c r="E836" s="367"/>
      <c r="F836" s="367"/>
      <c r="G836" s="367"/>
      <c r="H836" s="367"/>
      <c r="I836" s="367"/>
      <c r="J836" s="367"/>
      <c r="K836" s="367"/>
      <c r="L836" s="367"/>
      <c r="M836" s="367"/>
      <c r="N836" s="367"/>
      <c r="O836" s="367"/>
      <c r="P836" s="367"/>
      <c r="Q836" s="367"/>
      <c r="R836" s="367"/>
      <c r="S836" s="367"/>
      <c r="T836" s="367"/>
      <c r="U836" s="367"/>
      <c r="V836" s="367"/>
      <c r="W836" s="367"/>
      <c r="X836" s="367"/>
      <c r="Y836" s="367"/>
      <c r="Z836" s="367"/>
      <c r="AA836" s="367"/>
      <c r="AB836" s="367"/>
      <c r="AC836" s="367"/>
      <c r="AD836" s="367"/>
      <c r="AE836" s="367"/>
      <c r="AF836" s="367"/>
    </row>
    <row r="837" ht="15.75" customHeight="1">
      <c r="A837" s="359"/>
      <c r="B837" s="361"/>
      <c r="C837" s="361"/>
      <c r="D837" s="361"/>
      <c r="E837" s="367"/>
      <c r="F837" s="367"/>
      <c r="G837" s="367"/>
      <c r="H837" s="367"/>
      <c r="I837" s="367"/>
      <c r="J837" s="367"/>
      <c r="K837" s="367"/>
      <c r="L837" s="367"/>
      <c r="M837" s="367"/>
      <c r="N837" s="367"/>
      <c r="O837" s="367"/>
      <c r="P837" s="367"/>
      <c r="Q837" s="367"/>
      <c r="R837" s="367"/>
      <c r="S837" s="367"/>
      <c r="T837" s="367"/>
      <c r="U837" s="367"/>
      <c r="V837" s="367"/>
      <c r="W837" s="367"/>
      <c r="X837" s="367"/>
      <c r="Y837" s="367"/>
      <c r="Z837" s="367"/>
      <c r="AA837" s="367"/>
      <c r="AB837" s="367"/>
      <c r="AC837" s="367"/>
      <c r="AD837" s="367"/>
      <c r="AE837" s="367"/>
      <c r="AF837" s="367"/>
    </row>
    <row r="838" ht="15.75" customHeight="1">
      <c r="A838" s="359"/>
      <c r="B838" s="361"/>
      <c r="C838" s="361"/>
      <c r="D838" s="361"/>
      <c r="E838" s="367"/>
      <c r="F838" s="367"/>
      <c r="G838" s="367"/>
      <c r="H838" s="367"/>
      <c r="I838" s="367"/>
      <c r="J838" s="367"/>
      <c r="K838" s="367"/>
      <c r="L838" s="367"/>
      <c r="M838" s="367"/>
      <c r="N838" s="367"/>
      <c r="O838" s="367"/>
      <c r="P838" s="367"/>
      <c r="Q838" s="367"/>
      <c r="R838" s="367"/>
      <c r="S838" s="367"/>
      <c r="T838" s="367"/>
      <c r="U838" s="367"/>
      <c r="V838" s="367"/>
      <c r="W838" s="367"/>
      <c r="X838" s="367"/>
      <c r="Y838" s="367"/>
      <c r="Z838" s="367"/>
      <c r="AA838" s="367"/>
      <c r="AB838" s="367"/>
      <c r="AC838" s="367"/>
      <c r="AD838" s="367"/>
      <c r="AE838" s="367"/>
      <c r="AF838" s="367"/>
    </row>
    <row r="839" ht="15.75" customHeight="1">
      <c r="A839" s="359"/>
      <c r="B839" s="361"/>
      <c r="C839" s="361"/>
      <c r="D839" s="361"/>
      <c r="E839" s="367"/>
      <c r="F839" s="367"/>
      <c r="G839" s="367"/>
      <c r="H839" s="367"/>
      <c r="I839" s="367"/>
      <c r="J839" s="367"/>
      <c r="K839" s="367"/>
      <c r="L839" s="367"/>
      <c r="M839" s="367"/>
      <c r="N839" s="367"/>
      <c r="O839" s="367"/>
      <c r="P839" s="367"/>
      <c r="Q839" s="367"/>
      <c r="R839" s="367"/>
      <c r="S839" s="367"/>
      <c r="T839" s="367"/>
      <c r="U839" s="367"/>
      <c r="V839" s="367"/>
      <c r="W839" s="367"/>
      <c r="X839" s="367"/>
      <c r="Y839" s="367"/>
      <c r="Z839" s="367"/>
      <c r="AA839" s="367"/>
      <c r="AB839" s="367"/>
      <c r="AC839" s="367"/>
      <c r="AD839" s="367"/>
      <c r="AE839" s="367"/>
      <c r="AF839" s="367"/>
    </row>
    <row r="840" ht="15.75" customHeight="1">
      <c r="A840" s="359"/>
      <c r="B840" s="361"/>
      <c r="C840" s="361"/>
      <c r="D840" s="361"/>
      <c r="E840" s="367"/>
      <c r="F840" s="367"/>
      <c r="G840" s="367"/>
      <c r="H840" s="367"/>
      <c r="I840" s="367"/>
      <c r="J840" s="367"/>
      <c r="K840" s="367"/>
      <c r="L840" s="367"/>
      <c r="M840" s="367"/>
      <c r="N840" s="367"/>
      <c r="O840" s="367"/>
      <c r="P840" s="367"/>
      <c r="Q840" s="367"/>
      <c r="R840" s="367"/>
      <c r="S840" s="367"/>
      <c r="T840" s="367"/>
      <c r="U840" s="367"/>
      <c r="V840" s="367"/>
      <c r="W840" s="367"/>
      <c r="X840" s="367"/>
      <c r="Y840" s="367"/>
      <c r="Z840" s="367"/>
      <c r="AA840" s="367"/>
      <c r="AB840" s="367"/>
      <c r="AC840" s="367"/>
      <c r="AD840" s="367"/>
      <c r="AE840" s="367"/>
      <c r="AF840" s="367"/>
    </row>
    <row r="841" ht="15.75" customHeight="1">
      <c r="A841" s="359"/>
      <c r="B841" s="361"/>
      <c r="C841" s="361"/>
      <c r="D841" s="361"/>
      <c r="E841" s="367"/>
      <c r="F841" s="367"/>
      <c r="G841" s="367"/>
      <c r="H841" s="367"/>
      <c r="I841" s="367"/>
      <c r="J841" s="367"/>
      <c r="K841" s="367"/>
      <c r="L841" s="367"/>
      <c r="M841" s="367"/>
      <c r="N841" s="367"/>
      <c r="O841" s="367"/>
      <c r="P841" s="367"/>
      <c r="Q841" s="367"/>
      <c r="R841" s="367"/>
      <c r="S841" s="367"/>
      <c r="T841" s="367"/>
      <c r="U841" s="367"/>
      <c r="V841" s="367"/>
      <c r="W841" s="367"/>
      <c r="X841" s="367"/>
      <c r="Y841" s="367"/>
      <c r="Z841" s="367"/>
      <c r="AA841" s="367"/>
      <c r="AB841" s="367"/>
      <c r="AC841" s="367"/>
      <c r="AD841" s="367"/>
      <c r="AE841" s="367"/>
      <c r="AF841" s="367"/>
    </row>
    <row r="842" ht="15.75" customHeight="1">
      <c r="A842" s="359"/>
      <c r="B842" s="361"/>
      <c r="C842" s="361"/>
      <c r="D842" s="361"/>
      <c r="E842" s="367"/>
      <c r="F842" s="367"/>
      <c r="G842" s="367"/>
      <c r="H842" s="367"/>
      <c r="I842" s="367"/>
      <c r="J842" s="367"/>
      <c r="K842" s="367"/>
      <c r="L842" s="367"/>
      <c r="M842" s="367"/>
      <c r="N842" s="367"/>
      <c r="O842" s="367"/>
      <c r="P842" s="367"/>
      <c r="Q842" s="367"/>
      <c r="R842" s="367"/>
      <c r="S842" s="367"/>
      <c r="T842" s="367"/>
      <c r="U842" s="367"/>
      <c r="V842" s="367"/>
      <c r="W842" s="367"/>
      <c r="X842" s="367"/>
      <c r="Y842" s="367"/>
      <c r="Z842" s="367"/>
      <c r="AA842" s="367"/>
      <c r="AB842" s="367"/>
      <c r="AC842" s="367"/>
      <c r="AD842" s="367"/>
      <c r="AE842" s="367"/>
      <c r="AF842" s="367"/>
    </row>
    <row r="843" ht="15.75" customHeight="1">
      <c r="A843" s="359"/>
      <c r="B843" s="361"/>
      <c r="C843" s="361"/>
      <c r="D843" s="361"/>
      <c r="E843" s="367"/>
      <c r="F843" s="367"/>
      <c r="G843" s="367"/>
      <c r="H843" s="367"/>
      <c r="I843" s="367"/>
      <c r="J843" s="367"/>
      <c r="K843" s="367"/>
      <c r="L843" s="367"/>
      <c r="M843" s="367"/>
      <c r="N843" s="367"/>
      <c r="O843" s="367"/>
      <c r="P843" s="367"/>
      <c r="Q843" s="367"/>
      <c r="R843" s="367"/>
      <c r="S843" s="367"/>
      <c r="T843" s="367"/>
      <c r="U843" s="367"/>
      <c r="V843" s="367"/>
      <c r="W843" s="367"/>
      <c r="X843" s="367"/>
      <c r="Y843" s="367"/>
      <c r="Z843" s="367"/>
      <c r="AA843" s="367"/>
      <c r="AB843" s="367"/>
      <c r="AC843" s="367"/>
      <c r="AD843" s="367"/>
      <c r="AE843" s="367"/>
      <c r="AF843" s="367"/>
    </row>
    <row r="844" ht="15.75" customHeight="1">
      <c r="A844" s="359"/>
      <c r="B844" s="361"/>
      <c r="C844" s="361"/>
      <c r="D844" s="361"/>
      <c r="E844" s="367"/>
      <c r="F844" s="367"/>
      <c r="G844" s="367"/>
      <c r="H844" s="367"/>
      <c r="I844" s="367"/>
      <c r="J844" s="367"/>
      <c r="K844" s="367"/>
      <c r="L844" s="367"/>
      <c r="M844" s="367"/>
      <c r="N844" s="367"/>
      <c r="O844" s="367"/>
      <c r="P844" s="367"/>
      <c r="Q844" s="367"/>
      <c r="R844" s="367"/>
      <c r="S844" s="367"/>
      <c r="T844" s="367"/>
      <c r="U844" s="367"/>
      <c r="V844" s="367"/>
      <c r="W844" s="367"/>
      <c r="X844" s="367"/>
      <c r="Y844" s="367"/>
      <c r="Z844" s="367"/>
      <c r="AA844" s="367"/>
      <c r="AB844" s="367"/>
      <c r="AC844" s="367"/>
      <c r="AD844" s="367"/>
      <c r="AE844" s="367"/>
      <c r="AF844" s="367"/>
    </row>
    <row r="845" ht="15.75" customHeight="1">
      <c r="A845" s="359"/>
      <c r="B845" s="361"/>
      <c r="C845" s="361"/>
      <c r="D845" s="361"/>
      <c r="E845" s="367"/>
      <c r="F845" s="367"/>
      <c r="G845" s="367"/>
      <c r="H845" s="367"/>
      <c r="I845" s="367"/>
      <c r="J845" s="367"/>
      <c r="K845" s="367"/>
      <c r="L845" s="367"/>
      <c r="M845" s="367"/>
      <c r="N845" s="367"/>
      <c r="O845" s="367"/>
      <c r="P845" s="367"/>
      <c r="Q845" s="367"/>
      <c r="R845" s="367"/>
      <c r="S845" s="367"/>
      <c r="T845" s="367"/>
      <c r="U845" s="367"/>
      <c r="V845" s="367"/>
      <c r="W845" s="367"/>
      <c r="X845" s="367"/>
      <c r="Y845" s="367"/>
      <c r="Z845" s="367"/>
      <c r="AA845" s="367"/>
      <c r="AB845" s="367"/>
      <c r="AC845" s="367"/>
      <c r="AD845" s="367"/>
      <c r="AE845" s="367"/>
      <c r="AF845" s="367"/>
    </row>
    <row r="846" ht="15.75" customHeight="1">
      <c r="A846" s="359"/>
      <c r="B846" s="361"/>
      <c r="C846" s="361"/>
      <c r="D846" s="361"/>
      <c r="E846" s="367"/>
      <c r="F846" s="367"/>
      <c r="G846" s="367"/>
      <c r="H846" s="367"/>
      <c r="I846" s="367"/>
      <c r="J846" s="367"/>
      <c r="K846" s="367"/>
      <c r="L846" s="367"/>
      <c r="M846" s="367"/>
      <c r="N846" s="367"/>
      <c r="O846" s="367"/>
      <c r="P846" s="367"/>
      <c r="Q846" s="367"/>
      <c r="R846" s="367"/>
      <c r="S846" s="367"/>
      <c r="T846" s="367"/>
      <c r="U846" s="367"/>
      <c r="V846" s="367"/>
      <c r="W846" s="367"/>
      <c r="X846" s="367"/>
      <c r="Y846" s="367"/>
      <c r="Z846" s="367"/>
      <c r="AA846" s="367"/>
      <c r="AB846" s="367"/>
      <c r="AC846" s="367"/>
      <c r="AD846" s="367"/>
      <c r="AE846" s="367"/>
      <c r="AF846" s="367"/>
    </row>
    <row r="847" ht="15.75" customHeight="1">
      <c r="A847" s="359"/>
      <c r="B847" s="361"/>
      <c r="C847" s="361"/>
      <c r="D847" s="361"/>
      <c r="E847" s="367"/>
      <c r="F847" s="367"/>
      <c r="G847" s="367"/>
      <c r="H847" s="367"/>
      <c r="I847" s="367"/>
      <c r="J847" s="367"/>
      <c r="K847" s="367"/>
      <c r="L847" s="367"/>
      <c r="M847" s="367"/>
      <c r="N847" s="367"/>
      <c r="O847" s="367"/>
      <c r="P847" s="367"/>
      <c r="Q847" s="367"/>
      <c r="R847" s="367"/>
      <c r="S847" s="367"/>
      <c r="T847" s="367"/>
      <c r="U847" s="367"/>
      <c r="V847" s="367"/>
      <c r="W847" s="367"/>
      <c r="X847" s="367"/>
      <c r="Y847" s="367"/>
      <c r="Z847" s="367"/>
      <c r="AA847" s="367"/>
      <c r="AB847" s="367"/>
      <c r="AC847" s="367"/>
      <c r="AD847" s="367"/>
      <c r="AE847" s="367"/>
      <c r="AF847" s="367"/>
    </row>
    <row r="848" ht="15.75" customHeight="1">
      <c r="A848" s="359"/>
      <c r="B848" s="361"/>
      <c r="C848" s="361"/>
      <c r="D848" s="361"/>
      <c r="E848" s="367"/>
      <c r="F848" s="367"/>
      <c r="G848" s="367"/>
      <c r="H848" s="367"/>
      <c r="I848" s="367"/>
      <c r="J848" s="367"/>
      <c r="K848" s="367"/>
      <c r="L848" s="367"/>
      <c r="M848" s="367"/>
      <c r="N848" s="367"/>
      <c r="O848" s="367"/>
      <c r="P848" s="367"/>
      <c r="Q848" s="367"/>
      <c r="R848" s="367"/>
      <c r="S848" s="367"/>
      <c r="T848" s="367"/>
      <c r="U848" s="367"/>
      <c r="V848" s="367"/>
      <c r="W848" s="367"/>
      <c r="X848" s="367"/>
      <c r="Y848" s="367"/>
      <c r="Z848" s="367"/>
      <c r="AA848" s="367"/>
      <c r="AB848" s="367"/>
      <c r="AC848" s="367"/>
      <c r="AD848" s="367"/>
      <c r="AE848" s="367"/>
      <c r="AF848" s="367"/>
    </row>
    <row r="849" ht="15.75" customHeight="1">
      <c r="A849" s="359"/>
      <c r="B849" s="361"/>
      <c r="C849" s="361"/>
      <c r="D849" s="361"/>
      <c r="E849" s="367"/>
      <c r="F849" s="367"/>
      <c r="G849" s="367"/>
      <c r="H849" s="367"/>
      <c r="I849" s="367"/>
      <c r="J849" s="367"/>
      <c r="K849" s="367"/>
      <c r="L849" s="367"/>
      <c r="M849" s="367"/>
      <c r="N849" s="367"/>
      <c r="O849" s="367"/>
      <c r="P849" s="367"/>
      <c r="Q849" s="367"/>
      <c r="R849" s="367"/>
      <c r="S849" s="367"/>
      <c r="T849" s="367"/>
      <c r="U849" s="367"/>
      <c r="V849" s="367"/>
      <c r="W849" s="367"/>
      <c r="X849" s="367"/>
      <c r="Y849" s="367"/>
      <c r="Z849" s="367"/>
      <c r="AA849" s="367"/>
      <c r="AB849" s="367"/>
      <c r="AC849" s="367"/>
      <c r="AD849" s="367"/>
      <c r="AE849" s="367"/>
      <c r="AF849" s="367"/>
    </row>
    <row r="850" ht="15.75" customHeight="1">
      <c r="A850" s="359"/>
      <c r="B850" s="361"/>
      <c r="C850" s="361"/>
      <c r="D850" s="361"/>
      <c r="E850" s="367"/>
      <c r="F850" s="367"/>
      <c r="G850" s="367"/>
      <c r="H850" s="367"/>
      <c r="I850" s="367"/>
      <c r="J850" s="367"/>
      <c r="K850" s="367"/>
      <c r="L850" s="367"/>
      <c r="M850" s="367"/>
      <c r="N850" s="367"/>
      <c r="O850" s="367"/>
      <c r="P850" s="367"/>
      <c r="Q850" s="367"/>
      <c r="R850" s="367"/>
      <c r="S850" s="367"/>
      <c r="T850" s="367"/>
      <c r="U850" s="367"/>
      <c r="V850" s="367"/>
      <c r="W850" s="367"/>
      <c r="X850" s="367"/>
      <c r="Y850" s="367"/>
      <c r="Z850" s="367"/>
      <c r="AA850" s="367"/>
      <c r="AB850" s="367"/>
      <c r="AC850" s="367"/>
      <c r="AD850" s="367"/>
      <c r="AE850" s="367"/>
      <c r="AF850" s="367"/>
    </row>
    <row r="851" ht="15.75" customHeight="1">
      <c r="A851" s="359"/>
      <c r="B851" s="361"/>
      <c r="C851" s="361"/>
      <c r="D851" s="361"/>
      <c r="E851" s="367"/>
      <c r="F851" s="367"/>
      <c r="G851" s="367"/>
      <c r="H851" s="367"/>
      <c r="I851" s="367"/>
      <c r="J851" s="367"/>
      <c r="K851" s="367"/>
      <c r="L851" s="367"/>
      <c r="M851" s="367"/>
      <c r="N851" s="367"/>
      <c r="O851" s="367"/>
      <c r="P851" s="367"/>
      <c r="Q851" s="367"/>
      <c r="R851" s="367"/>
      <c r="S851" s="367"/>
      <c r="T851" s="367"/>
      <c r="U851" s="367"/>
      <c r="V851" s="367"/>
      <c r="W851" s="367"/>
      <c r="X851" s="367"/>
      <c r="Y851" s="367"/>
      <c r="Z851" s="367"/>
      <c r="AA851" s="367"/>
      <c r="AB851" s="367"/>
      <c r="AC851" s="367"/>
      <c r="AD851" s="367"/>
      <c r="AE851" s="367"/>
      <c r="AF851" s="367"/>
    </row>
    <row r="852" ht="15.75" customHeight="1">
      <c r="A852" s="359"/>
      <c r="B852" s="361"/>
      <c r="C852" s="361"/>
      <c r="D852" s="361"/>
      <c r="E852" s="367"/>
      <c r="F852" s="367"/>
      <c r="G852" s="367"/>
      <c r="H852" s="367"/>
      <c r="I852" s="367"/>
      <c r="J852" s="367"/>
      <c r="K852" s="367"/>
      <c r="L852" s="367"/>
      <c r="M852" s="367"/>
      <c r="N852" s="367"/>
      <c r="O852" s="367"/>
      <c r="P852" s="367"/>
      <c r="Q852" s="367"/>
      <c r="R852" s="367"/>
      <c r="S852" s="367"/>
      <c r="T852" s="367"/>
      <c r="U852" s="367"/>
      <c r="V852" s="367"/>
      <c r="W852" s="367"/>
      <c r="X852" s="367"/>
      <c r="Y852" s="367"/>
      <c r="Z852" s="367"/>
      <c r="AA852" s="367"/>
      <c r="AB852" s="367"/>
      <c r="AC852" s="367"/>
      <c r="AD852" s="367"/>
      <c r="AE852" s="367"/>
      <c r="AF852" s="367"/>
    </row>
    <row r="853" ht="15.75" customHeight="1">
      <c r="A853" s="359"/>
      <c r="B853" s="361"/>
      <c r="C853" s="361"/>
      <c r="D853" s="361"/>
      <c r="E853" s="367"/>
      <c r="F853" s="367"/>
      <c r="G853" s="367"/>
      <c r="H853" s="367"/>
      <c r="I853" s="367"/>
      <c r="J853" s="367"/>
      <c r="K853" s="367"/>
      <c r="L853" s="367"/>
      <c r="M853" s="367"/>
      <c r="N853" s="367"/>
      <c r="O853" s="367"/>
      <c r="P853" s="367"/>
      <c r="Q853" s="367"/>
      <c r="R853" s="367"/>
      <c r="S853" s="367"/>
      <c r="T853" s="367"/>
      <c r="U853" s="367"/>
      <c r="V853" s="367"/>
      <c r="W853" s="367"/>
      <c r="X853" s="367"/>
      <c r="Y853" s="367"/>
      <c r="Z853" s="367"/>
      <c r="AA853" s="367"/>
      <c r="AB853" s="367"/>
      <c r="AC853" s="367"/>
      <c r="AD853" s="367"/>
      <c r="AE853" s="367"/>
      <c r="AF853" s="367"/>
    </row>
    <row r="854" ht="15.75" customHeight="1">
      <c r="A854" s="359"/>
      <c r="B854" s="361"/>
      <c r="C854" s="361"/>
      <c r="D854" s="361"/>
      <c r="E854" s="367"/>
      <c r="F854" s="367"/>
      <c r="G854" s="367"/>
      <c r="H854" s="367"/>
      <c r="I854" s="367"/>
      <c r="J854" s="367"/>
      <c r="K854" s="367"/>
      <c r="L854" s="367"/>
      <c r="M854" s="367"/>
      <c r="N854" s="367"/>
      <c r="O854" s="367"/>
      <c r="P854" s="367"/>
      <c r="Q854" s="367"/>
      <c r="R854" s="367"/>
      <c r="S854" s="367"/>
      <c r="T854" s="367"/>
      <c r="U854" s="367"/>
      <c r="V854" s="367"/>
      <c r="W854" s="367"/>
      <c r="X854" s="367"/>
      <c r="Y854" s="367"/>
      <c r="Z854" s="367"/>
      <c r="AA854" s="367"/>
      <c r="AB854" s="367"/>
      <c r="AC854" s="367"/>
      <c r="AD854" s="367"/>
      <c r="AE854" s="367"/>
      <c r="AF854" s="367"/>
    </row>
    <row r="855" ht="15.75" customHeight="1">
      <c r="A855" s="359"/>
      <c r="B855" s="361"/>
      <c r="C855" s="361"/>
      <c r="D855" s="361"/>
      <c r="E855" s="367"/>
      <c r="F855" s="367"/>
      <c r="G855" s="367"/>
      <c r="H855" s="367"/>
      <c r="I855" s="367"/>
      <c r="J855" s="367"/>
      <c r="K855" s="367"/>
      <c r="L855" s="367"/>
      <c r="M855" s="367"/>
      <c r="N855" s="367"/>
      <c r="O855" s="367"/>
      <c r="P855" s="367"/>
      <c r="Q855" s="367"/>
      <c r="R855" s="367"/>
      <c r="S855" s="367"/>
      <c r="T855" s="367"/>
      <c r="U855" s="367"/>
      <c r="V855" s="367"/>
      <c r="W855" s="367"/>
      <c r="X855" s="367"/>
      <c r="Y855" s="367"/>
      <c r="Z855" s="367"/>
      <c r="AA855" s="367"/>
      <c r="AB855" s="367"/>
      <c r="AC855" s="367"/>
      <c r="AD855" s="367"/>
      <c r="AE855" s="367"/>
      <c r="AF855" s="367"/>
    </row>
    <row r="856" ht="15.75" customHeight="1">
      <c r="A856" s="359"/>
      <c r="B856" s="361"/>
      <c r="C856" s="361"/>
      <c r="D856" s="361"/>
      <c r="E856" s="367"/>
      <c r="F856" s="367"/>
      <c r="G856" s="367"/>
      <c r="H856" s="367"/>
      <c r="I856" s="367"/>
      <c r="J856" s="367"/>
      <c r="K856" s="367"/>
      <c r="L856" s="367"/>
      <c r="M856" s="367"/>
      <c r="N856" s="367"/>
      <c r="O856" s="367"/>
      <c r="P856" s="367"/>
      <c r="Q856" s="367"/>
      <c r="R856" s="367"/>
      <c r="S856" s="367"/>
      <c r="T856" s="367"/>
      <c r="U856" s="367"/>
      <c r="V856" s="367"/>
      <c r="W856" s="367"/>
      <c r="X856" s="367"/>
      <c r="Y856" s="367"/>
      <c r="Z856" s="367"/>
      <c r="AA856" s="367"/>
      <c r="AB856" s="367"/>
      <c r="AC856" s="367"/>
      <c r="AD856" s="367"/>
      <c r="AE856" s="367"/>
      <c r="AF856" s="367"/>
    </row>
    <row r="857" ht="15.75" customHeight="1">
      <c r="A857" s="359"/>
      <c r="B857" s="361"/>
      <c r="C857" s="361"/>
      <c r="D857" s="361"/>
      <c r="E857" s="367"/>
      <c r="F857" s="367"/>
      <c r="G857" s="367"/>
      <c r="H857" s="367"/>
      <c r="I857" s="367"/>
      <c r="J857" s="367"/>
      <c r="K857" s="367"/>
      <c r="L857" s="367"/>
      <c r="M857" s="367"/>
      <c r="N857" s="367"/>
      <c r="O857" s="367"/>
      <c r="P857" s="367"/>
      <c r="Q857" s="367"/>
      <c r="R857" s="367"/>
      <c r="S857" s="367"/>
      <c r="T857" s="367"/>
      <c r="U857" s="367"/>
      <c r="V857" s="367"/>
      <c r="W857" s="367"/>
      <c r="X857" s="367"/>
      <c r="Y857" s="367"/>
      <c r="Z857" s="367"/>
      <c r="AA857" s="367"/>
      <c r="AB857" s="367"/>
      <c r="AC857" s="367"/>
      <c r="AD857" s="367"/>
      <c r="AE857" s="367"/>
      <c r="AF857" s="367"/>
    </row>
    <row r="858" ht="15.75" customHeight="1">
      <c r="A858" s="359"/>
      <c r="B858" s="361"/>
      <c r="C858" s="361"/>
      <c r="D858" s="361"/>
      <c r="E858" s="367"/>
      <c r="F858" s="367"/>
      <c r="G858" s="367"/>
      <c r="H858" s="367"/>
      <c r="I858" s="367"/>
      <c r="J858" s="367"/>
      <c r="K858" s="367"/>
      <c r="L858" s="367"/>
      <c r="M858" s="367"/>
      <c r="N858" s="367"/>
      <c r="O858" s="367"/>
      <c r="P858" s="367"/>
      <c r="Q858" s="367"/>
      <c r="R858" s="367"/>
      <c r="S858" s="367"/>
      <c r="T858" s="367"/>
      <c r="U858" s="367"/>
      <c r="V858" s="367"/>
      <c r="W858" s="367"/>
      <c r="X858" s="367"/>
      <c r="Y858" s="367"/>
      <c r="Z858" s="367"/>
      <c r="AA858" s="367"/>
      <c r="AB858" s="367"/>
      <c r="AC858" s="367"/>
      <c r="AD858" s="367"/>
      <c r="AE858" s="367"/>
      <c r="AF858" s="367"/>
    </row>
    <row r="859" ht="15.75" customHeight="1">
      <c r="A859" s="359"/>
      <c r="B859" s="361"/>
      <c r="C859" s="361"/>
      <c r="D859" s="361"/>
      <c r="E859" s="367"/>
      <c r="F859" s="367"/>
      <c r="G859" s="367"/>
      <c r="H859" s="367"/>
      <c r="I859" s="367"/>
      <c r="J859" s="367"/>
      <c r="K859" s="367"/>
      <c r="L859" s="367"/>
      <c r="M859" s="367"/>
      <c r="N859" s="367"/>
      <c r="O859" s="367"/>
      <c r="P859" s="367"/>
      <c r="Q859" s="367"/>
      <c r="R859" s="367"/>
      <c r="S859" s="367"/>
      <c r="T859" s="367"/>
      <c r="U859" s="367"/>
      <c r="V859" s="367"/>
      <c r="W859" s="367"/>
      <c r="X859" s="367"/>
      <c r="Y859" s="367"/>
      <c r="Z859" s="367"/>
      <c r="AA859" s="367"/>
      <c r="AB859" s="367"/>
      <c r="AC859" s="367"/>
      <c r="AD859" s="367"/>
      <c r="AE859" s="367"/>
      <c r="AF859" s="367"/>
    </row>
    <row r="860" ht="15.75" customHeight="1">
      <c r="A860" s="359"/>
      <c r="B860" s="361"/>
      <c r="C860" s="361"/>
      <c r="D860" s="361"/>
      <c r="E860" s="367"/>
      <c r="F860" s="367"/>
      <c r="G860" s="367"/>
      <c r="H860" s="367"/>
      <c r="I860" s="367"/>
      <c r="J860" s="367"/>
      <c r="K860" s="367"/>
      <c r="L860" s="367"/>
      <c r="M860" s="367"/>
      <c r="N860" s="367"/>
      <c r="O860" s="367"/>
      <c r="P860" s="367"/>
      <c r="Q860" s="367"/>
      <c r="R860" s="367"/>
      <c r="S860" s="367"/>
      <c r="T860" s="367"/>
      <c r="U860" s="367"/>
      <c r="V860" s="367"/>
      <c r="W860" s="367"/>
      <c r="X860" s="367"/>
      <c r="Y860" s="367"/>
      <c r="Z860" s="367"/>
      <c r="AA860" s="367"/>
      <c r="AB860" s="367"/>
      <c r="AC860" s="367"/>
      <c r="AD860" s="367"/>
      <c r="AE860" s="367"/>
      <c r="AF860" s="367"/>
    </row>
    <row r="861" ht="15.75" customHeight="1">
      <c r="A861" s="359"/>
      <c r="B861" s="361"/>
      <c r="C861" s="361"/>
      <c r="D861" s="361"/>
      <c r="E861" s="367"/>
      <c r="F861" s="367"/>
      <c r="G861" s="367"/>
      <c r="H861" s="367"/>
      <c r="I861" s="367"/>
      <c r="J861" s="367"/>
      <c r="K861" s="367"/>
      <c r="L861" s="367"/>
      <c r="M861" s="367"/>
      <c r="N861" s="367"/>
      <c r="O861" s="367"/>
      <c r="P861" s="367"/>
      <c r="Q861" s="367"/>
      <c r="R861" s="367"/>
      <c r="S861" s="367"/>
      <c r="T861" s="367"/>
      <c r="U861" s="367"/>
      <c r="V861" s="367"/>
      <c r="W861" s="367"/>
      <c r="X861" s="367"/>
      <c r="Y861" s="367"/>
      <c r="Z861" s="367"/>
      <c r="AA861" s="367"/>
      <c r="AB861" s="367"/>
      <c r="AC861" s="367"/>
      <c r="AD861" s="367"/>
      <c r="AE861" s="367"/>
      <c r="AF861" s="367"/>
    </row>
    <row r="862" ht="15.75" customHeight="1">
      <c r="A862" s="359"/>
      <c r="B862" s="361"/>
      <c r="C862" s="361"/>
      <c r="D862" s="361"/>
      <c r="E862" s="367"/>
      <c r="F862" s="367"/>
      <c r="G862" s="367"/>
      <c r="H862" s="367"/>
      <c r="I862" s="367"/>
      <c r="J862" s="367"/>
      <c r="K862" s="367"/>
      <c r="L862" s="367"/>
      <c r="M862" s="367"/>
      <c r="N862" s="367"/>
      <c r="O862" s="367"/>
      <c r="P862" s="367"/>
      <c r="Q862" s="367"/>
      <c r="R862" s="367"/>
      <c r="S862" s="367"/>
      <c r="T862" s="367"/>
      <c r="U862" s="367"/>
      <c r="V862" s="367"/>
      <c r="W862" s="367"/>
      <c r="X862" s="367"/>
      <c r="Y862" s="367"/>
      <c r="Z862" s="367"/>
      <c r="AA862" s="367"/>
      <c r="AB862" s="367"/>
      <c r="AC862" s="367"/>
      <c r="AD862" s="367"/>
      <c r="AE862" s="367"/>
      <c r="AF862" s="367"/>
    </row>
    <row r="863" ht="15.75" customHeight="1">
      <c r="A863" s="359"/>
      <c r="B863" s="361"/>
      <c r="C863" s="361"/>
      <c r="D863" s="361"/>
      <c r="E863" s="367"/>
      <c r="F863" s="367"/>
      <c r="G863" s="367"/>
      <c r="H863" s="367"/>
      <c r="I863" s="367"/>
      <c r="J863" s="367"/>
      <c r="K863" s="367"/>
      <c r="L863" s="367"/>
      <c r="M863" s="367"/>
      <c r="N863" s="367"/>
      <c r="O863" s="367"/>
      <c r="P863" s="367"/>
      <c r="Q863" s="367"/>
      <c r="R863" s="367"/>
      <c r="S863" s="367"/>
      <c r="T863" s="367"/>
      <c r="U863" s="367"/>
      <c r="V863" s="367"/>
      <c r="W863" s="367"/>
      <c r="X863" s="367"/>
      <c r="Y863" s="367"/>
      <c r="Z863" s="367"/>
      <c r="AA863" s="367"/>
      <c r="AB863" s="367"/>
      <c r="AC863" s="367"/>
      <c r="AD863" s="367"/>
      <c r="AE863" s="367"/>
      <c r="AF863" s="367"/>
    </row>
    <row r="864" ht="15.75" customHeight="1">
      <c r="A864" s="359"/>
      <c r="B864" s="361"/>
      <c r="C864" s="361"/>
      <c r="D864" s="361"/>
      <c r="E864" s="367"/>
      <c r="F864" s="367"/>
      <c r="G864" s="367"/>
      <c r="H864" s="367"/>
      <c r="I864" s="367"/>
      <c r="J864" s="367"/>
      <c r="K864" s="367"/>
      <c r="L864" s="367"/>
      <c r="M864" s="367"/>
      <c r="N864" s="367"/>
      <c r="O864" s="367"/>
      <c r="P864" s="367"/>
      <c r="Q864" s="367"/>
      <c r="R864" s="367"/>
      <c r="S864" s="367"/>
      <c r="T864" s="367"/>
      <c r="U864" s="367"/>
      <c r="V864" s="367"/>
      <c r="W864" s="367"/>
      <c r="X864" s="367"/>
      <c r="Y864" s="367"/>
      <c r="Z864" s="367"/>
      <c r="AA864" s="367"/>
      <c r="AB864" s="367"/>
      <c r="AC864" s="367"/>
      <c r="AD864" s="367"/>
      <c r="AE864" s="367"/>
      <c r="AF864" s="367"/>
    </row>
    <row r="865" ht="15.75" customHeight="1">
      <c r="A865" s="359"/>
      <c r="B865" s="361"/>
      <c r="C865" s="361"/>
      <c r="D865" s="361"/>
      <c r="E865" s="367"/>
      <c r="F865" s="367"/>
      <c r="G865" s="367"/>
      <c r="H865" s="367"/>
      <c r="I865" s="367"/>
      <c r="J865" s="367"/>
      <c r="K865" s="367"/>
      <c r="L865" s="367"/>
      <c r="M865" s="367"/>
      <c r="N865" s="367"/>
      <c r="O865" s="367"/>
      <c r="P865" s="367"/>
      <c r="Q865" s="367"/>
      <c r="R865" s="367"/>
      <c r="S865" s="367"/>
      <c r="T865" s="367"/>
      <c r="U865" s="367"/>
      <c r="V865" s="367"/>
      <c r="W865" s="367"/>
      <c r="X865" s="367"/>
      <c r="Y865" s="367"/>
      <c r="Z865" s="367"/>
      <c r="AA865" s="367"/>
      <c r="AB865" s="367"/>
      <c r="AC865" s="367"/>
      <c r="AD865" s="367"/>
      <c r="AE865" s="367"/>
      <c r="AF865" s="367"/>
    </row>
    <row r="866" ht="15.75" customHeight="1">
      <c r="A866" s="359"/>
      <c r="B866" s="361"/>
      <c r="C866" s="361"/>
      <c r="D866" s="361"/>
      <c r="E866" s="367"/>
      <c r="F866" s="367"/>
      <c r="G866" s="367"/>
      <c r="H866" s="367"/>
      <c r="I866" s="367"/>
      <c r="J866" s="367"/>
      <c r="K866" s="367"/>
      <c r="L866" s="367"/>
      <c r="M866" s="367"/>
      <c r="N866" s="367"/>
      <c r="O866" s="367"/>
      <c r="P866" s="367"/>
      <c r="Q866" s="367"/>
      <c r="R866" s="367"/>
      <c r="S866" s="367"/>
      <c r="T866" s="367"/>
      <c r="U866" s="367"/>
      <c r="V866" s="367"/>
      <c r="W866" s="367"/>
      <c r="X866" s="367"/>
      <c r="Y866" s="367"/>
      <c r="Z866" s="367"/>
      <c r="AA866" s="367"/>
      <c r="AB866" s="367"/>
      <c r="AC866" s="367"/>
      <c r="AD866" s="367"/>
      <c r="AE866" s="367"/>
      <c r="AF866" s="367"/>
    </row>
    <row r="867" ht="15.75" customHeight="1">
      <c r="A867" s="359"/>
      <c r="B867" s="361"/>
      <c r="C867" s="361"/>
      <c r="D867" s="361"/>
      <c r="E867" s="367"/>
      <c r="F867" s="367"/>
      <c r="G867" s="367"/>
      <c r="H867" s="367"/>
      <c r="I867" s="367"/>
      <c r="J867" s="367"/>
      <c r="K867" s="367"/>
      <c r="L867" s="367"/>
      <c r="M867" s="367"/>
      <c r="N867" s="367"/>
      <c r="O867" s="367"/>
      <c r="P867" s="367"/>
      <c r="Q867" s="367"/>
      <c r="R867" s="367"/>
      <c r="S867" s="367"/>
      <c r="T867" s="367"/>
      <c r="U867" s="367"/>
      <c r="V867" s="367"/>
      <c r="W867" s="367"/>
      <c r="X867" s="367"/>
      <c r="Y867" s="367"/>
      <c r="Z867" s="367"/>
      <c r="AA867" s="367"/>
      <c r="AB867" s="367"/>
      <c r="AC867" s="367"/>
      <c r="AD867" s="367"/>
      <c r="AE867" s="367"/>
      <c r="AF867" s="367"/>
    </row>
    <row r="868" ht="15.75" customHeight="1">
      <c r="A868" s="359"/>
      <c r="B868" s="361"/>
      <c r="C868" s="361"/>
      <c r="D868" s="361"/>
      <c r="E868" s="367"/>
      <c r="F868" s="367"/>
      <c r="G868" s="367"/>
      <c r="H868" s="367"/>
      <c r="I868" s="367"/>
      <c r="J868" s="367"/>
      <c r="K868" s="367"/>
      <c r="L868" s="367"/>
      <c r="M868" s="367"/>
      <c r="N868" s="367"/>
      <c r="O868" s="367"/>
      <c r="P868" s="367"/>
      <c r="Q868" s="367"/>
      <c r="R868" s="367"/>
      <c r="S868" s="367"/>
      <c r="T868" s="367"/>
      <c r="U868" s="367"/>
      <c r="V868" s="367"/>
      <c r="W868" s="367"/>
      <c r="X868" s="367"/>
      <c r="Y868" s="367"/>
      <c r="Z868" s="367"/>
      <c r="AA868" s="367"/>
      <c r="AB868" s="367"/>
      <c r="AC868" s="367"/>
      <c r="AD868" s="367"/>
      <c r="AE868" s="367"/>
      <c r="AF868" s="367"/>
    </row>
    <row r="869" ht="15.75" customHeight="1">
      <c r="A869" s="359"/>
      <c r="B869" s="361"/>
      <c r="C869" s="361"/>
      <c r="D869" s="361"/>
      <c r="E869" s="367"/>
      <c r="F869" s="367"/>
      <c r="G869" s="367"/>
      <c r="H869" s="367"/>
      <c r="I869" s="367"/>
      <c r="J869" s="367"/>
      <c r="K869" s="367"/>
      <c r="L869" s="367"/>
      <c r="M869" s="367"/>
      <c r="N869" s="367"/>
      <c r="O869" s="367"/>
      <c r="P869" s="367"/>
      <c r="Q869" s="367"/>
      <c r="R869" s="367"/>
      <c r="S869" s="367"/>
      <c r="T869" s="367"/>
      <c r="U869" s="367"/>
      <c r="V869" s="367"/>
      <c r="W869" s="367"/>
      <c r="X869" s="367"/>
      <c r="Y869" s="367"/>
      <c r="Z869" s="367"/>
      <c r="AA869" s="367"/>
      <c r="AB869" s="367"/>
      <c r="AC869" s="367"/>
      <c r="AD869" s="367"/>
      <c r="AE869" s="367"/>
      <c r="AF869" s="367"/>
    </row>
    <row r="870" ht="15.75" customHeight="1">
      <c r="A870" s="359"/>
      <c r="B870" s="361"/>
      <c r="C870" s="361"/>
      <c r="D870" s="361"/>
      <c r="E870" s="367"/>
      <c r="F870" s="367"/>
      <c r="G870" s="367"/>
      <c r="H870" s="367"/>
      <c r="I870" s="367"/>
      <c r="J870" s="367"/>
      <c r="K870" s="367"/>
      <c r="L870" s="367"/>
      <c r="M870" s="367"/>
      <c r="N870" s="367"/>
      <c r="O870" s="367"/>
      <c r="P870" s="367"/>
      <c r="Q870" s="367"/>
      <c r="R870" s="367"/>
      <c r="S870" s="367"/>
      <c r="T870" s="367"/>
      <c r="U870" s="367"/>
      <c r="V870" s="367"/>
      <c r="W870" s="367"/>
      <c r="X870" s="367"/>
      <c r="Y870" s="367"/>
      <c r="Z870" s="367"/>
      <c r="AA870" s="367"/>
      <c r="AB870" s="367"/>
      <c r="AC870" s="367"/>
      <c r="AD870" s="367"/>
      <c r="AE870" s="367"/>
      <c r="AF870" s="367"/>
    </row>
    <row r="871" ht="15.75" customHeight="1">
      <c r="A871" s="359"/>
      <c r="B871" s="361"/>
      <c r="C871" s="361"/>
      <c r="D871" s="361"/>
      <c r="E871" s="367"/>
      <c r="F871" s="367"/>
      <c r="G871" s="367"/>
      <c r="H871" s="367"/>
      <c r="I871" s="367"/>
      <c r="J871" s="367"/>
      <c r="K871" s="367"/>
      <c r="L871" s="367"/>
      <c r="M871" s="367"/>
      <c r="N871" s="367"/>
      <c r="O871" s="367"/>
      <c r="P871" s="367"/>
      <c r="Q871" s="367"/>
      <c r="R871" s="367"/>
      <c r="S871" s="367"/>
      <c r="T871" s="367"/>
      <c r="U871" s="367"/>
      <c r="V871" s="367"/>
      <c r="W871" s="367"/>
      <c r="X871" s="367"/>
      <c r="Y871" s="367"/>
      <c r="Z871" s="367"/>
      <c r="AA871" s="367"/>
      <c r="AB871" s="367"/>
      <c r="AC871" s="367"/>
      <c r="AD871" s="367"/>
      <c r="AE871" s="367"/>
      <c r="AF871" s="367"/>
    </row>
    <row r="872" ht="15.75" customHeight="1">
      <c r="A872" s="359"/>
      <c r="B872" s="361"/>
      <c r="C872" s="361"/>
      <c r="D872" s="361"/>
      <c r="E872" s="367"/>
      <c r="F872" s="367"/>
      <c r="G872" s="367"/>
      <c r="H872" s="367"/>
      <c r="I872" s="367"/>
      <c r="J872" s="367"/>
      <c r="K872" s="367"/>
      <c r="L872" s="367"/>
      <c r="M872" s="367"/>
      <c r="N872" s="367"/>
      <c r="O872" s="367"/>
      <c r="P872" s="367"/>
      <c r="Q872" s="367"/>
      <c r="R872" s="367"/>
      <c r="S872" s="367"/>
      <c r="T872" s="367"/>
      <c r="U872" s="367"/>
      <c r="V872" s="367"/>
      <c r="W872" s="367"/>
      <c r="X872" s="367"/>
      <c r="Y872" s="367"/>
      <c r="Z872" s="367"/>
      <c r="AA872" s="367"/>
      <c r="AB872" s="367"/>
      <c r="AC872" s="367"/>
      <c r="AD872" s="367"/>
      <c r="AE872" s="367"/>
      <c r="AF872" s="367"/>
    </row>
    <row r="873" ht="15.75" customHeight="1">
      <c r="A873" s="359"/>
      <c r="B873" s="361"/>
      <c r="C873" s="361"/>
      <c r="D873" s="361"/>
      <c r="E873" s="367"/>
      <c r="F873" s="367"/>
      <c r="G873" s="367"/>
      <c r="H873" s="367"/>
      <c r="I873" s="367"/>
      <c r="J873" s="367"/>
      <c r="K873" s="367"/>
      <c r="L873" s="367"/>
      <c r="M873" s="367"/>
      <c r="N873" s="367"/>
      <c r="O873" s="367"/>
      <c r="P873" s="367"/>
      <c r="Q873" s="367"/>
      <c r="R873" s="367"/>
      <c r="S873" s="367"/>
      <c r="T873" s="367"/>
      <c r="U873" s="367"/>
      <c r="V873" s="367"/>
      <c r="W873" s="367"/>
      <c r="X873" s="367"/>
      <c r="Y873" s="367"/>
      <c r="Z873" s="367"/>
      <c r="AA873" s="367"/>
      <c r="AB873" s="367"/>
      <c r="AC873" s="367"/>
      <c r="AD873" s="367"/>
      <c r="AE873" s="367"/>
      <c r="AF873" s="367"/>
    </row>
    <row r="874" ht="15.75" customHeight="1">
      <c r="A874" s="359"/>
      <c r="B874" s="361"/>
      <c r="C874" s="361"/>
      <c r="D874" s="361"/>
      <c r="E874" s="367"/>
      <c r="F874" s="367"/>
      <c r="G874" s="367"/>
      <c r="H874" s="367"/>
      <c r="I874" s="367"/>
      <c r="J874" s="367"/>
      <c r="K874" s="367"/>
      <c r="L874" s="367"/>
      <c r="M874" s="367"/>
      <c r="N874" s="367"/>
      <c r="O874" s="367"/>
      <c r="P874" s="367"/>
      <c r="Q874" s="367"/>
      <c r="R874" s="367"/>
      <c r="S874" s="367"/>
      <c r="T874" s="367"/>
      <c r="U874" s="367"/>
      <c r="V874" s="367"/>
      <c r="W874" s="367"/>
      <c r="X874" s="367"/>
      <c r="Y874" s="367"/>
      <c r="Z874" s="367"/>
      <c r="AA874" s="367"/>
      <c r="AB874" s="367"/>
      <c r="AC874" s="367"/>
      <c r="AD874" s="367"/>
      <c r="AE874" s="367"/>
      <c r="AF874" s="367"/>
    </row>
    <row r="875" ht="15.75" customHeight="1">
      <c r="A875" s="359"/>
      <c r="B875" s="361"/>
      <c r="C875" s="361"/>
      <c r="D875" s="361"/>
      <c r="E875" s="367"/>
      <c r="F875" s="367"/>
      <c r="G875" s="367"/>
      <c r="H875" s="367"/>
      <c r="I875" s="367"/>
      <c r="J875" s="367"/>
      <c r="K875" s="367"/>
      <c r="L875" s="367"/>
      <c r="M875" s="367"/>
      <c r="N875" s="367"/>
      <c r="O875" s="367"/>
      <c r="P875" s="367"/>
      <c r="Q875" s="367"/>
      <c r="R875" s="367"/>
      <c r="S875" s="367"/>
      <c r="T875" s="367"/>
      <c r="U875" s="367"/>
      <c r="V875" s="367"/>
      <c r="W875" s="367"/>
      <c r="X875" s="367"/>
      <c r="Y875" s="367"/>
      <c r="Z875" s="367"/>
      <c r="AA875" s="367"/>
      <c r="AB875" s="367"/>
      <c r="AC875" s="367"/>
      <c r="AD875" s="367"/>
      <c r="AE875" s="367"/>
      <c r="AF875" s="367"/>
    </row>
    <row r="876" ht="15.75" customHeight="1">
      <c r="A876" s="359"/>
      <c r="B876" s="361"/>
      <c r="C876" s="361"/>
      <c r="D876" s="361"/>
      <c r="E876" s="367"/>
      <c r="F876" s="367"/>
      <c r="G876" s="367"/>
      <c r="H876" s="367"/>
      <c r="I876" s="367"/>
      <c r="J876" s="367"/>
      <c r="K876" s="367"/>
      <c r="L876" s="367"/>
      <c r="M876" s="367"/>
      <c r="N876" s="367"/>
      <c r="O876" s="367"/>
      <c r="P876" s="367"/>
      <c r="Q876" s="367"/>
      <c r="R876" s="367"/>
      <c r="S876" s="367"/>
      <c r="T876" s="367"/>
      <c r="U876" s="367"/>
      <c r="V876" s="367"/>
      <c r="W876" s="367"/>
      <c r="X876" s="367"/>
      <c r="Y876" s="367"/>
      <c r="Z876" s="367"/>
      <c r="AA876" s="367"/>
      <c r="AB876" s="367"/>
      <c r="AC876" s="367"/>
      <c r="AD876" s="367"/>
      <c r="AE876" s="367"/>
      <c r="AF876" s="367"/>
    </row>
    <row r="877" ht="15.75" customHeight="1">
      <c r="A877" s="359"/>
      <c r="B877" s="361"/>
      <c r="C877" s="361"/>
      <c r="D877" s="361"/>
      <c r="E877" s="367"/>
      <c r="F877" s="367"/>
      <c r="G877" s="367"/>
      <c r="H877" s="367"/>
      <c r="I877" s="367"/>
      <c r="J877" s="367"/>
      <c r="K877" s="367"/>
      <c r="L877" s="367"/>
      <c r="M877" s="367"/>
      <c r="N877" s="367"/>
      <c r="O877" s="367"/>
      <c r="P877" s="367"/>
      <c r="Q877" s="367"/>
      <c r="R877" s="367"/>
      <c r="S877" s="367"/>
      <c r="T877" s="367"/>
      <c r="U877" s="367"/>
      <c r="V877" s="367"/>
      <c r="W877" s="367"/>
      <c r="X877" s="367"/>
      <c r="Y877" s="367"/>
      <c r="Z877" s="367"/>
      <c r="AA877" s="367"/>
      <c r="AB877" s="367"/>
      <c r="AC877" s="367"/>
      <c r="AD877" s="367"/>
      <c r="AE877" s="367"/>
      <c r="AF877" s="367"/>
    </row>
    <row r="878" ht="15.75" customHeight="1">
      <c r="A878" s="359"/>
      <c r="B878" s="361"/>
      <c r="C878" s="361"/>
      <c r="D878" s="361"/>
      <c r="E878" s="367"/>
      <c r="F878" s="367"/>
      <c r="G878" s="367"/>
      <c r="H878" s="367"/>
      <c r="I878" s="367"/>
      <c r="J878" s="367"/>
      <c r="K878" s="367"/>
      <c r="L878" s="367"/>
      <c r="M878" s="367"/>
      <c r="N878" s="367"/>
      <c r="O878" s="367"/>
      <c r="P878" s="367"/>
      <c r="Q878" s="367"/>
      <c r="R878" s="367"/>
      <c r="S878" s="367"/>
      <c r="T878" s="367"/>
      <c r="U878" s="367"/>
      <c r="V878" s="367"/>
      <c r="W878" s="367"/>
      <c r="X878" s="367"/>
      <c r="Y878" s="367"/>
      <c r="Z878" s="367"/>
      <c r="AA878" s="367"/>
      <c r="AB878" s="367"/>
      <c r="AC878" s="367"/>
      <c r="AD878" s="367"/>
      <c r="AE878" s="367"/>
      <c r="AF878" s="367"/>
    </row>
    <row r="879" ht="15.75" customHeight="1">
      <c r="A879" s="359"/>
      <c r="B879" s="361"/>
      <c r="C879" s="361"/>
      <c r="D879" s="361"/>
      <c r="E879" s="367"/>
      <c r="F879" s="367"/>
      <c r="G879" s="367"/>
      <c r="H879" s="367"/>
      <c r="I879" s="367"/>
      <c r="J879" s="367"/>
      <c r="K879" s="367"/>
      <c r="L879" s="367"/>
      <c r="M879" s="367"/>
      <c r="N879" s="367"/>
      <c r="O879" s="367"/>
      <c r="P879" s="367"/>
      <c r="Q879" s="367"/>
      <c r="R879" s="367"/>
      <c r="S879" s="367"/>
      <c r="T879" s="367"/>
      <c r="U879" s="367"/>
      <c r="V879" s="367"/>
      <c r="W879" s="367"/>
      <c r="X879" s="367"/>
      <c r="Y879" s="367"/>
      <c r="Z879" s="367"/>
      <c r="AA879" s="367"/>
      <c r="AB879" s="367"/>
      <c r="AC879" s="367"/>
      <c r="AD879" s="367"/>
      <c r="AE879" s="367"/>
      <c r="AF879" s="367"/>
    </row>
    <row r="880" ht="15.75" customHeight="1">
      <c r="A880" s="359"/>
      <c r="B880" s="361"/>
      <c r="C880" s="361"/>
      <c r="D880" s="361"/>
      <c r="E880" s="367"/>
      <c r="F880" s="367"/>
      <c r="G880" s="367"/>
      <c r="H880" s="367"/>
      <c r="I880" s="367"/>
      <c r="J880" s="367"/>
      <c r="K880" s="367"/>
      <c r="L880" s="367"/>
      <c r="M880" s="367"/>
      <c r="N880" s="367"/>
      <c r="O880" s="367"/>
      <c r="P880" s="367"/>
      <c r="Q880" s="367"/>
      <c r="R880" s="367"/>
      <c r="S880" s="367"/>
      <c r="T880" s="367"/>
      <c r="U880" s="367"/>
      <c r="V880" s="367"/>
      <c r="W880" s="367"/>
      <c r="X880" s="367"/>
      <c r="Y880" s="367"/>
      <c r="Z880" s="367"/>
      <c r="AA880" s="367"/>
      <c r="AB880" s="367"/>
      <c r="AC880" s="367"/>
      <c r="AD880" s="367"/>
      <c r="AE880" s="367"/>
      <c r="AF880" s="367"/>
    </row>
    <row r="881" ht="15.75" customHeight="1">
      <c r="A881" s="359"/>
      <c r="B881" s="361"/>
      <c r="C881" s="361"/>
      <c r="D881" s="361"/>
      <c r="E881" s="367"/>
      <c r="F881" s="367"/>
      <c r="G881" s="367"/>
      <c r="H881" s="367"/>
      <c r="I881" s="367"/>
      <c r="J881" s="367"/>
      <c r="K881" s="367"/>
      <c r="L881" s="367"/>
      <c r="M881" s="367"/>
      <c r="N881" s="367"/>
      <c r="O881" s="367"/>
      <c r="P881" s="367"/>
      <c r="Q881" s="367"/>
      <c r="R881" s="367"/>
      <c r="S881" s="367"/>
      <c r="T881" s="367"/>
      <c r="U881" s="367"/>
      <c r="V881" s="367"/>
      <c r="W881" s="367"/>
      <c r="X881" s="367"/>
      <c r="Y881" s="367"/>
      <c r="Z881" s="367"/>
      <c r="AA881" s="367"/>
      <c r="AB881" s="367"/>
      <c r="AC881" s="367"/>
      <c r="AD881" s="367"/>
      <c r="AE881" s="367"/>
      <c r="AF881" s="367"/>
    </row>
    <row r="882" ht="15.75" customHeight="1">
      <c r="A882" s="359"/>
      <c r="B882" s="361"/>
      <c r="C882" s="361"/>
      <c r="D882" s="361"/>
      <c r="E882" s="367"/>
      <c r="F882" s="367"/>
      <c r="G882" s="367"/>
      <c r="H882" s="367"/>
      <c r="I882" s="367"/>
      <c r="J882" s="367"/>
      <c r="K882" s="367"/>
      <c r="L882" s="367"/>
      <c r="M882" s="367"/>
      <c r="N882" s="367"/>
      <c r="O882" s="367"/>
      <c r="P882" s="367"/>
      <c r="Q882" s="367"/>
      <c r="R882" s="367"/>
      <c r="S882" s="367"/>
      <c r="T882" s="367"/>
      <c r="U882" s="367"/>
      <c r="V882" s="367"/>
      <c r="W882" s="367"/>
      <c r="X882" s="367"/>
      <c r="Y882" s="367"/>
      <c r="Z882" s="367"/>
      <c r="AA882" s="367"/>
      <c r="AB882" s="367"/>
      <c r="AC882" s="367"/>
      <c r="AD882" s="367"/>
      <c r="AE882" s="367"/>
      <c r="AF882" s="367"/>
    </row>
    <row r="883" ht="15.75" customHeight="1">
      <c r="A883" s="359"/>
      <c r="B883" s="361"/>
      <c r="C883" s="361"/>
      <c r="D883" s="361"/>
      <c r="E883" s="367"/>
      <c r="F883" s="367"/>
      <c r="G883" s="367"/>
      <c r="H883" s="367"/>
      <c r="I883" s="367"/>
      <c r="J883" s="367"/>
      <c r="K883" s="367"/>
      <c r="L883" s="367"/>
      <c r="M883" s="367"/>
      <c r="N883" s="367"/>
      <c r="O883" s="367"/>
      <c r="P883" s="367"/>
      <c r="Q883" s="367"/>
      <c r="R883" s="367"/>
      <c r="S883" s="367"/>
      <c r="T883" s="367"/>
      <c r="U883" s="367"/>
      <c r="V883" s="367"/>
      <c r="W883" s="367"/>
      <c r="X883" s="367"/>
      <c r="Y883" s="367"/>
      <c r="Z883" s="367"/>
      <c r="AA883" s="367"/>
      <c r="AB883" s="367"/>
      <c r="AC883" s="367"/>
      <c r="AD883" s="367"/>
      <c r="AE883" s="367"/>
      <c r="AF883" s="367"/>
    </row>
    <row r="884" ht="15.75" customHeight="1">
      <c r="A884" s="359"/>
      <c r="B884" s="361"/>
      <c r="C884" s="361"/>
      <c r="D884" s="361"/>
      <c r="E884" s="367"/>
      <c r="F884" s="367"/>
      <c r="G884" s="367"/>
      <c r="H884" s="367"/>
      <c r="I884" s="367"/>
      <c r="J884" s="367"/>
      <c r="K884" s="367"/>
      <c r="L884" s="367"/>
      <c r="M884" s="367"/>
      <c r="N884" s="367"/>
      <c r="O884" s="367"/>
      <c r="P884" s="367"/>
      <c r="Q884" s="367"/>
      <c r="R884" s="367"/>
      <c r="S884" s="367"/>
      <c r="T884" s="367"/>
      <c r="U884" s="367"/>
      <c r="V884" s="367"/>
      <c r="W884" s="367"/>
      <c r="X884" s="367"/>
      <c r="Y884" s="367"/>
      <c r="Z884" s="367"/>
      <c r="AA884" s="367"/>
      <c r="AB884" s="367"/>
      <c r="AC884" s="367"/>
      <c r="AD884" s="367"/>
      <c r="AE884" s="367"/>
      <c r="AF884" s="367"/>
    </row>
    <row r="885" ht="15.75" customHeight="1">
      <c r="A885" s="359"/>
      <c r="B885" s="361"/>
      <c r="C885" s="361"/>
      <c r="D885" s="361"/>
      <c r="E885" s="367"/>
      <c r="F885" s="367"/>
      <c r="G885" s="367"/>
      <c r="H885" s="367"/>
      <c r="I885" s="367"/>
      <c r="J885" s="367"/>
      <c r="K885" s="367"/>
      <c r="L885" s="367"/>
      <c r="M885" s="367"/>
      <c r="N885" s="367"/>
      <c r="O885" s="367"/>
      <c r="P885" s="367"/>
      <c r="Q885" s="367"/>
      <c r="R885" s="367"/>
      <c r="S885" s="367"/>
      <c r="T885" s="367"/>
      <c r="U885" s="367"/>
      <c r="V885" s="367"/>
      <c r="W885" s="367"/>
      <c r="X885" s="367"/>
      <c r="Y885" s="367"/>
      <c r="Z885" s="367"/>
      <c r="AA885" s="367"/>
      <c r="AB885" s="367"/>
      <c r="AC885" s="367"/>
      <c r="AD885" s="367"/>
      <c r="AE885" s="367"/>
      <c r="AF885" s="367"/>
    </row>
    <row r="886" ht="15.75" customHeight="1">
      <c r="A886" s="359"/>
      <c r="B886" s="361"/>
      <c r="C886" s="361"/>
      <c r="D886" s="361"/>
      <c r="E886" s="367"/>
      <c r="F886" s="367"/>
      <c r="G886" s="367"/>
      <c r="H886" s="367"/>
      <c r="I886" s="367"/>
      <c r="J886" s="367"/>
      <c r="K886" s="367"/>
      <c r="L886" s="367"/>
      <c r="M886" s="367"/>
      <c r="N886" s="367"/>
      <c r="O886" s="367"/>
      <c r="P886" s="367"/>
      <c r="Q886" s="367"/>
      <c r="R886" s="367"/>
      <c r="S886" s="367"/>
      <c r="T886" s="367"/>
      <c r="U886" s="367"/>
      <c r="V886" s="367"/>
      <c r="W886" s="367"/>
      <c r="X886" s="367"/>
      <c r="Y886" s="367"/>
      <c r="Z886" s="367"/>
      <c r="AA886" s="367"/>
      <c r="AB886" s="367"/>
      <c r="AC886" s="367"/>
      <c r="AD886" s="367"/>
      <c r="AE886" s="367"/>
      <c r="AF886" s="367"/>
    </row>
    <row r="887" ht="15.75" customHeight="1">
      <c r="A887" s="359"/>
      <c r="B887" s="361"/>
      <c r="C887" s="361"/>
      <c r="D887" s="361"/>
      <c r="E887" s="367"/>
      <c r="F887" s="367"/>
      <c r="G887" s="367"/>
      <c r="H887" s="367"/>
      <c r="I887" s="367"/>
      <c r="J887" s="367"/>
      <c r="K887" s="367"/>
      <c r="L887" s="367"/>
      <c r="M887" s="367"/>
      <c r="N887" s="367"/>
      <c r="O887" s="367"/>
      <c r="P887" s="367"/>
      <c r="Q887" s="367"/>
      <c r="R887" s="367"/>
      <c r="S887" s="367"/>
      <c r="T887" s="367"/>
      <c r="U887" s="367"/>
      <c r="V887" s="367"/>
      <c r="W887" s="367"/>
      <c r="X887" s="367"/>
      <c r="Y887" s="367"/>
      <c r="Z887" s="367"/>
      <c r="AA887" s="367"/>
      <c r="AB887" s="367"/>
      <c r="AC887" s="367"/>
      <c r="AD887" s="367"/>
      <c r="AE887" s="367"/>
      <c r="AF887" s="367"/>
    </row>
    <row r="888" ht="15.75" customHeight="1">
      <c r="A888" s="359"/>
      <c r="B888" s="361"/>
      <c r="C888" s="361"/>
      <c r="D888" s="361"/>
      <c r="E888" s="367"/>
      <c r="F888" s="367"/>
      <c r="G888" s="367"/>
      <c r="H888" s="367"/>
      <c r="I888" s="367"/>
      <c r="J888" s="367"/>
      <c r="K888" s="367"/>
      <c r="L888" s="367"/>
      <c r="M888" s="367"/>
      <c r="N888" s="367"/>
      <c r="O888" s="367"/>
      <c r="P888" s="367"/>
      <c r="Q888" s="367"/>
      <c r="R888" s="367"/>
      <c r="S888" s="367"/>
      <c r="T888" s="367"/>
      <c r="U888" s="367"/>
      <c r="V888" s="367"/>
      <c r="W888" s="367"/>
      <c r="X888" s="367"/>
      <c r="Y888" s="367"/>
      <c r="Z888" s="367"/>
      <c r="AA888" s="367"/>
      <c r="AB888" s="367"/>
      <c r="AC888" s="367"/>
      <c r="AD888" s="367"/>
      <c r="AE888" s="367"/>
      <c r="AF888" s="367"/>
    </row>
    <row r="889" ht="15.75" customHeight="1">
      <c r="A889" s="359"/>
      <c r="B889" s="361"/>
      <c r="C889" s="361"/>
      <c r="D889" s="361"/>
      <c r="E889" s="367"/>
      <c r="F889" s="367"/>
      <c r="G889" s="367"/>
      <c r="H889" s="367"/>
      <c r="I889" s="367"/>
      <c r="J889" s="367"/>
      <c r="K889" s="367"/>
      <c r="L889" s="367"/>
      <c r="M889" s="367"/>
      <c r="N889" s="367"/>
      <c r="O889" s="367"/>
      <c r="P889" s="367"/>
      <c r="Q889" s="367"/>
      <c r="R889" s="367"/>
      <c r="S889" s="367"/>
      <c r="T889" s="367"/>
      <c r="U889" s="367"/>
      <c r="V889" s="367"/>
      <c r="W889" s="367"/>
      <c r="X889" s="367"/>
      <c r="Y889" s="367"/>
      <c r="Z889" s="367"/>
      <c r="AA889" s="367"/>
      <c r="AB889" s="367"/>
      <c r="AC889" s="367"/>
      <c r="AD889" s="367"/>
      <c r="AE889" s="367"/>
      <c r="AF889" s="367"/>
    </row>
    <row r="890" ht="15.75" customHeight="1">
      <c r="A890" s="359"/>
      <c r="B890" s="361"/>
      <c r="C890" s="361"/>
      <c r="D890" s="361"/>
      <c r="E890" s="367"/>
      <c r="F890" s="367"/>
      <c r="G890" s="367"/>
      <c r="H890" s="367"/>
      <c r="I890" s="367"/>
      <c r="J890" s="367"/>
      <c r="K890" s="367"/>
      <c r="L890" s="367"/>
      <c r="M890" s="367"/>
      <c r="N890" s="367"/>
      <c r="O890" s="367"/>
      <c r="P890" s="367"/>
      <c r="Q890" s="367"/>
      <c r="R890" s="367"/>
      <c r="S890" s="367"/>
      <c r="T890" s="367"/>
      <c r="U890" s="367"/>
      <c r="V890" s="367"/>
      <c r="W890" s="367"/>
      <c r="X890" s="367"/>
      <c r="Y890" s="367"/>
      <c r="Z890" s="367"/>
      <c r="AA890" s="367"/>
      <c r="AB890" s="367"/>
      <c r="AC890" s="367"/>
      <c r="AD890" s="367"/>
      <c r="AE890" s="367"/>
      <c r="AF890" s="367"/>
    </row>
    <row r="891" ht="15.75" customHeight="1">
      <c r="A891" s="359"/>
      <c r="B891" s="361"/>
      <c r="C891" s="361"/>
      <c r="D891" s="361"/>
      <c r="E891" s="367"/>
      <c r="F891" s="367"/>
      <c r="G891" s="367"/>
      <c r="H891" s="367"/>
      <c r="I891" s="367"/>
      <c r="J891" s="367"/>
      <c r="K891" s="367"/>
      <c r="L891" s="367"/>
      <c r="M891" s="367"/>
      <c r="N891" s="367"/>
      <c r="O891" s="367"/>
      <c r="P891" s="367"/>
      <c r="Q891" s="367"/>
      <c r="R891" s="367"/>
      <c r="S891" s="367"/>
      <c r="T891" s="367"/>
      <c r="U891" s="367"/>
      <c r="V891" s="367"/>
      <c r="W891" s="367"/>
      <c r="X891" s="367"/>
      <c r="Y891" s="367"/>
      <c r="Z891" s="367"/>
      <c r="AA891" s="367"/>
      <c r="AB891" s="367"/>
      <c r="AC891" s="367"/>
      <c r="AD891" s="367"/>
      <c r="AE891" s="367"/>
      <c r="AF891" s="367"/>
    </row>
    <row r="892" ht="15.75" customHeight="1">
      <c r="A892" s="359"/>
      <c r="B892" s="361"/>
      <c r="C892" s="361"/>
      <c r="D892" s="361"/>
      <c r="E892" s="367"/>
      <c r="F892" s="367"/>
      <c r="G892" s="367"/>
      <c r="H892" s="367"/>
      <c r="I892" s="367"/>
      <c r="J892" s="367"/>
      <c r="K892" s="367"/>
      <c r="L892" s="367"/>
      <c r="M892" s="367"/>
      <c r="N892" s="367"/>
      <c r="O892" s="367"/>
      <c r="P892" s="367"/>
      <c r="Q892" s="367"/>
      <c r="R892" s="367"/>
      <c r="S892" s="367"/>
      <c r="T892" s="367"/>
      <c r="U892" s="367"/>
      <c r="V892" s="367"/>
      <c r="W892" s="367"/>
      <c r="X892" s="367"/>
      <c r="Y892" s="367"/>
      <c r="Z892" s="367"/>
      <c r="AA892" s="367"/>
      <c r="AB892" s="367"/>
      <c r="AC892" s="367"/>
      <c r="AD892" s="367"/>
      <c r="AE892" s="367"/>
      <c r="AF892" s="367"/>
    </row>
    <row r="893" ht="15.75" customHeight="1">
      <c r="A893" s="359"/>
      <c r="B893" s="361"/>
      <c r="C893" s="361"/>
      <c r="D893" s="361"/>
      <c r="E893" s="367"/>
      <c r="F893" s="367"/>
      <c r="G893" s="367"/>
      <c r="H893" s="367"/>
      <c r="I893" s="367"/>
      <c r="J893" s="367"/>
      <c r="K893" s="367"/>
      <c r="L893" s="367"/>
      <c r="M893" s="367"/>
      <c r="N893" s="367"/>
      <c r="O893" s="367"/>
      <c r="P893" s="367"/>
      <c r="Q893" s="367"/>
      <c r="R893" s="367"/>
      <c r="S893" s="367"/>
      <c r="T893" s="367"/>
      <c r="U893" s="367"/>
      <c r="V893" s="367"/>
      <c r="W893" s="367"/>
      <c r="X893" s="367"/>
      <c r="Y893" s="367"/>
      <c r="Z893" s="367"/>
      <c r="AA893" s="367"/>
      <c r="AB893" s="367"/>
      <c r="AC893" s="367"/>
      <c r="AD893" s="367"/>
      <c r="AE893" s="367"/>
      <c r="AF893" s="367"/>
    </row>
    <row r="894" ht="15.75" customHeight="1">
      <c r="A894" s="359"/>
      <c r="B894" s="361"/>
      <c r="C894" s="361"/>
      <c r="D894" s="361"/>
      <c r="E894" s="367"/>
      <c r="F894" s="367"/>
      <c r="G894" s="367"/>
      <c r="H894" s="367"/>
      <c r="I894" s="367"/>
      <c r="J894" s="367"/>
      <c r="K894" s="367"/>
      <c r="L894" s="367"/>
      <c r="M894" s="367"/>
      <c r="N894" s="367"/>
      <c r="O894" s="367"/>
      <c r="P894" s="367"/>
      <c r="Q894" s="367"/>
      <c r="R894" s="367"/>
      <c r="S894" s="367"/>
      <c r="T894" s="367"/>
      <c r="U894" s="367"/>
      <c r="V894" s="367"/>
      <c r="W894" s="367"/>
      <c r="X894" s="367"/>
      <c r="Y894" s="367"/>
      <c r="Z894" s="367"/>
      <c r="AA894" s="367"/>
      <c r="AB894" s="367"/>
      <c r="AC894" s="367"/>
      <c r="AD894" s="367"/>
      <c r="AE894" s="367"/>
      <c r="AF894" s="367"/>
    </row>
    <row r="895" ht="15.75" customHeight="1">
      <c r="A895" s="359"/>
      <c r="B895" s="361"/>
      <c r="C895" s="361"/>
      <c r="D895" s="361"/>
      <c r="E895" s="367"/>
      <c r="F895" s="367"/>
      <c r="G895" s="367"/>
      <c r="H895" s="367"/>
      <c r="I895" s="367"/>
      <c r="J895" s="367"/>
      <c r="K895" s="367"/>
      <c r="L895" s="367"/>
      <c r="M895" s="367"/>
      <c r="N895" s="367"/>
      <c r="O895" s="367"/>
      <c r="P895" s="367"/>
      <c r="Q895" s="367"/>
      <c r="R895" s="367"/>
      <c r="S895" s="367"/>
      <c r="T895" s="367"/>
      <c r="U895" s="367"/>
      <c r="V895" s="367"/>
      <c r="W895" s="367"/>
      <c r="X895" s="367"/>
      <c r="Y895" s="367"/>
      <c r="Z895" s="367"/>
      <c r="AA895" s="367"/>
      <c r="AB895" s="367"/>
      <c r="AC895" s="367"/>
      <c r="AD895" s="367"/>
      <c r="AE895" s="367"/>
      <c r="AF895" s="367"/>
    </row>
    <row r="896" ht="15.75" customHeight="1">
      <c r="A896" s="359"/>
      <c r="B896" s="361"/>
      <c r="C896" s="361"/>
      <c r="D896" s="361"/>
      <c r="E896" s="367"/>
      <c r="F896" s="367"/>
      <c r="G896" s="367"/>
      <c r="H896" s="367"/>
      <c r="I896" s="367"/>
      <c r="J896" s="367"/>
      <c r="K896" s="367"/>
      <c r="L896" s="367"/>
      <c r="M896" s="367"/>
      <c r="N896" s="367"/>
      <c r="O896" s="367"/>
      <c r="P896" s="367"/>
      <c r="Q896" s="367"/>
      <c r="R896" s="367"/>
      <c r="S896" s="367"/>
      <c r="T896" s="367"/>
      <c r="U896" s="367"/>
      <c r="V896" s="367"/>
      <c r="W896" s="367"/>
      <c r="X896" s="367"/>
      <c r="Y896" s="367"/>
      <c r="Z896" s="367"/>
      <c r="AA896" s="367"/>
      <c r="AB896" s="367"/>
      <c r="AC896" s="367"/>
      <c r="AD896" s="367"/>
      <c r="AE896" s="367"/>
      <c r="AF896" s="367"/>
    </row>
    <row r="897" ht="15.75" customHeight="1">
      <c r="A897" s="359"/>
      <c r="B897" s="361"/>
      <c r="C897" s="361"/>
      <c r="D897" s="361"/>
      <c r="E897" s="367"/>
      <c r="F897" s="367"/>
      <c r="G897" s="367"/>
      <c r="H897" s="367"/>
      <c r="I897" s="367"/>
      <c r="J897" s="367"/>
      <c r="K897" s="367"/>
      <c r="L897" s="367"/>
      <c r="M897" s="367"/>
      <c r="N897" s="367"/>
      <c r="O897" s="367"/>
      <c r="P897" s="367"/>
      <c r="Q897" s="367"/>
      <c r="R897" s="367"/>
      <c r="S897" s="367"/>
      <c r="T897" s="367"/>
      <c r="U897" s="367"/>
      <c r="V897" s="367"/>
      <c r="W897" s="367"/>
      <c r="X897" s="367"/>
      <c r="Y897" s="367"/>
      <c r="Z897" s="367"/>
      <c r="AA897" s="367"/>
      <c r="AB897" s="367"/>
      <c r="AC897" s="367"/>
      <c r="AD897" s="367"/>
      <c r="AE897" s="367"/>
      <c r="AF897" s="367"/>
    </row>
    <row r="898" ht="15.75" customHeight="1">
      <c r="A898" s="359"/>
      <c r="B898" s="361"/>
      <c r="C898" s="361"/>
      <c r="D898" s="361"/>
      <c r="E898" s="367"/>
      <c r="F898" s="367"/>
      <c r="G898" s="367"/>
      <c r="H898" s="367"/>
      <c r="I898" s="367"/>
      <c r="J898" s="367"/>
      <c r="K898" s="367"/>
      <c r="L898" s="367"/>
      <c r="M898" s="367"/>
      <c r="N898" s="367"/>
      <c r="O898" s="367"/>
      <c r="P898" s="367"/>
      <c r="Q898" s="367"/>
      <c r="R898" s="367"/>
      <c r="S898" s="367"/>
      <c r="T898" s="367"/>
      <c r="U898" s="367"/>
      <c r="V898" s="367"/>
      <c r="W898" s="367"/>
      <c r="X898" s="367"/>
      <c r="Y898" s="367"/>
      <c r="Z898" s="367"/>
      <c r="AA898" s="367"/>
      <c r="AB898" s="367"/>
      <c r="AC898" s="367"/>
      <c r="AD898" s="367"/>
      <c r="AE898" s="367"/>
      <c r="AF898" s="367"/>
    </row>
    <row r="899" ht="15.75" customHeight="1">
      <c r="A899" s="359"/>
      <c r="B899" s="361"/>
      <c r="C899" s="361"/>
      <c r="D899" s="361"/>
      <c r="E899" s="367"/>
      <c r="F899" s="367"/>
      <c r="G899" s="367"/>
      <c r="H899" s="367"/>
      <c r="I899" s="367"/>
      <c r="J899" s="367"/>
      <c r="K899" s="367"/>
      <c r="L899" s="367"/>
      <c r="M899" s="367"/>
      <c r="N899" s="367"/>
      <c r="O899" s="367"/>
      <c r="P899" s="367"/>
      <c r="Q899" s="367"/>
      <c r="R899" s="367"/>
      <c r="S899" s="367"/>
      <c r="T899" s="367"/>
      <c r="U899" s="367"/>
      <c r="V899" s="367"/>
      <c r="W899" s="367"/>
      <c r="X899" s="367"/>
      <c r="Y899" s="367"/>
      <c r="Z899" s="367"/>
      <c r="AA899" s="367"/>
      <c r="AB899" s="367"/>
      <c r="AC899" s="367"/>
      <c r="AD899" s="367"/>
      <c r="AE899" s="367"/>
      <c r="AF899" s="367"/>
    </row>
    <row r="900" ht="15.75" customHeight="1">
      <c r="A900" s="359"/>
      <c r="B900" s="361"/>
      <c r="C900" s="361"/>
      <c r="D900" s="361"/>
      <c r="E900" s="367"/>
      <c r="F900" s="367"/>
      <c r="G900" s="367"/>
      <c r="H900" s="367"/>
      <c r="I900" s="367"/>
      <c r="J900" s="367"/>
      <c r="K900" s="367"/>
      <c r="L900" s="367"/>
      <c r="M900" s="367"/>
      <c r="N900" s="367"/>
      <c r="O900" s="367"/>
      <c r="P900" s="367"/>
      <c r="Q900" s="367"/>
      <c r="R900" s="367"/>
      <c r="S900" s="367"/>
      <c r="T900" s="367"/>
      <c r="U900" s="367"/>
      <c r="V900" s="367"/>
      <c r="W900" s="367"/>
      <c r="X900" s="367"/>
      <c r="Y900" s="367"/>
      <c r="Z900" s="367"/>
      <c r="AA900" s="367"/>
      <c r="AB900" s="367"/>
      <c r="AC900" s="367"/>
      <c r="AD900" s="367"/>
      <c r="AE900" s="367"/>
      <c r="AF900" s="367"/>
    </row>
    <row r="901" ht="15.75" customHeight="1">
      <c r="A901" s="359"/>
      <c r="B901" s="361"/>
      <c r="C901" s="361"/>
      <c r="D901" s="361"/>
      <c r="E901" s="367"/>
      <c r="F901" s="367"/>
      <c r="G901" s="367"/>
      <c r="H901" s="367"/>
      <c r="I901" s="367"/>
      <c r="J901" s="367"/>
      <c r="K901" s="367"/>
      <c r="L901" s="367"/>
      <c r="M901" s="367"/>
      <c r="N901" s="367"/>
      <c r="O901" s="367"/>
      <c r="P901" s="367"/>
      <c r="Q901" s="367"/>
      <c r="R901" s="367"/>
      <c r="S901" s="367"/>
      <c r="T901" s="367"/>
      <c r="U901" s="367"/>
      <c r="V901" s="367"/>
      <c r="W901" s="367"/>
      <c r="X901" s="367"/>
      <c r="Y901" s="367"/>
      <c r="Z901" s="367"/>
      <c r="AA901" s="367"/>
      <c r="AB901" s="367"/>
      <c r="AC901" s="367"/>
      <c r="AD901" s="367"/>
      <c r="AE901" s="367"/>
      <c r="AF901" s="367"/>
    </row>
    <row r="902" ht="15.75" customHeight="1">
      <c r="A902" s="359"/>
      <c r="B902" s="361"/>
      <c r="C902" s="361"/>
      <c r="D902" s="361"/>
      <c r="E902" s="367"/>
      <c r="F902" s="367"/>
      <c r="G902" s="367"/>
      <c r="H902" s="367"/>
      <c r="I902" s="367"/>
      <c r="J902" s="367"/>
      <c r="K902" s="367"/>
      <c r="L902" s="367"/>
      <c r="M902" s="367"/>
      <c r="N902" s="367"/>
      <c r="O902" s="367"/>
      <c r="P902" s="367"/>
      <c r="Q902" s="367"/>
      <c r="R902" s="367"/>
      <c r="S902" s="367"/>
      <c r="T902" s="367"/>
      <c r="U902" s="367"/>
      <c r="V902" s="367"/>
      <c r="W902" s="367"/>
      <c r="X902" s="367"/>
      <c r="Y902" s="367"/>
      <c r="Z902" s="367"/>
      <c r="AA902" s="367"/>
      <c r="AB902" s="367"/>
      <c r="AC902" s="367"/>
      <c r="AD902" s="367"/>
      <c r="AE902" s="367"/>
      <c r="AF902" s="367"/>
    </row>
    <row r="903" ht="15.75" customHeight="1">
      <c r="A903" s="359"/>
      <c r="B903" s="361"/>
      <c r="C903" s="361"/>
      <c r="D903" s="361"/>
      <c r="E903" s="367"/>
      <c r="F903" s="367"/>
      <c r="G903" s="367"/>
      <c r="H903" s="367"/>
      <c r="I903" s="367"/>
      <c r="J903" s="367"/>
      <c r="K903" s="367"/>
      <c r="L903" s="367"/>
      <c r="M903" s="367"/>
      <c r="N903" s="367"/>
      <c r="O903" s="367"/>
      <c r="P903" s="367"/>
      <c r="Q903" s="367"/>
      <c r="R903" s="367"/>
      <c r="S903" s="367"/>
      <c r="T903" s="367"/>
      <c r="U903" s="367"/>
      <c r="V903" s="367"/>
      <c r="W903" s="367"/>
      <c r="X903" s="367"/>
      <c r="Y903" s="367"/>
      <c r="Z903" s="367"/>
      <c r="AA903" s="367"/>
      <c r="AB903" s="367"/>
      <c r="AC903" s="367"/>
      <c r="AD903" s="367"/>
      <c r="AE903" s="367"/>
      <c r="AF903" s="367"/>
    </row>
    <row r="904" ht="15.75" customHeight="1">
      <c r="A904" s="359"/>
      <c r="B904" s="361"/>
      <c r="C904" s="361"/>
      <c r="D904" s="361"/>
      <c r="E904" s="367"/>
      <c r="F904" s="367"/>
      <c r="G904" s="367"/>
      <c r="H904" s="367"/>
      <c r="I904" s="367"/>
      <c r="J904" s="367"/>
      <c r="K904" s="367"/>
      <c r="L904" s="367"/>
      <c r="M904" s="367"/>
      <c r="N904" s="367"/>
      <c r="O904" s="367"/>
      <c r="P904" s="367"/>
      <c r="Q904" s="367"/>
      <c r="R904" s="367"/>
      <c r="S904" s="367"/>
      <c r="T904" s="367"/>
      <c r="U904" s="367"/>
      <c r="V904" s="367"/>
      <c r="W904" s="367"/>
      <c r="X904" s="367"/>
      <c r="Y904" s="367"/>
      <c r="Z904" s="367"/>
      <c r="AA904" s="367"/>
      <c r="AB904" s="367"/>
      <c r="AC904" s="367"/>
      <c r="AD904" s="367"/>
      <c r="AE904" s="367"/>
      <c r="AF904" s="367"/>
    </row>
    <row r="905" ht="15.75" customHeight="1">
      <c r="A905" s="359"/>
      <c r="B905" s="361"/>
      <c r="C905" s="361"/>
      <c r="D905" s="361"/>
      <c r="E905" s="367"/>
      <c r="F905" s="367"/>
      <c r="G905" s="367"/>
      <c r="H905" s="367"/>
      <c r="I905" s="367"/>
      <c r="J905" s="367"/>
      <c r="K905" s="367"/>
      <c r="L905" s="367"/>
      <c r="M905" s="367"/>
      <c r="N905" s="367"/>
      <c r="O905" s="367"/>
      <c r="P905" s="367"/>
      <c r="Q905" s="367"/>
      <c r="R905" s="367"/>
      <c r="S905" s="367"/>
      <c r="T905" s="367"/>
      <c r="U905" s="367"/>
      <c r="V905" s="367"/>
      <c r="W905" s="367"/>
      <c r="X905" s="367"/>
      <c r="Y905" s="367"/>
      <c r="Z905" s="367"/>
      <c r="AA905" s="367"/>
      <c r="AB905" s="367"/>
      <c r="AC905" s="367"/>
      <c r="AD905" s="367"/>
      <c r="AE905" s="367"/>
      <c r="AF905" s="367"/>
    </row>
    <row r="906" ht="15.75" customHeight="1">
      <c r="A906" s="359"/>
      <c r="B906" s="361"/>
      <c r="C906" s="361"/>
      <c r="D906" s="361"/>
      <c r="E906" s="367"/>
      <c r="F906" s="367"/>
      <c r="G906" s="367"/>
      <c r="H906" s="367"/>
      <c r="I906" s="367"/>
      <c r="J906" s="367"/>
      <c r="K906" s="367"/>
      <c r="L906" s="367"/>
      <c r="M906" s="367"/>
      <c r="N906" s="367"/>
      <c r="O906" s="367"/>
      <c r="P906" s="367"/>
      <c r="Q906" s="367"/>
      <c r="R906" s="367"/>
      <c r="S906" s="367"/>
      <c r="T906" s="367"/>
      <c r="U906" s="367"/>
      <c r="V906" s="367"/>
      <c r="W906" s="367"/>
      <c r="X906" s="367"/>
      <c r="Y906" s="367"/>
      <c r="Z906" s="367"/>
      <c r="AA906" s="367"/>
      <c r="AB906" s="367"/>
      <c r="AC906" s="367"/>
      <c r="AD906" s="367"/>
      <c r="AE906" s="367"/>
      <c r="AF906" s="367"/>
    </row>
    <row r="907" ht="15.75" customHeight="1">
      <c r="A907" s="359"/>
      <c r="B907" s="361"/>
      <c r="C907" s="361"/>
      <c r="D907" s="361"/>
      <c r="E907" s="367"/>
      <c r="F907" s="367"/>
      <c r="G907" s="367"/>
      <c r="H907" s="367"/>
      <c r="I907" s="367"/>
      <c r="J907" s="367"/>
      <c r="K907" s="367"/>
      <c r="L907" s="367"/>
      <c r="M907" s="367"/>
      <c r="N907" s="367"/>
      <c r="O907" s="367"/>
      <c r="P907" s="367"/>
      <c r="Q907" s="367"/>
      <c r="R907" s="367"/>
      <c r="S907" s="367"/>
      <c r="T907" s="367"/>
      <c r="U907" s="367"/>
      <c r="V907" s="367"/>
      <c r="W907" s="367"/>
      <c r="X907" s="367"/>
      <c r="Y907" s="367"/>
      <c r="Z907" s="367"/>
      <c r="AA907" s="367"/>
      <c r="AB907" s="367"/>
      <c r="AC907" s="367"/>
      <c r="AD907" s="367"/>
      <c r="AE907" s="367"/>
      <c r="AF907" s="367"/>
    </row>
    <row r="908" ht="15.75" customHeight="1">
      <c r="A908" s="359"/>
      <c r="B908" s="361"/>
      <c r="C908" s="361"/>
      <c r="D908" s="361"/>
      <c r="E908" s="367"/>
      <c r="F908" s="367"/>
      <c r="G908" s="367"/>
      <c r="H908" s="367"/>
      <c r="I908" s="367"/>
      <c r="J908" s="367"/>
      <c r="K908" s="367"/>
      <c r="L908" s="367"/>
      <c r="M908" s="367"/>
      <c r="N908" s="367"/>
      <c r="O908" s="367"/>
      <c r="P908" s="367"/>
      <c r="Q908" s="367"/>
      <c r="R908" s="367"/>
      <c r="S908" s="367"/>
      <c r="T908" s="367"/>
      <c r="U908" s="367"/>
      <c r="V908" s="367"/>
      <c r="W908" s="367"/>
      <c r="X908" s="367"/>
      <c r="Y908" s="367"/>
      <c r="Z908" s="367"/>
      <c r="AA908" s="367"/>
      <c r="AB908" s="367"/>
      <c r="AC908" s="367"/>
      <c r="AD908" s="367"/>
      <c r="AE908" s="367"/>
      <c r="AF908" s="367"/>
    </row>
    <row r="909" ht="15.75" customHeight="1">
      <c r="A909" s="359"/>
      <c r="B909" s="361"/>
      <c r="C909" s="361"/>
      <c r="D909" s="361"/>
      <c r="E909" s="367"/>
      <c r="F909" s="367"/>
      <c r="G909" s="367"/>
      <c r="H909" s="367"/>
      <c r="I909" s="367"/>
      <c r="J909" s="367"/>
      <c r="K909" s="367"/>
      <c r="L909" s="367"/>
      <c r="M909" s="367"/>
      <c r="N909" s="367"/>
      <c r="O909" s="367"/>
      <c r="P909" s="367"/>
      <c r="Q909" s="367"/>
      <c r="R909" s="367"/>
      <c r="S909" s="367"/>
      <c r="T909" s="367"/>
      <c r="U909" s="367"/>
      <c r="V909" s="367"/>
      <c r="W909" s="367"/>
      <c r="X909" s="367"/>
      <c r="Y909" s="367"/>
      <c r="Z909" s="367"/>
      <c r="AA909" s="367"/>
      <c r="AB909" s="367"/>
      <c r="AC909" s="367"/>
      <c r="AD909" s="367"/>
      <c r="AE909" s="367"/>
      <c r="AF909" s="367"/>
    </row>
    <row r="910" ht="15.75" customHeight="1">
      <c r="A910" s="359"/>
      <c r="B910" s="361"/>
      <c r="C910" s="361"/>
      <c r="D910" s="361"/>
      <c r="E910" s="367"/>
      <c r="F910" s="367"/>
      <c r="G910" s="367"/>
      <c r="H910" s="367"/>
      <c r="I910" s="367"/>
      <c r="J910" s="367"/>
      <c r="K910" s="367"/>
      <c r="L910" s="367"/>
      <c r="M910" s="367"/>
      <c r="N910" s="367"/>
      <c r="O910" s="367"/>
      <c r="P910" s="367"/>
      <c r="Q910" s="367"/>
      <c r="R910" s="367"/>
      <c r="S910" s="367"/>
      <c r="T910" s="367"/>
      <c r="U910" s="367"/>
      <c r="V910" s="367"/>
      <c r="W910" s="367"/>
      <c r="X910" s="367"/>
      <c r="Y910" s="367"/>
      <c r="Z910" s="367"/>
      <c r="AA910" s="367"/>
      <c r="AB910" s="367"/>
      <c r="AC910" s="367"/>
      <c r="AD910" s="367"/>
      <c r="AE910" s="367"/>
      <c r="AF910" s="367"/>
    </row>
    <row r="911" ht="15.75" customHeight="1">
      <c r="A911" s="359"/>
      <c r="B911" s="361"/>
      <c r="C911" s="361"/>
      <c r="D911" s="361"/>
      <c r="E911" s="367"/>
      <c r="F911" s="367"/>
      <c r="G911" s="367"/>
      <c r="H911" s="367"/>
      <c r="I911" s="367"/>
      <c r="J911" s="367"/>
      <c r="K911" s="367"/>
      <c r="L911" s="367"/>
      <c r="M911" s="367"/>
      <c r="N911" s="367"/>
      <c r="O911" s="367"/>
      <c r="P911" s="367"/>
      <c r="Q911" s="367"/>
      <c r="R911" s="367"/>
      <c r="S911" s="367"/>
      <c r="T911" s="367"/>
      <c r="U911" s="367"/>
      <c r="V911" s="367"/>
      <c r="W911" s="367"/>
      <c r="X911" s="367"/>
      <c r="Y911" s="367"/>
      <c r="Z911" s="367"/>
      <c r="AA911" s="367"/>
      <c r="AB911" s="367"/>
      <c r="AC911" s="367"/>
      <c r="AD911" s="367"/>
      <c r="AE911" s="367"/>
      <c r="AF911" s="367"/>
    </row>
    <row r="912" ht="15.75" customHeight="1">
      <c r="A912" s="359"/>
      <c r="B912" s="361"/>
      <c r="C912" s="361"/>
      <c r="D912" s="361"/>
      <c r="E912" s="367"/>
      <c r="F912" s="367"/>
      <c r="G912" s="367"/>
      <c r="H912" s="367"/>
      <c r="I912" s="367"/>
      <c r="J912" s="367"/>
      <c r="K912" s="367"/>
      <c r="L912" s="367"/>
      <c r="M912" s="367"/>
      <c r="N912" s="367"/>
      <c r="O912" s="367"/>
      <c r="P912" s="367"/>
      <c r="Q912" s="367"/>
      <c r="R912" s="367"/>
      <c r="S912" s="367"/>
      <c r="T912" s="367"/>
      <c r="U912" s="367"/>
      <c r="V912" s="367"/>
      <c r="W912" s="367"/>
      <c r="X912" s="367"/>
      <c r="Y912" s="367"/>
      <c r="Z912" s="367"/>
      <c r="AA912" s="367"/>
      <c r="AB912" s="367"/>
      <c r="AC912" s="367"/>
      <c r="AD912" s="367"/>
      <c r="AE912" s="367"/>
      <c r="AF912" s="367"/>
    </row>
    <row r="913" ht="15.75" customHeight="1">
      <c r="A913" s="359"/>
      <c r="B913" s="361"/>
      <c r="C913" s="361"/>
      <c r="D913" s="361"/>
      <c r="E913" s="367"/>
      <c r="F913" s="367"/>
      <c r="G913" s="367"/>
      <c r="H913" s="367"/>
      <c r="I913" s="367"/>
      <c r="J913" s="367"/>
      <c r="K913" s="367"/>
      <c r="L913" s="367"/>
      <c r="M913" s="367"/>
      <c r="N913" s="367"/>
      <c r="O913" s="367"/>
      <c r="P913" s="367"/>
      <c r="Q913" s="367"/>
      <c r="R913" s="367"/>
      <c r="S913" s="367"/>
      <c r="T913" s="367"/>
      <c r="U913" s="367"/>
      <c r="V913" s="367"/>
      <c r="W913" s="367"/>
      <c r="X913" s="367"/>
      <c r="Y913" s="367"/>
      <c r="Z913" s="367"/>
      <c r="AA913" s="367"/>
      <c r="AB913" s="367"/>
      <c r="AC913" s="367"/>
      <c r="AD913" s="367"/>
      <c r="AE913" s="367"/>
      <c r="AF913" s="367"/>
    </row>
    <row r="914" ht="15.75" customHeight="1">
      <c r="A914" s="359"/>
      <c r="B914" s="361"/>
      <c r="C914" s="361"/>
      <c r="D914" s="361"/>
      <c r="E914" s="367"/>
      <c r="F914" s="367"/>
      <c r="G914" s="367"/>
      <c r="H914" s="367"/>
      <c r="I914" s="367"/>
      <c r="J914" s="367"/>
      <c r="K914" s="367"/>
      <c r="L914" s="367"/>
      <c r="M914" s="367"/>
      <c r="N914" s="367"/>
      <c r="O914" s="367"/>
      <c r="P914" s="367"/>
      <c r="Q914" s="367"/>
      <c r="R914" s="367"/>
      <c r="S914" s="367"/>
      <c r="T914" s="367"/>
      <c r="U914" s="367"/>
      <c r="V914" s="367"/>
      <c r="W914" s="367"/>
      <c r="X914" s="367"/>
      <c r="Y914" s="367"/>
      <c r="Z914" s="367"/>
      <c r="AA914" s="367"/>
      <c r="AB914" s="367"/>
      <c r="AC914" s="367"/>
      <c r="AD914" s="367"/>
      <c r="AE914" s="367"/>
      <c r="AF914" s="367"/>
    </row>
    <row r="915" ht="15.75" customHeight="1">
      <c r="A915" s="359"/>
      <c r="B915" s="361"/>
      <c r="C915" s="361"/>
      <c r="D915" s="361"/>
      <c r="E915" s="367"/>
      <c r="F915" s="367"/>
      <c r="G915" s="367"/>
      <c r="H915" s="367"/>
      <c r="I915" s="367"/>
      <c r="J915" s="367"/>
      <c r="K915" s="367"/>
      <c r="L915" s="367"/>
      <c r="M915" s="367"/>
      <c r="N915" s="367"/>
      <c r="O915" s="367"/>
      <c r="P915" s="367"/>
      <c r="Q915" s="367"/>
      <c r="R915" s="367"/>
      <c r="S915" s="367"/>
      <c r="T915" s="367"/>
      <c r="U915" s="367"/>
      <c r="V915" s="367"/>
      <c r="W915" s="367"/>
      <c r="X915" s="367"/>
      <c r="Y915" s="367"/>
      <c r="Z915" s="367"/>
      <c r="AA915" s="367"/>
      <c r="AB915" s="367"/>
      <c r="AC915" s="367"/>
      <c r="AD915" s="367"/>
      <c r="AE915" s="367"/>
      <c r="AF915" s="367"/>
    </row>
    <row r="916" ht="15.75" customHeight="1">
      <c r="A916" s="359"/>
      <c r="B916" s="361"/>
      <c r="C916" s="361"/>
      <c r="D916" s="361"/>
      <c r="E916" s="367"/>
      <c r="F916" s="367"/>
      <c r="G916" s="367"/>
      <c r="H916" s="367"/>
      <c r="I916" s="367"/>
      <c r="J916" s="367"/>
      <c r="K916" s="367"/>
      <c r="L916" s="367"/>
      <c r="M916" s="367"/>
      <c r="N916" s="367"/>
      <c r="O916" s="367"/>
      <c r="P916" s="367"/>
      <c r="Q916" s="367"/>
      <c r="R916" s="367"/>
      <c r="S916" s="367"/>
      <c r="T916" s="367"/>
      <c r="U916" s="367"/>
      <c r="V916" s="367"/>
      <c r="W916" s="367"/>
      <c r="X916" s="367"/>
      <c r="Y916" s="367"/>
      <c r="Z916" s="367"/>
      <c r="AA916" s="367"/>
      <c r="AB916" s="367"/>
      <c r="AC916" s="367"/>
      <c r="AD916" s="367"/>
      <c r="AE916" s="367"/>
      <c r="AF916" s="367"/>
    </row>
    <row r="917" ht="15.75" customHeight="1">
      <c r="A917" s="359"/>
      <c r="B917" s="361"/>
      <c r="C917" s="361"/>
      <c r="D917" s="361"/>
      <c r="E917" s="367"/>
      <c r="F917" s="367"/>
      <c r="G917" s="367"/>
      <c r="H917" s="367"/>
      <c r="I917" s="367"/>
      <c r="J917" s="367"/>
      <c r="K917" s="367"/>
      <c r="L917" s="367"/>
      <c r="M917" s="367"/>
      <c r="N917" s="367"/>
      <c r="O917" s="367"/>
      <c r="P917" s="367"/>
      <c r="Q917" s="367"/>
      <c r="R917" s="367"/>
      <c r="S917" s="367"/>
      <c r="T917" s="367"/>
      <c r="U917" s="367"/>
      <c r="V917" s="367"/>
      <c r="W917" s="367"/>
      <c r="X917" s="367"/>
      <c r="Y917" s="367"/>
      <c r="Z917" s="367"/>
      <c r="AA917" s="367"/>
      <c r="AB917" s="367"/>
      <c r="AC917" s="367"/>
      <c r="AD917" s="367"/>
      <c r="AE917" s="367"/>
      <c r="AF917" s="367"/>
    </row>
    <row r="918" ht="15.75" customHeight="1">
      <c r="A918" s="359"/>
      <c r="B918" s="361"/>
      <c r="C918" s="361"/>
      <c r="D918" s="361"/>
      <c r="E918" s="367"/>
      <c r="F918" s="367"/>
      <c r="G918" s="367"/>
      <c r="H918" s="367"/>
      <c r="I918" s="367"/>
      <c r="J918" s="367"/>
      <c r="K918" s="367"/>
      <c r="L918" s="367"/>
      <c r="M918" s="367"/>
      <c r="N918" s="367"/>
      <c r="O918" s="367"/>
      <c r="P918" s="367"/>
      <c r="Q918" s="367"/>
      <c r="R918" s="367"/>
      <c r="S918" s="367"/>
      <c r="T918" s="367"/>
      <c r="U918" s="367"/>
      <c r="V918" s="367"/>
      <c r="W918" s="367"/>
      <c r="X918" s="367"/>
      <c r="Y918" s="367"/>
      <c r="Z918" s="367"/>
      <c r="AA918" s="367"/>
      <c r="AB918" s="367"/>
      <c r="AC918" s="367"/>
      <c r="AD918" s="367"/>
      <c r="AE918" s="367"/>
      <c r="AF918" s="367"/>
    </row>
    <row r="919" ht="15.75" customHeight="1">
      <c r="A919" s="359"/>
      <c r="B919" s="361"/>
      <c r="C919" s="361"/>
      <c r="D919" s="361"/>
      <c r="E919" s="367"/>
      <c r="F919" s="367"/>
      <c r="G919" s="367"/>
      <c r="H919" s="367"/>
      <c r="I919" s="367"/>
      <c r="J919" s="367"/>
      <c r="K919" s="367"/>
      <c r="L919" s="367"/>
      <c r="M919" s="367"/>
      <c r="N919" s="367"/>
      <c r="O919" s="367"/>
      <c r="P919" s="367"/>
      <c r="Q919" s="367"/>
      <c r="R919" s="367"/>
      <c r="S919" s="367"/>
      <c r="T919" s="367"/>
      <c r="U919" s="367"/>
      <c r="V919" s="367"/>
      <c r="W919" s="367"/>
      <c r="X919" s="367"/>
      <c r="Y919" s="367"/>
      <c r="Z919" s="367"/>
      <c r="AA919" s="367"/>
      <c r="AB919" s="367"/>
      <c r="AC919" s="367"/>
      <c r="AD919" s="367"/>
      <c r="AE919" s="367"/>
      <c r="AF919" s="367"/>
    </row>
    <row r="920" ht="15.75" customHeight="1">
      <c r="A920" s="359"/>
      <c r="B920" s="361"/>
      <c r="C920" s="361"/>
      <c r="D920" s="361"/>
      <c r="E920" s="367"/>
      <c r="F920" s="367"/>
      <c r="G920" s="367"/>
      <c r="H920" s="367"/>
      <c r="I920" s="367"/>
      <c r="J920" s="367"/>
      <c r="K920" s="367"/>
      <c r="L920" s="367"/>
      <c r="M920" s="367"/>
      <c r="N920" s="367"/>
      <c r="O920" s="367"/>
      <c r="P920" s="367"/>
      <c r="Q920" s="367"/>
      <c r="R920" s="367"/>
      <c r="S920" s="367"/>
      <c r="T920" s="367"/>
      <c r="U920" s="367"/>
      <c r="V920" s="367"/>
      <c r="W920" s="367"/>
      <c r="X920" s="367"/>
      <c r="Y920" s="367"/>
      <c r="Z920" s="367"/>
      <c r="AA920" s="367"/>
      <c r="AB920" s="367"/>
      <c r="AC920" s="367"/>
      <c r="AD920" s="367"/>
      <c r="AE920" s="367"/>
      <c r="AF920" s="367"/>
    </row>
    <row r="921" ht="15.75" customHeight="1">
      <c r="A921" s="359"/>
      <c r="B921" s="361"/>
      <c r="C921" s="361"/>
      <c r="D921" s="361"/>
      <c r="E921" s="367"/>
      <c r="F921" s="367"/>
      <c r="G921" s="367"/>
      <c r="H921" s="367"/>
      <c r="I921" s="367"/>
      <c r="J921" s="367"/>
      <c r="K921" s="367"/>
      <c r="L921" s="367"/>
      <c r="M921" s="367"/>
      <c r="N921" s="367"/>
      <c r="O921" s="367"/>
      <c r="P921" s="367"/>
      <c r="Q921" s="367"/>
      <c r="R921" s="367"/>
      <c r="S921" s="367"/>
      <c r="T921" s="367"/>
      <c r="U921" s="367"/>
      <c r="V921" s="367"/>
      <c r="W921" s="367"/>
      <c r="X921" s="367"/>
      <c r="Y921" s="367"/>
      <c r="Z921" s="367"/>
      <c r="AA921" s="367"/>
      <c r="AB921" s="367"/>
      <c r="AC921" s="367"/>
      <c r="AD921" s="367"/>
      <c r="AE921" s="367"/>
      <c r="AF921" s="367"/>
    </row>
    <row r="922" ht="15.75" customHeight="1">
      <c r="A922" s="359"/>
      <c r="B922" s="361"/>
      <c r="C922" s="361"/>
      <c r="D922" s="361"/>
      <c r="E922" s="367"/>
      <c r="F922" s="367"/>
      <c r="G922" s="367"/>
      <c r="H922" s="367"/>
      <c r="I922" s="367"/>
      <c r="J922" s="367"/>
      <c r="K922" s="367"/>
      <c r="L922" s="367"/>
      <c r="M922" s="367"/>
      <c r="N922" s="367"/>
      <c r="O922" s="367"/>
      <c r="P922" s="367"/>
      <c r="Q922" s="367"/>
      <c r="R922" s="367"/>
      <c r="S922" s="367"/>
      <c r="T922" s="367"/>
      <c r="U922" s="367"/>
      <c r="V922" s="367"/>
      <c r="W922" s="367"/>
      <c r="X922" s="367"/>
      <c r="Y922" s="367"/>
      <c r="Z922" s="367"/>
      <c r="AA922" s="367"/>
      <c r="AB922" s="367"/>
      <c r="AC922" s="367"/>
      <c r="AD922" s="367"/>
      <c r="AE922" s="367"/>
      <c r="AF922" s="367"/>
    </row>
    <row r="923" ht="15.75" customHeight="1">
      <c r="A923" s="359"/>
      <c r="B923" s="361"/>
      <c r="C923" s="361"/>
      <c r="D923" s="361"/>
      <c r="E923" s="367"/>
      <c r="F923" s="367"/>
      <c r="G923" s="367"/>
      <c r="H923" s="367"/>
      <c r="I923" s="367"/>
      <c r="J923" s="367"/>
      <c r="K923" s="367"/>
      <c r="L923" s="367"/>
      <c r="M923" s="367"/>
      <c r="N923" s="367"/>
      <c r="O923" s="367"/>
      <c r="P923" s="367"/>
      <c r="Q923" s="367"/>
      <c r="R923" s="367"/>
      <c r="S923" s="367"/>
      <c r="T923" s="367"/>
      <c r="U923" s="367"/>
      <c r="V923" s="367"/>
      <c r="W923" s="367"/>
      <c r="X923" s="367"/>
      <c r="Y923" s="367"/>
      <c r="Z923" s="367"/>
      <c r="AA923" s="367"/>
      <c r="AB923" s="367"/>
      <c r="AC923" s="367"/>
      <c r="AD923" s="367"/>
      <c r="AE923" s="367"/>
      <c r="AF923" s="367"/>
    </row>
    <row r="924" ht="15.75" customHeight="1">
      <c r="A924" s="359"/>
      <c r="B924" s="361"/>
      <c r="C924" s="361"/>
      <c r="D924" s="361"/>
      <c r="E924" s="367"/>
      <c r="F924" s="367"/>
      <c r="G924" s="367"/>
      <c r="H924" s="367"/>
      <c r="I924" s="367"/>
      <c r="J924" s="367"/>
      <c r="K924" s="367"/>
      <c r="L924" s="367"/>
      <c r="M924" s="367"/>
      <c r="N924" s="367"/>
      <c r="O924" s="367"/>
      <c r="P924" s="367"/>
      <c r="Q924" s="367"/>
      <c r="R924" s="367"/>
      <c r="S924" s="367"/>
      <c r="T924" s="367"/>
      <c r="U924" s="367"/>
      <c r="V924" s="367"/>
      <c r="W924" s="367"/>
      <c r="X924" s="367"/>
      <c r="Y924" s="367"/>
      <c r="Z924" s="367"/>
      <c r="AA924" s="367"/>
      <c r="AB924" s="367"/>
      <c r="AC924" s="367"/>
      <c r="AD924" s="367"/>
      <c r="AE924" s="367"/>
      <c r="AF924" s="367"/>
    </row>
    <row r="925" ht="15.75" customHeight="1">
      <c r="A925" s="359"/>
      <c r="B925" s="361"/>
      <c r="C925" s="361"/>
      <c r="D925" s="361"/>
      <c r="E925" s="367"/>
      <c r="F925" s="367"/>
      <c r="G925" s="367"/>
      <c r="H925" s="367"/>
      <c r="I925" s="367"/>
      <c r="J925" s="367"/>
      <c r="K925" s="367"/>
      <c r="L925" s="367"/>
      <c r="M925" s="367"/>
      <c r="N925" s="367"/>
      <c r="O925" s="367"/>
      <c r="P925" s="367"/>
      <c r="Q925" s="367"/>
      <c r="R925" s="367"/>
      <c r="S925" s="367"/>
      <c r="T925" s="367"/>
      <c r="U925" s="367"/>
      <c r="V925" s="367"/>
      <c r="W925" s="367"/>
      <c r="X925" s="367"/>
      <c r="Y925" s="367"/>
      <c r="Z925" s="367"/>
      <c r="AA925" s="367"/>
      <c r="AB925" s="367"/>
      <c r="AC925" s="367"/>
      <c r="AD925" s="367"/>
      <c r="AE925" s="367"/>
      <c r="AF925" s="367"/>
    </row>
    <row r="926" ht="15.75" customHeight="1">
      <c r="A926" s="359"/>
      <c r="B926" s="361"/>
      <c r="C926" s="361"/>
      <c r="D926" s="361"/>
      <c r="E926" s="367"/>
      <c r="F926" s="367"/>
      <c r="G926" s="367"/>
      <c r="H926" s="367"/>
      <c r="I926" s="367"/>
      <c r="J926" s="367"/>
      <c r="K926" s="367"/>
      <c r="L926" s="367"/>
      <c r="M926" s="367"/>
      <c r="N926" s="367"/>
      <c r="O926" s="367"/>
      <c r="P926" s="367"/>
      <c r="Q926" s="367"/>
      <c r="R926" s="367"/>
      <c r="S926" s="367"/>
      <c r="T926" s="367"/>
      <c r="U926" s="367"/>
      <c r="V926" s="367"/>
      <c r="W926" s="367"/>
      <c r="X926" s="367"/>
      <c r="Y926" s="367"/>
      <c r="Z926" s="367"/>
      <c r="AA926" s="367"/>
      <c r="AB926" s="367"/>
      <c r="AC926" s="367"/>
      <c r="AD926" s="367"/>
      <c r="AE926" s="367"/>
      <c r="AF926" s="367"/>
    </row>
    <row r="927" ht="15.75" customHeight="1">
      <c r="A927" s="359"/>
      <c r="B927" s="361"/>
      <c r="C927" s="361"/>
      <c r="D927" s="361"/>
      <c r="E927" s="367"/>
      <c r="F927" s="367"/>
      <c r="G927" s="367"/>
      <c r="H927" s="367"/>
      <c r="I927" s="367"/>
      <c r="J927" s="367"/>
      <c r="K927" s="367"/>
      <c r="L927" s="367"/>
      <c r="M927" s="367"/>
      <c r="N927" s="367"/>
      <c r="O927" s="367"/>
      <c r="P927" s="367"/>
      <c r="Q927" s="367"/>
      <c r="R927" s="367"/>
      <c r="S927" s="367"/>
      <c r="T927" s="367"/>
      <c r="U927" s="367"/>
      <c r="V927" s="367"/>
      <c r="W927" s="367"/>
      <c r="X927" s="367"/>
      <c r="Y927" s="367"/>
      <c r="Z927" s="367"/>
      <c r="AA927" s="367"/>
      <c r="AB927" s="367"/>
      <c r="AC927" s="367"/>
      <c r="AD927" s="367"/>
      <c r="AE927" s="367"/>
      <c r="AF927" s="367"/>
    </row>
    <row r="928" ht="15.75" customHeight="1">
      <c r="A928" s="359"/>
      <c r="B928" s="361"/>
      <c r="C928" s="361"/>
      <c r="D928" s="361"/>
      <c r="E928" s="367"/>
      <c r="F928" s="367"/>
      <c r="G928" s="367"/>
      <c r="H928" s="367"/>
      <c r="I928" s="367"/>
      <c r="J928" s="367"/>
      <c r="K928" s="367"/>
      <c r="L928" s="367"/>
      <c r="M928" s="367"/>
      <c r="N928" s="367"/>
      <c r="O928" s="367"/>
      <c r="P928" s="367"/>
      <c r="Q928" s="367"/>
      <c r="R928" s="367"/>
      <c r="S928" s="367"/>
      <c r="T928" s="367"/>
      <c r="U928" s="367"/>
      <c r="V928" s="367"/>
      <c r="W928" s="367"/>
      <c r="X928" s="367"/>
      <c r="Y928" s="367"/>
      <c r="Z928" s="367"/>
      <c r="AA928" s="367"/>
      <c r="AB928" s="367"/>
      <c r="AC928" s="367"/>
      <c r="AD928" s="367"/>
      <c r="AE928" s="367"/>
      <c r="AF928" s="367"/>
    </row>
    <row r="929" ht="15.75" customHeight="1">
      <c r="A929" s="359"/>
      <c r="B929" s="361"/>
      <c r="C929" s="361"/>
      <c r="D929" s="361"/>
      <c r="E929" s="367"/>
      <c r="F929" s="367"/>
      <c r="G929" s="367"/>
      <c r="H929" s="367"/>
      <c r="I929" s="367"/>
      <c r="J929" s="367"/>
      <c r="K929" s="367"/>
      <c r="L929" s="367"/>
      <c r="M929" s="367"/>
      <c r="N929" s="367"/>
      <c r="O929" s="367"/>
      <c r="P929" s="367"/>
      <c r="Q929" s="367"/>
      <c r="R929" s="367"/>
      <c r="S929" s="367"/>
      <c r="T929" s="367"/>
      <c r="U929" s="367"/>
      <c r="V929" s="367"/>
      <c r="W929" s="367"/>
      <c r="X929" s="367"/>
      <c r="Y929" s="367"/>
      <c r="Z929" s="367"/>
      <c r="AA929" s="367"/>
      <c r="AB929" s="367"/>
      <c r="AC929" s="367"/>
      <c r="AD929" s="367"/>
      <c r="AE929" s="367"/>
      <c r="AF929" s="367"/>
    </row>
    <row r="930" ht="15.75" customHeight="1">
      <c r="A930" s="359"/>
      <c r="B930" s="361"/>
      <c r="C930" s="361"/>
      <c r="D930" s="361"/>
      <c r="E930" s="367"/>
      <c r="F930" s="367"/>
      <c r="G930" s="367"/>
      <c r="H930" s="367"/>
      <c r="I930" s="367"/>
      <c r="J930" s="367"/>
      <c r="K930" s="367"/>
      <c r="L930" s="367"/>
      <c r="M930" s="367"/>
      <c r="N930" s="367"/>
      <c r="O930" s="367"/>
      <c r="P930" s="367"/>
      <c r="Q930" s="367"/>
      <c r="R930" s="367"/>
      <c r="S930" s="367"/>
      <c r="T930" s="367"/>
      <c r="U930" s="367"/>
      <c r="V930" s="367"/>
      <c r="W930" s="367"/>
      <c r="X930" s="367"/>
      <c r="Y930" s="367"/>
      <c r="Z930" s="367"/>
      <c r="AA930" s="367"/>
      <c r="AB930" s="367"/>
      <c r="AC930" s="367"/>
      <c r="AD930" s="367"/>
      <c r="AE930" s="367"/>
      <c r="AF930" s="367"/>
    </row>
    <row r="931" ht="15.75" customHeight="1">
      <c r="A931" s="359"/>
      <c r="B931" s="361"/>
      <c r="C931" s="361"/>
      <c r="D931" s="361"/>
      <c r="E931" s="367"/>
      <c r="F931" s="367"/>
      <c r="G931" s="367"/>
      <c r="H931" s="367"/>
      <c r="I931" s="367"/>
      <c r="J931" s="367"/>
      <c r="K931" s="367"/>
      <c r="L931" s="367"/>
      <c r="M931" s="367"/>
      <c r="N931" s="367"/>
      <c r="O931" s="367"/>
      <c r="P931" s="367"/>
      <c r="Q931" s="367"/>
      <c r="R931" s="367"/>
      <c r="S931" s="367"/>
      <c r="T931" s="367"/>
      <c r="U931" s="367"/>
      <c r="V931" s="367"/>
      <c r="W931" s="367"/>
      <c r="X931" s="367"/>
      <c r="Y931" s="367"/>
      <c r="Z931" s="367"/>
      <c r="AA931" s="367"/>
      <c r="AB931" s="367"/>
      <c r="AC931" s="367"/>
      <c r="AD931" s="367"/>
      <c r="AE931" s="367"/>
      <c r="AF931" s="367"/>
    </row>
    <row r="932" ht="15.75" customHeight="1">
      <c r="A932" s="359"/>
      <c r="B932" s="361"/>
      <c r="C932" s="361"/>
      <c r="D932" s="361"/>
      <c r="E932" s="367"/>
      <c r="F932" s="367"/>
      <c r="G932" s="367"/>
      <c r="H932" s="367"/>
      <c r="I932" s="367"/>
      <c r="J932" s="367"/>
      <c r="K932" s="367"/>
      <c r="L932" s="367"/>
      <c r="M932" s="367"/>
      <c r="N932" s="367"/>
      <c r="O932" s="367"/>
      <c r="P932" s="367"/>
      <c r="Q932" s="367"/>
      <c r="R932" s="367"/>
      <c r="S932" s="367"/>
      <c r="T932" s="367"/>
      <c r="U932" s="367"/>
      <c r="V932" s="367"/>
      <c r="W932" s="367"/>
      <c r="X932" s="367"/>
      <c r="Y932" s="367"/>
      <c r="Z932" s="367"/>
      <c r="AA932" s="367"/>
      <c r="AB932" s="367"/>
      <c r="AC932" s="367"/>
      <c r="AD932" s="367"/>
      <c r="AE932" s="367"/>
      <c r="AF932" s="367"/>
    </row>
    <row r="933" ht="15.75" customHeight="1">
      <c r="A933" s="359"/>
      <c r="B933" s="361"/>
      <c r="C933" s="361"/>
      <c r="D933" s="361"/>
      <c r="E933" s="367"/>
      <c r="F933" s="367"/>
      <c r="G933" s="367"/>
      <c r="H933" s="367"/>
      <c r="I933" s="367"/>
      <c r="J933" s="367"/>
      <c r="K933" s="367"/>
      <c r="L933" s="367"/>
      <c r="M933" s="367"/>
      <c r="N933" s="367"/>
      <c r="O933" s="367"/>
      <c r="P933" s="367"/>
      <c r="Q933" s="367"/>
      <c r="R933" s="367"/>
      <c r="S933" s="367"/>
      <c r="T933" s="367"/>
      <c r="U933" s="367"/>
      <c r="V933" s="367"/>
      <c r="W933" s="367"/>
      <c r="X933" s="367"/>
      <c r="Y933" s="367"/>
      <c r="Z933" s="367"/>
      <c r="AA933" s="367"/>
      <c r="AB933" s="367"/>
      <c r="AC933" s="367"/>
      <c r="AD933" s="367"/>
      <c r="AE933" s="367"/>
      <c r="AF933" s="367"/>
    </row>
    <row r="934" ht="15.75" customHeight="1">
      <c r="A934" s="359"/>
      <c r="B934" s="361"/>
      <c r="C934" s="361"/>
      <c r="D934" s="361"/>
      <c r="E934" s="367"/>
      <c r="F934" s="367"/>
      <c r="G934" s="367"/>
      <c r="H934" s="367"/>
      <c r="I934" s="367"/>
      <c r="J934" s="367"/>
      <c r="K934" s="367"/>
      <c r="L934" s="367"/>
      <c r="M934" s="367"/>
      <c r="N934" s="367"/>
      <c r="O934" s="367"/>
      <c r="P934" s="367"/>
      <c r="Q934" s="367"/>
      <c r="R934" s="367"/>
      <c r="S934" s="367"/>
      <c r="T934" s="367"/>
      <c r="U934" s="367"/>
      <c r="V934" s="367"/>
      <c r="W934" s="367"/>
      <c r="X934" s="367"/>
      <c r="Y934" s="367"/>
      <c r="Z934" s="367"/>
      <c r="AA934" s="367"/>
      <c r="AB934" s="367"/>
      <c r="AC934" s="367"/>
      <c r="AD934" s="367"/>
      <c r="AE934" s="367"/>
      <c r="AF934" s="367"/>
    </row>
    <row r="935" ht="15.75" customHeight="1">
      <c r="A935" s="359"/>
      <c r="B935" s="361"/>
      <c r="C935" s="361"/>
      <c r="D935" s="361"/>
      <c r="E935" s="367"/>
      <c r="F935" s="367"/>
      <c r="G935" s="367"/>
      <c r="H935" s="367"/>
      <c r="I935" s="367"/>
      <c r="J935" s="367"/>
      <c r="K935" s="367"/>
      <c r="L935" s="367"/>
      <c r="M935" s="367"/>
      <c r="N935" s="367"/>
      <c r="O935" s="367"/>
      <c r="P935" s="367"/>
      <c r="Q935" s="367"/>
      <c r="R935" s="367"/>
      <c r="S935" s="367"/>
      <c r="T935" s="367"/>
      <c r="U935" s="367"/>
      <c r="V935" s="367"/>
      <c r="W935" s="367"/>
      <c r="X935" s="367"/>
      <c r="Y935" s="367"/>
      <c r="Z935" s="367"/>
      <c r="AA935" s="367"/>
      <c r="AB935" s="367"/>
      <c r="AC935" s="367"/>
      <c r="AD935" s="367"/>
      <c r="AE935" s="367"/>
      <c r="AF935" s="367"/>
    </row>
    <row r="936" ht="15.75" customHeight="1">
      <c r="A936" s="359"/>
      <c r="B936" s="361"/>
      <c r="C936" s="361"/>
      <c r="D936" s="361"/>
      <c r="E936" s="367"/>
      <c r="F936" s="367"/>
      <c r="G936" s="367"/>
      <c r="H936" s="367"/>
      <c r="I936" s="367"/>
      <c r="J936" s="367"/>
      <c r="K936" s="367"/>
      <c r="L936" s="367"/>
      <c r="M936" s="367"/>
      <c r="N936" s="367"/>
      <c r="O936" s="367"/>
      <c r="P936" s="367"/>
      <c r="Q936" s="367"/>
      <c r="R936" s="367"/>
      <c r="S936" s="367"/>
      <c r="T936" s="367"/>
      <c r="U936" s="367"/>
      <c r="V936" s="367"/>
      <c r="W936" s="367"/>
      <c r="X936" s="367"/>
      <c r="Y936" s="367"/>
      <c r="Z936" s="367"/>
      <c r="AA936" s="367"/>
      <c r="AB936" s="367"/>
      <c r="AC936" s="367"/>
      <c r="AD936" s="367"/>
      <c r="AE936" s="367"/>
      <c r="AF936" s="367"/>
    </row>
    <row r="937" ht="15.75" customHeight="1">
      <c r="A937" s="359"/>
      <c r="B937" s="361"/>
      <c r="C937" s="361"/>
      <c r="D937" s="361"/>
      <c r="E937" s="367"/>
      <c r="F937" s="367"/>
      <c r="G937" s="367"/>
      <c r="H937" s="367"/>
      <c r="I937" s="367"/>
      <c r="J937" s="367"/>
      <c r="K937" s="367"/>
      <c r="L937" s="367"/>
      <c r="M937" s="367"/>
      <c r="N937" s="367"/>
      <c r="O937" s="367"/>
      <c r="P937" s="367"/>
      <c r="Q937" s="367"/>
      <c r="R937" s="367"/>
      <c r="S937" s="367"/>
      <c r="T937" s="367"/>
      <c r="U937" s="367"/>
      <c r="V937" s="367"/>
      <c r="W937" s="367"/>
      <c r="X937" s="367"/>
      <c r="Y937" s="367"/>
      <c r="Z937" s="367"/>
      <c r="AA937" s="367"/>
      <c r="AB937" s="367"/>
      <c r="AC937" s="367"/>
      <c r="AD937" s="367"/>
      <c r="AE937" s="367"/>
      <c r="AF937" s="367"/>
    </row>
    <row r="938" ht="15.75" customHeight="1">
      <c r="A938" s="359"/>
      <c r="B938" s="361"/>
      <c r="C938" s="361"/>
      <c r="D938" s="361"/>
      <c r="E938" s="367"/>
      <c r="F938" s="367"/>
      <c r="G938" s="367"/>
      <c r="H938" s="367"/>
      <c r="I938" s="367"/>
      <c r="J938" s="367"/>
      <c r="K938" s="367"/>
      <c r="L938" s="367"/>
      <c r="M938" s="367"/>
      <c r="N938" s="367"/>
      <c r="O938" s="367"/>
      <c r="P938" s="367"/>
      <c r="Q938" s="367"/>
      <c r="R938" s="367"/>
      <c r="S938" s="367"/>
      <c r="T938" s="367"/>
      <c r="U938" s="367"/>
      <c r="V938" s="367"/>
      <c r="W938" s="367"/>
      <c r="X938" s="367"/>
      <c r="Y938" s="367"/>
      <c r="Z938" s="367"/>
      <c r="AA938" s="367"/>
      <c r="AB938" s="367"/>
      <c r="AC938" s="367"/>
      <c r="AD938" s="367"/>
      <c r="AE938" s="367"/>
      <c r="AF938" s="367"/>
    </row>
    <row r="939" ht="15.75" customHeight="1">
      <c r="A939" s="359"/>
      <c r="B939" s="361"/>
      <c r="C939" s="361"/>
      <c r="D939" s="361"/>
      <c r="E939" s="367"/>
      <c r="F939" s="367"/>
      <c r="G939" s="367"/>
      <c r="H939" s="367"/>
      <c r="I939" s="367"/>
      <c r="J939" s="367"/>
      <c r="K939" s="367"/>
      <c r="L939" s="367"/>
      <c r="M939" s="367"/>
      <c r="N939" s="367"/>
      <c r="O939" s="367"/>
      <c r="P939" s="367"/>
      <c r="Q939" s="367"/>
      <c r="R939" s="367"/>
      <c r="S939" s="367"/>
      <c r="T939" s="367"/>
      <c r="U939" s="367"/>
      <c r="V939" s="367"/>
      <c r="W939" s="367"/>
      <c r="X939" s="367"/>
      <c r="Y939" s="367"/>
      <c r="Z939" s="367"/>
      <c r="AA939" s="367"/>
      <c r="AB939" s="367"/>
      <c r="AC939" s="367"/>
      <c r="AD939" s="367"/>
      <c r="AE939" s="367"/>
      <c r="AF939" s="367"/>
    </row>
    <row r="940" ht="15.75" customHeight="1">
      <c r="A940" s="359"/>
      <c r="B940" s="361"/>
      <c r="C940" s="361"/>
      <c r="D940" s="361"/>
      <c r="E940" s="367"/>
      <c r="F940" s="367"/>
      <c r="G940" s="367"/>
      <c r="H940" s="367"/>
      <c r="I940" s="367"/>
      <c r="J940" s="367"/>
      <c r="K940" s="367"/>
      <c r="L940" s="367"/>
      <c r="M940" s="367"/>
      <c r="N940" s="367"/>
      <c r="O940" s="367"/>
      <c r="P940" s="367"/>
      <c r="Q940" s="367"/>
      <c r="R940" s="367"/>
      <c r="S940" s="367"/>
      <c r="T940" s="367"/>
      <c r="U940" s="367"/>
      <c r="V940" s="367"/>
      <c r="W940" s="367"/>
      <c r="X940" s="367"/>
      <c r="Y940" s="367"/>
      <c r="Z940" s="367"/>
      <c r="AA940" s="367"/>
      <c r="AB940" s="367"/>
      <c r="AC940" s="367"/>
      <c r="AD940" s="367"/>
      <c r="AE940" s="367"/>
      <c r="AF940" s="367"/>
    </row>
    <row r="941" ht="15.75" customHeight="1">
      <c r="A941" s="359"/>
      <c r="B941" s="361"/>
      <c r="C941" s="361"/>
      <c r="D941" s="361"/>
      <c r="E941" s="367"/>
      <c r="F941" s="367"/>
      <c r="G941" s="367"/>
      <c r="H941" s="367"/>
      <c r="I941" s="367"/>
      <c r="J941" s="367"/>
      <c r="K941" s="367"/>
      <c r="L941" s="367"/>
      <c r="M941" s="367"/>
      <c r="N941" s="367"/>
      <c r="O941" s="367"/>
      <c r="P941" s="367"/>
      <c r="Q941" s="367"/>
      <c r="R941" s="367"/>
      <c r="S941" s="367"/>
      <c r="T941" s="367"/>
      <c r="U941" s="367"/>
      <c r="V941" s="367"/>
      <c r="W941" s="367"/>
      <c r="X941" s="367"/>
      <c r="Y941" s="367"/>
      <c r="Z941" s="367"/>
      <c r="AA941" s="367"/>
      <c r="AB941" s="367"/>
      <c r="AC941" s="367"/>
      <c r="AD941" s="367"/>
      <c r="AE941" s="367"/>
      <c r="AF941" s="367"/>
    </row>
    <row r="942" ht="15.75" customHeight="1">
      <c r="A942" s="359"/>
      <c r="B942" s="361"/>
      <c r="C942" s="361"/>
      <c r="D942" s="361"/>
      <c r="E942" s="367"/>
      <c r="F942" s="367"/>
      <c r="G942" s="367"/>
      <c r="H942" s="367"/>
      <c r="I942" s="367"/>
      <c r="J942" s="367"/>
      <c r="K942" s="367"/>
      <c r="L942" s="367"/>
      <c r="M942" s="367"/>
      <c r="N942" s="367"/>
      <c r="O942" s="367"/>
      <c r="P942" s="367"/>
      <c r="Q942" s="367"/>
      <c r="R942" s="367"/>
      <c r="S942" s="367"/>
      <c r="T942" s="367"/>
      <c r="U942" s="367"/>
      <c r="V942" s="367"/>
      <c r="W942" s="367"/>
      <c r="X942" s="367"/>
      <c r="Y942" s="367"/>
      <c r="Z942" s="367"/>
      <c r="AA942" s="367"/>
      <c r="AB942" s="367"/>
      <c r="AC942" s="367"/>
      <c r="AD942" s="367"/>
      <c r="AE942" s="367"/>
      <c r="AF942" s="367"/>
    </row>
    <row r="943" ht="15.75" customHeight="1">
      <c r="A943" s="359"/>
      <c r="B943" s="361"/>
      <c r="C943" s="361"/>
      <c r="D943" s="361"/>
      <c r="E943" s="367"/>
      <c r="F943" s="367"/>
      <c r="G943" s="367"/>
      <c r="H943" s="367"/>
      <c r="I943" s="367"/>
      <c r="J943" s="367"/>
      <c r="K943" s="367"/>
      <c r="L943" s="367"/>
      <c r="M943" s="367"/>
      <c r="N943" s="367"/>
      <c r="O943" s="367"/>
      <c r="P943" s="367"/>
      <c r="Q943" s="367"/>
      <c r="R943" s="367"/>
      <c r="S943" s="367"/>
      <c r="T943" s="367"/>
      <c r="U943" s="367"/>
      <c r="V943" s="367"/>
      <c r="W943" s="367"/>
      <c r="X943" s="367"/>
      <c r="Y943" s="367"/>
      <c r="Z943" s="367"/>
      <c r="AA943" s="367"/>
      <c r="AB943" s="367"/>
      <c r="AC943" s="367"/>
      <c r="AD943" s="367"/>
      <c r="AE943" s="367"/>
      <c r="AF943" s="367"/>
    </row>
    <row r="944" ht="15.75" customHeight="1">
      <c r="A944" s="359"/>
      <c r="B944" s="361"/>
      <c r="C944" s="361"/>
      <c r="D944" s="361"/>
      <c r="E944" s="367"/>
      <c r="F944" s="367"/>
      <c r="G944" s="367"/>
      <c r="H944" s="367"/>
      <c r="I944" s="367"/>
      <c r="J944" s="367"/>
      <c r="K944" s="367"/>
      <c r="L944" s="367"/>
      <c r="M944" s="367"/>
      <c r="N944" s="367"/>
      <c r="O944" s="367"/>
      <c r="P944" s="367"/>
      <c r="Q944" s="367"/>
      <c r="R944" s="367"/>
      <c r="S944" s="367"/>
      <c r="T944" s="367"/>
      <c r="U944" s="367"/>
      <c r="V944" s="367"/>
      <c r="W944" s="367"/>
      <c r="X944" s="367"/>
      <c r="Y944" s="367"/>
      <c r="Z944" s="367"/>
      <c r="AA944" s="367"/>
      <c r="AB944" s="367"/>
      <c r="AC944" s="367"/>
      <c r="AD944" s="367"/>
      <c r="AE944" s="367"/>
      <c r="AF944" s="367"/>
    </row>
    <row r="945" ht="15.75" customHeight="1">
      <c r="A945" s="359"/>
      <c r="B945" s="361"/>
      <c r="C945" s="361"/>
      <c r="D945" s="361"/>
      <c r="E945" s="367"/>
      <c r="F945" s="367"/>
      <c r="G945" s="367"/>
      <c r="H945" s="367"/>
      <c r="I945" s="367"/>
      <c r="J945" s="367"/>
      <c r="K945" s="367"/>
      <c r="L945" s="367"/>
      <c r="M945" s="367"/>
      <c r="N945" s="367"/>
      <c r="O945" s="367"/>
      <c r="P945" s="367"/>
      <c r="Q945" s="367"/>
      <c r="R945" s="367"/>
      <c r="S945" s="367"/>
      <c r="T945" s="367"/>
      <c r="U945" s="367"/>
      <c r="V945" s="367"/>
      <c r="W945" s="367"/>
      <c r="X945" s="367"/>
      <c r="Y945" s="367"/>
      <c r="Z945" s="367"/>
      <c r="AA945" s="367"/>
      <c r="AB945" s="367"/>
      <c r="AC945" s="367"/>
      <c r="AD945" s="367"/>
      <c r="AE945" s="367"/>
      <c r="AF945" s="367"/>
    </row>
    <row r="946" ht="15.75" customHeight="1">
      <c r="A946" s="359"/>
      <c r="B946" s="361"/>
      <c r="C946" s="361"/>
      <c r="D946" s="361"/>
      <c r="E946" s="367"/>
      <c r="F946" s="367"/>
      <c r="G946" s="367"/>
      <c r="H946" s="367"/>
      <c r="I946" s="367"/>
      <c r="J946" s="367"/>
      <c r="K946" s="367"/>
      <c r="L946" s="367"/>
      <c r="M946" s="367"/>
      <c r="N946" s="367"/>
      <c r="O946" s="367"/>
      <c r="P946" s="367"/>
      <c r="Q946" s="367"/>
      <c r="R946" s="367"/>
      <c r="S946" s="367"/>
      <c r="T946" s="367"/>
      <c r="U946" s="367"/>
      <c r="V946" s="367"/>
      <c r="W946" s="367"/>
      <c r="X946" s="367"/>
      <c r="Y946" s="367"/>
      <c r="Z946" s="367"/>
      <c r="AA946" s="367"/>
      <c r="AB946" s="367"/>
      <c r="AC946" s="367"/>
      <c r="AD946" s="367"/>
      <c r="AE946" s="367"/>
      <c r="AF946" s="367"/>
    </row>
    <row r="947" ht="15.75" customHeight="1">
      <c r="A947" s="359"/>
      <c r="B947" s="361"/>
      <c r="C947" s="361"/>
      <c r="D947" s="361"/>
      <c r="E947" s="367"/>
      <c r="F947" s="367"/>
      <c r="G947" s="367"/>
      <c r="H947" s="367"/>
      <c r="I947" s="367"/>
      <c r="J947" s="367"/>
      <c r="K947" s="367"/>
      <c r="L947" s="367"/>
      <c r="M947" s="367"/>
      <c r="N947" s="367"/>
      <c r="O947" s="367"/>
      <c r="P947" s="367"/>
      <c r="Q947" s="367"/>
      <c r="R947" s="367"/>
      <c r="S947" s="367"/>
      <c r="T947" s="367"/>
      <c r="U947" s="367"/>
      <c r="V947" s="367"/>
      <c r="W947" s="367"/>
      <c r="X947" s="367"/>
      <c r="Y947" s="367"/>
      <c r="Z947" s="367"/>
      <c r="AA947" s="367"/>
      <c r="AB947" s="367"/>
      <c r="AC947" s="367"/>
      <c r="AD947" s="367"/>
      <c r="AE947" s="367"/>
      <c r="AF947" s="367"/>
    </row>
    <row r="948" ht="15.75" customHeight="1">
      <c r="A948" s="359"/>
      <c r="B948" s="361"/>
      <c r="C948" s="361"/>
      <c r="D948" s="361"/>
      <c r="E948" s="367"/>
      <c r="F948" s="367"/>
      <c r="G948" s="367"/>
      <c r="H948" s="367"/>
      <c r="I948" s="367"/>
      <c r="J948" s="367"/>
      <c r="K948" s="367"/>
      <c r="L948" s="367"/>
      <c r="M948" s="367"/>
      <c r="N948" s="367"/>
      <c r="O948" s="367"/>
      <c r="P948" s="367"/>
      <c r="Q948" s="367"/>
      <c r="R948" s="367"/>
      <c r="S948" s="367"/>
      <c r="T948" s="367"/>
      <c r="U948" s="367"/>
      <c r="V948" s="367"/>
      <c r="W948" s="367"/>
      <c r="X948" s="367"/>
      <c r="Y948" s="367"/>
      <c r="Z948" s="367"/>
      <c r="AA948" s="367"/>
      <c r="AB948" s="367"/>
      <c r="AC948" s="367"/>
      <c r="AD948" s="367"/>
      <c r="AE948" s="367"/>
      <c r="AF948" s="367"/>
    </row>
    <row r="949" ht="15.75" customHeight="1">
      <c r="A949" s="359"/>
      <c r="B949" s="361"/>
      <c r="C949" s="361"/>
      <c r="D949" s="361"/>
      <c r="E949" s="367"/>
      <c r="F949" s="367"/>
      <c r="G949" s="367"/>
      <c r="H949" s="367"/>
      <c r="I949" s="367"/>
      <c r="J949" s="367"/>
      <c r="K949" s="367"/>
      <c r="L949" s="367"/>
      <c r="M949" s="367"/>
      <c r="N949" s="367"/>
      <c r="O949" s="367"/>
      <c r="P949" s="367"/>
      <c r="Q949" s="367"/>
      <c r="R949" s="367"/>
      <c r="S949" s="367"/>
      <c r="T949" s="367"/>
      <c r="U949" s="367"/>
      <c r="V949" s="367"/>
      <c r="W949" s="367"/>
      <c r="X949" s="367"/>
      <c r="Y949" s="367"/>
      <c r="Z949" s="367"/>
      <c r="AA949" s="367"/>
      <c r="AB949" s="367"/>
      <c r="AC949" s="367"/>
      <c r="AD949" s="367"/>
      <c r="AE949" s="367"/>
      <c r="AF949" s="367"/>
    </row>
    <row r="950" ht="15.75" customHeight="1">
      <c r="A950" s="359"/>
      <c r="B950" s="361"/>
      <c r="C950" s="361"/>
      <c r="D950" s="361"/>
      <c r="E950" s="367"/>
      <c r="F950" s="367"/>
      <c r="G950" s="367"/>
      <c r="H950" s="367"/>
      <c r="I950" s="367"/>
      <c r="J950" s="367"/>
      <c r="K950" s="367"/>
      <c r="L950" s="367"/>
      <c r="M950" s="367"/>
      <c r="N950" s="367"/>
      <c r="O950" s="367"/>
      <c r="P950" s="367"/>
      <c r="Q950" s="367"/>
      <c r="R950" s="367"/>
      <c r="S950" s="367"/>
      <c r="T950" s="367"/>
      <c r="U950" s="367"/>
      <c r="V950" s="367"/>
      <c r="W950" s="367"/>
      <c r="X950" s="367"/>
      <c r="Y950" s="367"/>
      <c r="Z950" s="367"/>
      <c r="AA950" s="367"/>
      <c r="AB950" s="367"/>
      <c r="AC950" s="367"/>
      <c r="AD950" s="367"/>
      <c r="AE950" s="367"/>
      <c r="AF950" s="367"/>
    </row>
    <row r="951" ht="15.75" customHeight="1">
      <c r="A951" s="359"/>
      <c r="B951" s="361"/>
      <c r="C951" s="361"/>
      <c r="D951" s="361"/>
      <c r="E951" s="367"/>
      <c r="F951" s="367"/>
      <c r="G951" s="367"/>
      <c r="H951" s="367"/>
      <c r="I951" s="367"/>
      <c r="J951" s="367"/>
      <c r="K951" s="367"/>
      <c r="L951" s="367"/>
      <c r="M951" s="367"/>
      <c r="N951" s="367"/>
      <c r="O951" s="367"/>
      <c r="P951" s="367"/>
      <c r="Q951" s="367"/>
      <c r="R951" s="367"/>
      <c r="S951" s="367"/>
      <c r="T951" s="367"/>
      <c r="U951" s="367"/>
      <c r="V951" s="367"/>
      <c r="W951" s="367"/>
      <c r="X951" s="367"/>
      <c r="Y951" s="367"/>
      <c r="Z951" s="367"/>
      <c r="AA951" s="367"/>
      <c r="AB951" s="367"/>
      <c r="AC951" s="367"/>
      <c r="AD951" s="367"/>
      <c r="AE951" s="367"/>
      <c r="AF951" s="367"/>
    </row>
    <row r="952" ht="15.75" customHeight="1">
      <c r="A952" s="359"/>
      <c r="B952" s="361"/>
      <c r="C952" s="361"/>
      <c r="D952" s="361"/>
      <c r="E952" s="367"/>
      <c r="F952" s="367"/>
      <c r="G952" s="367"/>
      <c r="H952" s="367"/>
      <c r="I952" s="367"/>
      <c r="J952" s="367"/>
      <c r="K952" s="367"/>
      <c r="L952" s="367"/>
      <c r="M952" s="367"/>
      <c r="N952" s="367"/>
      <c r="O952" s="367"/>
      <c r="P952" s="367"/>
      <c r="Q952" s="367"/>
      <c r="R952" s="367"/>
      <c r="S952" s="367"/>
      <c r="T952" s="367"/>
      <c r="U952" s="367"/>
      <c r="V952" s="367"/>
      <c r="W952" s="367"/>
      <c r="X952" s="367"/>
      <c r="Y952" s="367"/>
      <c r="Z952" s="367"/>
      <c r="AA952" s="367"/>
      <c r="AB952" s="367"/>
      <c r="AC952" s="367"/>
      <c r="AD952" s="367"/>
      <c r="AE952" s="367"/>
      <c r="AF952" s="367"/>
    </row>
    <row r="953" ht="15.75" customHeight="1">
      <c r="A953" s="359"/>
      <c r="B953" s="361"/>
      <c r="C953" s="361"/>
      <c r="D953" s="361"/>
      <c r="E953" s="367"/>
      <c r="F953" s="367"/>
      <c r="G953" s="367"/>
      <c r="H953" s="367"/>
      <c r="I953" s="367"/>
      <c r="J953" s="367"/>
      <c r="K953" s="367"/>
      <c r="L953" s="367"/>
      <c r="M953" s="367"/>
      <c r="N953" s="367"/>
      <c r="O953" s="367"/>
      <c r="P953" s="367"/>
      <c r="Q953" s="367"/>
      <c r="R953" s="367"/>
      <c r="S953" s="367"/>
      <c r="T953" s="367"/>
      <c r="U953" s="367"/>
      <c r="V953" s="367"/>
      <c r="W953" s="367"/>
      <c r="X953" s="367"/>
      <c r="Y953" s="367"/>
      <c r="Z953" s="367"/>
      <c r="AA953" s="367"/>
      <c r="AB953" s="367"/>
      <c r="AC953" s="367"/>
      <c r="AD953" s="367"/>
      <c r="AE953" s="367"/>
      <c r="AF953" s="367"/>
    </row>
    <row r="954" ht="15.75" customHeight="1">
      <c r="A954" s="359"/>
      <c r="B954" s="361"/>
      <c r="C954" s="361"/>
      <c r="D954" s="361"/>
      <c r="E954" s="367"/>
      <c r="F954" s="367"/>
      <c r="G954" s="367"/>
      <c r="H954" s="367"/>
      <c r="I954" s="367"/>
      <c r="J954" s="367"/>
      <c r="K954" s="367"/>
      <c r="L954" s="367"/>
      <c r="M954" s="367"/>
      <c r="N954" s="367"/>
      <c r="O954" s="367"/>
      <c r="P954" s="367"/>
      <c r="Q954" s="367"/>
      <c r="R954" s="367"/>
      <c r="S954" s="367"/>
      <c r="T954" s="367"/>
      <c r="U954" s="367"/>
      <c r="V954" s="367"/>
      <c r="W954" s="367"/>
      <c r="X954" s="367"/>
      <c r="Y954" s="367"/>
      <c r="Z954" s="367"/>
      <c r="AA954" s="367"/>
      <c r="AB954" s="367"/>
      <c r="AC954" s="367"/>
      <c r="AD954" s="367"/>
      <c r="AE954" s="367"/>
      <c r="AF954" s="367"/>
    </row>
    <row r="955" ht="15.75" customHeight="1">
      <c r="A955" s="359"/>
      <c r="B955" s="361"/>
      <c r="C955" s="361"/>
      <c r="D955" s="361"/>
      <c r="E955" s="367"/>
      <c r="F955" s="367"/>
      <c r="G955" s="367"/>
      <c r="H955" s="367"/>
      <c r="I955" s="367"/>
      <c r="J955" s="367"/>
      <c r="K955" s="367"/>
      <c r="L955" s="367"/>
      <c r="M955" s="367"/>
      <c r="N955" s="367"/>
      <c r="O955" s="367"/>
      <c r="P955" s="367"/>
      <c r="Q955" s="367"/>
      <c r="R955" s="367"/>
      <c r="S955" s="367"/>
      <c r="T955" s="367"/>
      <c r="U955" s="367"/>
      <c r="V955" s="367"/>
      <c r="W955" s="367"/>
      <c r="X955" s="367"/>
      <c r="Y955" s="367"/>
      <c r="Z955" s="367"/>
      <c r="AA955" s="367"/>
      <c r="AB955" s="367"/>
      <c r="AC955" s="367"/>
      <c r="AD955" s="367"/>
      <c r="AE955" s="367"/>
      <c r="AF955" s="367"/>
    </row>
    <row r="956" ht="15.75" customHeight="1">
      <c r="A956" s="359"/>
      <c r="B956" s="361"/>
      <c r="C956" s="361"/>
      <c r="D956" s="361"/>
      <c r="E956" s="367"/>
      <c r="F956" s="367"/>
      <c r="G956" s="367"/>
      <c r="H956" s="367"/>
      <c r="I956" s="367"/>
      <c r="J956" s="367"/>
      <c r="K956" s="367"/>
      <c r="L956" s="367"/>
      <c r="M956" s="367"/>
      <c r="N956" s="367"/>
      <c r="O956" s="367"/>
      <c r="P956" s="367"/>
      <c r="Q956" s="367"/>
      <c r="R956" s="367"/>
      <c r="S956" s="367"/>
      <c r="T956" s="367"/>
      <c r="U956" s="367"/>
      <c r="V956" s="367"/>
      <c r="W956" s="367"/>
      <c r="X956" s="367"/>
      <c r="Y956" s="367"/>
      <c r="Z956" s="367"/>
      <c r="AA956" s="367"/>
      <c r="AB956" s="367"/>
      <c r="AC956" s="367"/>
      <c r="AD956" s="367"/>
      <c r="AE956" s="367"/>
      <c r="AF956" s="367"/>
    </row>
    <row r="957" ht="15.75" customHeight="1">
      <c r="A957" s="359"/>
      <c r="B957" s="361"/>
      <c r="C957" s="361"/>
      <c r="D957" s="361"/>
      <c r="E957" s="367"/>
      <c r="F957" s="367"/>
      <c r="G957" s="367"/>
      <c r="H957" s="367"/>
      <c r="I957" s="367"/>
      <c r="J957" s="367"/>
      <c r="K957" s="367"/>
      <c r="L957" s="367"/>
      <c r="M957" s="367"/>
      <c r="N957" s="367"/>
      <c r="O957" s="367"/>
      <c r="P957" s="367"/>
      <c r="Q957" s="367"/>
      <c r="R957" s="367"/>
      <c r="S957" s="367"/>
      <c r="T957" s="367"/>
      <c r="U957" s="367"/>
      <c r="V957" s="367"/>
      <c r="W957" s="367"/>
      <c r="X957" s="367"/>
      <c r="Y957" s="367"/>
      <c r="Z957" s="367"/>
      <c r="AA957" s="367"/>
      <c r="AB957" s="367"/>
      <c r="AC957" s="367"/>
      <c r="AD957" s="367"/>
      <c r="AE957" s="367"/>
      <c r="AF957" s="367"/>
    </row>
    <row r="958" ht="15.75" customHeight="1">
      <c r="A958" s="359"/>
      <c r="B958" s="361"/>
      <c r="C958" s="361"/>
      <c r="D958" s="361"/>
      <c r="E958" s="367"/>
      <c r="F958" s="367"/>
      <c r="G958" s="367"/>
      <c r="H958" s="367"/>
      <c r="I958" s="367"/>
      <c r="J958" s="367"/>
      <c r="K958" s="367"/>
      <c r="L958" s="367"/>
      <c r="M958" s="367"/>
      <c r="N958" s="367"/>
      <c r="O958" s="367"/>
      <c r="P958" s="367"/>
      <c r="Q958" s="367"/>
      <c r="R958" s="367"/>
      <c r="S958" s="367"/>
      <c r="T958" s="367"/>
      <c r="U958" s="367"/>
      <c r="V958" s="367"/>
      <c r="W958" s="367"/>
      <c r="X958" s="367"/>
      <c r="Y958" s="367"/>
      <c r="Z958" s="367"/>
      <c r="AA958" s="367"/>
      <c r="AB958" s="367"/>
      <c r="AC958" s="367"/>
      <c r="AD958" s="367"/>
      <c r="AE958" s="367"/>
      <c r="AF958" s="367"/>
    </row>
    <row r="959" ht="15.75" customHeight="1">
      <c r="A959" s="359"/>
      <c r="B959" s="361"/>
      <c r="C959" s="361"/>
      <c r="D959" s="361"/>
      <c r="E959" s="367"/>
      <c r="F959" s="367"/>
      <c r="G959" s="367"/>
      <c r="H959" s="367"/>
      <c r="I959" s="367"/>
      <c r="J959" s="367"/>
      <c r="K959" s="367"/>
      <c r="L959" s="367"/>
      <c r="M959" s="367"/>
      <c r="N959" s="367"/>
      <c r="O959" s="367"/>
      <c r="P959" s="367"/>
      <c r="Q959" s="367"/>
      <c r="R959" s="367"/>
      <c r="S959" s="367"/>
      <c r="T959" s="367"/>
      <c r="U959" s="367"/>
      <c r="V959" s="367"/>
      <c r="W959" s="367"/>
      <c r="X959" s="367"/>
      <c r="Y959" s="367"/>
      <c r="Z959" s="367"/>
      <c r="AA959" s="367"/>
      <c r="AB959" s="367"/>
      <c r="AC959" s="367"/>
      <c r="AD959" s="367"/>
      <c r="AE959" s="367"/>
      <c r="AF959" s="367"/>
    </row>
    <row r="960" ht="15.75" customHeight="1">
      <c r="A960" s="359"/>
      <c r="B960" s="361"/>
      <c r="C960" s="361"/>
      <c r="D960" s="361"/>
      <c r="E960" s="367"/>
      <c r="F960" s="367"/>
      <c r="G960" s="367"/>
      <c r="H960" s="367"/>
      <c r="I960" s="367"/>
      <c r="J960" s="367"/>
      <c r="K960" s="367"/>
      <c r="L960" s="367"/>
      <c r="M960" s="367"/>
      <c r="N960" s="367"/>
      <c r="O960" s="367"/>
      <c r="P960" s="367"/>
      <c r="Q960" s="367"/>
      <c r="R960" s="367"/>
      <c r="S960" s="367"/>
      <c r="T960" s="367"/>
      <c r="U960" s="367"/>
      <c r="V960" s="367"/>
      <c r="W960" s="367"/>
      <c r="X960" s="367"/>
      <c r="Y960" s="367"/>
      <c r="Z960" s="367"/>
      <c r="AA960" s="367"/>
      <c r="AB960" s="367"/>
      <c r="AC960" s="367"/>
      <c r="AD960" s="367"/>
      <c r="AE960" s="367"/>
      <c r="AF960" s="367"/>
    </row>
    <row r="961" ht="15.75" customHeight="1">
      <c r="A961" s="359"/>
      <c r="B961" s="361"/>
      <c r="C961" s="361"/>
      <c r="D961" s="361"/>
      <c r="E961" s="367"/>
      <c r="F961" s="367"/>
      <c r="G961" s="367"/>
      <c r="H961" s="367"/>
      <c r="I961" s="367"/>
      <c r="J961" s="367"/>
      <c r="K961" s="367"/>
      <c r="L961" s="367"/>
      <c r="M961" s="367"/>
      <c r="N961" s="367"/>
      <c r="O961" s="367"/>
      <c r="P961" s="367"/>
      <c r="Q961" s="367"/>
      <c r="R961" s="367"/>
      <c r="S961" s="367"/>
      <c r="T961" s="367"/>
      <c r="U961" s="367"/>
      <c r="V961" s="367"/>
      <c r="W961" s="367"/>
      <c r="X961" s="367"/>
      <c r="Y961" s="367"/>
      <c r="Z961" s="367"/>
      <c r="AA961" s="367"/>
      <c r="AB961" s="367"/>
      <c r="AC961" s="367"/>
      <c r="AD961" s="367"/>
      <c r="AE961" s="367"/>
      <c r="AF961" s="367"/>
    </row>
    <row r="962" ht="15.75" customHeight="1">
      <c r="A962" s="359"/>
      <c r="B962" s="361"/>
      <c r="C962" s="361"/>
      <c r="D962" s="361"/>
      <c r="E962" s="367"/>
      <c r="F962" s="367"/>
      <c r="G962" s="367"/>
      <c r="H962" s="367"/>
      <c r="I962" s="367"/>
      <c r="J962" s="367"/>
      <c r="K962" s="367"/>
      <c r="L962" s="367"/>
      <c r="M962" s="367"/>
      <c r="N962" s="367"/>
      <c r="O962" s="367"/>
      <c r="P962" s="367"/>
      <c r="Q962" s="367"/>
      <c r="R962" s="367"/>
      <c r="S962" s="367"/>
      <c r="T962" s="367"/>
      <c r="U962" s="367"/>
      <c r="V962" s="367"/>
      <c r="W962" s="367"/>
      <c r="X962" s="367"/>
      <c r="Y962" s="367"/>
      <c r="Z962" s="367"/>
      <c r="AA962" s="367"/>
      <c r="AB962" s="367"/>
      <c r="AC962" s="367"/>
      <c r="AD962" s="367"/>
      <c r="AE962" s="367"/>
      <c r="AF962" s="367"/>
    </row>
    <row r="963" ht="15.75" customHeight="1">
      <c r="A963" s="359"/>
      <c r="B963" s="361"/>
      <c r="C963" s="361"/>
      <c r="D963" s="361"/>
      <c r="E963" s="367"/>
      <c r="F963" s="367"/>
      <c r="G963" s="367"/>
      <c r="H963" s="367"/>
      <c r="I963" s="367"/>
      <c r="J963" s="367"/>
      <c r="K963" s="367"/>
      <c r="L963" s="367"/>
      <c r="M963" s="367"/>
      <c r="N963" s="367"/>
      <c r="O963" s="367"/>
      <c r="P963" s="367"/>
      <c r="Q963" s="367"/>
      <c r="R963" s="367"/>
      <c r="S963" s="367"/>
      <c r="T963" s="367"/>
      <c r="U963" s="367"/>
      <c r="V963" s="367"/>
      <c r="W963" s="367"/>
      <c r="X963" s="367"/>
      <c r="Y963" s="367"/>
      <c r="Z963" s="367"/>
      <c r="AA963" s="367"/>
      <c r="AB963" s="367"/>
      <c r="AC963" s="367"/>
      <c r="AD963" s="367"/>
      <c r="AE963" s="367"/>
      <c r="AF963" s="367"/>
    </row>
    <row r="964" ht="15.75" customHeight="1">
      <c r="A964" s="359"/>
      <c r="B964" s="361"/>
      <c r="C964" s="361"/>
      <c r="D964" s="361"/>
      <c r="E964" s="367"/>
      <c r="F964" s="367"/>
      <c r="G964" s="367"/>
      <c r="H964" s="367"/>
      <c r="I964" s="367"/>
      <c r="J964" s="367"/>
      <c r="K964" s="367"/>
      <c r="L964" s="367"/>
      <c r="M964" s="367"/>
      <c r="N964" s="367"/>
      <c r="O964" s="367"/>
      <c r="P964" s="367"/>
      <c r="Q964" s="367"/>
      <c r="R964" s="367"/>
      <c r="S964" s="367"/>
      <c r="T964" s="367"/>
      <c r="U964" s="367"/>
      <c r="V964" s="367"/>
      <c r="W964" s="367"/>
      <c r="X964" s="367"/>
      <c r="Y964" s="367"/>
      <c r="Z964" s="367"/>
      <c r="AA964" s="367"/>
      <c r="AB964" s="367"/>
      <c r="AC964" s="367"/>
      <c r="AD964" s="367"/>
      <c r="AE964" s="367"/>
      <c r="AF964" s="367"/>
    </row>
    <row r="965" ht="15.75" customHeight="1">
      <c r="A965" s="359"/>
      <c r="B965" s="361"/>
      <c r="C965" s="361"/>
      <c r="D965" s="361"/>
      <c r="E965" s="367"/>
      <c r="F965" s="367"/>
      <c r="G965" s="367"/>
      <c r="H965" s="367"/>
      <c r="I965" s="367"/>
      <c r="J965" s="367"/>
      <c r="K965" s="367"/>
      <c r="L965" s="367"/>
      <c r="M965" s="367"/>
      <c r="N965" s="367"/>
      <c r="O965" s="367"/>
      <c r="P965" s="367"/>
      <c r="Q965" s="367"/>
      <c r="R965" s="367"/>
      <c r="S965" s="367"/>
      <c r="T965" s="367"/>
      <c r="U965" s="367"/>
      <c r="V965" s="367"/>
      <c r="W965" s="367"/>
      <c r="X965" s="367"/>
      <c r="Y965" s="367"/>
      <c r="Z965" s="367"/>
      <c r="AA965" s="367"/>
      <c r="AB965" s="367"/>
      <c r="AC965" s="367"/>
      <c r="AD965" s="367"/>
      <c r="AE965" s="367"/>
      <c r="AF965" s="367"/>
    </row>
    <row r="966" ht="15.75" customHeight="1">
      <c r="A966" s="359"/>
      <c r="B966" s="361"/>
      <c r="C966" s="361"/>
      <c r="D966" s="361"/>
      <c r="E966" s="367"/>
      <c r="F966" s="367"/>
      <c r="G966" s="367"/>
      <c r="H966" s="367"/>
      <c r="I966" s="367"/>
      <c r="J966" s="367"/>
      <c r="K966" s="367"/>
      <c r="L966" s="367"/>
      <c r="M966" s="367"/>
      <c r="N966" s="367"/>
      <c r="O966" s="367"/>
      <c r="P966" s="367"/>
      <c r="Q966" s="367"/>
      <c r="R966" s="367"/>
      <c r="S966" s="367"/>
      <c r="T966" s="367"/>
      <c r="U966" s="367"/>
      <c r="V966" s="367"/>
      <c r="W966" s="367"/>
      <c r="X966" s="367"/>
      <c r="Y966" s="367"/>
      <c r="Z966" s="367"/>
      <c r="AA966" s="367"/>
      <c r="AB966" s="367"/>
      <c r="AC966" s="367"/>
      <c r="AD966" s="367"/>
      <c r="AE966" s="367"/>
      <c r="AF966" s="367"/>
    </row>
    <row r="967" ht="15.75" customHeight="1">
      <c r="A967" s="359"/>
      <c r="B967" s="361"/>
      <c r="C967" s="361"/>
      <c r="D967" s="361"/>
      <c r="E967" s="367"/>
      <c r="F967" s="367"/>
      <c r="G967" s="367"/>
      <c r="H967" s="367"/>
      <c r="I967" s="367"/>
      <c r="J967" s="367"/>
      <c r="K967" s="367"/>
      <c r="L967" s="367"/>
      <c r="M967" s="367"/>
      <c r="N967" s="367"/>
      <c r="O967" s="367"/>
      <c r="P967" s="367"/>
      <c r="Q967" s="367"/>
      <c r="R967" s="367"/>
      <c r="S967" s="367"/>
      <c r="T967" s="367"/>
      <c r="U967" s="367"/>
      <c r="V967" s="367"/>
      <c r="W967" s="367"/>
      <c r="X967" s="367"/>
      <c r="Y967" s="367"/>
      <c r="Z967" s="367"/>
      <c r="AA967" s="367"/>
      <c r="AB967" s="367"/>
      <c r="AC967" s="367"/>
      <c r="AD967" s="367"/>
      <c r="AE967" s="367"/>
      <c r="AF967" s="367"/>
    </row>
    <row r="968" ht="15.75" customHeight="1">
      <c r="A968" s="359"/>
      <c r="B968" s="361"/>
      <c r="C968" s="361"/>
      <c r="D968" s="361"/>
      <c r="E968" s="367"/>
      <c r="F968" s="367"/>
      <c r="G968" s="367"/>
      <c r="H968" s="367"/>
      <c r="I968" s="367"/>
      <c r="J968" s="367"/>
      <c r="K968" s="367"/>
      <c r="L968" s="367"/>
      <c r="M968" s="367"/>
      <c r="N968" s="367"/>
      <c r="O968" s="367"/>
      <c r="P968" s="367"/>
      <c r="Q968" s="367"/>
      <c r="R968" s="367"/>
      <c r="S968" s="367"/>
      <c r="T968" s="367"/>
      <c r="U968" s="367"/>
      <c r="V968" s="367"/>
      <c r="W968" s="367"/>
      <c r="X968" s="367"/>
      <c r="Y968" s="367"/>
      <c r="Z968" s="367"/>
      <c r="AA968" s="367"/>
      <c r="AB968" s="367"/>
      <c r="AC968" s="367"/>
      <c r="AD968" s="367"/>
      <c r="AE968" s="367"/>
      <c r="AF968" s="367"/>
    </row>
    <row r="969" ht="15.75" customHeight="1">
      <c r="A969" s="359"/>
      <c r="B969" s="361"/>
      <c r="C969" s="361"/>
      <c r="D969" s="361"/>
      <c r="E969" s="367"/>
      <c r="F969" s="367"/>
      <c r="G969" s="367"/>
      <c r="H969" s="367"/>
      <c r="I969" s="367"/>
      <c r="J969" s="367"/>
      <c r="K969" s="367"/>
      <c r="L969" s="367"/>
      <c r="M969" s="367"/>
      <c r="N969" s="367"/>
      <c r="O969" s="367"/>
      <c r="P969" s="367"/>
      <c r="Q969" s="367"/>
      <c r="R969" s="367"/>
      <c r="S969" s="367"/>
      <c r="T969" s="367"/>
      <c r="U969" s="367"/>
      <c r="V969" s="367"/>
      <c r="W969" s="367"/>
      <c r="X969" s="367"/>
      <c r="Y969" s="367"/>
      <c r="Z969" s="367"/>
      <c r="AA969" s="367"/>
      <c r="AB969" s="367"/>
      <c r="AC969" s="367"/>
      <c r="AD969" s="367"/>
      <c r="AE969" s="367"/>
      <c r="AF969" s="367"/>
    </row>
    <row r="970" ht="15.75" customHeight="1">
      <c r="A970" s="359"/>
      <c r="B970" s="361"/>
      <c r="C970" s="361"/>
      <c r="D970" s="361"/>
      <c r="E970" s="367"/>
      <c r="F970" s="367"/>
      <c r="G970" s="367"/>
      <c r="H970" s="367"/>
      <c r="I970" s="367"/>
      <c r="J970" s="367"/>
      <c r="K970" s="367"/>
      <c r="L970" s="367"/>
      <c r="M970" s="367"/>
      <c r="N970" s="367"/>
      <c r="O970" s="367"/>
      <c r="P970" s="367"/>
      <c r="Q970" s="367"/>
      <c r="R970" s="367"/>
      <c r="S970" s="367"/>
      <c r="T970" s="367"/>
      <c r="U970" s="367"/>
      <c r="V970" s="367"/>
      <c r="W970" s="367"/>
      <c r="X970" s="367"/>
      <c r="Y970" s="367"/>
      <c r="Z970" s="367"/>
      <c r="AA970" s="367"/>
      <c r="AB970" s="367"/>
      <c r="AC970" s="367"/>
      <c r="AD970" s="367"/>
      <c r="AE970" s="367"/>
      <c r="AF970" s="367"/>
    </row>
    <row r="971" ht="15.75" customHeight="1">
      <c r="A971" s="359"/>
      <c r="B971" s="361"/>
      <c r="C971" s="361"/>
      <c r="D971" s="361"/>
      <c r="E971" s="367"/>
      <c r="F971" s="367"/>
      <c r="G971" s="367"/>
      <c r="H971" s="367"/>
      <c r="I971" s="367"/>
      <c r="J971" s="367"/>
      <c r="K971" s="367"/>
      <c r="L971" s="367"/>
      <c r="M971" s="367"/>
      <c r="N971" s="367"/>
      <c r="O971" s="367"/>
      <c r="P971" s="367"/>
      <c r="Q971" s="367"/>
      <c r="R971" s="367"/>
      <c r="S971" s="367"/>
      <c r="T971" s="367"/>
      <c r="U971" s="367"/>
      <c r="V971" s="367"/>
      <c r="W971" s="367"/>
      <c r="X971" s="367"/>
      <c r="Y971" s="367"/>
      <c r="Z971" s="367"/>
      <c r="AA971" s="367"/>
      <c r="AB971" s="367"/>
      <c r="AC971" s="367"/>
      <c r="AD971" s="367"/>
      <c r="AE971" s="367"/>
      <c r="AF971" s="367"/>
    </row>
    <row r="972" ht="15.75" customHeight="1">
      <c r="A972" s="359"/>
      <c r="B972" s="361"/>
      <c r="C972" s="361"/>
      <c r="D972" s="361"/>
      <c r="E972" s="367"/>
      <c r="F972" s="367"/>
      <c r="G972" s="367"/>
      <c r="H972" s="367"/>
      <c r="I972" s="367"/>
      <c r="J972" s="367"/>
      <c r="K972" s="367"/>
      <c r="L972" s="367"/>
      <c r="M972" s="367"/>
      <c r="N972" s="367"/>
      <c r="O972" s="367"/>
      <c r="P972" s="367"/>
      <c r="Q972" s="367"/>
      <c r="R972" s="367"/>
      <c r="S972" s="367"/>
      <c r="T972" s="367"/>
      <c r="U972" s="367"/>
      <c r="V972" s="367"/>
      <c r="W972" s="367"/>
      <c r="X972" s="367"/>
      <c r="Y972" s="367"/>
      <c r="Z972" s="367"/>
      <c r="AA972" s="367"/>
      <c r="AB972" s="367"/>
      <c r="AC972" s="367"/>
      <c r="AD972" s="367"/>
      <c r="AE972" s="367"/>
      <c r="AF972" s="367"/>
    </row>
    <row r="973" ht="15.75" customHeight="1">
      <c r="A973" s="359"/>
      <c r="B973" s="361"/>
      <c r="C973" s="361"/>
      <c r="D973" s="361"/>
      <c r="E973" s="367"/>
      <c r="F973" s="367"/>
      <c r="G973" s="367"/>
      <c r="H973" s="367"/>
      <c r="I973" s="367"/>
      <c r="J973" s="367"/>
      <c r="K973" s="367"/>
      <c r="L973" s="367"/>
      <c r="M973" s="367"/>
      <c r="N973" s="367"/>
      <c r="O973" s="367"/>
      <c r="P973" s="367"/>
      <c r="Q973" s="367"/>
      <c r="R973" s="367"/>
      <c r="S973" s="367"/>
      <c r="T973" s="367"/>
      <c r="U973" s="367"/>
      <c r="V973" s="367"/>
      <c r="W973" s="367"/>
      <c r="X973" s="367"/>
      <c r="Y973" s="367"/>
      <c r="Z973" s="367"/>
      <c r="AA973" s="367"/>
      <c r="AB973" s="367"/>
      <c r="AC973" s="367"/>
      <c r="AD973" s="367"/>
      <c r="AE973" s="367"/>
      <c r="AF973" s="367"/>
    </row>
    <row r="974" ht="15.75" customHeight="1">
      <c r="A974" s="359"/>
      <c r="B974" s="361"/>
      <c r="C974" s="361"/>
      <c r="D974" s="361"/>
      <c r="E974" s="367"/>
      <c r="F974" s="367"/>
      <c r="G974" s="367"/>
      <c r="H974" s="367"/>
      <c r="I974" s="367"/>
      <c r="J974" s="367"/>
      <c r="K974" s="367"/>
      <c r="L974" s="367"/>
      <c r="M974" s="367"/>
      <c r="N974" s="367"/>
      <c r="O974" s="367"/>
      <c r="P974" s="367"/>
      <c r="Q974" s="367"/>
      <c r="R974" s="367"/>
      <c r="S974" s="367"/>
      <c r="T974" s="367"/>
      <c r="U974" s="367"/>
      <c r="V974" s="367"/>
      <c r="W974" s="367"/>
      <c r="X974" s="367"/>
      <c r="Y974" s="367"/>
      <c r="Z974" s="367"/>
      <c r="AA974" s="367"/>
      <c r="AB974" s="367"/>
      <c r="AC974" s="367"/>
      <c r="AD974" s="367"/>
      <c r="AE974" s="367"/>
      <c r="AF974" s="367"/>
    </row>
    <row r="975" ht="15.75" customHeight="1">
      <c r="A975" s="359"/>
      <c r="B975" s="361"/>
      <c r="C975" s="361"/>
      <c r="D975" s="361"/>
      <c r="E975" s="367"/>
      <c r="F975" s="367"/>
      <c r="G975" s="367"/>
      <c r="H975" s="367"/>
      <c r="I975" s="367"/>
      <c r="J975" s="367"/>
      <c r="K975" s="367"/>
      <c r="L975" s="367"/>
      <c r="M975" s="367"/>
      <c r="N975" s="367"/>
      <c r="O975" s="367"/>
      <c r="P975" s="367"/>
      <c r="Q975" s="367"/>
      <c r="R975" s="367"/>
      <c r="S975" s="367"/>
      <c r="T975" s="367"/>
      <c r="U975" s="367"/>
      <c r="V975" s="367"/>
      <c r="W975" s="367"/>
      <c r="X975" s="367"/>
      <c r="Y975" s="367"/>
      <c r="Z975" s="367"/>
      <c r="AA975" s="367"/>
      <c r="AB975" s="367"/>
      <c r="AC975" s="367"/>
      <c r="AD975" s="367"/>
      <c r="AE975" s="367"/>
      <c r="AF975" s="367"/>
    </row>
    <row r="976" ht="15.75" customHeight="1">
      <c r="A976" s="359"/>
      <c r="B976" s="361"/>
      <c r="C976" s="361"/>
      <c r="D976" s="361"/>
      <c r="E976" s="367"/>
      <c r="F976" s="367"/>
      <c r="G976" s="367"/>
      <c r="H976" s="367"/>
      <c r="I976" s="367"/>
      <c r="J976" s="367"/>
      <c r="K976" s="367"/>
      <c r="L976" s="367"/>
      <c r="M976" s="367"/>
      <c r="N976" s="367"/>
      <c r="O976" s="367"/>
      <c r="P976" s="367"/>
      <c r="Q976" s="367"/>
      <c r="R976" s="367"/>
      <c r="S976" s="367"/>
      <c r="T976" s="367"/>
      <c r="U976" s="367"/>
      <c r="V976" s="367"/>
      <c r="W976" s="367"/>
      <c r="X976" s="367"/>
      <c r="Y976" s="367"/>
      <c r="Z976" s="367"/>
      <c r="AA976" s="367"/>
      <c r="AB976" s="367"/>
      <c r="AC976" s="367"/>
      <c r="AD976" s="367"/>
      <c r="AE976" s="367"/>
      <c r="AF976" s="367"/>
    </row>
    <row r="977" ht="15.75" customHeight="1">
      <c r="A977" s="359"/>
      <c r="B977" s="361"/>
      <c r="C977" s="361"/>
      <c r="D977" s="361"/>
      <c r="E977" s="367"/>
      <c r="F977" s="367"/>
      <c r="G977" s="367"/>
      <c r="H977" s="367"/>
      <c r="I977" s="367"/>
      <c r="J977" s="367"/>
      <c r="K977" s="367"/>
      <c r="L977" s="367"/>
      <c r="M977" s="367"/>
      <c r="N977" s="367"/>
      <c r="O977" s="367"/>
      <c r="P977" s="367"/>
      <c r="Q977" s="367"/>
      <c r="R977" s="367"/>
      <c r="S977" s="367"/>
      <c r="T977" s="367"/>
      <c r="U977" s="367"/>
      <c r="V977" s="367"/>
      <c r="W977" s="367"/>
      <c r="X977" s="367"/>
      <c r="Y977" s="367"/>
      <c r="Z977" s="367"/>
      <c r="AA977" s="367"/>
      <c r="AB977" s="367"/>
      <c r="AC977" s="367"/>
      <c r="AD977" s="367"/>
      <c r="AE977" s="367"/>
      <c r="AF977" s="367"/>
    </row>
    <row r="978" ht="15.75" customHeight="1">
      <c r="A978" s="359"/>
      <c r="B978" s="361"/>
      <c r="C978" s="361"/>
      <c r="D978" s="361"/>
      <c r="E978" s="367"/>
      <c r="F978" s="367"/>
      <c r="G978" s="367"/>
      <c r="H978" s="367"/>
      <c r="I978" s="367"/>
      <c r="J978" s="367"/>
      <c r="K978" s="367"/>
      <c r="L978" s="367"/>
      <c r="M978" s="367"/>
      <c r="N978" s="367"/>
      <c r="O978" s="367"/>
      <c r="P978" s="367"/>
      <c r="Q978" s="367"/>
      <c r="R978" s="367"/>
      <c r="S978" s="367"/>
      <c r="T978" s="367"/>
      <c r="U978" s="367"/>
      <c r="V978" s="367"/>
      <c r="W978" s="367"/>
      <c r="X978" s="367"/>
      <c r="Y978" s="367"/>
      <c r="Z978" s="367"/>
      <c r="AA978" s="367"/>
      <c r="AB978" s="367"/>
      <c r="AC978" s="367"/>
      <c r="AD978" s="367"/>
      <c r="AE978" s="367"/>
      <c r="AF978" s="367"/>
    </row>
    <row r="979" ht="15.75" customHeight="1">
      <c r="A979" s="359"/>
      <c r="B979" s="361"/>
      <c r="C979" s="361"/>
      <c r="D979" s="361"/>
      <c r="E979" s="367"/>
      <c r="F979" s="367"/>
      <c r="G979" s="367"/>
      <c r="H979" s="367"/>
      <c r="I979" s="367"/>
      <c r="J979" s="367"/>
      <c r="K979" s="367"/>
      <c r="L979" s="367"/>
      <c r="M979" s="367"/>
      <c r="N979" s="367"/>
      <c r="O979" s="367"/>
      <c r="P979" s="367"/>
      <c r="Q979" s="367"/>
      <c r="R979" s="367"/>
      <c r="S979" s="367"/>
      <c r="T979" s="367"/>
      <c r="U979" s="367"/>
      <c r="V979" s="367"/>
      <c r="W979" s="367"/>
      <c r="X979" s="367"/>
      <c r="Y979" s="367"/>
      <c r="Z979" s="367"/>
      <c r="AA979" s="367"/>
      <c r="AB979" s="367"/>
      <c r="AC979" s="367"/>
      <c r="AD979" s="367"/>
      <c r="AE979" s="367"/>
      <c r="AF979" s="367"/>
    </row>
    <row r="980" ht="15.75" customHeight="1">
      <c r="A980" s="359"/>
      <c r="B980" s="361"/>
      <c r="C980" s="361"/>
      <c r="D980" s="361"/>
      <c r="E980" s="367"/>
      <c r="F980" s="367"/>
      <c r="G980" s="367"/>
      <c r="H980" s="367"/>
      <c r="I980" s="367"/>
      <c r="J980" s="367"/>
      <c r="K980" s="367"/>
      <c r="L980" s="367"/>
      <c r="M980" s="367"/>
      <c r="N980" s="367"/>
      <c r="O980" s="367"/>
      <c r="P980" s="367"/>
      <c r="Q980" s="367"/>
      <c r="R980" s="367"/>
      <c r="S980" s="367"/>
      <c r="T980" s="367"/>
      <c r="U980" s="367"/>
      <c r="V980" s="367"/>
      <c r="W980" s="367"/>
      <c r="X980" s="367"/>
      <c r="Y980" s="367"/>
      <c r="Z980" s="367"/>
      <c r="AA980" s="367"/>
      <c r="AB980" s="367"/>
      <c r="AC980" s="367"/>
      <c r="AD980" s="367"/>
      <c r="AE980" s="367"/>
      <c r="AF980" s="367"/>
    </row>
    <row r="981" ht="15.75" customHeight="1">
      <c r="A981" s="359"/>
      <c r="B981" s="361"/>
      <c r="C981" s="361"/>
      <c r="D981" s="361"/>
      <c r="E981" s="367"/>
      <c r="F981" s="367"/>
      <c r="G981" s="367"/>
      <c r="H981" s="367"/>
      <c r="I981" s="367"/>
      <c r="J981" s="367"/>
      <c r="K981" s="367"/>
      <c r="L981" s="367"/>
      <c r="M981" s="367"/>
      <c r="N981" s="367"/>
      <c r="O981" s="367"/>
      <c r="P981" s="367"/>
      <c r="Q981" s="367"/>
      <c r="R981" s="367"/>
      <c r="S981" s="367"/>
      <c r="T981" s="367"/>
      <c r="U981" s="367"/>
      <c r="V981" s="367"/>
      <c r="W981" s="367"/>
      <c r="X981" s="367"/>
      <c r="Y981" s="367"/>
      <c r="Z981" s="367"/>
      <c r="AA981" s="367"/>
      <c r="AB981" s="367"/>
      <c r="AC981" s="367"/>
      <c r="AD981" s="367"/>
      <c r="AE981" s="367"/>
      <c r="AF981" s="367"/>
    </row>
    <row r="982" ht="15.75" customHeight="1">
      <c r="A982" s="359"/>
      <c r="B982" s="361"/>
      <c r="C982" s="361"/>
      <c r="D982" s="361"/>
      <c r="E982" s="367"/>
      <c r="F982" s="367"/>
      <c r="G982" s="367"/>
      <c r="H982" s="367"/>
      <c r="I982" s="367"/>
      <c r="J982" s="367"/>
      <c r="K982" s="367"/>
      <c r="L982" s="367"/>
      <c r="M982" s="367"/>
      <c r="N982" s="367"/>
      <c r="O982" s="367"/>
      <c r="P982" s="367"/>
      <c r="Q982" s="367"/>
      <c r="R982" s="367"/>
      <c r="S982" s="367"/>
      <c r="T982" s="367"/>
      <c r="U982" s="367"/>
      <c r="V982" s="367"/>
      <c r="W982" s="367"/>
      <c r="X982" s="367"/>
      <c r="Y982" s="367"/>
      <c r="Z982" s="367"/>
      <c r="AA982" s="367"/>
      <c r="AB982" s="367"/>
      <c r="AC982" s="367"/>
      <c r="AD982" s="367"/>
      <c r="AE982" s="367"/>
      <c r="AF982" s="367"/>
    </row>
    <row r="983" ht="15.75" customHeight="1">
      <c r="A983" s="359"/>
      <c r="B983" s="361"/>
      <c r="C983" s="361"/>
      <c r="D983" s="361"/>
      <c r="E983" s="367"/>
      <c r="F983" s="367"/>
      <c r="G983" s="367"/>
      <c r="H983" s="367"/>
      <c r="I983" s="367"/>
      <c r="J983" s="367"/>
      <c r="K983" s="367"/>
      <c r="L983" s="367"/>
      <c r="M983" s="367"/>
      <c r="N983" s="367"/>
      <c r="O983" s="367"/>
      <c r="P983" s="367"/>
      <c r="Q983" s="367"/>
      <c r="R983" s="367"/>
      <c r="S983" s="367"/>
      <c r="T983" s="367"/>
      <c r="U983" s="367"/>
      <c r="V983" s="367"/>
      <c r="W983" s="367"/>
      <c r="X983" s="367"/>
      <c r="Y983" s="367"/>
      <c r="Z983" s="367"/>
      <c r="AA983" s="367"/>
      <c r="AB983" s="367"/>
      <c r="AC983" s="367"/>
      <c r="AD983" s="367"/>
      <c r="AE983" s="367"/>
      <c r="AF983" s="367"/>
    </row>
    <row r="984" ht="15.75" customHeight="1">
      <c r="A984" s="359"/>
      <c r="B984" s="361"/>
      <c r="C984" s="361"/>
      <c r="D984" s="361"/>
      <c r="E984" s="367"/>
      <c r="F984" s="367"/>
      <c r="G984" s="367"/>
      <c r="H984" s="367"/>
      <c r="I984" s="367"/>
      <c r="J984" s="367"/>
      <c r="K984" s="367"/>
      <c r="L984" s="367"/>
      <c r="M984" s="367"/>
      <c r="N984" s="367"/>
      <c r="O984" s="367"/>
      <c r="P984" s="367"/>
      <c r="Q984" s="367"/>
      <c r="R984" s="367"/>
      <c r="S984" s="367"/>
      <c r="T984" s="367"/>
      <c r="U984" s="367"/>
      <c r="V984" s="367"/>
      <c r="W984" s="367"/>
      <c r="X984" s="367"/>
      <c r="Y984" s="367"/>
      <c r="Z984" s="367"/>
      <c r="AA984" s="367"/>
      <c r="AB984" s="367"/>
      <c r="AC984" s="367"/>
      <c r="AD984" s="367"/>
      <c r="AE984" s="367"/>
      <c r="AF984" s="367"/>
    </row>
    <row r="985" ht="15.75" customHeight="1">
      <c r="A985" s="359"/>
      <c r="B985" s="361"/>
      <c r="C985" s="361"/>
      <c r="D985" s="361"/>
      <c r="E985" s="367"/>
      <c r="F985" s="367"/>
      <c r="G985" s="367"/>
      <c r="H985" s="367"/>
      <c r="I985" s="367"/>
      <c r="J985" s="367"/>
      <c r="K985" s="367"/>
      <c r="L985" s="367"/>
      <c r="M985" s="367"/>
      <c r="N985" s="367"/>
      <c r="O985" s="367"/>
      <c r="P985" s="367"/>
      <c r="Q985" s="367"/>
      <c r="R985" s="367"/>
      <c r="S985" s="367"/>
      <c r="T985" s="367"/>
      <c r="U985" s="367"/>
      <c r="V985" s="367"/>
      <c r="W985" s="367"/>
      <c r="X985" s="367"/>
      <c r="Y985" s="367"/>
      <c r="Z985" s="367"/>
      <c r="AA985" s="367"/>
      <c r="AB985" s="367"/>
      <c r="AC985" s="367"/>
      <c r="AD985" s="367"/>
      <c r="AE985" s="367"/>
      <c r="AF985" s="367"/>
    </row>
    <row r="986" ht="15.75" customHeight="1">
      <c r="A986" s="359"/>
      <c r="B986" s="361"/>
      <c r="C986" s="361"/>
      <c r="D986" s="361"/>
      <c r="E986" s="367"/>
      <c r="F986" s="367"/>
      <c r="G986" s="367"/>
      <c r="H986" s="367"/>
      <c r="I986" s="367"/>
      <c r="J986" s="367"/>
      <c r="K986" s="367"/>
      <c r="L986" s="367"/>
      <c r="M986" s="367"/>
      <c r="N986" s="367"/>
      <c r="O986" s="367"/>
      <c r="P986" s="367"/>
      <c r="Q986" s="367"/>
      <c r="R986" s="367"/>
      <c r="S986" s="367"/>
      <c r="T986" s="367"/>
      <c r="U986" s="367"/>
      <c r="V986" s="367"/>
      <c r="W986" s="367"/>
      <c r="X986" s="367"/>
      <c r="Y986" s="367"/>
      <c r="Z986" s="367"/>
      <c r="AA986" s="367"/>
      <c r="AB986" s="367"/>
      <c r="AC986" s="367"/>
      <c r="AD986" s="367"/>
      <c r="AE986" s="367"/>
      <c r="AF986" s="367"/>
    </row>
    <row r="987" ht="15.75" customHeight="1">
      <c r="A987" s="359"/>
      <c r="B987" s="361"/>
      <c r="C987" s="361"/>
      <c r="D987" s="361"/>
      <c r="E987" s="367"/>
      <c r="F987" s="367"/>
      <c r="G987" s="367"/>
      <c r="H987" s="367"/>
      <c r="I987" s="367"/>
      <c r="J987" s="367"/>
      <c r="K987" s="367"/>
      <c r="L987" s="367"/>
      <c r="M987" s="367"/>
      <c r="N987" s="367"/>
      <c r="O987" s="367"/>
      <c r="P987" s="367"/>
      <c r="Q987" s="367"/>
      <c r="R987" s="367"/>
      <c r="S987" s="367"/>
      <c r="T987" s="367"/>
      <c r="U987" s="367"/>
      <c r="V987" s="367"/>
      <c r="W987" s="367"/>
      <c r="X987" s="367"/>
      <c r="Y987" s="367"/>
      <c r="Z987" s="367"/>
      <c r="AA987" s="367"/>
      <c r="AB987" s="367"/>
      <c r="AC987" s="367"/>
      <c r="AD987" s="367"/>
      <c r="AE987" s="367"/>
      <c r="AF987" s="367"/>
    </row>
    <row r="988" ht="15.75" customHeight="1">
      <c r="A988" s="359"/>
      <c r="B988" s="361"/>
      <c r="C988" s="361"/>
      <c r="D988" s="361"/>
      <c r="E988" s="367"/>
      <c r="F988" s="367"/>
      <c r="G988" s="367"/>
      <c r="H988" s="367"/>
      <c r="I988" s="367"/>
      <c r="J988" s="367"/>
      <c r="K988" s="367"/>
      <c r="L988" s="367"/>
      <c r="M988" s="367"/>
      <c r="N988" s="367"/>
      <c r="O988" s="367"/>
      <c r="P988" s="367"/>
      <c r="Q988" s="367"/>
      <c r="R988" s="367"/>
      <c r="S988" s="367"/>
      <c r="T988" s="367"/>
      <c r="U988" s="367"/>
      <c r="V988" s="367"/>
      <c r="W988" s="367"/>
      <c r="X988" s="367"/>
      <c r="Y988" s="367"/>
      <c r="Z988" s="367"/>
      <c r="AA988" s="367"/>
      <c r="AB988" s="367"/>
      <c r="AC988" s="367"/>
      <c r="AD988" s="367"/>
      <c r="AE988" s="367"/>
      <c r="AF988" s="367"/>
    </row>
    <row r="989" ht="15.75" customHeight="1">
      <c r="A989" s="359"/>
      <c r="B989" s="361"/>
      <c r="C989" s="361"/>
      <c r="D989" s="361"/>
      <c r="E989" s="367"/>
      <c r="F989" s="367"/>
      <c r="G989" s="367"/>
      <c r="H989" s="367"/>
      <c r="I989" s="367"/>
      <c r="J989" s="367"/>
      <c r="K989" s="367"/>
      <c r="L989" s="367"/>
      <c r="M989" s="367"/>
      <c r="N989" s="367"/>
      <c r="O989" s="367"/>
      <c r="P989" s="367"/>
      <c r="Q989" s="367"/>
      <c r="R989" s="367"/>
      <c r="S989" s="367"/>
      <c r="T989" s="367"/>
      <c r="U989" s="367"/>
      <c r="V989" s="367"/>
      <c r="W989" s="367"/>
      <c r="X989" s="367"/>
      <c r="Y989" s="367"/>
      <c r="Z989" s="367"/>
      <c r="AA989" s="367"/>
      <c r="AB989" s="367"/>
      <c r="AC989" s="367"/>
      <c r="AD989" s="367"/>
      <c r="AE989" s="367"/>
      <c r="AF989" s="367"/>
    </row>
    <row r="990" ht="15.75" customHeight="1">
      <c r="A990" s="359"/>
      <c r="B990" s="361"/>
      <c r="C990" s="361"/>
      <c r="D990" s="361"/>
      <c r="E990" s="367"/>
      <c r="F990" s="367"/>
      <c r="G990" s="367"/>
      <c r="H990" s="367"/>
      <c r="I990" s="367"/>
      <c r="J990" s="367"/>
      <c r="K990" s="367"/>
      <c r="L990" s="367"/>
      <c r="M990" s="367"/>
      <c r="N990" s="367"/>
      <c r="O990" s="367"/>
      <c r="P990" s="367"/>
      <c r="Q990" s="367"/>
      <c r="R990" s="367"/>
      <c r="S990" s="367"/>
      <c r="T990" s="367"/>
      <c r="U990" s="367"/>
      <c r="V990" s="367"/>
      <c r="W990" s="367"/>
      <c r="X990" s="367"/>
      <c r="Y990" s="367"/>
      <c r="Z990" s="367"/>
      <c r="AA990" s="367"/>
      <c r="AB990" s="367"/>
      <c r="AC990" s="367"/>
      <c r="AD990" s="367"/>
      <c r="AE990" s="367"/>
      <c r="AF990" s="367"/>
    </row>
    <row r="991" ht="15.75" customHeight="1">
      <c r="A991" s="359"/>
      <c r="B991" s="361"/>
      <c r="C991" s="361"/>
      <c r="D991" s="361"/>
      <c r="E991" s="367"/>
      <c r="F991" s="367"/>
      <c r="G991" s="367"/>
      <c r="H991" s="367"/>
      <c r="I991" s="367"/>
      <c r="J991" s="367"/>
      <c r="K991" s="367"/>
      <c r="L991" s="367"/>
      <c r="M991" s="367"/>
      <c r="N991" s="367"/>
      <c r="O991" s="367"/>
      <c r="P991" s="367"/>
      <c r="Q991" s="367"/>
      <c r="R991" s="367"/>
      <c r="S991" s="367"/>
      <c r="T991" s="367"/>
      <c r="U991" s="367"/>
      <c r="V991" s="367"/>
      <c r="W991" s="367"/>
      <c r="X991" s="367"/>
      <c r="Y991" s="367"/>
      <c r="Z991" s="367"/>
      <c r="AA991" s="367"/>
      <c r="AB991" s="367"/>
      <c r="AC991" s="367"/>
      <c r="AD991" s="367"/>
      <c r="AE991" s="367"/>
      <c r="AF991" s="367"/>
    </row>
    <row r="992" ht="15.75" customHeight="1">
      <c r="A992" s="359"/>
      <c r="B992" s="361"/>
      <c r="C992" s="361"/>
      <c r="D992" s="361"/>
      <c r="E992" s="367"/>
      <c r="F992" s="367"/>
      <c r="G992" s="367"/>
      <c r="H992" s="367"/>
      <c r="I992" s="367"/>
      <c r="J992" s="367"/>
      <c r="K992" s="367"/>
      <c r="L992" s="367"/>
      <c r="M992" s="367"/>
      <c r="N992" s="367"/>
      <c r="O992" s="367"/>
      <c r="P992" s="367"/>
      <c r="Q992" s="367"/>
      <c r="R992" s="367"/>
      <c r="S992" s="367"/>
      <c r="T992" s="367"/>
      <c r="U992" s="367"/>
      <c r="V992" s="367"/>
      <c r="W992" s="367"/>
      <c r="X992" s="367"/>
      <c r="Y992" s="367"/>
      <c r="Z992" s="367"/>
      <c r="AA992" s="367"/>
      <c r="AB992" s="367"/>
      <c r="AC992" s="367"/>
      <c r="AD992" s="367"/>
      <c r="AE992" s="367"/>
      <c r="AF992" s="367"/>
    </row>
    <row r="993" ht="15.75" customHeight="1">
      <c r="A993" s="359"/>
      <c r="B993" s="361"/>
      <c r="C993" s="361"/>
      <c r="D993" s="361"/>
      <c r="E993" s="367"/>
      <c r="F993" s="367"/>
      <c r="G993" s="367"/>
      <c r="H993" s="367"/>
      <c r="I993" s="367"/>
      <c r="J993" s="367"/>
      <c r="K993" s="367"/>
      <c r="L993" s="367"/>
      <c r="M993" s="367"/>
      <c r="N993" s="367"/>
      <c r="O993" s="367"/>
      <c r="P993" s="367"/>
      <c r="Q993" s="367"/>
      <c r="R993" s="367"/>
      <c r="S993" s="367"/>
      <c r="T993" s="367"/>
      <c r="U993" s="367"/>
      <c r="V993" s="367"/>
      <c r="W993" s="367"/>
      <c r="X993" s="367"/>
      <c r="Y993" s="367"/>
      <c r="Z993" s="367"/>
      <c r="AA993" s="367"/>
      <c r="AB993" s="367"/>
      <c r="AC993" s="367"/>
      <c r="AD993" s="367"/>
      <c r="AE993" s="367"/>
      <c r="AF993" s="367"/>
    </row>
    <row r="994" ht="15.75" customHeight="1">
      <c r="A994" s="359"/>
      <c r="B994" s="361"/>
      <c r="C994" s="361"/>
      <c r="D994" s="361"/>
      <c r="E994" s="367"/>
      <c r="F994" s="367"/>
      <c r="G994" s="367"/>
      <c r="H994" s="367"/>
      <c r="I994" s="367"/>
      <c r="J994" s="367"/>
      <c r="K994" s="367"/>
      <c r="L994" s="367"/>
      <c r="M994" s="367"/>
      <c r="N994" s="367"/>
      <c r="O994" s="367"/>
      <c r="P994" s="367"/>
      <c r="Q994" s="367"/>
      <c r="R994" s="367"/>
      <c r="S994" s="367"/>
      <c r="T994" s="367"/>
      <c r="U994" s="367"/>
      <c r="V994" s="367"/>
      <c r="W994" s="367"/>
      <c r="X994" s="367"/>
      <c r="Y994" s="367"/>
      <c r="Z994" s="367"/>
      <c r="AA994" s="367"/>
      <c r="AB994" s="367"/>
      <c r="AC994" s="367"/>
      <c r="AD994" s="367"/>
      <c r="AE994" s="367"/>
      <c r="AF994" s="367"/>
    </row>
    <row r="995" ht="15.75" customHeight="1">
      <c r="A995" s="359"/>
      <c r="B995" s="361"/>
      <c r="C995" s="361"/>
      <c r="D995" s="361"/>
      <c r="E995" s="367"/>
      <c r="F995" s="367"/>
      <c r="G995" s="367"/>
      <c r="H995" s="367"/>
      <c r="I995" s="367"/>
      <c r="J995" s="367"/>
      <c r="K995" s="367"/>
      <c r="L995" s="367"/>
      <c r="M995" s="367"/>
      <c r="N995" s="367"/>
      <c r="O995" s="367"/>
      <c r="P995" s="367"/>
      <c r="Q995" s="367"/>
      <c r="R995" s="367"/>
      <c r="S995" s="367"/>
      <c r="T995" s="367"/>
      <c r="U995" s="367"/>
      <c r="V995" s="367"/>
      <c r="W995" s="367"/>
      <c r="X995" s="367"/>
      <c r="Y995" s="367"/>
      <c r="Z995" s="367"/>
      <c r="AA995" s="367"/>
      <c r="AB995" s="367"/>
      <c r="AC995" s="367"/>
      <c r="AD995" s="367"/>
      <c r="AE995" s="367"/>
      <c r="AF995" s="367"/>
    </row>
    <row r="996" ht="15.75" customHeight="1">
      <c r="A996" s="359"/>
      <c r="B996" s="361"/>
      <c r="C996" s="361"/>
      <c r="D996" s="361"/>
      <c r="E996" s="367"/>
      <c r="F996" s="367"/>
      <c r="G996" s="367"/>
      <c r="H996" s="367"/>
      <c r="I996" s="367"/>
      <c r="J996" s="367"/>
      <c r="K996" s="367"/>
      <c r="L996" s="367"/>
      <c r="M996" s="367"/>
      <c r="N996" s="367"/>
      <c r="O996" s="367"/>
      <c r="P996" s="367"/>
      <c r="Q996" s="367"/>
      <c r="R996" s="367"/>
      <c r="S996" s="367"/>
      <c r="T996" s="367"/>
      <c r="U996" s="367"/>
      <c r="V996" s="367"/>
      <c r="W996" s="367"/>
      <c r="X996" s="367"/>
      <c r="Y996" s="367"/>
      <c r="Z996" s="367"/>
      <c r="AA996" s="367"/>
      <c r="AB996" s="367"/>
      <c r="AC996" s="367"/>
      <c r="AD996" s="367"/>
      <c r="AE996" s="367"/>
      <c r="AF996" s="367"/>
    </row>
    <row r="997" ht="15.75" customHeight="1">
      <c r="A997" s="359"/>
      <c r="B997" s="361"/>
      <c r="C997" s="361"/>
      <c r="D997" s="361"/>
      <c r="E997" s="367"/>
      <c r="F997" s="367"/>
      <c r="G997" s="367"/>
      <c r="H997" s="367"/>
      <c r="I997" s="367"/>
      <c r="J997" s="367"/>
      <c r="K997" s="367"/>
      <c r="L997" s="367"/>
      <c r="M997" s="367"/>
      <c r="N997" s="367"/>
      <c r="O997" s="367"/>
      <c r="P997" s="367"/>
      <c r="Q997" s="367"/>
      <c r="R997" s="367"/>
      <c r="S997" s="367"/>
      <c r="T997" s="367"/>
      <c r="U997" s="367"/>
      <c r="V997" s="367"/>
      <c r="W997" s="367"/>
      <c r="X997" s="367"/>
      <c r="Y997" s="367"/>
      <c r="Z997" s="367"/>
      <c r="AA997" s="367"/>
      <c r="AB997" s="367"/>
      <c r="AC997" s="367"/>
      <c r="AD997" s="367"/>
      <c r="AE997" s="367"/>
      <c r="AF997" s="367"/>
    </row>
    <row r="998" ht="15.75" customHeight="1">
      <c r="A998" s="359"/>
      <c r="B998" s="361"/>
      <c r="C998" s="361"/>
      <c r="D998" s="361"/>
      <c r="E998" s="367"/>
      <c r="F998" s="367"/>
      <c r="G998" s="367"/>
      <c r="H998" s="367"/>
      <c r="I998" s="367"/>
      <c r="J998" s="367"/>
      <c r="K998" s="367"/>
      <c r="L998" s="367"/>
      <c r="M998" s="367"/>
      <c r="N998" s="367"/>
      <c r="O998" s="367"/>
      <c r="P998" s="367"/>
      <c r="Q998" s="367"/>
      <c r="R998" s="367"/>
      <c r="S998" s="367"/>
      <c r="T998" s="367"/>
      <c r="U998" s="367"/>
      <c r="V998" s="367"/>
      <c r="W998" s="367"/>
      <c r="X998" s="367"/>
      <c r="Y998" s="367"/>
      <c r="Z998" s="367"/>
      <c r="AA998" s="367"/>
      <c r="AB998" s="367"/>
      <c r="AC998" s="367"/>
      <c r="AD998" s="367"/>
      <c r="AE998" s="367"/>
      <c r="AF998" s="367"/>
    </row>
    <row r="999" ht="15.75" customHeight="1">
      <c r="A999" s="359"/>
      <c r="B999" s="361"/>
      <c r="C999" s="361"/>
      <c r="D999" s="361"/>
      <c r="E999" s="367"/>
      <c r="F999" s="367"/>
      <c r="G999" s="367"/>
      <c r="H999" s="367"/>
      <c r="I999" s="367"/>
      <c r="J999" s="367"/>
      <c r="K999" s="367"/>
      <c r="L999" s="367"/>
      <c r="M999" s="367"/>
      <c r="N999" s="367"/>
      <c r="O999" s="367"/>
      <c r="P999" s="367"/>
      <c r="Q999" s="367"/>
      <c r="R999" s="367"/>
      <c r="S999" s="367"/>
      <c r="T999" s="367"/>
      <c r="U999" s="367"/>
      <c r="V999" s="367"/>
      <c r="W999" s="367"/>
      <c r="X999" s="367"/>
      <c r="Y999" s="367"/>
      <c r="Z999" s="367"/>
      <c r="AA999" s="367"/>
      <c r="AB999" s="367"/>
      <c r="AC999" s="367"/>
      <c r="AD999" s="367"/>
      <c r="AE999" s="367"/>
      <c r="AF999" s="367"/>
    </row>
    <row r="1000" ht="15.75" customHeight="1">
      <c r="A1000" s="359"/>
      <c r="B1000" s="361"/>
      <c r="C1000" s="361"/>
      <c r="D1000" s="361"/>
      <c r="E1000" s="367"/>
      <c r="F1000" s="367"/>
      <c r="G1000" s="367"/>
      <c r="H1000" s="367"/>
      <c r="I1000" s="367"/>
      <c r="J1000" s="367"/>
      <c r="K1000" s="367"/>
      <c r="L1000" s="367"/>
      <c r="M1000" s="367"/>
      <c r="N1000" s="367"/>
      <c r="O1000" s="367"/>
      <c r="P1000" s="367"/>
      <c r="Q1000" s="367"/>
      <c r="R1000" s="367"/>
      <c r="S1000" s="367"/>
      <c r="T1000" s="367"/>
      <c r="U1000" s="367"/>
      <c r="V1000" s="367"/>
      <c r="W1000" s="367"/>
      <c r="X1000" s="367"/>
      <c r="Y1000" s="367"/>
      <c r="Z1000" s="367"/>
      <c r="AA1000" s="367"/>
      <c r="AB1000" s="367"/>
      <c r="AC1000" s="367"/>
      <c r="AD1000" s="367"/>
      <c r="AE1000" s="367"/>
      <c r="AF1000" s="367"/>
    </row>
    <row r="1001" ht="15.75" customHeight="1">
      <c r="A1001" s="359"/>
      <c r="B1001" s="361"/>
      <c r="C1001" s="361"/>
      <c r="D1001" s="361"/>
      <c r="E1001" s="367"/>
      <c r="F1001" s="367"/>
      <c r="G1001" s="367"/>
      <c r="H1001" s="367"/>
      <c r="I1001" s="367"/>
      <c r="J1001" s="367"/>
      <c r="K1001" s="367"/>
      <c r="L1001" s="367"/>
      <c r="M1001" s="367"/>
      <c r="N1001" s="367"/>
      <c r="O1001" s="367"/>
      <c r="P1001" s="367"/>
      <c r="Q1001" s="367"/>
      <c r="R1001" s="367"/>
      <c r="S1001" s="367"/>
      <c r="T1001" s="367"/>
      <c r="U1001" s="367"/>
      <c r="V1001" s="367"/>
      <c r="W1001" s="367"/>
      <c r="X1001" s="367"/>
      <c r="Y1001" s="367"/>
      <c r="Z1001" s="367"/>
      <c r="AA1001" s="367"/>
      <c r="AB1001" s="367"/>
      <c r="AC1001" s="367"/>
      <c r="AD1001" s="367"/>
      <c r="AE1001" s="367"/>
      <c r="AF1001" s="367"/>
    </row>
    <row r="1002" ht="15.75" customHeight="1">
      <c r="A1002" s="359"/>
      <c r="B1002" s="361"/>
      <c r="C1002" s="361"/>
      <c r="D1002" s="361"/>
      <c r="E1002" s="367"/>
      <c r="F1002" s="367"/>
      <c r="G1002" s="367"/>
      <c r="H1002" s="367"/>
      <c r="I1002" s="367"/>
      <c r="J1002" s="367"/>
      <c r="K1002" s="367"/>
      <c r="L1002" s="367"/>
      <c r="M1002" s="367"/>
      <c r="N1002" s="367"/>
      <c r="O1002" s="367"/>
      <c r="P1002" s="367"/>
      <c r="Q1002" s="367"/>
      <c r="R1002" s="367"/>
      <c r="S1002" s="367"/>
      <c r="T1002" s="367"/>
      <c r="U1002" s="367"/>
      <c r="V1002" s="367"/>
      <c r="W1002" s="367"/>
      <c r="X1002" s="367"/>
      <c r="Y1002" s="367"/>
      <c r="Z1002" s="367"/>
      <c r="AA1002" s="367"/>
      <c r="AB1002" s="367"/>
      <c r="AC1002" s="367"/>
      <c r="AD1002" s="367"/>
      <c r="AE1002" s="367"/>
      <c r="AF1002" s="367"/>
    </row>
    <row r="1003" ht="15.75" customHeight="1">
      <c r="A1003" s="359"/>
      <c r="B1003" s="361"/>
      <c r="C1003" s="361"/>
      <c r="D1003" s="361"/>
      <c r="E1003" s="367"/>
      <c r="F1003" s="367"/>
      <c r="G1003" s="367"/>
      <c r="H1003" s="367"/>
      <c r="I1003" s="367"/>
      <c r="J1003" s="367"/>
      <c r="K1003" s="367"/>
      <c r="L1003" s="367"/>
      <c r="M1003" s="367"/>
      <c r="N1003" s="367"/>
      <c r="O1003" s="367"/>
      <c r="P1003" s="367"/>
      <c r="Q1003" s="367"/>
      <c r="R1003" s="367"/>
      <c r="S1003" s="367"/>
      <c r="T1003" s="367"/>
      <c r="U1003" s="367"/>
      <c r="V1003" s="367"/>
      <c r="W1003" s="367"/>
      <c r="X1003" s="367"/>
      <c r="Y1003" s="367"/>
      <c r="Z1003" s="367"/>
      <c r="AA1003" s="367"/>
      <c r="AB1003" s="367"/>
      <c r="AC1003" s="367"/>
      <c r="AD1003" s="367"/>
      <c r="AE1003" s="367"/>
      <c r="AF1003" s="367"/>
    </row>
    <row r="1004" ht="15.75" customHeight="1">
      <c r="A1004" s="359"/>
      <c r="B1004" s="361"/>
      <c r="C1004" s="361"/>
      <c r="D1004" s="361"/>
      <c r="E1004" s="367"/>
      <c r="F1004" s="367"/>
      <c r="G1004" s="367"/>
      <c r="H1004" s="367"/>
      <c r="I1004" s="367"/>
      <c r="J1004" s="367"/>
      <c r="K1004" s="367"/>
      <c r="L1004" s="367"/>
      <c r="M1004" s="367"/>
      <c r="N1004" s="367"/>
      <c r="O1004" s="367"/>
      <c r="P1004" s="367"/>
      <c r="Q1004" s="367"/>
      <c r="R1004" s="367"/>
      <c r="S1004" s="367"/>
      <c r="T1004" s="367"/>
      <c r="U1004" s="367"/>
      <c r="V1004" s="367"/>
      <c r="W1004" s="367"/>
      <c r="X1004" s="367"/>
      <c r="Y1004" s="367"/>
      <c r="Z1004" s="367"/>
      <c r="AA1004" s="367"/>
      <c r="AB1004" s="367"/>
      <c r="AC1004" s="367"/>
      <c r="AD1004" s="367"/>
      <c r="AE1004" s="367"/>
      <c r="AF1004" s="367"/>
    </row>
  </sheetData>
  <mergeCells count="8">
    <mergeCell ref="P7:R7"/>
    <mergeCell ref="D8:I8"/>
    <mergeCell ref="P8:R8"/>
    <mergeCell ref="D9:I10"/>
    <mergeCell ref="D11:I11"/>
    <mergeCell ref="D13:I13"/>
    <mergeCell ref="D14:I16"/>
    <mergeCell ref="D17:I17"/>
  </mergeCells>
  <conditionalFormatting sqref="D1:D6">
    <cfRule type="containsText" dxfId="2" priority="1" operator="containsText" text="squat">
      <formula>NOT(ISERROR(SEARCH(("squat"),(D1))))</formula>
    </cfRule>
  </conditionalFormatting>
  <conditionalFormatting sqref="D1:D6">
    <cfRule type="containsText" dxfId="3" priority="2" operator="containsText" text="bench press">
      <formula>NOT(ISERROR(SEARCH(("bench press"),(D1))))</formula>
    </cfRule>
  </conditionalFormatting>
  <conditionalFormatting sqref="D1:D6">
    <cfRule type="containsText" dxfId="4" priority="3" operator="containsText" text="deadlift">
      <formula>NOT(ISERROR(SEARCH(("deadlift"),(D1))))</formula>
    </cfRule>
  </conditionalFormatting>
  <hyperlinks>
    <hyperlink r:id="rId1" ref="D11"/>
    <hyperlink r:id="rId2" ref="D17"/>
  </hyperlinks>
  <printOptions/>
  <pageMargins bottom="0.75" footer="0.0" header="0.0" left="0.7" right="0.7" top="0.75"/>
  <pageSetup orientation="portrait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.0"/>
    <col customWidth="1" min="2" max="2" width="2.38"/>
    <col customWidth="1" min="3" max="3" width="1.0"/>
    <col customWidth="1" min="4" max="4" width="5.25"/>
    <col customWidth="1" min="5" max="8" width="9.0"/>
    <col customWidth="1" min="9" max="9" width="14.0"/>
    <col customWidth="1" min="10" max="14" width="9.0"/>
    <col customWidth="1" min="15" max="15" width="3.13"/>
    <col customWidth="1" min="16" max="16" width="10.75"/>
    <col customWidth="1" min="17" max="32" width="9.0"/>
  </cols>
  <sheetData>
    <row r="1" ht="5.25" customHeight="1">
      <c r="A1" s="101"/>
      <c r="B1" s="341"/>
      <c r="C1" s="101"/>
      <c r="D1" s="101"/>
      <c r="E1" s="101"/>
      <c r="F1" s="101"/>
      <c r="G1" s="101"/>
      <c r="H1" s="101"/>
      <c r="I1" s="101"/>
      <c r="J1" s="101"/>
      <c r="K1" s="342"/>
      <c r="L1" s="342"/>
      <c r="M1" s="342"/>
      <c r="N1" s="342"/>
      <c r="O1" s="342"/>
      <c r="P1" s="19"/>
      <c r="Q1" s="343"/>
      <c r="R1" s="343"/>
      <c r="S1" s="343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4"/>
      <c r="AE1" s="344"/>
      <c r="AF1" s="344"/>
    </row>
    <row r="2" ht="13.5" customHeight="1">
      <c r="A2" s="208"/>
      <c r="B2" s="345"/>
      <c r="C2" s="346"/>
      <c r="D2" s="346"/>
      <c r="E2" s="346"/>
      <c r="F2" s="346"/>
      <c r="G2" s="346"/>
      <c r="H2" s="346"/>
      <c r="I2" s="346"/>
      <c r="J2" s="346"/>
      <c r="K2" s="347"/>
      <c r="L2" s="347"/>
      <c r="M2" s="347"/>
      <c r="N2" s="347"/>
      <c r="O2" s="347"/>
      <c r="P2" s="348"/>
      <c r="Q2" s="349"/>
      <c r="R2" s="349"/>
      <c r="S2" s="349"/>
      <c r="T2" s="349"/>
      <c r="U2" s="349"/>
      <c r="V2" s="349"/>
      <c r="W2" s="349"/>
      <c r="X2" s="349"/>
      <c r="Y2" s="349"/>
      <c r="Z2" s="349"/>
      <c r="AA2" s="349"/>
      <c r="AB2" s="349"/>
      <c r="AC2" s="349"/>
      <c r="AD2" s="350"/>
      <c r="AE2" s="350"/>
      <c r="AF2" s="350"/>
    </row>
    <row r="3" ht="5.25" customHeight="1">
      <c r="A3" s="26"/>
      <c r="B3" s="351"/>
      <c r="C3" s="12"/>
      <c r="D3" s="12"/>
      <c r="E3" s="12"/>
      <c r="F3" s="12"/>
      <c r="G3" s="12"/>
      <c r="H3" s="12"/>
      <c r="I3" s="12"/>
      <c r="J3" s="12"/>
      <c r="K3" s="342"/>
      <c r="L3" s="342"/>
      <c r="M3" s="342"/>
      <c r="N3" s="342"/>
      <c r="O3" s="342"/>
      <c r="P3" s="19"/>
      <c r="Q3" s="343"/>
      <c r="R3" s="343"/>
      <c r="S3" s="343"/>
      <c r="T3" s="343"/>
      <c r="U3" s="343"/>
      <c r="V3" s="343"/>
      <c r="W3" s="343"/>
      <c r="X3" s="343"/>
      <c r="Y3" s="343"/>
      <c r="Z3" s="343"/>
      <c r="AA3" s="343"/>
      <c r="AB3" s="343"/>
      <c r="AC3" s="343"/>
      <c r="AD3" s="344"/>
      <c r="AE3" s="344"/>
      <c r="AF3" s="344"/>
    </row>
    <row r="4" ht="18.75" customHeight="1">
      <c r="A4" s="26"/>
      <c r="B4" s="351"/>
      <c r="C4" s="12"/>
      <c r="D4" s="14"/>
      <c r="E4" s="14"/>
      <c r="F4" s="14"/>
      <c r="G4" s="14"/>
      <c r="H4" s="14"/>
      <c r="I4" s="14"/>
      <c r="J4" s="14"/>
      <c r="K4" s="352"/>
      <c r="L4" s="352"/>
      <c r="M4" s="352"/>
      <c r="N4" s="352"/>
      <c r="O4" s="352"/>
      <c r="P4" s="353"/>
      <c r="Q4" s="354"/>
      <c r="R4" s="354"/>
      <c r="S4" s="354"/>
      <c r="T4" s="354"/>
      <c r="U4" s="354"/>
      <c r="V4" s="354"/>
      <c r="W4" s="354"/>
      <c r="X4" s="354"/>
      <c r="Y4" s="354"/>
      <c r="Z4" s="354"/>
      <c r="AA4" s="354"/>
      <c r="AB4" s="354"/>
      <c r="AC4" s="354"/>
      <c r="AD4" s="355"/>
      <c r="AE4" s="355"/>
      <c r="AF4" s="355"/>
    </row>
    <row r="5" ht="5.25" customHeight="1">
      <c r="A5" s="26"/>
      <c r="B5" s="351"/>
      <c r="C5" s="12"/>
      <c r="D5" s="12"/>
      <c r="E5" s="12"/>
      <c r="F5" s="19"/>
      <c r="G5" s="19"/>
      <c r="H5" s="19"/>
      <c r="I5" s="19"/>
      <c r="J5" s="12"/>
      <c r="K5" s="342"/>
      <c r="L5" s="342"/>
      <c r="M5" s="342"/>
      <c r="N5" s="342"/>
      <c r="O5" s="342"/>
      <c r="P5" s="19"/>
      <c r="Q5" s="343"/>
      <c r="R5" s="343"/>
      <c r="S5" s="343"/>
      <c r="T5" s="343"/>
      <c r="U5" s="343"/>
      <c r="V5" s="343"/>
      <c r="W5" s="343"/>
      <c r="X5" s="343"/>
      <c r="Y5" s="343"/>
      <c r="Z5" s="343"/>
      <c r="AA5" s="343"/>
      <c r="AB5" s="343"/>
      <c r="AC5" s="343"/>
      <c r="AD5" s="344"/>
      <c r="AE5" s="344"/>
      <c r="AF5" s="344"/>
    </row>
    <row r="6" ht="22.5" customHeight="1">
      <c r="A6" s="26"/>
      <c r="B6" s="351"/>
      <c r="C6" s="12"/>
      <c r="D6" s="20"/>
      <c r="E6" s="20"/>
      <c r="F6" s="21"/>
      <c r="G6" s="21"/>
      <c r="H6" s="21"/>
      <c r="I6" s="21"/>
      <c r="J6" s="20"/>
      <c r="K6" s="356"/>
      <c r="L6" s="356"/>
      <c r="M6" s="356"/>
      <c r="N6" s="356"/>
      <c r="O6" s="356"/>
      <c r="P6" s="21"/>
      <c r="Q6" s="357"/>
      <c r="R6" s="357"/>
      <c r="S6" s="357"/>
      <c r="T6" s="357"/>
      <c r="U6" s="357"/>
      <c r="V6" s="357"/>
      <c r="W6" s="357"/>
      <c r="X6" s="357"/>
      <c r="Y6" s="357"/>
      <c r="Z6" s="357"/>
      <c r="AA6" s="357"/>
      <c r="AB6" s="357"/>
      <c r="AC6" s="357"/>
      <c r="AD6" s="358"/>
      <c r="AE6" s="358"/>
      <c r="AF6" s="358"/>
    </row>
    <row r="7" ht="5.25" customHeight="1">
      <c r="A7" s="359"/>
      <c r="B7" s="360"/>
      <c r="C7" s="359"/>
      <c r="D7" s="361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361"/>
      <c r="P7" s="362"/>
      <c r="S7" s="362"/>
      <c r="T7" s="362"/>
      <c r="U7" s="363"/>
      <c r="V7" s="363"/>
      <c r="W7" s="363"/>
      <c r="X7" s="363"/>
      <c r="Y7" s="363"/>
      <c r="Z7" s="363"/>
      <c r="AA7" s="363"/>
      <c r="AB7" s="363"/>
      <c r="AC7" s="363"/>
      <c r="AD7" s="363"/>
      <c r="AE7" s="363"/>
      <c r="AF7" s="363"/>
    </row>
    <row r="8" ht="16.5" customHeight="1">
      <c r="A8" s="359"/>
      <c r="B8" s="360"/>
      <c r="C8" s="359"/>
      <c r="D8" s="375"/>
      <c r="J8" s="101"/>
      <c r="K8" s="101"/>
      <c r="L8" s="101"/>
      <c r="M8" s="101"/>
      <c r="N8" s="101"/>
      <c r="O8" s="361"/>
      <c r="P8" s="362"/>
      <c r="S8" s="362"/>
      <c r="T8" s="362"/>
      <c r="U8" s="362"/>
      <c r="V8" s="362"/>
      <c r="W8" s="362"/>
      <c r="X8" s="362"/>
      <c r="Y8" s="362"/>
      <c r="Z8" s="362"/>
      <c r="AA8" s="362"/>
      <c r="AB8" s="362"/>
      <c r="AC8" s="362"/>
      <c r="AD8" s="362"/>
      <c r="AE8" s="362"/>
      <c r="AF8" s="362"/>
    </row>
    <row r="9" ht="14.25" customHeight="1">
      <c r="A9" s="208"/>
      <c r="B9" s="346"/>
      <c r="C9" s="208"/>
      <c r="D9" s="376"/>
      <c r="J9" s="366"/>
      <c r="K9" s="366"/>
      <c r="L9" s="366"/>
      <c r="M9" s="366"/>
      <c r="N9" s="366"/>
      <c r="O9" s="367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</row>
    <row r="10" ht="27.75" customHeight="1">
      <c r="A10" s="208"/>
      <c r="B10" s="346"/>
      <c r="C10" s="208"/>
      <c r="J10" s="366"/>
      <c r="K10" s="366"/>
      <c r="L10" s="366"/>
      <c r="M10" s="366"/>
      <c r="N10" s="366"/>
      <c r="O10" s="361"/>
      <c r="P10" s="361"/>
      <c r="Q10" s="361"/>
      <c r="R10" s="361"/>
      <c r="S10" s="361"/>
      <c r="T10" s="361"/>
      <c r="U10" s="361"/>
      <c r="V10" s="361"/>
      <c r="W10" s="361"/>
      <c r="X10" s="361"/>
      <c r="Y10" s="361"/>
      <c r="Z10" s="361"/>
      <c r="AA10" s="361"/>
      <c r="AB10" s="361"/>
      <c r="AC10" s="361"/>
      <c r="AD10" s="361"/>
      <c r="AE10" s="361"/>
      <c r="AF10" s="361"/>
    </row>
    <row r="11" ht="18.75" customHeight="1">
      <c r="A11" s="208"/>
      <c r="B11" s="346"/>
      <c r="C11" s="208"/>
      <c r="D11" s="377"/>
      <c r="J11" s="366"/>
      <c r="K11" s="366"/>
      <c r="L11" s="366"/>
      <c r="M11" s="366"/>
      <c r="N11" s="366"/>
      <c r="O11" s="361"/>
      <c r="P11" s="361"/>
      <c r="Q11" s="361"/>
      <c r="R11" s="361"/>
      <c r="S11" s="361"/>
      <c r="T11" s="361"/>
      <c r="U11" s="359"/>
      <c r="V11" s="359"/>
      <c r="W11" s="359"/>
      <c r="X11" s="359"/>
      <c r="Y11" s="359"/>
      <c r="Z11" s="359"/>
      <c r="AA11" s="359"/>
      <c r="AB11" s="359"/>
      <c r="AC11" s="359"/>
      <c r="AD11" s="359"/>
      <c r="AE11" s="359"/>
      <c r="AF11" s="359"/>
    </row>
    <row r="12" ht="5.25" customHeight="1">
      <c r="A12" s="208"/>
      <c r="B12" s="346"/>
      <c r="C12" s="208"/>
      <c r="D12" s="370"/>
      <c r="E12" s="370"/>
      <c r="F12" s="370"/>
      <c r="G12" s="370"/>
      <c r="H12" s="370"/>
      <c r="I12" s="370"/>
      <c r="J12" s="366"/>
      <c r="K12" s="366"/>
      <c r="L12" s="366"/>
      <c r="M12" s="366"/>
      <c r="N12" s="366"/>
      <c r="O12" s="361"/>
      <c r="P12" s="361"/>
      <c r="Q12" s="361"/>
      <c r="R12" s="361"/>
      <c r="S12" s="361"/>
      <c r="T12" s="361"/>
      <c r="U12" s="359"/>
      <c r="V12" s="359"/>
      <c r="W12" s="359"/>
      <c r="X12" s="359"/>
      <c r="Y12" s="359"/>
      <c r="Z12" s="359"/>
      <c r="AA12" s="359"/>
      <c r="AB12" s="359"/>
      <c r="AC12" s="359"/>
      <c r="AD12" s="359"/>
      <c r="AE12" s="359"/>
      <c r="AF12" s="359"/>
    </row>
    <row r="13" ht="17.25" customHeight="1">
      <c r="A13" s="208"/>
      <c r="B13" s="346"/>
      <c r="C13" s="208"/>
      <c r="D13" s="375"/>
      <c r="J13" s="366"/>
      <c r="K13" s="366"/>
      <c r="L13" s="366"/>
      <c r="M13" s="366"/>
      <c r="N13" s="366"/>
      <c r="O13" s="361"/>
      <c r="P13" s="361"/>
      <c r="Q13" s="361"/>
      <c r="R13" s="361"/>
      <c r="S13" s="361"/>
      <c r="T13" s="361"/>
      <c r="U13" s="359"/>
      <c r="V13" s="359"/>
      <c r="W13" s="359"/>
      <c r="X13" s="359"/>
      <c r="Y13" s="359"/>
      <c r="Z13" s="359"/>
      <c r="AA13" s="359"/>
      <c r="AB13" s="359"/>
      <c r="AC13" s="359"/>
      <c r="AD13" s="359"/>
      <c r="AE13" s="359"/>
      <c r="AF13" s="359"/>
    </row>
    <row r="14" ht="14.25" customHeight="1">
      <c r="A14" s="208"/>
      <c r="B14" s="346"/>
      <c r="C14" s="208"/>
      <c r="D14" s="376"/>
      <c r="J14" s="366"/>
      <c r="K14" s="366"/>
      <c r="L14" s="366"/>
      <c r="M14" s="366"/>
      <c r="N14" s="366"/>
      <c r="O14" s="361"/>
      <c r="P14" s="361"/>
      <c r="Q14" s="361"/>
      <c r="R14" s="361"/>
      <c r="S14" s="361"/>
      <c r="T14" s="361"/>
      <c r="U14" s="359"/>
      <c r="V14" s="359"/>
      <c r="W14" s="359"/>
      <c r="X14" s="359"/>
      <c r="Y14" s="359"/>
      <c r="Z14" s="359"/>
      <c r="AA14" s="359"/>
      <c r="AB14" s="359"/>
      <c r="AC14" s="359"/>
      <c r="AD14" s="359"/>
      <c r="AE14" s="359"/>
      <c r="AF14" s="359"/>
    </row>
    <row r="15" ht="32.25" customHeight="1">
      <c r="A15" s="208"/>
      <c r="B15" s="346"/>
      <c r="C15" s="208"/>
      <c r="J15" s="366"/>
      <c r="K15" s="366"/>
      <c r="L15" s="366"/>
      <c r="M15" s="366"/>
      <c r="N15" s="366"/>
      <c r="O15" s="361"/>
      <c r="P15" s="361"/>
      <c r="Q15" s="361"/>
      <c r="R15" s="361"/>
      <c r="S15" s="361"/>
      <c r="T15" s="361"/>
      <c r="U15" s="359"/>
      <c r="V15" s="359"/>
      <c r="W15" s="359"/>
      <c r="X15" s="359"/>
      <c r="Y15" s="359"/>
      <c r="Z15" s="359"/>
      <c r="AA15" s="359"/>
      <c r="AB15" s="359"/>
      <c r="AC15" s="359"/>
      <c r="AD15" s="359"/>
      <c r="AE15" s="359"/>
      <c r="AF15" s="359"/>
    </row>
    <row r="16" ht="35.25" customHeight="1">
      <c r="A16" s="208"/>
      <c r="B16" s="346"/>
      <c r="C16" s="208"/>
      <c r="J16" s="361"/>
      <c r="K16" s="361"/>
      <c r="L16" s="361"/>
      <c r="M16" s="361"/>
      <c r="N16" s="361"/>
      <c r="O16" s="361"/>
      <c r="P16" s="361"/>
      <c r="Q16" s="361"/>
      <c r="R16" s="361"/>
      <c r="S16" s="361"/>
      <c r="T16" s="361"/>
      <c r="U16" s="359"/>
      <c r="V16" s="359"/>
      <c r="W16" s="359"/>
      <c r="X16" s="359"/>
      <c r="Y16" s="359"/>
      <c r="Z16" s="359"/>
      <c r="AA16" s="359"/>
      <c r="AB16" s="359"/>
      <c r="AC16" s="359"/>
      <c r="AD16" s="359"/>
      <c r="AE16" s="359"/>
      <c r="AF16" s="359"/>
    </row>
    <row r="17" ht="18.75" customHeight="1">
      <c r="A17" s="359"/>
      <c r="B17" s="360"/>
      <c r="C17" s="359"/>
      <c r="D17" s="378"/>
      <c r="J17" s="361"/>
      <c r="K17" s="361"/>
      <c r="L17" s="361"/>
      <c r="M17" s="361"/>
      <c r="N17" s="361"/>
      <c r="O17" s="361"/>
      <c r="P17" s="361"/>
      <c r="Q17" s="361"/>
      <c r="R17" s="361"/>
      <c r="S17" s="361"/>
      <c r="T17" s="361"/>
      <c r="U17" s="359"/>
      <c r="V17" s="359"/>
      <c r="W17" s="359"/>
      <c r="X17" s="359"/>
      <c r="Y17" s="359"/>
      <c r="Z17" s="359"/>
      <c r="AA17" s="359"/>
      <c r="AB17" s="359"/>
      <c r="AC17" s="359"/>
      <c r="AD17" s="359"/>
      <c r="AE17" s="359"/>
      <c r="AF17" s="359"/>
    </row>
    <row r="18" ht="14.25" customHeight="1">
      <c r="A18" s="359"/>
      <c r="B18" s="359"/>
      <c r="C18" s="359"/>
      <c r="D18" s="361"/>
      <c r="E18" s="361"/>
      <c r="F18" s="361"/>
      <c r="G18" s="361"/>
      <c r="H18" s="361"/>
      <c r="I18" s="366"/>
      <c r="J18" s="361"/>
      <c r="K18" s="361"/>
      <c r="L18" s="361"/>
      <c r="M18" s="361"/>
      <c r="N18" s="361"/>
      <c r="O18" s="361"/>
      <c r="P18" s="361"/>
      <c r="Q18" s="361"/>
      <c r="R18" s="361"/>
      <c r="S18" s="361"/>
      <c r="T18" s="361"/>
      <c r="U18" s="359"/>
      <c r="V18" s="359"/>
      <c r="W18" s="359"/>
      <c r="X18" s="359"/>
      <c r="Y18" s="359"/>
      <c r="Z18" s="359"/>
      <c r="AA18" s="359"/>
      <c r="AB18" s="359"/>
      <c r="AC18" s="359"/>
      <c r="AD18" s="359"/>
      <c r="AE18" s="359"/>
      <c r="AF18" s="359"/>
    </row>
    <row r="19" ht="14.25" customHeight="1">
      <c r="A19" s="359"/>
      <c r="B19" s="359"/>
      <c r="C19" s="359"/>
      <c r="D19" s="361"/>
      <c r="E19" s="361"/>
      <c r="F19" s="361"/>
      <c r="G19" s="361"/>
      <c r="H19" s="361"/>
      <c r="I19" s="361"/>
      <c r="J19" s="361"/>
      <c r="K19" s="361"/>
      <c r="L19" s="361"/>
      <c r="M19" s="361"/>
      <c r="N19" s="361"/>
      <c r="O19" s="361"/>
      <c r="P19" s="361"/>
      <c r="Q19" s="361"/>
      <c r="R19" s="361"/>
      <c r="S19" s="361"/>
      <c r="T19" s="361"/>
      <c r="U19" s="359"/>
      <c r="V19" s="359"/>
      <c r="W19" s="359"/>
      <c r="X19" s="359"/>
      <c r="Y19" s="359"/>
      <c r="Z19" s="359"/>
      <c r="AA19" s="359"/>
      <c r="AB19" s="359"/>
      <c r="AC19" s="359"/>
      <c r="AD19" s="359"/>
      <c r="AE19" s="359"/>
      <c r="AF19" s="359"/>
    </row>
    <row r="20" ht="14.25" customHeight="1">
      <c r="A20" s="359"/>
      <c r="B20" s="359"/>
      <c r="C20" s="359"/>
      <c r="D20" s="361"/>
      <c r="E20" s="361"/>
      <c r="F20" s="361"/>
      <c r="G20" s="361"/>
      <c r="H20" s="361"/>
      <c r="I20" s="361"/>
      <c r="J20" s="361"/>
      <c r="K20" s="379"/>
      <c r="L20" s="374"/>
      <c r="M20" s="374"/>
      <c r="N20" s="374"/>
      <c r="O20" s="374"/>
      <c r="P20" s="374"/>
      <c r="Q20" s="374"/>
      <c r="R20" s="374"/>
      <c r="S20" s="359"/>
      <c r="T20" s="359"/>
      <c r="U20" s="359"/>
      <c r="V20" s="359"/>
      <c r="W20" s="359"/>
      <c r="X20" s="359"/>
      <c r="Y20" s="359"/>
      <c r="Z20" s="359"/>
      <c r="AA20" s="359"/>
      <c r="AB20" s="359"/>
      <c r="AC20" s="359"/>
      <c r="AD20" s="359"/>
      <c r="AE20" s="359"/>
      <c r="AF20" s="359"/>
    </row>
    <row r="21" ht="14.25" customHeight="1">
      <c r="A21" s="359"/>
      <c r="B21" s="359"/>
      <c r="C21" s="359"/>
      <c r="D21" s="380"/>
      <c r="E21" s="380"/>
      <c r="F21" s="380"/>
      <c r="G21" s="380"/>
      <c r="H21" s="380"/>
      <c r="I21" s="380"/>
      <c r="J21" s="380"/>
      <c r="K21" s="374"/>
      <c r="L21" s="374"/>
      <c r="M21" s="374"/>
      <c r="N21" s="374"/>
      <c r="O21" s="374"/>
      <c r="P21" s="374"/>
      <c r="Q21" s="374"/>
      <c r="R21" s="374"/>
      <c r="S21" s="359"/>
      <c r="T21" s="359"/>
      <c r="U21" s="359"/>
      <c r="V21" s="359"/>
      <c r="W21" s="359"/>
      <c r="X21" s="359"/>
      <c r="Y21" s="359"/>
      <c r="Z21" s="359"/>
      <c r="AA21" s="359"/>
      <c r="AB21" s="359"/>
      <c r="AC21" s="359"/>
      <c r="AD21" s="359"/>
      <c r="AE21" s="359"/>
      <c r="AF21" s="359"/>
    </row>
    <row r="22" ht="14.25" customHeight="1">
      <c r="A22" s="359"/>
      <c r="B22" s="359"/>
      <c r="C22" s="359"/>
      <c r="D22" s="374"/>
      <c r="E22" s="374"/>
      <c r="F22" s="374"/>
      <c r="G22" s="374"/>
      <c r="H22" s="374"/>
      <c r="I22" s="374"/>
      <c r="J22" s="374"/>
      <c r="K22" s="374"/>
      <c r="L22" s="374"/>
      <c r="M22" s="374"/>
      <c r="N22" s="374"/>
      <c r="O22" s="374"/>
      <c r="P22" s="374"/>
      <c r="Q22" s="374"/>
      <c r="R22" s="374"/>
      <c r="S22" s="359"/>
      <c r="T22" s="359"/>
      <c r="U22" s="359"/>
      <c r="V22" s="359"/>
      <c r="W22" s="359"/>
      <c r="X22" s="359"/>
      <c r="Y22" s="359"/>
      <c r="Z22" s="359"/>
      <c r="AA22" s="359"/>
      <c r="AB22" s="359"/>
      <c r="AC22" s="359"/>
      <c r="AD22" s="359"/>
      <c r="AE22" s="359"/>
      <c r="AF22" s="359"/>
    </row>
    <row r="23" ht="14.25" customHeight="1">
      <c r="A23" s="359"/>
      <c r="B23" s="359"/>
      <c r="C23" s="359"/>
      <c r="D23" s="374"/>
      <c r="E23" s="374"/>
      <c r="F23" s="374"/>
      <c r="G23" s="374"/>
      <c r="H23" s="374"/>
      <c r="I23" s="374"/>
      <c r="J23" s="374"/>
      <c r="K23" s="374"/>
      <c r="L23" s="374"/>
      <c r="M23" s="374"/>
      <c r="N23" s="374"/>
      <c r="O23" s="374"/>
      <c r="P23" s="374"/>
      <c r="Q23" s="374"/>
      <c r="R23" s="374"/>
      <c r="S23" s="359"/>
      <c r="T23" s="359"/>
      <c r="U23" s="359"/>
      <c r="V23" s="359"/>
      <c r="W23" s="359"/>
      <c r="X23" s="359"/>
      <c r="Y23" s="359"/>
      <c r="Z23" s="359"/>
      <c r="AA23" s="359"/>
      <c r="AB23" s="359"/>
      <c r="AC23" s="359"/>
      <c r="AD23" s="359"/>
      <c r="AE23" s="359"/>
      <c r="AF23" s="359"/>
    </row>
    <row r="24" ht="14.25" customHeight="1">
      <c r="A24" s="359"/>
      <c r="B24" s="359"/>
      <c r="C24" s="359"/>
      <c r="D24" s="374"/>
      <c r="E24" s="374"/>
      <c r="F24" s="374"/>
      <c r="G24" s="374"/>
      <c r="H24" s="374"/>
      <c r="I24" s="374"/>
      <c r="J24" s="374"/>
      <c r="K24" s="374"/>
      <c r="L24" s="374"/>
      <c r="M24" s="374"/>
      <c r="N24" s="374"/>
      <c r="O24" s="374"/>
      <c r="P24" s="374"/>
      <c r="Q24" s="374"/>
      <c r="R24" s="374"/>
      <c r="S24" s="359"/>
      <c r="T24" s="359"/>
      <c r="U24" s="359"/>
      <c r="V24" s="359"/>
      <c r="W24" s="359"/>
      <c r="X24" s="359"/>
      <c r="Y24" s="359"/>
      <c r="Z24" s="359"/>
      <c r="AA24" s="359"/>
      <c r="AB24" s="359"/>
      <c r="AC24" s="359"/>
      <c r="AD24" s="359"/>
      <c r="AE24" s="359"/>
      <c r="AF24" s="359"/>
    </row>
    <row r="25" ht="14.25" customHeight="1">
      <c r="A25" s="359"/>
      <c r="B25" s="359"/>
      <c r="C25" s="359"/>
      <c r="D25" s="374"/>
      <c r="E25" s="374"/>
      <c r="F25" s="374"/>
      <c r="G25" s="374"/>
      <c r="H25" s="374"/>
      <c r="I25" s="374"/>
      <c r="J25" s="374"/>
      <c r="K25" s="374"/>
      <c r="L25" s="374"/>
      <c r="M25" s="374"/>
      <c r="N25" s="374"/>
      <c r="O25" s="374"/>
      <c r="P25" s="374"/>
      <c r="Q25" s="374"/>
      <c r="R25" s="374"/>
      <c r="S25" s="359"/>
      <c r="T25" s="359"/>
      <c r="U25" s="359"/>
      <c r="V25" s="359"/>
      <c r="W25" s="359"/>
      <c r="X25" s="359"/>
      <c r="Y25" s="359"/>
      <c r="Z25" s="359"/>
      <c r="AA25" s="359"/>
      <c r="AB25" s="359"/>
      <c r="AC25" s="359"/>
      <c r="AD25" s="359"/>
      <c r="AE25" s="359"/>
      <c r="AF25" s="359"/>
    </row>
    <row r="26" ht="14.25" customHeight="1">
      <c r="A26" s="359"/>
      <c r="B26" s="359"/>
      <c r="C26" s="359"/>
      <c r="D26" s="374"/>
      <c r="E26" s="374"/>
      <c r="F26" s="374"/>
      <c r="G26" s="374"/>
      <c r="H26" s="374"/>
      <c r="I26" s="374"/>
      <c r="J26" s="374"/>
      <c r="K26" s="374"/>
      <c r="L26" s="374"/>
      <c r="M26" s="374"/>
      <c r="N26" s="374"/>
      <c r="O26" s="374"/>
      <c r="P26" s="374"/>
      <c r="Q26" s="374"/>
      <c r="R26" s="374"/>
      <c r="S26" s="359"/>
      <c r="T26" s="359"/>
      <c r="U26" s="359"/>
      <c r="V26" s="359"/>
      <c r="W26" s="359"/>
      <c r="X26" s="359"/>
      <c r="Y26" s="359"/>
      <c r="Z26" s="359"/>
      <c r="AA26" s="359"/>
      <c r="AB26" s="359"/>
      <c r="AC26" s="359"/>
      <c r="AD26" s="359"/>
      <c r="AE26" s="359"/>
      <c r="AF26" s="359"/>
    </row>
    <row r="27" ht="14.25" customHeight="1">
      <c r="A27" s="359"/>
      <c r="B27" s="359"/>
      <c r="C27" s="359"/>
      <c r="D27" s="374"/>
      <c r="E27" s="374"/>
      <c r="F27" s="374"/>
      <c r="G27" s="374"/>
      <c r="H27" s="374"/>
      <c r="I27" s="374"/>
      <c r="J27" s="374"/>
      <c r="K27" s="374"/>
      <c r="L27" s="374"/>
      <c r="M27" s="374"/>
      <c r="N27" s="374"/>
      <c r="O27" s="374"/>
      <c r="P27" s="374"/>
      <c r="Q27" s="374"/>
      <c r="R27" s="374"/>
      <c r="S27" s="359"/>
      <c r="T27" s="359"/>
      <c r="U27" s="359"/>
      <c r="V27" s="359"/>
      <c r="W27" s="359"/>
      <c r="X27" s="359"/>
      <c r="Y27" s="359"/>
      <c r="Z27" s="359"/>
      <c r="AA27" s="359"/>
      <c r="AB27" s="359"/>
      <c r="AC27" s="359"/>
      <c r="AD27" s="359"/>
      <c r="AE27" s="359"/>
      <c r="AF27" s="359"/>
    </row>
    <row r="28" ht="14.25" customHeight="1">
      <c r="A28" s="359"/>
      <c r="B28" s="359"/>
      <c r="C28" s="359"/>
      <c r="D28" s="374"/>
      <c r="E28" s="374"/>
      <c r="F28" s="374"/>
      <c r="G28" s="374"/>
      <c r="H28" s="374"/>
      <c r="I28" s="374"/>
      <c r="J28" s="374"/>
      <c r="K28" s="374"/>
      <c r="L28" s="374"/>
      <c r="M28" s="374"/>
      <c r="N28" s="374"/>
      <c r="O28" s="374"/>
      <c r="P28" s="374"/>
      <c r="Q28" s="374"/>
      <c r="R28" s="374"/>
      <c r="S28" s="359"/>
      <c r="T28" s="359"/>
      <c r="U28" s="359"/>
      <c r="V28" s="359"/>
      <c r="W28" s="359"/>
      <c r="X28" s="359"/>
      <c r="Y28" s="359"/>
      <c r="Z28" s="359"/>
      <c r="AA28" s="359"/>
      <c r="AB28" s="359"/>
      <c r="AC28" s="359"/>
      <c r="AD28" s="359"/>
      <c r="AE28" s="359"/>
      <c r="AF28" s="359"/>
    </row>
    <row r="29" ht="14.25" customHeight="1">
      <c r="A29" s="359"/>
      <c r="B29" s="359"/>
      <c r="C29" s="359"/>
      <c r="D29" s="374"/>
      <c r="E29" s="374"/>
      <c r="F29" s="374"/>
      <c r="G29" s="374"/>
      <c r="H29" s="374"/>
      <c r="I29" s="374"/>
      <c r="J29" s="374"/>
      <c r="K29" s="374"/>
      <c r="L29" s="374"/>
      <c r="M29" s="374"/>
      <c r="N29" s="374"/>
      <c r="O29" s="374"/>
      <c r="P29" s="374"/>
      <c r="Q29" s="374"/>
      <c r="R29" s="374"/>
      <c r="S29" s="359"/>
      <c r="T29" s="359"/>
      <c r="U29" s="359"/>
      <c r="V29" s="359"/>
      <c r="W29" s="359"/>
      <c r="X29" s="359"/>
      <c r="Y29" s="359"/>
      <c r="Z29" s="359"/>
      <c r="AA29" s="359"/>
      <c r="AB29" s="359"/>
      <c r="AC29" s="359"/>
      <c r="AD29" s="359"/>
      <c r="AE29" s="359"/>
      <c r="AF29" s="359"/>
    </row>
    <row r="30" ht="14.25" customHeight="1">
      <c r="A30" s="359"/>
      <c r="B30" s="359"/>
      <c r="C30" s="359"/>
      <c r="D30" s="374"/>
      <c r="E30" s="374"/>
      <c r="F30" s="374"/>
      <c r="G30" s="374"/>
      <c r="H30" s="374"/>
      <c r="I30" s="374"/>
      <c r="J30" s="374"/>
      <c r="K30" s="374"/>
      <c r="L30" s="374"/>
      <c r="M30" s="374"/>
      <c r="N30" s="374"/>
      <c r="O30" s="374"/>
      <c r="P30" s="374"/>
      <c r="Q30" s="374"/>
      <c r="R30" s="374"/>
      <c r="S30" s="359"/>
      <c r="T30" s="359"/>
      <c r="U30" s="359"/>
      <c r="V30" s="359"/>
      <c r="W30" s="359"/>
      <c r="X30" s="359"/>
      <c r="Y30" s="359"/>
      <c r="Z30" s="359"/>
      <c r="AA30" s="359"/>
      <c r="AB30" s="359"/>
      <c r="AC30" s="359"/>
      <c r="AD30" s="359"/>
      <c r="AE30" s="359"/>
      <c r="AF30" s="359"/>
    </row>
    <row r="31" ht="14.25" customHeight="1">
      <c r="A31" s="359"/>
      <c r="B31" s="359"/>
      <c r="C31" s="359"/>
      <c r="D31" s="374"/>
      <c r="E31" s="374"/>
      <c r="F31" s="374"/>
      <c r="G31" s="374"/>
      <c r="H31" s="374"/>
      <c r="I31" s="374"/>
      <c r="J31" s="374"/>
      <c r="K31" s="374"/>
      <c r="L31" s="374"/>
      <c r="M31" s="374"/>
      <c r="N31" s="374"/>
      <c r="O31" s="374"/>
      <c r="P31" s="374"/>
      <c r="Q31" s="374"/>
      <c r="R31" s="374"/>
      <c r="S31" s="359"/>
      <c r="T31" s="359"/>
      <c r="U31" s="359"/>
      <c r="V31" s="359"/>
      <c r="W31" s="359"/>
      <c r="X31" s="359"/>
      <c r="Y31" s="359"/>
      <c r="Z31" s="359"/>
      <c r="AA31" s="359"/>
      <c r="AB31" s="359"/>
      <c r="AC31" s="359"/>
      <c r="AD31" s="359"/>
      <c r="AE31" s="359"/>
      <c r="AF31" s="359"/>
    </row>
    <row r="32" ht="14.25" customHeight="1">
      <c r="A32" s="359"/>
      <c r="B32" s="359"/>
      <c r="C32" s="359"/>
      <c r="D32" s="374"/>
      <c r="E32" s="374"/>
      <c r="F32" s="374"/>
      <c r="G32" s="374"/>
      <c r="H32" s="374"/>
      <c r="I32" s="374"/>
      <c r="J32" s="374"/>
      <c r="K32" s="374"/>
      <c r="L32" s="374"/>
      <c r="M32" s="374"/>
      <c r="N32" s="374"/>
      <c r="O32" s="374"/>
      <c r="P32" s="374"/>
      <c r="Q32" s="374"/>
      <c r="R32" s="374"/>
      <c r="S32" s="359"/>
      <c r="T32" s="359"/>
      <c r="U32" s="359"/>
      <c r="V32" s="359"/>
      <c r="W32" s="359"/>
      <c r="X32" s="359"/>
      <c r="Y32" s="359"/>
      <c r="Z32" s="359"/>
      <c r="AA32" s="359"/>
      <c r="AB32" s="359"/>
      <c r="AC32" s="359"/>
      <c r="AD32" s="359"/>
      <c r="AE32" s="359"/>
      <c r="AF32" s="359"/>
    </row>
    <row r="33" ht="14.25" customHeight="1">
      <c r="A33" s="359"/>
      <c r="B33" s="359"/>
      <c r="C33" s="359"/>
      <c r="D33" s="374"/>
      <c r="E33" s="374"/>
      <c r="F33" s="374"/>
      <c r="G33" s="374"/>
      <c r="H33" s="374"/>
      <c r="I33" s="374"/>
      <c r="J33" s="374"/>
      <c r="K33" s="374"/>
      <c r="L33" s="374"/>
      <c r="M33" s="374"/>
      <c r="N33" s="374"/>
      <c r="O33" s="374"/>
      <c r="P33" s="374"/>
      <c r="Q33" s="374"/>
      <c r="R33" s="374"/>
      <c r="S33" s="359"/>
      <c r="T33" s="359"/>
      <c r="U33" s="359"/>
      <c r="V33" s="359"/>
      <c r="W33" s="359"/>
      <c r="X33" s="359"/>
      <c r="Y33" s="359"/>
      <c r="Z33" s="359"/>
      <c r="AA33" s="359"/>
      <c r="AB33" s="359"/>
      <c r="AC33" s="359"/>
      <c r="AD33" s="359"/>
      <c r="AE33" s="359"/>
      <c r="AF33" s="359"/>
    </row>
    <row r="34" ht="14.25" customHeight="1">
      <c r="A34" s="359"/>
      <c r="B34" s="359"/>
      <c r="C34" s="359"/>
      <c r="D34" s="374"/>
      <c r="E34" s="374"/>
      <c r="F34" s="374"/>
      <c r="G34" s="374"/>
      <c r="H34" s="374"/>
      <c r="I34" s="374"/>
      <c r="J34" s="374"/>
      <c r="K34" s="374"/>
      <c r="L34" s="374"/>
      <c r="M34" s="374"/>
      <c r="N34" s="374"/>
      <c r="O34" s="374"/>
      <c r="P34" s="374"/>
      <c r="Q34" s="374"/>
      <c r="R34" s="374"/>
      <c r="S34" s="359"/>
      <c r="T34" s="359"/>
      <c r="U34" s="359"/>
      <c r="V34" s="359"/>
      <c r="W34" s="359"/>
      <c r="X34" s="359"/>
      <c r="Y34" s="359"/>
      <c r="Z34" s="359"/>
      <c r="AA34" s="359"/>
      <c r="AB34" s="359"/>
      <c r="AC34" s="359"/>
      <c r="AD34" s="359"/>
      <c r="AE34" s="359"/>
      <c r="AF34" s="359"/>
    </row>
    <row r="35" ht="14.25" customHeight="1">
      <c r="A35" s="359"/>
      <c r="B35" s="359"/>
      <c r="C35" s="359"/>
      <c r="D35" s="374"/>
      <c r="E35" s="374"/>
      <c r="F35" s="374"/>
      <c r="G35" s="374"/>
      <c r="H35" s="374"/>
      <c r="I35" s="374"/>
      <c r="J35" s="374"/>
      <c r="K35" s="374"/>
      <c r="L35" s="374"/>
      <c r="M35" s="374"/>
      <c r="N35" s="374"/>
      <c r="O35" s="374"/>
      <c r="P35" s="374"/>
      <c r="Q35" s="374"/>
      <c r="R35" s="374"/>
      <c r="S35" s="359"/>
      <c r="T35" s="359"/>
      <c r="U35" s="359"/>
      <c r="V35" s="359"/>
      <c r="W35" s="359"/>
      <c r="X35" s="359"/>
      <c r="Y35" s="359"/>
      <c r="Z35" s="359"/>
      <c r="AA35" s="359"/>
      <c r="AB35" s="359"/>
      <c r="AC35" s="359"/>
      <c r="AD35" s="359"/>
      <c r="AE35" s="359"/>
      <c r="AF35" s="359"/>
    </row>
    <row r="36" ht="14.25" customHeight="1">
      <c r="A36" s="359"/>
      <c r="B36" s="359"/>
      <c r="C36" s="359"/>
      <c r="D36" s="374"/>
      <c r="E36" s="374"/>
      <c r="F36" s="374"/>
      <c r="G36" s="374"/>
      <c r="H36" s="374"/>
      <c r="I36" s="374"/>
      <c r="J36" s="374"/>
      <c r="K36" s="374"/>
      <c r="L36" s="374"/>
      <c r="M36" s="374"/>
      <c r="N36" s="374"/>
      <c r="O36" s="374"/>
      <c r="P36" s="374"/>
      <c r="Q36" s="374"/>
      <c r="R36" s="374"/>
      <c r="S36" s="359"/>
      <c r="T36" s="359"/>
      <c r="U36" s="359"/>
      <c r="V36" s="359"/>
      <c r="W36" s="359"/>
      <c r="X36" s="359"/>
      <c r="Y36" s="359"/>
      <c r="Z36" s="359"/>
      <c r="AA36" s="359"/>
      <c r="AB36" s="359"/>
      <c r="AC36" s="359"/>
      <c r="AD36" s="359"/>
      <c r="AE36" s="359"/>
      <c r="AF36" s="359"/>
    </row>
    <row r="37" ht="14.25" customHeight="1">
      <c r="A37" s="359"/>
      <c r="B37" s="359"/>
      <c r="C37" s="359"/>
      <c r="D37" s="374"/>
      <c r="E37" s="374"/>
      <c r="F37" s="374"/>
      <c r="G37" s="374"/>
      <c r="H37" s="374"/>
      <c r="I37" s="374"/>
      <c r="J37" s="374"/>
      <c r="K37" s="374"/>
      <c r="L37" s="374"/>
      <c r="M37" s="374"/>
      <c r="N37" s="374"/>
      <c r="O37" s="374"/>
      <c r="P37" s="374"/>
      <c r="Q37" s="374"/>
      <c r="R37" s="374"/>
      <c r="S37" s="359"/>
      <c r="T37" s="359"/>
      <c r="U37" s="359"/>
      <c r="V37" s="359"/>
      <c r="W37" s="359"/>
      <c r="X37" s="359"/>
      <c r="Y37" s="359"/>
      <c r="Z37" s="359"/>
      <c r="AA37" s="359"/>
      <c r="AB37" s="359"/>
      <c r="AC37" s="359"/>
      <c r="AD37" s="359"/>
      <c r="AE37" s="359"/>
      <c r="AF37" s="359"/>
    </row>
    <row r="38" ht="14.25" customHeight="1">
      <c r="A38" s="359"/>
      <c r="B38" s="359"/>
      <c r="C38" s="359"/>
      <c r="D38" s="374"/>
      <c r="E38" s="374"/>
      <c r="F38" s="374"/>
      <c r="G38" s="374"/>
      <c r="H38" s="374"/>
      <c r="I38" s="374"/>
      <c r="J38" s="374"/>
      <c r="K38" s="374"/>
      <c r="L38" s="374"/>
      <c r="M38" s="374"/>
      <c r="N38" s="374"/>
      <c r="O38" s="374"/>
      <c r="P38" s="374"/>
      <c r="Q38" s="374"/>
      <c r="R38" s="374"/>
      <c r="S38" s="359"/>
      <c r="T38" s="359"/>
      <c r="U38" s="359"/>
      <c r="V38" s="359"/>
      <c r="W38" s="359"/>
      <c r="X38" s="359"/>
      <c r="Y38" s="359"/>
      <c r="Z38" s="359"/>
      <c r="AA38" s="359"/>
      <c r="AB38" s="359"/>
      <c r="AC38" s="359"/>
      <c r="AD38" s="359"/>
      <c r="AE38" s="359"/>
      <c r="AF38" s="359"/>
    </row>
    <row r="39" ht="14.25" customHeight="1">
      <c r="A39" s="359"/>
      <c r="B39" s="359"/>
      <c r="C39" s="359"/>
      <c r="D39" s="374"/>
      <c r="E39" s="374"/>
      <c r="F39" s="374"/>
      <c r="G39" s="374"/>
      <c r="H39" s="374"/>
      <c r="I39" s="374"/>
      <c r="J39" s="374"/>
      <c r="K39" s="374"/>
      <c r="L39" s="374"/>
      <c r="M39" s="374"/>
      <c r="N39" s="374"/>
      <c r="O39" s="374"/>
      <c r="P39" s="374"/>
      <c r="Q39" s="374"/>
      <c r="R39" s="374"/>
      <c r="S39" s="359"/>
      <c r="T39" s="359"/>
      <c r="U39" s="359"/>
      <c r="V39" s="359"/>
      <c r="W39" s="359"/>
      <c r="X39" s="359"/>
      <c r="Y39" s="359"/>
      <c r="Z39" s="359"/>
      <c r="AA39" s="359"/>
      <c r="AB39" s="359"/>
      <c r="AC39" s="359"/>
      <c r="AD39" s="359"/>
      <c r="AE39" s="359"/>
      <c r="AF39" s="359"/>
    </row>
    <row r="40" ht="14.25" customHeight="1">
      <c r="A40" s="359"/>
      <c r="B40" s="359"/>
      <c r="C40" s="359"/>
      <c r="D40" s="374"/>
      <c r="E40" s="374"/>
      <c r="F40" s="374"/>
      <c r="G40" s="374"/>
      <c r="H40" s="374"/>
      <c r="I40" s="374"/>
      <c r="J40" s="374"/>
      <c r="K40" s="374"/>
      <c r="L40" s="374"/>
      <c r="M40" s="374"/>
      <c r="N40" s="374"/>
      <c r="O40" s="374"/>
      <c r="P40" s="374"/>
      <c r="Q40" s="374"/>
      <c r="R40" s="374"/>
      <c r="S40" s="359"/>
      <c r="T40" s="359"/>
      <c r="U40" s="359"/>
      <c r="V40" s="359"/>
      <c r="W40" s="359"/>
      <c r="X40" s="359"/>
      <c r="Y40" s="359"/>
      <c r="Z40" s="359"/>
      <c r="AA40" s="359"/>
      <c r="AB40" s="359"/>
      <c r="AC40" s="359"/>
      <c r="AD40" s="359"/>
      <c r="AE40" s="359"/>
      <c r="AF40" s="359"/>
    </row>
    <row r="41" ht="14.25" customHeight="1">
      <c r="A41" s="359"/>
      <c r="B41" s="359"/>
      <c r="C41" s="359"/>
      <c r="D41" s="374"/>
      <c r="E41" s="374"/>
      <c r="F41" s="374"/>
      <c r="G41" s="374"/>
      <c r="H41" s="374"/>
      <c r="I41" s="374"/>
      <c r="J41" s="374"/>
      <c r="K41" s="374"/>
      <c r="L41" s="374"/>
      <c r="M41" s="374"/>
      <c r="N41" s="374"/>
      <c r="O41" s="374"/>
      <c r="P41" s="374"/>
      <c r="Q41" s="374"/>
      <c r="R41" s="374"/>
      <c r="S41" s="359"/>
      <c r="T41" s="359"/>
      <c r="U41" s="359"/>
      <c r="V41" s="359"/>
      <c r="W41" s="359"/>
      <c r="X41" s="359"/>
      <c r="Y41" s="359"/>
      <c r="Z41" s="359"/>
      <c r="AA41" s="359"/>
      <c r="AB41" s="359"/>
      <c r="AC41" s="359"/>
      <c r="AD41" s="359"/>
      <c r="AE41" s="359"/>
      <c r="AF41" s="359"/>
    </row>
    <row r="42" ht="14.25" customHeight="1">
      <c r="A42" s="359"/>
      <c r="B42" s="359"/>
      <c r="C42" s="359"/>
      <c r="D42" s="374"/>
      <c r="E42" s="374"/>
      <c r="F42" s="374"/>
      <c r="G42" s="374"/>
      <c r="H42" s="374"/>
      <c r="I42" s="374"/>
      <c r="J42" s="374"/>
      <c r="K42" s="374"/>
      <c r="L42" s="374"/>
      <c r="M42" s="374"/>
      <c r="N42" s="374"/>
      <c r="O42" s="374"/>
      <c r="P42" s="374"/>
      <c r="Q42" s="374"/>
      <c r="R42" s="374"/>
      <c r="S42" s="359"/>
      <c r="T42" s="359"/>
      <c r="U42" s="359"/>
      <c r="V42" s="359"/>
      <c r="W42" s="359"/>
      <c r="X42" s="359"/>
      <c r="Y42" s="359"/>
      <c r="Z42" s="359"/>
      <c r="AA42" s="359"/>
      <c r="AB42" s="359"/>
      <c r="AC42" s="359"/>
      <c r="AD42" s="359"/>
      <c r="AE42" s="359"/>
      <c r="AF42" s="359"/>
    </row>
    <row r="43" ht="14.25" customHeight="1">
      <c r="A43" s="359"/>
      <c r="B43" s="359"/>
      <c r="C43" s="359"/>
      <c r="D43" s="374"/>
      <c r="E43" s="374"/>
      <c r="F43" s="374"/>
      <c r="G43" s="374"/>
      <c r="H43" s="374"/>
      <c r="I43" s="374"/>
      <c r="J43" s="374"/>
      <c r="K43" s="374"/>
      <c r="L43" s="374"/>
      <c r="M43" s="374"/>
      <c r="N43" s="374"/>
      <c r="O43" s="374"/>
      <c r="P43" s="374"/>
      <c r="Q43" s="374"/>
      <c r="R43" s="374"/>
      <c r="S43" s="359"/>
      <c r="T43" s="359"/>
      <c r="U43" s="359"/>
      <c r="V43" s="359"/>
      <c r="W43" s="359"/>
      <c r="X43" s="359"/>
      <c r="Y43" s="359"/>
      <c r="Z43" s="359"/>
      <c r="AA43" s="359"/>
      <c r="AB43" s="359"/>
      <c r="AC43" s="359"/>
      <c r="AD43" s="359"/>
      <c r="AE43" s="359"/>
      <c r="AF43" s="359"/>
    </row>
    <row r="44" ht="14.25" customHeight="1">
      <c r="A44" s="359"/>
      <c r="B44" s="359"/>
      <c r="C44" s="359"/>
      <c r="D44" s="374"/>
      <c r="E44" s="374"/>
      <c r="F44" s="374"/>
      <c r="G44" s="374"/>
      <c r="H44" s="374"/>
      <c r="I44" s="374"/>
      <c r="J44" s="374"/>
      <c r="K44" s="374"/>
      <c r="L44" s="374"/>
      <c r="M44" s="374"/>
      <c r="N44" s="374"/>
      <c r="O44" s="374"/>
      <c r="P44" s="374"/>
      <c r="Q44" s="374"/>
      <c r="R44" s="374"/>
      <c r="S44" s="359"/>
      <c r="T44" s="359"/>
      <c r="U44" s="359"/>
      <c r="V44" s="359"/>
      <c r="W44" s="359"/>
      <c r="X44" s="359"/>
      <c r="Y44" s="359"/>
      <c r="Z44" s="359"/>
      <c r="AA44" s="359"/>
      <c r="AB44" s="359"/>
      <c r="AC44" s="359"/>
      <c r="AD44" s="359"/>
      <c r="AE44" s="359"/>
      <c r="AF44" s="359"/>
    </row>
    <row r="45" ht="14.25" customHeight="1">
      <c r="A45" s="359"/>
      <c r="B45" s="359"/>
      <c r="C45" s="359"/>
      <c r="D45" s="374"/>
      <c r="E45" s="374"/>
      <c r="F45" s="374"/>
      <c r="G45" s="374"/>
      <c r="H45" s="374"/>
      <c r="I45" s="374"/>
      <c r="J45" s="374"/>
      <c r="K45" s="374"/>
      <c r="L45" s="374"/>
      <c r="M45" s="374"/>
      <c r="N45" s="374"/>
      <c r="O45" s="374"/>
      <c r="P45" s="374"/>
      <c r="Q45" s="374"/>
      <c r="R45" s="374"/>
      <c r="S45" s="359"/>
      <c r="T45" s="359"/>
      <c r="U45" s="359"/>
      <c r="V45" s="359"/>
      <c r="W45" s="359"/>
      <c r="X45" s="359"/>
      <c r="Y45" s="359"/>
      <c r="Z45" s="359"/>
      <c r="AA45" s="359"/>
      <c r="AB45" s="359"/>
      <c r="AC45" s="359"/>
      <c r="AD45" s="359"/>
      <c r="AE45" s="359"/>
      <c r="AF45" s="359"/>
    </row>
    <row r="46" ht="14.25" customHeight="1">
      <c r="A46" s="359"/>
      <c r="B46" s="359"/>
      <c r="C46" s="359"/>
      <c r="D46" s="374"/>
      <c r="E46" s="374"/>
      <c r="F46" s="374"/>
      <c r="G46" s="374"/>
      <c r="H46" s="374"/>
      <c r="I46" s="374"/>
      <c r="J46" s="374"/>
      <c r="K46" s="374"/>
      <c r="L46" s="374"/>
      <c r="M46" s="374"/>
      <c r="N46" s="374"/>
      <c r="O46" s="374"/>
      <c r="P46" s="374"/>
      <c r="Q46" s="374"/>
      <c r="R46" s="374"/>
      <c r="S46" s="359"/>
      <c r="T46" s="359"/>
      <c r="U46" s="359"/>
      <c r="V46" s="359"/>
      <c r="W46" s="359"/>
      <c r="X46" s="359"/>
      <c r="Y46" s="359"/>
      <c r="Z46" s="359"/>
      <c r="AA46" s="359"/>
      <c r="AB46" s="359"/>
      <c r="AC46" s="359"/>
      <c r="AD46" s="359"/>
      <c r="AE46" s="359"/>
      <c r="AF46" s="359"/>
    </row>
    <row r="47" ht="14.25" customHeight="1">
      <c r="A47" s="359"/>
      <c r="B47" s="359"/>
      <c r="C47" s="359"/>
      <c r="D47" s="374"/>
      <c r="E47" s="374"/>
      <c r="F47" s="374"/>
      <c r="G47" s="374"/>
      <c r="H47" s="374"/>
      <c r="I47" s="374"/>
      <c r="J47" s="374"/>
      <c r="K47" s="374"/>
      <c r="L47" s="374"/>
      <c r="M47" s="374"/>
      <c r="N47" s="374"/>
      <c r="O47" s="374"/>
      <c r="P47" s="374"/>
      <c r="Q47" s="374"/>
      <c r="R47" s="374"/>
      <c r="S47" s="359"/>
      <c r="T47" s="359"/>
      <c r="U47" s="359"/>
      <c r="V47" s="359"/>
      <c r="W47" s="359"/>
      <c r="X47" s="359"/>
      <c r="Y47" s="359"/>
      <c r="Z47" s="359"/>
      <c r="AA47" s="359"/>
      <c r="AB47" s="359"/>
      <c r="AC47" s="359"/>
      <c r="AD47" s="359"/>
      <c r="AE47" s="359"/>
      <c r="AF47" s="359"/>
    </row>
    <row r="48" ht="14.25" customHeight="1">
      <c r="A48" s="359"/>
      <c r="B48" s="359"/>
      <c r="C48" s="359"/>
      <c r="D48" s="374"/>
      <c r="E48" s="374"/>
      <c r="F48" s="374"/>
      <c r="G48" s="374"/>
      <c r="H48" s="374"/>
      <c r="I48" s="374"/>
      <c r="J48" s="374"/>
      <c r="K48" s="374"/>
      <c r="L48" s="374"/>
      <c r="M48" s="374"/>
      <c r="N48" s="374"/>
      <c r="O48" s="374"/>
      <c r="P48" s="374"/>
      <c r="Q48" s="374"/>
      <c r="R48" s="374"/>
      <c r="S48" s="359"/>
      <c r="T48" s="359"/>
      <c r="U48" s="359"/>
      <c r="V48" s="359"/>
      <c r="W48" s="359"/>
      <c r="X48" s="359"/>
      <c r="Y48" s="359"/>
      <c r="Z48" s="359"/>
      <c r="AA48" s="359"/>
      <c r="AB48" s="359"/>
      <c r="AC48" s="359"/>
      <c r="AD48" s="359"/>
      <c r="AE48" s="359"/>
      <c r="AF48" s="359"/>
    </row>
    <row r="49" ht="14.25" customHeight="1">
      <c r="A49" s="359"/>
      <c r="B49" s="359"/>
      <c r="C49" s="359"/>
      <c r="D49" s="374"/>
      <c r="E49" s="374"/>
      <c r="F49" s="374"/>
      <c r="G49" s="374"/>
      <c r="H49" s="374"/>
      <c r="I49" s="374"/>
      <c r="J49" s="374"/>
      <c r="K49" s="374"/>
      <c r="L49" s="374"/>
      <c r="M49" s="374"/>
      <c r="N49" s="374"/>
      <c r="O49" s="374"/>
      <c r="P49" s="374"/>
      <c r="Q49" s="374"/>
      <c r="R49" s="374"/>
      <c r="S49" s="359"/>
      <c r="T49" s="359"/>
      <c r="U49" s="359"/>
      <c r="V49" s="359"/>
      <c r="W49" s="359"/>
      <c r="X49" s="359"/>
      <c r="Y49" s="359"/>
      <c r="Z49" s="359"/>
      <c r="AA49" s="359"/>
      <c r="AB49" s="359"/>
      <c r="AC49" s="359"/>
      <c r="AD49" s="359"/>
      <c r="AE49" s="359"/>
      <c r="AF49" s="359"/>
    </row>
    <row r="50" ht="14.25" customHeight="1">
      <c r="A50" s="359"/>
      <c r="B50" s="359"/>
      <c r="C50" s="359"/>
      <c r="D50" s="374"/>
      <c r="E50" s="374"/>
      <c r="F50" s="374"/>
      <c r="G50" s="374"/>
      <c r="H50" s="374"/>
      <c r="I50" s="374"/>
      <c r="J50" s="374"/>
      <c r="K50" s="374"/>
      <c r="L50" s="374"/>
      <c r="M50" s="374"/>
      <c r="N50" s="374"/>
      <c r="O50" s="374"/>
      <c r="P50" s="374"/>
      <c r="Q50" s="374"/>
      <c r="R50" s="374"/>
      <c r="S50" s="359"/>
      <c r="T50" s="359"/>
      <c r="U50" s="359"/>
      <c r="V50" s="359"/>
      <c r="W50" s="359"/>
      <c r="X50" s="359"/>
      <c r="Y50" s="359"/>
      <c r="Z50" s="359"/>
      <c r="AA50" s="359"/>
      <c r="AB50" s="359"/>
      <c r="AC50" s="359"/>
      <c r="AD50" s="359"/>
      <c r="AE50" s="359"/>
      <c r="AF50" s="359"/>
    </row>
    <row r="51" ht="14.25" customHeight="1">
      <c r="A51" s="359"/>
      <c r="B51" s="359"/>
      <c r="C51" s="359"/>
      <c r="D51" s="374"/>
      <c r="E51" s="374"/>
      <c r="F51" s="374"/>
      <c r="G51" s="374"/>
      <c r="H51" s="374"/>
      <c r="I51" s="374"/>
      <c r="J51" s="374"/>
      <c r="K51" s="374"/>
      <c r="L51" s="374"/>
      <c r="M51" s="374"/>
      <c r="N51" s="374"/>
      <c r="O51" s="374"/>
      <c r="P51" s="374"/>
      <c r="Q51" s="374"/>
      <c r="R51" s="374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359"/>
      <c r="AF51" s="359"/>
    </row>
    <row r="52" ht="14.25" customHeight="1">
      <c r="A52" s="359"/>
      <c r="B52" s="359"/>
      <c r="C52" s="359"/>
      <c r="D52" s="374"/>
      <c r="E52" s="374"/>
      <c r="F52" s="374"/>
      <c r="G52" s="374"/>
      <c r="H52" s="374"/>
      <c r="I52" s="374"/>
      <c r="J52" s="374"/>
      <c r="K52" s="374"/>
      <c r="L52" s="374"/>
      <c r="M52" s="374"/>
      <c r="N52" s="374"/>
      <c r="O52" s="374"/>
      <c r="P52" s="374"/>
      <c r="Q52" s="374"/>
      <c r="R52" s="374"/>
      <c r="S52" s="359"/>
      <c r="T52" s="359"/>
      <c r="U52" s="359"/>
      <c r="V52" s="359"/>
      <c r="W52" s="359"/>
      <c r="X52" s="359"/>
      <c r="Y52" s="359"/>
      <c r="Z52" s="359"/>
      <c r="AA52" s="359"/>
      <c r="AB52" s="359"/>
      <c r="AC52" s="359"/>
      <c r="AD52" s="359"/>
      <c r="AE52" s="359"/>
      <c r="AF52" s="359"/>
    </row>
    <row r="53" ht="14.25" customHeight="1">
      <c r="A53" s="359"/>
      <c r="B53" s="359"/>
      <c r="C53" s="359"/>
      <c r="D53" s="374"/>
      <c r="E53" s="374"/>
      <c r="F53" s="374"/>
      <c r="G53" s="374"/>
      <c r="H53" s="374"/>
      <c r="I53" s="374"/>
      <c r="J53" s="374"/>
      <c r="K53" s="374"/>
      <c r="L53" s="374"/>
      <c r="M53" s="374"/>
      <c r="N53" s="374"/>
      <c r="O53" s="374"/>
      <c r="P53" s="374"/>
      <c r="Q53" s="374"/>
      <c r="R53" s="374"/>
      <c r="S53" s="359"/>
      <c r="T53" s="359"/>
      <c r="U53" s="359"/>
      <c r="V53" s="359"/>
      <c r="W53" s="359"/>
      <c r="X53" s="359"/>
      <c r="Y53" s="359"/>
      <c r="Z53" s="359"/>
      <c r="AA53" s="359"/>
      <c r="AB53" s="359"/>
      <c r="AC53" s="359"/>
      <c r="AD53" s="359"/>
      <c r="AE53" s="359"/>
      <c r="AF53" s="359"/>
    </row>
    <row r="54" ht="14.25" customHeight="1">
      <c r="A54" s="359"/>
      <c r="B54" s="359"/>
      <c r="C54" s="359"/>
      <c r="D54" s="374"/>
      <c r="E54" s="374"/>
      <c r="F54" s="374"/>
      <c r="G54" s="374"/>
      <c r="H54" s="374"/>
      <c r="I54" s="374"/>
      <c r="J54" s="374"/>
      <c r="K54" s="374"/>
      <c r="L54" s="374"/>
      <c r="M54" s="374"/>
      <c r="N54" s="374"/>
      <c r="O54" s="374"/>
      <c r="P54" s="374"/>
      <c r="Q54" s="374"/>
      <c r="R54" s="374"/>
      <c r="S54" s="359"/>
      <c r="T54" s="359"/>
      <c r="U54" s="359"/>
      <c r="V54" s="359"/>
      <c r="W54" s="359"/>
      <c r="X54" s="359"/>
      <c r="Y54" s="359"/>
      <c r="Z54" s="359"/>
      <c r="AA54" s="359"/>
      <c r="AB54" s="359"/>
      <c r="AC54" s="359"/>
      <c r="AD54" s="359"/>
      <c r="AE54" s="359"/>
      <c r="AF54" s="359"/>
    </row>
    <row r="55" ht="14.25" customHeight="1">
      <c r="A55" s="359"/>
      <c r="B55" s="359"/>
      <c r="C55" s="359"/>
      <c r="D55" s="374"/>
      <c r="E55" s="374"/>
      <c r="F55" s="374"/>
      <c r="G55" s="374"/>
      <c r="H55" s="374"/>
      <c r="I55" s="374"/>
      <c r="J55" s="374"/>
      <c r="K55" s="374"/>
      <c r="L55" s="374"/>
      <c r="M55" s="374"/>
      <c r="N55" s="374"/>
      <c r="O55" s="374"/>
      <c r="P55" s="374"/>
      <c r="Q55" s="374"/>
      <c r="R55" s="374"/>
      <c r="S55" s="359"/>
      <c r="T55" s="359"/>
      <c r="U55" s="359"/>
      <c r="V55" s="359"/>
      <c r="W55" s="359"/>
      <c r="X55" s="359"/>
      <c r="Y55" s="359"/>
      <c r="Z55" s="359"/>
      <c r="AA55" s="359"/>
      <c r="AB55" s="359"/>
      <c r="AC55" s="359"/>
      <c r="AD55" s="359"/>
      <c r="AE55" s="359"/>
      <c r="AF55" s="359"/>
    </row>
    <row r="56" ht="14.25" customHeight="1">
      <c r="A56" s="359"/>
      <c r="B56" s="359"/>
      <c r="C56" s="359"/>
      <c r="D56" s="374"/>
      <c r="E56" s="374"/>
      <c r="F56" s="374"/>
      <c r="G56" s="374"/>
      <c r="H56" s="374"/>
      <c r="I56" s="374"/>
      <c r="J56" s="374"/>
      <c r="K56" s="374"/>
      <c r="L56" s="374"/>
      <c r="M56" s="374"/>
      <c r="N56" s="374"/>
      <c r="O56" s="374"/>
      <c r="P56" s="374"/>
      <c r="Q56" s="374"/>
      <c r="R56" s="374"/>
      <c r="S56" s="359"/>
      <c r="T56" s="359"/>
      <c r="U56" s="359"/>
      <c r="V56" s="359"/>
      <c r="W56" s="359"/>
      <c r="X56" s="359"/>
      <c r="Y56" s="359"/>
      <c r="Z56" s="359"/>
      <c r="AA56" s="359"/>
      <c r="AB56" s="359"/>
      <c r="AC56" s="359"/>
      <c r="AD56" s="359"/>
      <c r="AE56" s="359"/>
      <c r="AF56" s="359"/>
    </row>
    <row r="57" ht="14.25" customHeight="1">
      <c r="A57" s="359"/>
      <c r="B57" s="359"/>
      <c r="C57" s="359"/>
      <c r="D57" s="374"/>
      <c r="E57" s="374"/>
      <c r="F57" s="374"/>
      <c r="G57" s="374"/>
      <c r="H57" s="374"/>
      <c r="I57" s="374"/>
      <c r="J57" s="374"/>
      <c r="K57" s="374"/>
      <c r="L57" s="374"/>
      <c r="M57" s="374"/>
      <c r="N57" s="374"/>
      <c r="O57" s="374"/>
      <c r="P57" s="374"/>
      <c r="Q57" s="374"/>
      <c r="R57" s="374"/>
      <c r="S57" s="359"/>
      <c r="T57" s="359"/>
      <c r="U57" s="359"/>
      <c r="V57" s="359"/>
      <c r="W57" s="359"/>
      <c r="X57" s="359"/>
      <c r="Y57" s="359"/>
      <c r="Z57" s="359"/>
      <c r="AA57" s="359"/>
      <c r="AB57" s="359"/>
      <c r="AC57" s="359"/>
      <c r="AD57" s="359"/>
      <c r="AE57" s="359"/>
      <c r="AF57" s="359"/>
    </row>
    <row r="58" ht="14.25" customHeight="1">
      <c r="A58" s="359"/>
      <c r="B58" s="359"/>
      <c r="C58" s="359"/>
      <c r="D58" s="374"/>
      <c r="E58" s="374"/>
      <c r="F58" s="374"/>
      <c r="G58" s="374"/>
      <c r="H58" s="374"/>
      <c r="I58" s="374"/>
      <c r="J58" s="374"/>
      <c r="K58" s="374"/>
      <c r="L58" s="374"/>
      <c r="M58" s="374"/>
      <c r="N58" s="374"/>
      <c r="O58" s="374"/>
      <c r="P58" s="374"/>
      <c r="Q58" s="374"/>
      <c r="R58" s="374"/>
      <c r="S58" s="359"/>
      <c r="T58" s="359"/>
      <c r="U58" s="359"/>
      <c r="V58" s="359"/>
      <c r="W58" s="359"/>
      <c r="X58" s="359"/>
      <c r="Y58" s="359"/>
      <c r="Z58" s="359"/>
      <c r="AA58" s="359"/>
      <c r="AB58" s="359"/>
      <c r="AC58" s="359"/>
      <c r="AD58" s="359"/>
      <c r="AE58" s="359"/>
      <c r="AF58" s="359"/>
    </row>
    <row r="59" ht="14.25" customHeight="1">
      <c r="A59" s="359"/>
      <c r="B59" s="359"/>
      <c r="C59" s="359"/>
      <c r="D59" s="374"/>
      <c r="E59" s="374"/>
      <c r="F59" s="374"/>
      <c r="G59" s="374"/>
      <c r="H59" s="374"/>
      <c r="I59" s="374"/>
      <c r="J59" s="374"/>
      <c r="K59" s="374"/>
      <c r="L59" s="374"/>
      <c r="M59" s="374"/>
      <c r="N59" s="374"/>
      <c r="O59" s="374"/>
      <c r="P59" s="374"/>
      <c r="Q59" s="374"/>
      <c r="R59" s="374"/>
      <c r="S59" s="359"/>
      <c r="T59" s="359"/>
      <c r="U59" s="359"/>
      <c r="V59" s="359"/>
      <c r="W59" s="359"/>
      <c r="X59" s="359"/>
      <c r="Y59" s="359"/>
      <c r="Z59" s="359"/>
      <c r="AA59" s="359"/>
      <c r="AB59" s="359"/>
      <c r="AC59" s="359"/>
      <c r="AD59" s="359"/>
      <c r="AE59" s="359"/>
      <c r="AF59" s="359"/>
    </row>
    <row r="60" ht="14.25" customHeight="1">
      <c r="A60" s="359"/>
      <c r="B60" s="359"/>
      <c r="C60" s="359"/>
      <c r="D60" s="374"/>
      <c r="E60" s="374"/>
      <c r="F60" s="374"/>
      <c r="G60" s="374"/>
      <c r="H60" s="374"/>
      <c r="I60" s="374"/>
      <c r="J60" s="374"/>
      <c r="K60" s="374"/>
      <c r="L60" s="374"/>
      <c r="M60" s="374"/>
      <c r="N60" s="374"/>
      <c r="O60" s="374"/>
      <c r="P60" s="374"/>
      <c r="Q60" s="374"/>
      <c r="R60" s="374"/>
      <c r="S60" s="359"/>
      <c r="T60" s="359"/>
      <c r="U60" s="359"/>
      <c r="V60" s="359"/>
      <c r="W60" s="359"/>
      <c r="X60" s="359"/>
      <c r="Y60" s="359"/>
      <c r="Z60" s="359"/>
      <c r="AA60" s="359"/>
      <c r="AB60" s="359"/>
      <c r="AC60" s="359"/>
      <c r="AD60" s="359"/>
      <c r="AE60" s="359"/>
      <c r="AF60" s="359"/>
    </row>
    <row r="61" ht="14.25" customHeight="1">
      <c r="A61" s="359"/>
      <c r="B61" s="359"/>
      <c r="C61" s="359"/>
      <c r="D61" s="374"/>
      <c r="E61" s="374"/>
      <c r="F61" s="374"/>
      <c r="G61" s="374"/>
      <c r="H61" s="374"/>
      <c r="I61" s="374"/>
      <c r="J61" s="374"/>
      <c r="K61" s="374"/>
      <c r="L61" s="374"/>
      <c r="M61" s="374"/>
      <c r="N61" s="374"/>
      <c r="O61" s="374"/>
      <c r="P61" s="374"/>
      <c r="Q61" s="374"/>
      <c r="R61" s="374"/>
      <c r="S61" s="359"/>
      <c r="T61" s="359"/>
      <c r="U61" s="359"/>
      <c r="V61" s="359"/>
      <c r="W61" s="359"/>
      <c r="X61" s="359"/>
      <c r="Y61" s="359"/>
      <c r="Z61" s="359"/>
      <c r="AA61" s="359"/>
      <c r="AB61" s="359"/>
      <c r="AC61" s="359"/>
      <c r="AD61" s="359"/>
      <c r="AE61" s="359"/>
      <c r="AF61" s="359"/>
    </row>
    <row r="62" ht="14.25" customHeight="1">
      <c r="A62" s="359"/>
      <c r="B62" s="359"/>
      <c r="C62" s="359"/>
      <c r="D62" s="374"/>
      <c r="E62" s="374"/>
      <c r="F62" s="374"/>
      <c r="G62" s="374"/>
      <c r="H62" s="374"/>
      <c r="I62" s="374"/>
      <c r="J62" s="374"/>
      <c r="K62" s="374"/>
      <c r="L62" s="374"/>
      <c r="M62" s="374"/>
      <c r="N62" s="374"/>
      <c r="O62" s="374"/>
      <c r="P62" s="374"/>
      <c r="Q62" s="374"/>
      <c r="R62" s="374"/>
      <c r="S62" s="359"/>
      <c r="T62" s="359"/>
      <c r="U62" s="359"/>
      <c r="V62" s="359"/>
      <c r="W62" s="359"/>
      <c r="X62" s="359"/>
      <c r="Y62" s="359"/>
      <c r="Z62" s="359"/>
      <c r="AA62" s="359"/>
      <c r="AB62" s="359"/>
      <c r="AC62" s="359"/>
      <c r="AD62" s="359"/>
      <c r="AE62" s="359"/>
      <c r="AF62" s="359"/>
    </row>
    <row r="63" ht="14.25" customHeight="1">
      <c r="A63" s="359"/>
      <c r="B63" s="359"/>
      <c r="C63" s="359"/>
      <c r="D63" s="374"/>
      <c r="E63" s="374"/>
      <c r="F63" s="374"/>
      <c r="G63" s="374"/>
      <c r="H63" s="374"/>
      <c r="I63" s="374"/>
      <c r="J63" s="374"/>
      <c r="K63" s="374"/>
      <c r="L63" s="374"/>
      <c r="M63" s="374"/>
      <c r="N63" s="374"/>
      <c r="O63" s="374"/>
      <c r="P63" s="374"/>
      <c r="Q63" s="374"/>
      <c r="R63" s="374"/>
      <c r="S63" s="359"/>
      <c r="T63" s="359"/>
      <c r="U63" s="359"/>
      <c r="V63" s="359"/>
      <c r="W63" s="359"/>
      <c r="X63" s="359"/>
      <c r="Y63" s="359"/>
      <c r="Z63" s="359"/>
      <c r="AA63" s="359"/>
      <c r="AB63" s="359"/>
      <c r="AC63" s="359"/>
      <c r="AD63" s="359"/>
      <c r="AE63" s="359"/>
      <c r="AF63" s="359"/>
    </row>
    <row r="64" ht="14.25" customHeight="1">
      <c r="A64" s="359"/>
      <c r="B64" s="359"/>
      <c r="C64" s="359"/>
      <c r="D64" s="374"/>
      <c r="E64" s="374"/>
      <c r="F64" s="374"/>
      <c r="G64" s="374"/>
      <c r="H64" s="374"/>
      <c r="I64" s="374"/>
      <c r="J64" s="374"/>
      <c r="K64" s="374"/>
      <c r="L64" s="374"/>
      <c r="M64" s="374"/>
      <c r="N64" s="374"/>
      <c r="O64" s="374"/>
      <c r="P64" s="374"/>
      <c r="Q64" s="374"/>
      <c r="R64" s="374"/>
      <c r="S64" s="359"/>
      <c r="T64" s="359"/>
      <c r="U64" s="359"/>
      <c r="V64" s="359"/>
      <c r="W64" s="359"/>
      <c r="X64" s="359"/>
      <c r="Y64" s="359"/>
      <c r="Z64" s="359"/>
      <c r="AA64" s="359"/>
      <c r="AB64" s="359"/>
      <c r="AC64" s="359"/>
      <c r="AD64" s="359"/>
      <c r="AE64" s="359"/>
      <c r="AF64" s="359"/>
    </row>
    <row r="65" ht="14.25" customHeight="1">
      <c r="A65" s="359"/>
      <c r="B65" s="359"/>
      <c r="C65" s="359"/>
      <c r="D65" s="374"/>
      <c r="E65" s="374"/>
      <c r="F65" s="374"/>
      <c r="G65" s="374"/>
      <c r="H65" s="374"/>
      <c r="I65" s="374"/>
      <c r="J65" s="374"/>
      <c r="K65" s="374"/>
      <c r="L65" s="374"/>
      <c r="M65" s="374"/>
      <c r="N65" s="374"/>
      <c r="O65" s="374"/>
      <c r="P65" s="374"/>
      <c r="Q65" s="374"/>
      <c r="R65" s="374"/>
      <c r="S65" s="359"/>
      <c r="T65" s="359"/>
      <c r="U65" s="359"/>
      <c r="V65" s="359"/>
      <c r="W65" s="359"/>
      <c r="X65" s="359"/>
      <c r="Y65" s="359"/>
      <c r="Z65" s="359"/>
      <c r="AA65" s="359"/>
      <c r="AB65" s="359"/>
      <c r="AC65" s="359"/>
      <c r="AD65" s="359"/>
      <c r="AE65" s="359"/>
      <c r="AF65" s="359"/>
    </row>
    <row r="66" ht="14.25" customHeight="1">
      <c r="A66" s="359"/>
      <c r="B66" s="359"/>
      <c r="C66" s="359"/>
      <c r="D66" s="374"/>
      <c r="E66" s="374"/>
      <c r="F66" s="374"/>
      <c r="G66" s="374"/>
      <c r="H66" s="374"/>
      <c r="I66" s="374"/>
      <c r="J66" s="374"/>
      <c r="K66" s="374"/>
      <c r="L66" s="374"/>
      <c r="M66" s="374"/>
      <c r="N66" s="374"/>
      <c r="O66" s="374"/>
      <c r="P66" s="374"/>
      <c r="Q66" s="374"/>
      <c r="R66" s="374"/>
      <c r="S66" s="359"/>
      <c r="T66" s="359"/>
      <c r="U66" s="359"/>
      <c r="V66" s="359"/>
      <c r="W66" s="359"/>
      <c r="X66" s="359"/>
      <c r="Y66" s="359"/>
      <c r="Z66" s="359"/>
      <c r="AA66" s="359"/>
      <c r="AB66" s="359"/>
      <c r="AC66" s="359"/>
      <c r="AD66" s="359"/>
      <c r="AE66" s="359"/>
      <c r="AF66" s="359"/>
    </row>
    <row r="67" ht="14.25" customHeight="1">
      <c r="A67" s="359"/>
      <c r="B67" s="359"/>
      <c r="C67" s="359"/>
      <c r="D67" s="374"/>
      <c r="E67" s="374"/>
      <c r="F67" s="374"/>
      <c r="G67" s="374"/>
      <c r="H67" s="374"/>
      <c r="I67" s="374"/>
      <c r="J67" s="374"/>
      <c r="K67" s="374"/>
      <c r="L67" s="374"/>
      <c r="M67" s="374"/>
      <c r="N67" s="374"/>
      <c r="O67" s="374"/>
      <c r="P67" s="374"/>
      <c r="Q67" s="374"/>
      <c r="R67" s="374"/>
      <c r="S67" s="359"/>
      <c r="T67" s="359"/>
      <c r="U67" s="359"/>
      <c r="V67" s="359"/>
      <c r="W67" s="359"/>
      <c r="X67" s="359"/>
      <c r="Y67" s="359"/>
      <c r="Z67" s="359"/>
      <c r="AA67" s="359"/>
      <c r="AB67" s="359"/>
      <c r="AC67" s="359"/>
      <c r="AD67" s="359"/>
      <c r="AE67" s="359"/>
      <c r="AF67" s="359"/>
    </row>
    <row r="68" ht="14.25" customHeight="1">
      <c r="A68" s="359"/>
      <c r="B68" s="359"/>
      <c r="C68" s="359"/>
      <c r="D68" s="374"/>
      <c r="E68" s="374"/>
      <c r="F68" s="374"/>
      <c r="G68" s="374"/>
      <c r="H68" s="374"/>
      <c r="I68" s="374"/>
      <c r="J68" s="374"/>
      <c r="K68" s="374"/>
      <c r="L68" s="374"/>
      <c r="M68" s="374"/>
      <c r="N68" s="374"/>
      <c r="O68" s="374"/>
      <c r="P68" s="374"/>
      <c r="Q68" s="374"/>
      <c r="R68" s="374"/>
      <c r="S68" s="359"/>
      <c r="T68" s="359"/>
      <c r="U68" s="359"/>
      <c r="V68" s="359"/>
      <c r="W68" s="359"/>
      <c r="X68" s="359"/>
      <c r="Y68" s="359"/>
      <c r="Z68" s="359"/>
      <c r="AA68" s="359"/>
      <c r="AB68" s="359"/>
      <c r="AC68" s="359"/>
      <c r="AD68" s="359"/>
      <c r="AE68" s="359"/>
      <c r="AF68" s="359"/>
    </row>
    <row r="69" ht="14.25" customHeight="1">
      <c r="A69" s="359"/>
      <c r="B69" s="359"/>
      <c r="C69" s="359"/>
      <c r="D69" s="374"/>
      <c r="E69" s="374"/>
      <c r="F69" s="374"/>
      <c r="G69" s="374"/>
      <c r="H69" s="374"/>
      <c r="I69" s="374"/>
      <c r="J69" s="374"/>
      <c r="K69" s="374"/>
      <c r="L69" s="374"/>
      <c r="M69" s="374"/>
      <c r="N69" s="374"/>
      <c r="O69" s="374"/>
      <c r="P69" s="374"/>
      <c r="Q69" s="374"/>
      <c r="R69" s="374"/>
      <c r="S69" s="359"/>
      <c r="T69" s="359"/>
      <c r="U69" s="359"/>
      <c r="V69" s="359"/>
      <c r="W69" s="359"/>
      <c r="X69" s="359"/>
      <c r="Y69" s="359"/>
      <c r="Z69" s="359"/>
      <c r="AA69" s="359"/>
      <c r="AB69" s="359"/>
      <c r="AC69" s="359"/>
      <c r="AD69" s="359"/>
      <c r="AE69" s="359"/>
      <c r="AF69" s="359"/>
    </row>
    <row r="70" ht="14.25" customHeight="1">
      <c r="A70" s="359"/>
      <c r="B70" s="359"/>
      <c r="C70" s="359"/>
      <c r="D70" s="374"/>
      <c r="E70" s="374"/>
      <c r="F70" s="374"/>
      <c r="G70" s="374"/>
      <c r="H70" s="374"/>
      <c r="I70" s="374"/>
      <c r="J70" s="374"/>
      <c r="K70" s="374"/>
      <c r="L70" s="374"/>
      <c r="M70" s="374"/>
      <c r="N70" s="374"/>
      <c r="O70" s="374"/>
      <c r="P70" s="374"/>
      <c r="Q70" s="374"/>
      <c r="R70" s="374"/>
      <c r="S70" s="359"/>
      <c r="T70" s="359"/>
      <c r="U70" s="359"/>
      <c r="V70" s="359"/>
      <c r="W70" s="359"/>
      <c r="X70" s="359"/>
      <c r="Y70" s="359"/>
      <c r="Z70" s="359"/>
      <c r="AA70" s="359"/>
      <c r="AB70" s="359"/>
      <c r="AC70" s="359"/>
      <c r="AD70" s="359"/>
      <c r="AE70" s="359"/>
      <c r="AF70" s="359"/>
    </row>
    <row r="71" ht="14.25" customHeight="1">
      <c r="A71" s="359"/>
      <c r="B71" s="359"/>
      <c r="C71" s="359"/>
      <c r="D71" s="374"/>
      <c r="E71" s="374"/>
      <c r="F71" s="374"/>
      <c r="G71" s="374"/>
      <c r="H71" s="374"/>
      <c r="I71" s="374"/>
      <c r="J71" s="374"/>
      <c r="K71" s="374"/>
      <c r="L71" s="374"/>
      <c r="M71" s="374"/>
      <c r="N71" s="374"/>
      <c r="O71" s="374"/>
      <c r="P71" s="374"/>
      <c r="Q71" s="374"/>
      <c r="R71" s="374"/>
      <c r="S71" s="359"/>
      <c r="T71" s="359"/>
      <c r="U71" s="359"/>
      <c r="V71" s="359"/>
      <c r="W71" s="359"/>
      <c r="X71" s="359"/>
      <c r="Y71" s="359"/>
      <c r="Z71" s="359"/>
      <c r="AA71" s="359"/>
      <c r="AB71" s="359"/>
      <c r="AC71" s="359"/>
      <c r="AD71" s="359"/>
      <c r="AE71" s="359"/>
      <c r="AF71" s="359"/>
    </row>
    <row r="72" ht="14.25" customHeight="1">
      <c r="A72" s="359"/>
      <c r="B72" s="359"/>
      <c r="C72" s="359"/>
      <c r="D72" s="374"/>
      <c r="E72" s="374"/>
      <c r="F72" s="374"/>
      <c r="G72" s="374"/>
      <c r="H72" s="374"/>
      <c r="I72" s="374"/>
      <c r="J72" s="374"/>
      <c r="K72" s="374"/>
      <c r="L72" s="374"/>
      <c r="M72" s="374"/>
      <c r="N72" s="374"/>
      <c r="O72" s="374"/>
      <c r="P72" s="374"/>
      <c r="Q72" s="374"/>
      <c r="R72" s="374"/>
      <c r="S72" s="359"/>
      <c r="T72" s="359"/>
      <c r="U72" s="359"/>
      <c r="V72" s="359"/>
      <c r="W72" s="359"/>
      <c r="X72" s="359"/>
      <c r="Y72" s="359"/>
      <c r="Z72" s="359"/>
      <c r="AA72" s="359"/>
      <c r="AB72" s="359"/>
      <c r="AC72" s="359"/>
      <c r="AD72" s="359"/>
      <c r="AE72" s="359"/>
      <c r="AF72" s="359"/>
    </row>
    <row r="73" ht="14.25" customHeight="1">
      <c r="A73" s="359"/>
      <c r="B73" s="359"/>
      <c r="C73" s="359"/>
      <c r="D73" s="374"/>
      <c r="E73" s="374"/>
      <c r="F73" s="374"/>
      <c r="G73" s="374"/>
      <c r="H73" s="374"/>
      <c r="I73" s="374"/>
      <c r="J73" s="374"/>
      <c r="K73" s="374"/>
      <c r="L73" s="374"/>
      <c r="M73" s="374"/>
      <c r="N73" s="374"/>
      <c r="O73" s="374"/>
      <c r="P73" s="374"/>
      <c r="Q73" s="374"/>
      <c r="R73" s="374"/>
      <c r="S73" s="359"/>
      <c r="T73" s="359"/>
      <c r="U73" s="359"/>
      <c r="V73" s="359"/>
      <c r="W73" s="359"/>
      <c r="X73" s="359"/>
      <c r="Y73" s="359"/>
      <c r="Z73" s="359"/>
      <c r="AA73" s="359"/>
      <c r="AB73" s="359"/>
      <c r="AC73" s="359"/>
      <c r="AD73" s="359"/>
      <c r="AE73" s="359"/>
      <c r="AF73" s="359"/>
    </row>
    <row r="74" ht="14.25" customHeight="1">
      <c r="A74" s="359"/>
      <c r="B74" s="359"/>
      <c r="C74" s="359"/>
      <c r="D74" s="374"/>
      <c r="E74" s="374"/>
      <c r="F74" s="374"/>
      <c r="G74" s="374"/>
      <c r="H74" s="374"/>
      <c r="I74" s="374"/>
      <c r="J74" s="374"/>
      <c r="K74" s="374"/>
      <c r="L74" s="374"/>
      <c r="M74" s="374"/>
      <c r="N74" s="374"/>
      <c r="O74" s="374"/>
      <c r="P74" s="374"/>
      <c r="Q74" s="374"/>
      <c r="R74" s="374"/>
      <c r="S74" s="359"/>
      <c r="T74" s="359"/>
      <c r="U74" s="359"/>
      <c r="V74" s="359"/>
      <c r="W74" s="359"/>
      <c r="X74" s="359"/>
      <c r="Y74" s="359"/>
      <c r="Z74" s="359"/>
      <c r="AA74" s="359"/>
      <c r="AB74" s="359"/>
      <c r="AC74" s="359"/>
      <c r="AD74" s="359"/>
      <c r="AE74" s="359"/>
      <c r="AF74" s="359"/>
    </row>
    <row r="75" ht="14.25" customHeight="1">
      <c r="A75" s="359"/>
      <c r="B75" s="359"/>
      <c r="C75" s="359"/>
      <c r="D75" s="374"/>
      <c r="E75" s="374"/>
      <c r="F75" s="374"/>
      <c r="G75" s="374"/>
      <c r="H75" s="374"/>
      <c r="I75" s="374"/>
      <c r="J75" s="374"/>
      <c r="K75" s="374"/>
      <c r="L75" s="374"/>
      <c r="M75" s="374"/>
      <c r="N75" s="374"/>
      <c r="O75" s="374"/>
      <c r="P75" s="374"/>
      <c r="Q75" s="374"/>
      <c r="R75" s="374"/>
      <c r="S75" s="359"/>
      <c r="T75" s="359"/>
      <c r="U75" s="359"/>
      <c r="V75" s="359"/>
      <c r="W75" s="359"/>
      <c r="X75" s="359"/>
      <c r="Y75" s="359"/>
      <c r="Z75" s="359"/>
      <c r="AA75" s="359"/>
      <c r="AB75" s="359"/>
      <c r="AC75" s="359"/>
      <c r="AD75" s="359"/>
      <c r="AE75" s="359"/>
      <c r="AF75" s="359"/>
    </row>
    <row r="76" ht="14.25" customHeight="1">
      <c r="A76" s="359"/>
      <c r="B76" s="359"/>
      <c r="C76" s="359"/>
      <c r="D76" s="374"/>
      <c r="E76" s="374"/>
      <c r="F76" s="374"/>
      <c r="G76" s="374"/>
      <c r="H76" s="374"/>
      <c r="I76" s="374"/>
      <c r="J76" s="374"/>
      <c r="K76" s="374"/>
      <c r="L76" s="374"/>
      <c r="M76" s="374"/>
      <c r="N76" s="374"/>
      <c r="O76" s="374"/>
      <c r="P76" s="374"/>
      <c r="Q76" s="374"/>
      <c r="R76" s="374"/>
      <c r="S76" s="359"/>
      <c r="T76" s="359"/>
      <c r="U76" s="359"/>
      <c r="V76" s="359"/>
      <c r="W76" s="359"/>
      <c r="X76" s="359"/>
      <c r="Y76" s="359"/>
      <c r="Z76" s="359"/>
      <c r="AA76" s="359"/>
      <c r="AB76" s="359"/>
      <c r="AC76" s="359"/>
      <c r="AD76" s="359"/>
      <c r="AE76" s="359"/>
      <c r="AF76" s="359"/>
    </row>
    <row r="77" ht="14.25" customHeight="1">
      <c r="A77" s="359"/>
      <c r="B77" s="359"/>
      <c r="C77" s="359"/>
      <c r="D77" s="374"/>
      <c r="E77" s="374"/>
      <c r="F77" s="374"/>
      <c r="G77" s="374"/>
      <c r="H77" s="374"/>
      <c r="I77" s="374"/>
      <c r="J77" s="374"/>
      <c r="K77" s="374"/>
      <c r="L77" s="374"/>
      <c r="M77" s="374"/>
      <c r="N77" s="374"/>
      <c r="O77" s="374"/>
      <c r="P77" s="374"/>
      <c r="Q77" s="374"/>
      <c r="R77" s="374"/>
      <c r="S77" s="359"/>
      <c r="T77" s="359"/>
      <c r="U77" s="359"/>
      <c r="V77" s="359"/>
      <c r="W77" s="359"/>
      <c r="X77" s="359"/>
      <c r="Y77" s="359"/>
      <c r="Z77" s="359"/>
      <c r="AA77" s="359"/>
      <c r="AB77" s="359"/>
      <c r="AC77" s="359"/>
      <c r="AD77" s="359"/>
      <c r="AE77" s="359"/>
      <c r="AF77" s="359"/>
    </row>
    <row r="78" ht="14.25" customHeight="1">
      <c r="A78" s="359"/>
      <c r="B78" s="359"/>
      <c r="C78" s="359"/>
      <c r="D78" s="374"/>
      <c r="E78" s="374"/>
      <c r="F78" s="374"/>
      <c r="G78" s="374"/>
      <c r="H78" s="374"/>
      <c r="I78" s="374"/>
      <c r="J78" s="374"/>
      <c r="K78" s="374"/>
      <c r="L78" s="374"/>
      <c r="M78" s="374"/>
      <c r="N78" s="374"/>
      <c r="O78" s="374"/>
      <c r="P78" s="374"/>
      <c r="Q78" s="374"/>
      <c r="R78" s="374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</row>
    <row r="79" ht="14.25" customHeight="1">
      <c r="A79" s="359"/>
      <c r="B79" s="359"/>
      <c r="C79" s="359"/>
      <c r="D79" s="374"/>
      <c r="E79" s="374"/>
      <c r="F79" s="374"/>
      <c r="G79" s="374"/>
      <c r="H79" s="374"/>
      <c r="I79" s="374"/>
      <c r="J79" s="374"/>
      <c r="K79" s="374"/>
      <c r="L79" s="374"/>
      <c r="M79" s="374"/>
      <c r="N79" s="374"/>
      <c r="O79" s="374"/>
      <c r="P79" s="374"/>
      <c r="Q79" s="374"/>
      <c r="R79" s="374"/>
      <c r="S79" s="359"/>
      <c r="T79" s="359"/>
      <c r="U79" s="359"/>
      <c r="V79" s="359"/>
      <c r="W79" s="359"/>
      <c r="X79" s="359"/>
      <c r="Y79" s="359"/>
      <c r="Z79" s="359"/>
      <c r="AA79" s="359"/>
      <c r="AB79" s="359"/>
      <c r="AC79" s="359"/>
      <c r="AD79" s="359"/>
      <c r="AE79" s="359"/>
      <c r="AF79" s="359"/>
    </row>
    <row r="80" ht="14.25" customHeight="1">
      <c r="A80" s="359"/>
      <c r="B80" s="359"/>
      <c r="C80" s="359"/>
      <c r="D80" s="374"/>
      <c r="E80" s="374"/>
      <c r="F80" s="374"/>
      <c r="G80" s="374"/>
      <c r="H80" s="374"/>
      <c r="I80" s="374"/>
      <c r="J80" s="374"/>
      <c r="K80" s="374"/>
      <c r="L80" s="374"/>
      <c r="M80" s="374"/>
      <c r="N80" s="374"/>
      <c r="O80" s="374"/>
      <c r="P80" s="374"/>
      <c r="Q80" s="374"/>
      <c r="R80" s="374"/>
      <c r="S80" s="359"/>
      <c r="T80" s="359"/>
      <c r="U80" s="359"/>
      <c r="V80" s="359"/>
      <c r="W80" s="359"/>
      <c r="X80" s="359"/>
      <c r="Y80" s="359"/>
      <c r="Z80" s="359"/>
      <c r="AA80" s="359"/>
      <c r="AB80" s="359"/>
      <c r="AC80" s="359"/>
      <c r="AD80" s="359"/>
      <c r="AE80" s="359"/>
      <c r="AF80" s="359"/>
    </row>
    <row r="81" ht="14.25" customHeight="1">
      <c r="A81" s="359"/>
      <c r="B81" s="359"/>
      <c r="C81" s="359"/>
      <c r="D81" s="374"/>
      <c r="E81" s="374"/>
      <c r="F81" s="374"/>
      <c r="G81" s="374"/>
      <c r="H81" s="374"/>
      <c r="I81" s="374"/>
      <c r="J81" s="374"/>
      <c r="K81" s="374"/>
      <c r="L81" s="374"/>
      <c r="M81" s="374"/>
      <c r="N81" s="374"/>
      <c r="O81" s="374"/>
      <c r="P81" s="374"/>
      <c r="Q81" s="374"/>
      <c r="R81" s="374"/>
      <c r="S81" s="359"/>
      <c r="T81" s="359"/>
      <c r="U81" s="359"/>
      <c r="V81" s="359"/>
      <c r="W81" s="359"/>
      <c r="X81" s="359"/>
      <c r="Y81" s="359"/>
      <c r="Z81" s="359"/>
      <c r="AA81" s="359"/>
      <c r="AB81" s="359"/>
      <c r="AC81" s="359"/>
      <c r="AD81" s="359"/>
      <c r="AE81" s="359"/>
      <c r="AF81" s="359"/>
    </row>
    <row r="82" ht="14.25" customHeight="1">
      <c r="A82" s="359"/>
      <c r="B82" s="359"/>
      <c r="C82" s="359"/>
      <c r="D82" s="374"/>
      <c r="E82" s="374"/>
      <c r="F82" s="374"/>
      <c r="G82" s="374"/>
      <c r="H82" s="374"/>
      <c r="I82" s="374"/>
      <c r="J82" s="374"/>
      <c r="K82" s="374"/>
      <c r="L82" s="374"/>
      <c r="M82" s="374"/>
      <c r="N82" s="374"/>
      <c r="O82" s="374"/>
      <c r="P82" s="374"/>
      <c r="Q82" s="374"/>
      <c r="R82" s="374"/>
      <c r="S82" s="359"/>
      <c r="T82" s="359"/>
      <c r="U82" s="359"/>
      <c r="V82" s="359"/>
      <c r="W82" s="359"/>
      <c r="X82" s="359"/>
      <c r="Y82" s="359"/>
      <c r="Z82" s="359"/>
      <c r="AA82" s="359"/>
      <c r="AB82" s="359"/>
      <c r="AC82" s="359"/>
      <c r="AD82" s="359"/>
      <c r="AE82" s="359"/>
      <c r="AF82" s="359"/>
    </row>
    <row r="83" ht="14.25" customHeight="1">
      <c r="A83" s="359"/>
      <c r="B83" s="359"/>
      <c r="C83" s="359"/>
      <c r="D83" s="374"/>
      <c r="E83" s="374"/>
      <c r="F83" s="374"/>
      <c r="G83" s="374"/>
      <c r="H83" s="374"/>
      <c r="I83" s="374"/>
      <c r="J83" s="374"/>
      <c r="K83" s="374"/>
      <c r="L83" s="374"/>
      <c r="M83" s="374"/>
      <c r="N83" s="374"/>
      <c r="O83" s="374"/>
      <c r="P83" s="374"/>
      <c r="Q83" s="374"/>
      <c r="R83" s="374"/>
      <c r="S83" s="359"/>
      <c r="T83" s="359"/>
      <c r="U83" s="359"/>
      <c r="V83" s="359"/>
      <c r="W83" s="359"/>
      <c r="X83" s="359"/>
      <c r="Y83" s="359"/>
      <c r="Z83" s="359"/>
      <c r="AA83" s="359"/>
      <c r="AB83" s="359"/>
      <c r="AC83" s="359"/>
      <c r="AD83" s="359"/>
      <c r="AE83" s="359"/>
      <c r="AF83" s="359"/>
    </row>
    <row r="84" ht="14.25" customHeight="1">
      <c r="A84" s="359"/>
      <c r="B84" s="359"/>
      <c r="C84" s="359"/>
      <c r="D84" s="374"/>
      <c r="E84" s="374"/>
      <c r="F84" s="374"/>
      <c r="G84" s="374"/>
      <c r="H84" s="374"/>
      <c r="I84" s="374"/>
      <c r="J84" s="374"/>
      <c r="K84" s="374"/>
      <c r="L84" s="374"/>
      <c r="M84" s="374"/>
      <c r="N84" s="374"/>
      <c r="O84" s="374"/>
      <c r="P84" s="374"/>
      <c r="Q84" s="374"/>
      <c r="R84" s="374"/>
      <c r="S84" s="359"/>
      <c r="T84" s="359"/>
      <c r="U84" s="359"/>
      <c r="V84" s="359"/>
      <c r="W84" s="359"/>
      <c r="X84" s="359"/>
      <c r="Y84" s="359"/>
      <c r="Z84" s="359"/>
      <c r="AA84" s="359"/>
      <c r="AB84" s="359"/>
      <c r="AC84" s="359"/>
      <c r="AD84" s="359"/>
      <c r="AE84" s="359"/>
      <c r="AF84" s="359"/>
    </row>
    <row r="85" ht="14.25" customHeight="1">
      <c r="A85" s="359"/>
      <c r="B85" s="359"/>
      <c r="C85" s="359"/>
      <c r="D85" s="374"/>
      <c r="E85" s="374"/>
      <c r="F85" s="374"/>
      <c r="G85" s="374"/>
      <c r="H85" s="374"/>
      <c r="I85" s="374"/>
      <c r="J85" s="374"/>
      <c r="K85" s="374"/>
      <c r="L85" s="374"/>
      <c r="M85" s="374"/>
      <c r="N85" s="374"/>
      <c r="O85" s="374"/>
      <c r="P85" s="374"/>
      <c r="Q85" s="374"/>
      <c r="R85" s="374"/>
      <c r="S85" s="359"/>
      <c r="T85" s="359"/>
      <c r="U85" s="359"/>
      <c r="V85" s="359"/>
      <c r="W85" s="359"/>
      <c r="X85" s="359"/>
      <c r="Y85" s="359"/>
      <c r="Z85" s="359"/>
      <c r="AA85" s="359"/>
      <c r="AB85" s="359"/>
      <c r="AC85" s="359"/>
      <c r="AD85" s="359"/>
      <c r="AE85" s="359"/>
      <c r="AF85" s="359"/>
    </row>
    <row r="86" ht="14.25" customHeight="1">
      <c r="A86" s="359"/>
      <c r="B86" s="359"/>
      <c r="C86" s="359"/>
      <c r="D86" s="374"/>
      <c r="E86" s="374"/>
      <c r="F86" s="374"/>
      <c r="G86" s="374"/>
      <c r="H86" s="374"/>
      <c r="I86" s="374"/>
      <c r="J86" s="374"/>
      <c r="K86" s="374"/>
      <c r="L86" s="374"/>
      <c r="M86" s="374"/>
      <c r="N86" s="374"/>
      <c r="O86" s="374"/>
      <c r="P86" s="374"/>
      <c r="Q86" s="374"/>
      <c r="R86" s="374"/>
      <c r="S86" s="359"/>
      <c r="T86" s="359"/>
      <c r="U86" s="359"/>
      <c r="V86" s="359"/>
      <c r="W86" s="359"/>
      <c r="X86" s="359"/>
      <c r="Y86" s="359"/>
      <c r="Z86" s="359"/>
      <c r="AA86" s="359"/>
      <c r="AB86" s="359"/>
      <c r="AC86" s="359"/>
      <c r="AD86" s="359"/>
      <c r="AE86" s="359"/>
      <c r="AF86" s="359"/>
    </row>
    <row r="87" ht="14.25" customHeight="1">
      <c r="A87" s="359"/>
      <c r="B87" s="359"/>
      <c r="C87" s="359"/>
      <c r="D87" s="374"/>
      <c r="E87" s="374"/>
      <c r="F87" s="374"/>
      <c r="G87" s="374"/>
      <c r="H87" s="374"/>
      <c r="I87" s="374"/>
      <c r="J87" s="374"/>
      <c r="K87" s="374"/>
      <c r="L87" s="374"/>
      <c r="M87" s="374"/>
      <c r="N87" s="374"/>
      <c r="O87" s="374"/>
      <c r="P87" s="374"/>
      <c r="Q87" s="374"/>
      <c r="R87" s="374"/>
      <c r="S87" s="359"/>
      <c r="T87" s="359"/>
      <c r="U87" s="359"/>
      <c r="V87" s="359"/>
      <c r="W87" s="359"/>
      <c r="X87" s="359"/>
      <c r="Y87" s="359"/>
      <c r="Z87" s="359"/>
      <c r="AA87" s="359"/>
      <c r="AB87" s="359"/>
      <c r="AC87" s="359"/>
      <c r="AD87" s="359"/>
      <c r="AE87" s="359"/>
      <c r="AF87" s="359"/>
    </row>
    <row r="88" ht="14.25" customHeight="1">
      <c r="A88" s="359"/>
      <c r="B88" s="359"/>
      <c r="C88" s="359"/>
      <c r="D88" s="374"/>
      <c r="E88" s="374"/>
      <c r="F88" s="374"/>
      <c r="G88" s="374"/>
      <c r="H88" s="374"/>
      <c r="I88" s="374"/>
      <c r="J88" s="374"/>
      <c r="K88" s="374"/>
      <c r="L88" s="374"/>
      <c r="M88" s="374"/>
      <c r="N88" s="374"/>
      <c r="O88" s="374"/>
      <c r="P88" s="374"/>
      <c r="Q88" s="374"/>
      <c r="R88" s="374"/>
      <c r="S88" s="359"/>
      <c r="T88" s="359"/>
      <c r="U88" s="359"/>
      <c r="V88" s="359"/>
      <c r="W88" s="359"/>
      <c r="X88" s="359"/>
      <c r="Y88" s="359"/>
      <c r="Z88" s="359"/>
      <c r="AA88" s="359"/>
      <c r="AB88" s="359"/>
      <c r="AC88" s="359"/>
      <c r="AD88" s="359"/>
      <c r="AE88" s="359"/>
      <c r="AF88" s="359"/>
    </row>
    <row r="89" ht="14.25" customHeight="1">
      <c r="A89" s="359"/>
      <c r="B89" s="359"/>
      <c r="C89" s="359"/>
      <c r="D89" s="374"/>
      <c r="E89" s="374"/>
      <c r="F89" s="374"/>
      <c r="G89" s="374"/>
      <c r="H89" s="374"/>
      <c r="I89" s="374"/>
      <c r="J89" s="374"/>
      <c r="K89" s="374"/>
      <c r="L89" s="374"/>
      <c r="M89" s="374"/>
      <c r="N89" s="374"/>
      <c r="O89" s="374"/>
      <c r="P89" s="374"/>
      <c r="Q89" s="374"/>
      <c r="R89" s="374"/>
      <c r="S89" s="359"/>
      <c r="T89" s="359"/>
      <c r="U89" s="359"/>
      <c r="V89" s="359"/>
      <c r="W89" s="359"/>
      <c r="X89" s="359"/>
      <c r="Y89" s="359"/>
      <c r="Z89" s="359"/>
      <c r="AA89" s="359"/>
      <c r="AB89" s="359"/>
      <c r="AC89" s="359"/>
      <c r="AD89" s="359"/>
      <c r="AE89" s="359"/>
      <c r="AF89" s="359"/>
    </row>
    <row r="90" ht="14.25" customHeight="1">
      <c r="A90" s="359"/>
      <c r="B90" s="359"/>
      <c r="C90" s="359"/>
      <c r="D90" s="374"/>
      <c r="E90" s="374"/>
      <c r="F90" s="374"/>
      <c r="G90" s="374"/>
      <c r="H90" s="374"/>
      <c r="I90" s="374"/>
      <c r="J90" s="374"/>
      <c r="K90" s="374"/>
      <c r="L90" s="374"/>
      <c r="M90" s="374"/>
      <c r="N90" s="374"/>
      <c r="O90" s="374"/>
      <c r="P90" s="374"/>
      <c r="Q90" s="374"/>
      <c r="R90" s="374"/>
      <c r="S90" s="359"/>
      <c r="T90" s="359"/>
      <c r="U90" s="359"/>
      <c r="V90" s="359"/>
      <c r="W90" s="359"/>
      <c r="X90" s="359"/>
      <c r="Y90" s="359"/>
      <c r="Z90" s="359"/>
      <c r="AA90" s="359"/>
      <c r="AB90" s="359"/>
      <c r="AC90" s="359"/>
      <c r="AD90" s="359"/>
      <c r="AE90" s="359"/>
      <c r="AF90" s="359"/>
    </row>
    <row r="91" ht="14.25" customHeight="1">
      <c r="A91" s="359"/>
      <c r="B91" s="359"/>
      <c r="C91" s="359"/>
      <c r="D91" s="374"/>
      <c r="E91" s="374"/>
      <c r="F91" s="374"/>
      <c r="G91" s="374"/>
      <c r="H91" s="374"/>
      <c r="I91" s="374"/>
      <c r="J91" s="374"/>
      <c r="K91" s="374"/>
      <c r="L91" s="374"/>
      <c r="M91" s="374"/>
      <c r="N91" s="374"/>
      <c r="O91" s="374"/>
      <c r="P91" s="374"/>
      <c r="Q91" s="374"/>
      <c r="R91" s="374"/>
      <c r="S91" s="359"/>
      <c r="T91" s="359"/>
      <c r="U91" s="359"/>
      <c r="V91" s="359"/>
      <c r="W91" s="359"/>
      <c r="X91" s="359"/>
      <c r="Y91" s="359"/>
      <c r="Z91" s="359"/>
      <c r="AA91" s="359"/>
      <c r="AB91" s="359"/>
      <c r="AC91" s="359"/>
      <c r="AD91" s="359"/>
      <c r="AE91" s="359"/>
      <c r="AF91" s="359"/>
    </row>
    <row r="92" ht="14.25" customHeight="1">
      <c r="A92" s="359"/>
      <c r="B92" s="359"/>
      <c r="C92" s="359"/>
      <c r="D92" s="374"/>
      <c r="E92" s="374"/>
      <c r="F92" s="374"/>
      <c r="G92" s="374"/>
      <c r="H92" s="374"/>
      <c r="I92" s="374"/>
      <c r="J92" s="374"/>
      <c r="K92" s="374"/>
      <c r="L92" s="374"/>
      <c r="M92" s="374"/>
      <c r="N92" s="374"/>
      <c r="O92" s="374"/>
      <c r="P92" s="374"/>
      <c r="Q92" s="374"/>
      <c r="R92" s="374"/>
      <c r="S92" s="359"/>
      <c r="T92" s="359"/>
      <c r="U92" s="359"/>
      <c r="V92" s="359"/>
      <c r="W92" s="359"/>
      <c r="X92" s="359"/>
      <c r="Y92" s="359"/>
      <c r="Z92" s="359"/>
      <c r="AA92" s="359"/>
      <c r="AB92" s="359"/>
      <c r="AC92" s="359"/>
      <c r="AD92" s="359"/>
      <c r="AE92" s="359"/>
      <c r="AF92" s="359"/>
    </row>
    <row r="93" ht="14.25" customHeight="1">
      <c r="A93" s="359"/>
      <c r="B93" s="359"/>
      <c r="C93" s="359"/>
      <c r="D93" s="374"/>
      <c r="E93" s="374"/>
      <c r="F93" s="374"/>
      <c r="G93" s="374"/>
      <c r="H93" s="374"/>
      <c r="I93" s="374"/>
      <c r="J93" s="374"/>
      <c r="K93" s="374"/>
      <c r="L93" s="374"/>
      <c r="M93" s="374"/>
      <c r="N93" s="374"/>
      <c r="O93" s="374"/>
      <c r="P93" s="374"/>
      <c r="Q93" s="374"/>
      <c r="R93" s="374"/>
      <c r="S93" s="359"/>
      <c r="T93" s="359"/>
      <c r="U93" s="359"/>
      <c r="V93" s="359"/>
      <c r="W93" s="359"/>
      <c r="X93" s="359"/>
      <c r="Y93" s="359"/>
      <c r="Z93" s="359"/>
      <c r="AA93" s="359"/>
      <c r="AB93" s="359"/>
      <c r="AC93" s="359"/>
      <c r="AD93" s="359"/>
      <c r="AE93" s="359"/>
      <c r="AF93" s="359"/>
    </row>
    <row r="94" ht="14.25" customHeight="1">
      <c r="A94" s="359"/>
      <c r="B94" s="359"/>
      <c r="C94" s="359"/>
      <c r="D94" s="374"/>
      <c r="E94" s="374"/>
      <c r="F94" s="374"/>
      <c r="G94" s="374"/>
      <c r="H94" s="374"/>
      <c r="I94" s="374"/>
      <c r="J94" s="374"/>
      <c r="K94" s="374"/>
      <c r="L94" s="374"/>
      <c r="M94" s="374"/>
      <c r="N94" s="374"/>
      <c r="O94" s="374"/>
      <c r="P94" s="374"/>
      <c r="Q94" s="374"/>
      <c r="R94" s="374"/>
      <c r="S94" s="359"/>
      <c r="T94" s="359"/>
      <c r="U94" s="359"/>
      <c r="V94" s="359"/>
      <c r="W94" s="359"/>
      <c r="X94" s="359"/>
      <c r="Y94" s="359"/>
      <c r="Z94" s="359"/>
      <c r="AA94" s="359"/>
      <c r="AB94" s="359"/>
      <c r="AC94" s="359"/>
      <c r="AD94" s="359"/>
      <c r="AE94" s="359"/>
      <c r="AF94" s="359"/>
    </row>
    <row r="95" ht="14.25" customHeight="1">
      <c r="A95" s="359"/>
      <c r="B95" s="359"/>
      <c r="C95" s="359"/>
      <c r="D95" s="374"/>
      <c r="E95" s="374"/>
      <c r="F95" s="374"/>
      <c r="G95" s="374"/>
      <c r="H95" s="374"/>
      <c r="I95" s="374"/>
      <c r="J95" s="374"/>
      <c r="K95" s="374"/>
      <c r="L95" s="374"/>
      <c r="M95" s="374"/>
      <c r="N95" s="374"/>
      <c r="O95" s="374"/>
      <c r="P95" s="374"/>
      <c r="Q95" s="374"/>
      <c r="R95" s="374"/>
      <c r="S95" s="359"/>
      <c r="T95" s="359"/>
      <c r="U95" s="359"/>
      <c r="V95" s="359"/>
      <c r="W95" s="359"/>
      <c r="X95" s="359"/>
      <c r="Y95" s="359"/>
      <c r="Z95" s="359"/>
      <c r="AA95" s="359"/>
      <c r="AB95" s="359"/>
      <c r="AC95" s="359"/>
      <c r="AD95" s="359"/>
      <c r="AE95" s="359"/>
      <c r="AF95" s="359"/>
    </row>
    <row r="96" ht="14.25" customHeight="1">
      <c r="A96" s="359"/>
      <c r="B96" s="359"/>
      <c r="C96" s="359"/>
      <c r="D96" s="374"/>
      <c r="E96" s="374"/>
      <c r="F96" s="374"/>
      <c r="G96" s="374"/>
      <c r="H96" s="374"/>
      <c r="I96" s="374"/>
      <c r="J96" s="374"/>
      <c r="K96" s="374"/>
      <c r="L96" s="374"/>
      <c r="M96" s="374"/>
      <c r="N96" s="374"/>
      <c r="O96" s="374"/>
      <c r="P96" s="374"/>
      <c r="Q96" s="374"/>
      <c r="R96" s="374"/>
      <c r="S96" s="359"/>
      <c r="T96" s="359"/>
      <c r="U96" s="359"/>
      <c r="V96" s="359"/>
      <c r="W96" s="359"/>
      <c r="X96" s="359"/>
      <c r="Y96" s="359"/>
      <c r="Z96" s="359"/>
      <c r="AA96" s="359"/>
      <c r="AB96" s="359"/>
      <c r="AC96" s="359"/>
      <c r="AD96" s="359"/>
      <c r="AE96" s="359"/>
      <c r="AF96" s="359"/>
    </row>
    <row r="97" ht="14.25" customHeight="1">
      <c r="A97" s="359"/>
      <c r="B97" s="359"/>
      <c r="C97" s="359"/>
      <c r="D97" s="374"/>
      <c r="E97" s="374"/>
      <c r="F97" s="374"/>
      <c r="G97" s="374"/>
      <c r="H97" s="374"/>
      <c r="I97" s="374"/>
      <c r="J97" s="374"/>
      <c r="K97" s="374"/>
      <c r="L97" s="374"/>
      <c r="M97" s="374"/>
      <c r="N97" s="374"/>
      <c r="O97" s="374"/>
      <c r="P97" s="374"/>
      <c r="Q97" s="374"/>
      <c r="R97" s="374"/>
      <c r="S97" s="359"/>
      <c r="T97" s="359"/>
      <c r="U97" s="359"/>
      <c r="V97" s="359"/>
      <c r="W97" s="359"/>
      <c r="X97" s="359"/>
      <c r="Y97" s="359"/>
      <c r="Z97" s="359"/>
      <c r="AA97" s="359"/>
      <c r="AB97" s="359"/>
      <c r="AC97" s="359"/>
      <c r="AD97" s="359"/>
      <c r="AE97" s="359"/>
      <c r="AF97" s="359"/>
    </row>
    <row r="98" ht="14.25" customHeight="1">
      <c r="A98" s="359"/>
      <c r="B98" s="359"/>
      <c r="C98" s="359"/>
      <c r="D98" s="374"/>
      <c r="E98" s="374"/>
      <c r="F98" s="374"/>
      <c r="G98" s="374"/>
      <c r="H98" s="374"/>
      <c r="I98" s="374"/>
      <c r="J98" s="374"/>
      <c r="K98" s="374"/>
      <c r="L98" s="374"/>
      <c r="M98" s="374"/>
      <c r="N98" s="374"/>
      <c r="O98" s="374"/>
      <c r="P98" s="374"/>
      <c r="Q98" s="374"/>
      <c r="R98" s="374"/>
      <c r="S98" s="359"/>
      <c r="T98" s="359"/>
      <c r="U98" s="359"/>
      <c r="V98" s="359"/>
      <c r="W98" s="359"/>
      <c r="X98" s="359"/>
      <c r="Y98" s="359"/>
      <c r="Z98" s="359"/>
      <c r="AA98" s="359"/>
      <c r="AB98" s="359"/>
      <c r="AC98" s="359"/>
      <c r="AD98" s="359"/>
      <c r="AE98" s="359"/>
      <c r="AF98" s="359"/>
    </row>
    <row r="99" ht="14.25" customHeight="1">
      <c r="A99" s="359"/>
      <c r="B99" s="359"/>
      <c r="C99" s="359"/>
      <c r="D99" s="374"/>
      <c r="E99" s="374"/>
      <c r="F99" s="374"/>
      <c r="G99" s="374"/>
      <c r="H99" s="374"/>
      <c r="I99" s="374"/>
      <c r="J99" s="374"/>
      <c r="K99" s="374"/>
      <c r="L99" s="374"/>
      <c r="M99" s="374"/>
      <c r="N99" s="374"/>
      <c r="O99" s="374"/>
      <c r="P99" s="374"/>
      <c r="Q99" s="374"/>
      <c r="R99" s="374"/>
      <c r="S99" s="359"/>
      <c r="T99" s="359"/>
      <c r="U99" s="359"/>
      <c r="V99" s="359"/>
      <c r="W99" s="359"/>
      <c r="X99" s="359"/>
      <c r="Y99" s="359"/>
      <c r="Z99" s="359"/>
      <c r="AA99" s="359"/>
      <c r="AB99" s="359"/>
      <c r="AC99" s="359"/>
      <c r="AD99" s="359"/>
      <c r="AE99" s="359"/>
      <c r="AF99" s="359"/>
    </row>
    <row r="100" ht="14.25" customHeight="1">
      <c r="A100" s="359"/>
      <c r="B100" s="359"/>
      <c r="C100" s="359"/>
      <c r="D100" s="374"/>
      <c r="E100" s="374"/>
      <c r="F100" s="374"/>
      <c r="G100" s="374"/>
      <c r="H100" s="374"/>
      <c r="I100" s="374"/>
      <c r="J100" s="374"/>
      <c r="K100" s="374"/>
      <c r="L100" s="374"/>
      <c r="M100" s="374"/>
      <c r="N100" s="374"/>
      <c r="O100" s="374"/>
      <c r="P100" s="374"/>
      <c r="Q100" s="374"/>
      <c r="R100" s="374"/>
      <c r="S100" s="359"/>
      <c r="T100" s="359"/>
      <c r="U100" s="359"/>
      <c r="V100" s="359"/>
      <c r="W100" s="359"/>
      <c r="X100" s="359"/>
      <c r="Y100" s="359"/>
      <c r="Z100" s="359"/>
      <c r="AA100" s="359"/>
      <c r="AB100" s="359"/>
      <c r="AC100" s="359"/>
      <c r="AD100" s="359"/>
      <c r="AE100" s="359"/>
      <c r="AF100" s="359"/>
    </row>
    <row r="101" ht="14.25" customHeight="1">
      <c r="A101" s="359"/>
      <c r="B101" s="359"/>
      <c r="C101" s="359"/>
      <c r="D101" s="374"/>
      <c r="E101" s="374"/>
      <c r="F101" s="374"/>
      <c r="G101" s="374"/>
      <c r="H101" s="374"/>
      <c r="I101" s="374"/>
      <c r="J101" s="374"/>
      <c r="K101" s="374"/>
      <c r="L101" s="374"/>
      <c r="M101" s="374"/>
      <c r="N101" s="374"/>
      <c r="O101" s="374"/>
      <c r="P101" s="374"/>
      <c r="Q101" s="374"/>
      <c r="R101" s="374"/>
      <c r="S101" s="359"/>
      <c r="T101" s="359"/>
      <c r="U101" s="359"/>
      <c r="V101" s="359"/>
      <c r="W101" s="359"/>
      <c r="X101" s="359"/>
      <c r="Y101" s="359"/>
      <c r="Z101" s="359"/>
      <c r="AA101" s="359"/>
      <c r="AB101" s="359"/>
      <c r="AC101" s="359"/>
      <c r="AD101" s="359"/>
      <c r="AE101" s="359"/>
      <c r="AF101" s="359"/>
    </row>
    <row r="102" ht="14.25" customHeight="1">
      <c r="A102" s="359"/>
      <c r="B102" s="359"/>
      <c r="C102" s="359"/>
      <c r="D102" s="374"/>
      <c r="E102" s="374"/>
      <c r="F102" s="374"/>
      <c r="G102" s="374"/>
      <c r="H102" s="374"/>
      <c r="I102" s="374"/>
      <c r="J102" s="374"/>
      <c r="K102" s="374"/>
      <c r="L102" s="374"/>
      <c r="M102" s="374"/>
      <c r="N102" s="374"/>
      <c r="O102" s="374"/>
      <c r="P102" s="374"/>
      <c r="Q102" s="374"/>
      <c r="R102" s="374"/>
      <c r="S102" s="359"/>
      <c r="T102" s="359"/>
      <c r="U102" s="359"/>
      <c r="V102" s="359"/>
      <c r="W102" s="359"/>
      <c r="X102" s="359"/>
      <c r="Y102" s="359"/>
      <c r="Z102" s="359"/>
      <c r="AA102" s="359"/>
      <c r="AB102" s="359"/>
      <c r="AC102" s="359"/>
      <c r="AD102" s="359"/>
      <c r="AE102" s="359"/>
      <c r="AF102" s="359"/>
    </row>
    <row r="103" ht="14.25" customHeight="1">
      <c r="A103" s="359"/>
      <c r="B103" s="359"/>
      <c r="C103" s="359"/>
      <c r="D103" s="374"/>
      <c r="E103" s="374"/>
      <c r="F103" s="374"/>
      <c r="G103" s="374"/>
      <c r="H103" s="374"/>
      <c r="I103" s="374"/>
      <c r="J103" s="374"/>
      <c r="K103" s="374"/>
      <c r="L103" s="374"/>
      <c r="M103" s="374"/>
      <c r="N103" s="374"/>
      <c r="O103" s="374"/>
      <c r="P103" s="374"/>
      <c r="Q103" s="374"/>
      <c r="R103" s="374"/>
      <c r="S103" s="359"/>
      <c r="T103" s="359"/>
      <c r="U103" s="359"/>
      <c r="V103" s="359"/>
      <c r="W103" s="359"/>
      <c r="X103" s="359"/>
      <c r="Y103" s="359"/>
      <c r="Z103" s="359"/>
      <c r="AA103" s="359"/>
      <c r="AB103" s="359"/>
      <c r="AC103" s="359"/>
      <c r="AD103" s="359"/>
      <c r="AE103" s="359"/>
      <c r="AF103" s="359"/>
    </row>
    <row r="104" ht="14.25" customHeight="1">
      <c r="A104" s="359"/>
      <c r="B104" s="359"/>
      <c r="C104" s="359"/>
      <c r="D104" s="374"/>
      <c r="E104" s="374"/>
      <c r="F104" s="374"/>
      <c r="G104" s="374"/>
      <c r="H104" s="374"/>
      <c r="I104" s="374"/>
      <c r="J104" s="374"/>
      <c r="K104" s="374"/>
      <c r="L104" s="374"/>
      <c r="M104" s="374"/>
      <c r="N104" s="374"/>
      <c r="O104" s="374"/>
      <c r="P104" s="374"/>
      <c r="Q104" s="374"/>
      <c r="R104" s="374"/>
      <c r="S104" s="359"/>
      <c r="T104" s="359"/>
      <c r="U104" s="359"/>
      <c r="V104" s="359"/>
      <c r="W104" s="359"/>
      <c r="X104" s="359"/>
      <c r="Y104" s="359"/>
      <c r="Z104" s="359"/>
      <c r="AA104" s="359"/>
      <c r="AB104" s="359"/>
      <c r="AC104" s="359"/>
      <c r="AD104" s="359"/>
      <c r="AE104" s="359"/>
      <c r="AF104" s="359"/>
    </row>
    <row r="105" ht="15.75" customHeight="1">
      <c r="A105" s="359"/>
      <c r="B105" s="359"/>
      <c r="C105" s="359"/>
      <c r="D105" s="374"/>
      <c r="E105" s="374"/>
      <c r="F105" s="374"/>
      <c r="G105" s="367"/>
      <c r="H105" s="374"/>
      <c r="I105" s="367"/>
      <c r="J105" s="367"/>
      <c r="K105" s="367"/>
      <c r="L105" s="367"/>
      <c r="M105" s="367"/>
      <c r="N105" s="367"/>
      <c r="O105" s="367"/>
      <c r="P105" s="367"/>
      <c r="Q105" s="367"/>
      <c r="R105" s="367"/>
      <c r="S105" s="367"/>
      <c r="T105" s="367"/>
      <c r="U105" s="367"/>
      <c r="V105" s="367"/>
      <c r="W105" s="367"/>
      <c r="X105" s="367"/>
      <c r="Y105" s="367"/>
      <c r="Z105" s="367"/>
      <c r="AA105" s="367"/>
      <c r="AB105" s="367"/>
      <c r="AC105" s="367"/>
      <c r="AD105" s="367"/>
      <c r="AE105" s="367"/>
      <c r="AF105" s="367"/>
    </row>
    <row r="106" ht="15.75" customHeight="1">
      <c r="A106" s="359"/>
      <c r="B106" s="359"/>
      <c r="C106" s="359"/>
      <c r="D106" s="374"/>
      <c r="E106" s="367"/>
      <c r="F106" s="374"/>
      <c r="G106" s="367"/>
      <c r="H106" s="374"/>
      <c r="I106" s="367"/>
      <c r="J106" s="367"/>
      <c r="K106" s="367"/>
      <c r="L106" s="367"/>
      <c r="M106" s="367"/>
      <c r="N106" s="367"/>
      <c r="O106" s="367"/>
      <c r="P106" s="367"/>
      <c r="Q106" s="367"/>
      <c r="R106" s="367"/>
      <c r="S106" s="367"/>
      <c r="T106" s="367"/>
      <c r="U106" s="367"/>
      <c r="V106" s="367"/>
      <c r="W106" s="367"/>
      <c r="X106" s="367"/>
      <c r="Y106" s="367"/>
      <c r="Z106" s="367"/>
      <c r="AA106" s="367"/>
      <c r="AB106" s="367"/>
      <c r="AC106" s="367"/>
      <c r="AD106" s="367"/>
      <c r="AE106" s="367"/>
      <c r="AF106" s="367"/>
    </row>
    <row r="107" ht="15.75" customHeight="1">
      <c r="A107" s="359"/>
      <c r="B107" s="359"/>
      <c r="C107" s="359"/>
      <c r="D107" s="374"/>
      <c r="E107" s="367"/>
      <c r="F107" s="374"/>
      <c r="G107" s="367"/>
      <c r="H107" s="374"/>
      <c r="I107" s="367"/>
      <c r="J107" s="367"/>
      <c r="K107" s="367"/>
      <c r="L107" s="367"/>
      <c r="M107" s="367"/>
      <c r="N107" s="367"/>
      <c r="O107" s="367"/>
      <c r="P107" s="367"/>
      <c r="Q107" s="367"/>
      <c r="R107" s="367"/>
      <c r="S107" s="367"/>
      <c r="T107" s="367"/>
      <c r="U107" s="367"/>
      <c r="V107" s="367"/>
      <c r="W107" s="367"/>
      <c r="X107" s="367"/>
      <c r="Y107" s="367"/>
      <c r="Z107" s="367"/>
      <c r="AA107" s="367"/>
      <c r="AB107" s="367"/>
      <c r="AC107" s="367"/>
      <c r="AD107" s="367"/>
      <c r="AE107" s="367"/>
      <c r="AF107" s="367"/>
    </row>
    <row r="108" ht="15.75" customHeight="1">
      <c r="A108" s="359"/>
      <c r="B108" s="359"/>
      <c r="C108" s="359"/>
      <c r="D108" s="374"/>
      <c r="E108" s="367"/>
      <c r="F108" s="374"/>
      <c r="G108" s="367"/>
      <c r="H108" s="374"/>
      <c r="I108" s="367"/>
      <c r="J108" s="367"/>
      <c r="K108" s="367"/>
      <c r="L108" s="367"/>
      <c r="M108" s="367"/>
      <c r="N108" s="367"/>
      <c r="O108" s="367"/>
      <c r="P108" s="367"/>
      <c r="Q108" s="367"/>
      <c r="R108" s="367"/>
      <c r="S108" s="367"/>
      <c r="T108" s="367"/>
      <c r="U108" s="367"/>
      <c r="V108" s="367"/>
      <c r="W108" s="367"/>
      <c r="X108" s="367"/>
      <c r="Y108" s="367"/>
      <c r="Z108" s="367"/>
      <c r="AA108" s="367"/>
      <c r="AB108" s="367"/>
      <c r="AC108" s="367"/>
      <c r="AD108" s="367"/>
      <c r="AE108" s="367"/>
      <c r="AF108" s="367"/>
    </row>
    <row r="109" ht="15.75" customHeight="1">
      <c r="A109" s="359"/>
      <c r="B109" s="359"/>
      <c r="C109" s="359"/>
      <c r="D109" s="374"/>
      <c r="E109" s="367"/>
      <c r="F109" s="374"/>
      <c r="G109" s="367"/>
      <c r="H109" s="374"/>
      <c r="I109" s="367"/>
      <c r="J109" s="367"/>
      <c r="K109" s="367"/>
      <c r="L109" s="367"/>
      <c r="M109" s="367"/>
      <c r="N109" s="367"/>
      <c r="O109" s="367"/>
      <c r="P109" s="367"/>
      <c r="Q109" s="367"/>
      <c r="R109" s="367"/>
      <c r="S109" s="367"/>
      <c r="T109" s="367"/>
      <c r="U109" s="367"/>
      <c r="V109" s="367"/>
      <c r="W109" s="367"/>
      <c r="X109" s="367"/>
      <c r="Y109" s="367"/>
      <c r="Z109" s="367"/>
      <c r="AA109" s="367"/>
      <c r="AB109" s="367"/>
      <c r="AC109" s="367"/>
      <c r="AD109" s="367"/>
      <c r="AE109" s="367"/>
      <c r="AF109" s="367"/>
    </row>
    <row r="110" ht="15.75" customHeight="1">
      <c r="A110" s="359"/>
      <c r="B110" s="359"/>
      <c r="C110" s="359"/>
      <c r="D110" s="374"/>
      <c r="E110" s="367"/>
      <c r="F110" s="374"/>
      <c r="G110" s="367"/>
      <c r="H110" s="374"/>
      <c r="I110" s="367"/>
      <c r="J110" s="367"/>
      <c r="K110" s="367"/>
      <c r="L110" s="367"/>
      <c r="M110" s="367"/>
      <c r="N110" s="367"/>
      <c r="O110" s="367"/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</row>
    <row r="111" ht="15.75" customHeight="1">
      <c r="A111" s="359"/>
      <c r="B111" s="359"/>
      <c r="C111" s="359"/>
      <c r="D111" s="374"/>
      <c r="E111" s="367"/>
      <c r="F111" s="374"/>
      <c r="G111" s="367"/>
      <c r="H111" s="374"/>
      <c r="I111" s="367"/>
      <c r="J111" s="367"/>
      <c r="K111" s="367"/>
      <c r="L111" s="367"/>
      <c r="M111" s="367"/>
      <c r="N111" s="367"/>
      <c r="O111" s="367"/>
      <c r="P111" s="367"/>
      <c r="Q111" s="367"/>
      <c r="R111" s="367"/>
      <c r="S111" s="367"/>
      <c r="T111" s="367"/>
      <c r="U111" s="367"/>
      <c r="V111" s="367"/>
      <c r="W111" s="367"/>
      <c r="X111" s="367"/>
      <c r="Y111" s="367"/>
      <c r="Z111" s="367"/>
      <c r="AA111" s="367"/>
      <c r="AB111" s="367"/>
      <c r="AC111" s="367"/>
      <c r="AD111" s="367"/>
      <c r="AE111" s="367"/>
      <c r="AF111" s="367"/>
    </row>
    <row r="112" ht="15.75" customHeight="1">
      <c r="A112" s="359"/>
      <c r="B112" s="359"/>
      <c r="C112" s="359"/>
      <c r="D112" s="374"/>
      <c r="E112" s="367"/>
      <c r="F112" s="374"/>
      <c r="G112" s="367"/>
      <c r="H112" s="374"/>
      <c r="I112" s="367"/>
      <c r="J112" s="367"/>
      <c r="K112" s="367"/>
      <c r="L112" s="367"/>
      <c r="M112" s="367"/>
      <c r="N112" s="367"/>
      <c r="O112" s="367"/>
      <c r="P112" s="367"/>
      <c r="Q112" s="367"/>
      <c r="R112" s="367"/>
      <c r="S112" s="367"/>
      <c r="T112" s="367"/>
      <c r="U112" s="367"/>
      <c r="V112" s="367"/>
      <c r="W112" s="367"/>
      <c r="X112" s="367"/>
      <c r="Y112" s="367"/>
      <c r="Z112" s="367"/>
      <c r="AA112" s="367"/>
      <c r="AB112" s="367"/>
      <c r="AC112" s="367"/>
      <c r="AD112" s="367"/>
      <c r="AE112" s="367"/>
      <c r="AF112" s="367"/>
    </row>
    <row r="113" ht="15.75" customHeight="1">
      <c r="A113" s="359"/>
      <c r="B113" s="359"/>
      <c r="C113" s="359"/>
      <c r="D113" s="374"/>
      <c r="E113" s="367"/>
      <c r="F113" s="374"/>
      <c r="G113" s="367"/>
      <c r="H113" s="374"/>
      <c r="I113" s="367"/>
      <c r="J113" s="367"/>
      <c r="K113" s="367"/>
      <c r="L113" s="367"/>
      <c r="M113" s="367"/>
      <c r="N113" s="367"/>
      <c r="O113" s="367"/>
      <c r="P113" s="367"/>
      <c r="Q113" s="367"/>
      <c r="R113" s="367"/>
      <c r="S113" s="367"/>
      <c r="T113" s="367"/>
      <c r="U113" s="367"/>
      <c r="V113" s="367"/>
      <c r="W113" s="367"/>
      <c r="X113" s="367"/>
      <c r="Y113" s="367"/>
      <c r="Z113" s="367"/>
      <c r="AA113" s="367"/>
      <c r="AB113" s="367"/>
      <c r="AC113" s="367"/>
      <c r="AD113" s="367"/>
      <c r="AE113" s="367"/>
      <c r="AF113" s="367"/>
    </row>
    <row r="114" ht="15.75" customHeight="1">
      <c r="A114" s="359"/>
      <c r="B114" s="359"/>
      <c r="C114" s="359"/>
      <c r="D114" s="374"/>
      <c r="E114" s="367"/>
      <c r="F114" s="374"/>
      <c r="G114" s="367"/>
      <c r="H114" s="374"/>
      <c r="I114" s="367"/>
      <c r="J114" s="367"/>
      <c r="K114" s="367"/>
      <c r="L114" s="367"/>
      <c r="M114" s="367"/>
      <c r="N114" s="367"/>
      <c r="O114" s="367"/>
      <c r="P114" s="367"/>
      <c r="Q114" s="367"/>
      <c r="R114" s="367"/>
      <c r="S114" s="367"/>
      <c r="T114" s="367"/>
      <c r="U114" s="367"/>
      <c r="V114" s="367"/>
      <c r="W114" s="367"/>
      <c r="X114" s="367"/>
      <c r="Y114" s="367"/>
      <c r="Z114" s="367"/>
      <c r="AA114" s="367"/>
      <c r="AB114" s="367"/>
      <c r="AC114" s="367"/>
      <c r="AD114" s="367"/>
      <c r="AE114" s="367"/>
      <c r="AF114" s="367"/>
    </row>
    <row r="115" ht="15.75" customHeight="1">
      <c r="A115" s="359"/>
      <c r="B115" s="359"/>
      <c r="C115" s="359"/>
      <c r="D115" s="374"/>
      <c r="E115" s="367"/>
      <c r="F115" s="374"/>
      <c r="G115" s="367"/>
      <c r="H115" s="374"/>
      <c r="I115" s="367"/>
      <c r="J115" s="367"/>
      <c r="K115" s="367"/>
      <c r="L115" s="367"/>
      <c r="M115" s="367"/>
      <c r="N115" s="367"/>
      <c r="O115" s="367"/>
      <c r="P115" s="367"/>
      <c r="Q115" s="367"/>
      <c r="R115" s="367"/>
      <c r="S115" s="367"/>
      <c r="T115" s="367"/>
      <c r="U115" s="367"/>
      <c r="V115" s="367"/>
      <c r="W115" s="367"/>
      <c r="X115" s="367"/>
      <c r="Y115" s="367"/>
      <c r="Z115" s="367"/>
      <c r="AA115" s="367"/>
      <c r="AB115" s="367"/>
      <c r="AC115" s="367"/>
      <c r="AD115" s="367"/>
      <c r="AE115" s="367"/>
      <c r="AF115" s="367"/>
    </row>
    <row r="116" ht="15.75" customHeight="1">
      <c r="A116" s="359"/>
      <c r="B116" s="359"/>
      <c r="C116" s="359"/>
      <c r="D116" s="374"/>
      <c r="E116" s="367"/>
      <c r="F116" s="374"/>
      <c r="G116" s="367"/>
      <c r="H116" s="374"/>
      <c r="I116" s="367"/>
      <c r="J116" s="367"/>
      <c r="K116" s="367"/>
      <c r="L116" s="367"/>
      <c r="M116" s="367"/>
      <c r="N116" s="367"/>
      <c r="O116" s="367"/>
      <c r="P116" s="367"/>
      <c r="Q116" s="367"/>
      <c r="R116" s="367"/>
      <c r="S116" s="367"/>
      <c r="T116" s="367"/>
      <c r="U116" s="367"/>
      <c r="V116" s="367"/>
      <c r="W116" s="367"/>
      <c r="X116" s="367"/>
      <c r="Y116" s="367"/>
      <c r="Z116" s="367"/>
      <c r="AA116" s="367"/>
      <c r="AB116" s="367"/>
      <c r="AC116" s="367"/>
      <c r="AD116" s="367"/>
      <c r="AE116" s="367"/>
      <c r="AF116" s="367"/>
    </row>
    <row r="117" ht="15.75" customHeight="1">
      <c r="A117" s="359"/>
      <c r="B117" s="359"/>
      <c r="C117" s="359"/>
      <c r="D117" s="374"/>
      <c r="E117" s="367"/>
      <c r="F117" s="374"/>
      <c r="G117" s="367"/>
      <c r="H117" s="374"/>
      <c r="I117" s="367"/>
      <c r="J117" s="367"/>
      <c r="K117" s="367"/>
      <c r="L117" s="367"/>
      <c r="M117" s="367"/>
      <c r="N117" s="367"/>
      <c r="O117" s="367"/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</row>
    <row r="118" ht="15.75" customHeight="1">
      <c r="A118" s="359"/>
      <c r="B118" s="359"/>
      <c r="C118" s="359"/>
      <c r="D118" s="374"/>
      <c r="E118" s="367"/>
      <c r="F118" s="374"/>
      <c r="G118" s="367"/>
      <c r="H118" s="374"/>
      <c r="I118" s="367"/>
      <c r="J118" s="367"/>
      <c r="K118" s="367"/>
      <c r="L118" s="367"/>
      <c r="M118" s="367"/>
      <c r="N118" s="367"/>
      <c r="O118" s="367"/>
      <c r="P118" s="367"/>
      <c r="Q118" s="367"/>
      <c r="R118" s="367"/>
      <c r="S118" s="367"/>
      <c r="T118" s="367"/>
      <c r="U118" s="367"/>
      <c r="V118" s="367"/>
      <c r="W118" s="367"/>
      <c r="X118" s="367"/>
      <c r="Y118" s="367"/>
      <c r="Z118" s="367"/>
      <c r="AA118" s="367"/>
      <c r="AB118" s="367"/>
      <c r="AC118" s="367"/>
      <c r="AD118" s="367"/>
      <c r="AE118" s="367"/>
      <c r="AF118" s="367"/>
    </row>
    <row r="119" ht="15.75" customHeight="1">
      <c r="A119" s="359"/>
      <c r="B119" s="359"/>
      <c r="C119" s="359"/>
      <c r="D119" s="374"/>
      <c r="E119" s="367"/>
      <c r="F119" s="374"/>
      <c r="G119" s="367"/>
      <c r="H119" s="374"/>
      <c r="I119" s="367"/>
      <c r="J119" s="367"/>
      <c r="K119" s="367"/>
      <c r="L119" s="367"/>
      <c r="M119" s="367"/>
      <c r="N119" s="367"/>
      <c r="O119" s="367"/>
      <c r="P119" s="367"/>
      <c r="Q119" s="367"/>
      <c r="R119" s="367"/>
      <c r="S119" s="367"/>
      <c r="T119" s="367"/>
      <c r="U119" s="367"/>
      <c r="V119" s="367"/>
      <c r="W119" s="367"/>
      <c r="X119" s="367"/>
      <c r="Y119" s="367"/>
      <c r="Z119" s="367"/>
      <c r="AA119" s="367"/>
      <c r="AB119" s="367"/>
      <c r="AC119" s="367"/>
      <c r="AD119" s="367"/>
      <c r="AE119" s="367"/>
      <c r="AF119" s="367"/>
    </row>
    <row r="120" ht="15.75" customHeight="1">
      <c r="A120" s="359"/>
      <c r="B120" s="359"/>
      <c r="C120" s="359"/>
      <c r="D120" s="374"/>
      <c r="E120" s="367"/>
      <c r="F120" s="374"/>
      <c r="G120" s="367"/>
      <c r="H120" s="374"/>
      <c r="I120" s="367"/>
      <c r="J120" s="367"/>
      <c r="K120" s="367"/>
      <c r="L120" s="367"/>
      <c r="M120" s="367"/>
      <c r="N120" s="367"/>
      <c r="O120" s="367"/>
      <c r="P120" s="367"/>
      <c r="Q120" s="367"/>
      <c r="R120" s="367"/>
      <c r="S120" s="367"/>
      <c r="T120" s="367"/>
      <c r="U120" s="367"/>
      <c r="V120" s="367"/>
      <c r="W120" s="367"/>
      <c r="X120" s="367"/>
      <c r="Y120" s="367"/>
      <c r="Z120" s="367"/>
      <c r="AA120" s="367"/>
      <c r="AB120" s="367"/>
      <c r="AC120" s="367"/>
      <c r="AD120" s="367"/>
      <c r="AE120" s="367"/>
      <c r="AF120" s="367"/>
    </row>
    <row r="121" ht="15.75" customHeight="1">
      <c r="A121" s="359"/>
      <c r="B121" s="359"/>
      <c r="C121" s="359"/>
      <c r="D121" s="374"/>
      <c r="E121" s="367"/>
      <c r="F121" s="374"/>
      <c r="G121" s="367"/>
      <c r="H121" s="374"/>
      <c r="I121" s="367"/>
      <c r="J121" s="367"/>
      <c r="K121" s="367"/>
      <c r="L121" s="367"/>
      <c r="M121" s="367"/>
      <c r="N121" s="367"/>
      <c r="O121" s="367"/>
      <c r="P121" s="367"/>
      <c r="Q121" s="367"/>
      <c r="R121" s="367"/>
      <c r="S121" s="367"/>
      <c r="T121" s="367"/>
      <c r="U121" s="367"/>
      <c r="V121" s="367"/>
      <c r="W121" s="367"/>
      <c r="X121" s="367"/>
      <c r="Y121" s="367"/>
      <c r="Z121" s="367"/>
      <c r="AA121" s="367"/>
      <c r="AB121" s="367"/>
      <c r="AC121" s="367"/>
      <c r="AD121" s="367"/>
      <c r="AE121" s="367"/>
      <c r="AF121" s="367"/>
    </row>
    <row r="122" ht="15.75" customHeight="1">
      <c r="A122" s="359"/>
      <c r="B122" s="359"/>
      <c r="C122" s="359"/>
      <c r="D122" s="374"/>
      <c r="E122" s="367"/>
      <c r="F122" s="374"/>
      <c r="G122" s="367"/>
      <c r="H122" s="374"/>
      <c r="I122" s="367"/>
      <c r="J122" s="367"/>
      <c r="K122" s="367"/>
      <c r="L122" s="367"/>
      <c r="M122" s="367"/>
      <c r="N122" s="367"/>
      <c r="O122" s="367"/>
      <c r="P122" s="367"/>
      <c r="Q122" s="367"/>
      <c r="R122" s="367"/>
      <c r="S122" s="367"/>
      <c r="T122" s="367"/>
      <c r="U122" s="367"/>
      <c r="V122" s="367"/>
      <c r="W122" s="367"/>
      <c r="X122" s="367"/>
      <c r="Y122" s="367"/>
      <c r="Z122" s="367"/>
      <c r="AA122" s="367"/>
      <c r="AB122" s="367"/>
      <c r="AC122" s="367"/>
      <c r="AD122" s="367"/>
      <c r="AE122" s="367"/>
      <c r="AF122" s="367"/>
    </row>
    <row r="123" ht="15.75" customHeight="1">
      <c r="A123" s="359"/>
      <c r="B123" s="359"/>
      <c r="C123" s="359"/>
      <c r="D123" s="374"/>
      <c r="E123" s="367"/>
      <c r="F123" s="374"/>
      <c r="G123" s="367"/>
      <c r="H123" s="374"/>
      <c r="I123" s="367"/>
      <c r="J123" s="367"/>
      <c r="K123" s="367"/>
      <c r="L123" s="367"/>
      <c r="M123" s="367"/>
      <c r="N123" s="367"/>
      <c r="O123" s="367"/>
      <c r="P123" s="367"/>
      <c r="Q123" s="367"/>
      <c r="R123" s="367"/>
      <c r="S123" s="367"/>
      <c r="T123" s="367"/>
      <c r="U123" s="367"/>
      <c r="V123" s="367"/>
      <c r="W123" s="367"/>
      <c r="X123" s="367"/>
      <c r="Y123" s="367"/>
      <c r="Z123" s="367"/>
      <c r="AA123" s="367"/>
      <c r="AB123" s="367"/>
      <c r="AC123" s="367"/>
      <c r="AD123" s="367"/>
      <c r="AE123" s="367"/>
      <c r="AF123" s="367"/>
    </row>
    <row r="124" ht="15.75" customHeight="1">
      <c r="A124" s="359"/>
      <c r="B124" s="359"/>
      <c r="C124" s="359"/>
      <c r="D124" s="374"/>
      <c r="E124" s="367"/>
      <c r="F124" s="374"/>
      <c r="G124" s="367"/>
      <c r="H124" s="374"/>
      <c r="I124" s="367"/>
      <c r="J124" s="367"/>
      <c r="K124" s="367"/>
      <c r="L124" s="367"/>
      <c r="M124" s="367"/>
      <c r="N124" s="367"/>
      <c r="O124" s="367"/>
      <c r="P124" s="367"/>
      <c r="Q124" s="367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</row>
    <row r="125" ht="15.75" customHeight="1">
      <c r="A125" s="359"/>
      <c r="B125" s="359"/>
      <c r="C125" s="359"/>
      <c r="D125" s="374"/>
      <c r="E125" s="367"/>
      <c r="F125" s="374"/>
      <c r="G125" s="367"/>
      <c r="H125" s="374"/>
      <c r="I125" s="367"/>
      <c r="J125" s="367"/>
      <c r="K125" s="367"/>
      <c r="L125" s="367"/>
      <c r="M125" s="367"/>
      <c r="N125" s="367"/>
      <c r="O125" s="367"/>
      <c r="P125" s="367"/>
      <c r="Q125" s="367"/>
      <c r="R125" s="367"/>
      <c r="S125" s="367"/>
      <c r="T125" s="367"/>
      <c r="U125" s="367"/>
      <c r="V125" s="367"/>
      <c r="W125" s="367"/>
      <c r="X125" s="367"/>
      <c r="Y125" s="367"/>
      <c r="Z125" s="367"/>
      <c r="AA125" s="367"/>
      <c r="AB125" s="367"/>
      <c r="AC125" s="367"/>
      <c r="AD125" s="367"/>
      <c r="AE125" s="367"/>
      <c r="AF125" s="367"/>
    </row>
    <row r="126" ht="15.75" customHeight="1">
      <c r="A126" s="359"/>
      <c r="B126" s="359"/>
      <c r="C126" s="359"/>
      <c r="D126" s="374"/>
      <c r="E126" s="367"/>
      <c r="F126" s="374"/>
      <c r="G126" s="367"/>
      <c r="H126" s="374"/>
      <c r="I126" s="367"/>
      <c r="J126" s="367"/>
      <c r="K126" s="367"/>
      <c r="L126" s="367"/>
      <c r="M126" s="367"/>
      <c r="N126" s="367"/>
      <c r="O126" s="367"/>
      <c r="P126" s="367"/>
      <c r="Q126" s="367"/>
      <c r="R126" s="367"/>
      <c r="S126" s="367"/>
      <c r="T126" s="367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  <c r="AE126" s="367"/>
      <c r="AF126" s="367"/>
    </row>
    <row r="127" ht="15.75" customHeight="1">
      <c r="A127" s="359"/>
      <c r="B127" s="359"/>
      <c r="C127" s="359"/>
      <c r="D127" s="374"/>
      <c r="E127" s="367"/>
      <c r="F127" s="374"/>
      <c r="G127" s="367"/>
      <c r="H127" s="374"/>
      <c r="I127" s="367"/>
      <c r="J127" s="367"/>
      <c r="K127" s="367"/>
      <c r="L127" s="367"/>
      <c r="M127" s="367"/>
      <c r="N127" s="367"/>
      <c r="O127" s="367"/>
      <c r="P127" s="367"/>
      <c r="Q127" s="367"/>
      <c r="R127" s="367"/>
      <c r="S127" s="367"/>
      <c r="T127" s="367"/>
      <c r="U127" s="367"/>
      <c r="V127" s="367"/>
      <c r="W127" s="367"/>
      <c r="X127" s="367"/>
      <c r="Y127" s="367"/>
      <c r="Z127" s="367"/>
      <c r="AA127" s="367"/>
      <c r="AB127" s="367"/>
      <c r="AC127" s="367"/>
      <c r="AD127" s="367"/>
      <c r="AE127" s="367"/>
      <c r="AF127" s="367"/>
    </row>
    <row r="128" ht="15.75" customHeight="1">
      <c r="A128" s="359"/>
      <c r="B128" s="359"/>
      <c r="C128" s="359"/>
      <c r="D128" s="374"/>
      <c r="E128" s="367"/>
      <c r="F128" s="374"/>
      <c r="G128" s="367"/>
      <c r="H128" s="374"/>
      <c r="I128" s="367"/>
      <c r="J128" s="367"/>
      <c r="K128" s="367"/>
      <c r="L128" s="367"/>
      <c r="M128" s="367"/>
      <c r="N128" s="367"/>
      <c r="O128" s="367"/>
      <c r="P128" s="367"/>
      <c r="Q128" s="367"/>
      <c r="R128" s="367"/>
      <c r="S128" s="367"/>
      <c r="T128" s="367"/>
      <c r="U128" s="367"/>
      <c r="V128" s="367"/>
      <c r="W128" s="367"/>
      <c r="X128" s="367"/>
      <c r="Y128" s="367"/>
      <c r="Z128" s="367"/>
      <c r="AA128" s="367"/>
      <c r="AB128" s="367"/>
      <c r="AC128" s="367"/>
      <c r="AD128" s="367"/>
      <c r="AE128" s="367"/>
      <c r="AF128" s="367"/>
    </row>
    <row r="129" ht="15.75" customHeight="1">
      <c r="A129" s="359"/>
      <c r="B129" s="359"/>
      <c r="C129" s="359"/>
      <c r="D129" s="374"/>
      <c r="E129" s="367"/>
      <c r="F129" s="374"/>
      <c r="G129" s="367"/>
      <c r="H129" s="374"/>
      <c r="I129" s="367"/>
      <c r="J129" s="367"/>
      <c r="K129" s="367"/>
      <c r="L129" s="367"/>
      <c r="M129" s="367"/>
      <c r="N129" s="367"/>
      <c r="O129" s="367"/>
      <c r="P129" s="367"/>
      <c r="Q129" s="367"/>
      <c r="R129" s="367"/>
      <c r="S129" s="367"/>
      <c r="T129" s="367"/>
      <c r="U129" s="367"/>
      <c r="V129" s="367"/>
      <c r="W129" s="367"/>
      <c r="X129" s="367"/>
      <c r="Y129" s="367"/>
      <c r="Z129" s="367"/>
      <c r="AA129" s="367"/>
      <c r="AB129" s="367"/>
      <c r="AC129" s="367"/>
      <c r="AD129" s="367"/>
      <c r="AE129" s="367"/>
      <c r="AF129" s="367"/>
    </row>
    <row r="130" ht="15.75" customHeight="1">
      <c r="A130" s="359"/>
      <c r="B130" s="359"/>
      <c r="C130" s="359"/>
      <c r="D130" s="374"/>
      <c r="E130" s="367"/>
      <c r="F130" s="374"/>
      <c r="G130" s="367"/>
      <c r="H130" s="374"/>
      <c r="I130" s="367"/>
      <c r="J130" s="367"/>
      <c r="K130" s="367"/>
      <c r="L130" s="367"/>
      <c r="M130" s="367"/>
      <c r="N130" s="367"/>
      <c r="O130" s="367"/>
      <c r="P130" s="367"/>
      <c r="Q130" s="367"/>
      <c r="R130" s="367"/>
      <c r="S130" s="367"/>
      <c r="T130" s="367"/>
      <c r="U130" s="367"/>
      <c r="V130" s="367"/>
      <c r="W130" s="367"/>
      <c r="X130" s="367"/>
      <c r="Y130" s="367"/>
      <c r="Z130" s="367"/>
      <c r="AA130" s="367"/>
      <c r="AB130" s="367"/>
      <c r="AC130" s="367"/>
      <c r="AD130" s="367"/>
      <c r="AE130" s="367"/>
      <c r="AF130" s="367"/>
    </row>
    <row r="131" ht="15.75" customHeight="1">
      <c r="A131" s="359"/>
      <c r="B131" s="359"/>
      <c r="C131" s="359"/>
      <c r="D131" s="374"/>
      <c r="E131" s="367"/>
      <c r="F131" s="374"/>
      <c r="G131" s="367"/>
      <c r="H131" s="374"/>
      <c r="I131" s="367"/>
      <c r="J131" s="367"/>
      <c r="K131" s="367"/>
      <c r="L131" s="367"/>
      <c r="M131" s="367"/>
      <c r="N131" s="367"/>
      <c r="O131" s="367"/>
      <c r="P131" s="367"/>
      <c r="Q131" s="367"/>
      <c r="R131" s="367"/>
      <c r="S131" s="367"/>
      <c r="T131" s="367"/>
      <c r="U131" s="367"/>
      <c r="V131" s="367"/>
      <c r="W131" s="367"/>
      <c r="X131" s="367"/>
      <c r="Y131" s="367"/>
      <c r="Z131" s="367"/>
      <c r="AA131" s="367"/>
      <c r="AB131" s="367"/>
      <c r="AC131" s="367"/>
      <c r="AD131" s="367"/>
      <c r="AE131" s="367"/>
      <c r="AF131" s="367"/>
    </row>
    <row r="132" ht="15.75" customHeight="1">
      <c r="A132" s="359"/>
      <c r="B132" s="359"/>
      <c r="C132" s="359"/>
      <c r="D132" s="374"/>
      <c r="E132" s="367"/>
      <c r="F132" s="374"/>
      <c r="G132" s="367"/>
      <c r="H132" s="374"/>
      <c r="I132" s="367"/>
      <c r="J132" s="367"/>
      <c r="K132" s="367"/>
      <c r="L132" s="367"/>
      <c r="M132" s="367"/>
      <c r="N132" s="367"/>
      <c r="O132" s="367"/>
      <c r="P132" s="367"/>
      <c r="Q132" s="367"/>
      <c r="R132" s="367"/>
      <c r="S132" s="367"/>
      <c r="T132" s="367"/>
      <c r="U132" s="367"/>
      <c r="V132" s="367"/>
      <c r="W132" s="367"/>
      <c r="X132" s="367"/>
      <c r="Y132" s="367"/>
      <c r="Z132" s="367"/>
      <c r="AA132" s="367"/>
      <c r="AB132" s="367"/>
      <c r="AC132" s="367"/>
      <c r="AD132" s="367"/>
      <c r="AE132" s="367"/>
      <c r="AF132" s="367"/>
    </row>
    <row r="133" ht="15.75" customHeight="1">
      <c r="A133" s="359"/>
      <c r="B133" s="359"/>
      <c r="C133" s="359"/>
      <c r="D133" s="374"/>
      <c r="E133" s="367"/>
      <c r="F133" s="374"/>
      <c r="G133" s="367"/>
      <c r="H133" s="374"/>
      <c r="I133" s="367"/>
      <c r="J133" s="367"/>
      <c r="K133" s="367"/>
      <c r="L133" s="367"/>
      <c r="M133" s="367"/>
      <c r="N133" s="367"/>
      <c r="O133" s="367"/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  <c r="AE133" s="367"/>
      <c r="AF133" s="367"/>
    </row>
    <row r="134" ht="15.75" customHeight="1">
      <c r="A134" s="359"/>
      <c r="B134" s="359"/>
      <c r="C134" s="359"/>
      <c r="D134" s="374"/>
      <c r="E134" s="367"/>
      <c r="F134" s="374"/>
      <c r="G134" s="367"/>
      <c r="H134" s="374"/>
      <c r="I134" s="367"/>
      <c r="J134" s="367"/>
      <c r="K134" s="367"/>
      <c r="L134" s="367"/>
      <c r="M134" s="367"/>
      <c r="N134" s="367"/>
      <c r="O134" s="367"/>
      <c r="P134" s="367"/>
      <c r="Q134" s="367"/>
      <c r="R134" s="367"/>
      <c r="S134" s="367"/>
      <c r="T134" s="367"/>
      <c r="U134" s="367"/>
      <c r="V134" s="367"/>
      <c r="W134" s="367"/>
      <c r="X134" s="367"/>
      <c r="Y134" s="367"/>
      <c r="Z134" s="367"/>
      <c r="AA134" s="367"/>
      <c r="AB134" s="367"/>
      <c r="AC134" s="367"/>
      <c r="AD134" s="367"/>
      <c r="AE134" s="367"/>
      <c r="AF134" s="367"/>
    </row>
    <row r="135" ht="15.75" customHeight="1">
      <c r="A135" s="359"/>
      <c r="B135" s="359"/>
      <c r="C135" s="359"/>
      <c r="D135" s="374"/>
      <c r="E135" s="367"/>
      <c r="F135" s="374"/>
      <c r="G135" s="367"/>
      <c r="H135" s="374"/>
      <c r="I135" s="367"/>
      <c r="J135" s="367"/>
      <c r="K135" s="367"/>
      <c r="L135" s="367"/>
      <c r="M135" s="367"/>
      <c r="N135" s="367"/>
      <c r="O135" s="367"/>
      <c r="P135" s="367"/>
      <c r="Q135" s="367"/>
      <c r="R135" s="367"/>
      <c r="S135" s="367"/>
      <c r="T135" s="367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</row>
    <row r="136" ht="15.75" customHeight="1">
      <c r="A136" s="359"/>
      <c r="B136" s="359"/>
      <c r="C136" s="359"/>
      <c r="D136" s="374"/>
      <c r="E136" s="367"/>
      <c r="F136" s="374"/>
      <c r="G136" s="367"/>
      <c r="H136" s="374"/>
      <c r="I136" s="367"/>
      <c r="J136" s="367"/>
      <c r="K136" s="367"/>
      <c r="L136" s="367"/>
      <c r="M136" s="367"/>
      <c r="N136" s="367"/>
      <c r="O136" s="367"/>
      <c r="P136" s="367"/>
      <c r="Q136" s="367"/>
      <c r="R136" s="367"/>
      <c r="S136" s="367"/>
      <c r="T136" s="367"/>
      <c r="U136" s="367"/>
      <c r="V136" s="367"/>
      <c r="W136" s="367"/>
      <c r="X136" s="367"/>
      <c r="Y136" s="367"/>
      <c r="Z136" s="367"/>
      <c r="AA136" s="367"/>
      <c r="AB136" s="367"/>
      <c r="AC136" s="367"/>
      <c r="AD136" s="367"/>
      <c r="AE136" s="367"/>
      <c r="AF136" s="367"/>
    </row>
    <row r="137" ht="15.75" customHeight="1">
      <c r="A137" s="359"/>
      <c r="B137" s="359"/>
      <c r="C137" s="359"/>
      <c r="D137" s="374"/>
      <c r="E137" s="367"/>
      <c r="F137" s="374"/>
      <c r="G137" s="367"/>
      <c r="H137" s="374"/>
      <c r="I137" s="367"/>
      <c r="J137" s="367"/>
      <c r="K137" s="367"/>
      <c r="L137" s="367"/>
      <c r="M137" s="367"/>
      <c r="N137" s="367"/>
      <c r="O137" s="367"/>
      <c r="P137" s="367"/>
      <c r="Q137" s="367"/>
      <c r="R137" s="367"/>
      <c r="S137" s="367"/>
      <c r="T137" s="367"/>
      <c r="U137" s="367"/>
      <c r="V137" s="367"/>
      <c r="W137" s="367"/>
      <c r="X137" s="367"/>
      <c r="Y137" s="367"/>
      <c r="Z137" s="367"/>
      <c r="AA137" s="367"/>
      <c r="AB137" s="367"/>
      <c r="AC137" s="367"/>
      <c r="AD137" s="367"/>
      <c r="AE137" s="367"/>
      <c r="AF137" s="367"/>
    </row>
    <row r="138" ht="15.75" customHeight="1">
      <c r="A138" s="359"/>
      <c r="B138" s="359"/>
      <c r="C138" s="359"/>
      <c r="D138" s="374"/>
      <c r="E138" s="367"/>
      <c r="F138" s="374"/>
      <c r="G138" s="367"/>
      <c r="H138" s="374"/>
      <c r="I138" s="367"/>
      <c r="J138" s="367"/>
      <c r="K138" s="367"/>
      <c r="L138" s="367"/>
      <c r="M138" s="367"/>
      <c r="N138" s="367"/>
      <c r="O138" s="367"/>
      <c r="P138" s="367"/>
      <c r="Q138" s="367"/>
      <c r="R138" s="367"/>
      <c r="S138" s="367"/>
      <c r="T138" s="367"/>
      <c r="U138" s="367"/>
      <c r="V138" s="367"/>
      <c r="W138" s="367"/>
      <c r="X138" s="367"/>
      <c r="Y138" s="367"/>
      <c r="Z138" s="367"/>
      <c r="AA138" s="367"/>
      <c r="AB138" s="367"/>
      <c r="AC138" s="367"/>
      <c r="AD138" s="367"/>
      <c r="AE138" s="367"/>
      <c r="AF138" s="367"/>
    </row>
    <row r="139" ht="15.75" customHeight="1">
      <c r="A139" s="359"/>
      <c r="B139" s="359"/>
      <c r="C139" s="359"/>
      <c r="D139" s="374"/>
      <c r="E139" s="367"/>
      <c r="F139" s="374"/>
      <c r="G139" s="367"/>
      <c r="H139" s="374"/>
      <c r="I139" s="367"/>
      <c r="J139" s="367"/>
      <c r="K139" s="367"/>
      <c r="L139" s="367"/>
      <c r="M139" s="367"/>
      <c r="N139" s="367"/>
      <c r="O139" s="367"/>
      <c r="P139" s="367"/>
      <c r="Q139" s="367"/>
      <c r="R139" s="367"/>
      <c r="S139" s="367"/>
      <c r="T139" s="367"/>
      <c r="U139" s="367"/>
      <c r="V139" s="367"/>
      <c r="W139" s="367"/>
      <c r="X139" s="367"/>
      <c r="Y139" s="367"/>
      <c r="Z139" s="367"/>
      <c r="AA139" s="367"/>
      <c r="AB139" s="367"/>
      <c r="AC139" s="367"/>
      <c r="AD139" s="367"/>
      <c r="AE139" s="367"/>
      <c r="AF139" s="367"/>
    </row>
    <row r="140" ht="15.75" customHeight="1">
      <c r="A140" s="359"/>
      <c r="B140" s="359"/>
      <c r="C140" s="359"/>
      <c r="D140" s="374"/>
      <c r="E140" s="367"/>
      <c r="F140" s="374"/>
      <c r="G140" s="367"/>
      <c r="H140" s="374"/>
      <c r="I140" s="367"/>
      <c r="J140" s="367"/>
      <c r="K140" s="367"/>
      <c r="L140" s="367"/>
      <c r="M140" s="367"/>
      <c r="N140" s="367"/>
      <c r="O140" s="367"/>
      <c r="P140" s="367"/>
      <c r="Q140" s="367"/>
      <c r="R140" s="367"/>
      <c r="S140" s="367"/>
      <c r="T140" s="367"/>
      <c r="U140" s="367"/>
      <c r="V140" s="367"/>
      <c r="W140" s="367"/>
      <c r="X140" s="367"/>
      <c r="Y140" s="367"/>
      <c r="Z140" s="367"/>
      <c r="AA140" s="367"/>
      <c r="AB140" s="367"/>
      <c r="AC140" s="367"/>
      <c r="AD140" s="367"/>
      <c r="AE140" s="367"/>
      <c r="AF140" s="367"/>
    </row>
    <row r="141" ht="15.75" customHeight="1">
      <c r="A141" s="359"/>
      <c r="B141" s="359"/>
      <c r="C141" s="359"/>
      <c r="D141" s="374"/>
      <c r="E141" s="367"/>
      <c r="F141" s="374"/>
      <c r="G141" s="367"/>
      <c r="H141" s="374"/>
      <c r="I141" s="367"/>
      <c r="J141" s="367"/>
      <c r="K141" s="367"/>
      <c r="L141" s="367"/>
      <c r="M141" s="367"/>
      <c r="N141" s="367"/>
      <c r="O141" s="367"/>
      <c r="P141" s="367"/>
      <c r="Q141" s="367"/>
      <c r="R141" s="367"/>
      <c r="S141" s="367"/>
      <c r="T141" s="367"/>
      <c r="U141" s="367"/>
      <c r="V141" s="367"/>
      <c r="W141" s="367"/>
      <c r="X141" s="367"/>
      <c r="Y141" s="367"/>
      <c r="Z141" s="367"/>
      <c r="AA141" s="367"/>
      <c r="AB141" s="367"/>
      <c r="AC141" s="367"/>
      <c r="AD141" s="367"/>
      <c r="AE141" s="367"/>
      <c r="AF141" s="367"/>
    </row>
    <row r="142" ht="15.75" customHeight="1">
      <c r="A142" s="359"/>
      <c r="B142" s="359"/>
      <c r="C142" s="359"/>
      <c r="D142" s="374"/>
      <c r="E142" s="367"/>
      <c r="F142" s="374"/>
      <c r="G142" s="367"/>
      <c r="H142" s="374"/>
      <c r="I142" s="367"/>
      <c r="J142" s="367"/>
      <c r="K142" s="367"/>
      <c r="L142" s="367"/>
      <c r="M142" s="367"/>
      <c r="N142" s="367"/>
      <c r="O142" s="367"/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</row>
    <row r="143" ht="15.75" customHeight="1">
      <c r="A143" s="359"/>
      <c r="B143" s="359"/>
      <c r="C143" s="359"/>
      <c r="D143" s="374"/>
      <c r="E143" s="367"/>
      <c r="F143" s="374"/>
      <c r="G143" s="367"/>
      <c r="H143" s="374"/>
      <c r="I143" s="367"/>
      <c r="J143" s="367"/>
      <c r="K143" s="367"/>
      <c r="L143" s="367"/>
      <c r="M143" s="367"/>
      <c r="N143" s="367"/>
      <c r="O143" s="367"/>
      <c r="P143" s="367"/>
      <c r="Q143" s="367"/>
      <c r="R143" s="367"/>
      <c r="S143" s="367"/>
      <c r="T143" s="367"/>
      <c r="U143" s="367"/>
      <c r="V143" s="367"/>
      <c r="W143" s="367"/>
      <c r="X143" s="367"/>
      <c r="Y143" s="367"/>
      <c r="Z143" s="367"/>
      <c r="AA143" s="367"/>
      <c r="AB143" s="367"/>
      <c r="AC143" s="367"/>
      <c r="AD143" s="367"/>
      <c r="AE143" s="367"/>
      <c r="AF143" s="367"/>
    </row>
    <row r="144" ht="15.75" customHeight="1">
      <c r="A144" s="359"/>
      <c r="B144" s="359"/>
      <c r="C144" s="359"/>
      <c r="D144" s="374"/>
      <c r="E144" s="367"/>
      <c r="F144" s="374"/>
      <c r="G144" s="367"/>
      <c r="H144" s="374"/>
      <c r="I144" s="367"/>
      <c r="J144" s="367"/>
      <c r="K144" s="367"/>
      <c r="L144" s="367"/>
      <c r="M144" s="367"/>
      <c r="N144" s="367"/>
      <c r="O144" s="367"/>
      <c r="P144" s="367"/>
      <c r="Q144" s="367"/>
      <c r="R144" s="367"/>
      <c r="S144" s="367"/>
      <c r="T144" s="367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  <c r="AE144" s="367"/>
      <c r="AF144" s="367"/>
    </row>
    <row r="145" ht="15.75" customHeight="1">
      <c r="A145" s="359"/>
      <c r="B145" s="359"/>
      <c r="C145" s="359"/>
      <c r="D145" s="374"/>
      <c r="E145" s="367"/>
      <c r="F145" s="374"/>
      <c r="G145" s="367"/>
      <c r="H145" s="374"/>
      <c r="I145" s="367"/>
      <c r="J145" s="367"/>
      <c r="K145" s="367"/>
      <c r="L145" s="367"/>
      <c r="M145" s="367"/>
      <c r="N145" s="367"/>
      <c r="O145" s="367"/>
      <c r="P145" s="367"/>
      <c r="Q145" s="367"/>
      <c r="R145" s="367"/>
      <c r="S145" s="367"/>
      <c r="T145" s="367"/>
      <c r="U145" s="367"/>
      <c r="V145" s="367"/>
      <c r="W145" s="367"/>
      <c r="X145" s="367"/>
      <c r="Y145" s="367"/>
      <c r="Z145" s="367"/>
      <c r="AA145" s="367"/>
      <c r="AB145" s="367"/>
      <c r="AC145" s="367"/>
      <c r="AD145" s="367"/>
      <c r="AE145" s="367"/>
      <c r="AF145" s="367"/>
    </row>
    <row r="146" ht="15.75" customHeight="1">
      <c r="A146" s="359"/>
      <c r="B146" s="359"/>
      <c r="C146" s="359"/>
      <c r="D146" s="374"/>
      <c r="E146" s="367"/>
      <c r="F146" s="374"/>
      <c r="G146" s="367"/>
      <c r="H146" s="374"/>
      <c r="I146" s="367"/>
      <c r="J146" s="367"/>
      <c r="K146" s="367"/>
      <c r="L146" s="367"/>
      <c r="M146" s="367"/>
      <c r="N146" s="367"/>
      <c r="O146" s="367"/>
      <c r="P146" s="367"/>
      <c r="Q146" s="367"/>
      <c r="R146" s="367"/>
      <c r="S146" s="367"/>
      <c r="T146" s="367"/>
      <c r="U146" s="367"/>
      <c r="V146" s="367"/>
      <c r="W146" s="367"/>
      <c r="X146" s="367"/>
      <c r="Y146" s="367"/>
      <c r="Z146" s="367"/>
      <c r="AA146" s="367"/>
      <c r="AB146" s="367"/>
      <c r="AC146" s="367"/>
      <c r="AD146" s="367"/>
      <c r="AE146" s="367"/>
      <c r="AF146" s="367"/>
    </row>
    <row r="147" ht="15.75" customHeight="1">
      <c r="A147" s="359"/>
      <c r="B147" s="359"/>
      <c r="C147" s="359"/>
      <c r="D147" s="374"/>
      <c r="E147" s="367"/>
      <c r="F147" s="374"/>
      <c r="G147" s="367"/>
      <c r="H147" s="374"/>
      <c r="I147" s="367"/>
      <c r="J147" s="367"/>
      <c r="K147" s="367"/>
      <c r="L147" s="367"/>
      <c r="M147" s="367"/>
      <c r="N147" s="367"/>
      <c r="O147" s="367"/>
      <c r="P147" s="367"/>
      <c r="Q147" s="367"/>
      <c r="R147" s="367"/>
      <c r="S147" s="367"/>
      <c r="T147" s="367"/>
      <c r="U147" s="367"/>
      <c r="V147" s="367"/>
      <c r="W147" s="367"/>
      <c r="X147" s="367"/>
      <c r="Y147" s="367"/>
      <c r="Z147" s="367"/>
      <c r="AA147" s="367"/>
      <c r="AB147" s="367"/>
      <c r="AC147" s="367"/>
      <c r="AD147" s="367"/>
      <c r="AE147" s="367"/>
      <c r="AF147" s="367"/>
    </row>
    <row r="148" ht="15.75" customHeight="1">
      <c r="A148" s="359"/>
      <c r="B148" s="359"/>
      <c r="C148" s="359"/>
      <c r="D148" s="374"/>
      <c r="E148" s="367"/>
      <c r="F148" s="374"/>
      <c r="G148" s="367"/>
      <c r="H148" s="374"/>
      <c r="I148" s="367"/>
      <c r="J148" s="367"/>
      <c r="K148" s="367"/>
      <c r="L148" s="367"/>
      <c r="M148" s="367"/>
      <c r="N148" s="367"/>
      <c r="O148" s="367"/>
      <c r="P148" s="367"/>
      <c r="Q148" s="367"/>
      <c r="R148" s="367"/>
      <c r="S148" s="367"/>
      <c r="T148" s="367"/>
      <c r="U148" s="367"/>
      <c r="V148" s="367"/>
      <c r="W148" s="367"/>
      <c r="X148" s="367"/>
      <c r="Y148" s="367"/>
      <c r="Z148" s="367"/>
      <c r="AA148" s="367"/>
      <c r="AB148" s="367"/>
      <c r="AC148" s="367"/>
      <c r="AD148" s="367"/>
      <c r="AE148" s="367"/>
      <c r="AF148" s="367"/>
    </row>
    <row r="149" ht="15.75" customHeight="1">
      <c r="A149" s="359"/>
      <c r="B149" s="359"/>
      <c r="C149" s="359"/>
      <c r="D149" s="374"/>
      <c r="E149" s="367"/>
      <c r="F149" s="374"/>
      <c r="G149" s="367"/>
      <c r="H149" s="374"/>
      <c r="I149" s="367"/>
      <c r="J149" s="367"/>
      <c r="K149" s="367"/>
      <c r="L149" s="367"/>
      <c r="M149" s="367"/>
      <c r="N149" s="367"/>
      <c r="O149" s="367"/>
      <c r="P149" s="367"/>
      <c r="Q149" s="367"/>
      <c r="R149" s="367"/>
      <c r="S149" s="367"/>
      <c r="T149" s="367"/>
      <c r="U149" s="367"/>
      <c r="V149" s="367"/>
      <c r="W149" s="367"/>
      <c r="X149" s="367"/>
      <c r="Y149" s="367"/>
      <c r="Z149" s="367"/>
      <c r="AA149" s="367"/>
      <c r="AB149" s="367"/>
      <c r="AC149" s="367"/>
      <c r="AD149" s="367"/>
      <c r="AE149" s="367"/>
      <c r="AF149" s="367"/>
    </row>
    <row r="150" ht="15.75" customHeight="1">
      <c r="A150" s="359"/>
      <c r="B150" s="361"/>
      <c r="C150" s="361"/>
      <c r="D150" s="361"/>
      <c r="E150" s="367"/>
      <c r="F150" s="367"/>
      <c r="G150" s="367"/>
      <c r="H150" s="367"/>
      <c r="I150" s="367"/>
      <c r="J150" s="367"/>
      <c r="K150" s="367"/>
      <c r="L150" s="367"/>
      <c r="M150" s="367"/>
      <c r="N150" s="367"/>
      <c r="O150" s="367"/>
      <c r="P150" s="367"/>
      <c r="Q150" s="367"/>
      <c r="R150" s="367"/>
      <c r="S150" s="367"/>
      <c r="T150" s="367"/>
      <c r="U150" s="367"/>
      <c r="V150" s="367"/>
      <c r="W150" s="367"/>
      <c r="X150" s="367"/>
      <c r="Y150" s="367"/>
      <c r="Z150" s="367"/>
      <c r="AA150" s="367"/>
      <c r="AB150" s="367"/>
      <c r="AC150" s="367"/>
      <c r="AD150" s="367"/>
      <c r="AE150" s="367"/>
      <c r="AF150" s="367"/>
    </row>
    <row r="151" ht="15.75" customHeight="1">
      <c r="A151" s="359"/>
      <c r="B151" s="361"/>
      <c r="C151" s="361"/>
      <c r="D151" s="361"/>
      <c r="E151" s="367"/>
      <c r="F151" s="367"/>
      <c r="G151" s="367"/>
      <c r="H151" s="367"/>
      <c r="I151" s="367"/>
      <c r="J151" s="367"/>
      <c r="K151" s="367"/>
      <c r="L151" s="367"/>
      <c r="M151" s="367"/>
      <c r="N151" s="367"/>
      <c r="O151" s="367"/>
      <c r="P151" s="367"/>
      <c r="Q151" s="367"/>
      <c r="R151" s="367"/>
      <c r="S151" s="367"/>
      <c r="T151" s="367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</row>
    <row r="152" ht="15.75" customHeight="1">
      <c r="A152" s="359"/>
      <c r="B152" s="361"/>
      <c r="C152" s="361"/>
      <c r="D152" s="361"/>
      <c r="E152" s="367"/>
      <c r="F152" s="367"/>
      <c r="G152" s="367"/>
      <c r="H152" s="367"/>
      <c r="I152" s="367"/>
      <c r="J152" s="367"/>
      <c r="K152" s="367"/>
      <c r="L152" s="367"/>
      <c r="M152" s="367"/>
      <c r="N152" s="367"/>
      <c r="O152" s="367"/>
      <c r="P152" s="367"/>
      <c r="Q152" s="367"/>
      <c r="R152" s="367"/>
      <c r="S152" s="367"/>
      <c r="T152" s="367"/>
      <c r="U152" s="367"/>
      <c r="V152" s="367"/>
      <c r="W152" s="367"/>
      <c r="X152" s="367"/>
      <c r="Y152" s="367"/>
      <c r="Z152" s="367"/>
      <c r="AA152" s="367"/>
      <c r="AB152" s="367"/>
      <c r="AC152" s="367"/>
      <c r="AD152" s="367"/>
      <c r="AE152" s="367"/>
      <c r="AF152" s="367"/>
    </row>
    <row r="153" ht="15.75" customHeight="1">
      <c r="A153" s="359"/>
      <c r="B153" s="361"/>
      <c r="C153" s="361"/>
      <c r="D153" s="361"/>
      <c r="E153" s="367"/>
      <c r="F153" s="367"/>
      <c r="G153" s="367"/>
      <c r="H153" s="367"/>
      <c r="I153" s="367"/>
      <c r="J153" s="367"/>
      <c r="K153" s="367"/>
      <c r="L153" s="367"/>
      <c r="M153" s="367"/>
      <c r="N153" s="367"/>
      <c r="O153" s="367"/>
      <c r="P153" s="367"/>
      <c r="Q153" s="367"/>
      <c r="R153" s="367"/>
      <c r="S153" s="367"/>
      <c r="T153" s="367"/>
      <c r="U153" s="367"/>
      <c r="V153" s="367"/>
      <c r="W153" s="367"/>
      <c r="X153" s="367"/>
      <c r="Y153" s="367"/>
      <c r="Z153" s="367"/>
      <c r="AA153" s="367"/>
      <c r="AB153" s="367"/>
      <c r="AC153" s="367"/>
      <c r="AD153" s="367"/>
      <c r="AE153" s="367"/>
      <c r="AF153" s="367"/>
    </row>
    <row r="154" ht="15.75" customHeight="1">
      <c r="A154" s="359"/>
      <c r="B154" s="361"/>
      <c r="C154" s="361"/>
      <c r="D154" s="361"/>
      <c r="E154" s="367"/>
      <c r="F154" s="367"/>
      <c r="G154" s="367"/>
      <c r="H154" s="367"/>
      <c r="I154" s="367"/>
      <c r="J154" s="367"/>
      <c r="K154" s="367"/>
      <c r="L154" s="367"/>
      <c r="M154" s="367"/>
      <c r="N154" s="367"/>
      <c r="O154" s="367"/>
      <c r="P154" s="367"/>
      <c r="Q154" s="367"/>
      <c r="R154" s="367"/>
      <c r="S154" s="367"/>
      <c r="T154" s="367"/>
      <c r="U154" s="367"/>
      <c r="V154" s="367"/>
      <c r="W154" s="367"/>
      <c r="X154" s="367"/>
      <c r="Y154" s="367"/>
      <c r="Z154" s="367"/>
      <c r="AA154" s="367"/>
      <c r="AB154" s="367"/>
      <c r="AC154" s="367"/>
      <c r="AD154" s="367"/>
      <c r="AE154" s="367"/>
      <c r="AF154" s="367"/>
    </row>
    <row r="155" ht="15.75" customHeight="1">
      <c r="A155" s="359"/>
      <c r="B155" s="361"/>
      <c r="C155" s="361"/>
      <c r="D155" s="361"/>
      <c r="E155" s="367"/>
      <c r="F155" s="367"/>
      <c r="G155" s="367"/>
      <c r="H155" s="367"/>
      <c r="I155" s="367"/>
      <c r="J155" s="367"/>
      <c r="K155" s="367"/>
      <c r="L155" s="367"/>
      <c r="M155" s="367"/>
      <c r="N155" s="367"/>
      <c r="O155" s="367"/>
      <c r="P155" s="367"/>
      <c r="Q155" s="367"/>
      <c r="R155" s="367"/>
      <c r="S155" s="367"/>
      <c r="T155" s="367"/>
      <c r="U155" s="367"/>
      <c r="V155" s="367"/>
      <c r="W155" s="367"/>
      <c r="X155" s="367"/>
      <c r="Y155" s="367"/>
      <c r="Z155" s="367"/>
      <c r="AA155" s="367"/>
      <c r="AB155" s="367"/>
      <c r="AC155" s="367"/>
      <c r="AD155" s="367"/>
      <c r="AE155" s="367"/>
      <c r="AF155" s="367"/>
    </row>
    <row r="156" ht="15.75" customHeight="1">
      <c r="A156" s="359"/>
      <c r="B156" s="361"/>
      <c r="C156" s="361"/>
      <c r="D156" s="361"/>
      <c r="E156" s="367"/>
      <c r="F156" s="367"/>
      <c r="G156" s="367"/>
      <c r="H156" s="367"/>
      <c r="I156" s="367"/>
      <c r="J156" s="367"/>
      <c r="K156" s="367"/>
      <c r="L156" s="367"/>
      <c r="M156" s="367"/>
      <c r="N156" s="367"/>
      <c r="O156" s="367"/>
      <c r="P156" s="367"/>
      <c r="Q156" s="367"/>
      <c r="R156" s="367"/>
      <c r="S156" s="367"/>
      <c r="T156" s="367"/>
      <c r="U156" s="367"/>
      <c r="V156" s="367"/>
      <c r="W156" s="367"/>
      <c r="X156" s="367"/>
      <c r="Y156" s="367"/>
      <c r="Z156" s="367"/>
      <c r="AA156" s="367"/>
      <c r="AB156" s="367"/>
      <c r="AC156" s="367"/>
      <c r="AD156" s="367"/>
      <c r="AE156" s="367"/>
      <c r="AF156" s="367"/>
    </row>
    <row r="157" ht="15.75" customHeight="1">
      <c r="A157" s="359"/>
      <c r="B157" s="361"/>
      <c r="C157" s="361"/>
      <c r="D157" s="361"/>
      <c r="E157" s="367"/>
      <c r="F157" s="367"/>
      <c r="G157" s="367"/>
      <c r="H157" s="367"/>
      <c r="I157" s="367"/>
      <c r="J157" s="367"/>
      <c r="K157" s="367"/>
      <c r="L157" s="367"/>
      <c r="M157" s="367"/>
      <c r="N157" s="367"/>
      <c r="O157" s="367"/>
      <c r="P157" s="367"/>
      <c r="Q157" s="367"/>
      <c r="R157" s="367"/>
      <c r="S157" s="367"/>
      <c r="T157" s="367"/>
      <c r="U157" s="367"/>
      <c r="V157" s="367"/>
      <c r="W157" s="367"/>
      <c r="X157" s="367"/>
      <c r="Y157" s="367"/>
      <c r="Z157" s="367"/>
      <c r="AA157" s="367"/>
      <c r="AB157" s="367"/>
      <c r="AC157" s="367"/>
      <c r="AD157" s="367"/>
      <c r="AE157" s="367"/>
      <c r="AF157" s="367"/>
    </row>
    <row r="158" ht="15.75" customHeight="1">
      <c r="A158" s="359"/>
      <c r="B158" s="361"/>
      <c r="C158" s="361"/>
      <c r="D158" s="361"/>
      <c r="E158" s="367"/>
      <c r="F158" s="367"/>
      <c r="G158" s="367"/>
      <c r="H158" s="367"/>
      <c r="I158" s="367"/>
      <c r="J158" s="367"/>
      <c r="K158" s="367"/>
      <c r="L158" s="367"/>
      <c r="M158" s="367"/>
      <c r="N158" s="367"/>
      <c r="O158" s="367"/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  <c r="AE158" s="367"/>
      <c r="AF158" s="367"/>
    </row>
    <row r="159" ht="15.75" customHeight="1">
      <c r="A159" s="359"/>
      <c r="B159" s="361"/>
      <c r="C159" s="361"/>
      <c r="D159" s="361"/>
      <c r="E159" s="367"/>
      <c r="F159" s="367"/>
      <c r="G159" s="367"/>
      <c r="H159" s="367"/>
      <c r="I159" s="367"/>
      <c r="J159" s="367"/>
      <c r="K159" s="367"/>
      <c r="L159" s="367"/>
      <c r="M159" s="367"/>
      <c r="N159" s="367"/>
      <c r="O159" s="367"/>
      <c r="P159" s="367"/>
      <c r="Q159" s="367"/>
      <c r="R159" s="367"/>
      <c r="S159" s="367"/>
      <c r="T159" s="367"/>
      <c r="U159" s="367"/>
      <c r="V159" s="367"/>
      <c r="W159" s="367"/>
      <c r="X159" s="367"/>
      <c r="Y159" s="367"/>
      <c r="Z159" s="367"/>
      <c r="AA159" s="367"/>
      <c r="AB159" s="367"/>
      <c r="AC159" s="367"/>
      <c r="AD159" s="367"/>
      <c r="AE159" s="367"/>
      <c r="AF159" s="367"/>
    </row>
    <row r="160" ht="15.75" customHeight="1">
      <c r="A160" s="359"/>
      <c r="B160" s="361"/>
      <c r="C160" s="361"/>
      <c r="D160" s="361"/>
      <c r="E160" s="367"/>
      <c r="F160" s="367"/>
      <c r="G160" s="367"/>
      <c r="H160" s="367"/>
      <c r="I160" s="367"/>
      <c r="J160" s="367"/>
      <c r="K160" s="367"/>
      <c r="L160" s="367"/>
      <c r="M160" s="367"/>
      <c r="N160" s="367"/>
      <c r="O160" s="367"/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</row>
    <row r="161" ht="15.75" customHeight="1">
      <c r="A161" s="359"/>
      <c r="B161" s="361"/>
      <c r="C161" s="361"/>
      <c r="D161" s="361"/>
      <c r="E161" s="367"/>
      <c r="F161" s="367"/>
      <c r="G161" s="367"/>
      <c r="H161" s="367"/>
      <c r="I161" s="367"/>
      <c r="J161" s="367"/>
      <c r="K161" s="367"/>
      <c r="L161" s="367"/>
      <c r="M161" s="367"/>
      <c r="N161" s="367"/>
      <c r="O161" s="367"/>
      <c r="P161" s="367"/>
      <c r="Q161" s="367"/>
      <c r="R161" s="367"/>
      <c r="S161" s="367"/>
      <c r="T161" s="367"/>
      <c r="U161" s="367"/>
      <c r="V161" s="367"/>
      <c r="W161" s="367"/>
      <c r="X161" s="367"/>
      <c r="Y161" s="367"/>
      <c r="Z161" s="367"/>
      <c r="AA161" s="367"/>
      <c r="AB161" s="367"/>
      <c r="AC161" s="367"/>
      <c r="AD161" s="367"/>
      <c r="AE161" s="367"/>
      <c r="AF161" s="367"/>
    </row>
    <row r="162" ht="15.75" customHeight="1">
      <c r="A162" s="359"/>
      <c r="B162" s="361"/>
      <c r="C162" s="361"/>
      <c r="D162" s="361"/>
      <c r="E162" s="367"/>
      <c r="F162" s="367"/>
      <c r="G162" s="367"/>
      <c r="H162" s="367"/>
      <c r="I162" s="367"/>
      <c r="J162" s="367"/>
      <c r="K162" s="367"/>
      <c r="L162" s="367"/>
      <c r="M162" s="367"/>
      <c r="N162" s="367"/>
      <c r="O162" s="367"/>
      <c r="P162" s="367"/>
      <c r="Q162" s="367"/>
      <c r="R162" s="367"/>
      <c r="S162" s="367"/>
      <c r="T162" s="367"/>
      <c r="U162" s="367"/>
      <c r="V162" s="367"/>
      <c r="W162" s="367"/>
      <c r="X162" s="367"/>
      <c r="Y162" s="367"/>
      <c r="Z162" s="367"/>
      <c r="AA162" s="367"/>
      <c r="AB162" s="367"/>
      <c r="AC162" s="367"/>
      <c r="AD162" s="367"/>
      <c r="AE162" s="367"/>
      <c r="AF162" s="367"/>
    </row>
    <row r="163" ht="15.75" customHeight="1">
      <c r="A163" s="359"/>
      <c r="B163" s="361"/>
      <c r="C163" s="361"/>
      <c r="D163" s="361"/>
      <c r="E163" s="367"/>
      <c r="F163" s="367"/>
      <c r="G163" s="367"/>
      <c r="H163" s="367"/>
      <c r="I163" s="367"/>
      <c r="J163" s="367"/>
      <c r="K163" s="367"/>
      <c r="L163" s="367"/>
      <c r="M163" s="367"/>
      <c r="N163" s="367"/>
      <c r="O163" s="367"/>
      <c r="P163" s="367"/>
      <c r="Q163" s="367"/>
      <c r="R163" s="367"/>
      <c r="S163" s="367"/>
      <c r="T163" s="367"/>
      <c r="U163" s="367"/>
      <c r="V163" s="367"/>
      <c r="W163" s="367"/>
      <c r="X163" s="367"/>
      <c r="Y163" s="367"/>
      <c r="Z163" s="367"/>
      <c r="AA163" s="367"/>
      <c r="AB163" s="367"/>
      <c r="AC163" s="367"/>
      <c r="AD163" s="367"/>
      <c r="AE163" s="367"/>
      <c r="AF163" s="367"/>
    </row>
    <row r="164" ht="15.75" customHeight="1">
      <c r="A164" s="359"/>
      <c r="B164" s="361"/>
      <c r="C164" s="361"/>
      <c r="D164" s="361"/>
      <c r="E164" s="367"/>
      <c r="F164" s="367"/>
      <c r="G164" s="367"/>
      <c r="H164" s="367"/>
      <c r="I164" s="367"/>
      <c r="J164" s="367"/>
      <c r="K164" s="367"/>
      <c r="L164" s="367"/>
      <c r="M164" s="367"/>
      <c r="N164" s="367"/>
      <c r="O164" s="367"/>
      <c r="P164" s="367"/>
      <c r="Q164" s="367"/>
      <c r="R164" s="367"/>
      <c r="S164" s="367"/>
      <c r="T164" s="367"/>
      <c r="U164" s="367"/>
      <c r="V164" s="367"/>
      <c r="W164" s="367"/>
      <c r="X164" s="367"/>
      <c r="Y164" s="367"/>
      <c r="Z164" s="367"/>
      <c r="AA164" s="367"/>
      <c r="AB164" s="367"/>
      <c r="AC164" s="367"/>
      <c r="AD164" s="367"/>
      <c r="AE164" s="367"/>
      <c r="AF164" s="367"/>
    </row>
    <row r="165" ht="15.75" customHeight="1">
      <c r="A165" s="359"/>
      <c r="B165" s="361"/>
      <c r="C165" s="361"/>
      <c r="D165" s="361"/>
      <c r="E165" s="367"/>
      <c r="F165" s="367"/>
      <c r="G165" s="367"/>
      <c r="H165" s="367"/>
      <c r="I165" s="367"/>
      <c r="J165" s="367"/>
      <c r="K165" s="367"/>
      <c r="L165" s="367"/>
      <c r="M165" s="367"/>
      <c r="N165" s="367"/>
      <c r="O165" s="367"/>
      <c r="P165" s="367"/>
      <c r="Q165" s="367"/>
      <c r="R165" s="367"/>
      <c r="S165" s="367"/>
      <c r="T165" s="367"/>
      <c r="U165" s="367"/>
      <c r="V165" s="367"/>
      <c r="W165" s="367"/>
      <c r="X165" s="367"/>
      <c r="Y165" s="367"/>
      <c r="Z165" s="367"/>
      <c r="AA165" s="367"/>
      <c r="AB165" s="367"/>
      <c r="AC165" s="367"/>
      <c r="AD165" s="367"/>
      <c r="AE165" s="367"/>
      <c r="AF165" s="367"/>
    </row>
    <row r="166" ht="15.75" customHeight="1">
      <c r="A166" s="359"/>
      <c r="B166" s="361"/>
      <c r="C166" s="361"/>
      <c r="D166" s="361"/>
      <c r="E166" s="367"/>
      <c r="F166" s="367"/>
      <c r="G166" s="367"/>
      <c r="H166" s="367"/>
      <c r="I166" s="367"/>
      <c r="J166" s="367"/>
      <c r="K166" s="367"/>
      <c r="L166" s="367"/>
      <c r="M166" s="367"/>
      <c r="N166" s="367"/>
      <c r="O166" s="367"/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</row>
    <row r="167" ht="15.75" customHeight="1">
      <c r="A167" s="359"/>
      <c r="B167" s="361"/>
      <c r="C167" s="361"/>
      <c r="D167" s="361"/>
      <c r="E167" s="367"/>
      <c r="F167" s="367"/>
      <c r="G167" s="367"/>
      <c r="H167" s="367"/>
      <c r="I167" s="367"/>
      <c r="J167" s="367"/>
      <c r="K167" s="367"/>
      <c r="L167" s="367"/>
      <c r="M167" s="367"/>
      <c r="N167" s="367"/>
      <c r="O167" s="367"/>
      <c r="P167" s="367"/>
      <c r="Q167" s="367"/>
      <c r="R167" s="367"/>
      <c r="S167" s="367"/>
      <c r="T167" s="367"/>
      <c r="U167" s="367"/>
      <c r="V167" s="367"/>
      <c r="W167" s="367"/>
      <c r="X167" s="367"/>
      <c r="Y167" s="367"/>
      <c r="Z167" s="367"/>
      <c r="AA167" s="367"/>
      <c r="AB167" s="367"/>
      <c r="AC167" s="367"/>
      <c r="AD167" s="367"/>
      <c r="AE167" s="367"/>
      <c r="AF167" s="367"/>
    </row>
    <row r="168" ht="15.75" customHeight="1">
      <c r="A168" s="359"/>
      <c r="B168" s="361"/>
      <c r="C168" s="361"/>
      <c r="D168" s="361"/>
      <c r="E168" s="367"/>
      <c r="F168" s="367"/>
      <c r="G168" s="367"/>
      <c r="H168" s="367"/>
      <c r="I168" s="367"/>
      <c r="J168" s="367"/>
      <c r="K168" s="367"/>
      <c r="L168" s="367"/>
      <c r="M168" s="367"/>
      <c r="N168" s="367"/>
      <c r="O168" s="367"/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</row>
    <row r="169" ht="15.75" customHeight="1">
      <c r="A169" s="359"/>
      <c r="B169" s="361"/>
      <c r="C169" s="361"/>
      <c r="D169" s="361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7"/>
      <c r="T169" s="367"/>
      <c r="U169" s="367"/>
      <c r="V169" s="367"/>
      <c r="W169" s="367"/>
      <c r="X169" s="367"/>
      <c r="Y169" s="367"/>
      <c r="Z169" s="367"/>
      <c r="AA169" s="367"/>
      <c r="AB169" s="367"/>
      <c r="AC169" s="367"/>
      <c r="AD169" s="367"/>
      <c r="AE169" s="367"/>
      <c r="AF169" s="367"/>
    </row>
    <row r="170" ht="15.75" customHeight="1">
      <c r="A170" s="359"/>
      <c r="B170" s="361"/>
      <c r="C170" s="361"/>
      <c r="D170" s="361"/>
      <c r="E170" s="367"/>
      <c r="F170" s="367"/>
      <c r="G170" s="367"/>
      <c r="H170" s="367"/>
      <c r="I170" s="367"/>
      <c r="J170" s="367"/>
      <c r="K170" s="367"/>
      <c r="L170" s="367"/>
      <c r="M170" s="367"/>
      <c r="N170" s="367"/>
      <c r="O170" s="367"/>
      <c r="P170" s="367"/>
      <c r="Q170" s="367"/>
      <c r="R170" s="367"/>
      <c r="S170" s="367"/>
      <c r="T170" s="367"/>
      <c r="U170" s="367"/>
      <c r="V170" s="367"/>
      <c r="W170" s="367"/>
      <c r="X170" s="367"/>
      <c r="Y170" s="367"/>
      <c r="Z170" s="367"/>
      <c r="AA170" s="367"/>
      <c r="AB170" s="367"/>
      <c r="AC170" s="367"/>
      <c r="AD170" s="367"/>
      <c r="AE170" s="367"/>
      <c r="AF170" s="367"/>
    </row>
    <row r="171" ht="15.75" customHeight="1">
      <c r="A171" s="359"/>
      <c r="B171" s="361"/>
      <c r="C171" s="361"/>
      <c r="D171" s="361"/>
      <c r="E171" s="367"/>
      <c r="F171" s="367"/>
      <c r="G171" s="367"/>
      <c r="H171" s="367"/>
      <c r="I171" s="367"/>
      <c r="J171" s="367"/>
      <c r="K171" s="367"/>
      <c r="L171" s="367"/>
      <c r="M171" s="367"/>
      <c r="N171" s="367"/>
      <c r="O171" s="367"/>
      <c r="P171" s="367"/>
      <c r="Q171" s="367"/>
      <c r="R171" s="367"/>
      <c r="S171" s="367"/>
      <c r="T171" s="367"/>
      <c r="U171" s="367"/>
      <c r="V171" s="367"/>
      <c r="W171" s="367"/>
      <c r="X171" s="367"/>
      <c r="Y171" s="367"/>
      <c r="Z171" s="367"/>
      <c r="AA171" s="367"/>
      <c r="AB171" s="367"/>
      <c r="AC171" s="367"/>
      <c r="AD171" s="367"/>
      <c r="AE171" s="367"/>
      <c r="AF171" s="367"/>
    </row>
    <row r="172" ht="15.75" customHeight="1">
      <c r="A172" s="359"/>
      <c r="B172" s="361"/>
      <c r="C172" s="361"/>
      <c r="D172" s="361"/>
      <c r="E172" s="367"/>
      <c r="F172" s="367"/>
      <c r="G172" s="367"/>
      <c r="H172" s="367"/>
      <c r="I172" s="367"/>
      <c r="J172" s="367"/>
      <c r="K172" s="367"/>
      <c r="L172" s="367"/>
      <c r="M172" s="367"/>
      <c r="N172" s="367"/>
      <c r="O172" s="367"/>
      <c r="P172" s="367"/>
      <c r="Q172" s="367"/>
      <c r="R172" s="367"/>
      <c r="S172" s="367"/>
      <c r="T172" s="367"/>
      <c r="U172" s="367"/>
      <c r="V172" s="367"/>
      <c r="W172" s="367"/>
      <c r="X172" s="367"/>
      <c r="Y172" s="367"/>
      <c r="Z172" s="367"/>
      <c r="AA172" s="367"/>
      <c r="AB172" s="367"/>
      <c r="AC172" s="367"/>
      <c r="AD172" s="367"/>
      <c r="AE172" s="367"/>
      <c r="AF172" s="367"/>
    </row>
    <row r="173" ht="15.75" customHeight="1">
      <c r="A173" s="359"/>
      <c r="B173" s="361"/>
      <c r="C173" s="361"/>
      <c r="D173" s="361"/>
      <c r="E173" s="367"/>
      <c r="F173" s="367"/>
      <c r="G173" s="367"/>
      <c r="H173" s="367"/>
      <c r="I173" s="367"/>
      <c r="J173" s="367"/>
      <c r="K173" s="367"/>
      <c r="L173" s="367"/>
      <c r="M173" s="367"/>
      <c r="N173" s="367"/>
      <c r="O173" s="367"/>
      <c r="P173" s="367"/>
      <c r="Q173" s="367"/>
      <c r="R173" s="367"/>
      <c r="S173" s="367"/>
      <c r="T173" s="367"/>
      <c r="U173" s="367"/>
      <c r="V173" s="367"/>
      <c r="W173" s="367"/>
      <c r="X173" s="367"/>
      <c r="Y173" s="367"/>
      <c r="Z173" s="367"/>
      <c r="AA173" s="367"/>
      <c r="AB173" s="367"/>
      <c r="AC173" s="367"/>
      <c r="AD173" s="367"/>
      <c r="AE173" s="367"/>
      <c r="AF173" s="367"/>
    </row>
    <row r="174" ht="15.75" customHeight="1">
      <c r="A174" s="359"/>
      <c r="B174" s="361"/>
      <c r="C174" s="361"/>
      <c r="D174" s="361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7"/>
      <c r="T174" s="367"/>
      <c r="U174" s="367"/>
      <c r="V174" s="367"/>
      <c r="W174" s="367"/>
      <c r="X174" s="367"/>
      <c r="Y174" s="367"/>
      <c r="Z174" s="367"/>
      <c r="AA174" s="367"/>
      <c r="AB174" s="367"/>
      <c r="AC174" s="367"/>
      <c r="AD174" s="367"/>
      <c r="AE174" s="367"/>
      <c r="AF174" s="367"/>
    </row>
    <row r="175" ht="15.75" customHeight="1">
      <c r="A175" s="359"/>
      <c r="B175" s="361"/>
      <c r="C175" s="361"/>
      <c r="D175" s="361"/>
      <c r="E175" s="367"/>
      <c r="F175" s="367"/>
      <c r="G175" s="367"/>
      <c r="H175" s="367"/>
      <c r="I175" s="367"/>
      <c r="J175" s="367"/>
      <c r="K175" s="367"/>
      <c r="L175" s="367"/>
      <c r="M175" s="367"/>
      <c r="N175" s="367"/>
      <c r="O175" s="367"/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  <c r="AE175" s="367"/>
      <c r="AF175" s="367"/>
    </row>
    <row r="176" ht="15.75" customHeight="1">
      <c r="A176" s="359"/>
      <c r="B176" s="361"/>
      <c r="C176" s="361"/>
      <c r="D176" s="361"/>
      <c r="E176" s="367"/>
      <c r="F176" s="367"/>
      <c r="G176" s="367"/>
      <c r="H176" s="367"/>
      <c r="I176" s="367"/>
      <c r="J176" s="367"/>
      <c r="K176" s="367"/>
      <c r="L176" s="367"/>
      <c r="M176" s="367"/>
      <c r="N176" s="367"/>
      <c r="O176" s="367"/>
      <c r="P176" s="367"/>
      <c r="Q176" s="367"/>
      <c r="R176" s="367"/>
      <c r="S176" s="367"/>
      <c r="T176" s="367"/>
      <c r="U176" s="367"/>
      <c r="V176" s="367"/>
      <c r="W176" s="367"/>
      <c r="X176" s="367"/>
      <c r="Y176" s="367"/>
      <c r="Z176" s="367"/>
      <c r="AA176" s="367"/>
      <c r="AB176" s="367"/>
      <c r="AC176" s="367"/>
      <c r="AD176" s="367"/>
      <c r="AE176" s="367"/>
      <c r="AF176" s="367"/>
    </row>
    <row r="177" ht="15.75" customHeight="1">
      <c r="A177" s="359"/>
      <c r="B177" s="361"/>
      <c r="C177" s="361"/>
      <c r="D177" s="361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  <c r="AE177" s="367"/>
      <c r="AF177" s="367"/>
    </row>
    <row r="178" ht="15.75" customHeight="1">
      <c r="A178" s="359"/>
      <c r="B178" s="361"/>
      <c r="C178" s="361"/>
      <c r="D178" s="361"/>
      <c r="E178" s="367"/>
      <c r="F178" s="367"/>
      <c r="G178" s="367"/>
      <c r="H178" s="367"/>
      <c r="I178" s="367"/>
      <c r="J178" s="367"/>
      <c r="K178" s="367"/>
      <c r="L178" s="367"/>
      <c r="M178" s="367"/>
      <c r="N178" s="367"/>
      <c r="O178" s="367"/>
      <c r="P178" s="367"/>
      <c r="Q178" s="367"/>
      <c r="R178" s="367"/>
      <c r="S178" s="367"/>
      <c r="T178" s="367"/>
      <c r="U178" s="367"/>
      <c r="V178" s="367"/>
      <c r="W178" s="367"/>
      <c r="X178" s="367"/>
      <c r="Y178" s="367"/>
      <c r="Z178" s="367"/>
      <c r="AA178" s="367"/>
      <c r="AB178" s="367"/>
      <c r="AC178" s="367"/>
      <c r="AD178" s="367"/>
      <c r="AE178" s="367"/>
      <c r="AF178" s="367"/>
    </row>
    <row r="179" ht="15.75" customHeight="1">
      <c r="A179" s="359"/>
      <c r="B179" s="361"/>
      <c r="C179" s="361"/>
      <c r="D179" s="361"/>
      <c r="E179" s="367"/>
      <c r="F179" s="367"/>
      <c r="G179" s="367"/>
      <c r="H179" s="367"/>
      <c r="I179" s="367"/>
      <c r="J179" s="367"/>
      <c r="K179" s="367"/>
      <c r="L179" s="367"/>
      <c r="M179" s="367"/>
      <c r="N179" s="367"/>
      <c r="O179" s="367"/>
      <c r="P179" s="367"/>
      <c r="Q179" s="367"/>
      <c r="R179" s="367"/>
      <c r="S179" s="367"/>
      <c r="T179" s="367"/>
      <c r="U179" s="367"/>
      <c r="V179" s="367"/>
      <c r="W179" s="367"/>
      <c r="X179" s="367"/>
      <c r="Y179" s="367"/>
      <c r="Z179" s="367"/>
      <c r="AA179" s="367"/>
      <c r="AB179" s="367"/>
      <c r="AC179" s="367"/>
      <c r="AD179" s="367"/>
      <c r="AE179" s="367"/>
      <c r="AF179" s="367"/>
    </row>
    <row r="180" ht="15.75" customHeight="1">
      <c r="A180" s="359"/>
      <c r="B180" s="361"/>
      <c r="C180" s="361"/>
      <c r="D180" s="361"/>
      <c r="E180" s="367"/>
      <c r="F180" s="367"/>
      <c r="G180" s="367"/>
      <c r="H180" s="367"/>
      <c r="I180" s="367"/>
      <c r="J180" s="367"/>
      <c r="K180" s="367"/>
      <c r="L180" s="367"/>
      <c r="M180" s="367"/>
      <c r="N180" s="367"/>
      <c r="O180" s="367"/>
      <c r="P180" s="367"/>
      <c r="Q180" s="367"/>
      <c r="R180" s="367"/>
      <c r="S180" s="367"/>
      <c r="T180" s="367"/>
      <c r="U180" s="367"/>
      <c r="V180" s="367"/>
      <c r="W180" s="367"/>
      <c r="X180" s="367"/>
      <c r="Y180" s="367"/>
      <c r="Z180" s="367"/>
      <c r="AA180" s="367"/>
      <c r="AB180" s="367"/>
      <c r="AC180" s="367"/>
      <c r="AD180" s="367"/>
      <c r="AE180" s="367"/>
      <c r="AF180" s="367"/>
    </row>
    <row r="181" ht="15.75" customHeight="1">
      <c r="A181" s="359"/>
      <c r="B181" s="361"/>
      <c r="C181" s="361"/>
      <c r="D181" s="361"/>
      <c r="E181" s="367"/>
      <c r="F181" s="367"/>
      <c r="G181" s="367"/>
      <c r="H181" s="367"/>
      <c r="I181" s="367"/>
      <c r="J181" s="367"/>
      <c r="K181" s="367"/>
      <c r="L181" s="367"/>
      <c r="M181" s="367"/>
      <c r="N181" s="367"/>
      <c r="O181" s="367"/>
      <c r="P181" s="367"/>
      <c r="Q181" s="367"/>
      <c r="R181" s="367"/>
      <c r="S181" s="367"/>
      <c r="T181" s="367"/>
      <c r="U181" s="367"/>
      <c r="V181" s="367"/>
      <c r="W181" s="367"/>
      <c r="X181" s="367"/>
      <c r="Y181" s="367"/>
      <c r="Z181" s="367"/>
      <c r="AA181" s="367"/>
      <c r="AB181" s="367"/>
      <c r="AC181" s="367"/>
      <c r="AD181" s="367"/>
      <c r="AE181" s="367"/>
      <c r="AF181" s="367"/>
    </row>
    <row r="182" ht="15.75" customHeight="1">
      <c r="A182" s="359"/>
      <c r="B182" s="361"/>
      <c r="C182" s="361"/>
      <c r="D182" s="361"/>
      <c r="E182" s="367"/>
      <c r="F182" s="367"/>
      <c r="G182" s="367"/>
      <c r="H182" s="367"/>
      <c r="I182" s="367"/>
      <c r="J182" s="367"/>
      <c r="K182" s="367"/>
      <c r="L182" s="367"/>
      <c r="M182" s="367"/>
      <c r="N182" s="367"/>
      <c r="O182" s="367"/>
      <c r="P182" s="367"/>
      <c r="Q182" s="367"/>
      <c r="R182" s="367"/>
      <c r="S182" s="367"/>
      <c r="T182" s="367"/>
      <c r="U182" s="367"/>
      <c r="V182" s="367"/>
      <c r="W182" s="367"/>
      <c r="X182" s="367"/>
      <c r="Y182" s="367"/>
      <c r="Z182" s="367"/>
      <c r="AA182" s="367"/>
      <c r="AB182" s="367"/>
      <c r="AC182" s="367"/>
      <c r="AD182" s="367"/>
      <c r="AE182" s="367"/>
      <c r="AF182" s="367"/>
    </row>
    <row r="183" ht="15.75" customHeight="1">
      <c r="A183" s="359"/>
      <c r="B183" s="361"/>
      <c r="C183" s="361"/>
      <c r="D183" s="361"/>
      <c r="E183" s="367"/>
      <c r="F183" s="367"/>
      <c r="G183" s="367"/>
      <c r="H183" s="367"/>
      <c r="I183" s="367"/>
      <c r="J183" s="367"/>
      <c r="K183" s="367"/>
      <c r="L183" s="367"/>
      <c r="M183" s="367"/>
      <c r="N183" s="367"/>
      <c r="O183" s="367"/>
      <c r="P183" s="367"/>
      <c r="Q183" s="367"/>
      <c r="R183" s="367"/>
      <c r="S183" s="367"/>
      <c r="T183" s="367"/>
      <c r="U183" s="367"/>
      <c r="V183" s="367"/>
      <c r="W183" s="367"/>
      <c r="X183" s="367"/>
      <c r="Y183" s="367"/>
      <c r="Z183" s="367"/>
      <c r="AA183" s="367"/>
      <c r="AB183" s="367"/>
      <c r="AC183" s="367"/>
      <c r="AD183" s="367"/>
      <c r="AE183" s="367"/>
      <c r="AF183" s="367"/>
    </row>
    <row r="184" ht="15.75" customHeight="1">
      <c r="A184" s="359"/>
      <c r="B184" s="361"/>
      <c r="C184" s="361"/>
      <c r="D184" s="361"/>
      <c r="E184" s="367"/>
      <c r="F184" s="367"/>
      <c r="G184" s="367"/>
      <c r="H184" s="367"/>
      <c r="I184" s="367"/>
      <c r="J184" s="367"/>
      <c r="K184" s="367"/>
      <c r="L184" s="367"/>
      <c r="M184" s="367"/>
      <c r="N184" s="367"/>
      <c r="O184" s="367"/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  <c r="AE184" s="367"/>
      <c r="AF184" s="367"/>
    </row>
    <row r="185" ht="15.75" customHeight="1">
      <c r="A185" s="359"/>
      <c r="B185" s="361"/>
      <c r="C185" s="361"/>
      <c r="D185" s="361"/>
      <c r="E185" s="367"/>
      <c r="F185" s="367"/>
      <c r="G185" s="367"/>
      <c r="H185" s="367"/>
      <c r="I185" s="367"/>
      <c r="J185" s="367"/>
      <c r="K185" s="367"/>
      <c r="L185" s="367"/>
      <c r="M185" s="367"/>
      <c r="N185" s="367"/>
      <c r="O185" s="367"/>
      <c r="P185" s="367"/>
      <c r="Q185" s="367"/>
      <c r="R185" s="367"/>
      <c r="S185" s="367"/>
      <c r="T185" s="367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  <c r="AE185" s="367"/>
      <c r="AF185" s="367"/>
    </row>
    <row r="186" ht="15.75" customHeight="1">
      <c r="A186" s="359"/>
      <c r="B186" s="361"/>
      <c r="C186" s="361"/>
      <c r="D186" s="361"/>
      <c r="E186" s="367"/>
      <c r="F186" s="367"/>
      <c r="G186" s="367"/>
      <c r="H186" s="367"/>
      <c r="I186" s="367"/>
      <c r="J186" s="367"/>
      <c r="K186" s="367"/>
      <c r="L186" s="367"/>
      <c r="M186" s="367"/>
      <c r="N186" s="367"/>
      <c r="O186" s="367"/>
      <c r="P186" s="367"/>
      <c r="Q186" s="367"/>
      <c r="R186" s="367"/>
      <c r="S186" s="367"/>
      <c r="T186" s="367"/>
      <c r="U186" s="367"/>
      <c r="V186" s="367"/>
      <c r="W186" s="367"/>
      <c r="X186" s="367"/>
      <c r="Y186" s="367"/>
      <c r="Z186" s="367"/>
      <c r="AA186" s="367"/>
      <c r="AB186" s="367"/>
      <c r="AC186" s="367"/>
      <c r="AD186" s="367"/>
      <c r="AE186" s="367"/>
      <c r="AF186" s="367"/>
    </row>
    <row r="187" ht="15.75" customHeight="1">
      <c r="A187" s="359"/>
      <c r="B187" s="361"/>
      <c r="C187" s="361"/>
      <c r="D187" s="361"/>
      <c r="E187" s="367"/>
      <c r="F187" s="367"/>
      <c r="G187" s="367"/>
      <c r="H187" s="367"/>
      <c r="I187" s="367"/>
      <c r="J187" s="367"/>
      <c r="K187" s="367"/>
      <c r="L187" s="367"/>
      <c r="M187" s="367"/>
      <c r="N187" s="367"/>
      <c r="O187" s="367"/>
      <c r="P187" s="367"/>
      <c r="Q187" s="367"/>
      <c r="R187" s="367"/>
      <c r="S187" s="367"/>
      <c r="T187" s="367"/>
      <c r="U187" s="367"/>
      <c r="V187" s="367"/>
      <c r="W187" s="367"/>
      <c r="X187" s="367"/>
      <c r="Y187" s="367"/>
      <c r="Z187" s="367"/>
      <c r="AA187" s="367"/>
      <c r="AB187" s="367"/>
      <c r="AC187" s="367"/>
      <c r="AD187" s="367"/>
      <c r="AE187" s="367"/>
      <c r="AF187" s="367"/>
    </row>
    <row r="188" ht="15.75" customHeight="1">
      <c r="A188" s="359"/>
      <c r="B188" s="361"/>
      <c r="C188" s="361"/>
      <c r="D188" s="361"/>
      <c r="E188" s="367"/>
      <c r="F188" s="367"/>
      <c r="G188" s="367"/>
      <c r="H188" s="367"/>
      <c r="I188" s="367"/>
      <c r="J188" s="367"/>
      <c r="K188" s="367"/>
      <c r="L188" s="367"/>
      <c r="M188" s="367"/>
      <c r="N188" s="367"/>
      <c r="O188" s="367"/>
      <c r="P188" s="367"/>
      <c r="Q188" s="367"/>
      <c r="R188" s="367"/>
      <c r="S188" s="367"/>
      <c r="T188" s="367"/>
      <c r="U188" s="367"/>
      <c r="V188" s="367"/>
      <c r="W188" s="367"/>
      <c r="X188" s="367"/>
      <c r="Y188" s="367"/>
      <c r="Z188" s="367"/>
      <c r="AA188" s="367"/>
      <c r="AB188" s="367"/>
      <c r="AC188" s="367"/>
      <c r="AD188" s="367"/>
      <c r="AE188" s="367"/>
      <c r="AF188" s="367"/>
    </row>
    <row r="189" ht="15.75" customHeight="1">
      <c r="A189" s="359"/>
      <c r="B189" s="361"/>
      <c r="C189" s="361"/>
      <c r="D189" s="361"/>
      <c r="E189" s="367"/>
      <c r="F189" s="367"/>
      <c r="G189" s="367"/>
      <c r="H189" s="367"/>
      <c r="I189" s="367"/>
      <c r="J189" s="367"/>
      <c r="K189" s="367"/>
      <c r="L189" s="367"/>
      <c r="M189" s="367"/>
      <c r="N189" s="367"/>
      <c r="O189" s="367"/>
      <c r="P189" s="367"/>
      <c r="Q189" s="367"/>
      <c r="R189" s="367"/>
      <c r="S189" s="367"/>
      <c r="T189" s="367"/>
      <c r="U189" s="367"/>
      <c r="V189" s="367"/>
      <c r="W189" s="367"/>
      <c r="X189" s="367"/>
      <c r="Y189" s="367"/>
      <c r="Z189" s="367"/>
      <c r="AA189" s="367"/>
      <c r="AB189" s="367"/>
      <c r="AC189" s="367"/>
      <c r="AD189" s="367"/>
      <c r="AE189" s="367"/>
      <c r="AF189" s="367"/>
    </row>
    <row r="190" ht="15.75" customHeight="1">
      <c r="A190" s="359"/>
      <c r="B190" s="361"/>
      <c r="C190" s="361"/>
      <c r="D190" s="361"/>
      <c r="E190" s="367"/>
      <c r="F190" s="367"/>
      <c r="G190" s="367"/>
      <c r="H190" s="367"/>
      <c r="I190" s="367"/>
      <c r="J190" s="367"/>
      <c r="K190" s="367"/>
      <c r="L190" s="367"/>
      <c r="M190" s="367"/>
      <c r="N190" s="367"/>
      <c r="O190" s="367"/>
      <c r="P190" s="367"/>
      <c r="Q190" s="367"/>
      <c r="R190" s="367"/>
      <c r="S190" s="367"/>
      <c r="T190" s="367"/>
      <c r="U190" s="367"/>
      <c r="V190" s="367"/>
      <c r="W190" s="367"/>
      <c r="X190" s="367"/>
      <c r="Y190" s="367"/>
      <c r="Z190" s="367"/>
      <c r="AA190" s="367"/>
      <c r="AB190" s="367"/>
      <c r="AC190" s="367"/>
      <c r="AD190" s="367"/>
      <c r="AE190" s="367"/>
      <c r="AF190" s="367"/>
    </row>
    <row r="191" ht="15.75" customHeight="1">
      <c r="A191" s="359"/>
      <c r="B191" s="361"/>
      <c r="C191" s="361"/>
      <c r="D191" s="361"/>
      <c r="E191" s="367"/>
      <c r="F191" s="367"/>
      <c r="G191" s="367"/>
      <c r="H191" s="367"/>
      <c r="I191" s="367"/>
      <c r="J191" s="367"/>
      <c r="K191" s="367"/>
      <c r="L191" s="367"/>
      <c r="M191" s="367"/>
      <c r="N191" s="367"/>
      <c r="O191" s="367"/>
      <c r="P191" s="367"/>
      <c r="Q191" s="367"/>
      <c r="R191" s="367"/>
      <c r="S191" s="367"/>
      <c r="T191" s="367"/>
      <c r="U191" s="367"/>
      <c r="V191" s="367"/>
      <c r="W191" s="367"/>
      <c r="X191" s="367"/>
      <c r="Y191" s="367"/>
      <c r="Z191" s="367"/>
      <c r="AA191" s="367"/>
      <c r="AB191" s="367"/>
      <c r="AC191" s="367"/>
      <c r="AD191" s="367"/>
      <c r="AE191" s="367"/>
      <c r="AF191" s="367"/>
    </row>
    <row r="192" ht="15.75" customHeight="1">
      <c r="A192" s="359"/>
      <c r="B192" s="361"/>
      <c r="C192" s="361"/>
      <c r="D192" s="361"/>
      <c r="E192" s="367"/>
      <c r="F192" s="367"/>
      <c r="G192" s="367"/>
      <c r="H192" s="367"/>
      <c r="I192" s="367"/>
      <c r="J192" s="367"/>
      <c r="K192" s="367"/>
      <c r="L192" s="367"/>
      <c r="M192" s="367"/>
      <c r="N192" s="367"/>
      <c r="O192" s="367"/>
      <c r="P192" s="367"/>
      <c r="Q192" s="367"/>
      <c r="R192" s="367"/>
      <c r="S192" s="367"/>
      <c r="T192" s="367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  <c r="AE192" s="367"/>
      <c r="AF192" s="367"/>
    </row>
    <row r="193" ht="15.75" customHeight="1">
      <c r="A193" s="359"/>
      <c r="B193" s="361"/>
      <c r="C193" s="361"/>
      <c r="D193" s="361"/>
      <c r="E193" s="367"/>
      <c r="F193" s="367"/>
      <c r="G193" s="367"/>
      <c r="H193" s="367"/>
      <c r="I193" s="367"/>
      <c r="J193" s="367"/>
      <c r="K193" s="367"/>
      <c r="L193" s="367"/>
      <c r="M193" s="367"/>
      <c r="N193" s="367"/>
      <c r="O193" s="367"/>
      <c r="P193" s="367"/>
      <c r="Q193" s="367"/>
      <c r="R193" s="367"/>
      <c r="S193" s="367"/>
      <c r="T193" s="367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  <c r="AE193" s="367"/>
      <c r="AF193" s="367"/>
    </row>
    <row r="194" ht="15.75" customHeight="1">
      <c r="A194" s="359"/>
      <c r="B194" s="361"/>
      <c r="C194" s="361"/>
      <c r="D194" s="361"/>
      <c r="E194" s="367"/>
      <c r="F194" s="367"/>
      <c r="G194" s="367"/>
      <c r="H194" s="367"/>
      <c r="I194" s="367"/>
      <c r="J194" s="367"/>
      <c r="K194" s="367"/>
      <c r="L194" s="367"/>
      <c r="M194" s="367"/>
      <c r="N194" s="367"/>
      <c r="O194" s="367"/>
      <c r="P194" s="367"/>
      <c r="Q194" s="367"/>
      <c r="R194" s="367"/>
      <c r="S194" s="367"/>
      <c r="T194" s="367"/>
      <c r="U194" s="367"/>
      <c r="V194" s="367"/>
      <c r="W194" s="367"/>
      <c r="X194" s="367"/>
      <c r="Y194" s="367"/>
      <c r="Z194" s="367"/>
      <c r="AA194" s="367"/>
      <c r="AB194" s="367"/>
      <c r="AC194" s="367"/>
      <c r="AD194" s="367"/>
      <c r="AE194" s="367"/>
      <c r="AF194" s="367"/>
    </row>
    <row r="195" ht="15.75" customHeight="1">
      <c r="A195" s="359"/>
      <c r="B195" s="361"/>
      <c r="C195" s="361"/>
      <c r="D195" s="361"/>
      <c r="E195" s="367"/>
      <c r="F195" s="367"/>
      <c r="G195" s="367"/>
      <c r="H195" s="367"/>
      <c r="I195" s="367"/>
      <c r="J195" s="367"/>
      <c r="K195" s="367"/>
      <c r="L195" s="367"/>
      <c r="M195" s="367"/>
      <c r="N195" s="367"/>
      <c r="O195" s="367"/>
      <c r="P195" s="367"/>
      <c r="Q195" s="367"/>
      <c r="R195" s="367"/>
      <c r="S195" s="367"/>
      <c r="T195" s="367"/>
      <c r="U195" s="367"/>
      <c r="V195" s="367"/>
      <c r="W195" s="367"/>
      <c r="X195" s="367"/>
      <c r="Y195" s="367"/>
      <c r="Z195" s="367"/>
      <c r="AA195" s="367"/>
      <c r="AB195" s="367"/>
      <c r="AC195" s="367"/>
      <c r="AD195" s="367"/>
      <c r="AE195" s="367"/>
      <c r="AF195" s="367"/>
    </row>
    <row r="196" ht="15.75" customHeight="1">
      <c r="A196" s="359"/>
      <c r="B196" s="361"/>
      <c r="C196" s="361"/>
      <c r="D196" s="361"/>
      <c r="E196" s="367"/>
      <c r="F196" s="367"/>
      <c r="G196" s="367"/>
      <c r="H196" s="367"/>
      <c r="I196" s="367"/>
      <c r="J196" s="367"/>
      <c r="K196" s="367"/>
      <c r="L196" s="367"/>
      <c r="M196" s="367"/>
      <c r="N196" s="367"/>
      <c r="O196" s="367"/>
      <c r="P196" s="367"/>
      <c r="Q196" s="367"/>
      <c r="R196" s="367"/>
      <c r="S196" s="367"/>
      <c r="T196" s="367"/>
      <c r="U196" s="367"/>
      <c r="V196" s="367"/>
      <c r="W196" s="367"/>
      <c r="X196" s="367"/>
      <c r="Y196" s="367"/>
      <c r="Z196" s="367"/>
      <c r="AA196" s="367"/>
      <c r="AB196" s="367"/>
      <c r="AC196" s="367"/>
      <c r="AD196" s="367"/>
      <c r="AE196" s="367"/>
      <c r="AF196" s="367"/>
    </row>
    <row r="197" ht="15.75" customHeight="1">
      <c r="A197" s="359"/>
      <c r="B197" s="361"/>
      <c r="C197" s="361"/>
      <c r="D197" s="361"/>
      <c r="E197" s="367"/>
      <c r="F197" s="367"/>
      <c r="G197" s="367"/>
      <c r="H197" s="367"/>
      <c r="I197" s="367"/>
      <c r="J197" s="367"/>
      <c r="K197" s="367"/>
      <c r="L197" s="367"/>
      <c r="M197" s="367"/>
      <c r="N197" s="367"/>
      <c r="O197" s="367"/>
      <c r="P197" s="367"/>
      <c r="Q197" s="367"/>
      <c r="R197" s="367"/>
      <c r="S197" s="367"/>
      <c r="T197" s="367"/>
      <c r="U197" s="367"/>
      <c r="V197" s="367"/>
      <c r="W197" s="367"/>
      <c r="X197" s="367"/>
      <c r="Y197" s="367"/>
      <c r="Z197" s="367"/>
      <c r="AA197" s="367"/>
      <c r="AB197" s="367"/>
      <c r="AC197" s="367"/>
      <c r="AD197" s="367"/>
      <c r="AE197" s="367"/>
      <c r="AF197" s="367"/>
    </row>
    <row r="198" ht="15.75" customHeight="1">
      <c r="A198" s="359"/>
      <c r="B198" s="361"/>
      <c r="C198" s="361"/>
      <c r="D198" s="361"/>
      <c r="E198" s="367"/>
      <c r="F198" s="367"/>
      <c r="G198" s="367"/>
      <c r="H198" s="367"/>
      <c r="I198" s="367"/>
      <c r="J198" s="367"/>
      <c r="K198" s="367"/>
      <c r="L198" s="367"/>
      <c r="M198" s="367"/>
      <c r="N198" s="367"/>
      <c r="O198" s="367"/>
      <c r="P198" s="367"/>
      <c r="Q198" s="367"/>
      <c r="R198" s="367"/>
      <c r="S198" s="367"/>
      <c r="T198" s="367"/>
      <c r="U198" s="367"/>
      <c r="V198" s="367"/>
      <c r="W198" s="367"/>
      <c r="X198" s="367"/>
      <c r="Y198" s="367"/>
      <c r="Z198" s="367"/>
      <c r="AA198" s="367"/>
      <c r="AB198" s="367"/>
      <c r="AC198" s="367"/>
      <c r="AD198" s="367"/>
      <c r="AE198" s="367"/>
      <c r="AF198" s="367"/>
    </row>
    <row r="199" ht="15.75" customHeight="1">
      <c r="A199" s="359"/>
      <c r="B199" s="361"/>
      <c r="C199" s="361"/>
      <c r="D199" s="361"/>
      <c r="E199" s="367"/>
      <c r="F199" s="367"/>
      <c r="G199" s="367"/>
      <c r="H199" s="367"/>
      <c r="I199" s="367"/>
      <c r="J199" s="367"/>
      <c r="K199" s="367"/>
      <c r="L199" s="367"/>
      <c r="M199" s="367"/>
      <c r="N199" s="367"/>
      <c r="O199" s="367"/>
      <c r="P199" s="367"/>
      <c r="Q199" s="367"/>
      <c r="R199" s="367"/>
      <c r="S199" s="367"/>
      <c r="T199" s="367"/>
      <c r="U199" s="367"/>
      <c r="V199" s="367"/>
      <c r="W199" s="367"/>
      <c r="X199" s="367"/>
      <c r="Y199" s="367"/>
      <c r="Z199" s="367"/>
      <c r="AA199" s="367"/>
      <c r="AB199" s="367"/>
      <c r="AC199" s="367"/>
      <c r="AD199" s="367"/>
      <c r="AE199" s="367"/>
      <c r="AF199" s="367"/>
    </row>
    <row r="200" ht="15.75" customHeight="1">
      <c r="A200" s="359"/>
      <c r="B200" s="361"/>
      <c r="C200" s="361"/>
      <c r="D200" s="361"/>
      <c r="E200" s="367"/>
      <c r="F200" s="367"/>
      <c r="G200" s="367"/>
      <c r="H200" s="367"/>
      <c r="I200" s="367"/>
      <c r="J200" s="367"/>
      <c r="K200" s="367"/>
      <c r="L200" s="367"/>
      <c r="M200" s="367"/>
      <c r="N200" s="367"/>
      <c r="O200" s="367"/>
      <c r="P200" s="367"/>
      <c r="Q200" s="367"/>
      <c r="R200" s="367"/>
      <c r="S200" s="367"/>
      <c r="T200" s="367"/>
      <c r="U200" s="367"/>
      <c r="V200" s="367"/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</row>
    <row r="201" ht="15.75" customHeight="1">
      <c r="A201" s="359"/>
      <c r="B201" s="361"/>
      <c r="C201" s="361"/>
      <c r="D201" s="361"/>
      <c r="E201" s="367"/>
      <c r="F201" s="367"/>
      <c r="G201" s="367"/>
      <c r="H201" s="367"/>
      <c r="I201" s="367"/>
      <c r="J201" s="367"/>
      <c r="K201" s="367"/>
      <c r="L201" s="367"/>
      <c r="M201" s="367"/>
      <c r="N201" s="367"/>
      <c r="O201" s="367"/>
      <c r="P201" s="367"/>
      <c r="Q201" s="367"/>
      <c r="R201" s="367"/>
      <c r="S201" s="367"/>
      <c r="T201" s="367"/>
      <c r="U201" s="367"/>
      <c r="V201" s="367"/>
      <c r="W201" s="367"/>
      <c r="X201" s="367"/>
      <c r="Y201" s="367"/>
      <c r="Z201" s="367"/>
      <c r="AA201" s="367"/>
      <c r="AB201" s="367"/>
      <c r="AC201" s="367"/>
      <c r="AD201" s="367"/>
      <c r="AE201" s="367"/>
      <c r="AF201" s="367"/>
    </row>
    <row r="202" ht="15.75" customHeight="1">
      <c r="A202" s="359"/>
      <c r="B202" s="361"/>
      <c r="C202" s="361"/>
      <c r="D202" s="361"/>
      <c r="E202" s="367"/>
      <c r="F202" s="367"/>
      <c r="G202" s="367"/>
      <c r="H202" s="367"/>
      <c r="I202" s="367"/>
      <c r="J202" s="367"/>
      <c r="K202" s="367"/>
      <c r="L202" s="367"/>
      <c r="M202" s="367"/>
      <c r="N202" s="367"/>
      <c r="O202" s="367"/>
      <c r="P202" s="367"/>
      <c r="Q202" s="367"/>
      <c r="R202" s="367"/>
      <c r="S202" s="367"/>
      <c r="T202" s="367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</row>
    <row r="203" ht="15.75" customHeight="1">
      <c r="A203" s="359"/>
      <c r="B203" s="361"/>
      <c r="C203" s="361"/>
      <c r="D203" s="361"/>
      <c r="E203" s="367"/>
      <c r="F203" s="367"/>
      <c r="G203" s="367"/>
      <c r="H203" s="367"/>
      <c r="I203" s="367"/>
      <c r="J203" s="367"/>
      <c r="K203" s="367"/>
      <c r="L203" s="367"/>
      <c r="M203" s="367"/>
      <c r="N203" s="367"/>
      <c r="O203" s="367"/>
      <c r="P203" s="367"/>
      <c r="Q203" s="367"/>
      <c r="R203" s="367"/>
      <c r="S203" s="367"/>
      <c r="T203" s="367"/>
      <c r="U203" s="367"/>
      <c r="V203" s="367"/>
      <c r="W203" s="367"/>
      <c r="X203" s="367"/>
      <c r="Y203" s="367"/>
      <c r="Z203" s="367"/>
      <c r="AA203" s="367"/>
      <c r="AB203" s="367"/>
      <c r="AC203" s="367"/>
      <c r="AD203" s="367"/>
      <c r="AE203" s="367"/>
      <c r="AF203" s="367"/>
    </row>
    <row r="204" ht="15.75" customHeight="1">
      <c r="A204" s="359"/>
      <c r="B204" s="361"/>
      <c r="C204" s="361"/>
      <c r="D204" s="361"/>
      <c r="E204" s="367"/>
      <c r="F204" s="367"/>
      <c r="G204" s="367"/>
      <c r="H204" s="367"/>
      <c r="I204" s="367"/>
      <c r="J204" s="367"/>
      <c r="K204" s="367"/>
      <c r="L204" s="367"/>
      <c r="M204" s="367"/>
      <c r="N204" s="367"/>
      <c r="O204" s="367"/>
      <c r="P204" s="367"/>
      <c r="Q204" s="367"/>
      <c r="R204" s="367"/>
      <c r="S204" s="367"/>
      <c r="T204" s="367"/>
      <c r="U204" s="367"/>
      <c r="V204" s="367"/>
      <c r="W204" s="367"/>
      <c r="X204" s="367"/>
      <c r="Y204" s="367"/>
      <c r="Z204" s="367"/>
      <c r="AA204" s="367"/>
      <c r="AB204" s="367"/>
      <c r="AC204" s="367"/>
      <c r="AD204" s="367"/>
      <c r="AE204" s="367"/>
      <c r="AF204" s="367"/>
    </row>
    <row r="205" ht="15.75" customHeight="1">
      <c r="A205" s="359"/>
      <c r="B205" s="361"/>
      <c r="C205" s="361"/>
      <c r="D205" s="361"/>
      <c r="E205" s="367"/>
      <c r="F205" s="367"/>
      <c r="G205" s="367"/>
      <c r="H205" s="367"/>
      <c r="I205" s="367"/>
      <c r="J205" s="367"/>
      <c r="K205" s="367"/>
      <c r="L205" s="367"/>
      <c r="M205" s="367"/>
      <c r="N205" s="367"/>
      <c r="O205" s="367"/>
      <c r="P205" s="367"/>
      <c r="Q205" s="367"/>
      <c r="R205" s="367"/>
      <c r="S205" s="367"/>
      <c r="T205" s="367"/>
      <c r="U205" s="367"/>
      <c r="V205" s="367"/>
      <c r="W205" s="367"/>
      <c r="X205" s="367"/>
      <c r="Y205" s="367"/>
      <c r="Z205" s="367"/>
      <c r="AA205" s="367"/>
      <c r="AB205" s="367"/>
      <c r="AC205" s="367"/>
      <c r="AD205" s="367"/>
      <c r="AE205" s="367"/>
      <c r="AF205" s="367"/>
    </row>
    <row r="206" ht="15.75" customHeight="1">
      <c r="A206" s="359"/>
      <c r="B206" s="361"/>
      <c r="C206" s="361"/>
      <c r="D206" s="361"/>
      <c r="E206" s="367"/>
      <c r="F206" s="367"/>
      <c r="G206" s="367"/>
      <c r="H206" s="367"/>
      <c r="I206" s="367"/>
      <c r="J206" s="367"/>
      <c r="K206" s="367"/>
      <c r="L206" s="367"/>
      <c r="M206" s="367"/>
      <c r="N206" s="367"/>
      <c r="O206" s="367"/>
      <c r="P206" s="367"/>
      <c r="Q206" s="367"/>
      <c r="R206" s="367"/>
      <c r="S206" s="367"/>
      <c r="T206" s="367"/>
      <c r="U206" s="367"/>
      <c r="V206" s="367"/>
      <c r="W206" s="367"/>
      <c r="X206" s="367"/>
      <c r="Y206" s="367"/>
      <c r="Z206" s="367"/>
      <c r="AA206" s="367"/>
      <c r="AB206" s="367"/>
      <c r="AC206" s="367"/>
      <c r="AD206" s="367"/>
      <c r="AE206" s="367"/>
      <c r="AF206" s="367"/>
    </row>
    <row r="207" ht="15.75" customHeight="1">
      <c r="A207" s="359"/>
      <c r="B207" s="361"/>
      <c r="C207" s="361"/>
      <c r="D207" s="361"/>
      <c r="E207" s="367"/>
      <c r="F207" s="367"/>
      <c r="G207" s="367"/>
      <c r="H207" s="367"/>
      <c r="I207" s="367"/>
      <c r="J207" s="367"/>
      <c r="K207" s="367"/>
      <c r="L207" s="367"/>
      <c r="M207" s="367"/>
      <c r="N207" s="367"/>
      <c r="O207" s="367"/>
      <c r="P207" s="367"/>
      <c r="Q207" s="367"/>
      <c r="R207" s="367"/>
      <c r="S207" s="367"/>
      <c r="T207" s="367"/>
      <c r="U207" s="367"/>
      <c r="V207" s="367"/>
      <c r="W207" s="367"/>
      <c r="X207" s="367"/>
      <c r="Y207" s="367"/>
      <c r="Z207" s="367"/>
      <c r="AA207" s="367"/>
      <c r="AB207" s="367"/>
      <c r="AC207" s="367"/>
      <c r="AD207" s="367"/>
      <c r="AE207" s="367"/>
      <c r="AF207" s="367"/>
    </row>
    <row r="208" ht="15.75" customHeight="1">
      <c r="A208" s="359"/>
      <c r="B208" s="361"/>
      <c r="C208" s="361"/>
      <c r="D208" s="361"/>
      <c r="E208" s="367"/>
      <c r="F208" s="367"/>
      <c r="G208" s="367"/>
      <c r="H208" s="367"/>
      <c r="I208" s="367"/>
      <c r="J208" s="367"/>
      <c r="K208" s="367"/>
      <c r="L208" s="367"/>
      <c r="M208" s="367"/>
      <c r="N208" s="367"/>
      <c r="O208" s="367"/>
      <c r="P208" s="367"/>
      <c r="Q208" s="367"/>
      <c r="R208" s="367"/>
      <c r="S208" s="367"/>
      <c r="T208" s="367"/>
      <c r="U208" s="367"/>
      <c r="V208" s="367"/>
      <c r="W208" s="367"/>
      <c r="X208" s="367"/>
      <c r="Y208" s="367"/>
      <c r="Z208" s="367"/>
      <c r="AA208" s="367"/>
      <c r="AB208" s="367"/>
      <c r="AC208" s="367"/>
      <c r="AD208" s="367"/>
      <c r="AE208" s="367"/>
      <c r="AF208" s="367"/>
    </row>
    <row r="209" ht="15.75" customHeight="1">
      <c r="A209" s="359"/>
      <c r="B209" s="361"/>
      <c r="C209" s="361"/>
      <c r="D209" s="361"/>
      <c r="E209" s="367"/>
      <c r="F209" s="367"/>
      <c r="G209" s="367"/>
      <c r="H209" s="367"/>
      <c r="I209" s="367"/>
      <c r="J209" s="367"/>
      <c r="K209" s="367"/>
      <c r="L209" s="367"/>
      <c r="M209" s="367"/>
      <c r="N209" s="367"/>
      <c r="O209" s="367"/>
      <c r="P209" s="367"/>
      <c r="Q209" s="367"/>
      <c r="R209" s="367"/>
      <c r="S209" s="367"/>
      <c r="T209" s="367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</row>
    <row r="210" ht="15.75" customHeight="1">
      <c r="A210" s="359"/>
      <c r="B210" s="361"/>
      <c r="C210" s="361"/>
      <c r="D210" s="361"/>
      <c r="E210" s="367"/>
      <c r="F210" s="367"/>
      <c r="G210" s="367"/>
      <c r="H210" s="367"/>
      <c r="I210" s="367"/>
      <c r="J210" s="367"/>
      <c r="K210" s="367"/>
      <c r="L210" s="367"/>
      <c r="M210" s="367"/>
      <c r="N210" s="367"/>
      <c r="O210" s="367"/>
      <c r="P210" s="367"/>
      <c r="Q210" s="367"/>
      <c r="R210" s="367"/>
      <c r="S210" s="367"/>
      <c r="T210" s="367"/>
      <c r="U210" s="367"/>
      <c r="V210" s="367"/>
      <c r="W210" s="367"/>
      <c r="X210" s="367"/>
      <c r="Y210" s="367"/>
      <c r="Z210" s="367"/>
      <c r="AA210" s="367"/>
      <c r="AB210" s="367"/>
      <c r="AC210" s="367"/>
      <c r="AD210" s="367"/>
      <c r="AE210" s="367"/>
      <c r="AF210" s="367"/>
    </row>
    <row r="211" ht="15.75" customHeight="1">
      <c r="A211" s="359"/>
      <c r="B211" s="361"/>
      <c r="C211" s="361"/>
      <c r="D211" s="361"/>
      <c r="E211" s="367"/>
      <c r="F211" s="367"/>
      <c r="G211" s="367"/>
      <c r="H211" s="367"/>
      <c r="I211" s="367"/>
      <c r="J211" s="367"/>
      <c r="K211" s="367"/>
      <c r="L211" s="367"/>
      <c r="M211" s="367"/>
      <c r="N211" s="367"/>
      <c r="O211" s="367"/>
      <c r="P211" s="367"/>
      <c r="Q211" s="367"/>
      <c r="R211" s="367"/>
      <c r="S211" s="367"/>
      <c r="T211" s="367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  <c r="AE211" s="367"/>
      <c r="AF211" s="367"/>
    </row>
    <row r="212" ht="15.75" customHeight="1">
      <c r="A212" s="359"/>
      <c r="B212" s="361"/>
      <c r="C212" s="361"/>
      <c r="D212" s="361"/>
      <c r="E212" s="367"/>
      <c r="F212" s="367"/>
      <c r="G212" s="367"/>
      <c r="H212" s="367"/>
      <c r="I212" s="367"/>
      <c r="J212" s="367"/>
      <c r="K212" s="367"/>
      <c r="L212" s="367"/>
      <c r="M212" s="367"/>
      <c r="N212" s="367"/>
      <c r="O212" s="367"/>
      <c r="P212" s="367"/>
      <c r="Q212" s="367"/>
      <c r="R212" s="367"/>
      <c r="S212" s="367"/>
      <c r="T212" s="367"/>
      <c r="U212" s="367"/>
      <c r="V212" s="367"/>
      <c r="W212" s="367"/>
      <c r="X212" s="367"/>
      <c r="Y212" s="367"/>
      <c r="Z212" s="367"/>
      <c r="AA212" s="367"/>
      <c r="AB212" s="367"/>
      <c r="AC212" s="367"/>
      <c r="AD212" s="367"/>
      <c r="AE212" s="367"/>
      <c r="AF212" s="367"/>
    </row>
    <row r="213" ht="15.75" customHeight="1">
      <c r="A213" s="359"/>
      <c r="B213" s="361"/>
      <c r="C213" s="361"/>
      <c r="D213" s="361"/>
      <c r="E213" s="367"/>
      <c r="F213" s="367"/>
      <c r="G213" s="367"/>
      <c r="H213" s="367"/>
      <c r="I213" s="367"/>
      <c r="J213" s="367"/>
      <c r="K213" s="367"/>
      <c r="L213" s="367"/>
      <c r="M213" s="367"/>
      <c r="N213" s="367"/>
      <c r="O213" s="367"/>
      <c r="P213" s="367"/>
      <c r="Q213" s="367"/>
      <c r="R213" s="367"/>
      <c r="S213" s="367"/>
      <c r="T213" s="367"/>
      <c r="U213" s="367"/>
      <c r="V213" s="367"/>
      <c r="W213" s="367"/>
      <c r="X213" s="367"/>
      <c r="Y213" s="367"/>
      <c r="Z213" s="367"/>
      <c r="AA213" s="367"/>
      <c r="AB213" s="367"/>
      <c r="AC213" s="367"/>
      <c r="AD213" s="367"/>
      <c r="AE213" s="367"/>
      <c r="AF213" s="367"/>
    </row>
    <row r="214" ht="15.75" customHeight="1">
      <c r="A214" s="359"/>
      <c r="B214" s="361"/>
      <c r="C214" s="361"/>
      <c r="D214" s="361"/>
      <c r="E214" s="367"/>
      <c r="F214" s="367"/>
      <c r="G214" s="367"/>
      <c r="H214" s="367"/>
      <c r="I214" s="367"/>
      <c r="J214" s="367"/>
      <c r="K214" s="367"/>
      <c r="L214" s="367"/>
      <c r="M214" s="367"/>
      <c r="N214" s="367"/>
      <c r="O214" s="367"/>
      <c r="P214" s="367"/>
      <c r="Q214" s="367"/>
      <c r="R214" s="367"/>
      <c r="S214" s="367"/>
      <c r="T214" s="367"/>
      <c r="U214" s="367"/>
      <c r="V214" s="367"/>
      <c r="W214" s="367"/>
      <c r="X214" s="367"/>
      <c r="Y214" s="367"/>
      <c r="Z214" s="367"/>
      <c r="AA214" s="367"/>
      <c r="AB214" s="367"/>
      <c r="AC214" s="367"/>
      <c r="AD214" s="367"/>
      <c r="AE214" s="367"/>
      <c r="AF214" s="367"/>
    </row>
    <row r="215" ht="15.75" customHeight="1">
      <c r="A215" s="359"/>
      <c r="B215" s="361"/>
      <c r="C215" s="361"/>
      <c r="D215" s="361"/>
      <c r="E215" s="367"/>
      <c r="F215" s="367"/>
      <c r="G215" s="367"/>
      <c r="H215" s="367"/>
      <c r="I215" s="367"/>
      <c r="J215" s="367"/>
      <c r="K215" s="367"/>
      <c r="L215" s="367"/>
      <c r="M215" s="367"/>
      <c r="N215" s="367"/>
      <c r="O215" s="367"/>
      <c r="P215" s="367"/>
      <c r="Q215" s="367"/>
      <c r="R215" s="367"/>
      <c r="S215" s="367"/>
      <c r="T215" s="367"/>
      <c r="U215" s="367"/>
      <c r="V215" s="367"/>
      <c r="W215" s="367"/>
      <c r="X215" s="367"/>
      <c r="Y215" s="367"/>
      <c r="Z215" s="367"/>
      <c r="AA215" s="367"/>
      <c r="AB215" s="367"/>
      <c r="AC215" s="367"/>
      <c r="AD215" s="367"/>
      <c r="AE215" s="367"/>
      <c r="AF215" s="367"/>
    </row>
    <row r="216" ht="15.75" customHeight="1">
      <c r="A216" s="359"/>
      <c r="B216" s="361"/>
      <c r="C216" s="361"/>
      <c r="D216" s="361"/>
      <c r="E216" s="367"/>
      <c r="F216" s="367"/>
      <c r="G216" s="367"/>
      <c r="H216" s="367"/>
      <c r="I216" s="367"/>
      <c r="J216" s="367"/>
      <c r="K216" s="367"/>
      <c r="L216" s="367"/>
      <c r="M216" s="367"/>
      <c r="N216" s="367"/>
      <c r="O216" s="367"/>
      <c r="P216" s="367"/>
      <c r="Q216" s="367"/>
      <c r="R216" s="367"/>
      <c r="S216" s="367"/>
      <c r="T216" s="367"/>
      <c r="U216" s="367"/>
      <c r="V216" s="367"/>
      <c r="W216" s="367"/>
      <c r="X216" s="367"/>
      <c r="Y216" s="367"/>
      <c r="Z216" s="367"/>
      <c r="AA216" s="367"/>
      <c r="AB216" s="367"/>
      <c r="AC216" s="367"/>
      <c r="AD216" s="367"/>
      <c r="AE216" s="367"/>
      <c r="AF216" s="367"/>
    </row>
    <row r="217" ht="15.75" customHeight="1">
      <c r="A217" s="359"/>
      <c r="B217" s="361"/>
      <c r="C217" s="361"/>
      <c r="D217" s="361"/>
      <c r="E217" s="367"/>
      <c r="F217" s="367"/>
      <c r="G217" s="367"/>
      <c r="H217" s="367"/>
      <c r="I217" s="367"/>
      <c r="J217" s="367"/>
      <c r="K217" s="367"/>
      <c r="L217" s="367"/>
      <c r="M217" s="367"/>
      <c r="N217" s="367"/>
      <c r="O217" s="367"/>
      <c r="P217" s="367"/>
      <c r="Q217" s="367"/>
      <c r="R217" s="367"/>
      <c r="S217" s="367"/>
      <c r="T217" s="367"/>
      <c r="U217" s="367"/>
      <c r="V217" s="367"/>
      <c r="W217" s="367"/>
      <c r="X217" s="367"/>
      <c r="Y217" s="367"/>
      <c r="Z217" s="367"/>
      <c r="AA217" s="367"/>
      <c r="AB217" s="367"/>
      <c r="AC217" s="367"/>
      <c r="AD217" s="367"/>
      <c r="AE217" s="367"/>
      <c r="AF217" s="367"/>
    </row>
    <row r="218" ht="15.75" customHeight="1">
      <c r="A218" s="359"/>
      <c r="B218" s="361"/>
      <c r="C218" s="361"/>
      <c r="D218" s="361"/>
      <c r="E218" s="367"/>
      <c r="F218" s="367"/>
      <c r="G218" s="367"/>
      <c r="H218" s="367"/>
      <c r="I218" s="367"/>
      <c r="J218" s="367"/>
      <c r="K218" s="367"/>
      <c r="L218" s="367"/>
      <c r="M218" s="367"/>
      <c r="N218" s="367"/>
      <c r="O218" s="367"/>
      <c r="P218" s="367"/>
      <c r="Q218" s="367"/>
      <c r="R218" s="367"/>
      <c r="S218" s="367"/>
      <c r="T218" s="367"/>
      <c r="U218" s="367"/>
      <c r="V218" s="367"/>
      <c r="W218" s="367"/>
      <c r="X218" s="367"/>
      <c r="Y218" s="367"/>
      <c r="Z218" s="367"/>
      <c r="AA218" s="367"/>
      <c r="AB218" s="367"/>
      <c r="AC218" s="367"/>
      <c r="AD218" s="367"/>
      <c r="AE218" s="367"/>
      <c r="AF218" s="367"/>
    </row>
    <row r="219" ht="15.75" customHeight="1">
      <c r="A219" s="359"/>
      <c r="B219" s="361"/>
      <c r="C219" s="361"/>
      <c r="D219" s="361"/>
      <c r="E219" s="367"/>
      <c r="F219" s="367"/>
      <c r="G219" s="367"/>
      <c r="H219" s="367"/>
      <c r="I219" s="367"/>
      <c r="J219" s="367"/>
      <c r="K219" s="367"/>
      <c r="L219" s="367"/>
      <c r="M219" s="367"/>
      <c r="N219" s="367"/>
      <c r="O219" s="367"/>
      <c r="P219" s="367"/>
      <c r="Q219" s="367"/>
      <c r="R219" s="367"/>
      <c r="S219" s="367"/>
      <c r="T219" s="367"/>
      <c r="U219" s="367"/>
      <c r="V219" s="367"/>
      <c r="W219" s="367"/>
      <c r="X219" s="367"/>
      <c r="Y219" s="367"/>
      <c r="Z219" s="367"/>
      <c r="AA219" s="367"/>
      <c r="AB219" s="367"/>
      <c r="AC219" s="367"/>
      <c r="AD219" s="367"/>
      <c r="AE219" s="367"/>
      <c r="AF219" s="367"/>
    </row>
    <row r="220" ht="15.75" customHeight="1">
      <c r="A220" s="359"/>
      <c r="B220" s="361"/>
      <c r="C220" s="361"/>
      <c r="D220" s="361"/>
      <c r="E220" s="367"/>
      <c r="F220" s="367"/>
      <c r="G220" s="367"/>
      <c r="H220" s="367"/>
      <c r="I220" s="367"/>
      <c r="J220" s="367"/>
      <c r="K220" s="367"/>
      <c r="L220" s="367"/>
      <c r="M220" s="367"/>
      <c r="N220" s="367"/>
      <c r="O220" s="367"/>
      <c r="P220" s="367"/>
      <c r="Q220" s="367"/>
      <c r="R220" s="367"/>
      <c r="S220" s="367"/>
      <c r="T220" s="367"/>
      <c r="U220" s="367"/>
      <c r="V220" s="367"/>
      <c r="W220" s="367"/>
      <c r="X220" s="367"/>
      <c r="Y220" s="367"/>
      <c r="Z220" s="367"/>
      <c r="AA220" s="367"/>
      <c r="AB220" s="367"/>
      <c r="AC220" s="367"/>
      <c r="AD220" s="367"/>
      <c r="AE220" s="367"/>
      <c r="AF220" s="367"/>
    </row>
    <row r="221" ht="15.75" customHeight="1">
      <c r="A221" s="359"/>
      <c r="B221" s="361"/>
      <c r="C221" s="361"/>
      <c r="D221" s="361"/>
      <c r="E221" s="367"/>
      <c r="F221" s="367"/>
      <c r="G221" s="367"/>
      <c r="H221" s="367"/>
      <c r="I221" s="367"/>
      <c r="J221" s="367"/>
      <c r="K221" s="367"/>
      <c r="L221" s="367"/>
      <c r="M221" s="367"/>
      <c r="N221" s="367"/>
      <c r="O221" s="367"/>
      <c r="P221" s="367"/>
      <c r="Q221" s="367"/>
      <c r="R221" s="367"/>
      <c r="S221" s="367"/>
      <c r="T221" s="367"/>
      <c r="U221" s="367"/>
      <c r="V221" s="367"/>
      <c r="W221" s="367"/>
      <c r="X221" s="367"/>
      <c r="Y221" s="367"/>
      <c r="Z221" s="367"/>
      <c r="AA221" s="367"/>
      <c r="AB221" s="367"/>
      <c r="AC221" s="367"/>
      <c r="AD221" s="367"/>
      <c r="AE221" s="367"/>
      <c r="AF221" s="367"/>
    </row>
    <row r="222" ht="15.75" customHeight="1">
      <c r="A222" s="359"/>
      <c r="B222" s="361"/>
      <c r="C222" s="361"/>
      <c r="D222" s="361"/>
      <c r="E222" s="367"/>
      <c r="F222" s="367"/>
      <c r="G222" s="367"/>
      <c r="H222" s="367"/>
      <c r="I222" s="367"/>
      <c r="J222" s="367"/>
      <c r="K222" s="367"/>
      <c r="L222" s="367"/>
      <c r="M222" s="367"/>
      <c r="N222" s="367"/>
      <c r="O222" s="367"/>
      <c r="P222" s="367"/>
      <c r="Q222" s="367"/>
      <c r="R222" s="367"/>
      <c r="S222" s="367"/>
      <c r="T222" s="367"/>
      <c r="U222" s="367"/>
      <c r="V222" s="367"/>
      <c r="W222" s="367"/>
      <c r="X222" s="367"/>
      <c r="Y222" s="367"/>
      <c r="Z222" s="367"/>
      <c r="AA222" s="367"/>
      <c r="AB222" s="367"/>
      <c r="AC222" s="367"/>
      <c r="AD222" s="367"/>
      <c r="AE222" s="367"/>
      <c r="AF222" s="367"/>
    </row>
    <row r="223" ht="15.75" customHeight="1">
      <c r="A223" s="359"/>
      <c r="B223" s="361"/>
      <c r="C223" s="361"/>
      <c r="D223" s="361"/>
      <c r="E223" s="367"/>
      <c r="F223" s="367"/>
      <c r="G223" s="367"/>
      <c r="H223" s="367"/>
      <c r="I223" s="367"/>
      <c r="J223" s="367"/>
      <c r="K223" s="367"/>
      <c r="L223" s="367"/>
      <c r="M223" s="367"/>
      <c r="N223" s="367"/>
      <c r="O223" s="367"/>
      <c r="P223" s="367"/>
      <c r="Q223" s="367"/>
      <c r="R223" s="367"/>
      <c r="S223" s="367"/>
      <c r="T223" s="367"/>
      <c r="U223" s="367"/>
      <c r="V223" s="367"/>
      <c r="W223" s="367"/>
      <c r="X223" s="367"/>
      <c r="Y223" s="367"/>
      <c r="Z223" s="367"/>
      <c r="AA223" s="367"/>
      <c r="AB223" s="367"/>
      <c r="AC223" s="367"/>
      <c r="AD223" s="367"/>
      <c r="AE223" s="367"/>
      <c r="AF223" s="367"/>
    </row>
    <row r="224" ht="15.75" customHeight="1">
      <c r="A224" s="359"/>
      <c r="B224" s="361"/>
      <c r="C224" s="361"/>
      <c r="D224" s="361"/>
      <c r="E224" s="367"/>
      <c r="F224" s="367"/>
      <c r="G224" s="367"/>
      <c r="H224" s="367"/>
      <c r="I224" s="367"/>
      <c r="J224" s="367"/>
      <c r="K224" s="367"/>
      <c r="L224" s="367"/>
      <c r="M224" s="367"/>
      <c r="N224" s="367"/>
      <c r="O224" s="367"/>
      <c r="P224" s="367"/>
      <c r="Q224" s="367"/>
      <c r="R224" s="367"/>
      <c r="S224" s="367"/>
      <c r="T224" s="367"/>
      <c r="U224" s="367"/>
      <c r="V224" s="367"/>
      <c r="W224" s="367"/>
      <c r="X224" s="367"/>
      <c r="Y224" s="367"/>
      <c r="Z224" s="367"/>
      <c r="AA224" s="367"/>
      <c r="AB224" s="367"/>
      <c r="AC224" s="367"/>
      <c r="AD224" s="367"/>
      <c r="AE224" s="367"/>
      <c r="AF224" s="367"/>
    </row>
    <row r="225" ht="15.75" customHeight="1">
      <c r="A225" s="359"/>
      <c r="B225" s="361"/>
      <c r="C225" s="361"/>
      <c r="D225" s="361"/>
      <c r="E225" s="367"/>
      <c r="F225" s="367"/>
      <c r="G225" s="367"/>
      <c r="H225" s="367"/>
      <c r="I225" s="367"/>
      <c r="J225" s="367"/>
      <c r="K225" s="367"/>
      <c r="L225" s="367"/>
      <c r="M225" s="367"/>
      <c r="N225" s="367"/>
      <c r="O225" s="367"/>
      <c r="P225" s="367"/>
      <c r="Q225" s="367"/>
      <c r="R225" s="367"/>
      <c r="S225" s="367"/>
      <c r="T225" s="367"/>
      <c r="U225" s="367"/>
      <c r="V225" s="367"/>
      <c r="W225" s="367"/>
      <c r="X225" s="367"/>
      <c r="Y225" s="367"/>
      <c r="Z225" s="367"/>
      <c r="AA225" s="367"/>
      <c r="AB225" s="367"/>
      <c r="AC225" s="367"/>
      <c r="AD225" s="367"/>
      <c r="AE225" s="367"/>
      <c r="AF225" s="367"/>
    </row>
    <row r="226" ht="15.75" customHeight="1">
      <c r="A226" s="359"/>
      <c r="B226" s="361"/>
      <c r="C226" s="361"/>
      <c r="D226" s="361"/>
      <c r="E226" s="367"/>
      <c r="F226" s="367"/>
      <c r="G226" s="367"/>
      <c r="H226" s="367"/>
      <c r="I226" s="367"/>
      <c r="J226" s="367"/>
      <c r="K226" s="367"/>
      <c r="L226" s="367"/>
      <c r="M226" s="367"/>
      <c r="N226" s="367"/>
      <c r="O226" s="367"/>
      <c r="P226" s="367"/>
      <c r="Q226" s="367"/>
      <c r="R226" s="367"/>
      <c r="S226" s="367"/>
      <c r="T226" s="367"/>
      <c r="U226" s="367"/>
      <c r="V226" s="367"/>
      <c r="W226" s="367"/>
      <c r="X226" s="367"/>
      <c r="Y226" s="367"/>
      <c r="Z226" s="367"/>
      <c r="AA226" s="367"/>
      <c r="AB226" s="367"/>
      <c r="AC226" s="367"/>
      <c r="AD226" s="367"/>
      <c r="AE226" s="367"/>
      <c r="AF226" s="367"/>
    </row>
    <row r="227" ht="15.75" customHeight="1">
      <c r="A227" s="359"/>
      <c r="B227" s="361"/>
      <c r="C227" s="361"/>
      <c r="D227" s="361"/>
      <c r="E227" s="367"/>
      <c r="F227" s="367"/>
      <c r="G227" s="367"/>
      <c r="H227" s="367"/>
      <c r="I227" s="367"/>
      <c r="J227" s="367"/>
      <c r="K227" s="367"/>
      <c r="L227" s="367"/>
      <c r="M227" s="367"/>
      <c r="N227" s="367"/>
      <c r="O227" s="367"/>
      <c r="P227" s="367"/>
      <c r="Q227" s="367"/>
      <c r="R227" s="367"/>
      <c r="S227" s="367"/>
      <c r="T227" s="367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</row>
    <row r="228" ht="15.75" customHeight="1">
      <c r="A228" s="359"/>
      <c r="B228" s="361"/>
      <c r="C228" s="361"/>
      <c r="D228" s="361"/>
      <c r="E228" s="367"/>
      <c r="F228" s="367"/>
      <c r="G228" s="367"/>
      <c r="H228" s="367"/>
      <c r="I228" s="367"/>
      <c r="J228" s="367"/>
      <c r="K228" s="367"/>
      <c r="L228" s="367"/>
      <c r="M228" s="367"/>
      <c r="N228" s="367"/>
      <c r="O228" s="367"/>
      <c r="P228" s="367"/>
      <c r="Q228" s="367"/>
      <c r="R228" s="367"/>
      <c r="S228" s="367"/>
      <c r="T228" s="367"/>
      <c r="U228" s="367"/>
      <c r="V228" s="367"/>
      <c r="W228" s="367"/>
      <c r="X228" s="367"/>
      <c r="Y228" s="367"/>
      <c r="Z228" s="367"/>
      <c r="AA228" s="367"/>
      <c r="AB228" s="367"/>
      <c r="AC228" s="367"/>
      <c r="AD228" s="367"/>
      <c r="AE228" s="367"/>
      <c r="AF228" s="367"/>
    </row>
    <row r="229" ht="15.75" customHeight="1">
      <c r="A229" s="359"/>
      <c r="B229" s="361"/>
      <c r="C229" s="361"/>
      <c r="D229" s="361"/>
      <c r="E229" s="367"/>
      <c r="F229" s="367"/>
      <c r="G229" s="367"/>
      <c r="H229" s="367"/>
      <c r="I229" s="367"/>
      <c r="J229" s="367"/>
      <c r="K229" s="367"/>
      <c r="L229" s="367"/>
      <c r="M229" s="367"/>
      <c r="N229" s="367"/>
      <c r="O229" s="367"/>
      <c r="P229" s="367"/>
      <c r="Q229" s="367"/>
      <c r="R229" s="367"/>
      <c r="S229" s="367"/>
      <c r="T229" s="367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  <c r="AE229" s="367"/>
      <c r="AF229" s="367"/>
    </row>
    <row r="230" ht="15.75" customHeight="1">
      <c r="A230" s="359"/>
      <c r="B230" s="361"/>
      <c r="C230" s="361"/>
      <c r="D230" s="361"/>
      <c r="E230" s="367"/>
      <c r="F230" s="367"/>
      <c r="G230" s="367"/>
      <c r="H230" s="367"/>
      <c r="I230" s="367"/>
      <c r="J230" s="367"/>
      <c r="K230" s="367"/>
      <c r="L230" s="367"/>
      <c r="M230" s="367"/>
      <c r="N230" s="367"/>
      <c r="O230" s="367"/>
      <c r="P230" s="367"/>
      <c r="Q230" s="367"/>
      <c r="R230" s="367"/>
      <c r="S230" s="367"/>
      <c r="T230" s="367"/>
      <c r="U230" s="367"/>
      <c r="V230" s="367"/>
      <c r="W230" s="367"/>
      <c r="X230" s="367"/>
      <c r="Y230" s="367"/>
      <c r="Z230" s="367"/>
      <c r="AA230" s="367"/>
      <c r="AB230" s="367"/>
      <c r="AC230" s="367"/>
      <c r="AD230" s="367"/>
      <c r="AE230" s="367"/>
      <c r="AF230" s="367"/>
    </row>
    <row r="231" ht="15.75" customHeight="1">
      <c r="A231" s="359"/>
      <c r="B231" s="361"/>
      <c r="C231" s="361"/>
      <c r="D231" s="361"/>
      <c r="E231" s="367"/>
      <c r="F231" s="367"/>
      <c r="G231" s="367"/>
      <c r="H231" s="367"/>
      <c r="I231" s="367"/>
      <c r="J231" s="367"/>
      <c r="K231" s="367"/>
      <c r="L231" s="367"/>
      <c r="M231" s="367"/>
      <c r="N231" s="367"/>
      <c r="O231" s="367"/>
      <c r="P231" s="367"/>
      <c r="Q231" s="367"/>
      <c r="R231" s="367"/>
      <c r="S231" s="367"/>
      <c r="T231" s="367"/>
      <c r="U231" s="367"/>
      <c r="V231" s="367"/>
      <c r="W231" s="367"/>
      <c r="X231" s="367"/>
      <c r="Y231" s="367"/>
      <c r="Z231" s="367"/>
      <c r="AA231" s="367"/>
      <c r="AB231" s="367"/>
      <c r="AC231" s="367"/>
      <c r="AD231" s="367"/>
      <c r="AE231" s="367"/>
      <c r="AF231" s="367"/>
    </row>
    <row r="232" ht="15.75" customHeight="1">
      <c r="A232" s="359"/>
      <c r="B232" s="361"/>
      <c r="C232" s="361"/>
      <c r="D232" s="361"/>
      <c r="E232" s="367"/>
      <c r="F232" s="367"/>
      <c r="G232" s="367"/>
      <c r="H232" s="367"/>
      <c r="I232" s="367"/>
      <c r="J232" s="367"/>
      <c r="K232" s="367"/>
      <c r="L232" s="367"/>
      <c r="M232" s="367"/>
      <c r="N232" s="367"/>
      <c r="O232" s="367"/>
      <c r="P232" s="367"/>
      <c r="Q232" s="367"/>
      <c r="R232" s="367"/>
      <c r="S232" s="367"/>
      <c r="T232" s="367"/>
      <c r="U232" s="367"/>
      <c r="V232" s="367"/>
      <c r="W232" s="367"/>
      <c r="X232" s="367"/>
      <c r="Y232" s="367"/>
      <c r="Z232" s="367"/>
      <c r="AA232" s="367"/>
      <c r="AB232" s="367"/>
      <c r="AC232" s="367"/>
      <c r="AD232" s="367"/>
      <c r="AE232" s="367"/>
      <c r="AF232" s="367"/>
    </row>
    <row r="233" ht="15.75" customHeight="1">
      <c r="A233" s="359"/>
      <c r="B233" s="361"/>
      <c r="C233" s="361"/>
      <c r="D233" s="361"/>
      <c r="E233" s="367"/>
      <c r="F233" s="367"/>
      <c r="G233" s="367"/>
      <c r="H233" s="367"/>
      <c r="I233" s="367"/>
      <c r="J233" s="367"/>
      <c r="K233" s="367"/>
      <c r="L233" s="367"/>
      <c r="M233" s="367"/>
      <c r="N233" s="367"/>
      <c r="O233" s="367"/>
      <c r="P233" s="367"/>
      <c r="Q233" s="367"/>
      <c r="R233" s="367"/>
      <c r="S233" s="367"/>
      <c r="T233" s="367"/>
      <c r="U233" s="367"/>
      <c r="V233" s="367"/>
      <c r="W233" s="367"/>
      <c r="X233" s="367"/>
      <c r="Y233" s="367"/>
      <c r="Z233" s="367"/>
      <c r="AA233" s="367"/>
      <c r="AB233" s="367"/>
      <c r="AC233" s="367"/>
      <c r="AD233" s="367"/>
      <c r="AE233" s="367"/>
      <c r="AF233" s="367"/>
    </row>
    <row r="234" ht="15.75" customHeight="1">
      <c r="A234" s="359"/>
      <c r="B234" s="361"/>
      <c r="C234" s="361"/>
      <c r="D234" s="361"/>
      <c r="E234" s="367"/>
      <c r="F234" s="367"/>
      <c r="G234" s="367"/>
      <c r="H234" s="367"/>
      <c r="I234" s="367"/>
      <c r="J234" s="367"/>
      <c r="K234" s="367"/>
      <c r="L234" s="367"/>
      <c r="M234" s="367"/>
      <c r="N234" s="367"/>
      <c r="O234" s="367"/>
      <c r="P234" s="367"/>
      <c r="Q234" s="367"/>
      <c r="R234" s="367"/>
      <c r="S234" s="367"/>
      <c r="T234" s="367"/>
      <c r="U234" s="367"/>
      <c r="V234" s="367"/>
      <c r="W234" s="367"/>
      <c r="X234" s="367"/>
      <c r="Y234" s="367"/>
      <c r="Z234" s="367"/>
      <c r="AA234" s="367"/>
      <c r="AB234" s="367"/>
      <c r="AC234" s="367"/>
      <c r="AD234" s="367"/>
      <c r="AE234" s="367"/>
      <c r="AF234" s="367"/>
    </row>
    <row r="235" ht="15.75" customHeight="1">
      <c r="A235" s="359"/>
      <c r="B235" s="361"/>
      <c r="C235" s="361"/>
      <c r="D235" s="361"/>
      <c r="E235" s="367"/>
      <c r="F235" s="367"/>
      <c r="G235" s="367"/>
      <c r="H235" s="367"/>
      <c r="I235" s="367"/>
      <c r="J235" s="367"/>
      <c r="K235" s="367"/>
      <c r="L235" s="367"/>
      <c r="M235" s="367"/>
      <c r="N235" s="367"/>
      <c r="O235" s="367"/>
      <c r="P235" s="367"/>
      <c r="Q235" s="367"/>
      <c r="R235" s="367"/>
      <c r="S235" s="367"/>
      <c r="T235" s="367"/>
      <c r="U235" s="367"/>
      <c r="V235" s="367"/>
      <c r="W235" s="367"/>
      <c r="X235" s="367"/>
      <c r="Y235" s="367"/>
      <c r="Z235" s="367"/>
      <c r="AA235" s="367"/>
      <c r="AB235" s="367"/>
      <c r="AC235" s="367"/>
      <c r="AD235" s="367"/>
      <c r="AE235" s="367"/>
      <c r="AF235" s="367"/>
    </row>
    <row r="236" ht="15.75" customHeight="1">
      <c r="A236" s="359"/>
      <c r="B236" s="361"/>
      <c r="C236" s="361"/>
      <c r="D236" s="361"/>
      <c r="E236" s="367"/>
      <c r="F236" s="367"/>
      <c r="G236" s="367"/>
      <c r="H236" s="367"/>
      <c r="I236" s="367"/>
      <c r="J236" s="367"/>
      <c r="K236" s="367"/>
      <c r="L236" s="367"/>
      <c r="M236" s="367"/>
      <c r="N236" s="367"/>
      <c r="O236" s="367"/>
      <c r="P236" s="367"/>
      <c r="Q236" s="367"/>
      <c r="R236" s="367"/>
      <c r="S236" s="367"/>
      <c r="T236" s="367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  <c r="AE236" s="367"/>
      <c r="AF236" s="367"/>
    </row>
    <row r="237" ht="15.75" customHeight="1">
      <c r="A237" s="359"/>
      <c r="B237" s="361"/>
      <c r="C237" s="361"/>
      <c r="D237" s="361"/>
      <c r="E237" s="367"/>
      <c r="F237" s="367"/>
      <c r="G237" s="367"/>
      <c r="H237" s="367"/>
      <c r="I237" s="367"/>
      <c r="J237" s="367"/>
      <c r="K237" s="367"/>
      <c r="L237" s="367"/>
      <c r="M237" s="367"/>
      <c r="N237" s="367"/>
      <c r="O237" s="367"/>
      <c r="P237" s="367"/>
      <c r="Q237" s="367"/>
      <c r="R237" s="367"/>
      <c r="S237" s="367"/>
      <c r="T237" s="367"/>
      <c r="U237" s="367"/>
      <c r="V237" s="367"/>
      <c r="W237" s="367"/>
      <c r="X237" s="367"/>
      <c r="Y237" s="367"/>
      <c r="Z237" s="367"/>
      <c r="AA237" s="367"/>
      <c r="AB237" s="367"/>
      <c r="AC237" s="367"/>
      <c r="AD237" s="367"/>
      <c r="AE237" s="367"/>
      <c r="AF237" s="367"/>
    </row>
    <row r="238" ht="15.75" customHeight="1">
      <c r="A238" s="359"/>
      <c r="B238" s="361"/>
      <c r="C238" s="361"/>
      <c r="D238" s="361"/>
      <c r="E238" s="367"/>
      <c r="F238" s="367"/>
      <c r="G238" s="367"/>
      <c r="H238" s="367"/>
      <c r="I238" s="367"/>
      <c r="J238" s="367"/>
      <c r="K238" s="367"/>
      <c r="L238" s="367"/>
      <c r="M238" s="367"/>
      <c r="N238" s="367"/>
      <c r="O238" s="367"/>
      <c r="P238" s="367"/>
      <c r="Q238" s="367"/>
      <c r="R238" s="367"/>
      <c r="S238" s="367"/>
      <c r="T238" s="367"/>
      <c r="U238" s="367"/>
      <c r="V238" s="367"/>
      <c r="W238" s="367"/>
      <c r="X238" s="367"/>
      <c r="Y238" s="367"/>
      <c r="Z238" s="367"/>
      <c r="AA238" s="367"/>
      <c r="AB238" s="367"/>
      <c r="AC238" s="367"/>
      <c r="AD238" s="367"/>
      <c r="AE238" s="367"/>
      <c r="AF238" s="367"/>
    </row>
    <row r="239" ht="15.75" customHeight="1">
      <c r="A239" s="359"/>
      <c r="B239" s="361"/>
      <c r="C239" s="361"/>
      <c r="D239" s="361"/>
      <c r="E239" s="367"/>
      <c r="F239" s="367"/>
      <c r="G239" s="367"/>
      <c r="H239" s="367"/>
      <c r="I239" s="367"/>
      <c r="J239" s="367"/>
      <c r="K239" s="367"/>
      <c r="L239" s="367"/>
      <c r="M239" s="367"/>
      <c r="N239" s="367"/>
      <c r="O239" s="367"/>
      <c r="P239" s="367"/>
      <c r="Q239" s="367"/>
      <c r="R239" s="367"/>
      <c r="S239" s="367"/>
      <c r="T239" s="367"/>
      <c r="U239" s="367"/>
      <c r="V239" s="367"/>
      <c r="W239" s="367"/>
      <c r="X239" s="367"/>
      <c r="Y239" s="367"/>
      <c r="Z239" s="367"/>
      <c r="AA239" s="367"/>
      <c r="AB239" s="367"/>
      <c r="AC239" s="367"/>
      <c r="AD239" s="367"/>
      <c r="AE239" s="367"/>
      <c r="AF239" s="367"/>
    </row>
    <row r="240" ht="15.75" customHeight="1">
      <c r="A240" s="359"/>
      <c r="B240" s="361"/>
      <c r="C240" s="361"/>
      <c r="D240" s="361"/>
      <c r="E240" s="367"/>
      <c r="F240" s="367"/>
      <c r="G240" s="367"/>
      <c r="H240" s="367"/>
      <c r="I240" s="367"/>
      <c r="J240" s="367"/>
      <c r="K240" s="367"/>
      <c r="L240" s="367"/>
      <c r="M240" s="367"/>
      <c r="N240" s="367"/>
      <c r="O240" s="367"/>
      <c r="P240" s="367"/>
      <c r="Q240" s="367"/>
      <c r="R240" s="367"/>
      <c r="S240" s="367"/>
      <c r="T240" s="367"/>
      <c r="U240" s="367"/>
      <c r="V240" s="367"/>
      <c r="W240" s="367"/>
      <c r="X240" s="367"/>
      <c r="Y240" s="367"/>
      <c r="Z240" s="367"/>
      <c r="AA240" s="367"/>
      <c r="AB240" s="367"/>
      <c r="AC240" s="367"/>
      <c r="AD240" s="367"/>
      <c r="AE240" s="367"/>
      <c r="AF240" s="367"/>
    </row>
    <row r="241" ht="15.75" customHeight="1">
      <c r="A241" s="359"/>
      <c r="B241" s="361"/>
      <c r="C241" s="361"/>
      <c r="D241" s="361"/>
      <c r="E241" s="367"/>
      <c r="F241" s="367"/>
      <c r="G241" s="367"/>
      <c r="H241" s="367"/>
      <c r="I241" s="367"/>
      <c r="J241" s="367"/>
      <c r="K241" s="367"/>
      <c r="L241" s="367"/>
      <c r="M241" s="367"/>
      <c r="N241" s="367"/>
      <c r="O241" s="367"/>
      <c r="P241" s="367"/>
      <c r="Q241" s="367"/>
      <c r="R241" s="367"/>
      <c r="S241" s="367"/>
      <c r="T241" s="367"/>
      <c r="U241" s="367"/>
      <c r="V241" s="367"/>
      <c r="W241" s="367"/>
      <c r="X241" s="367"/>
      <c r="Y241" s="367"/>
      <c r="Z241" s="367"/>
      <c r="AA241" s="367"/>
      <c r="AB241" s="367"/>
      <c r="AC241" s="367"/>
      <c r="AD241" s="367"/>
      <c r="AE241" s="367"/>
      <c r="AF241" s="367"/>
    </row>
    <row r="242" ht="15.75" customHeight="1">
      <c r="A242" s="359"/>
      <c r="B242" s="361"/>
      <c r="C242" s="361"/>
      <c r="D242" s="361"/>
      <c r="E242" s="367"/>
      <c r="F242" s="367"/>
      <c r="G242" s="367"/>
      <c r="H242" s="367"/>
      <c r="I242" s="367"/>
      <c r="J242" s="367"/>
      <c r="K242" s="367"/>
      <c r="L242" s="367"/>
      <c r="M242" s="367"/>
      <c r="N242" s="367"/>
      <c r="O242" s="367"/>
      <c r="P242" s="367"/>
      <c r="Q242" s="367"/>
      <c r="R242" s="367"/>
      <c r="S242" s="367"/>
      <c r="T242" s="367"/>
      <c r="U242" s="367"/>
      <c r="V242" s="367"/>
      <c r="W242" s="367"/>
      <c r="X242" s="367"/>
      <c r="Y242" s="367"/>
      <c r="Z242" s="367"/>
      <c r="AA242" s="367"/>
      <c r="AB242" s="367"/>
      <c r="AC242" s="367"/>
      <c r="AD242" s="367"/>
      <c r="AE242" s="367"/>
      <c r="AF242" s="367"/>
    </row>
    <row r="243" ht="15.75" customHeight="1">
      <c r="A243" s="359"/>
      <c r="B243" s="361"/>
      <c r="C243" s="361"/>
      <c r="D243" s="361"/>
      <c r="E243" s="367"/>
      <c r="F243" s="367"/>
      <c r="G243" s="367"/>
      <c r="H243" s="367"/>
      <c r="I243" s="367"/>
      <c r="J243" s="367"/>
      <c r="K243" s="367"/>
      <c r="L243" s="367"/>
      <c r="M243" s="367"/>
      <c r="N243" s="367"/>
      <c r="O243" s="367"/>
      <c r="P243" s="367"/>
      <c r="Q243" s="367"/>
      <c r="R243" s="367"/>
      <c r="S243" s="367"/>
      <c r="T243" s="367"/>
      <c r="U243" s="367"/>
      <c r="V243" s="367"/>
      <c r="W243" s="367"/>
      <c r="X243" s="367"/>
      <c r="Y243" s="367"/>
      <c r="Z243" s="367"/>
      <c r="AA243" s="367"/>
      <c r="AB243" s="367"/>
      <c r="AC243" s="367"/>
      <c r="AD243" s="367"/>
      <c r="AE243" s="367"/>
      <c r="AF243" s="367"/>
    </row>
    <row r="244" ht="15.75" customHeight="1">
      <c r="A244" s="359"/>
      <c r="B244" s="361"/>
      <c r="C244" s="361"/>
      <c r="D244" s="361"/>
      <c r="E244" s="367"/>
      <c r="F244" s="367"/>
      <c r="G244" s="367"/>
      <c r="H244" s="367"/>
      <c r="I244" s="367"/>
      <c r="J244" s="367"/>
      <c r="K244" s="367"/>
      <c r="L244" s="367"/>
      <c r="M244" s="367"/>
      <c r="N244" s="367"/>
      <c r="O244" s="367"/>
      <c r="P244" s="367"/>
      <c r="Q244" s="367"/>
      <c r="R244" s="367"/>
      <c r="S244" s="367"/>
      <c r="T244" s="367"/>
      <c r="U244" s="367"/>
      <c r="V244" s="367"/>
      <c r="W244" s="367"/>
      <c r="X244" s="367"/>
      <c r="Y244" s="367"/>
      <c r="Z244" s="367"/>
      <c r="AA244" s="367"/>
      <c r="AB244" s="367"/>
      <c r="AC244" s="367"/>
      <c r="AD244" s="367"/>
      <c r="AE244" s="367"/>
      <c r="AF244" s="367"/>
    </row>
    <row r="245" ht="15.75" customHeight="1">
      <c r="A245" s="359"/>
      <c r="B245" s="361"/>
      <c r="C245" s="361"/>
      <c r="D245" s="361"/>
      <c r="E245" s="367"/>
      <c r="F245" s="367"/>
      <c r="G245" s="367"/>
      <c r="H245" s="367"/>
      <c r="I245" s="367"/>
      <c r="J245" s="367"/>
      <c r="K245" s="367"/>
      <c r="L245" s="367"/>
      <c r="M245" s="367"/>
      <c r="N245" s="367"/>
      <c r="O245" s="367"/>
      <c r="P245" s="367"/>
      <c r="Q245" s="367"/>
      <c r="R245" s="367"/>
      <c r="S245" s="367"/>
      <c r="T245" s="367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  <c r="AE245" s="367"/>
      <c r="AF245" s="367"/>
    </row>
    <row r="246" ht="15.75" customHeight="1">
      <c r="A246" s="359"/>
      <c r="B246" s="361"/>
      <c r="C246" s="361"/>
      <c r="D246" s="361"/>
      <c r="E246" s="367"/>
      <c r="F246" s="367"/>
      <c r="G246" s="367"/>
      <c r="H246" s="367"/>
      <c r="I246" s="367"/>
      <c r="J246" s="367"/>
      <c r="K246" s="367"/>
      <c r="L246" s="367"/>
      <c r="M246" s="367"/>
      <c r="N246" s="367"/>
      <c r="O246" s="367"/>
      <c r="P246" s="367"/>
      <c r="Q246" s="367"/>
      <c r="R246" s="367"/>
      <c r="S246" s="367"/>
      <c r="T246" s="367"/>
      <c r="U246" s="367"/>
      <c r="V246" s="367"/>
      <c r="W246" s="367"/>
      <c r="X246" s="367"/>
      <c r="Y246" s="367"/>
      <c r="Z246" s="367"/>
      <c r="AA246" s="367"/>
      <c r="AB246" s="367"/>
      <c r="AC246" s="367"/>
      <c r="AD246" s="367"/>
      <c r="AE246" s="367"/>
      <c r="AF246" s="367"/>
    </row>
    <row r="247" ht="15.75" customHeight="1">
      <c r="A247" s="359"/>
      <c r="B247" s="361"/>
      <c r="C247" s="361"/>
      <c r="D247" s="361"/>
      <c r="E247" s="367"/>
      <c r="F247" s="367"/>
      <c r="G247" s="367"/>
      <c r="H247" s="367"/>
      <c r="I247" s="367"/>
      <c r="J247" s="367"/>
      <c r="K247" s="367"/>
      <c r="L247" s="367"/>
      <c r="M247" s="367"/>
      <c r="N247" s="367"/>
      <c r="O247" s="367"/>
      <c r="P247" s="367"/>
      <c r="Q247" s="367"/>
      <c r="R247" s="367"/>
      <c r="S247" s="367"/>
      <c r="T247" s="367"/>
      <c r="U247" s="367"/>
      <c r="V247" s="367"/>
      <c r="W247" s="367"/>
      <c r="X247" s="367"/>
      <c r="Y247" s="367"/>
      <c r="Z247" s="367"/>
      <c r="AA247" s="367"/>
      <c r="AB247" s="367"/>
      <c r="AC247" s="367"/>
      <c r="AD247" s="367"/>
      <c r="AE247" s="367"/>
      <c r="AF247" s="367"/>
    </row>
    <row r="248" ht="15.75" customHeight="1">
      <c r="A248" s="359"/>
      <c r="B248" s="361"/>
      <c r="C248" s="361"/>
      <c r="D248" s="361"/>
      <c r="E248" s="367"/>
      <c r="F248" s="367"/>
      <c r="G248" s="367"/>
      <c r="H248" s="367"/>
      <c r="I248" s="367"/>
      <c r="J248" s="367"/>
      <c r="K248" s="367"/>
      <c r="L248" s="367"/>
      <c r="M248" s="367"/>
      <c r="N248" s="367"/>
      <c r="O248" s="367"/>
      <c r="P248" s="367"/>
      <c r="Q248" s="367"/>
      <c r="R248" s="367"/>
      <c r="S248" s="367"/>
      <c r="T248" s="367"/>
      <c r="U248" s="367"/>
      <c r="V248" s="367"/>
      <c r="W248" s="367"/>
      <c r="X248" s="367"/>
      <c r="Y248" s="367"/>
      <c r="Z248" s="367"/>
      <c r="AA248" s="367"/>
      <c r="AB248" s="367"/>
      <c r="AC248" s="367"/>
      <c r="AD248" s="367"/>
      <c r="AE248" s="367"/>
      <c r="AF248" s="367"/>
    </row>
    <row r="249" ht="15.75" customHeight="1">
      <c r="A249" s="359"/>
      <c r="B249" s="361"/>
      <c r="C249" s="361"/>
      <c r="D249" s="361"/>
      <c r="E249" s="367"/>
      <c r="F249" s="367"/>
      <c r="G249" s="367"/>
      <c r="H249" s="367"/>
      <c r="I249" s="367"/>
      <c r="J249" s="367"/>
      <c r="K249" s="367"/>
      <c r="L249" s="367"/>
      <c r="M249" s="367"/>
      <c r="N249" s="367"/>
      <c r="O249" s="367"/>
      <c r="P249" s="367"/>
      <c r="Q249" s="367"/>
      <c r="R249" s="367"/>
      <c r="S249" s="367"/>
      <c r="T249" s="367"/>
      <c r="U249" s="367"/>
      <c r="V249" s="367"/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</row>
    <row r="250" ht="15.75" customHeight="1">
      <c r="A250" s="359"/>
      <c r="B250" s="361"/>
      <c r="C250" s="361"/>
      <c r="D250" s="361"/>
      <c r="E250" s="367"/>
      <c r="F250" s="367"/>
      <c r="G250" s="367"/>
      <c r="H250" s="367"/>
      <c r="I250" s="367"/>
      <c r="J250" s="367"/>
      <c r="K250" s="367"/>
      <c r="L250" s="367"/>
      <c r="M250" s="367"/>
      <c r="N250" s="367"/>
      <c r="O250" s="367"/>
      <c r="P250" s="367"/>
      <c r="Q250" s="367"/>
      <c r="R250" s="367"/>
      <c r="S250" s="367"/>
      <c r="T250" s="367"/>
      <c r="U250" s="367"/>
      <c r="V250" s="367"/>
      <c r="W250" s="367"/>
      <c r="X250" s="367"/>
      <c r="Y250" s="367"/>
      <c r="Z250" s="367"/>
      <c r="AA250" s="367"/>
      <c r="AB250" s="367"/>
      <c r="AC250" s="367"/>
      <c r="AD250" s="367"/>
      <c r="AE250" s="367"/>
      <c r="AF250" s="367"/>
    </row>
    <row r="251" ht="15.75" customHeight="1">
      <c r="A251" s="359"/>
      <c r="B251" s="361"/>
      <c r="C251" s="361"/>
      <c r="D251" s="361"/>
      <c r="E251" s="367"/>
      <c r="F251" s="367"/>
      <c r="G251" s="367"/>
      <c r="H251" s="367"/>
      <c r="I251" s="367"/>
      <c r="J251" s="367"/>
      <c r="K251" s="367"/>
      <c r="L251" s="367"/>
      <c r="M251" s="367"/>
      <c r="N251" s="367"/>
      <c r="O251" s="367"/>
      <c r="P251" s="367"/>
      <c r="Q251" s="367"/>
      <c r="R251" s="367"/>
      <c r="S251" s="367"/>
      <c r="T251" s="367"/>
      <c r="U251" s="367"/>
      <c r="V251" s="367"/>
      <c r="W251" s="367"/>
      <c r="X251" s="367"/>
      <c r="Y251" s="367"/>
      <c r="Z251" s="367"/>
      <c r="AA251" s="367"/>
      <c r="AB251" s="367"/>
      <c r="AC251" s="367"/>
      <c r="AD251" s="367"/>
      <c r="AE251" s="367"/>
      <c r="AF251" s="367"/>
    </row>
    <row r="252" ht="15.75" customHeight="1">
      <c r="A252" s="359"/>
      <c r="B252" s="361"/>
      <c r="C252" s="361"/>
      <c r="D252" s="361"/>
      <c r="E252" s="367"/>
      <c r="F252" s="367"/>
      <c r="G252" s="367"/>
      <c r="H252" s="367"/>
      <c r="I252" s="367"/>
      <c r="J252" s="367"/>
      <c r="K252" s="367"/>
      <c r="L252" s="367"/>
      <c r="M252" s="367"/>
      <c r="N252" s="367"/>
      <c r="O252" s="367"/>
      <c r="P252" s="367"/>
      <c r="Q252" s="367"/>
      <c r="R252" s="367"/>
      <c r="S252" s="367"/>
      <c r="T252" s="367"/>
      <c r="U252" s="367"/>
      <c r="V252" s="367"/>
      <c r="W252" s="367"/>
      <c r="X252" s="367"/>
      <c r="Y252" s="367"/>
      <c r="Z252" s="367"/>
      <c r="AA252" s="367"/>
      <c r="AB252" s="367"/>
      <c r="AC252" s="367"/>
      <c r="AD252" s="367"/>
      <c r="AE252" s="367"/>
      <c r="AF252" s="367"/>
    </row>
    <row r="253" ht="15.75" customHeight="1">
      <c r="A253" s="359"/>
      <c r="B253" s="361"/>
      <c r="C253" s="361"/>
      <c r="D253" s="361"/>
      <c r="E253" s="367"/>
      <c r="F253" s="367"/>
      <c r="G253" s="367"/>
      <c r="H253" s="367"/>
      <c r="I253" s="367"/>
      <c r="J253" s="367"/>
      <c r="K253" s="367"/>
      <c r="L253" s="367"/>
      <c r="M253" s="367"/>
      <c r="N253" s="367"/>
      <c r="O253" s="367"/>
      <c r="P253" s="367"/>
      <c r="Q253" s="367"/>
      <c r="R253" s="367"/>
      <c r="S253" s="367"/>
      <c r="T253" s="367"/>
      <c r="U253" s="367"/>
      <c r="V253" s="367"/>
      <c r="W253" s="367"/>
      <c r="X253" s="367"/>
      <c r="Y253" s="367"/>
      <c r="Z253" s="367"/>
      <c r="AA253" s="367"/>
      <c r="AB253" s="367"/>
      <c r="AC253" s="367"/>
      <c r="AD253" s="367"/>
      <c r="AE253" s="367"/>
      <c r="AF253" s="367"/>
    </row>
    <row r="254" ht="15.75" customHeight="1">
      <c r="A254" s="359"/>
      <c r="B254" s="361"/>
      <c r="C254" s="361"/>
      <c r="D254" s="361"/>
      <c r="E254" s="367"/>
      <c r="F254" s="367"/>
      <c r="G254" s="367"/>
      <c r="H254" s="367"/>
      <c r="I254" s="367"/>
      <c r="J254" s="367"/>
      <c r="K254" s="367"/>
      <c r="L254" s="367"/>
      <c r="M254" s="367"/>
      <c r="N254" s="367"/>
      <c r="O254" s="367"/>
      <c r="P254" s="367"/>
      <c r="Q254" s="367"/>
      <c r="R254" s="367"/>
      <c r="S254" s="367"/>
      <c r="T254" s="367"/>
      <c r="U254" s="367"/>
      <c r="V254" s="367"/>
      <c r="W254" s="367"/>
      <c r="X254" s="367"/>
      <c r="Y254" s="367"/>
      <c r="Z254" s="367"/>
      <c r="AA254" s="367"/>
      <c r="AB254" s="367"/>
      <c r="AC254" s="367"/>
      <c r="AD254" s="367"/>
      <c r="AE254" s="367"/>
      <c r="AF254" s="367"/>
    </row>
    <row r="255" ht="15.75" customHeight="1">
      <c r="A255" s="359"/>
      <c r="B255" s="361"/>
      <c r="C255" s="361"/>
      <c r="D255" s="361"/>
      <c r="E255" s="367"/>
      <c r="F255" s="367"/>
      <c r="G255" s="367"/>
      <c r="H255" s="367"/>
      <c r="I255" s="367"/>
      <c r="J255" s="367"/>
      <c r="K255" s="367"/>
      <c r="L255" s="367"/>
      <c r="M255" s="367"/>
      <c r="N255" s="367"/>
      <c r="O255" s="367"/>
      <c r="P255" s="367"/>
      <c r="Q255" s="367"/>
      <c r="R255" s="367"/>
      <c r="S255" s="367"/>
      <c r="T255" s="367"/>
      <c r="U255" s="367"/>
      <c r="V255" s="367"/>
      <c r="W255" s="367"/>
      <c r="X255" s="367"/>
      <c r="Y255" s="367"/>
      <c r="Z255" s="367"/>
      <c r="AA255" s="367"/>
      <c r="AB255" s="367"/>
      <c r="AC255" s="367"/>
      <c r="AD255" s="367"/>
      <c r="AE255" s="367"/>
      <c r="AF255" s="367"/>
    </row>
    <row r="256" ht="15.75" customHeight="1">
      <c r="A256" s="359"/>
      <c r="B256" s="361"/>
      <c r="C256" s="361"/>
      <c r="D256" s="361"/>
      <c r="E256" s="367"/>
      <c r="F256" s="367"/>
      <c r="G256" s="367"/>
      <c r="H256" s="367"/>
      <c r="I256" s="367"/>
      <c r="J256" s="367"/>
      <c r="K256" s="367"/>
      <c r="L256" s="367"/>
      <c r="M256" s="367"/>
      <c r="N256" s="367"/>
      <c r="O256" s="367"/>
      <c r="P256" s="367"/>
      <c r="Q256" s="367"/>
      <c r="R256" s="367"/>
      <c r="S256" s="367"/>
      <c r="T256" s="367"/>
      <c r="U256" s="367"/>
      <c r="V256" s="367"/>
      <c r="W256" s="367"/>
      <c r="X256" s="367"/>
      <c r="Y256" s="367"/>
      <c r="Z256" s="367"/>
      <c r="AA256" s="367"/>
      <c r="AB256" s="367"/>
      <c r="AC256" s="367"/>
      <c r="AD256" s="367"/>
      <c r="AE256" s="367"/>
      <c r="AF256" s="367"/>
    </row>
    <row r="257" ht="15.75" customHeight="1">
      <c r="A257" s="359"/>
      <c r="B257" s="361"/>
      <c r="C257" s="361"/>
      <c r="D257" s="361"/>
      <c r="E257" s="367"/>
      <c r="F257" s="367"/>
      <c r="G257" s="367"/>
      <c r="H257" s="367"/>
      <c r="I257" s="367"/>
      <c r="J257" s="367"/>
      <c r="K257" s="367"/>
      <c r="L257" s="367"/>
      <c r="M257" s="367"/>
      <c r="N257" s="367"/>
      <c r="O257" s="367"/>
      <c r="P257" s="367"/>
      <c r="Q257" s="367"/>
      <c r="R257" s="367"/>
      <c r="S257" s="367"/>
      <c r="T257" s="367"/>
      <c r="U257" s="367"/>
      <c r="V257" s="367"/>
      <c r="W257" s="367"/>
      <c r="X257" s="367"/>
      <c r="Y257" s="367"/>
      <c r="Z257" s="367"/>
      <c r="AA257" s="367"/>
      <c r="AB257" s="367"/>
      <c r="AC257" s="367"/>
      <c r="AD257" s="367"/>
      <c r="AE257" s="367"/>
      <c r="AF257" s="367"/>
    </row>
    <row r="258" ht="15.75" customHeight="1">
      <c r="A258" s="359"/>
      <c r="B258" s="361"/>
      <c r="C258" s="361"/>
      <c r="D258" s="361"/>
      <c r="E258" s="367"/>
      <c r="F258" s="367"/>
      <c r="G258" s="367"/>
      <c r="H258" s="367"/>
      <c r="I258" s="367"/>
      <c r="J258" s="367"/>
      <c r="K258" s="367"/>
      <c r="L258" s="367"/>
      <c r="M258" s="367"/>
      <c r="N258" s="367"/>
      <c r="O258" s="367"/>
      <c r="P258" s="367"/>
      <c r="Q258" s="367"/>
      <c r="R258" s="367"/>
      <c r="S258" s="367"/>
      <c r="T258" s="367"/>
      <c r="U258" s="367"/>
      <c r="V258" s="367"/>
      <c r="W258" s="367"/>
      <c r="X258" s="367"/>
      <c r="Y258" s="367"/>
      <c r="Z258" s="367"/>
      <c r="AA258" s="367"/>
      <c r="AB258" s="367"/>
      <c r="AC258" s="367"/>
      <c r="AD258" s="367"/>
      <c r="AE258" s="367"/>
      <c r="AF258" s="367"/>
    </row>
    <row r="259" ht="15.75" customHeight="1">
      <c r="A259" s="359"/>
      <c r="B259" s="361"/>
      <c r="C259" s="361"/>
      <c r="D259" s="361"/>
      <c r="E259" s="367"/>
      <c r="F259" s="367"/>
      <c r="G259" s="367"/>
      <c r="H259" s="367"/>
      <c r="I259" s="367"/>
      <c r="J259" s="367"/>
      <c r="K259" s="367"/>
      <c r="L259" s="367"/>
      <c r="M259" s="367"/>
      <c r="N259" s="367"/>
      <c r="O259" s="367"/>
      <c r="P259" s="367"/>
      <c r="Q259" s="367"/>
      <c r="R259" s="367"/>
      <c r="S259" s="367"/>
      <c r="T259" s="367"/>
      <c r="U259" s="367"/>
      <c r="V259" s="367"/>
      <c r="W259" s="367"/>
      <c r="X259" s="367"/>
      <c r="Y259" s="367"/>
      <c r="Z259" s="367"/>
      <c r="AA259" s="367"/>
      <c r="AB259" s="367"/>
      <c r="AC259" s="367"/>
      <c r="AD259" s="367"/>
      <c r="AE259" s="367"/>
      <c r="AF259" s="367"/>
    </row>
    <row r="260" ht="15.75" customHeight="1">
      <c r="A260" s="359"/>
      <c r="B260" s="361"/>
      <c r="C260" s="361"/>
      <c r="D260" s="361"/>
      <c r="E260" s="367"/>
      <c r="F260" s="367"/>
      <c r="G260" s="367"/>
      <c r="H260" s="367"/>
      <c r="I260" s="367"/>
      <c r="J260" s="367"/>
      <c r="K260" s="367"/>
      <c r="L260" s="367"/>
      <c r="M260" s="367"/>
      <c r="N260" s="367"/>
      <c r="O260" s="367"/>
      <c r="P260" s="367"/>
      <c r="Q260" s="367"/>
      <c r="R260" s="367"/>
      <c r="S260" s="367"/>
      <c r="T260" s="367"/>
      <c r="U260" s="367"/>
      <c r="V260" s="367"/>
      <c r="W260" s="367"/>
      <c r="X260" s="367"/>
      <c r="Y260" s="367"/>
      <c r="Z260" s="367"/>
      <c r="AA260" s="367"/>
      <c r="AB260" s="367"/>
      <c r="AC260" s="367"/>
      <c r="AD260" s="367"/>
      <c r="AE260" s="367"/>
      <c r="AF260" s="367"/>
    </row>
    <row r="261" ht="15.75" customHeight="1">
      <c r="A261" s="359"/>
      <c r="B261" s="361"/>
      <c r="C261" s="361"/>
      <c r="D261" s="361"/>
      <c r="E261" s="367"/>
      <c r="F261" s="367"/>
      <c r="G261" s="367"/>
      <c r="H261" s="367"/>
      <c r="I261" s="367"/>
      <c r="J261" s="367"/>
      <c r="K261" s="367"/>
      <c r="L261" s="367"/>
      <c r="M261" s="367"/>
      <c r="N261" s="367"/>
      <c r="O261" s="367"/>
      <c r="P261" s="367"/>
      <c r="Q261" s="367"/>
      <c r="R261" s="367"/>
      <c r="S261" s="367"/>
      <c r="T261" s="367"/>
      <c r="U261" s="367"/>
      <c r="V261" s="367"/>
      <c r="W261" s="367"/>
      <c r="X261" s="367"/>
      <c r="Y261" s="367"/>
      <c r="Z261" s="367"/>
      <c r="AA261" s="367"/>
      <c r="AB261" s="367"/>
      <c r="AC261" s="367"/>
      <c r="AD261" s="367"/>
      <c r="AE261" s="367"/>
      <c r="AF261" s="367"/>
    </row>
    <row r="262" ht="15.75" customHeight="1">
      <c r="A262" s="359"/>
      <c r="B262" s="361"/>
      <c r="C262" s="361"/>
      <c r="D262" s="361"/>
      <c r="E262" s="367"/>
      <c r="F262" s="367"/>
      <c r="G262" s="367"/>
      <c r="H262" s="367"/>
      <c r="I262" s="367"/>
      <c r="J262" s="367"/>
      <c r="K262" s="367"/>
      <c r="L262" s="367"/>
      <c r="M262" s="367"/>
      <c r="N262" s="367"/>
      <c r="O262" s="367"/>
      <c r="P262" s="367"/>
      <c r="Q262" s="367"/>
      <c r="R262" s="367"/>
      <c r="S262" s="367"/>
      <c r="T262" s="367"/>
      <c r="U262" s="367"/>
      <c r="V262" s="367"/>
      <c r="W262" s="367"/>
      <c r="X262" s="367"/>
      <c r="Y262" s="367"/>
      <c r="Z262" s="367"/>
      <c r="AA262" s="367"/>
      <c r="AB262" s="367"/>
      <c r="AC262" s="367"/>
      <c r="AD262" s="367"/>
      <c r="AE262" s="367"/>
      <c r="AF262" s="367"/>
    </row>
    <row r="263" ht="15.75" customHeight="1">
      <c r="A263" s="359"/>
      <c r="B263" s="361"/>
      <c r="C263" s="361"/>
      <c r="D263" s="361"/>
      <c r="E263" s="367"/>
      <c r="F263" s="367"/>
      <c r="G263" s="367"/>
      <c r="H263" s="367"/>
      <c r="I263" s="367"/>
      <c r="J263" s="367"/>
      <c r="K263" s="367"/>
      <c r="L263" s="367"/>
      <c r="M263" s="367"/>
      <c r="N263" s="367"/>
      <c r="O263" s="367"/>
      <c r="P263" s="367"/>
      <c r="Q263" s="367"/>
      <c r="R263" s="367"/>
      <c r="S263" s="367"/>
      <c r="T263" s="367"/>
      <c r="U263" s="367"/>
      <c r="V263" s="367"/>
      <c r="W263" s="367"/>
      <c r="X263" s="367"/>
      <c r="Y263" s="367"/>
      <c r="Z263" s="367"/>
      <c r="AA263" s="367"/>
      <c r="AB263" s="367"/>
      <c r="AC263" s="367"/>
      <c r="AD263" s="367"/>
      <c r="AE263" s="367"/>
      <c r="AF263" s="367"/>
    </row>
    <row r="264" ht="15.75" customHeight="1">
      <c r="A264" s="359"/>
      <c r="B264" s="361"/>
      <c r="C264" s="361"/>
      <c r="D264" s="361"/>
      <c r="E264" s="367"/>
      <c r="F264" s="367"/>
      <c r="G264" s="367"/>
      <c r="H264" s="367"/>
      <c r="I264" s="367"/>
      <c r="J264" s="367"/>
      <c r="K264" s="367"/>
      <c r="L264" s="367"/>
      <c r="M264" s="367"/>
      <c r="N264" s="367"/>
      <c r="O264" s="367"/>
      <c r="P264" s="367"/>
      <c r="Q264" s="367"/>
      <c r="R264" s="367"/>
      <c r="S264" s="367"/>
      <c r="T264" s="367"/>
      <c r="U264" s="367"/>
      <c r="V264" s="367"/>
      <c r="W264" s="367"/>
      <c r="X264" s="367"/>
      <c r="Y264" s="367"/>
      <c r="Z264" s="367"/>
      <c r="AA264" s="367"/>
      <c r="AB264" s="367"/>
      <c r="AC264" s="367"/>
      <c r="AD264" s="367"/>
      <c r="AE264" s="367"/>
      <c r="AF264" s="367"/>
    </row>
    <row r="265" ht="15.75" customHeight="1">
      <c r="A265" s="359"/>
      <c r="B265" s="361"/>
      <c r="C265" s="361"/>
      <c r="D265" s="361"/>
      <c r="E265" s="367"/>
      <c r="F265" s="367"/>
      <c r="G265" s="367"/>
      <c r="H265" s="367"/>
      <c r="I265" s="367"/>
      <c r="J265" s="367"/>
      <c r="K265" s="367"/>
      <c r="L265" s="367"/>
      <c r="M265" s="367"/>
      <c r="N265" s="367"/>
      <c r="O265" s="367"/>
      <c r="P265" s="367"/>
      <c r="Q265" s="367"/>
      <c r="R265" s="367"/>
      <c r="S265" s="367"/>
      <c r="T265" s="367"/>
      <c r="U265" s="367"/>
      <c r="V265" s="367"/>
      <c r="W265" s="367"/>
      <c r="X265" s="367"/>
      <c r="Y265" s="367"/>
      <c r="Z265" s="367"/>
      <c r="AA265" s="367"/>
      <c r="AB265" s="367"/>
      <c r="AC265" s="367"/>
      <c r="AD265" s="367"/>
      <c r="AE265" s="367"/>
      <c r="AF265" s="367"/>
    </row>
    <row r="266" ht="15.75" customHeight="1">
      <c r="A266" s="359"/>
      <c r="B266" s="361"/>
      <c r="C266" s="361"/>
      <c r="D266" s="361"/>
      <c r="E266" s="367"/>
      <c r="F266" s="367"/>
      <c r="G266" s="367"/>
      <c r="H266" s="367"/>
      <c r="I266" s="367"/>
      <c r="J266" s="367"/>
      <c r="K266" s="367"/>
      <c r="L266" s="367"/>
      <c r="M266" s="367"/>
      <c r="N266" s="367"/>
      <c r="O266" s="367"/>
      <c r="P266" s="367"/>
      <c r="Q266" s="367"/>
      <c r="R266" s="367"/>
      <c r="S266" s="367"/>
      <c r="T266" s="367"/>
      <c r="U266" s="367"/>
      <c r="V266" s="367"/>
      <c r="W266" s="367"/>
      <c r="X266" s="367"/>
      <c r="Y266" s="367"/>
      <c r="Z266" s="367"/>
      <c r="AA266" s="367"/>
      <c r="AB266" s="367"/>
      <c r="AC266" s="367"/>
      <c r="AD266" s="367"/>
      <c r="AE266" s="367"/>
      <c r="AF266" s="367"/>
    </row>
    <row r="267" ht="15.75" customHeight="1">
      <c r="A267" s="359"/>
      <c r="B267" s="361"/>
      <c r="C267" s="361"/>
      <c r="D267" s="361"/>
      <c r="E267" s="367"/>
      <c r="F267" s="367"/>
      <c r="G267" s="367"/>
      <c r="H267" s="367"/>
      <c r="I267" s="367"/>
      <c r="J267" s="367"/>
      <c r="K267" s="367"/>
      <c r="L267" s="367"/>
      <c r="M267" s="367"/>
      <c r="N267" s="367"/>
      <c r="O267" s="367"/>
      <c r="P267" s="367"/>
      <c r="Q267" s="367"/>
      <c r="R267" s="367"/>
      <c r="S267" s="367"/>
      <c r="T267" s="367"/>
      <c r="U267" s="367"/>
      <c r="V267" s="367"/>
      <c r="W267" s="367"/>
      <c r="X267" s="367"/>
      <c r="Y267" s="367"/>
      <c r="Z267" s="367"/>
      <c r="AA267" s="367"/>
      <c r="AB267" s="367"/>
      <c r="AC267" s="367"/>
      <c r="AD267" s="367"/>
      <c r="AE267" s="367"/>
      <c r="AF267" s="367"/>
    </row>
    <row r="268" ht="15.75" customHeight="1">
      <c r="A268" s="359"/>
      <c r="B268" s="361"/>
      <c r="C268" s="361"/>
      <c r="D268" s="361"/>
      <c r="E268" s="367"/>
      <c r="F268" s="367"/>
      <c r="G268" s="367"/>
      <c r="H268" s="367"/>
      <c r="I268" s="367"/>
      <c r="J268" s="367"/>
      <c r="K268" s="367"/>
      <c r="L268" s="367"/>
      <c r="M268" s="367"/>
      <c r="N268" s="367"/>
      <c r="O268" s="367"/>
      <c r="P268" s="367"/>
      <c r="Q268" s="367"/>
      <c r="R268" s="367"/>
      <c r="S268" s="367"/>
      <c r="T268" s="367"/>
      <c r="U268" s="367"/>
      <c r="V268" s="367"/>
      <c r="W268" s="367"/>
      <c r="X268" s="367"/>
      <c r="Y268" s="367"/>
      <c r="Z268" s="367"/>
      <c r="AA268" s="367"/>
      <c r="AB268" s="367"/>
      <c r="AC268" s="367"/>
      <c r="AD268" s="367"/>
      <c r="AE268" s="367"/>
      <c r="AF268" s="367"/>
    </row>
    <row r="269" ht="15.75" customHeight="1">
      <c r="A269" s="359"/>
      <c r="B269" s="361"/>
      <c r="C269" s="361"/>
      <c r="D269" s="361"/>
      <c r="E269" s="367"/>
      <c r="F269" s="367"/>
      <c r="G269" s="367"/>
      <c r="H269" s="367"/>
      <c r="I269" s="367"/>
      <c r="J269" s="367"/>
      <c r="K269" s="367"/>
      <c r="L269" s="367"/>
      <c r="M269" s="367"/>
      <c r="N269" s="367"/>
      <c r="O269" s="367"/>
      <c r="P269" s="367"/>
      <c r="Q269" s="367"/>
      <c r="R269" s="367"/>
      <c r="S269" s="367"/>
      <c r="T269" s="367"/>
      <c r="U269" s="367"/>
      <c r="V269" s="367"/>
      <c r="W269" s="367"/>
      <c r="X269" s="367"/>
      <c r="Y269" s="367"/>
      <c r="Z269" s="367"/>
      <c r="AA269" s="367"/>
      <c r="AB269" s="367"/>
      <c r="AC269" s="367"/>
      <c r="AD269" s="367"/>
      <c r="AE269" s="367"/>
      <c r="AF269" s="367"/>
    </row>
    <row r="270" ht="15.75" customHeight="1">
      <c r="A270" s="359"/>
      <c r="B270" s="361"/>
      <c r="C270" s="361"/>
      <c r="D270" s="361"/>
      <c r="E270" s="367"/>
      <c r="F270" s="367"/>
      <c r="G270" s="367"/>
      <c r="H270" s="367"/>
      <c r="I270" s="367"/>
      <c r="J270" s="367"/>
      <c r="K270" s="367"/>
      <c r="L270" s="367"/>
      <c r="M270" s="367"/>
      <c r="N270" s="367"/>
      <c r="O270" s="367"/>
      <c r="P270" s="367"/>
      <c r="Q270" s="367"/>
      <c r="R270" s="367"/>
      <c r="S270" s="367"/>
      <c r="T270" s="367"/>
      <c r="U270" s="367"/>
      <c r="V270" s="367"/>
      <c r="W270" s="367"/>
      <c r="X270" s="367"/>
      <c r="Y270" s="367"/>
      <c r="Z270" s="367"/>
      <c r="AA270" s="367"/>
      <c r="AB270" s="367"/>
      <c r="AC270" s="367"/>
      <c r="AD270" s="367"/>
      <c r="AE270" s="367"/>
      <c r="AF270" s="367"/>
    </row>
    <row r="271" ht="15.75" customHeight="1">
      <c r="A271" s="359"/>
      <c r="B271" s="361"/>
      <c r="C271" s="361"/>
      <c r="D271" s="361"/>
      <c r="E271" s="367"/>
      <c r="F271" s="367"/>
      <c r="G271" s="367"/>
      <c r="H271" s="367"/>
      <c r="I271" s="367"/>
      <c r="J271" s="367"/>
      <c r="K271" s="367"/>
      <c r="L271" s="367"/>
      <c r="M271" s="367"/>
      <c r="N271" s="367"/>
      <c r="O271" s="367"/>
      <c r="P271" s="367"/>
      <c r="Q271" s="367"/>
      <c r="R271" s="367"/>
      <c r="S271" s="367"/>
      <c r="T271" s="367"/>
      <c r="U271" s="367"/>
      <c r="V271" s="367"/>
      <c r="W271" s="367"/>
      <c r="X271" s="367"/>
      <c r="Y271" s="367"/>
      <c r="Z271" s="367"/>
      <c r="AA271" s="367"/>
      <c r="AB271" s="367"/>
      <c r="AC271" s="367"/>
      <c r="AD271" s="367"/>
      <c r="AE271" s="367"/>
      <c r="AF271" s="367"/>
    </row>
    <row r="272" ht="15.75" customHeight="1">
      <c r="A272" s="359"/>
      <c r="B272" s="361"/>
      <c r="C272" s="361"/>
      <c r="D272" s="361"/>
      <c r="E272" s="367"/>
      <c r="F272" s="367"/>
      <c r="G272" s="367"/>
      <c r="H272" s="367"/>
      <c r="I272" s="367"/>
      <c r="J272" s="367"/>
      <c r="K272" s="367"/>
      <c r="L272" s="367"/>
      <c r="M272" s="367"/>
      <c r="N272" s="367"/>
      <c r="O272" s="367"/>
      <c r="P272" s="367"/>
      <c r="Q272" s="367"/>
      <c r="R272" s="367"/>
      <c r="S272" s="367"/>
      <c r="T272" s="367"/>
      <c r="U272" s="367"/>
      <c r="V272" s="367"/>
      <c r="W272" s="367"/>
      <c r="X272" s="367"/>
      <c r="Y272" s="367"/>
      <c r="Z272" s="367"/>
      <c r="AA272" s="367"/>
      <c r="AB272" s="367"/>
      <c r="AC272" s="367"/>
      <c r="AD272" s="367"/>
      <c r="AE272" s="367"/>
      <c r="AF272" s="367"/>
    </row>
    <row r="273" ht="15.75" customHeight="1">
      <c r="A273" s="359"/>
      <c r="B273" s="361"/>
      <c r="C273" s="361"/>
      <c r="D273" s="361"/>
      <c r="E273" s="367"/>
      <c r="F273" s="367"/>
      <c r="G273" s="367"/>
      <c r="H273" s="367"/>
      <c r="I273" s="367"/>
      <c r="J273" s="367"/>
      <c r="K273" s="367"/>
      <c r="L273" s="367"/>
      <c r="M273" s="367"/>
      <c r="N273" s="367"/>
      <c r="O273" s="367"/>
      <c r="P273" s="367"/>
      <c r="Q273" s="367"/>
      <c r="R273" s="367"/>
      <c r="S273" s="367"/>
      <c r="T273" s="367"/>
      <c r="U273" s="367"/>
      <c r="V273" s="367"/>
      <c r="W273" s="367"/>
      <c r="X273" s="367"/>
      <c r="Y273" s="367"/>
      <c r="Z273" s="367"/>
      <c r="AA273" s="367"/>
      <c r="AB273" s="367"/>
      <c r="AC273" s="367"/>
      <c r="AD273" s="367"/>
      <c r="AE273" s="367"/>
      <c r="AF273" s="367"/>
    </row>
    <row r="274" ht="15.75" customHeight="1">
      <c r="A274" s="359"/>
      <c r="B274" s="361"/>
      <c r="C274" s="361"/>
      <c r="D274" s="361"/>
      <c r="E274" s="367"/>
      <c r="F274" s="367"/>
      <c r="G274" s="367"/>
      <c r="H274" s="367"/>
      <c r="I274" s="367"/>
      <c r="J274" s="367"/>
      <c r="K274" s="367"/>
      <c r="L274" s="367"/>
      <c r="M274" s="367"/>
      <c r="N274" s="367"/>
      <c r="O274" s="367"/>
      <c r="P274" s="367"/>
      <c r="Q274" s="367"/>
      <c r="R274" s="367"/>
      <c r="S274" s="367"/>
      <c r="T274" s="367"/>
      <c r="U274" s="367"/>
      <c r="V274" s="367"/>
      <c r="W274" s="367"/>
      <c r="X274" s="367"/>
      <c r="Y274" s="367"/>
      <c r="Z274" s="367"/>
      <c r="AA274" s="367"/>
      <c r="AB274" s="367"/>
      <c r="AC274" s="367"/>
      <c r="AD274" s="367"/>
      <c r="AE274" s="367"/>
      <c r="AF274" s="367"/>
    </row>
    <row r="275" ht="15.75" customHeight="1">
      <c r="A275" s="359"/>
      <c r="B275" s="361"/>
      <c r="C275" s="361"/>
      <c r="D275" s="361"/>
      <c r="E275" s="367"/>
      <c r="F275" s="367"/>
      <c r="G275" s="367"/>
      <c r="H275" s="367"/>
      <c r="I275" s="367"/>
      <c r="J275" s="367"/>
      <c r="K275" s="367"/>
      <c r="L275" s="367"/>
      <c r="M275" s="367"/>
      <c r="N275" s="367"/>
      <c r="O275" s="367"/>
      <c r="P275" s="367"/>
      <c r="Q275" s="367"/>
      <c r="R275" s="367"/>
      <c r="S275" s="367"/>
      <c r="T275" s="367"/>
      <c r="U275" s="367"/>
      <c r="V275" s="367"/>
      <c r="W275" s="367"/>
      <c r="X275" s="367"/>
      <c r="Y275" s="367"/>
      <c r="Z275" s="367"/>
      <c r="AA275" s="367"/>
      <c r="AB275" s="367"/>
      <c r="AC275" s="367"/>
      <c r="AD275" s="367"/>
      <c r="AE275" s="367"/>
      <c r="AF275" s="367"/>
    </row>
    <row r="276" ht="15.75" customHeight="1">
      <c r="A276" s="359"/>
      <c r="B276" s="361"/>
      <c r="C276" s="361"/>
      <c r="D276" s="361"/>
      <c r="E276" s="367"/>
      <c r="F276" s="367"/>
      <c r="G276" s="367"/>
      <c r="H276" s="367"/>
      <c r="I276" s="367"/>
      <c r="J276" s="367"/>
      <c r="K276" s="367"/>
      <c r="L276" s="367"/>
      <c r="M276" s="367"/>
      <c r="N276" s="367"/>
      <c r="O276" s="367"/>
      <c r="P276" s="367"/>
      <c r="Q276" s="367"/>
      <c r="R276" s="367"/>
      <c r="S276" s="367"/>
      <c r="T276" s="367"/>
      <c r="U276" s="367"/>
      <c r="V276" s="367"/>
      <c r="W276" s="367"/>
      <c r="X276" s="367"/>
      <c r="Y276" s="367"/>
      <c r="Z276" s="367"/>
      <c r="AA276" s="367"/>
      <c r="AB276" s="367"/>
      <c r="AC276" s="367"/>
      <c r="AD276" s="367"/>
      <c r="AE276" s="367"/>
      <c r="AF276" s="367"/>
    </row>
    <row r="277" ht="15.75" customHeight="1">
      <c r="A277" s="359"/>
      <c r="B277" s="361"/>
      <c r="C277" s="361"/>
      <c r="D277" s="361"/>
      <c r="E277" s="367"/>
      <c r="F277" s="367"/>
      <c r="G277" s="367"/>
      <c r="H277" s="367"/>
      <c r="I277" s="367"/>
      <c r="J277" s="367"/>
      <c r="K277" s="367"/>
      <c r="L277" s="367"/>
      <c r="M277" s="367"/>
      <c r="N277" s="367"/>
      <c r="O277" s="367"/>
      <c r="P277" s="367"/>
      <c r="Q277" s="367"/>
      <c r="R277" s="367"/>
      <c r="S277" s="367"/>
      <c r="T277" s="367"/>
      <c r="U277" s="367"/>
      <c r="V277" s="367"/>
      <c r="W277" s="367"/>
      <c r="X277" s="367"/>
      <c r="Y277" s="367"/>
      <c r="Z277" s="367"/>
      <c r="AA277" s="367"/>
      <c r="AB277" s="367"/>
      <c r="AC277" s="367"/>
      <c r="AD277" s="367"/>
      <c r="AE277" s="367"/>
      <c r="AF277" s="367"/>
    </row>
    <row r="278" ht="15.75" customHeight="1">
      <c r="A278" s="359"/>
      <c r="B278" s="361"/>
      <c r="C278" s="361"/>
      <c r="D278" s="361"/>
      <c r="E278" s="367"/>
      <c r="F278" s="367"/>
      <c r="G278" s="367"/>
      <c r="H278" s="367"/>
      <c r="I278" s="367"/>
      <c r="J278" s="367"/>
      <c r="K278" s="367"/>
      <c r="L278" s="367"/>
      <c r="M278" s="367"/>
      <c r="N278" s="367"/>
      <c r="O278" s="367"/>
      <c r="P278" s="367"/>
      <c r="Q278" s="367"/>
      <c r="R278" s="367"/>
      <c r="S278" s="367"/>
      <c r="T278" s="367"/>
      <c r="U278" s="367"/>
      <c r="V278" s="367"/>
      <c r="W278" s="367"/>
      <c r="X278" s="367"/>
      <c r="Y278" s="367"/>
      <c r="Z278" s="367"/>
      <c r="AA278" s="367"/>
      <c r="AB278" s="367"/>
      <c r="AC278" s="367"/>
      <c r="AD278" s="367"/>
      <c r="AE278" s="367"/>
      <c r="AF278" s="367"/>
    </row>
    <row r="279" ht="15.75" customHeight="1">
      <c r="A279" s="359"/>
      <c r="B279" s="361"/>
      <c r="C279" s="361"/>
      <c r="D279" s="361"/>
      <c r="E279" s="367"/>
      <c r="F279" s="367"/>
      <c r="G279" s="367"/>
      <c r="H279" s="367"/>
      <c r="I279" s="367"/>
      <c r="J279" s="367"/>
      <c r="K279" s="367"/>
      <c r="L279" s="367"/>
      <c r="M279" s="367"/>
      <c r="N279" s="367"/>
      <c r="O279" s="367"/>
      <c r="P279" s="367"/>
      <c r="Q279" s="367"/>
      <c r="R279" s="367"/>
      <c r="S279" s="367"/>
      <c r="T279" s="367"/>
      <c r="U279" s="367"/>
      <c r="V279" s="367"/>
      <c r="W279" s="367"/>
      <c r="X279" s="367"/>
      <c r="Y279" s="367"/>
      <c r="Z279" s="367"/>
      <c r="AA279" s="367"/>
      <c r="AB279" s="367"/>
      <c r="AC279" s="367"/>
      <c r="AD279" s="367"/>
      <c r="AE279" s="367"/>
      <c r="AF279" s="367"/>
    </row>
    <row r="280" ht="15.75" customHeight="1">
      <c r="A280" s="359"/>
      <c r="B280" s="361"/>
      <c r="C280" s="361"/>
      <c r="D280" s="361"/>
      <c r="E280" s="367"/>
      <c r="F280" s="367"/>
      <c r="G280" s="367"/>
      <c r="H280" s="367"/>
      <c r="I280" s="367"/>
      <c r="J280" s="367"/>
      <c r="K280" s="367"/>
      <c r="L280" s="367"/>
      <c r="M280" s="367"/>
      <c r="N280" s="367"/>
      <c r="O280" s="367"/>
      <c r="P280" s="367"/>
      <c r="Q280" s="367"/>
      <c r="R280" s="367"/>
      <c r="S280" s="367"/>
      <c r="T280" s="367"/>
      <c r="U280" s="367"/>
      <c r="V280" s="367"/>
      <c r="W280" s="367"/>
      <c r="X280" s="367"/>
      <c r="Y280" s="367"/>
      <c r="Z280" s="367"/>
      <c r="AA280" s="367"/>
      <c r="AB280" s="367"/>
      <c r="AC280" s="367"/>
      <c r="AD280" s="367"/>
      <c r="AE280" s="367"/>
      <c r="AF280" s="367"/>
    </row>
    <row r="281" ht="15.75" customHeight="1">
      <c r="A281" s="359"/>
      <c r="B281" s="361"/>
      <c r="C281" s="361"/>
      <c r="D281" s="361"/>
      <c r="E281" s="367"/>
      <c r="F281" s="367"/>
      <c r="G281" s="367"/>
      <c r="H281" s="367"/>
      <c r="I281" s="367"/>
      <c r="J281" s="367"/>
      <c r="K281" s="367"/>
      <c r="L281" s="367"/>
      <c r="M281" s="367"/>
      <c r="N281" s="367"/>
      <c r="O281" s="367"/>
      <c r="P281" s="367"/>
      <c r="Q281" s="367"/>
      <c r="R281" s="367"/>
      <c r="S281" s="367"/>
      <c r="T281" s="367"/>
      <c r="U281" s="367"/>
      <c r="V281" s="367"/>
      <c r="W281" s="367"/>
      <c r="X281" s="367"/>
      <c r="Y281" s="367"/>
      <c r="Z281" s="367"/>
      <c r="AA281" s="367"/>
      <c r="AB281" s="367"/>
      <c r="AC281" s="367"/>
      <c r="AD281" s="367"/>
      <c r="AE281" s="367"/>
      <c r="AF281" s="367"/>
    </row>
    <row r="282" ht="15.75" customHeight="1">
      <c r="A282" s="359"/>
      <c r="B282" s="361"/>
      <c r="C282" s="361"/>
      <c r="D282" s="361"/>
      <c r="E282" s="367"/>
      <c r="F282" s="367"/>
      <c r="G282" s="367"/>
      <c r="H282" s="367"/>
      <c r="I282" s="367"/>
      <c r="J282" s="367"/>
      <c r="K282" s="367"/>
      <c r="L282" s="367"/>
      <c r="M282" s="367"/>
      <c r="N282" s="367"/>
      <c r="O282" s="367"/>
      <c r="P282" s="367"/>
      <c r="Q282" s="367"/>
      <c r="R282" s="367"/>
      <c r="S282" s="367"/>
      <c r="T282" s="367"/>
      <c r="U282" s="367"/>
      <c r="V282" s="367"/>
      <c r="W282" s="367"/>
      <c r="X282" s="367"/>
      <c r="Y282" s="367"/>
      <c r="Z282" s="367"/>
      <c r="AA282" s="367"/>
      <c r="AB282" s="367"/>
      <c r="AC282" s="367"/>
      <c r="AD282" s="367"/>
      <c r="AE282" s="367"/>
      <c r="AF282" s="367"/>
    </row>
    <row r="283" ht="15.75" customHeight="1">
      <c r="A283" s="359"/>
      <c r="B283" s="361"/>
      <c r="C283" s="361"/>
      <c r="D283" s="361"/>
      <c r="E283" s="367"/>
      <c r="F283" s="367"/>
      <c r="G283" s="367"/>
      <c r="H283" s="367"/>
      <c r="I283" s="367"/>
      <c r="J283" s="367"/>
      <c r="K283" s="367"/>
      <c r="L283" s="367"/>
      <c r="M283" s="367"/>
      <c r="N283" s="367"/>
      <c r="O283" s="367"/>
      <c r="P283" s="367"/>
      <c r="Q283" s="367"/>
      <c r="R283" s="367"/>
      <c r="S283" s="367"/>
      <c r="T283" s="367"/>
      <c r="U283" s="367"/>
      <c r="V283" s="367"/>
      <c r="W283" s="367"/>
      <c r="X283" s="367"/>
      <c r="Y283" s="367"/>
      <c r="Z283" s="367"/>
      <c r="AA283" s="367"/>
      <c r="AB283" s="367"/>
      <c r="AC283" s="367"/>
      <c r="AD283" s="367"/>
      <c r="AE283" s="367"/>
      <c r="AF283" s="367"/>
    </row>
    <row r="284" ht="15.75" customHeight="1">
      <c r="A284" s="359"/>
      <c r="B284" s="361"/>
      <c r="C284" s="361"/>
      <c r="D284" s="361"/>
      <c r="E284" s="367"/>
      <c r="F284" s="367"/>
      <c r="G284" s="367"/>
      <c r="H284" s="367"/>
      <c r="I284" s="367"/>
      <c r="J284" s="367"/>
      <c r="K284" s="367"/>
      <c r="L284" s="367"/>
      <c r="M284" s="367"/>
      <c r="N284" s="367"/>
      <c r="O284" s="367"/>
      <c r="P284" s="367"/>
      <c r="Q284" s="367"/>
      <c r="R284" s="367"/>
      <c r="S284" s="367"/>
      <c r="T284" s="367"/>
      <c r="U284" s="367"/>
      <c r="V284" s="367"/>
      <c r="W284" s="367"/>
      <c r="X284" s="367"/>
      <c r="Y284" s="367"/>
      <c r="Z284" s="367"/>
      <c r="AA284" s="367"/>
      <c r="AB284" s="367"/>
      <c r="AC284" s="367"/>
      <c r="AD284" s="367"/>
      <c r="AE284" s="367"/>
      <c r="AF284" s="367"/>
    </row>
    <row r="285" ht="15.75" customHeight="1">
      <c r="A285" s="359"/>
      <c r="B285" s="361"/>
      <c r="C285" s="361"/>
      <c r="D285" s="361"/>
      <c r="E285" s="367"/>
      <c r="F285" s="367"/>
      <c r="G285" s="367"/>
      <c r="H285" s="367"/>
      <c r="I285" s="367"/>
      <c r="J285" s="367"/>
      <c r="K285" s="367"/>
      <c r="L285" s="367"/>
      <c r="M285" s="367"/>
      <c r="N285" s="367"/>
      <c r="O285" s="367"/>
      <c r="P285" s="367"/>
      <c r="Q285" s="367"/>
      <c r="R285" s="367"/>
      <c r="S285" s="367"/>
      <c r="T285" s="367"/>
      <c r="U285" s="367"/>
      <c r="V285" s="367"/>
      <c r="W285" s="367"/>
      <c r="X285" s="367"/>
      <c r="Y285" s="367"/>
      <c r="Z285" s="367"/>
      <c r="AA285" s="367"/>
      <c r="AB285" s="367"/>
      <c r="AC285" s="367"/>
      <c r="AD285" s="367"/>
      <c r="AE285" s="367"/>
      <c r="AF285" s="367"/>
    </row>
    <row r="286" ht="15.75" customHeight="1">
      <c r="A286" s="359"/>
      <c r="B286" s="361"/>
      <c r="C286" s="361"/>
      <c r="D286" s="361"/>
      <c r="E286" s="367"/>
      <c r="F286" s="367"/>
      <c r="G286" s="367"/>
      <c r="H286" s="367"/>
      <c r="I286" s="367"/>
      <c r="J286" s="367"/>
      <c r="K286" s="367"/>
      <c r="L286" s="367"/>
      <c r="M286" s="367"/>
      <c r="N286" s="367"/>
      <c r="O286" s="367"/>
      <c r="P286" s="367"/>
      <c r="Q286" s="367"/>
      <c r="R286" s="367"/>
      <c r="S286" s="367"/>
      <c r="T286" s="367"/>
      <c r="U286" s="367"/>
      <c r="V286" s="367"/>
      <c r="W286" s="367"/>
      <c r="X286" s="367"/>
      <c r="Y286" s="367"/>
      <c r="Z286" s="367"/>
      <c r="AA286" s="367"/>
      <c r="AB286" s="367"/>
      <c r="AC286" s="367"/>
      <c r="AD286" s="367"/>
      <c r="AE286" s="367"/>
      <c r="AF286" s="367"/>
    </row>
    <row r="287" ht="15.75" customHeight="1">
      <c r="A287" s="359"/>
      <c r="B287" s="361"/>
      <c r="C287" s="361"/>
      <c r="D287" s="361"/>
      <c r="E287" s="367"/>
      <c r="F287" s="367"/>
      <c r="G287" s="367"/>
      <c r="H287" s="367"/>
      <c r="I287" s="367"/>
      <c r="J287" s="367"/>
      <c r="K287" s="367"/>
      <c r="L287" s="367"/>
      <c r="M287" s="367"/>
      <c r="N287" s="367"/>
      <c r="O287" s="367"/>
      <c r="P287" s="367"/>
      <c r="Q287" s="367"/>
      <c r="R287" s="367"/>
      <c r="S287" s="367"/>
      <c r="T287" s="367"/>
      <c r="U287" s="367"/>
      <c r="V287" s="367"/>
      <c r="W287" s="367"/>
      <c r="X287" s="367"/>
      <c r="Y287" s="367"/>
      <c r="Z287" s="367"/>
      <c r="AA287" s="367"/>
      <c r="AB287" s="367"/>
      <c r="AC287" s="367"/>
      <c r="AD287" s="367"/>
      <c r="AE287" s="367"/>
      <c r="AF287" s="367"/>
    </row>
    <row r="288" ht="15.75" customHeight="1">
      <c r="A288" s="359"/>
      <c r="B288" s="361"/>
      <c r="C288" s="361"/>
      <c r="D288" s="361"/>
      <c r="E288" s="367"/>
      <c r="F288" s="367"/>
      <c r="G288" s="367"/>
      <c r="H288" s="367"/>
      <c r="I288" s="367"/>
      <c r="J288" s="367"/>
      <c r="K288" s="367"/>
      <c r="L288" s="367"/>
      <c r="M288" s="367"/>
      <c r="N288" s="367"/>
      <c r="O288" s="367"/>
      <c r="P288" s="367"/>
      <c r="Q288" s="367"/>
      <c r="R288" s="367"/>
      <c r="S288" s="367"/>
      <c r="T288" s="367"/>
      <c r="U288" s="367"/>
      <c r="V288" s="367"/>
      <c r="W288" s="367"/>
      <c r="X288" s="367"/>
      <c r="Y288" s="367"/>
      <c r="Z288" s="367"/>
      <c r="AA288" s="367"/>
      <c r="AB288" s="367"/>
      <c r="AC288" s="367"/>
      <c r="AD288" s="367"/>
      <c r="AE288" s="367"/>
      <c r="AF288" s="367"/>
    </row>
    <row r="289" ht="15.75" customHeight="1">
      <c r="A289" s="359"/>
      <c r="B289" s="361"/>
      <c r="C289" s="361"/>
      <c r="D289" s="361"/>
      <c r="E289" s="367"/>
      <c r="F289" s="367"/>
      <c r="G289" s="367"/>
      <c r="H289" s="367"/>
      <c r="I289" s="367"/>
      <c r="J289" s="367"/>
      <c r="K289" s="367"/>
      <c r="L289" s="367"/>
      <c r="M289" s="367"/>
      <c r="N289" s="367"/>
      <c r="O289" s="367"/>
      <c r="P289" s="367"/>
      <c r="Q289" s="367"/>
      <c r="R289" s="367"/>
      <c r="S289" s="367"/>
      <c r="T289" s="367"/>
      <c r="U289" s="367"/>
      <c r="V289" s="367"/>
      <c r="W289" s="367"/>
      <c r="X289" s="367"/>
      <c r="Y289" s="367"/>
      <c r="Z289" s="367"/>
      <c r="AA289" s="367"/>
      <c r="AB289" s="367"/>
      <c r="AC289" s="367"/>
      <c r="AD289" s="367"/>
      <c r="AE289" s="367"/>
      <c r="AF289" s="367"/>
    </row>
    <row r="290" ht="15.75" customHeight="1">
      <c r="A290" s="359"/>
      <c r="B290" s="361"/>
      <c r="C290" s="361"/>
      <c r="D290" s="361"/>
      <c r="E290" s="367"/>
      <c r="F290" s="367"/>
      <c r="G290" s="367"/>
      <c r="H290" s="367"/>
      <c r="I290" s="367"/>
      <c r="J290" s="367"/>
      <c r="K290" s="367"/>
      <c r="L290" s="367"/>
      <c r="M290" s="367"/>
      <c r="N290" s="367"/>
      <c r="O290" s="367"/>
      <c r="P290" s="367"/>
      <c r="Q290" s="367"/>
      <c r="R290" s="367"/>
      <c r="S290" s="367"/>
      <c r="T290" s="367"/>
      <c r="U290" s="367"/>
      <c r="V290" s="367"/>
      <c r="W290" s="367"/>
      <c r="X290" s="367"/>
      <c r="Y290" s="367"/>
      <c r="Z290" s="367"/>
      <c r="AA290" s="367"/>
      <c r="AB290" s="367"/>
      <c r="AC290" s="367"/>
      <c r="AD290" s="367"/>
      <c r="AE290" s="367"/>
      <c r="AF290" s="367"/>
    </row>
    <row r="291" ht="15.75" customHeight="1">
      <c r="A291" s="359"/>
      <c r="B291" s="361"/>
      <c r="C291" s="361"/>
      <c r="D291" s="361"/>
      <c r="E291" s="367"/>
      <c r="F291" s="367"/>
      <c r="G291" s="367"/>
      <c r="H291" s="367"/>
      <c r="I291" s="367"/>
      <c r="J291" s="367"/>
      <c r="K291" s="367"/>
      <c r="L291" s="367"/>
      <c r="M291" s="367"/>
      <c r="N291" s="367"/>
      <c r="O291" s="367"/>
      <c r="P291" s="367"/>
      <c r="Q291" s="367"/>
      <c r="R291" s="367"/>
      <c r="S291" s="367"/>
      <c r="T291" s="367"/>
      <c r="U291" s="367"/>
      <c r="V291" s="367"/>
      <c r="W291" s="367"/>
      <c r="X291" s="367"/>
      <c r="Y291" s="367"/>
      <c r="Z291" s="367"/>
      <c r="AA291" s="367"/>
      <c r="AB291" s="367"/>
      <c r="AC291" s="367"/>
      <c r="AD291" s="367"/>
      <c r="AE291" s="367"/>
      <c r="AF291" s="367"/>
    </row>
    <row r="292" ht="15.75" customHeight="1">
      <c r="A292" s="359"/>
      <c r="B292" s="361"/>
      <c r="C292" s="361"/>
      <c r="D292" s="361"/>
      <c r="E292" s="367"/>
      <c r="F292" s="367"/>
      <c r="G292" s="367"/>
      <c r="H292" s="367"/>
      <c r="I292" s="367"/>
      <c r="J292" s="367"/>
      <c r="K292" s="367"/>
      <c r="L292" s="367"/>
      <c r="M292" s="367"/>
      <c r="N292" s="367"/>
      <c r="O292" s="367"/>
      <c r="P292" s="367"/>
      <c r="Q292" s="367"/>
      <c r="R292" s="367"/>
      <c r="S292" s="367"/>
      <c r="T292" s="367"/>
      <c r="U292" s="367"/>
      <c r="V292" s="367"/>
      <c r="W292" s="367"/>
      <c r="X292" s="367"/>
      <c r="Y292" s="367"/>
      <c r="Z292" s="367"/>
      <c r="AA292" s="367"/>
      <c r="AB292" s="367"/>
      <c r="AC292" s="367"/>
      <c r="AD292" s="367"/>
      <c r="AE292" s="367"/>
      <c r="AF292" s="367"/>
    </row>
    <row r="293" ht="15.75" customHeight="1">
      <c r="A293" s="359"/>
      <c r="B293" s="361"/>
      <c r="C293" s="361"/>
      <c r="D293" s="361"/>
      <c r="E293" s="367"/>
      <c r="F293" s="367"/>
      <c r="G293" s="367"/>
      <c r="H293" s="367"/>
      <c r="I293" s="367"/>
      <c r="J293" s="367"/>
      <c r="K293" s="367"/>
      <c r="L293" s="367"/>
      <c r="M293" s="367"/>
      <c r="N293" s="367"/>
      <c r="O293" s="367"/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</row>
    <row r="294" ht="15.75" customHeight="1">
      <c r="A294" s="359"/>
      <c r="B294" s="361"/>
      <c r="C294" s="361"/>
      <c r="D294" s="361"/>
      <c r="E294" s="367"/>
      <c r="F294" s="367"/>
      <c r="G294" s="367"/>
      <c r="H294" s="367"/>
      <c r="I294" s="367"/>
      <c r="J294" s="367"/>
      <c r="K294" s="367"/>
      <c r="L294" s="367"/>
      <c r="M294" s="367"/>
      <c r="N294" s="367"/>
      <c r="O294" s="367"/>
      <c r="P294" s="367"/>
      <c r="Q294" s="367"/>
      <c r="R294" s="367"/>
      <c r="S294" s="367"/>
      <c r="T294" s="367"/>
      <c r="U294" s="367"/>
      <c r="V294" s="367"/>
      <c r="W294" s="367"/>
      <c r="X294" s="367"/>
      <c r="Y294" s="367"/>
      <c r="Z294" s="367"/>
      <c r="AA294" s="367"/>
      <c r="AB294" s="367"/>
      <c r="AC294" s="367"/>
      <c r="AD294" s="367"/>
      <c r="AE294" s="367"/>
      <c r="AF294" s="367"/>
    </row>
    <row r="295" ht="15.75" customHeight="1">
      <c r="A295" s="359"/>
      <c r="B295" s="361"/>
      <c r="C295" s="361"/>
      <c r="D295" s="361"/>
      <c r="E295" s="367"/>
      <c r="F295" s="367"/>
      <c r="G295" s="367"/>
      <c r="H295" s="367"/>
      <c r="I295" s="367"/>
      <c r="J295" s="367"/>
      <c r="K295" s="367"/>
      <c r="L295" s="367"/>
      <c r="M295" s="367"/>
      <c r="N295" s="367"/>
      <c r="O295" s="367"/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  <c r="Z295" s="367"/>
      <c r="AA295" s="367"/>
      <c r="AB295" s="367"/>
      <c r="AC295" s="367"/>
      <c r="AD295" s="367"/>
      <c r="AE295" s="367"/>
      <c r="AF295" s="367"/>
    </row>
    <row r="296" ht="15.75" customHeight="1">
      <c r="A296" s="359"/>
      <c r="B296" s="361"/>
      <c r="C296" s="361"/>
      <c r="D296" s="361"/>
      <c r="E296" s="367"/>
      <c r="F296" s="367"/>
      <c r="G296" s="367"/>
      <c r="H296" s="367"/>
      <c r="I296" s="367"/>
      <c r="J296" s="367"/>
      <c r="K296" s="367"/>
      <c r="L296" s="367"/>
      <c r="M296" s="367"/>
      <c r="N296" s="367"/>
      <c r="O296" s="367"/>
      <c r="P296" s="367"/>
      <c r="Q296" s="367"/>
      <c r="R296" s="367"/>
      <c r="S296" s="367"/>
      <c r="T296" s="367"/>
      <c r="U296" s="367"/>
      <c r="V296" s="367"/>
      <c r="W296" s="367"/>
      <c r="X296" s="367"/>
      <c r="Y296" s="367"/>
      <c r="Z296" s="367"/>
      <c r="AA296" s="367"/>
      <c r="AB296" s="367"/>
      <c r="AC296" s="367"/>
      <c r="AD296" s="367"/>
      <c r="AE296" s="367"/>
      <c r="AF296" s="367"/>
    </row>
    <row r="297" ht="15.75" customHeight="1">
      <c r="A297" s="359"/>
      <c r="B297" s="361"/>
      <c r="C297" s="361"/>
      <c r="D297" s="361"/>
      <c r="E297" s="367"/>
      <c r="F297" s="367"/>
      <c r="G297" s="367"/>
      <c r="H297" s="367"/>
      <c r="I297" s="367"/>
      <c r="J297" s="367"/>
      <c r="K297" s="367"/>
      <c r="L297" s="367"/>
      <c r="M297" s="367"/>
      <c r="N297" s="367"/>
      <c r="O297" s="367"/>
      <c r="P297" s="367"/>
      <c r="Q297" s="367"/>
      <c r="R297" s="367"/>
      <c r="S297" s="367"/>
      <c r="T297" s="367"/>
      <c r="U297" s="367"/>
      <c r="V297" s="367"/>
      <c r="W297" s="367"/>
      <c r="X297" s="367"/>
      <c r="Y297" s="367"/>
      <c r="Z297" s="367"/>
      <c r="AA297" s="367"/>
      <c r="AB297" s="367"/>
      <c r="AC297" s="367"/>
      <c r="AD297" s="367"/>
      <c r="AE297" s="367"/>
      <c r="AF297" s="367"/>
    </row>
    <row r="298" ht="15.75" customHeight="1">
      <c r="A298" s="359"/>
      <c r="B298" s="361"/>
      <c r="C298" s="361"/>
      <c r="D298" s="361"/>
      <c r="E298" s="367"/>
      <c r="F298" s="367"/>
      <c r="G298" s="367"/>
      <c r="H298" s="367"/>
      <c r="I298" s="367"/>
      <c r="J298" s="367"/>
      <c r="K298" s="367"/>
      <c r="L298" s="367"/>
      <c r="M298" s="367"/>
      <c r="N298" s="367"/>
      <c r="O298" s="367"/>
      <c r="P298" s="367"/>
      <c r="Q298" s="367"/>
      <c r="R298" s="367"/>
      <c r="S298" s="367"/>
      <c r="T298" s="367"/>
      <c r="U298" s="367"/>
      <c r="V298" s="367"/>
      <c r="W298" s="367"/>
      <c r="X298" s="367"/>
      <c r="Y298" s="367"/>
      <c r="Z298" s="367"/>
      <c r="AA298" s="367"/>
      <c r="AB298" s="367"/>
      <c r="AC298" s="367"/>
      <c r="AD298" s="367"/>
      <c r="AE298" s="367"/>
      <c r="AF298" s="367"/>
    </row>
    <row r="299" ht="15.75" customHeight="1">
      <c r="A299" s="359"/>
      <c r="B299" s="361"/>
      <c r="C299" s="361"/>
      <c r="D299" s="361"/>
      <c r="E299" s="367"/>
      <c r="F299" s="367"/>
      <c r="G299" s="367"/>
      <c r="H299" s="367"/>
      <c r="I299" s="367"/>
      <c r="J299" s="367"/>
      <c r="K299" s="367"/>
      <c r="L299" s="367"/>
      <c r="M299" s="367"/>
      <c r="N299" s="367"/>
      <c r="O299" s="367"/>
      <c r="P299" s="367"/>
      <c r="Q299" s="367"/>
      <c r="R299" s="367"/>
      <c r="S299" s="367"/>
      <c r="T299" s="367"/>
      <c r="U299" s="367"/>
      <c r="V299" s="367"/>
      <c r="W299" s="367"/>
      <c r="X299" s="367"/>
      <c r="Y299" s="367"/>
      <c r="Z299" s="367"/>
      <c r="AA299" s="367"/>
      <c r="AB299" s="367"/>
      <c r="AC299" s="367"/>
      <c r="AD299" s="367"/>
      <c r="AE299" s="367"/>
      <c r="AF299" s="367"/>
    </row>
    <row r="300" ht="15.75" customHeight="1">
      <c r="A300" s="359"/>
      <c r="B300" s="361"/>
      <c r="C300" s="361"/>
      <c r="D300" s="361"/>
      <c r="E300" s="367"/>
      <c r="F300" s="367"/>
      <c r="G300" s="367"/>
      <c r="H300" s="367"/>
      <c r="I300" s="367"/>
      <c r="J300" s="367"/>
      <c r="K300" s="367"/>
      <c r="L300" s="367"/>
      <c r="M300" s="367"/>
      <c r="N300" s="367"/>
      <c r="O300" s="367"/>
      <c r="P300" s="367"/>
      <c r="Q300" s="367"/>
      <c r="R300" s="367"/>
      <c r="S300" s="367"/>
      <c r="T300" s="367"/>
      <c r="U300" s="367"/>
      <c r="V300" s="367"/>
      <c r="W300" s="367"/>
      <c r="X300" s="367"/>
      <c r="Y300" s="367"/>
      <c r="Z300" s="367"/>
      <c r="AA300" s="367"/>
      <c r="AB300" s="367"/>
      <c r="AC300" s="367"/>
      <c r="AD300" s="367"/>
      <c r="AE300" s="367"/>
      <c r="AF300" s="367"/>
    </row>
    <row r="301" ht="15.75" customHeight="1">
      <c r="A301" s="359"/>
      <c r="B301" s="361"/>
      <c r="C301" s="361"/>
      <c r="D301" s="361"/>
      <c r="E301" s="367"/>
      <c r="F301" s="367"/>
      <c r="G301" s="367"/>
      <c r="H301" s="367"/>
      <c r="I301" s="367"/>
      <c r="J301" s="367"/>
      <c r="K301" s="367"/>
      <c r="L301" s="367"/>
      <c r="M301" s="367"/>
      <c r="N301" s="367"/>
      <c r="O301" s="367"/>
      <c r="P301" s="367"/>
      <c r="Q301" s="367"/>
      <c r="R301" s="367"/>
      <c r="S301" s="367"/>
      <c r="T301" s="367"/>
      <c r="U301" s="367"/>
      <c r="V301" s="367"/>
      <c r="W301" s="367"/>
      <c r="X301" s="367"/>
      <c r="Y301" s="367"/>
      <c r="Z301" s="367"/>
      <c r="AA301" s="367"/>
      <c r="AB301" s="367"/>
      <c r="AC301" s="367"/>
      <c r="AD301" s="367"/>
      <c r="AE301" s="367"/>
      <c r="AF301" s="367"/>
    </row>
    <row r="302" ht="15.75" customHeight="1">
      <c r="A302" s="359"/>
      <c r="B302" s="361"/>
      <c r="C302" s="361"/>
      <c r="D302" s="361"/>
      <c r="E302" s="367"/>
      <c r="F302" s="367"/>
      <c r="G302" s="367"/>
      <c r="H302" s="367"/>
      <c r="I302" s="367"/>
      <c r="J302" s="367"/>
      <c r="K302" s="367"/>
      <c r="L302" s="367"/>
      <c r="M302" s="367"/>
      <c r="N302" s="367"/>
      <c r="O302" s="367"/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  <c r="Z302" s="367"/>
      <c r="AA302" s="367"/>
      <c r="AB302" s="367"/>
      <c r="AC302" s="367"/>
      <c r="AD302" s="367"/>
      <c r="AE302" s="367"/>
      <c r="AF302" s="367"/>
    </row>
    <row r="303" ht="15.75" customHeight="1">
      <c r="A303" s="359"/>
      <c r="B303" s="361"/>
      <c r="C303" s="361"/>
      <c r="D303" s="361"/>
      <c r="E303" s="367"/>
      <c r="F303" s="367"/>
      <c r="G303" s="367"/>
      <c r="H303" s="367"/>
      <c r="I303" s="367"/>
      <c r="J303" s="367"/>
      <c r="K303" s="367"/>
      <c r="L303" s="367"/>
      <c r="M303" s="367"/>
      <c r="N303" s="367"/>
      <c r="O303" s="367"/>
      <c r="P303" s="367"/>
      <c r="Q303" s="367"/>
      <c r="R303" s="367"/>
      <c r="S303" s="367"/>
      <c r="T303" s="367"/>
      <c r="U303" s="367"/>
      <c r="V303" s="367"/>
      <c r="W303" s="367"/>
      <c r="X303" s="367"/>
      <c r="Y303" s="367"/>
      <c r="Z303" s="367"/>
      <c r="AA303" s="367"/>
      <c r="AB303" s="367"/>
      <c r="AC303" s="367"/>
      <c r="AD303" s="367"/>
      <c r="AE303" s="367"/>
      <c r="AF303" s="367"/>
    </row>
    <row r="304" ht="15.75" customHeight="1">
      <c r="A304" s="359"/>
      <c r="B304" s="361"/>
      <c r="C304" s="361"/>
      <c r="D304" s="361"/>
      <c r="E304" s="367"/>
      <c r="F304" s="367"/>
      <c r="G304" s="367"/>
      <c r="H304" s="367"/>
      <c r="I304" s="367"/>
      <c r="J304" s="367"/>
      <c r="K304" s="367"/>
      <c r="L304" s="367"/>
      <c r="M304" s="367"/>
      <c r="N304" s="367"/>
      <c r="O304" s="367"/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</row>
    <row r="305" ht="15.75" customHeight="1">
      <c r="A305" s="359"/>
      <c r="B305" s="361"/>
      <c r="C305" s="361"/>
      <c r="D305" s="361"/>
      <c r="E305" s="367"/>
      <c r="F305" s="367"/>
      <c r="G305" s="367"/>
      <c r="H305" s="367"/>
      <c r="I305" s="367"/>
      <c r="J305" s="367"/>
      <c r="K305" s="367"/>
      <c r="L305" s="367"/>
      <c r="M305" s="367"/>
      <c r="N305" s="367"/>
      <c r="O305" s="367"/>
      <c r="P305" s="367"/>
      <c r="Q305" s="367"/>
      <c r="R305" s="367"/>
      <c r="S305" s="367"/>
      <c r="T305" s="367"/>
      <c r="U305" s="367"/>
      <c r="V305" s="367"/>
      <c r="W305" s="367"/>
      <c r="X305" s="367"/>
      <c r="Y305" s="367"/>
      <c r="Z305" s="367"/>
      <c r="AA305" s="367"/>
      <c r="AB305" s="367"/>
      <c r="AC305" s="367"/>
      <c r="AD305" s="367"/>
      <c r="AE305" s="367"/>
      <c r="AF305" s="367"/>
    </row>
    <row r="306" ht="15.75" customHeight="1">
      <c r="A306" s="359"/>
      <c r="B306" s="361"/>
      <c r="C306" s="361"/>
      <c r="D306" s="361"/>
      <c r="E306" s="367"/>
      <c r="F306" s="367"/>
      <c r="G306" s="367"/>
      <c r="H306" s="367"/>
      <c r="I306" s="367"/>
      <c r="J306" s="367"/>
      <c r="K306" s="367"/>
      <c r="L306" s="367"/>
      <c r="M306" s="367"/>
      <c r="N306" s="367"/>
      <c r="O306" s="367"/>
      <c r="P306" s="367"/>
      <c r="Q306" s="367"/>
      <c r="R306" s="367"/>
      <c r="S306" s="367"/>
      <c r="T306" s="367"/>
      <c r="U306" s="367"/>
      <c r="V306" s="367"/>
      <c r="W306" s="367"/>
      <c r="X306" s="367"/>
      <c r="Y306" s="367"/>
      <c r="Z306" s="367"/>
      <c r="AA306" s="367"/>
      <c r="AB306" s="367"/>
      <c r="AC306" s="367"/>
      <c r="AD306" s="367"/>
      <c r="AE306" s="367"/>
      <c r="AF306" s="367"/>
    </row>
    <row r="307" ht="15.75" customHeight="1">
      <c r="A307" s="359"/>
      <c r="B307" s="361"/>
      <c r="C307" s="361"/>
      <c r="D307" s="361"/>
      <c r="E307" s="367"/>
      <c r="F307" s="367"/>
      <c r="G307" s="367"/>
      <c r="H307" s="367"/>
      <c r="I307" s="367"/>
      <c r="J307" s="367"/>
      <c r="K307" s="367"/>
      <c r="L307" s="367"/>
      <c r="M307" s="367"/>
      <c r="N307" s="367"/>
      <c r="O307" s="367"/>
      <c r="P307" s="367"/>
      <c r="Q307" s="367"/>
      <c r="R307" s="367"/>
      <c r="S307" s="367"/>
      <c r="T307" s="367"/>
      <c r="U307" s="367"/>
      <c r="V307" s="367"/>
      <c r="W307" s="367"/>
      <c r="X307" s="367"/>
      <c r="Y307" s="367"/>
      <c r="Z307" s="367"/>
      <c r="AA307" s="367"/>
      <c r="AB307" s="367"/>
      <c r="AC307" s="367"/>
      <c r="AD307" s="367"/>
      <c r="AE307" s="367"/>
      <c r="AF307" s="367"/>
    </row>
    <row r="308" ht="15.75" customHeight="1">
      <c r="A308" s="359"/>
      <c r="B308" s="361"/>
      <c r="C308" s="361"/>
      <c r="D308" s="361"/>
      <c r="E308" s="367"/>
      <c r="F308" s="367"/>
      <c r="G308" s="367"/>
      <c r="H308" s="367"/>
      <c r="I308" s="367"/>
      <c r="J308" s="367"/>
      <c r="K308" s="367"/>
      <c r="L308" s="367"/>
      <c r="M308" s="367"/>
      <c r="N308" s="367"/>
      <c r="O308" s="367"/>
      <c r="P308" s="367"/>
      <c r="Q308" s="367"/>
      <c r="R308" s="367"/>
      <c r="S308" s="367"/>
      <c r="T308" s="367"/>
      <c r="U308" s="367"/>
      <c r="V308" s="367"/>
      <c r="W308" s="367"/>
      <c r="X308" s="367"/>
      <c r="Y308" s="367"/>
      <c r="Z308" s="367"/>
      <c r="AA308" s="367"/>
      <c r="AB308" s="367"/>
      <c r="AC308" s="367"/>
      <c r="AD308" s="367"/>
      <c r="AE308" s="367"/>
      <c r="AF308" s="367"/>
    </row>
    <row r="309" ht="15.75" customHeight="1">
      <c r="A309" s="359"/>
      <c r="B309" s="361"/>
      <c r="C309" s="361"/>
      <c r="D309" s="361"/>
      <c r="E309" s="367"/>
      <c r="F309" s="367"/>
      <c r="G309" s="367"/>
      <c r="H309" s="367"/>
      <c r="I309" s="367"/>
      <c r="J309" s="367"/>
      <c r="K309" s="367"/>
      <c r="L309" s="367"/>
      <c r="M309" s="367"/>
      <c r="N309" s="367"/>
      <c r="O309" s="367"/>
      <c r="P309" s="367"/>
      <c r="Q309" s="367"/>
      <c r="R309" s="367"/>
      <c r="S309" s="367"/>
      <c r="T309" s="367"/>
      <c r="U309" s="367"/>
      <c r="V309" s="367"/>
      <c r="W309" s="367"/>
      <c r="X309" s="367"/>
      <c r="Y309" s="367"/>
      <c r="Z309" s="367"/>
      <c r="AA309" s="367"/>
      <c r="AB309" s="367"/>
      <c r="AC309" s="367"/>
      <c r="AD309" s="367"/>
      <c r="AE309" s="367"/>
      <c r="AF309" s="367"/>
    </row>
    <row r="310" ht="15.75" customHeight="1">
      <c r="A310" s="359"/>
      <c r="B310" s="361"/>
      <c r="C310" s="361"/>
      <c r="D310" s="361"/>
      <c r="E310" s="367"/>
      <c r="F310" s="367"/>
      <c r="G310" s="367"/>
      <c r="H310" s="367"/>
      <c r="I310" s="367"/>
      <c r="J310" s="367"/>
      <c r="K310" s="367"/>
      <c r="L310" s="367"/>
      <c r="M310" s="367"/>
      <c r="N310" s="367"/>
      <c r="O310" s="367"/>
      <c r="P310" s="367"/>
      <c r="Q310" s="367"/>
      <c r="R310" s="367"/>
      <c r="S310" s="367"/>
      <c r="T310" s="367"/>
      <c r="U310" s="367"/>
      <c r="V310" s="367"/>
      <c r="W310" s="367"/>
      <c r="X310" s="367"/>
      <c r="Y310" s="367"/>
      <c r="Z310" s="367"/>
      <c r="AA310" s="367"/>
      <c r="AB310" s="367"/>
      <c r="AC310" s="367"/>
      <c r="AD310" s="367"/>
      <c r="AE310" s="367"/>
      <c r="AF310" s="367"/>
    </row>
    <row r="311" ht="15.75" customHeight="1">
      <c r="A311" s="359"/>
      <c r="B311" s="361"/>
      <c r="C311" s="361"/>
      <c r="D311" s="361"/>
      <c r="E311" s="367"/>
      <c r="F311" s="367"/>
      <c r="G311" s="367"/>
      <c r="H311" s="367"/>
      <c r="I311" s="367"/>
      <c r="J311" s="367"/>
      <c r="K311" s="367"/>
      <c r="L311" s="367"/>
      <c r="M311" s="367"/>
      <c r="N311" s="367"/>
      <c r="O311" s="367"/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</row>
    <row r="312" ht="15.75" customHeight="1">
      <c r="A312" s="359"/>
      <c r="B312" s="361"/>
      <c r="C312" s="361"/>
      <c r="D312" s="361"/>
      <c r="E312" s="367"/>
      <c r="F312" s="367"/>
      <c r="G312" s="367"/>
      <c r="H312" s="367"/>
      <c r="I312" s="367"/>
      <c r="J312" s="367"/>
      <c r="K312" s="367"/>
      <c r="L312" s="367"/>
      <c r="M312" s="367"/>
      <c r="N312" s="367"/>
      <c r="O312" s="367"/>
      <c r="P312" s="367"/>
      <c r="Q312" s="367"/>
      <c r="R312" s="367"/>
      <c r="S312" s="367"/>
      <c r="T312" s="367"/>
      <c r="U312" s="367"/>
      <c r="V312" s="367"/>
      <c r="W312" s="367"/>
      <c r="X312" s="367"/>
      <c r="Y312" s="367"/>
      <c r="Z312" s="367"/>
      <c r="AA312" s="367"/>
      <c r="AB312" s="367"/>
      <c r="AC312" s="367"/>
      <c r="AD312" s="367"/>
      <c r="AE312" s="367"/>
      <c r="AF312" s="367"/>
    </row>
    <row r="313" ht="15.75" customHeight="1">
      <c r="A313" s="359"/>
      <c r="B313" s="361"/>
      <c r="C313" s="361"/>
      <c r="D313" s="361"/>
      <c r="E313" s="367"/>
      <c r="F313" s="367"/>
      <c r="G313" s="367"/>
      <c r="H313" s="367"/>
      <c r="I313" s="367"/>
      <c r="J313" s="367"/>
      <c r="K313" s="367"/>
      <c r="L313" s="367"/>
      <c r="M313" s="367"/>
      <c r="N313" s="367"/>
      <c r="O313" s="367"/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</row>
    <row r="314" ht="15.75" customHeight="1">
      <c r="A314" s="359"/>
      <c r="B314" s="361"/>
      <c r="C314" s="361"/>
      <c r="D314" s="361"/>
      <c r="E314" s="367"/>
      <c r="F314" s="367"/>
      <c r="G314" s="367"/>
      <c r="H314" s="367"/>
      <c r="I314" s="367"/>
      <c r="J314" s="367"/>
      <c r="K314" s="367"/>
      <c r="L314" s="367"/>
      <c r="M314" s="367"/>
      <c r="N314" s="367"/>
      <c r="O314" s="367"/>
      <c r="P314" s="367"/>
      <c r="Q314" s="367"/>
      <c r="R314" s="367"/>
      <c r="S314" s="367"/>
      <c r="T314" s="367"/>
      <c r="U314" s="367"/>
      <c r="V314" s="367"/>
      <c r="W314" s="367"/>
      <c r="X314" s="367"/>
      <c r="Y314" s="367"/>
      <c r="Z314" s="367"/>
      <c r="AA314" s="367"/>
      <c r="AB314" s="367"/>
      <c r="AC314" s="367"/>
      <c r="AD314" s="367"/>
      <c r="AE314" s="367"/>
      <c r="AF314" s="367"/>
    </row>
    <row r="315" ht="15.75" customHeight="1">
      <c r="A315" s="359"/>
      <c r="B315" s="361"/>
      <c r="C315" s="361"/>
      <c r="D315" s="361"/>
      <c r="E315" s="367"/>
      <c r="F315" s="367"/>
      <c r="G315" s="367"/>
      <c r="H315" s="367"/>
      <c r="I315" s="367"/>
      <c r="J315" s="367"/>
      <c r="K315" s="367"/>
      <c r="L315" s="367"/>
      <c r="M315" s="367"/>
      <c r="N315" s="367"/>
      <c r="O315" s="367"/>
      <c r="P315" s="367"/>
      <c r="Q315" s="367"/>
      <c r="R315" s="367"/>
      <c r="S315" s="367"/>
      <c r="T315" s="367"/>
      <c r="U315" s="367"/>
      <c r="V315" s="367"/>
      <c r="W315" s="367"/>
      <c r="X315" s="367"/>
      <c r="Y315" s="367"/>
      <c r="Z315" s="367"/>
      <c r="AA315" s="367"/>
      <c r="AB315" s="367"/>
      <c r="AC315" s="367"/>
      <c r="AD315" s="367"/>
      <c r="AE315" s="367"/>
      <c r="AF315" s="367"/>
    </row>
    <row r="316" ht="15.75" customHeight="1">
      <c r="A316" s="359"/>
      <c r="B316" s="361"/>
      <c r="C316" s="361"/>
      <c r="D316" s="361"/>
      <c r="E316" s="367"/>
      <c r="F316" s="367"/>
      <c r="G316" s="367"/>
      <c r="H316" s="367"/>
      <c r="I316" s="367"/>
      <c r="J316" s="367"/>
      <c r="K316" s="367"/>
      <c r="L316" s="367"/>
      <c r="M316" s="367"/>
      <c r="N316" s="367"/>
      <c r="O316" s="367"/>
      <c r="P316" s="367"/>
      <c r="Q316" s="367"/>
      <c r="R316" s="367"/>
      <c r="S316" s="367"/>
      <c r="T316" s="367"/>
      <c r="U316" s="367"/>
      <c r="V316" s="367"/>
      <c r="W316" s="367"/>
      <c r="X316" s="367"/>
      <c r="Y316" s="367"/>
      <c r="Z316" s="367"/>
      <c r="AA316" s="367"/>
      <c r="AB316" s="367"/>
      <c r="AC316" s="367"/>
      <c r="AD316" s="367"/>
      <c r="AE316" s="367"/>
      <c r="AF316" s="367"/>
    </row>
    <row r="317" ht="15.75" customHeight="1">
      <c r="A317" s="359"/>
      <c r="B317" s="361"/>
      <c r="C317" s="361"/>
      <c r="D317" s="361"/>
      <c r="E317" s="367"/>
      <c r="F317" s="367"/>
      <c r="G317" s="367"/>
      <c r="H317" s="367"/>
      <c r="I317" s="367"/>
      <c r="J317" s="367"/>
      <c r="K317" s="367"/>
      <c r="L317" s="367"/>
      <c r="M317" s="367"/>
      <c r="N317" s="367"/>
      <c r="O317" s="367"/>
      <c r="P317" s="367"/>
      <c r="Q317" s="367"/>
      <c r="R317" s="367"/>
      <c r="S317" s="367"/>
      <c r="T317" s="367"/>
      <c r="U317" s="367"/>
      <c r="V317" s="367"/>
      <c r="W317" s="367"/>
      <c r="X317" s="367"/>
      <c r="Y317" s="367"/>
      <c r="Z317" s="367"/>
      <c r="AA317" s="367"/>
      <c r="AB317" s="367"/>
      <c r="AC317" s="367"/>
      <c r="AD317" s="367"/>
      <c r="AE317" s="367"/>
      <c r="AF317" s="367"/>
    </row>
    <row r="318" ht="15.75" customHeight="1">
      <c r="A318" s="359"/>
      <c r="B318" s="361"/>
      <c r="C318" s="361"/>
      <c r="D318" s="361"/>
      <c r="E318" s="367"/>
      <c r="F318" s="367"/>
      <c r="G318" s="367"/>
      <c r="H318" s="367"/>
      <c r="I318" s="367"/>
      <c r="J318" s="367"/>
      <c r="K318" s="367"/>
      <c r="L318" s="367"/>
      <c r="M318" s="367"/>
      <c r="N318" s="367"/>
      <c r="O318" s="367"/>
      <c r="P318" s="367"/>
      <c r="Q318" s="367"/>
      <c r="R318" s="367"/>
      <c r="S318" s="367"/>
      <c r="T318" s="367"/>
      <c r="U318" s="367"/>
      <c r="V318" s="367"/>
      <c r="W318" s="367"/>
      <c r="X318" s="367"/>
      <c r="Y318" s="367"/>
      <c r="Z318" s="367"/>
      <c r="AA318" s="367"/>
      <c r="AB318" s="367"/>
      <c r="AC318" s="367"/>
      <c r="AD318" s="367"/>
      <c r="AE318" s="367"/>
      <c r="AF318" s="367"/>
    </row>
    <row r="319" ht="15.75" customHeight="1">
      <c r="A319" s="359"/>
      <c r="B319" s="361"/>
      <c r="C319" s="361"/>
      <c r="D319" s="361"/>
      <c r="E319" s="367"/>
      <c r="F319" s="367"/>
      <c r="G319" s="367"/>
      <c r="H319" s="367"/>
      <c r="I319" s="367"/>
      <c r="J319" s="367"/>
      <c r="K319" s="367"/>
      <c r="L319" s="367"/>
      <c r="M319" s="367"/>
      <c r="N319" s="367"/>
      <c r="O319" s="367"/>
      <c r="P319" s="367"/>
      <c r="Q319" s="367"/>
      <c r="R319" s="367"/>
      <c r="S319" s="367"/>
      <c r="T319" s="367"/>
      <c r="U319" s="367"/>
      <c r="V319" s="367"/>
      <c r="W319" s="367"/>
      <c r="X319" s="367"/>
      <c r="Y319" s="367"/>
      <c r="Z319" s="367"/>
      <c r="AA319" s="367"/>
      <c r="AB319" s="367"/>
      <c r="AC319" s="367"/>
      <c r="AD319" s="367"/>
      <c r="AE319" s="367"/>
      <c r="AF319" s="367"/>
    </row>
    <row r="320" ht="15.75" customHeight="1">
      <c r="A320" s="359"/>
      <c r="B320" s="361"/>
      <c r="C320" s="361"/>
      <c r="D320" s="361"/>
      <c r="E320" s="367"/>
      <c r="F320" s="367"/>
      <c r="G320" s="367"/>
      <c r="H320" s="367"/>
      <c r="I320" s="367"/>
      <c r="J320" s="367"/>
      <c r="K320" s="367"/>
      <c r="L320" s="367"/>
      <c r="M320" s="367"/>
      <c r="N320" s="367"/>
      <c r="O320" s="367"/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  <c r="Z320" s="367"/>
      <c r="AA320" s="367"/>
      <c r="AB320" s="367"/>
      <c r="AC320" s="367"/>
      <c r="AD320" s="367"/>
      <c r="AE320" s="367"/>
      <c r="AF320" s="367"/>
    </row>
    <row r="321" ht="15.75" customHeight="1">
      <c r="A321" s="359"/>
      <c r="B321" s="361"/>
      <c r="C321" s="361"/>
      <c r="D321" s="361"/>
      <c r="E321" s="367"/>
      <c r="F321" s="367"/>
      <c r="G321" s="367"/>
      <c r="H321" s="367"/>
      <c r="I321" s="367"/>
      <c r="J321" s="367"/>
      <c r="K321" s="367"/>
      <c r="L321" s="367"/>
      <c r="M321" s="367"/>
      <c r="N321" s="367"/>
      <c r="O321" s="367"/>
      <c r="P321" s="367"/>
      <c r="Q321" s="367"/>
      <c r="R321" s="367"/>
      <c r="S321" s="367"/>
      <c r="T321" s="367"/>
      <c r="U321" s="367"/>
      <c r="V321" s="367"/>
      <c r="W321" s="367"/>
      <c r="X321" s="367"/>
      <c r="Y321" s="367"/>
      <c r="Z321" s="367"/>
      <c r="AA321" s="367"/>
      <c r="AB321" s="367"/>
      <c r="AC321" s="367"/>
      <c r="AD321" s="367"/>
      <c r="AE321" s="367"/>
      <c r="AF321" s="367"/>
    </row>
    <row r="322" ht="15.75" customHeight="1">
      <c r="A322" s="359"/>
      <c r="B322" s="361"/>
      <c r="C322" s="361"/>
      <c r="D322" s="361"/>
      <c r="E322" s="367"/>
      <c r="F322" s="367"/>
      <c r="G322" s="367"/>
      <c r="H322" s="367"/>
      <c r="I322" s="367"/>
      <c r="J322" s="367"/>
      <c r="K322" s="367"/>
      <c r="L322" s="367"/>
      <c r="M322" s="367"/>
      <c r="N322" s="367"/>
      <c r="O322" s="367"/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</row>
    <row r="323" ht="15.75" customHeight="1">
      <c r="A323" s="359"/>
      <c r="B323" s="361"/>
      <c r="C323" s="361"/>
      <c r="D323" s="361"/>
      <c r="E323" s="367"/>
      <c r="F323" s="367"/>
      <c r="G323" s="367"/>
      <c r="H323" s="367"/>
      <c r="I323" s="367"/>
      <c r="J323" s="367"/>
      <c r="K323" s="367"/>
      <c r="L323" s="367"/>
      <c r="M323" s="367"/>
      <c r="N323" s="367"/>
      <c r="O323" s="367"/>
      <c r="P323" s="367"/>
      <c r="Q323" s="367"/>
      <c r="R323" s="367"/>
      <c r="S323" s="367"/>
      <c r="T323" s="367"/>
      <c r="U323" s="367"/>
      <c r="V323" s="367"/>
      <c r="W323" s="367"/>
      <c r="X323" s="367"/>
      <c r="Y323" s="367"/>
      <c r="Z323" s="367"/>
      <c r="AA323" s="367"/>
      <c r="AB323" s="367"/>
      <c r="AC323" s="367"/>
      <c r="AD323" s="367"/>
      <c r="AE323" s="367"/>
      <c r="AF323" s="367"/>
    </row>
    <row r="324" ht="15.75" customHeight="1">
      <c r="A324" s="359"/>
      <c r="B324" s="361"/>
      <c r="C324" s="361"/>
      <c r="D324" s="361"/>
      <c r="E324" s="367"/>
      <c r="F324" s="367"/>
      <c r="G324" s="367"/>
      <c r="H324" s="367"/>
      <c r="I324" s="367"/>
      <c r="J324" s="367"/>
      <c r="K324" s="367"/>
      <c r="L324" s="367"/>
      <c r="M324" s="367"/>
      <c r="N324" s="367"/>
      <c r="O324" s="367"/>
      <c r="P324" s="367"/>
      <c r="Q324" s="367"/>
      <c r="R324" s="367"/>
      <c r="S324" s="367"/>
      <c r="T324" s="367"/>
      <c r="U324" s="367"/>
      <c r="V324" s="367"/>
      <c r="W324" s="367"/>
      <c r="X324" s="367"/>
      <c r="Y324" s="367"/>
      <c r="Z324" s="367"/>
      <c r="AA324" s="367"/>
      <c r="AB324" s="367"/>
      <c r="AC324" s="367"/>
      <c r="AD324" s="367"/>
      <c r="AE324" s="367"/>
      <c r="AF324" s="367"/>
    </row>
    <row r="325" ht="15.75" customHeight="1">
      <c r="A325" s="359"/>
      <c r="B325" s="361"/>
      <c r="C325" s="361"/>
      <c r="D325" s="361"/>
      <c r="E325" s="367"/>
      <c r="F325" s="367"/>
      <c r="G325" s="367"/>
      <c r="H325" s="367"/>
      <c r="I325" s="367"/>
      <c r="J325" s="367"/>
      <c r="K325" s="367"/>
      <c r="L325" s="367"/>
      <c r="M325" s="367"/>
      <c r="N325" s="367"/>
      <c r="O325" s="367"/>
      <c r="P325" s="367"/>
      <c r="Q325" s="367"/>
      <c r="R325" s="367"/>
      <c r="S325" s="367"/>
      <c r="T325" s="367"/>
      <c r="U325" s="367"/>
      <c r="V325" s="367"/>
      <c r="W325" s="367"/>
      <c r="X325" s="367"/>
      <c r="Y325" s="367"/>
      <c r="Z325" s="367"/>
      <c r="AA325" s="367"/>
      <c r="AB325" s="367"/>
      <c r="AC325" s="367"/>
      <c r="AD325" s="367"/>
      <c r="AE325" s="367"/>
      <c r="AF325" s="367"/>
    </row>
    <row r="326" ht="15.75" customHeight="1">
      <c r="A326" s="359"/>
      <c r="B326" s="361"/>
      <c r="C326" s="361"/>
      <c r="D326" s="361"/>
      <c r="E326" s="367"/>
      <c r="F326" s="367"/>
      <c r="G326" s="367"/>
      <c r="H326" s="367"/>
      <c r="I326" s="367"/>
      <c r="J326" s="367"/>
      <c r="K326" s="367"/>
      <c r="L326" s="367"/>
      <c r="M326" s="367"/>
      <c r="N326" s="367"/>
      <c r="O326" s="367"/>
      <c r="P326" s="367"/>
      <c r="Q326" s="367"/>
      <c r="R326" s="367"/>
      <c r="S326" s="367"/>
      <c r="T326" s="367"/>
      <c r="U326" s="367"/>
      <c r="V326" s="367"/>
      <c r="W326" s="367"/>
      <c r="X326" s="367"/>
      <c r="Y326" s="367"/>
      <c r="Z326" s="367"/>
      <c r="AA326" s="367"/>
      <c r="AB326" s="367"/>
      <c r="AC326" s="367"/>
      <c r="AD326" s="367"/>
      <c r="AE326" s="367"/>
      <c r="AF326" s="367"/>
    </row>
    <row r="327" ht="15.75" customHeight="1">
      <c r="A327" s="359"/>
      <c r="B327" s="361"/>
      <c r="C327" s="361"/>
      <c r="D327" s="361"/>
      <c r="E327" s="367"/>
      <c r="F327" s="367"/>
      <c r="G327" s="367"/>
      <c r="H327" s="367"/>
      <c r="I327" s="367"/>
      <c r="J327" s="367"/>
      <c r="K327" s="367"/>
      <c r="L327" s="367"/>
      <c r="M327" s="367"/>
      <c r="N327" s="367"/>
      <c r="O327" s="367"/>
      <c r="P327" s="367"/>
      <c r="Q327" s="367"/>
      <c r="R327" s="367"/>
      <c r="S327" s="367"/>
      <c r="T327" s="367"/>
      <c r="U327" s="367"/>
      <c r="V327" s="367"/>
      <c r="W327" s="367"/>
      <c r="X327" s="367"/>
      <c r="Y327" s="367"/>
      <c r="Z327" s="367"/>
      <c r="AA327" s="367"/>
      <c r="AB327" s="367"/>
      <c r="AC327" s="367"/>
      <c r="AD327" s="367"/>
      <c r="AE327" s="367"/>
      <c r="AF327" s="367"/>
    </row>
    <row r="328" ht="15.75" customHeight="1">
      <c r="A328" s="359"/>
      <c r="B328" s="361"/>
      <c r="C328" s="361"/>
      <c r="D328" s="361"/>
      <c r="E328" s="367"/>
      <c r="F328" s="367"/>
      <c r="G328" s="367"/>
      <c r="H328" s="367"/>
      <c r="I328" s="367"/>
      <c r="J328" s="367"/>
      <c r="K328" s="367"/>
      <c r="L328" s="367"/>
      <c r="M328" s="367"/>
      <c r="N328" s="367"/>
      <c r="O328" s="367"/>
      <c r="P328" s="367"/>
      <c r="Q328" s="367"/>
      <c r="R328" s="367"/>
      <c r="S328" s="367"/>
      <c r="T328" s="367"/>
      <c r="U328" s="367"/>
      <c r="V328" s="367"/>
      <c r="W328" s="367"/>
      <c r="X328" s="367"/>
      <c r="Y328" s="367"/>
      <c r="Z328" s="367"/>
      <c r="AA328" s="367"/>
      <c r="AB328" s="367"/>
      <c r="AC328" s="367"/>
      <c r="AD328" s="367"/>
      <c r="AE328" s="367"/>
      <c r="AF328" s="367"/>
    </row>
    <row r="329" ht="15.75" customHeight="1">
      <c r="A329" s="359"/>
      <c r="B329" s="361"/>
      <c r="C329" s="361"/>
      <c r="D329" s="361"/>
      <c r="E329" s="367"/>
      <c r="F329" s="367"/>
      <c r="G329" s="367"/>
      <c r="H329" s="367"/>
      <c r="I329" s="367"/>
      <c r="J329" s="367"/>
      <c r="K329" s="367"/>
      <c r="L329" s="367"/>
      <c r="M329" s="367"/>
      <c r="N329" s="367"/>
      <c r="O329" s="367"/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</row>
    <row r="330" ht="15.75" customHeight="1">
      <c r="A330" s="359"/>
      <c r="B330" s="361"/>
      <c r="C330" s="361"/>
      <c r="D330" s="361"/>
      <c r="E330" s="367"/>
      <c r="F330" s="367"/>
      <c r="G330" s="367"/>
      <c r="H330" s="367"/>
      <c r="I330" s="367"/>
      <c r="J330" s="367"/>
      <c r="K330" s="367"/>
      <c r="L330" s="367"/>
      <c r="M330" s="367"/>
      <c r="N330" s="367"/>
      <c r="O330" s="367"/>
      <c r="P330" s="367"/>
      <c r="Q330" s="367"/>
      <c r="R330" s="367"/>
      <c r="S330" s="367"/>
      <c r="T330" s="367"/>
      <c r="U330" s="367"/>
      <c r="V330" s="367"/>
      <c r="W330" s="367"/>
      <c r="X330" s="367"/>
      <c r="Y330" s="367"/>
      <c r="Z330" s="367"/>
      <c r="AA330" s="367"/>
      <c r="AB330" s="367"/>
      <c r="AC330" s="367"/>
      <c r="AD330" s="367"/>
      <c r="AE330" s="367"/>
      <c r="AF330" s="367"/>
    </row>
    <row r="331" ht="15.75" customHeight="1">
      <c r="A331" s="359"/>
      <c r="B331" s="361"/>
      <c r="C331" s="361"/>
      <c r="D331" s="361"/>
      <c r="E331" s="367"/>
      <c r="F331" s="367"/>
      <c r="G331" s="367"/>
      <c r="H331" s="367"/>
      <c r="I331" s="367"/>
      <c r="J331" s="367"/>
      <c r="K331" s="367"/>
      <c r="L331" s="367"/>
      <c r="M331" s="367"/>
      <c r="N331" s="367"/>
      <c r="O331" s="367"/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  <c r="Z331" s="367"/>
      <c r="AA331" s="367"/>
      <c r="AB331" s="367"/>
      <c r="AC331" s="367"/>
      <c r="AD331" s="367"/>
      <c r="AE331" s="367"/>
      <c r="AF331" s="367"/>
    </row>
    <row r="332" ht="15.75" customHeight="1">
      <c r="A332" s="359"/>
      <c r="B332" s="361"/>
      <c r="C332" s="361"/>
      <c r="D332" s="361"/>
      <c r="E332" s="367"/>
      <c r="F332" s="367"/>
      <c r="G332" s="367"/>
      <c r="H332" s="367"/>
      <c r="I332" s="367"/>
      <c r="J332" s="367"/>
      <c r="K332" s="367"/>
      <c r="L332" s="367"/>
      <c r="M332" s="367"/>
      <c r="N332" s="367"/>
      <c r="O332" s="367"/>
      <c r="P332" s="367"/>
      <c r="Q332" s="367"/>
      <c r="R332" s="367"/>
      <c r="S332" s="367"/>
      <c r="T332" s="367"/>
      <c r="U332" s="367"/>
      <c r="V332" s="367"/>
      <c r="W332" s="367"/>
      <c r="X332" s="367"/>
      <c r="Y332" s="367"/>
      <c r="Z332" s="367"/>
      <c r="AA332" s="367"/>
      <c r="AB332" s="367"/>
      <c r="AC332" s="367"/>
      <c r="AD332" s="367"/>
      <c r="AE332" s="367"/>
      <c r="AF332" s="367"/>
    </row>
    <row r="333" ht="15.75" customHeight="1">
      <c r="A333" s="359"/>
      <c r="B333" s="361"/>
      <c r="C333" s="361"/>
      <c r="D333" s="361"/>
      <c r="E333" s="367"/>
      <c r="F333" s="367"/>
      <c r="G333" s="367"/>
      <c r="H333" s="367"/>
      <c r="I333" s="367"/>
      <c r="J333" s="367"/>
      <c r="K333" s="367"/>
      <c r="L333" s="367"/>
      <c r="M333" s="367"/>
      <c r="N333" s="367"/>
      <c r="O333" s="367"/>
      <c r="P333" s="367"/>
      <c r="Q333" s="367"/>
      <c r="R333" s="367"/>
      <c r="S333" s="367"/>
      <c r="T333" s="367"/>
      <c r="U333" s="367"/>
      <c r="V333" s="367"/>
      <c r="W333" s="367"/>
      <c r="X333" s="367"/>
      <c r="Y333" s="367"/>
      <c r="Z333" s="367"/>
      <c r="AA333" s="367"/>
      <c r="AB333" s="367"/>
      <c r="AC333" s="367"/>
      <c r="AD333" s="367"/>
      <c r="AE333" s="367"/>
      <c r="AF333" s="367"/>
    </row>
    <row r="334" ht="15.75" customHeight="1">
      <c r="A334" s="359"/>
      <c r="B334" s="361"/>
      <c r="C334" s="361"/>
      <c r="D334" s="361"/>
      <c r="E334" s="367"/>
      <c r="F334" s="367"/>
      <c r="G334" s="367"/>
      <c r="H334" s="367"/>
      <c r="I334" s="367"/>
      <c r="J334" s="367"/>
      <c r="K334" s="367"/>
      <c r="L334" s="367"/>
      <c r="M334" s="367"/>
      <c r="N334" s="367"/>
      <c r="O334" s="367"/>
      <c r="P334" s="367"/>
      <c r="Q334" s="367"/>
      <c r="R334" s="367"/>
      <c r="S334" s="367"/>
      <c r="T334" s="367"/>
      <c r="U334" s="367"/>
      <c r="V334" s="367"/>
      <c r="W334" s="367"/>
      <c r="X334" s="367"/>
      <c r="Y334" s="367"/>
      <c r="Z334" s="367"/>
      <c r="AA334" s="367"/>
      <c r="AB334" s="367"/>
      <c r="AC334" s="367"/>
      <c r="AD334" s="367"/>
      <c r="AE334" s="367"/>
      <c r="AF334" s="367"/>
    </row>
    <row r="335" ht="15.75" customHeight="1">
      <c r="A335" s="359"/>
      <c r="B335" s="361"/>
      <c r="C335" s="361"/>
      <c r="D335" s="361"/>
      <c r="E335" s="367"/>
      <c r="F335" s="367"/>
      <c r="G335" s="367"/>
      <c r="H335" s="367"/>
      <c r="I335" s="367"/>
      <c r="J335" s="367"/>
      <c r="K335" s="367"/>
      <c r="L335" s="367"/>
      <c r="M335" s="367"/>
      <c r="N335" s="367"/>
      <c r="O335" s="367"/>
      <c r="P335" s="367"/>
      <c r="Q335" s="367"/>
      <c r="R335" s="367"/>
      <c r="S335" s="367"/>
      <c r="T335" s="367"/>
      <c r="U335" s="367"/>
      <c r="V335" s="367"/>
      <c r="W335" s="367"/>
      <c r="X335" s="367"/>
      <c r="Y335" s="367"/>
      <c r="Z335" s="367"/>
      <c r="AA335" s="367"/>
      <c r="AB335" s="367"/>
      <c r="AC335" s="367"/>
      <c r="AD335" s="367"/>
      <c r="AE335" s="367"/>
      <c r="AF335" s="367"/>
    </row>
    <row r="336" ht="15.75" customHeight="1">
      <c r="A336" s="359"/>
      <c r="B336" s="361"/>
      <c r="C336" s="361"/>
      <c r="D336" s="361"/>
      <c r="E336" s="367"/>
      <c r="F336" s="367"/>
      <c r="G336" s="367"/>
      <c r="H336" s="367"/>
      <c r="I336" s="367"/>
      <c r="J336" s="367"/>
      <c r="K336" s="367"/>
      <c r="L336" s="367"/>
      <c r="M336" s="367"/>
      <c r="N336" s="367"/>
      <c r="O336" s="367"/>
      <c r="P336" s="367"/>
      <c r="Q336" s="367"/>
      <c r="R336" s="367"/>
      <c r="S336" s="367"/>
      <c r="T336" s="367"/>
      <c r="U336" s="367"/>
      <c r="V336" s="367"/>
      <c r="W336" s="367"/>
      <c r="X336" s="367"/>
      <c r="Y336" s="367"/>
      <c r="Z336" s="367"/>
      <c r="AA336" s="367"/>
      <c r="AB336" s="367"/>
      <c r="AC336" s="367"/>
      <c r="AD336" s="367"/>
      <c r="AE336" s="367"/>
      <c r="AF336" s="367"/>
    </row>
    <row r="337" ht="15.75" customHeight="1">
      <c r="A337" s="359"/>
      <c r="B337" s="361"/>
      <c r="C337" s="361"/>
      <c r="D337" s="361"/>
      <c r="E337" s="367"/>
      <c r="F337" s="367"/>
      <c r="G337" s="367"/>
      <c r="H337" s="367"/>
      <c r="I337" s="367"/>
      <c r="J337" s="367"/>
      <c r="K337" s="367"/>
      <c r="L337" s="367"/>
      <c r="M337" s="367"/>
      <c r="N337" s="367"/>
      <c r="O337" s="367"/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  <c r="Z337" s="367"/>
      <c r="AA337" s="367"/>
      <c r="AB337" s="367"/>
      <c r="AC337" s="367"/>
      <c r="AD337" s="367"/>
      <c r="AE337" s="367"/>
      <c r="AF337" s="367"/>
    </row>
    <row r="338" ht="15.75" customHeight="1">
      <c r="A338" s="359"/>
      <c r="B338" s="361"/>
      <c r="C338" s="361"/>
      <c r="D338" s="361"/>
      <c r="E338" s="367"/>
      <c r="F338" s="367"/>
      <c r="G338" s="367"/>
      <c r="H338" s="367"/>
      <c r="I338" s="367"/>
      <c r="J338" s="367"/>
      <c r="K338" s="367"/>
      <c r="L338" s="367"/>
      <c r="M338" s="367"/>
      <c r="N338" s="367"/>
      <c r="O338" s="367"/>
      <c r="P338" s="367"/>
      <c r="Q338" s="367"/>
      <c r="R338" s="367"/>
      <c r="S338" s="367"/>
      <c r="T338" s="367"/>
      <c r="U338" s="367"/>
      <c r="V338" s="367"/>
      <c r="W338" s="367"/>
      <c r="X338" s="367"/>
      <c r="Y338" s="367"/>
      <c r="Z338" s="367"/>
      <c r="AA338" s="367"/>
      <c r="AB338" s="367"/>
      <c r="AC338" s="367"/>
      <c r="AD338" s="367"/>
      <c r="AE338" s="367"/>
      <c r="AF338" s="367"/>
    </row>
    <row r="339" ht="15.75" customHeight="1">
      <c r="A339" s="359"/>
      <c r="B339" s="361"/>
      <c r="C339" s="361"/>
      <c r="D339" s="361"/>
      <c r="E339" s="367"/>
      <c r="F339" s="367"/>
      <c r="G339" s="367"/>
      <c r="H339" s="367"/>
      <c r="I339" s="367"/>
      <c r="J339" s="367"/>
      <c r="K339" s="367"/>
      <c r="L339" s="367"/>
      <c r="M339" s="367"/>
      <c r="N339" s="367"/>
      <c r="O339" s="367"/>
      <c r="P339" s="367"/>
      <c r="Q339" s="367"/>
      <c r="R339" s="367"/>
      <c r="S339" s="367"/>
      <c r="T339" s="367"/>
      <c r="U339" s="367"/>
      <c r="V339" s="367"/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</row>
    <row r="340" ht="15.75" customHeight="1">
      <c r="A340" s="359"/>
      <c r="B340" s="361"/>
      <c r="C340" s="361"/>
      <c r="D340" s="361"/>
      <c r="E340" s="367"/>
      <c r="F340" s="367"/>
      <c r="G340" s="367"/>
      <c r="H340" s="367"/>
      <c r="I340" s="367"/>
      <c r="J340" s="367"/>
      <c r="K340" s="367"/>
      <c r="L340" s="367"/>
      <c r="M340" s="367"/>
      <c r="N340" s="367"/>
      <c r="O340" s="367"/>
      <c r="P340" s="367"/>
      <c r="Q340" s="367"/>
      <c r="R340" s="367"/>
      <c r="S340" s="367"/>
      <c r="T340" s="367"/>
      <c r="U340" s="367"/>
      <c r="V340" s="367"/>
      <c r="W340" s="367"/>
      <c r="X340" s="367"/>
      <c r="Y340" s="367"/>
      <c r="Z340" s="367"/>
      <c r="AA340" s="367"/>
      <c r="AB340" s="367"/>
      <c r="AC340" s="367"/>
      <c r="AD340" s="367"/>
      <c r="AE340" s="367"/>
      <c r="AF340" s="367"/>
    </row>
    <row r="341" ht="15.75" customHeight="1">
      <c r="A341" s="359"/>
      <c r="B341" s="361"/>
      <c r="C341" s="361"/>
      <c r="D341" s="361"/>
      <c r="E341" s="367"/>
      <c r="F341" s="367"/>
      <c r="G341" s="367"/>
      <c r="H341" s="367"/>
      <c r="I341" s="367"/>
      <c r="J341" s="367"/>
      <c r="K341" s="367"/>
      <c r="L341" s="367"/>
      <c r="M341" s="367"/>
      <c r="N341" s="367"/>
      <c r="O341" s="367"/>
      <c r="P341" s="367"/>
      <c r="Q341" s="367"/>
      <c r="R341" s="367"/>
      <c r="S341" s="367"/>
      <c r="T341" s="367"/>
      <c r="U341" s="367"/>
      <c r="V341" s="367"/>
      <c r="W341" s="367"/>
      <c r="X341" s="367"/>
      <c r="Y341" s="367"/>
      <c r="Z341" s="367"/>
      <c r="AA341" s="367"/>
      <c r="AB341" s="367"/>
      <c r="AC341" s="367"/>
      <c r="AD341" s="367"/>
      <c r="AE341" s="367"/>
      <c r="AF341" s="367"/>
    </row>
    <row r="342" ht="15.75" customHeight="1">
      <c r="A342" s="359"/>
      <c r="B342" s="361"/>
      <c r="C342" s="361"/>
      <c r="D342" s="361"/>
      <c r="E342" s="367"/>
      <c r="F342" s="367"/>
      <c r="G342" s="367"/>
      <c r="H342" s="367"/>
      <c r="I342" s="367"/>
      <c r="J342" s="367"/>
      <c r="K342" s="367"/>
      <c r="L342" s="367"/>
      <c r="M342" s="367"/>
      <c r="N342" s="367"/>
      <c r="O342" s="367"/>
      <c r="P342" s="367"/>
      <c r="Q342" s="367"/>
      <c r="R342" s="367"/>
      <c r="S342" s="367"/>
      <c r="T342" s="367"/>
      <c r="U342" s="367"/>
      <c r="V342" s="367"/>
      <c r="W342" s="367"/>
      <c r="X342" s="367"/>
      <c r="Y342" s="367"/>
      <c r="Z342" s="367"/>
      <c r="AA342" s="367"/>
      <c r="AB342" s="367"/>
      <c r="AC342" s="367"/>
      <c r="AD342" s="367"/>
      <c r="AE342" s="367"/>
      <c r="AF342" s="367"/>
    </row>
    <row r="343" ht="15.75" customHeight="1">
      <c r="A343" s="359"/>
      <c r="B343" s="361"/>
      <c r="C343" s="361"/>
      <c r="D343" s="361"/>
      <c r="E343" s="367"/>
      <c r="F343" s="367"/>
      <c r="G343" s="367"/>
      <c r="H343" s="367"/>
      <c r="I343" s="367"/>
      <c r="J343" s="367"/>
      <c r="K343" s="367"/>
      <c r="L343" s="367"/>
      <c r="M343" s="367"/>
      <c r="N343" s="367"/>
      <c r="O343" s="367"/>
      <c r="P343" s="367"/>
      <c r="Q343" s="367"/>
      <c r="R343" s="367"/>
      <c r="S343" s="367"/>
      <c r="T343" s="367"/>
      <c r="U343" s="367"/>
      <c r="V343" s="367"/>
      <c r="W343" s="367"/>
      <c r="X343" s="367"/>
      <c r="Y343" s="367"/>
      <c r="Z343" s="367"/>
      <c r="AA343" s="367"/>
      <c r="AB343" s="367"/>
      <c r="AC343" s="367"/>
      <c r="AD343" s="367"/>
      <c r="AE343" s="367"/>
      <c r="AF343" s="367"/>
    </row>
    <row r="344" ht="15.75" customHeight="1">
      <c r="A344" s="359"/>
      <c r="B344" s="361"/>
      <c r="C344" s="361"/>
      <c r="D344" s="361"/>
      <c r="E344" s="367"/>
      <c r="F344" s="367"/>
      <c r="G344" s="367"/>
      <c r="H344" s="367"/>
      <c r="I344" s="367"/>
      <c r="J344" s="367"/>
      <c r="K344" s="367"/>
      <c r="L344" s="367"/>
      <c r="M344" s="367"/>
      <c r="N344" s="367"/>
      <c r="O344" s="367"/>
      <c r="P344" s="367"/>
      <c r="Q344" s="367"/>
      <c r="R344" s="367"/>
      <c r="S344" s="367"/>
      <c r="T344" s="367"/>
      <c r="U344" s="367"/>
      <c r="V344" s="367"/>
      <c r="W344" s="367"/>
      <c r="X344" s="367"/>
      <c r="Y344" s="367"/>
      <c r="Z344" s="367"/>
      <c r="AA344" s="367"/>
      <c r="AB344" s="367"/>
      <c r="AC344" s="367"/>
      <c r="AD344" s="367"/>
      <c r="AE344" s="367"/>
      <c r="AF344" s="367"/>
    </row>
    <row r="345" ht="15.75" customHeight="1">
      <c r="A345" s="359"/>
      <c r="B345" s="361"/>
      <c r="C345" s="361"/>
      <c r="D345" s="361"/>
      <c r="E345" s="367"/>
      <c r="F345" s="367"/>
      <c r="G345" s="367"/>
      <c r="H345" s="367"/>
      <c r="I345" s="367"/>
      <c r="J345" s="367"/>
      <c r="K345" s="367"/>
      <c r="L345" s="367"/>
      <c r="M345" s="367"/>
      <c r="N345" s="367"/>
      <c r="O345" s="367"/>
      <c r="P345" s="367"/>
      <c r="Q345" s="367"/>
      <c r="R345" s="367"/>
      <c r="S345" s="367"/>
      <c r="T345" s="367"/>
      <c r="U345" s="367"/>
      <c r="V345" s="367"/>
      <c r="W345" s="367"/>
      <c r="X345" s="367"/>
      <c r="Y345" s="367"/>
      <c r="Z345" s="367"/>
      <c r="AA345" s="367"/>
      <c r="AB345" s="367"/>
      <c r="AC345" s="367"/>
      <c r="AD345" s="367"/>
      <c r="AE345" s="367"/>
      <c r="AF345" s="367"/>
    </row>
    <row r="346" ht="15.75" customHeight="1">
      <c r="A346" s="359"/>
      <c r="B346" s="361"/>
      <c r="C346" s="361"/>
      <c r="D346" s="361"/>
      <c r="E346" s="367"/>
      <c r="F346" s="367"/>
      <c r="G346" s="367"/>
      <c r="H346" s="367"/>
      <c r="I346" s="367"/>
      <c r="J346" s="367"/>
      <c r="K346" s="367"/>
      <c r="L346" s="367"/>
      <c r="M346" s="367"/>
      <c r="N346" s="367"/>
      <c r="O346" s="367"/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  <c r="Z346" s="367"/>
      <c r="AA346" s="367"/>
      <c r="AB346" s="367"/>
      <c r="AC346" s="367"/>
      <c r="AD346" s="367"/>
      <c r="AE346" s="367"/>
      <c r="AF346" s="367"/>
    </row>
    <row r="347" ht="15.75" customHeight="1">
      <c r="A347" s="359"/>
      <c r="B347" s="361"/>
      <c r="C347" s="361"/>
      <c r="D347" s="361"/>
      <c r="E347" s="367"/>
      <c r="F347" s="367"/>
      <c r="G347" s="367"/>
      <c r="H347" s="367"/>
      <c r="I347" s="367"/>
      <c r="J347" s="367"/>
      <c r="K347" s="367"/>
      <c r="L347" s="367"/>
      <c r="M347" s="367"/>
      <c r="N347" s="367"/>
      <c r="O347" s="367"/>
      <c r="P347" s="367"/>
      <c r="Q347" s="367"/>
      <c r="R347" s="367"/>
      <c r="S347" s="367"/>
      <c r="T347" s="367"/>
      <c r="U347" s="367"/>
      <c r="V347" s="367"/>
      <c r="W347" s="367"/>
      <c r="X347" s="367"/>
      <c r="Y347" s="367"/>
      <c r="Z347" s="367"/>
      <c r="AA347" s="367"/>
      <c r="AB347" s="367"/>
      <c r="AC347" s="367"/>
      <c r="AD347" s="367"/>
      <c r="AE347" s="367"/>
      <c r="AF347" s="367"/>
    </row>
    <row r="348" ht="15.75" customHeight="1">
      <c r="A348" s="359"/>
      <c r="B348" s="361"/>
      <c r="C348" s="361"/>
      <c r="D348" s="361"/>
      <c r="E348" s="367"/>
      <c r="F348" s="367"/>
      <c r="G348" s="367"/>
      <c r="H348" s="367"/>
      <c r="I348" s="367"/>
      <c r="J348" s="367"/>
      <c r="K348" s="367"/>
      <c r="L348" s="367"/>
      <c r="M348" s="367"/>
      <c r="N348" s="367"/>
      <c r="O348" s="367"/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  <c r="Z348" s="367"/>
      <c r="AA348" s="367"/>
      <c r="AB348" s="367"/>
      <c r="AC348" s="367"/>
      <c r="AD348" s="367"/>
      <c r="AE348" s="367"/>
      <c r="AF348" s="367"/>
    </row>
    <row r="349" ht="15.75" customHeight="1">
      <c r="A349" s="359"/>
      <c r="B349" s="361"/>
      <c r="C349" s="361"/>
      <c r="D349" s="361"/>
      <c r="E349" s="367"/>
      <c r="F349" s="367"/>
      <c r="G349" s="367"/>
      <c r="H349" s="367"/>
      <c r="I349" s="367"/>
      <c r="J349" s="367"/>
      <c r="K349" s="367"/>
      <c r="L349" s="367"/>
      <c r="M349" s="367"/>
      <c r="N349" s="367"/>
      <c r="O349" s="367"/>
      <c r="P349" s="367"/>
      <c r="Q349" s="367"/>
      <c r="R349" s="367"/>
      <c r="S349" s="367"/>
      <c r="T349" s="367"/>
      <c r="U349" s="367"/>
      <c r="V349" s="367"/>
      <c r="W349" s="367"/>
      <c r="X349" s="367"/>
      <c r="Y349" s="367"/>
      <c r="Z349" s="367"/>
      <c r="AA349" s="367"/>
      <c r="AB349" s="367"/>
      <c r="AC349" s="367"/>
      <c r="AD349" s="367"/>
      <c r="AE349" s="367"/>
      <c r="AF349" s="367"/>
    </row>
    <row r="350" ht="15.75" customHeight="1">
      <c r="A350" s="359"/>
      <c r="B350" s="361"/>
      <c r="C350" s="361"/>
      <c r="D350" s="361"/>
      <c r="E350" s="367"/>
      <c r="F350" s="367"/>
      <c r="G350" s="367"/>
      <c r="H350" s="367"/>
      <c r="I350" s="367"/>
      <c r="J350" s="367"/>
      <c r="K350" s="367"/>
      <c r="L350" s="367"/>
      <c r="M350" s="367"/>
      <c r="N350" s="367"/>
      <c r="O350" s="367"/>
      <c r="P350" s="367"/>
      <c r="Q350" s="367"/>
      <c r="R350" s="367"/>
      <c r="S350" s="367"/>
      <c r="T350" s="367"/>
      <c r="U350" s="367"/>
      <c r="V350" s="367"/>
      <c r="W350" s="367"/>
      <c r="X350" s="367"/>
      <c r="Y350" s="367"/>
      <c r="Z350" s="367"/>
      <c r="AA350" s="367"/>
      <c r="AB350" s="367"/>
      <c r="AC350" s="367"/>
      <c r="AD350" s="367"/>
      <c r="AE350" s="367"/>
      <c r="AF350" s="367"/>
    </row>
    <row r="351" ht="15.75" customHeight="1">
      <c r="A351" s="359"/>
      <c r="B351" s="361"/>
      <c r="C351" s="361"/>
      <c r="D351" s="361"/>
      <c r="E351" s="367"/>
      <c r="F351" s="367"/>
      <c r="G351" s="367"/>
      <c r="H351" s="367"/>
      <c r="I351" s="367"/>
      <c r="J351" s="367"/>
      <c r="K351" s="367"/>
      <c r="L351" s="367"/>
      <c r="M351" s="367"/>
      <c r="N351" s="367"/>
      <c r="O351" s="367"/>
      <c r="P351" s="367"/>
      <c r="Q351" s="367"/>
      <c r="R351" s="367"/>
      <c r="S351" s="367"/>
      <c r="T351" s="367"/>
      <c r="U351" s="367"/>
      <c r="V351" s="367"/>
      <c r="W351" s="367"/>
      <c r="X351" s="367"/>
      <c r="Y351" s="367"/>
      <c r="Z351" s="367"/>
      <c r="AA351" s="367"/>
      <c r="AB351" s="367"/>
      <c r="AC351" s="367"/>
      <c r="AD351" s="367"/>
      <c r="AE351" s="367"/>
      <c r="AF351" s="367"/>
    </row>
    <row r="352" ht="15.75" customHeight="1">
      <c r="A352" s="359"/>
      <c r="B352" s="361"/>
      <c r="C352" s="361"/>
      <c r="D352" s="361"/>
      <c r="E352" s="367"/>
      <c r="F352" s="367"/>
      <c r="G352" s="367"/>
      <c r="H352" s="367"/>
      <c r="I352" s="367"/>
      <c r="J352" s="367"/>
      <c r="K352" s="367"/>
      <c r="L352" s="367"/>
      <c r="M352" s="367"/>
      <c r="N352" s="367"/>
      <c r="O352" s="367"/>
      <c r="P352" s="367"/>
      <c r="Q352" s="367"/>
      <c r="R352" s="367"/>
      <c r="S352" s="367"/>
      <c r="T352" s="367"/>
      <c r="U352" s="367"/>
      <c r="V352" s="367"/>
      <c r="W352" s="367"/>
      <c r="X352" s="367"/>
      <c r="Y352" s="367"/>
      <c r="Z352" s="367"/>
      <c r="AA352" s="367"/>
      <c r="AB352" s="367"/>
      <c r="AC352" s="367"/>
      <c r="AD352" s="367"/>
      <c r="AE352" s="367"/>
      <c r="AF352" s="367"/>
    </row>
    <row r="353" ht="15.75" customHeight="1">
      <c r="A353" s="359"/>
      <c r="B353" s="361"/>
      <c r="C353" s="361"/>
      <c r="D353" s="361"/>
      <c r="E353" s="367"/>
      <c r="F353" s="367"/>
      <c r="G353" s="367"/>
      <c r="H353" s="367"/>
      <c r="I353" s="367"/>
      <c r="J353" s="367"/>
      <c r="K353" s="367"/>
      <c r="L353" s="367"/>
      <c r="M353" s="367"/>
      <c r="N353" s="367"/>
      <c r="O353" s="367"/>
      <c r="P353" s="367"/>
      <c r="Q353" s="367"/>
      <c r="R353" s="367"/>
      <c r="S353" s="367"/>
      <c r="T353" s="367"/>
      <c r="U353" s="367"/>
      <c r="V353" s="367"/>
      <c r="W353" s="367"/>
      <c r="X353" s="367"/>
      <c r="Y353" s="367"/>
      <c r="Z353" s="367"/>
      <c r="AA353" s="367"/>
      <c r="AB353" s="367"/>
      <c r="AC353" s="367"/>
      <c r="AD353" s="367"/>
      <c r="AE353" s="367"/>
      <c r="AF353" s="367"/>
    </row>
    <row r="354" ht="15.75" customHeight="1">
      <c r="A354" s="359"/>
      <c r="B354" s="361"/>
      <c r="C354" s="361"/>
      <c r="D354" s="361"/>
      <c r="E354" s="367"/>
      <c r="F354" s="367"/>
      <c r="G354" s="367"/>
      <c r="H354" s="367"/>
      <c r="I354" s="367"/>
      <c r="J354" s="367"/>
      <c r="K354" s="367"/>
      <c r="L354" s="367"/>
      <c r="M354" s="367"/>
      <c r="N354" s="367"/>
      <c r="O354" s="367"/>
      <c r="P354" s="367"/>
      <c r="Q354" s="367"/>
      <c r="R354" s="367"/>
      <c r="S354" s="367"/>
      <c r="T354" s="367"/>
      <c r="U354" s="367"/>
      <c r="V354" s="367"/>
      <c r="W354" s="367"/>
      <c r="X354" s="367"/>
      <c r="Y354" s="367"/>
      <c r="Z354" s="367"/>
      <c r="AA354" s="367"/>
      <c r="AB354" s="367"/>
      <c r="AC354" s="367"/>
      <c r="AD354" s="367"/>
      <c r="AE354" s="367"/>
      <c r="AF354" s="367"/>
    </row>
    <row r="355" ht="15.75" customHeight="1">
      <c r="A355" s="359"/>
      <c r="B355" s="361"/>
      <c r="C355" s="361"/>
      <c r="D355" s="361"/>
      <c r="E355" s="367"/>
      <c r="F355" s="367"/>
      <c r="G355" s="367"/>
      <c r="H355" s="367"/>
      <c r="I355" s="367"/>
      <c r="J355" s="367"/>
      <c r="K355" s="367"/>
      <c r="L355" s="367"/>
      <c r="M355" s="367"/>
      <c r="N355" s="367"/>
      <c r="O355" s="367"/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  <c r="Z355" s="367"/>
      <c r="AA355" s="367"/>
      <c r="AB355" s="367"/>
      <c r="AC355" s="367"/>
      <c r="AD355" s="367"/>
      <c r="AE355" s="367"/>
      <c r="AF355" s="367"/>
    </row>
    <row r="356" ht="15.75" customHeight="1">
      <c r="A356" s="359"/>
      <c r="B356" s="361"/>
      <c r="C356" s="361"/>
      <c r="D356" s="361"/>
      <c r="E356" s="367"/>
      <c r="F356" s="367"/>
      <c r="G356" s="367"/>
      <c r="H356" s="367"/>
      <c r="I356" s="367"/>
      <c r="J356" s="367"/>
      <c r="K356" s="367"/>
      <c r="L356" s="367"/>
      <c r="M356" s="367"/>
      <c r="N356" s="367"/>
      <c r="O356" s="367"/>
      <c r="P356" s="367"/>
      <c r="Q356" s="367"/>
      <c r="R356" s="367"/>
      <c r="S356" s="367"/>
      <c r="T356" s="367"/>
      <c r="U356" s="367"/>
      <c r="V356" s="367"/>
      <c r="W356" s="367"/>
      <c r="X356" s="367"/>
      <c r="Y356" s="367"/>
      <c r="Z356" s="367"/>
      <c r="AA356" s="367"/>
      <c r="AB356" s="367"/>
      <c r="AC356" s="367"/>
      <c r="AD356" s="367"/>
      <c r="AE356" s="367"/>
      <c r="AF356" s="367"/>
    </row>
    <row r="357" ht="15.75" customHeight="1">
      <c r="A357" s="359"/>
      <c r="B357" s="361"/>
      <c r="C357" s="361"/>
      <c r="D357" s="361"/>
      <c r="E357" s="367"/>
      <c r="F357" s="367"/>
      <c r="G357" s="367"/>
      <c r="H357" s="367"/>
      <c r="I357" s="367"/>
      <c r="J357" s="367"/>
      <c r="K357" s="367"/>
      <c r="L357" s="367"/>
      <c r="M357" s="367"/>
      <c r="N357" s="367"/>
      <c r="O357" s="367"/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  <c r="Z357" s="367"/>
      <c r="AA357" s="367"/>
      <c r="AB357" s="367"/>
      <c r="AC357" s="367"/>
      <c r="AD357" s="367"/>
      <c r="AE357" s="367"/>
      <c r="AF357" s="367"/>
    </row>
    <row r="358" ht="15.75" customHeight="1">
      <c r="A358" s="359"/>
      <c r="B358" s="361"/>
      <c r="C358" s="361"/>
      <c r="D358" s="361"/>
      <c r="E358" s="367"/>
      <c r="F358" s="367"/>
      <c r="G358" s="367"/>
      <c r="H358" s="367"/>
      <c r="I358" s="367"/>
      <c r="J358" s="367"/>
      <c r="K358" s="367"/>
      <c r="L358" s="367"/>
      <c r="M358" s="367"/>
      <c r="N358" s="367"/>
      <c r="O358" s="367"/>
      <c r="P358" s="367"/>
      <c r="Q358" s="367"/>
      <c r="R358" s="367"/>
      <c r="S358" s="367"/>
      <c r="T358" s="367"/>
      <c r="U358" s="367"/>
      <c r="V358" s="367"/>
      <c r="W358" s="367"/>
      <c r="X358" s="367"/>
      <c r="Y358" s="367"/>
      <c r="Z358" s="367"/>
      <c r="AA358" s="367"/>
      <c r="AB358" s="367"/>
      <c r="AC358" s="367"/>
      <c r="AD358" s="367"/>
      <c r="AE358" s="367"/>
      <c r="AF358" s="367"/>
    </row>
    <row r="359" ht="15.75" customHeight="1">
      <c r="A359" s="359"/>
      <c r="B359" s="361"/>
      <c r="C359" s="361"/>
      <c r="D359" s="361"/>
      <c r="E359" s="367"/>
      <c r="F359" s="367"/>
      <c r="G359" s="367"/>
      <c r="H359" s="367"/>
      <c r="I359" s="367"/>
      <c r="J359" s="367"/>
      <c r="K359" s="367"/>
      <c r="L359" s="367"/>
      <c r="M359" s="367"/>
      <c r="N359" s="367"/>
      <c r="O359" s="367"/>
      <c r="P359" s="367"/>
      <c r="Q359" s="367"/>
      <c r="R359" s="367"/>
      <c r="S359" s="367"/>
      <c r="T359" s="367"/>
      <c r="U359" s="367"/>
      <c r="V359" s="367"/>
      <c r="W359" s="367"/>
      <c r="X359" s="367"/>
      <c r="Y359" s="367"/>
      <c r="Z359" s="367"/>
      <c r="AA359" s="367"/>
      <c r="AB359" s="367"/>
      <c r="AC359" s="367"/>
      <c r="AD359" s="367"/>
      <c r="AE359" s="367"/>
      <c r="AF359" s="367"/>
    </row>
    <row r="360" ht="15.75" customHeight="1">
      <c r="A360" s="359"/>
      <c r="B360" s="361"/>
      <c r="C360" s="361"/>
      <c r="D360" s="361"/>
      <c r="E360" s="367"/>
      <c r="F360" s="367"/>
      <c r="G360" s="367"/>
      <c r="H360" s="367"/>
      <c r="I360" s="367"/>
      <c r="J360" s="367"/>
      <c r="K360" s="367"/>
      <c r="L360" s="367"/>
      <c r="M360" s="367"/>
      <c r="N360" s="367"/>
      <c r="O360" s="367"/>
      <c r="P360" s="367"/>
      <c r="Q360" s="367"/>
      <c r="R360" s="367"/>
      <c r="S360" s="367"/>
      <c r="T360" s="367"/>
      <c r="U360" s="367"/>
      <c r="V360" s="367"/>
      <c r="W360" s="367"/>
      <c r="X360" s="367"/>
      <c r="Y360" s="367"/>
      <c r="Z360" s="367"/>
      <c r="AA360" s="367"/>
      <c r="AB360" s="367"/>
      <c r="AC360" s="367"/>
      <c r="AD360" s="367"/>
      <c r="AE360" s="367"/>
      <c r="AF360" s="367"/>
    </row>
    <row r="361" ht="15.75" customHeight="1">
      <c r="A361" s="359"/>
      <c r="B361" s="361"/>
      <c r="C361" s="361"/>
      <c r="D361" s="361"/>
      <c r="E361" s="367"/>
      <c r="F361" s="367"/>
      <c r="G361" s="367"/>
      <c r="H361" s="367"/>
      <c r="I361" s="367"/>
      <c r="J361" s="367"/>
      <c r="K361" s="367"/>
      <c r="L361" s="367"/>
      <c r="M361" s="367"/>
      <c r="N361" s="367"/>
      <c r="O361" s="367"/>
      <c r="P361" s="367"/>
      <c r="Q361" s="367"/>
      <c r="R361" s="367"/>
      <c r="S361" s="367"/>
      <c r="T361" s="367"/>
      <c r="U361" s="367"/>
      <c r="V361" s="367"/>
      <c r="W361" s="367"/>
      <c r="X361" s="367"/>
      <c r="Y361" s="367"/>
      <c r="Z361" s="367"/>
      <c r="AA361" s="367"/>
      <c r="AB361" s="367"/>
      <c r="AC361" s="367"/>
      <c r="AD361" s="367"/>
      <c r="AE361" s="367"/>
      <c r="AF361" s="367"/>
    </row>
    <row r="362" ht="15.75" customHeight="1">
      <c r="A362" s="359"/>
      <c r="B362" s="361"/>
      <c r="C362" s="361"/>
      <c r="D362" s="361"/>
      <c r="E362" s="367"/>
      <c r="F362" s="367"/>
      <c r="G362" s="367"/>
      <c r="H362" s="367"/>
      <c r="I362" s="367"/>
      <c r="J362" s="367"/>
      <c r="K362" s="367"/>
      <c r="L362" s="367"/>
      <c r="M362" s="367"/>
      <c r="N362" s="367"/>
      <c r="O362" s="367"/>
      <c r="P362" s="367"/>
      <c r="Q362" s="367"/>
      <c r="R362" s="367"/>
      <c r="S362" s="367"/>
      <c r="T362" s="367"/>
      <c r="U362" s="367"/>
      <c r="V362" s="367"/>
      <c r="W362" s="367"/>
      <c r="X362" s="367"/>
      <c r="Y362" s="367"/>
      <c r="Z362" s="367"/>
      <c r="AA362" s="367"/>
      <c r="AB362" s="367"/>
      <c r="AC362" s="367"/>
      <c r="AD362" s="367"/>
      <c r="AE362" s="367"/>
      <c r="AF362" s="367"/>
    </row>
    <row r="363" ht="15.75" customHeight="1">
      <c r="A363" s="359"/>
      <c r="B363" s="361"/>
      <c r="C363" s="361"/>
      <c r="D363" s="361"/>
      <c r="E363" s="367"/>
      <c r="F363" s="367"/>
      <c r="G363" s="367"/>
      <c r="H363" s="367"/>
      <c r="I363" s="367"/>
      <c r="J363" s="367"/>
      <c r="K363" s="367"/>
      <c r="L363" s="367"/>
      <c r="M363" s="367"/>
      <c r="N363" s="367"/>
      <c r="O363" s="367"/>
      <c r="P363" s="367"/>
      <c r="Q363" s="367"/>
      <c r="R363" s="367"/>
      <c r="S363" s="367"/>
      <c r="T363" s="367"/>
      <c r="U363" s="367"/>
      <c r="V363" s="367"/>
      <c r="W363" s="367"/>
      <c r="X363" s="367"/>
      <c r="Y363" s="367"/>
      <c r="Z363" s="367"/>
      <c r="AA363" s="367"/>
      <c r="AB363" s="367"/>
      <c r="AC363" s="367"/>
      <c r="AD363" s="367"/>
      <c r="AE363" s="367"/>
      <c r="AF363" s="367"/>
    </row>
    <row r="364" ht="15.75" customHeight="1">
      <c r="A364" s="359"/>
      <c r="B364" s="361"/>
      <c r="C364" s="361"/>
      <c r="D364" s="361"/>
      <c r="E364" s="367"/>
      <c r="F364" s="367"/>
      <c r="G364" s="367"/>
      <c r="H364" s="367"/>
      <c r="I364" s="367"/>
      <c r="J364" s="367"/>
      <c r="K364" s="367"/>
      <c r="L364" s="367"/>
      <c r="M364" s="367"/>
      <c r="N364" s="367"/>
      <c r="O364" s="367"/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  <c r="Z364" s="367"/>
      <c r="AA364" s="367"/>
      <c r="AB364" s="367"/>
      <c r="AC364" s="367"/>
      <c r="AD364" s="367"/>
      <c r="AE364" s="367"/>
      <c r="AF364" s="367"/>
    </row>
    <row r="365" ht="15.75" customHeight="1">
      <c r="A365" s="359"/>
      <c r="B365" s="361"/>
      <c r="C365" s="361"/>
      <c r="D365" s="361"/>
      <c r="E365" s="367"/>
      <c r="F365" s="367"/>
      <c r="G365" s="367"/>
      <c r="H365" s="367"/>
      <c r="I365" s="367"/>
      <c r="J365" s="367"/>
      <c r="K365" s="367"/>
      <c r="L365" s="367"/>
      <c r="M365" s="367"/>
      <c r="N365" s="367"/>
      <c r="O365" s="367"/>
      <c r="P365" s="367"/>
      <c r="Q365" s="367"/>
      <c r="R365" s="367"/>
      <c r="S365" s="367"/>
      <c r="T365" s="367"/>
      <c r="U365" s="367"/>
      <c r="V365" s="367"/>
      <c r="W365" s="367"/>
      <c r="X365" s="367"/>
      <c r="Y365" s="367"/>
      <c r="Z365" s="367"/>
      <c r="AA365" s="367"/>
      <c r="AB365" s="367"/>
      <c r="AC365" s="367"/>
      <c r="AD365" s="367"/>
      <c r="AE365" s="367"/>
      <c r="AF365" s="367"/>
    </row>
    <row r="366" ht="15.75" customHeight="1">
      <c r="A366" s="359"/>
      <c r="B366" s="361"/>
      <c r="C366" s="361"/>
      <c r="D366" s="361"/>
      <c r="E366" s="367"/>
      <c r="F366" s="367"/>
      <c r="G366" s="367"/>
      <c r="H366" s="367"/>
      <c r="I366" s="367"/>
      <c r="J366" s="367"/>
      <c r="K366" s="367"/>
      <c r="L366" s="367"/>
      <c r="M366" s="367"/>
      <c r="N366" s="367"/>
      <c r="O366" s="367"/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  <c r="Z366" s="367"/>
      <c r="AA366" s="367"/>
      <c r="AB366" s="367"/>
      <c r="AC366" s="367"/>
      <c r="AD366" s="367"/>
      <c r="AE366" s="367"/>
      <c r="AF366" s="367"/>
    </row>
    <row r="367" ht="15.75" customHeight="1">
      <c r="A367" s="359"/>
      <c r="B367" s="361"/>
      <c r="C367" s="361"/>
      <c r="D367" s="361"/>
      <c r="E367" s="367"/>
      <c r="F367" s="367"/>
      <c r="G367" s="367"/>
      <c r="H367" s="367"/>
      <c r="I367" s="367"/>
      <c r="J367" s="367"/>
      <c r="K367" s="367"/>
      <c r="L367" s="367"/>
      <c r="M367" s="367"/>
      <c r="N367" s="367"/>
      <c r="O367" s="367"/>
      <c r="P367" s="367"/>
      <c r="Q367" s="367"/>
      <c r="R367" s="367"/>
      <c r="S367" s="367"/>
      <c r="T367" s="367"/>
      <c r="U367" s="367"/>
      <c r="V367" s="367"/>
      <c r="W367" s="367"/>
      <c r="X367" s="367"/>
      <c r="Y367" s="367"/>
      <c r="Z367" s="367"/>
      <c r="AA367" s="367"/>
      <c r="AB367" s="367"/>
      <c r="AC367" s="367"/>
      <c r="AD367" s="367"/>
      <c r="AE367" s="367"/>
      <c r="AF367" s="367"/>
    </row>
    <row r="368" ht="15.75" customHeight="1">
      <c r="A368" s="359"/>
      <c r="B368" s="361"/>
      <c r="C368" s="361"/>
      <c r="D368" s="361"/>
      <c r="E368" s="367"/>
      <c r="F368" s="367"/>
      <c r="G368" s="367"/>
      <c r="H368" s="367"/>
      <c r="I368" s="367"/>
      <c r="J368" s="367"/>
      <c r="K368" s="367"/>
      <c r="L368" s="367"/>
      <c r="M368" s="367"/>
      <c r="N368" s="367"/>
      <c r="O368" s="367"/>
      <c r="P368" s="367"/>
      <c r="Q368" s="367"/>
      <c r="R368" s="367"/>
      <c r="S368" s="367"/>
      <c r="T368" s="367"/>
      <c r="U368" s="367"/>
      <c r="V368" s="367"/>
      <c r="W368" s="367"/>
      <c r="X368" s="367"/>
      <c r="Y368" s="367"/>
      <c r="Z368" s="367"/>
      <c r="AA368" s="367"/>
      <c r="AB368" s="367"/>
      <c r="AC368" s="367"/>
      <c r="AD368" s="367"/>
      <c r="AE368" s="367"/>
      <c r="AF368" s="367"/>
    </row>
    <row r="369" ht="15.75" customHeight="1">
      <c r="A369" s="359"/>
      <c r="B369" s="361"/>
      <c r="C369" s="361"/>
      <c r="D369" s="361"/>
      <c r="E369" s="367"/>
      <c r="F369" s="367"/>
      <c r="G369" s="367"/>
      <c r="H369" s="367"/>
      <c r="I369" s="367"/>
      <c r="J369" s="367"/>
      <c r="K369" s="367"/>
      <c r="L369" s="367"/>
      <c r="M369" s="367"/>
      <c r="N369" s="367"/>
      <c r="O369" s="367"/>
      <c r="P369" s="367"/>
      <c r="Q369" s="367"/>
      <c r="R369" s="367"/>
      <c r="S369" s="367"/>
      <c r="T369" s="367"/>
      <c r="U369" s="367"/>
      <c r="V369" s="367"/>
      <c r="W369" s="367"/>
      <c r="X369" s="367"/>
      <c r="Y369" s="367"/>
      <c r="Z369" s="367"/>
      <c r="AA369" s="367"/>
      <c r="AB369" s="367"/>
      <c r="AC369" s="367"/>
      <c r="AD369" s="367"/>
      <c r="AE369" s="367"/>
      <c r="AF369" s="367"/>
    </row>
    <row r="370" ht="15.75" customHeight="1">
      <c r="A370" s="359"/>
      <c r="B370" s="361"/>
      <c r="C370" s="361"/>
      <c r="D370" s="361"/>
      <c r="E370" s="367"/>
      <c r="F370" s="367"/>
      <c r="G370" s="367"/>
      <c r="H370" s="367"/>
      <c r="I370" s="367"/>
      <c r="J370" s="367"/>
      <c r="K370" s="367"/>
      <c r="L370" s="367"/>
      <c r="M370" s="367"/>
      <c r="N370" s="367"/>
      <c r="O370" s="367"/>
      <c r="P370" s="367"/>
      <c r="Q370" s="367"/>
      <c r="R370" s="367"/>
      <c r="S370" s="367"/>
      <c r="T370" s="367"/>
      <c r="U370" s="367"/>
      <c r="V370" s="367"/>
      <c r="W370" s="367"/>
      <c r="X370" s="367"/>
      <c r="Y370" s="367"/>
      <c r="Z370" s="367"/>
      <c r="AA370" s="367"/>
      <c r="AB370" s="367"/>
      <c r="AC370" s="367"/>
      <c r="AD370" s="367"/>
      <c r="AE370" s="367"/>
      <c r="AF370" s="367"/>
    </row>
    <row r="371" ht="15.75" customHeight="1">
      <c r="A371" s="359"/>
      <c r="B371" s="361"/>
      <c r="C371" s="361"/>
      <c r="D371" s="361"/>
      <c r="E371" s="367"/>
      <c r="F371" s="367"/>
      <c r="G371" s="367"/>
      <c r="H371" s="367"/>
      <c r="I371" s="367"/>
      <c r="J371" s="367"/>
      <c r="K371" s="367"/>
      <c r="L371" s="367"/>
      <c r="M371" s="367"/>
      <c r="N371" s="367"/>
      <c r="O371" s="367"/>
      <c r="P371" s="367"/>
      <c r="Q371" s="367"/>
      <c r="R371" s="367"/>
      <c r="S371" s="367"/>
      <c r="T371" s="367"/>
      <c r="U371" s="367"/>
      <c r="V371" s="367"/>
      <c r="W371" s="367"/>
      <c r="X371" s="367"/>
      <c r="Y371" s="367"/>
      <c r="Z371" s="367"/>
      <c r="AA371" s="367"/>
      <c r="AB371" s="367"/>
      <c r="AC371" s="367"/>
      <c r="AD371" s="367"/>
      <c r="AE371" s="367"/>
      <c r="AF371" s="367"/>
    </row>
    <row r="372" ht="15.75" customHeight="1">
      <c r="A372" s="359"/>
      <c r="B372" s="361"/>
      <c r="C372" s="361"/>
      <c r="D372" s="361"/>
      <c r="E372" s="367"/>
      <c r="F372" s="367"/>
      <c r="G372" s="367"/>
      <c r="H372" s="367"/>
      <c r="I372" s="367"/>
      <c r="J372" s="367"/>
      <c r="K372" s="367"/>
      <c r="L372" s="367"/>
      <c r="M372" s="367"/>
      <c r="N372" s="367"/>
      <c r="O372" s="367"/>
      <c r="P372" s="367"/>
      <c r="Q372" s="367"/>
      <c r="R372" s="367"/>
      <c r="S372" s="367"/>
      <c r="T372" s="367"/>
      <c r="U372" s="367"/>
      <c r="V372" s="367"/>
      <c r="W372" s="367"/>
      <c r="X372" s="367"/>
      <c r="Y372" s="367"/>
      <c r="Z372" s="367"/>
      <c r="AA372" s="367"/>
      <c r="AB372" s="367"/>
      <c r="AC372" s="367"/>
      <c r="AD372" s="367"/>
      <c r="AE372" s="367"/>
      <c r="AF372" s="367"/>
    </row>
    <row r="373" ht="15.75" customHeight="1">
      <c r="A373" s="359"/>
      <c r="B373" s="361"/>
      <c r="C373" s="361"/>
      <c r="D373" s="361"/>
      <c r="E373" s="367"/>
      <c r="F373" s="367"/>
      <c r="G373" s="367"/>
      <c r="H373" s="367"/>
      <c r="I373" s="367"/>
      <c r="J373" s="367"/>
      <c r="K373" s="367"/>
      <c r="L373" s="367"/>
      <c r="M373" s="367"/>
      <c r="N373" s="367"/>
      <c r="O373" s="367"/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  <c r="Z373" s="367"/>
      <c r="AA373" s="367"/>
      <c r="AB373" s="367"/>
      <c r="AC373" s="367"/>
      <c r="AD373" s="367"/>
      <c r="AE373" s="367"/>
      <c r="AF373" s="367"/>
    </row>
    <row r="374" ht="15.75" customHeight="1">
      <c r="A374" s="359"/>
      <c r="B374" s="361"/>
      <c r="C374" s="361"/>
      <c r="D374" s="361"/>
      <c r="E374" s="367"/>
      <c r="F374" s="367"/>
      <c r="G374" s="367"/>
      <c r="H374" s="367"/>
      <c r="I374" s="367"/>
      <c r="J374" s="367"/>
      <c r="K374" s="367"/>
      <c r="L374" s="367"/>
      <c r="M374" s="367"/>
      <c r="N374" s="367"/>
      <c r="O374" s="367"/>
      <c r="P374" s="367"/>
      <c r="Q374" s="367"/>
      <c r="R374" s="367"/>
      <c r="S374" s="367"/>
      <c r="T374" s="367"/>
      <c r="U374" s="367"/>
      <c r="V374" s="367"/>
      <c r="W374" s="367"/>
      <c r="X374" s="367"/>
      <c r="Y374" s="367"/>
      <c r="Z374" s="367"/>
      <c r="AA374" s="367"/>
      <c r="AB374" s="367"/>
      <c r="AC374" s="367"/>
      <c r="AD374" s="367"/>
      <c r="AE374" s="367"/>
      <c r="AF374" s="367"/>
    </row>
    <row r="375" ht="15.75" customHeight="1">
      <c r="A375" s="359"/>
      <c r="B375" s="361"/>
      <c r="C375" s="361"/>
      <c r="D375" s="361"/>
      <c r="E375" s="367"/>
      <c r="F375" s="367"/>
      <c r="G375" s="367"/>
      <c r="H375" s="367"/>
      <c r="I375" s="367"/>
      <c r="J375" s="367"/>
      <c r="K375" s="367"/>
      <c r="L375" s="367"/>
      <c r="M375" s="367"/>
      <c r="N375" s="367"/>
      <c r="O375" s="367"/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  <c r="Z375" s="367"/>
      <c r="AA375" s="367"/>
      <c r="AB375" s="367"/>
      <c r="AC375" s="367"/>
      <c r="AD375" s="367"/>
      <c r="AE375" s="367"/>
      <c r="AF375" s="367"/>
    </row>
    <row r="376" ht="15.75" customHeight="1">
      <c r="A376" s="359"/>
      <c r="B376" s="361"/>
      <c r="C376" s="361"/>
      <c r="D376" s="361"/>
      <c r="E376" s="367"/>
      <c r="F376" s="367"/>
      <c r="G376" s="367"/>
      <c r="H376" s="367"/>
      <c r="I376" s="367"/>
      <c r="J376" s="367"/>
      <c r="K376" s="367"/>
      <c r="L376" s="367"/>
      <c r="M376" s="367"/>
      <c r="N376" s="367"/>
      <c r="O376" s="367"/>
      <c r="P376" s="367"/>
      <c r="Q376" s="367"/>
      <c r="R376" s="367"/>
      <c r="S376" s="367"/>
      <c r="T376" s="367"/>
      <c r="U376" s="367"/>
      <c r="V376" s="367"/>
      <c r="W376" s="367"/>
      <c r="X376" s="367"/>
      <c r="Y376" s="367"/>
      <c r="Z376" s="367"/>
      <c r="AA376" s="367"/>
      <c r="AB376" s="367"/>
      <c r="AC376" s="367"/>
      <c r="AD376" s="367"/>
      <c r="AE376" s="367"/>
      <c r="AF376" s="367"/>
    </row>
    <row r="377" ht="15.75" customHeight="1">
      <c r="A377" s="359"/>
      <c r="B377" s="361"/>
      <c r="C377" s="361"/>
      <c r="D377" s="361"/>
      <c r="E377" s="367"/>
      <c r="F377" s="367"/>
      <c r="G377" s="367"/>
      <c r="H377" s="367"/>
      <c r="I377" s="367"/>
      <c r="J377" s="367"/>
      <c r="K377" s="367"/>
      <c r="L377" s="367"/>
      <c r="M377" s="367"/>
      <c r="N377" s="367"/>
      <c r="O377" s="367"/>
      <c r="P377" s="367"/>
      <c r="Q377" s="367"/>
      <c r="R377" s="367"/>
      <c r="S377" s="367"/>
      <c r="T377" s="367"/>
      <c r="U377" s="367"/>
      <c r="V377" s="367"/>
      <c r="W377" s="367"/>
      <c r="X377" s="367"/>
      <c r="Y377" s="367"/>
      <c r="Z377" s="367"/>
      <c r="AA377" s="367"/>
      <c r="AB377" s="367"/>
      <c r="AC377" s="367"/>
      <c r="AD377" s="367"/>
      <c r="AE377" s="367"/>
      <c r="AF377" s="367"/>
    </row>
    <row r="378" ht="15.75" customHeight="1">
      <c r="A378" s="359"/>
      <c r="B378" s="361"/>
      <c r="C378" s="361"/>
      <c r="D378" s="361"/>
      <c r="E378" s="367"/>
      <c r="F378" s="367"/>
      <c r="G378" s="367"/>
      <c r="H378" s="367"/>
      <c r="I378" s="367"/>
      <c r="J378" s="367"/>
      <c r="K378" s="367"/>
      <c r="L378" s="367"/>
      <c r="M378" s="367"/>
      <c r="N378" s="367"/>
      <c r="O378" s="367"/>
      <c r="P378" s="367"/>
      <c r="Q378" s="367"/>
      <c r="R378" s="367"/>
      <c r="S378" s="367"/>
      <c r="T378" s="367"/>
      <c r="U378" s="367"/>
      <c r="V378" s="367"/>
      <c r="W378" s="367"/>
      <c r="X378" s="367"/>
      <c r="Y378" s="367"/>
      <c r="Z378" s="367"/>
      <c r="AA378" s="367"/>
      <c r="AB378" s="367"/>
      <c r="AC378" s="367"/>
      <c r="AD378" s="367"/>
      <c r="AE378" s="367"/>
      <c r="AF378" s="367"/>
    </row>
    <row r="379" ht="15.75" customHeight="1">
      <c r="A379" s="359"/>
      <c r="B379" s="361"/>
      <c r="C379" s="361"/>
      <c r="D379" s="361"/>
      <c r="E379" s="367"/>
      <c r="F379" s="367"/>
      <c r="G379" s="367"/>
      <c r="H379" s="367"/>
      <c r="I379" s="367"/>
      <c r="J379" s="367"/>
      <c r="K379" s="367"/>
      <c r="L379" s="367"/>
      <c r="M379" s="367"/>
      <c r="N379" s="367"/>
      <c r="O379" s="367"/>
      <c r="P379" s="367"/>
      <c r="Q379" s="367"/>
      <c r="R379" s="367"/>
      <c r="S379" s="367"/>
      <c r="T379" s="367"/>
      <c r="U379" s="367"/>
      <c r="V379" s="367"/>
      <c r="W379" s="367"/>
      <c r="X379" s="367"/>
      <c r="Y379" s="367"/>
      <c r="Z379" s="367"/>
      <c r="AA379" s="367"/>
      <c r="AB379" s="367"/>
      <c r="AC379" s="367"/>
      <c r="AD379" s="367"/>
      <c r="AE379" s="367"/>
      <c r="AF379" s="367"/>
    </row>
    <row r="380" ht="15.75" customHeight="1">
      <c r="A380" s="359"/>
      <c r="B380" s="361"/>
      <c r="C380" s="361"/>
      <c r="D380" s="361"/>
      <c r="E380" s="367"/>
      <c r="F380" s="367"/>
      <c r="G380" s="367"/>
      <c r="H380" s="367"/>
      <c r="I380" s="367"/>
      <c r="J380" s="367"/>
      <c r="K380" s="367"/>
      <c r="L380" s="367"/>
      <c r="M380" s="367"/>
      <c r="N380" s="367"/>
      <c r="O380" s="367"/>
      <c r="P380" s="367"/>
      <c r="Q380" s="367"/>
      <c r="R380" s="367"/>
      <c r="S380" s="367"/>
      <c r="T380" s="367"/>
      <c r="U380" s="367"/>
      <c r="V380" s="367"/>
      <c r="W380" s="367"/>
      <c r="X380" s="367"/>
      <c r="Y380" s="367"/>
      <c r="Z380" s="367"/>
      <c r="AA380" s="367"/>
      <c r="AB380" s="367"/>
      <c r="AC380" s="367"/>
      <c r="AD380" s="367"/>
      <c r="AE380" s="367"/>
      <c r="AF380" s="367"/>
    </row>
    <row r="381" ht="15.75" customHeight="1">
      <c r="A381" s="359"/>
      <c r="B381" s="361"/>
      <c r="C381" s="361"/>
      <c r="D381" s="361"/>
      <c r="E381" s="367"/>
      <c r="F381" s="367"/>
      <c r="G381" s="367"/>
      <c r="H381" s="367"/>
      <c r="I381" s="367"/>
      <c r="J381" s="367"/>
      <c r="K381" s="367"/>
      <c r="L381" s="367"/>
      <c r="M381" s="367"/>
      <c r="N381" s="367"/>
      <c r="O381" s="367"/>
      <c r="P381" s="367"/>
      <c r="Q381" s="367"/>
      <c r="R381" s="367"/>
      <c r="S381" s="367"/>
      <c r="T381" s="367"/>
      <c r="U381" s="367"/>
      <c r="V381" s="367"/>
      <c r="W381" s="367"/>
      <c r="X381" s="367"/>
      <c r="Y381" s="367"/>
      <c r="Z381" s="367"/>
      <c r="AA381" s="367"/>
      <c r="AB381" s="367"/>
      <c r="AC381" s="367"/>
      <c r="AD381" s="367"/>
      <c r="AE381" s="367"/>
      <c r="AF381" s="367"/>
    </row>
    <row r="382" ht="15.75" customHeight="1">
      <c r="A382" s="359"/>
      <c r="B382" s="361"/>
      <c r="C382" s="361"/>
      <c r="D382" s="361"/>
      <c r="E382" s="367"/>
      <c r="F382" s="367"/>
      <c r="G382" s="367"/>
      <c r="H382" s="367"/>
      <c r="I382" s="367"/>
      <c r="J382" s="367"/>
      <c r="K382" s="367"/>
      <c r="L382" s="367"/>
      <c r="M382" s="367"/>
      <c r="N382" s="367"/>
      <c r="O382" s="367"/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  <c r="Z382" s="367"/>
      <c r="AA382" s="367"/>
      <c r="AB382" s="367"/>
      <c r="AC382" s="367"/>
      <c r="AD382" s="367"/>
      <c r="AE382" s="367"/>
      <c r="AF382" s="367"/>
    </row>
    <row r="383" ht="15.75" customHeight="1">
      <c r="A383" s="359"/>
      <c r="B383" s="361"/>
      <c r="C383" s="361"/>
      <c r="D383" s="361"/>
      <c r="E383" s="367"/>
      <c r="F383" s="367"/>
      <c r="G383" s="367"/>
      <c r="H383" s="367"/>
      <c r="I383" s="367"/>
      <c r="J383" s="367"/>
      <c r="K383" s="367"/>
      <c r="L383" s="367"/>
      <c r="M383" s="367"/>
      <c r="N383" s="367"/>
      <c r="O383" s="367"/>
      <c r="P383" s="367"/>
      <c r="Q383" s="367"/>
      <c r="R383" s="367"/>
      <c r="S383" s="367"/>
      <c r="T383" s="367"/>
      <c r="U383" s="367"/>
      <c r="V383" s="367"/>
      <c r="W383" s="367"/>
      <c r="X383" s="367"/>
      <c r="Y383" s="367"/>
      <c r="Z383" s="367"/>
      <c r="AA383" s="367"/>
      <c r="AB383" s="367"/>
      <c r="AC383" s="367"/>
      <c r="AD383" s="367"/>
      <c r="AE383" s="367"/>
      <c r="AF383" s="367"/>
    </row>
    <row r="384" ht="15.75" customHeight="1">
      <c r="A384" s="359"/>
      <c r="B384" s="361"/>
      <c r="C384" s="361"/>
      <c r="D384" s="361"/>
      <c r="E384" s="367"/>
      <c r="F384" s="367"/>
      <c r="G384" s="367"/>
      <c r="H384" s="367"/>
      <c r="I384" s="367"/>
      <c r="J384" s="367"/>
      <c r="K384" s="367"/>
      <c r="L384" s="367"/>
      <c r="M384" s="367"/>
      <c r="N384" s="367"/>
      <c r="O384" s="367"/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  <c r="Z384" s="367"/>
      <c r="AA384" s="367"/>
      <c r="AB384" s="367"/>
      <c r="AC384" s="367"/>
      <c r="AD384" s="367"/>
      <c r="AE384" s="367"/>
      <c r="AF384" s="367"/>
    </row>
    <row r="385" ht="15.75" customHeight="1">
      <c r="A385" s="359"/>
      <c r="B385" s="361"/>
      <c r="C385" s="361"/>
      <c r="D385" s="361"/>
      <c r="E385" s="367"/>
      <c r="F385" s="367"/>
      <c r="G385" s="367"/>
      <c r="H385" s="367"/>
      <c r="I385" s="367"/>
      <c r="J385" s="367"/>
      <c r="K385" s="367"/>
      <c r="L385" s="367"/>
      <c r="M385" s="367"/>
      <c r="N385" s="367"/>
      <c r="O385" s="367"/>
      <c r="P385" s="367"/>
      <c r="Q385" s="367"/>
      <c r="R385" s="367"/>
      <c r="S385" s="367"/>
      <c r="T385" s="367"/>
      <c r="U385" s="367"/>
      <c r="V385" s="367"/>
      <c r="W385" s="367"/>
      <c r="X385" s="367"/>
      <c r="Y385" s="367"/>
      <c r="Z385" s="367"/>
      <c r="AA385" s="367"/>
      <c r="AB385" s="367"/>
      <c r="AC385" s="367"/>
      <c r="AD385" s="367"/>
      <c r="AE385" s="367"/>
      <c r="AF385" s="367"/>
    </row>
    <row r="386" ht="15.75" customHeight="1">
      <c r="A386" s="359"/>
      <c r="B386" s="361"/>
      <c r="C386" s="361"/>
      <c r="D386" s="361"/>
      <c r="E386" s="367"/>
      <c r="F386" s="367"/>
      <c r="G386" s="367"/>
      <c r="H386" s="367"/>
      <c r="I386" s="367"/>
      <c r="J386" s="367"/>
      <c r="K386" s="367"/>
      <c r="L386" s="367"/>
      <c r="M386" s="367"/>
      <c r="N386" s="367"/>
      <c r="O386" s="367"/>
      <c r="P386" s="367"/>
      <c r="Q386" s="367"/>
      <c r="R386" s="367"/>
      <c r="S386" s="367"/>
      <c r="T386" s="367"/>
      <c r="U386" s="367"/>
      <c r="V386" s="367"/>
      <c r="W386" s="367"/>
      <c r="X386" s="367"/>
      <c r="Y386" s="367"/>
      <c r="Z386" s="367"/>
      <c r="AA386" s="367"/>
      <c r="AB386" s="367"/>
      <c r="AC386" s="367"/>
      <c r="AD386" s="367"/>
      <c r="AE386" s="367"/>
      <c r="AF386" s="367"/>
    </row>
    <row r="387" ht="15.75" customHeight="1">
      <c r="A387" s="359"/>
      <c r="B387" s="361"/>
      <c r="C387" s="361"/>
      <c r="D387" s="361"/>
      <c r="E387" s="367"/>
      <c r="F387" s="367"/>
      <c r="G387" s="367"/>
      <c r="H387" s="367"/>
      <c r="I387" s="367"/>
      <c r="J387" s="367"/>
      <c r="K387" s="367"/>
      <c r="L387" s="367"/>
      <c r="M387" s="367"/>
      <c r="N387" s="367"/>
      <c r="O387" s="367"/>
      <c r="P387" s="367"/>
      <c r="Q387" s="367"/>
      <c r="R387" s="367"/>
      <c r="S387" s="367"/>
      <c r="T387" s="367"/>
      <c r="U387" s="367"/>
      <c r="V387" s="367"/>
      <c r="W387" s="367"/>
      <c r="X387" s="367"/>
      <c r="Y387" s="367"/>
      <c r="Z387" s="367"/>
      <c r="AA387" s="367"/>
      <c r="AB387" s="367"/>
      <c r="AC387" s="367"/>
      <c r="AD387" s="367"/>
      <c r="AE387" s="367"/>
      <c r="AF387" s="367"/>
    </row>
    <row r="388" ht="15.75" customHeight="1">
      <c r="A388" s="359"/>
      <c r="B388" s="361"/>
      <c r="C388" s="361"/>
      <c r="D388" s="361"/>
      <c r="E388" s="367"/>
      <c r="F388" s="367"/>
      <c r="G388" s="367"/>
      <c r="H388" s="367"/>
      <c r="I388" s="367"/>
      <c r="J388" s="367"/>
      <c r="K388" s="367"/>
      <c r="L388" s="367"/>
      <c r="M388" s="367"/>
      <c r="N388" s="367"/>
      <c r="O388" s="367"/>
      <c r="P388" s="367"/>
      <c r="Q388" s="367"/>
      <c r="R388" s="367"/>
      <c r="S388" s="367"/>
      <c r="T388" s="367"/>
      <c r="U388" s="367"/>
      <c r="V388" s="367"/>
      <c r="W388" s="367"/>
      <c r="X388" s="367"/>
      <c r="Y388" s="367"/>
      <c r="Z388" s="367"/>
      <c r="AA388" s="367"/>
      <c r="AB388" s="367"/>
      <c r="AC388" s="367"/>
      <c r="AD388" s="367"/>
      <c r="AE388" s="367"/>
      <c r="AF388" s="367"/>
    </row>
    <row r="389" ht="15.75" customHeight="1">
      <c r="A389" s="359"/>
      <c r="B389" s="361"/>
      <c r="C389" s="361"/>
      <c r="D389" s="361"/>
      <c r="E389" s="367"/>
      <c r="F389" s="367"/>
      <c r="G389" s="367"/>
      <c r="H389" s="367"/>
      <c r="I389" s="367"/>
      <c r="J389" s="367"/>
      <c r="K389" s="367"/>
      <c r="L389" s="367"/>
      <c r="M389" s="367"/>
      <c r="N389" s="367"/>
      <c r="O389" s="367"/>
      <c r="P389" s="367"/>
      <c r="Q389" s="367"/>
      <c r="R389" s="367"/>
      <c r="S389" s="367"/>
      <c r="T389" s="367"/>
      <c r="U389" s="367"/>
      <c r="V389" s="367"/>
      <c r="W389" s="367"/>
      <c r="X389" s="367"/>
      <c r="Y389" s="367"/>
      <c r="Z389" s="367"/>
      <c r="AA389" s="367"/>
      <c r="AB389" s="367"/>
      <c r="AC389" s="367"/>
      <c r="AD389" s="367"/>
      <c r="AE389" s="367"/>
      <c r="AF389" s="367"/>
    </row>
    <row r="390" ht="15.75" customHeight="1">
      <c r="A390" s="359"/>
      <c r="B390" s="361"/>
      <c r="C390" s="361"/>
      <c r="D390" s="361"/>
      <c r="E390" s="367"/>
      <c r="F390" s="367"/>
      <c r="G390" s="367"/>
      <c r="H390" s="367"/>
      <c r="I390" s="367"/>
      <c r="J390" s="367"/>
      <c r="K390" s="367"/>
      <c r="L390" s="367"/>
      <c r="M390" s="367"/>
      <c r="N390" s="367"/>
      <c r="O390" s="367"/>
      <c r="P390" s="367"/>
      <c r="Q390" s="367"/>
      <c r="R390" s="367"/>
      <c r="S390" s="367"/>
      <c r="T390" s="367"/>
      <c r="U390" s="367"/>
      <c r="V390" s="367"/>
      <c r="W390" s="367"/>
      <c r="X390" s="367"/>
      <c r="Y390" s="367"/>
      <c r="Z390" s="367"/>
      <c r="AA390" s="367"/>
      <c r="AB390" s="367"/>
      <c r="AC390" s="367"/>
      <c r="AD390" s="367"/>
      <c r="AE390" s="367"/>
      <c r="AF390" s="367"/>
    </row>
    <row r="391" ht="15.75" customHeight="1">
      <c r="A391" s="359"/>
      <c r="B391" s="361"/>
      <c r="C391" s="361"/>
      <c r="D391" s="361"/>
      <c r="E391" s="367"/>
      <c r="F391" s="367"/>
      <c r="G391" s="367"/>
      <c r="H391" s="367"/>
      <c r="I391" s="367"/>
      <c r="J391" s="367"/>
      <c r="K391" s="367"/>
      <c r="L391" s="367"/>
      <c r="M391" s="367"/>
      <c r="N391" s="367"/>
      <c r="O391" s="367"/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  <c r="Z391" s="367"/>
      <c r="AA391" s="367"/>
      <c r="AB391" s="367"/>
      <c r="AC391" s="367"/>
      <c r="AD391" s="367"/>
      <c r="AE391" s="367"/>
      <c r="AF391" s="367"/>
    </row>
    <row r="392" ht="15.75" customHeight="1">
      <c r="A392" s="359"/>
      <c r="B392" s="361"/>
      <c r="C392" s="361"/>
      <c r="D392" s="361"/>
      <c r="E392" s="367"/>
      <c r="F392" s="367"/>
      <c r="G392" s="367"/>
      <c r="H392" s="367"/>
      <c r="I392" s="367"/>
      <c r="J392" s="367"/>
      <c r="K392" s="367"/>
      <c r="L392" s="367"/>
      <c r="M392" s="367"/>
      <c r="N392" s="367"/>
      <c r="O392" s="367"/>
      <c r="P392" s="367"/>
      <c r="Q392" s="367"/>
      <c r="R392" s="367"/>
      <c r="S392" s="367"/>
      <c r="T392" s="367"/>
      <c r="U392" s="367"/>
      <c r="V392" s="367"/>
      <c r="W392" s="367"/>
      <c r="X392" s="367"/>
      <c r="Y392" s="367"/>
      <c r="Z392" s="367"/>
      <c r="AA392" s="367"/>
      <c r="AB392" s="367"/>
      <c r="AC392" s="367"/>
      <c r="AD392" s="367"/>
      <c r="AE392" s="367"/>
      <c r="AF392" s="367"/>
    </row>
    <row r="393" ht="15.75" customHeight="1">
      <c r="A393" s="359"/>
      <c r="B393" s="361"/>
      <c r="C393" s="361"/>
      <c r="D393" s="361"/>
      <c r="E393" s="367"/>
      <c r="F393" s="367"/>
      <c r="G393" s="367"/>
      <c r="H393" s="367"/>
      <c r="I393" s="367"/>
      <c r="J393" s="367"/>
      <c r="K393" s="367"/>
      <c r="L393" s="367"/>
      <c r="M393" s="367"/>
      <c r="N393" s="367"/>
      <c r="O393" s="367"/>
      <c r="P393" s="367"/>
      <c r="Q393" s="367"/>
      <c r="R393" s="367"/>
      <c r="S393" s="367"/>
      <c r="T393" s="367"/>
      <c r="U393" s="367"/>
      <c r="V393" s="367"/>
      <c r="W393" s="367"/>
      <c r="X393" s="367"/>
      <c r="Y393" s="367"/>
      <c r="Z393" s="367"/>
      <c r="AA393" s="367"/>
      <c r="AB393" s="367"/>
      <c r="AC393" s="367"/>
      <c r="AD393" s="367"/>
      <c r="AE393" s="367"/>
      <c r="AF393" s="367"/>
    </row>
    <row r="394" ht="15.75" customHeight="1">
      <c r="A394" s="359"/>
      <c r="B394" s="361"/>
      <c r="C394" s="361"/>
      <c r="D394" s="361"/>
      <c r="E394" s="367"/>
      <c r="F394" s="367"/>
      <c r="G394" s="367"/>
      <c r="H394" s="367"/>
      <c r="I394" s="367"/>
      <c r="J394" s="367"/>
      <c r="K394" s="367"/>
      <c r="L394" s="367"/>
      <c r="M394" s="367"/>
      <c r="N394" s="367"/>
      <c r="O394" s="367"/>
      <c r="P394" s="367"/>
      <c r="Q394" s="367"/>
      <c r="R394" s="367"/>
      <c r="S394" s="367"/>
      <c r="T394" s="367"/>
      <c r="U394" s="367"/>
      <c r="V394" s="367"/>
      <c r="W394" s="367"/>
      <c r="X394" s="367"/>
      <c r="Y394" s="367"/>
      <c r="Z394" s="367"/>
      <c r="AA394" s="367"/>
      <c r="AB394" s="367"/>
      <c r="AC394" s="367"/>
      <c r="AD394" s="367"/>
      <c r="AE394" s="367"/>
      <c r="AF394" s="367"/>
    </row>
    <row r="395" ht="15.75" customHeight="1">
      <c r="A395" s="359"/>
      <c r="B395" s="361"/>
      <c r="C395" s="361"/>
      <c r="D395" s="361"/>
      <c r="E395" s="367"/>
      <c r="F395" s="367"/>
      <c r="G395" s="367"/>
      <c r="H395" s="367"/>
      <c r="I395" s="367"/>
      <c r="J395" s="367"/>
      <c r="K395" s="367"/>
      <c r="L395" s="367"/>
      <c r="M395" s="367"/>
      <c r="N395" s="367"/>
      <c r="O395" s="367"/>
      <c r="P395" s="367"/>
      <c r="Q395" s="367"/>
      <c r="R395" s="367"/>
      <c r="S395" s="367"/>
      <c r="T395" s="367"/>
      <c r="U395" s="367"/>
      <c r="V395" s="367"/>
      <c r="W395" s="367"/>
      <c r="X395" s="367"/>
      <c r="Y395" s="367"/>
      <c r="Z395" s="367"/>
      <c r="AA395" s="367"/>
      <c r="AB395" s="367"/>
      <c r="AC395" s="367"/>
      <c r="AD395" s="367"/>
      <c r="AE395" s="367"/>
      <c r="AF395" s="367"/>
    </row>
    <row r="396" ht="15.75" customHeight="1">
      <c r="A396" s="359"/>
      <c r="B396" s="361"/>
      <c r="C396" s="361"/>
      <c r="D396" s="361"/>
      <c r="E396" s="367"/>
      <c r="F396" s="367"/>
      <c r="G396" s="367"/>
      <c r="H396" s="367"/>
      <c r="I396" s="367"/>
      <c r="J396" s="367"/>
      <c r="K396" s="367"/>
      <c r="L396" s="367"/>
      <c r="M396" s="367"/>
      <c r="N396" s="367"/>
      <c r="O396" s="367"/>
      <c r="P396" s="367"/>
      <c r="Q396" s="367"/>
      <c r="R396" s="367"/>
      <c r="S396" s="367"/>
      <c r="T396" s="367"/>
      <c r="U396" s="367"/>
      <c r="V396" s="367"/>
      <c r="W396" s="367"/>
      <c r="X396" s="367"/>
      <c r="Y396" s="367"/>
      <c r="Z396" s="367"/>
      <c r="AA396" s="367"/>
      <c r="AB396" s="367"/>
      <c r="AC396" s="367"/>
      <c r="AD396" s="367"/>
      <c r="AE396" s="367"/>
      <c r="AF396" s="367"/>
    </row>
    <row r="397" ht="15.75" customHeight="1">
      <c r="A397" s="359"/>
      <c r="B397" s="361"/>
      <c r="C397" s="361"/>
      <c r="D397" s="361"/>
      <c r="E397" s="367"/>
      <c r="F397" s="367"/>
      <c r="G397" s="367"/>
      <c r="H397" s="367"/>
      <c r="I397" s="367"/>
      <c r="J397" s="367"/>
      <c r="K397" s="367"/>
      <c r="L397" s="367"/>
      <c r="M397" s="367"/>
      <c r="N397" s="367"/>
      <c r="O397" s="367"/>
      <c r="P397" s="367"/>
      <c r="Q397" s="367"/>
      <c r="R397" s="367"/>
      <c r="S397" s="367"/>
      <c r="T397" s="367"/>
      <c r="U397" s="367"/>
      <c r="V397" s="367"/>
      <c r="W397" s="367"/>
      <c r="X397" s="367"/>
      <c r="Y397" s="367"/>
      <c r="Z397" s="367"/>
      <c r="AA397" s="367"/>
      <c r="AB397" s="367"/>
      <c r="AC397" s="367"/>
      <c r="AD397" s="367"/>
      <c r="AE397" s="367"/>
      <c r="AF397" s="367"/>
    </row>
    <row r="398" ht="15.75" customHeight="1">
      <c r="A398" s="359"/>
      <c r="B398" s="361"/>
      <c r="C398" s="361"/>
      <c r="D398" s="361"/>
      <c r="E398" s="367"/>
      <c r="F398" s="367"/>
      <c r="G398" s="367"/>
      <c r="H398" s="367"/>
      <c r="I398" s="367"/>
      <c r="J398" s="367"/>
      <c r="K398" s="367"/>
      <c r="L398" s="367"/>
      <c r="M398" s="367"/>
      <c r="N398" s="367"/>
      <c r="O398" s="367"/>
      <c r="P398" s="367"/>
      <c r="Q398" s="367"/>
      <c r="R398" s="367"/>
      <c r="S398" s="367"/>
      <c r="T398" s="367"/>
      <c r="U398" s="367"/>
      <c r="V398" s="367"/>
      <c r="W398" s="367"/>
      <c r="X398" s="367"/>
      <c r="Y398" s="367"/>
      <c r="Z398" s="367"/>
      <c r="AA398" s="367"/>
      <c r="AB398" s="367"/>
      <c r="AC398" s="367"/>
      <c r="AD398" s="367"/>
      <c r="AE398" s="367"/>
      <c r="AF398" s="367"/>
    </row>
    <row r="399" ht="15.75" customHeight="1">
      <c r="A399" s="359"/>
      <c r="B399" s="361"/>
      <c r="C399" s="361"/>
      <c r="D399" s="361"/>
      <c r="E399" s="367"/>
      <c r="F399" s="367"/>
      <c r="G399" s="367"/>
      <c r="H399" s="367"/>
      <c r="I399" s="367"/>
      <c r="J399" s="367"/>
      <c r="K399" s="367"/>
      <c r="L399" s="367"/>
      <c r="M399" s="367"/>
      <c r="N399" s="367"/>
      <c r="O399" s="367"/>
      <c r="P399" s="367"/>
      <c r="Q399" s="367"/>
      <c r="R399" s="367"/>
      <c r="S399" s="367"/>
      <c r="T399" s="367"/>
      <c r="U399" s="367"/>
      <c r="V399" s="367"/>
      <c r="W399" s="367"/>
      <c r="X399" s="367"/>
      <c r="Y399" s="367"/>
      <c r="Z399" s="367"/>
      <c r="AA399" s="367"/>
      <c r="AB399" s="367"/>
      <c r="AC399" s="367"/>
      <c r="AD399" s="367"/>
      <c r="AE399" s="367"/>
      <c r="AF399" s="367"/>
    </row>
    <row r="400" ht="15.75" customHeight="1">
      <c r="A400" s="359"/>
      <c r="B400" s="361"/>
      <c r="C400" s="361"/>
      <c r="D400" s="361"/>
      <c r="E400" s="367"/>
      <c r="F400" s="367"/>
      <c r="G400" s="367"/>
      <c r="H400" s="367"/>
      <c r="I400" s="367"/>
      <c r="J400" s="367"/>
      <c r="K400" s="367"/>
      <c r="L400" s="367"/>
      <c r="M400" s="367"/>
      <c r="N400" s="367"/>
      <c r="O400" s="367"/>
      <c r="P400" s="367"/>
      <c r="Q400" s="367"/>
      <c r="R400" s="367"/>
      <c r="S400" s="367"/>
      <c r="T400" s="367"/>
      <c r="U400" s="367"/>
      <c r="V400" s="367"/>
      <c r="W400" s="367"/>
      <c r="X400" s="367"/>
      <c r="Y400" s="367"/>
      <c r="Z400" s="367"/>
      <c r="AA400" s="367"/>
      <c r="AB400" s="367"/>
      <c r="AC400" s="367"/>
      <c r="AD400" s="367"/>
      <c r="AE400" s="367"/>
      <c r="AF400" s="367"/>
    </row>
    <row r="401" ht="15.75" customHeight="1">
      <c r="A401" s="359"/>
      <c r="B401" s="361"/>
      <c r="C401" s="361"/>
      <c r="D401" s="361"/>
      <c r="E401" s="367"/>
      <c r="F401" s="367"/>
      <c r="G401" s="367"/>
      <c r="H401" s="367"/>
      <c r="I401" s="367"/>
      <c r="J401" s="367"/>
      <c r="K401" s="367"/>
      <c r="L401" s="367"/>
      <c r="M401" s="367"/>
      <c r="N401" s="367"/>
      <c r="O401" s="367"/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  <c r="Z401" s="367"/>
      <c r="AA401" s="367"/>
      <c r="AB401" s="367"/>
      <c r="AC401" s="367"/>
      <c r="AD401" s="367"/>
      <c r="AE401" s="367"/>
      <c r="AF401" s="367"/>
    </row>
    <row r="402" ht="15.75" customHeight="1">
      <c r="A402" s="359"/>
      <c r="B402" s="361"/>
      <c r="C402" s="361"/>
      <c r="D402" s="361"/>
      <c r="E402" s="367"/>
      <c r="F402" s="367"/>
      <c r="G402" s="367"/>
      <c r="H402" s="367"/>
      <c r="I402" s="367"/>
      <c r="J402" s="367"/>
      <c r="K402" s="367"/>
      <c r="L402" s="367"/>
      <c r="M402" s="367"/>
      <c r="N402" s="367"/>
      <c r="O402" s="367"/>
      <c r="P402" s="367"/>
      <c r="Q402" s="367"/>
      <c r="R402" s="367"/>
      <c r="S402" s="367"/>
      <c r="T402" s="367"/>
      <c r="U402" s="367"/>
      <c r="V402" s="367"/>
      <c r="W402" s="367"/>
      <c r="X402" s="367"/>
      <c r="Y402" s="367"/>
      <c r="Z402" s="367"/>
      <c r="AA402" s="367"/>
      <c r="AB402" s="367"/>
      <c r="AC402" s="367"/>
      <c r="AD402" s="367"/>
      <c r="AE402" s="367"/>
      <c r="AF402" s="367"/>
    </row>
    <row r="403" ht="15.75" customHeight="1">
      <c r="A403" s="359"/>
      <c r="B403" s="361"/>
      <c r="C403" s="361"/>
      <c r="D403" s="361"/>
      <c r="E403" s="367"/>
      <c r="F403" s="367"/>
      <c r="G403" s="367"/>
      <c r="H403" s="367"/>
      <c r="I403" s="367"/>
      <c r="J403" s="367"/>
      <c r="K403" s="367"/>
      <c r="L403" s="367"/>
      <c r="M403" s="367"/>
      <c r="N403" s="367"/>
      <c r="O403" s="367"/>
      <c r="P403" s="367"/>
      <c r="Q403" s="367"/>
      <c r="R403" s="367"/>
      <c r="S403" s="367"/>
      <c r="T403" s="367"/>
      <c r="U403" s="367"/>
      <c r="V403" s="367"/>
      <c r="W403" s="367"/>
      <c r="X403" s="367"/>
      <c r="Y403" s="367"/>
      <c r="Z403" s="367"/>
      <c r="AA403" s="367"/>
      <c r="AB403" s="367"/>
      <c r="AC403" s="367"/>
      <c r="AD403" s="367"/>
      <c r="AE403" s="367"/>
      <c r="AF403" s="367"/>
    </row>
    <row r="404" ht="15.75" customHeight="1">
      <c r="A404" s="359"/>
      <c r="B404" s="361"/>
      <c r="C404" s="361"/>
      <c r="D404" s="361"/>
      <c r="E404" s="367"/>
      <c r="F404" s="367"/>
      <c r="G404" s="367"/>
      <c r="H404" s="367"/>
      <c r="I404" s="367"/>
      <c r="J404" s="367"/>
      <c r="K404" s="367"/>
      <c r="L404" s="367"/>
      <c r="M404" s="367"/>
      <c r="N404" s="367"/>
      <c r="O404" s="367"/>
      <c r="P404" s="367"/>
      <c r="Q404" s="367"/>
      <c r="R404" s="367"/>
      <c r="S404" s="367"/>
      <c r="T404" s="367"/>
      <c r="U404" s="367"/>
      <c r="V404" s="367"/>
      <c r="W404" s="367"/>
      <c r="X404" s="367"/>
      <c r="Y404" s="367"/>
      <c r="Z404" s="367"/>
      <c r="AA404" s="367"/>
      <c r="AB404" s="367"/>
      <c r="AC404" s="367"/>
      <c r="AD404" s="367"/>
      <c r="AE404" s="367"/>
      <c r="AF404" s="367"/>
    </row>
    <row r="405" ht="15.75" customHeight="1">
      <c r="A405" s="359"/>
      <c r="B405" s="361"/>
      <c r="C405" s="361"/>
      <c r="D405" s="361"/>
      <c r="E405" s="367"/>
      <c r="F405" s="367"/>
      <c r="G405" s="367"/>
      <c r="H405" s="367"/>
      <c r="I405" s="367"/>
      <c r="J405" s="367"/>
      <c r="K405" s="367"/>
      <c r="L405" s="367"/>
      <c r="M405" s="367"/>
      <c r="N405" s="367"/>
      <c r="O405" s="367"/>
      <c r="P405" s="367"/>
      <c r="Q405" s="367"/>
      <c r="R405" s="367"/>
      <c r="S405" s="367"/>
      <c r="T405" s="367"/>
      <c r="U405" s="367"/>
      <c r="V405" s="367"/>
      <c r="W405" s="367"/>
      <c r="X405" s="367"/>
      <c r="Y405" s="367"/>
      <c r="Z405" s="367"/>
      <c r="AA405" s="367"/>
      <c r="AB405" s="367"/>
      <c r="AC405" s="367"/>
      <c r="AD405" s="367"/>
      <c r="AE405" s="367"/>
      <c r="AF405" s="367"/>
    </row>
    <row r="406" ht="15.75" customHeight="1">
      <c r="A406" s="359"/>
      <c r="B406" s="361"/>
      <c r="C406" s="361"/>
      <c r="D406" s="361"/>
      <c r="E406" s="367"/>
      <c r="F406" s="367"/>
      <c r="G406" s="367"/>
      <c r="H406" s="367"/>
      <c r="I406" s="367"/>
      <c r="J406" s="367"/>
      <c r="K406" s="367"/>
      <c r="L406" s="367"/>
      <c r="M406" s="367"/>
      <c r="N406" s="367"/>
      <c r="O406" s="367"/>
      <c r="P406" s="367"/>
      <c r="Q406" s="367"/>
      <c r="R406" s="367"/>
      <c r="S406" s="367"/>
      <c r="T406" s="367"/>
      <c r="U406" s="367"/>
      <c r="V406" s="367"/>
      <c r="W406" s="367"/>
      <c r="X406" s="367"/>
      <c r="Y406" s="367"/>
      <c r="Z406" s="367"/>
      <c r="AA406" s="367"/>
      <c r="AB406" s="367"/>
      <c r="AC406" s="367"/>
      <c r="AD406" s="367"/>
      <c r="AE406" s="367"/>
      <c r="AF406" s="367"/>
    </row>
    <row r="407" ht="15.75" customHeight="1">
      <c r="A407" s="359"/>
      <c r="B407" s="361"/>
      <c r="C407" s="361"/>
      <c r="D407" s="361"/>
      <c r="E407" s="367"/>
      <c r="F407" s="367"/>
      <c r="G407" s="367"/>
      <c r="H407" s="367"/>
      <c r="I407" s="367"/>
      <c r="J407" s="367"/>
      <c r="K407" s="367"/>
      <c r="L407" s="367"/>
      <c r="M407" s="367"/>
      <c r="N407" s="367"/>
      <c r="O407" s="367"/>
      <c r="P407" s="367"/>
      <c r="Q407" s="367"/>
      <c r="R407" s="367"/>
      <c r="S407" s="367"/>
      <c r="T407" s="367"/>
      <c r="U407" s="367"/>
      <c r="V407" s="367"/>
      <c r="W407" s="367"/>
      <c r="X407" s="367"/>
      <c r="Y407" s="367"/>
      <c r="Z407" s="367"/>
      <c r="AA407" s="367"/>
      <c r="AB407" s="367"/>
      <c r="AC407" s="367"/>
      <c r="AD407" s="367"/>
      <c r="AE407" s="367"/>
      <c r="AF407" s="367"/>
    </row>
    <row r="408" ht="15.75" customHeight="1">
      <c r="A408" s="359"/>
      <c r="B408" s="361"/>
      <c r="C408" s="361"/>
      <c r="D408" s="361"/>
      <c r="E408" s="367"/>
      <c r="F408" s="367"/>
      <c r="G408" s="367"/>
      <c r="H408" s="367"/>
      <c r="I408" s="367"/>
      <c r="J408" s="367"/>
      <c r="K408" s="367"/>
      <c r="L408" s="367"/>
      <c r="M408" s="367"/>
      <c r="N408" s="367"/>
      <c r="O408" s="367"/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</row>
    <row r="409" ht="15.75" customHeight="1">
      <c r="A409" s="359"/>
      <c r="B409" s="361"/>
      <c r="C409" s="361"/>
      <c r="D409" s="361"/>
      <c r="E409" s="367"/>
      <c r="F409" s="367"/>
      <c r="G409" s="367"/>
      <c r="H409" s="367"/>
      <c r="I409" s="367"/>
      <c r="J409" s="367"/>
      <c r="K409" s="367"/>
      <c r="L409" s="367"/>
      <c r="M409" s="367"/>
      <c r="N409" s="367"/>
      <c r="O409" s="367"/>
      <c r="P409" s="367"/>
      <c r="Q409" s="367"/>
      <c r="R409" s="367"/>
      <c r="S409" s="367"/>
      <c r="T409" s="367"/>
      <c r="U409" s="367"/>
      <c r="V409" s="367"/>
      <c r="W409" s="367"/>
      <c r="X409" s="367"/>
      <c r="Y409" s="367"/>
      <c r="Z409" s="367"/>
      <c r="AA409" s="367"/>
      <c r="AB409" s="367"/>
      <c r="AC409" s="367"/>
      <c r="AD409" s="367"/>
      <c r="AE409" s="367"/>
      <c r="AF409" s="367"/>
    </row>
    <row r="410" ht="15.75" customHeight="1">
      <c r="A410" s="359"/>
      <c r="B410" s="361"/>
      <c r="C410" s="361"/>
      <c r="D410" s="361"/>
      <c r="E410" s="367"/>
      <c r="F410" s="367"/>
      <c r="G410" s="367"/>
      <c r="H410" s="367"/>
      <c r="I410" s="367"/>
      <c r="J410" s="367"/>
      <c r="K410" s="367"/>
      <c r="L410" s="367"/>
      <c r="M410" s="367"/>
      <c r="N410" s="367"/>
      <c r="O410" s="367"/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</row>
    <row r="411" ht="15.75" customHeight="1">
      <c r="A411" s="359"/>
      <c r="B411" s="361"/>
      <c r="C411" s="361"/>
      <c r="D411" s="361"/>
      <c r="E411" s="367"/>
      <c r="F411" s="367"/>
      <c r="G411" s="367"/>
      <c r="H411" s="367"/>
      <c r="I411" s="367"/>
      <c r="J411" s="367"/>
      <c r="K411" s="367"/>
      <c r="L411" s="367"/>
      <c r="M411" s="367"/>
      <c r="N411" s="367"/>
      <c r="O411" s="367"/>
      <c r="P411" s="367"/>
      <c r="Q411" s="367"/>
      <c r="R411" s="367"/>
      <c r="S411" s="367"/>
      <c r="T411" s="367"/>
      <c r="U411" s="367"/>
      <c r="V411" s="367"/>
      <c r="W411" s="367"/>
      <c r="X411" s="367"/>
      <c r="Y411" s="367"/>
      <c r="Z411" s="367"/>
      <c r="AA411" s="367"/>
      <c r="AB411" s="367"/>
      <c r="AC411" s="367"/>
      <c r="AD411" s="367"/>
      <c r="AE411" s="367"/>
      <c r="AF411" s="367"/>
    </row>
    <row r="412" ht="15.75" customHeight="1">
      <c r="A412" s="359"/>
      <c r="B412" s="361"/>
      <c r="C412" s="361"/>
      <c r="D412" s="361"/>
      <c r="E412" s="367"/>
      <c r="F412" s="367"/>
      <c r="G412" s="367"/>
      <c r="H412" s="367"/>
      <c r="I412" s="367"/>
      <c r="J412" s="367"/>
      <c r="K412" s="367"/>
      <c r="L412" s="367"/>
      <c r="M412" s="367"/>
      <c r="N412" s="367"/>
      <c r="O412" s="367"/>
      <c r="P412" s="367"/>
      <c r="Q412" s="367"/>
      <c r="R412" s="367"/>
      <c r="S412" s="367"/>
      <c r="T412" s="367"/>
      <c r="U412" s="367"/>
      <c r="V412" s="367"/>
      <c r="W412" s="367"/>
      <c r="X412" s="367"/>
      <c r="Y412" s="367"/>
      <c r="Z412" s="367"/>
      <c r="AA412" s="367"/>
      <c r="AB412" s="367"/>
      <c r="AC412" s="367"/>
      <c r="AD412" s="367"/>
      <c r="AE412" s="367"/>
      <c r="AF412" s="367"/>
    </row>
    <row r="413" ht="15.75" customHeight="1">
      <c r="A413" s="359"/>
      <c r="B413" s="361"/>
      <c r="C413" s="361"/>
      <c r="D413" s="361"/>
      <c r="E413" s="367"/>
      <c r="F413" s="367"/>
      <c r="G413" s="367"/>
      <c r="H413" s="367"/>
      <c r="I413" s="367"/>
      <c r="J413" s="367"/>
      <c r="K413" s="367"/>
      <c r="L413" s="367"/>
      <c r="M413" s="367"/>
      <c r="N413" s="367"/>
      <c r="O413" s="367"/>
      <c r="P413" s="367"/>
      <c r="Q413" s="367"/>
      <c r="R413" s="367"/>
      <c r="S413" s="367"/>
      <c r="T413" s="367"/>
      <c r="U413" s="367"/>
      <c r="V413" s="367"/>
      <c r="W413" s="367"/>
      <c r="X413" s="367"/>
      <c r="Y413" s="367"/>
      <c r="Z413" s="367"/>
      <c r="AA413" s="367"/>
      <c r="AB413" s="367"/>
      <c r="AC413" s="367"/>
      <c r="AD413" s="367"/>
      <c r="AE413" s="367"/>
      <c r="AF413" s="367"/>
    </row>
    <row r="414" ht="15.75" customHeight="1">
      <c r="A414" s="359"/>
      <c r="B414" s="361"/>
      <c r="C414" s="361"/>
      <c r="D414" s="361"/>
      <c r="E414" s="367"/>
      <c r="F414" s="367"/>
      <c r="G414" s="367"/>
      <c r="H414" s="367"/>
      <c r="I414" s="367"/>
      <c r="J414" s="367"/>
      <c r="K414" s="367"/>
      <c r="L414" s="367"/>
      <c r="M414" s="367"/>
      <c r="N414" s="367"/>
      <c r="O414" s="367"/>
      <c r="P414" s="367"/>
      <c r="Q414" s="367"/>
      <c r="R414" s="367"/>
      <c r="S414" s="367"/>
      <c r="T414" s="367"/>
      <c r="U414" s="367"/>
      <c r="V414" s="367"/>
      <c r="W414" s="367"/>
      <c r="X414" s="367"/>
      <c r="Y414" s="367"/>
      <c r="Z414" s="367"/>
      <c r="AA414" s="367"/>
      <c r="AB414" s="367"/>
      <c r="AC414" s="367"/>
      <c r="AD414" s="367"/>
      <c r="AE414" s="367"/>
      <c r="AF414" s="367"/>
    </row>
    <row r="415" ht="15.75" customHeight="1">
      <c r="A415" s="359"/>
      <c r="B415" s="361"/>
      <c r="C415" s="361"/>
      <c r="D415" s="361"/>
      <c r="E415" s="367"/>
      <c r="F415" s="367"/>
      <c r="G415" s="367"/>
      <c r="H415" s="367"/>
      <c r="I415" s="367"/>
      <c r="J415" s="367"/>
      <c r="K415" s="367"/>
      <c r="L415" s="367"/>
      <c r="M415" s="367"/>
      <c r="N415" s="367"/>
      <c r="O415" s="367"/>
      <c r="P415" s="367"/>
      <c r="Q415" s="367"/>
      <c r="R415" s="367"/>
      <c r="S415" s="367"/>
      <c r="T415" s="367"/>
      <c r="U415" s="367"/>
      <c r="V415" s="367"/>
      <c r="W415" s="367"/>
      <c r="X415" s="367"/>
      <c r="Y415" s="367"/>
      <c r="Z415" s="367"/>
      <c r="AA415" s="367"/>
      <c r="AB415" s="367"/>
      <c r="AC415" s="367"/>
      <c r="AD415" s="367"/>
      <c r="AE415" s="367"/>
      <c r="AF415" s="367"/>
    </row>
    <row r="416" ht="15.75" customHeight="1">
      <c r="A416" s="359"/>
      <c r="B416" s="361"/>
      <c r="C416" s="361"/>
      <c r="D416" s="361"/>
      <c r="E416" s="367"/>
      <c r="F416" s="367"/>
      <c r="G416" s="367"/>
      <c r="H416" s="367"/>
      <c r="I416" s="367"/>
      <c r="J416" s="367"/>
      <c r="K416" s="367"/>
      <c r="L416" s="367"/>
      <c r="M416" s="367"/>
      <c r="N416" s="367"/>
      <c r="O416" s="367"/>
      <c r="P416" s="367"/>
      <c r="Q416" s="367"/>
      <c r="R416" s="367"/>
      <c r="S416" s="367"/>
      <c r="T416" s="367"/>
      <c r="U416" s="367"/>
      <c r="V416" s="367"/>
      <c r="W416" s="367"/>
      <c r="X416" s="367"/>
      <c r="Y416" s="367"/>
      <c r="Z416" s="367"/>
      <c r="AA416" s="367"/>
      <c r="AB416" s="367"/>
      <c r="AC416" s="367"/>
      <c r="AD416" s="367"/>
      <c r="AE416" s="367"/>
      <c r="AF416" s="367"/>
    </row>
    <row r="417" ht="15.75" customHeight="1">
      <c r="A417" s="359"/>
      <c r="B417" s="361"/>
      <c r="C417" s="361"/>
      <c r="D417" s="361"/>
      <c r="E417" s="367"/>
      <c r="F417" s="367"/>
      <c r="G417" s="367"/>
      <c r="H417" s="367"/>
      <c r="I417" s="367"/>
      <c r="J417" s="367"/>
      <c r="K417" s="367"/>
      <c r="L417" s="367"/>
      <c r="M417" s="367"/>
      <c r="N417" s="367"/>
      <c r="O417" s="367"/>
      <c r="P417" s="367"/>
      <c r="Q417" s="367"/>
      <c r="R417" s="367"/>
      <c r="S417" s="367"/>
      <c r="T417" s="367"/>
      <c r="U417" s="367"/>
      <c r="V417" s="367"/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</row>
    <row r="418" ht="15.75" customHeight="1">
      <c r="A418" s="359"/>
      <c r="B418" s="361"/>
      <c r="C418" s="361"/>
      <c r="D418" s="361"/>
      <c r="E418" s="367"/>
      <c r="F418" s="367"/>
      <c r="G418" s="367"/>
      <c r="H418" s="367"/>
      <c r="I418" s="367"/>
      <c r="J418" s="367"/>
      <c r="K418" s="367"/>
      <c r="L418" s="367"/>
      <c r="M418" s="367"/>
      <c r="N418" s="367"/>
      <c r="O418" s="367"/>
      <c r="P418" s="367"/>
      <c r="Q418" s="367"/>
      <c r="R418" s="367"/>
      <c r="S418" s="367"/>
      <c r="T418" s="367"/>
      <c r="U418" s="367"/>
      <c r="V418" s="367"/>
      <c r="W418" s="367"/>
      <c r="X418" s="367"/>
      <c r="Y418" s="367"/>
      <c r="Z418" s="367"/>
      <c r="AA418" s="367"/>
      <c r="AB418" s="367"/>
      <c r="AC418" s="367"/>
      <c r="AD418" s="367"/>
      <c r="AE418" s="367"/>
      <c r="AF418" s="367"/>
    </row>
    <row r="419" ht="15.75" customHeight="1">
      <c r="A419" s="359"/>
      <c r="B419" s="361"/>
      <c r="C419" s="361"/>
      <c r="D419" s="361"/>
      <c r="E419" s="367"/>
      <c r="F419" s="367"/>
      <c r="G419" s="367"/>
      <c r="H419" s="367"/>
      <c r="I419" s="367"/>
      <c r="J419" s="367"/>
      <c r="K419" s="367"/>
      <c r="L419" s="367"/>
      <c r="M419" s="367"/>
      <c r="N419" s="367"/>
      <c r="O419" s="367"/>
      <c r="P419" s="367"/>
      <c r="Q419" s="367"/>
      <c r="R419" s="367"/>
      <c r="S419" s="367"/>
      <c r="T419" s="367"/>
      <c r="U419" s="367"/>
      <c r="V419" s="367"/>
      <c r="W419" s="367"/>
      <c r="X419" s="367"/>
      <c r="Y419" s="367"/>
      <c r="Z419" s="367"/>
      <c r="AA419" s="367"/>
      <c r="AB419" s="367"/>
      <c r="AC419" s="367"/>
      <c r="AD419" s="367"/>
      <c r="AE419" s="367"/>
      <c r="AF419" s="367"/>
    </row>
    <row r="420" ht="15.75" customHeight="1">
      <c r="A420" s="359"/>
      <c r="B420" s="361"/>
      <c r="C420" s="361"/>
      <c r="D420" s="361"/>
      <c r="E420" s="367"/>
      <c r="F420" s="367"/>
      <c r="G420" s="367"/>
      <c r="H420" s="367"/>
      <c r="I420" s="367"/>
      <c r="J420" s="367"/>
      <c r="K420" s="367"/>
      <c r="L420" s="367"/>
      <c r="M420" s="367"/>
      <c r="N420" s="367"/>
      <c r="O420" s="367"/>
      <c r="P420" s="367"/>
      <c r="Q420" s="367"/>
      <c r="R420" s="367"/>
      <c r="S420" s="367"/>
      <c r="T420" s="367"/>
      <c r="U420" s="367"/>
      <c r="V420" s="367"/>
      <c r="W420" s="367"/>
      <c r="X420" s="367"/>
      <c r="Y420" s="367"/>
      <c r="Z420" s="367"/>
      <c r="AA420" s="367"/>
      <c r="AB420" s="367"/>
      <c r="AC420" s="367"/>
      <c r="AD420" s="367"/>
      <c r="AE420" s="367"/>
      <c r="AF420" s="367"/>
    </row>
    <row r="421" ht="15.75" customHeight="1">
      <c r="A421" s="359"/>
      <c r="B421" s="361"/>
      <c r="C421" s="361"/>
      <c r="D421" s="361"/>
      <c r="E421" s="367"/>
      <c r="F421" s="367"/>
      <c r="G421" s="367"/>
      <c r="H421" s="367"/>
      <c r="I421" s="367"/>
      <c r="J421" s="367"/>
      <c r="K421" s="367"/>
      <c r="L421" s="367"/>
      <c r="M421" s="367"/>
      <c r="N421" s="367"/>
      <c r="O421" s="367"/>
      <c r="P421" s="367"/>
      <c r="Q421" s="367"/>
      <c r="R421" s="367"/>
      <c r="S421" s="367"/>
      <c r="T421" s="367"/>
      <c r="U421" s="367"/>
      <c r="V421" s="367"/>
      <c r="W421" s="367"/>
      <c r="X421" s="367"/>
      <c r="Y421" s="367"/>
      <c r="Z421" s="367"/>
      <c r="AA421" s="367"/>
      <c r="AB421" s="367"/>
      <c r="AC421" s="367"/>
      <c r="AD421" s="367"/>
      <c r="AE421" s="367"/>
      <c r="AF421" s="367"/>
    </row>
    <row r="422" ht="15.75" customHeight="1">
      <c r="A422" s="359"/>
      <c r="B422" s="361"/>
      <c r="C422" s="361"/>
      <c r="D422" s="361"/>
      <c r="E422" s="367"/>
      <c r="F422" s="367"/>
      <c r="G422" s="367"/>
      <c r="H422" s="367"/>
      <c r="I422" s="367"/>
      <c r="J422" s="367"/>
      <c r="K422" s="367"/>
      <c r="L422" s="367"/>
      <c r="M422" s="367"/>
      <c r="N422" s="367"/>
      <c r="O422" s="367"/>
      <c r="P422" s="367"/>
      <c r="Q422" s="367"/>
      <c r="R422" s="367"/>
      <c r="S422" s="367"/>
      <c r="T422" s="367"/>
      <c r="U422" s="367"/>
      <c r="V422" s="367"/>
      <c r="W422" s="367"/>
      <c r="X422" s="367"/>
      <c r="Y422" s="367"/>
      <c r="Z422" s="367"/>
      <c r="AA422" s="367"/>
      <c r="AB422" s="367"/>
      <c r="AC422" s="367"/>
      <c r="AD422" s="367"/>
      <c r="AE422" s="367"/>
      <c r="AF422" s="367"/>
    </row>
    <row r="423" ht="15.75" customHeight="1">
      <c r="A423" s="359"/>
      <c r="B423" s="361"/>
      <c r="C423" s="361"/>
      <c r="D423" s="361"/>
      <c r="E423" s="367"/>
      <c r="F423" s="367"/>
      <c r="G423" s="367"/>
      <c r="H423" s="367"/>
      <c r="I423" s="367"/>
      <c r="J423" s="367"/>
      <c r="K423" s="367"/>
      <c r="L423" s="367"/>
      <c r="M423" s="367"/>
      <c r="N423" s="367"/>
      <c r="O423" s="367"/>
      <c r="P423" s="367"/>
      <c r="Q423" s="367"/>
      <c r="R423" s="367"/>
      <c r="S423" s="367"/>
      <c r="T423" s="367"/>
      <c r="U423" s="367"/>
      <c r="V423" s="367"/>
      <c r="W423" s="367"/>
      <c r="X423" s="367"/>
      <c r="Y423" s="367"/>
      <c r="Z423" s="367"/>
      <c r="AA423" s="367"/>
      <c r="AB423" s="367"/>
      <c r="AC423" s="367"/>
      <c r="AD423" s="367"/>
      <c r="AE423" s="367"/>
      <c r="AF423" s="367"/>
    </row>
    <row r="424" ht="15.75" customHeight="1">
      <c r="A424" s="359"/>
      <c r="B424" s="361"/>
      <c r="C424" s="361"/>
      <c r="D424" s="361"/>
      <c r="E424" s="367"/>
      <c r="F424" s="367"/>
      <c r="G424" s="367"/>
      <c r="H424" s="367"/>
      <c r="I424" s="367"/>
      <c r="J424" s="367"/>
      <c r="K424" s="367"/>
      <c r="L424" s="367"/>
      <c r="M424" s="367"/>
      <c r="N424" s="367"/>
      <c r="O424" s="367"/>
      <c r="P424" s="367"/>
      <c r="Q424" s="367"/>
      <c r="R424" s="367"/>
      <c r="S424" s="367"/>
      <c r="T424" s="367"/>
      <c r="U424" s="367"/>
      <c r="V424" s="367"/>
      <c r="W424" s="367"/>
      <c r="X424" s="367"/>
      <c r="Y424" s="367"/>
      <c r="Z424" s="367"/>
      <c r="AA424" s="367"/>
      <c r="AB424" s="367"/>
      <c r="AC424" s="367"/>
      <c r="AD424" s="367"/>
      <c r="AE424" s="367"/>
      <c r="AF424" s="367"/>
    </row>
    <row r="425" ht="15.75" customHeight="1">
      <c r="A425" s="359"/>
      <c r="B425" s="361"/>
      <c r="C425" s="361"/>
      <c r="D425" s="361"/>
      <c r="E425" s="367"/>
      <c r="F425" s="367"/>
      <c r="G425" s="367"/>
      <c r="H425" s="367"/>
      <c r="I425" s="367"/>
      <c r="J425" s="367"/>
      <c r="K425" s="367"/>
      <c r="L425" s="367"/>
      <c r="M425" s="367"/>
      <c r="N425" s="367"/>
      <c r="O425" s="367"/>
      <c r="P425" s="367"/>
      <c r="Q425" s="367"/>
      <c r="R425" s="367"/>
      <c r="S425" s="367"/>
      <c r="T425" s="367"/>
      <c r="U425" s="367"/>
      <c r="V425" s="367"/>
      <c r="W425" s="367"/>
      <c r="X425" s="367"/>
      <c r="Y425" s="367"/>
      <c r="Z425" s="367"/>
      <c r="AA425" s="367"/>
      <c r="AB425" s="367"/>
      <c r="AC425" s="367"/>
      <c r="AD425" s="367"/>
      <c r="AE425" s="367"/>
      <c r="AF425" s="367"/>
    </row>
    <row r="426" ht="15.75" customHeight="1">
      <c r="A426" s="359"/>
      <c r="B426" s="361"/>
      <c r="C426" s="361"/>
      <c r="D426" s="361"/>
      <c r="E426" s="367"/>
      <c r="F426" s="367"/>
      <c r="G426" s="367"/>
      <c r="H426" s="367"/>
      <c r="I426" s="367"/>
      <c r="J426" s="367"/>
      <c r="K426" s="367"/>
      <c r="L426" s="367"/>
      <c r="M426" s="367"/>
      <c r="N426" s="367"/>
      <c r="O426" s="367"/>
      <c r="P426" s="367"/>
      <c r="Q426" s="367"/>
      <c r="R426" s="367"/>
      <c r="S426" s="367"/>
      <c r="T426" s="367"/>
      <c r="U426" s="367"/>
      <c r="V426" s="367"/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</row>
    <row r="427" ht="15.75" customHeight="1">
      <c r="A427" s="359"/>
      <c r="B427" s="361"/>
      <c r="C427" s="361"/>
      <c r="D427" s="361"/>
      <c r="E427" s="367"/>
      <c r="F427" s="367"/>
      <c r="G427" s="367"/>
      <c r="H427" s="367"/>
      <c r="I427" s="367"/>
      <c r="J427" s="367"/>
      <c r="K427" s="367"/>
      <c r="L427" s="367"/>
      <c r="M427" s="367"/>
      <c r="N427" s="367"/>
      <c r="O427" s="367"/>
      <c r="P427" s="367"/>
      <c r="Q427" s="367"/>
      <c r="R427" s="367"/>
      <c r="S427" s="367"/>
      <c r="T427" s="367"/>
      <c r="U427" s="367"/>
      <c r="V427" s="367"/>
      <c r="W427" s="367"/>
      <c r="X427" s="367"/>
      <c r="Y427" s="367"/>
      <c r="Z427" s="367"/>
      <c r="AA427" s="367"/>
      <c r="AB427" s="367"/>
      <c r="AC427" s="367"/>
      <c r="AD427" s="367"/>
      <c r="AE427" s="367"/>
      <c r="AF427" s="367"/>
    </row>
    <row r="428" ht="15.75" customHeight="1">
      <c r="A428" s="359"/>
      <c r="B428" s="361"/>
      <c r="C428" s="361"/>
      <c r="D428" s="361"/>
      <c r="E428" s="367"/>
      <c r="F428" s="367"/>
      <c r="G428" s="367"/>
      <c r="H428" s="367"/>
      <c r="I428" s="367"/>
      <c r="J428" s="367"/>
      <c r="K428" s="367"/>
      <c r="L428" s="367"/>
      <c r="M428" s="367"/>
      <c r="N428" s="367"/>
      <c r="O428" s="367"/>
      <c r="P428" s="367"/>
      <c r="Q428" s="367"/>
      <c r="R428" s="367"/>
      <c r="S428" s="367"/>
      <c r="T428" s="367"/>
      <c r="U428" s="367"/>
      <c r="V428" s="367"/>
      <c r="W428" s="367"/>
      <c r="X428" s="367"/>
      <c r="Y428" s="367"/>
      <c r="Z428" s="367"/>
      <c r="AA428" s="367"/>
      <c r="AB428" s="367"/>
      <c r="AC428" s="367"/>
      <c r="AD428" s="367"/>
      <c r="AE428" s="367"/>
      <c r="AF428" s="367"/>
    </row>
    <row r="429" ht="15.75" customHeight="1">
      <c r="A429" s="359"/>
      <c r="B429" s="361"/>
      <c r="C429" s="361"/>
      <c r="D429" s="361"/>
      <c r="E429" s="367"/>
      <c r="F429" s="367"/>
      <c r="G429" s="367"/>
      <c r="H429" s="367"/>
      <c r="I429" s="367"/>
      <c r="J429" s="367"/>
      <c r="K429" s="367"/>
      <c r="L429" s="367"/>
      <c r="M429" s="367"/>
      <c r="N429" s="367"/>
      <c r="O429" s="367"/>
      <c r="P429" s="367"/>
      <c r="Q429" s="367"/>
      <c r="R429" s="367"/>
      <c r="S429" s="367"/>
      <c r="T429" s="367"/>
      <c r="U429" s="367"/>
      <c r="V429" s="367"/>
      <c r="W429" s="367"/>
      <c r="X429" s="367"/>
      <c r="Y429" s="367"/>
      <c r="Z429" s="367"/>
      <c r="AA429" s="367"/>
      <c r="AB429" s="367"/>
      <c r="AC429" s="367"/>
      <c r="AD429" s="367"/>
      <c r="AE429" s="367"/>
      <c r="AF429" s="367"/>
    </row>
    <row r="430" ht="15.75" customHeight="1">
      <c r="A430" s="359"/>
      <c r="B430" s="361"/>
      <c r="C430" s="361"/>
      <c r="D430" s="361"/>
      <c r="E430" s="367"/>
      <c r="F430" s="367"/>
      <c r="G430" s="367"/>
      <c r="H430" s="367"/>
      <c r="I430" s="367"/>
      <c r="J430" s="367"/>
      <c r="K430" s="367"/>
      <c r="L430" s="367"/>
      <c r="M430" s="367"/>
      <c r="N430" s="367"/>
      <c r="O430" s="367"/>
      <c r="P430" s="367"/>
      <c r="Q430" s="367"/>
      <c r="R430" s="367"/>
      <c r="S430" s="367"/>
      <c r="T430" s="367"/>
      <c r="U430" s="367"/>
      <c r="V430" s="367"/>
      <c r="W430" s="367"/>
      <c r="X430" s="367"/>
      <c r="Y430" s="367"/>
      <c r="Z430" s="367"/>
      <c r="AA430" s="367"/>
      <c r="AB430" s="367"/>
      <c r="AC430" s="367"/>
      <c r="AD430" s="367"/>
      <c r="AE430" s="367"/>
      <c r="AF430" s="367"/>
    </row>
    <row r="431" ht="15.75" customHeight="1">
      <c r="A431" s="359"/>
      <c r="B431" s="361"/>
      <c r="C431" s="361"/>
      <c r="D431" s="361"/>
      <c r="E431" s="367"/>
      <c r="F431" s="367"/>
      <c r="G431" s="367"/>
      <c r="H431" s="367"/>
      <c r="I431" s="367"/>
      <c r="J431" s="367"/>
      <c r="K431" s="367"/>
      <c r="L431" s="367"/>
      <c r="M431" s="367"/>
      <c r="N431" s="367"/>
      <c r="O431" s="367"/>
      <c r="P431" s="367"/>
      <c r="Q431" s="367"/>
      <c r="R431" s="367"/>
      <c r="S431" s="367"/>
      <c r="T431" s="367"/>
      <c r="U431" s="367"/>
      <c r="V431" s="367"/>
      <c r="W431" s="367"/>
      <c r="X431" s="367"/>
      <c r="Y431" s="367"/>
      <c r="Z431" s="367"/>
      <c r="AA431" s="367"/>
      <c r="AB431" s="367"/>
      <c r="AC431" s="367"/>
      <c r="AD431" s="367"/>
      <c r="AE431" s="367"/>
      <c r="AF431" s="367"/>
    </row>
    <row r="432" ht="15.75" customHeight="1">
      <c r="A432" s="359"/>
      <c r="B432" s="361"/>
      <c r="C432" s="361"/>
      <c r="D432" s="361"/>
      <c r="E432" s="367"/>
      <c r="F432" s="367"/>
      <c r="G432" s="367"/>
      <c r="H432" s="367"/>
      <c r="I432" s="367"/>
      <c r="J432" s="367"/>
      <c r="K432" s="367"/>
      <c r="L432" s="367"/>
      <c r="M432" s="367"/>
      <c r="N432" s="367"/>
      <c r="O432" s="367"/>
      <c r="P432" s="367"/>
      <c r="Q432" s="367"/>
      <c r="R432" s="367"/>
      <c r="S432" s="367"/>
      <c r="T432" s="367"/>
      <c r="U432" s="367"/>
      <c r="V432" s="367"/>
      <c r="W432" s="367"/>
      <c r="X432" s="367"/>
      <c r="Y432" s="367"/>
      <c r="Z432" s="367"/>
      <c r="AA432" s="367"/>
      <c r="AB432" s="367"/>
      <c r="AC432" s="367"/>
      <c r="AD432" s="367"/>
      <c r="AE432" s="367"/>
      <c r="AF432" s="367"/>
    </row>
    <row r="433" ht="15.75" customHeight="1">
      <c r="A433" s="359"/>
      <c r="B433" s="361"/>
      <c r="C433" s="361"/>
      <c r="D433" s="361"/>
      <c r="E433" s="367"/>
      <c r="F433" s="367"/>
      <c r="G433" s="367"/>
      <c r="H433" s="367"/>
      <c r="I433" s="367"/>
      <c r="J433" s="367"/>
      <c r="K433" s="367"/>
      <c r="L433" s="367"/>
      <c r="M433" s="367"/>
      <c r="N433" s="367"/>
      <c r="O433" s="367"/>
      <c r="P433" s="367"/>
      <c r="Q433" s="367"/>
      <c r="R433" s="367"/>
      <c r="S433" s="367"/>
      <c r="T433" s="367"/>
      <c r="U433" s="367"/>
      <c r="V433" s="367"/>
      <c r="W433" s="367"/>
      <c r="X433" s="367"/>
      <c r="Y433" s="367"/>
      <c r="Z433" s="367"/>
      <c r="AA433" s="367"/>
      <c r="AB433" s="367"/>
      <c r="AC433" s="367"/>
      <c r="AD433" s="367"/>
      <c r="AE433" s="367"/>
      <c r="AF433" s="367"/>
    </row>
    <row r="434" ht="15.75" customHeight="1">
      <c r="A434" s="359"/>
      <c r="B434" s="361"/>
      <c r="C434" s="361"/>
      <c r="D434" s="361"/>
      <c r="E434" s="367"/>
      <c r="F434" s="367"/>
      <c r="G434" s="367"/>
      <c r="H434" s="367"/>
      <c r="I434" s="367"/>
      <c r="J434" s="367"/>
      <c r="K434" s="367"/>
      <c r="L434" s="367"/>
      <c r="M434" s="367"/>
      <c r="N434" s="367"/>
      <c r="O434" s="367"/>
      <c r="P434" s="367"/>
      <c r="Q434" s="367"/>
      <c r="R434" s="367"/>
      <c r="S434" s="367"/>
      <c r="T434" s="367"/>
      <c r="U434" s="367"/>
      <c r="V434" s="367"/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</row>
    <row r="435" ht="15.75" customHeight="1">
      <c r="A435" s="359"/>
      <c r="B435" s="361"/>
      <c r="C435" s="361"/>
      <c r="D435" s="361"/>
      <c r="E435" s="367"/>
      <c r="F435" s="367"/>
      <c r="G435" s="367"/>
      <c r="H435" s="367"/>
      <c r="I435" s="367"/>
      <c r="J435" s="367"/>
      <c r="K435" s="367"/>
      <c r="L435" s="367"/>
      <c r="M435" s="367"/>
      <c r="N435" s="367"/>
      <c r="O435" s="367"/>
      <c r="P435" s="367"/>
      <c r="Q435" s="367"/>
      <c r="R435" s="367"/>
      <c r="S435" s="367"/>
      <c r="T435" s="367"/>
      <c r="U435" s="367"/>
      <c r="V435" s="367"/>
      <c r="W435" s="367"/>
      <c r="X435" s="367"/>
      <c r="Y435" s="367"/>
      <c r="Z435" s="367"/>
      <c r="AA435" s="367"/>
      <c r="AB435" s="367"/>
      <c r="AC435" s="367"/>
      <c r="AD435" s="367"/>
      <c r="AE435" s="367"/>
      <c r="AF435" s="367"/>
    </row>
    <row r="436" ht="15.75" customHeight="1">
      <c r="A436" s="359"/>
      <c r="B436" s="361"/>
      <c r="C436" s="361"/>
      <c r="D436" s="361"/>
      <c r="E436" s="367"/>
      <c r="F436" s="367"/>
      <c r="G436" s="367"/>
      <c r="H436" s="367"/>
      <c r="I436" s="367"/>
      <c r="J436" s="367"/>
      <c r="K436" s="367"/>
      <c r="L436" s="367"/>
      <c r="M436" s="367"/>
      <c r="N436" s="367"/>
      <c r="O436" s="367"/>
      <c r="P436" s="367"/>
      <c r="Q436" s="367"/>
      <c r="R436" s="367"/>
      <c r="S436" s="367"/>
      <c r="T436" s="367"/>
      <c r="U436" s="367"/>
      <c r="V436" s="367"/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</row>
    <row r="437" ht="15.75" customHeight="1">
      <c r="A437" s="359"/>
      <c r="B437" s="361"/>
      <c r="C437" s="361"/>
      <c r="D437" s="361"/>
      <c r="E437" s="367"/>
      <c r="F437" s="367"/>
      <c r="G437" s="367"/>
      <c r="H437" s="367"/>
      <c r="I437" s="367"/>
      <c r="J437" s="367"/>
      <c r="K437" s="367"/>
      <c r="L437" s="367"/>
      <c r="M437" s="367"/>
      <c r="N437" s="367"/>
      <c r="O437" s="367"/>
      <c r="P437" s="367"/>
      <c r="Q437" s="367"/>
      <c r="R437" s="367"/>
      <c r="S437" s="367"/>
      <c r="T437" s="367"/>
      <c r="U437" s="367"/>
      <c r="V437" s="367"/>
      <c r="W437" s="367"/>
      <c r="X437" s="367"/>
      <c r="Y437" s="367"/>
      <c r="Z437" s="367"/>
      <c r="AA437" s="367"/>
      <c r="AB437" s="367"/>
      <c r="AC437" s="367"/>
      <c r="AD437" s="367"/>
      <c r="AE437" s="367"/>
      <c r="AF437" s="367"/>
    </row>
    <row r="438" ht="15.75" customHeight="1">
      <c r="A438" s="359"/>
      <c r="B438" s="361"/>
      <c r="C438" s="361"/>
      <c r="D438" s="361"/>
      <c r="E438" s="367"/>
      <c r="F438" s="367"/>
      <c r="G438" s="367"/>
      <c r="H438" s="367"/>
      <c r="I438" s="367"/>
      <c r="J438" s="367"/>
      <c r="K438" s="367"/>
      <c r="L438" s="367"/>
      <c r="M438" s="367"/>
      <c r="N438" s="367"/>
      <c r="O438" s="367"/>
      <c r="P438" s="367"/>
      <c r="Q438" s="367"/>
      <c r="R438" s="367"/>
      <c r="S438" s="367"/>
      <c r="T438" s="367"/>
      <c r="U438" s="367"/>
      <c r="V438" s="367"/>
      <c r="W438" s="367"/>
      <c r="X438" s="367"/>
      <c r="Y438" s="367"/>
      <c r="Z438" s="367"/>
      <c r="AA438" s="367"/>
      <c r="AB438" s="367"/>
      <c r="AC438" s="367"/>
      <c r="AD438" s="367"/>
      <c r="AE438" s="367"/>
      <c r="AF438" s="367"/>
    </row>
    <row r="439" ht="15.75" customHeight="1">
      <c r="A439" s="359"/>
      <c r="B439" s="361"/>
      <c r="C439" s="361"/>
      <c r="D439" s="361"/>
      <c r="E439" s="367"/>
      <c r="F439" s="367"/>
      <c r="G439" s="367"/>
      <c r="H439" s="367"/>
      <c r="I439" s="367"/>
      <c r="J439" s="367"/>
      <c r="K439" s="367"/>
      <c r="L439" s="367"/>
      <c r="M439" s="367"/>
      <c r="N439" s="367"/>
      <c r="O439" s="367"/>
      <c r="P439" s="367"/>
      <c r="Q439" s="367"/>
      <c r="R439" s="367"/>
      <c r="S439" s="367"/>
      <c r="T439" s="367"/>
      <c r="U439" s="367"/>
      <c r="V439" s="367"/>
      <c r="W439" s="367"/>
      <c r="X439" s="367"/>
      <c r="Y439" s="367"/>
      <c r="Z439" s="367"/>
      <c r="AA439" s="367"/>
      <c r="AB439" s="367"/>
      <c r="AC439" s="367"/>
      <c r="AD439" s="367"/>
      <c r="AE439" s="367"/>
      <c r="AF439" s="367"/>
    </row>
    <row r="440" ht="15.75" customHeight="1">
      <c r="A440" s="359"/>
      <c r="B440" s="361"/>
      <c r="C440" s="361"/>
      <c r="D440" s="361"/>
      <c r="E440" s="367"/>
      <c r="F440" s="367"/>
      <c r="G440" s="367"/>
      <c r="H440" s="367"/>
      <c r="I440" s="367"/>
      <c r="J440" s="367"/>
      <c r="K440" s="367"/>
      <c r="L440" s="367"/>
      <c r="M440" s="367"/>
      <c r="N440" s="367"/>
      <c r="O440" s="367"/>
      <c r="P440" s="367"/>
      <c r="Q440" s="367"/>
      <c r="R440" s="367"/>
      <c r="S440" s="367"/>
      <c r="T440" s="367"/>
      <c r="U440" s="367"/>
      <c r="V440" s="367"/>
      <c r="W440" s="367"/>
      <c r="X440" s="367"/>
      <c r="Y440" s="367"/>
      <c r="Z440" s="367"/>
      <c r="AA440" s="367"/>
      <c r="AB440" s="367"/>
      <c r="AC440" s="367"/>
      <c r="AD440" s="367"/>
      <c r="AE440" s="367"/>
      <c r="AF440" s="367"/>
    </row>
    <row r="441" ht="15.75" customHeight="1">
      <c r="A441" s="359"/>
      <c r="B441" s="361"/>
      <c r="C441" s="361"/>
      <c r="D441" s="361"/>
      <c r="E441" s="367"/>
      <c r="F441" s="367"/>
      <c r="G441" s="367"/>
      <c r="H441" s="367"/>
      <c r="I441" s="367"/>
      <c r="J441" s="367"/>
      <c r="K441" s="367"/>
      <c r="L441" s="367"/>
      <c r="M441" s="367"/>
      <c r="N441" s="367"/>
      <c r="O441" s="367"/>
      <c r="P441" s="367"/>
      <c r="Q441" s="367"/>
      <c r="R441" s="367"/>
      <c r="S441" s="367"/>
      <c r="T441" s="367"/>
      <c r="U441" s="367"/>
      <c r="V441" s="367"/>
      <c r="W441" s="367"/>
      <c r="X441" s="367"/>
      <c r="Y441" s="367"/>
      <c r="Z441" s="367"/>
      <c r="AA441" s="367"/>
      <c r="AB441" s="367"/>
      <c r="AC441" s="367"/>
      <c r="AD441" s="367"/>
      <c r="AE441" s="367"/>
      <c r="AF441" s="367"/>
    </row>
    <row r="442" ht="15.75" customHeight="1">
      <c r="A442" s="359"/>
      <c r="B442" s="361"/>
      <c r="C442" s="361"/>
      <c r="D442" s="361"/>
      <c r="E442" s="367"/>
      <c r="F442" s="367"/>
      <c r="G442" s="367"/>
      <c r="H442" s="367"/>
      <c r="I442" s="367"/>
      <c r="J442" s="367"/>
      <c r="K442" s="367"/>
      <c r="L442" s="367"/>
      <c r="M442" s="367"/>
      <c r="N442" s="367"/>
      <c r="O442" s="367"/>
      <c r="P442" s="367"/>
      <c r="Q442" s="367"/>
      <c r="R442" s="367"/>
      <c r="S442" s="367"/>
      <c r="T442" s="367"/>
      <c r="U442" s="367"/>
      <c r="V442" s="367"/>
      <c r="W442" s="367"/>
      <c r="X442" s="367"/>
      <c r="Y442" s="367"/>
      <c r="Z442" s="367"/>
      <c r="AA442" s="367"/>
      <c r="AB442" s="367"/>
      <c r="AC442" s="367"/>
      <c r="AD442" s="367"/>
      <c r="AE442" s="367"/>
      <c r="AF442" s="367"/>
    </row>
    <row r="443" ht="15.75" customHeight="1">
      <c r="A443" s="359"/>
      <c r="B443" s="361"/>
      <c r="C443" s="361"/>
      <c r="D443" s="361"/>
      <c r="E443" s="367"/>
      <c r="F443" s="367"/>
      <c r="G443" s="367"/>
      <c r="H443" s="367"/>
      <c r="I443" s="367"/>
      <c r="J443" s="367"/>
      <c r="K443" s="367"/>
      <c r="L443" s="367"/>
      <c r="M443" s="367"/>
      <c r="N443" s="367"/>
      <c r="O443" s="367"/>
      <c r="P443" s="367"/>
      <c r="Q443" s="367"/>
      <c r="R443" s="367"/>
      <c r="S443" s="367"/>
      <c r="T443" s="367"/>
      <c r="U443" s="367"/>
      <c r="V443" s="367"/>
      <c r="W443" s="367"/>
      <c r="X443" s="367"/>
      <c r="Y443" s="367"/>
      <c r="Z443" s="367"/>
      <c r="AA443" s="367"/>
      <c r="AB443" s="367"/>
      <c r="AC443" s="367"/>
      <c r="AD443" s="367"/>
      <c r="AE443" s="367"/>
      <c r="AF443" s="367"/>
    </row>
    <row r="444" ht="15.75" customHeight="1">
      <c r="A444" s="359"/>
      <c r="B444" s="361"/>
      <c r="C444" s="361"/>
      <c r="D444" s="361"/>
      <c r="E444" s="367"/>
      <c r="F444" s="367"/>
      <c r="G444" s="367"/>
      <c r="H444" s="367"/>
      <c r="I444" s="367"/>
      <c r="J444" s="367"/>
      <c r="K444" s="367"/>
      <c r="L444" s="367"/>
      <c r="M444" s="367"/>
      <c r="N444" s="367"/>
      <c r="O444" s="367"/>
      <c r="P444" s="367"/>
      <c r="Q444" s="367"/>
      <c r="R444" s="367"/>
      <c r="S444" s="367"/>
      <c r="T444" s="367"/>
      <c r="U444" s="367"/>
      <c r="V444" s="367"/>
      <c r="W444" s="367"/>
      <c r="X444" s="367"/>
      <c r="Y444" s="367"/>
      <c r="Z444" s="367"/>
      <c r="AA444" s="367"/>
      <c r="AB444" s="367"/>
      <c r="AC444" s="367"/>
      <c r="AD444" s="367"/>
      <c r="AE444" s="367"/>
      <c r="AF444" s="367"/>
    </row>
    <row r="445" ht="15.75" customHeight="1">
      <c r="A445" s="359"/>
      <c r="B445" s="361"/>
      <c r="C445" s="361"/>
      <c r="D445" s="361"/>
      <c r="E445" s="367"/>
      <c r="F445" s="367"/>
      <c r="G445" s="367"/>
      <c r="H445" s="367"/>
      <c r="I445" s="367"/>
      <c r="J445" s="367"/>
      <c r="K445" s="367"/>
      <c r="L445" s="367"/>
      <c r="M445" s="367"/>
      <c r="N445" s="367"/>
      <c r="O445" s="367"/>
      <c r="P445" s="367"/>
      <c r="Q445" s="367"/>
      <c r="R445" s="367"/>
      <c r="S445" s="367"/>
      <c r="T445" s="367"/>
      <c r="U445" s="367"/>
      <c r="V445" s="367"/>
      <c r="W445" s="367"/>
      <c r="X445" s="367"/>
      <c r="Y445" s="367"/>
      <c r="Z445" s="367"/>
      <c r="AA445" s="367"/>
      <c r="AB445" s="367"/>
      <c r="AC445" s="367"/>
      <c r="AD445" s="367"/>
      <c r="AE445" s="367"/>
      <c r="AF445" s="367"/>
    </row>
    <row r="446" ht="15.75" customHeight="1">
      <c r="A446" s="359"/>
      <c r="B446" s="361"/>
      <c r="C446" s="361"/>
      <c r="D446" s="361"/>
      <c r="E446" s="367"/>
      <c r="F446" s="367"/>
      <c r="G446" s="367"/>
      <c r="H446" s="367"/>
      <c r="I446" s="367"/>
      <c r="J446" s="367"/>
      <c r="K446" s="367"/>
      <c r="L446" s="367"/>
      <c r="M446" s="367"/>
      <c r="N446" s="367"/>
      <c r="O446" s="367"/>
      <c r="P446" s="367"/>
      <c r="Q446" s="367"/>
      <c r="R446" s="367"/>
      <c r="S446" s="367"/>
      <c r="T446" s="367"/>
      <c r="U446" s="367"/>
      <c r="V446" s="367"/>
      <c r="W446" s="367"/>
      <c r="X446" s="367"/>
      <c r="Y446" s="367"/>
      <c r="Z446" s="367"/>
      <c r="AA446" s="367"/>
      <c r="AB446" s="367"/>
      <c r="AC446" s="367"/>
      <c r="AD446" s="367"/>
      <c r="AE446" s="367"/>
      <c r="AF446" s="367"/>
    </row>
    <row r="447" ht="15.75" customHeight="1">
      <c r="A447" s="359"/>
      <c r="B447" s="361"/>
      <c r="C447" s="361"/>
      <c r="D447" s="361"/>
      <c r="E447" s="367"/>
      <c r="F447" s="367"/>
      <c r="G447" s="367"/>
      <c r="H447" s="367"/>
      <c r="I447" s="367"/>
      <c r="J447" s="367"/>
      <c r="K447" s="367"/>
      <c r="L447" s="367"/>
      <c r="M447" s="367"/>
      <c r="N447" s="367"/>
      <c r="O447" s="367"/>
      <c r="P447" s="367"/>
      <c r="Q447" s="367"/>
      <c r="R447" s="367"/>
      <c r="S447" s="367"/>
      <c r="T447" s="367"/>
      <c r="U447" s="367"/>
      <c r="V447" s="367"/>
      <c r="W447" s="367"/>
      <c r="X447" s="367"/>
      <c r="Y447" s="367"/>
      <c r="Z447" s="367"/>
      <c r="AA447" s="367"/>
      <c r="AB447" s="367"/>
      <c r="AC447" s="367"/>
      <c r="AD447" s="367"/>
      <c r="AE447" s="367"/>
      <c r="AF447" s="367"/>
    </row>
    <row r="448" ht="15.75" customHeight="1">
      <c r="A448" s="359"/>
      <c r="B448" s="361"/>
      <c r="C448" s="361"/>
      <c r="D448" s="361"/>
      <c r="E448" s="367"/>
      <c r="F448" s="367"/>
      <c r="G448" s="367"/>
      <c r="H448" s="367"/>
      <c r="I448" s="367"/>
      <c r="J448" s="367"/>
      <c r="K448" s="367"/>
      <c r="L448" s="367"/>
      <c r="M448" s="367"/>
      <c r="N448" s="367"/>
      <c r="O448" s="367"/>
      <c r="P448" s="367"/>
      <c r="Q448" s="367"/>
      <c r="R448" s="367"/>
      <c r="S448" s="367"/>
      <c r="T448" s="367"/>
      <c r="U448" s="367"/>
      <c r="V448" s="367"/>
      <c r="W448" s="367"/>
      <c r="X448" s="367"/>
      <c r="Y448" s="367"/>
      <c r="Z448" s="367"/>
      <c r="AA448" s="367"/>
      <c r="AB448" s="367"/>
      <c r="AC448" s="367"/>
      <c r="AD448" s="367"/>
      <c r="AE448" s="367"/>
      <c r="AF448" s="367"/>
    </row>
    <row r="449" ht="15.75" customHeight="1">
      <c r="A449" s="359"/>
      <c r="B449" s="361"/>
      <c r="C449" s="361"/>
      <c r="D449" s="361"/>
      <c r="E449" s="367"/>
      <c r="F449" s="367"/>
      <c r="G449" s="367"/>
      <c r="H449" s="367"/>
      <c r="I449" s="367"/>
      <c r="J449" s="367"/>
      <c r="K449" s="367"/>
      <c r="L449" s="367"/>
      <c r="M449" s="367"/>
      <c r="N449" s="367"/>
      <c r="O449" s="367"/>
      <c r="P449" s="367"/>
      <c r="Q449" s="367"/>
      <c r="R449" s="367"/>
      <c r="S449" s="367"/>
      <c r="T449" s="367"/>
      <c r="U449" s="367"/>
      <c r="V449" s="367"/>
      <c r="W449" s="367"/>
      <c r="X449" s="367"/>
      <c r="Y449" s="367"/>
      <c r="Z449" s="367"/>
      <c r="AA449" s="367"/>
      <c r="AB449" s="367"/>
      <c r="AC449" s="367"/>
      <c r="AD449" s="367"/>
      <c r="AE449" s="367"/>
      <c r="AF449" s="367"/>
    </row>
    <row r="450" ht="15.75" customHeight="1">
      <c r="A450" s="359"/>
      <c r="B450" s="361"/>
      <c r="C450" s="361"/>
      <c r="D450" s="361"/>
      <c r="E450" s="367"/>
      <c r="F450" s="367"/>
      <c r="G450" s="367"/>
      <c r="H450" s="367"/>
      <c r="I450" s="367"/>
      <c r="J450" s="367"/>
      <c r="K450" s="367"/>
      <c r="L450" s="367"/>
      <c r="M450" s="367"/>
      <c r="N450" s="367"/>
      <c r="O450" s="367"/>
      <c r="P450" s="367"/>
      <c r="Q450" s="367"/>
      <c r="R450" s="367"/>
      <c r="S450" s="367"/>
      <c r="T450" s="367"/>
      <c r="U450" s="367"/>
      <c r="V450" s="367"/>
      <c r="W450" s="367"/>
      <c r="X450" s="367"/>
      <c r="Y450" s="367"/>
      <c r="Z450" s="367"/>
      <c r="AA450" s="367"/>
      <c r="AB450" s="367"/>
      <c r="AC450" s="367"/>
      <c r="AD450" s="367"/>
      <c r="AE450" s="367"/>
      <c r="AF450" s="367"/>
    </row>
    <row r="451" ht="15.75" customHeight="1">
      <c r="A451" s="359"/>
      <c r="B451" s="361"/>
      <c r="C451" s="361"/>
      <c r="D451" s="361"/>
      <c r="E451" s="367"/>
      <c r="F451" s="367"/>
      <c r="G451" s="367"/>
      <c r="H451" s="367"/>
      <c r="I451" s="367"/>
      <c r="J451" s="367"/>
      <c r="K451" s="367"/>
      <c r="L451" s="367"/>
      <c r="M451" s="367"/>
      <c r="N451" s="367"/>
      <c r="O451" s="367"/>
      <c r="P451" s="367"/>
      <c r="Q451" s="367"/>
      <c r="R451" s="367"/>
      <c r="S451" s="367"/>
      <c r="T451" s="367"/>
      <c r="U451" s="367"/>
      <c r="V451" s="367"/>
      <c r="W451" s="367"/>
      <c r="X451" s="367"/>
      <c r="Y451" s="367"/>
      <c r="Z451" s="367"/>
      <c r="AA451" s="367"/>
      <c r="AB451" s="367"/>
      <c r="AC451" s="367"/>
      <c r="AD451" s="367"/>
      <c r="AE451" s="367"/>
      <c r="AF451" s="367"/>
    </row>
    <row r="452" ht="15.75" customHeight="1">
      <c r="A452" s="359"/>
      <c r="B452" s="361"/>
      <c r="C452" s="361"/>
      <c r="D452" s="361"/>
      <c r="E452" s="367"/>
      <c r="F452" s="367"/>
      <c r="G452" s="367"/>
      <c r="H452" s="367"/>
      <c r="I452" s="367"/>
      <c r="J452" s="367"/>
      <c r="K452" s="367"/>
      <c r="L452" s="367"/>
      <c r="M452" s="367"/>
      <c r="N452" s="367"/>
      <c r="O452" s="367"/>
      <c r="P452" s="367"/>
      <c r="Q452" s="367"/>
      <c r="R452" s="367"/>
      <c r="S452" s="367"/>
      <c r="T452" s="367"/>
      <c r="U452" s="367"/>
      <c r="V452" s="367"/>
      <c r="W452" s="367"/>
      <c r="X452" s="367"/>
      <c r="Y452" s="367"/>
      <c r="Z452" s="367"/>
      <c r="AA452" s="367"/>
      <c r="AB452" s="367"/>
      <c r="AC452" s="367"/>
      <c r="AD452" s="367"/>
      <c r="AE452" s="367"/>
      <c r="AF452" s="367"/>
    </row>
    <row r="453" ht="15.75" customHeight="1">
      <c r="A453" s="359"/>
      <c r="B453" s="361"/>
      <c r="C453" s="361"/>
      <c r="D453" s="361"/>
      <c r="E453" s="367"/>
      <c r="F453" s="367"/>
      <c r="G453" s="367"/>
      <c r="H453" s="367"/>
      <c r="I453" s="367"/>
      <c r="J453" s="367"/>
      <c r="K453" s="367"/>
      <c r="L453" s="367"/>
      <c r="M453" s="367"/>
      <c r="N453" s="367"/>
      <c r="O453" s="367"/>
      <c r="P453" s="367"/>
      <c r="Q453" s="367"/>
      <c r="R453" s="367"/>
      <c r="S453" s="367"/>
      <c r="T453" s="367"/>
      <c r="U453" s="367"/>
      <c r="V453" s="367"/>
      <c r="W453" s="367"/>
      <c r="X453" s="367"/>
      <c r="Y453" s="367"/>
      <c r="Z453" s="367"/>
      <c r="AA453" s="367"/>
      <c r="AB453" s="367"/>
      <c r="AC453" s="367"/>
      <c r="AD453" s="367"/>
      <c r="AE453" s="367"/>
      <c r="AF453" s="367"/>
    </row>
    <row r="454" ht="15.75" customHeight="1">
      <c r="A454" s="359"/>
      <c r="B454" s="361"/>
      <c r="C454" s="361"/>
      <c r="D454" s="361"/>
      <c r="E454" s="367"/>
      <c r="F454" s="367"/>
      <c r="G454" s="367"/>
      <c r="H454" s="367"/>
      <c r="I454" s="367"/>
      <c r="J454" s="367"/>
      <c r="K454" s="367"/>
      <c r="L454" s="367"/>
      <c r="M454" s="367"/>
      <c r="N454" s="367"/>
      <c r="O454" s="367"/>
      <c r="P454" s="367"/>
      <c r="Q454" s="367"/>
      <c r="R454" s="367"/>
      <c r="S454" s="367"/>
      <c r="T454" s="367"/>
      <c r="U454" s="367"/>
      <c r="V454" s="367"/>
      <c r="W454" s="367"/>
      <c r="X454" s="367"/>
      <c r="Y454" s="367"/>
      <c r="Z454" s="367"/>
      <c r="AA454" s="367"/>
      <c r="AB454" s="367"/>
      <c r="AC454" s="367"/>
      <c r="AD454" s="367"/>
      <c r="AE454" s="367"/>
      <c r="AF454" s="367"/>
    </row>
    <row r="455" ht="15.75" customHeight="1">
      <c r="A455" s="359"/>
      <c r="B455" s="361"/>
      <c r="C455" s="361"/>
      <c r="D455" s="361"/>
      <c r="E455" s="367"/>
      <c r="F455" s="367"/>
      <c r="G455" s="367"/>
      <c r="H455" s="367"/>
      <c r="I455" s="367"/>
      <c r="J455" s="367"/>
      <c r="K455" s="367"/>
      <c r="L455" s="367"/>
      <c r="M455" s="367"/>
      <c r="N455" s="367"/>
      <c r="O455" s="367"/>
      <c r="P455" s="367"/>
      <c r="Q455" s="367"/>
      <c r="R455" s="367"/>
      <c r="S455" s="367"/>
      <c r="T455" s="367"/>
      <c r="U455" s="367"/>
      <c r="V455" s="367"/>
      <c r="W455" s="367"/>
      <c r="X455" s="367"/>
      <c r="Y455" s="367"/>
      <c r="Z455" s="367"/>
      <c r="AA455" s="367"/>
      <c r="AB455" s="367"/>
      <c r="AC455" s="367"/>
      <c r="AD455" s="367"/>
      <c r="AE455" s="367"/>
      <c r="AF455" s="367"/>
    </row>
    <row r="456" ht="15.75" customHeight="1">
      <c r="A456" s="359"/>
      <c r="B456" s="361"/>
      <c r="C456" s="361"/>
      <c r="D456" s="361"/>
      <c r="E456" s="367"/>
      <c r="F456" s="367"/>
      <c r="G456" s="367"/>
      <c r="H456" s="367"/>
      <c r="I456" s="367"/>
      <c r="J456" s="367"/>
      <c r="K456" s="367"/>
      <c r="L456" s="367"/>
      <c r="M456" s="367"/>
      <c r="N456" s="367"/>
      <c r="O456" s="367"/>
      <c r="P456" s="367"/>
      <c r="Q456" s="367"/>
      <c r="R456" s="367"/>
      <c r="S456" s="367"/>
      <c r="T456" s="367"/>
      <c r="U456" s="367"/>
      <c r="V456" s="367"/>
      <c r="W456" s="367"/>
      <c r="X456" s="367"/>
      <c r="Y456" s="367"/>
      <c r="Z456" s="367"/>
      <c r="AA456" s="367"/>
      <c r="AB456" s="367"/>
      <c r="AC456" s="367"/>
      <c r="AD456" s="367"/>
      <c r="AE456" s="367"/>
      <c r="AF456" s="367"/>
    </row>
    <row r="457" ht="15.75" customHeight="1">
      <c r="A457" s="359"/>
      <c r="B457" s="361"/>
      <c r="C457" s="361"/>
      <c r="D457" s="361"/>
      <c r="E457" s="367"/>
      <c r="F457" s="367"/>
      <c r="G457" s="367"/>
      <c r="H457" s="367"/>
      <c r="I457" s="367"/>
      <c r="J457" s="367"/>
      <c r="K457" s="367"/>
      <c r="L457" s="367"/>
      <c r="M457" s="367"/>
      <c r="N457" s="367"/>
      <c r="O457" s="367"/>
      <c r="P457" s="367"/>
      <c r="Q457" s="367"/>
      <c r="R457" s="367"/>
      <c r="S457" s="367"/>
      <c r="T457" s="367"/>
      <c r="U457" s="367"/>
      <c r="V457" s="367"/>
      <c r="W457" s="367"/>
      <c r="X457" s="367"/>
      <c r="Y457" s="367"/>
      <c r="Z457" s="367"/>
      <c r="AA457" s="367"/>
      <c r="AB457" s="367"/>
      <c r="AC457" s="367"/>
      <c r="AD457" s="367"/>
      <c r="AE457" s="367"/>
      <c r="AF457" s="367"/>
    </row>
    <row r="458" ht="15.75" customHeight="1">
      <c r="A458" s="359"/>
      <c r="B458" s="361"/>
      <c r="C458" s="361"/>
      <c r="D458" s="361"/>
      <c r="E458" s="367"/>
      <c r="F458" s="367"/>
      <c r="G458" s="367"/>
      <c r="H458" s="367"/>
      <c r="I458" s="367"/>
      <c r="J458" s="367"/>
      <c r="K458" s="367"/>
      <c r="L458" s="367"/>
      <c r="M458" s="367"/>
      <c r="N458" s="367"/>
      <c r="O458" s="367"/>
      <c r="P458" s="367"/>
      <c r="Q458" s="367"/>
      <c r="R458" s="367"/>
      <c r="S458" s="367"/>
      <c r="T458" s="367"/>
      <c r="U458" s="367"/>
      <c r="V458" s="367"/>
      <c r="W458" s="367"/>
      <c r="X458" s="367"/>
      <c r="Y458" s="367"/>
      <c r="Z458" s="367"/>
      <c r="AA458" s="367"/>
      <c r="AB458" s="367"/>
      <c r="AC458" s="367"/>
      <c r="AD458" s="367"/>
      <c r="AE458" s="367"/>
      <c r="AF458" s="367"/>
    </row>
    <row r="459" ht="15.75" customHeight="1">
      <c r="A459" s="359"/>
      <c r="B459" s="361"/>
      <c r="C459" s="361"/>
      <c r="D459" s="361"/>
      <c r="E459" s="367"/>
      <c r="F459" s="367"/>
      <c r="G459" s="367"/>
      <c r="H459" s="367"/>
      <c r="I459" s="367"/>
      <c r="J459" s="367"/>
      <c r="K459" s="367"/>
      <c r="L459" s="367"/>
      <c r="M459" s="367"/>
      <c r="N459" s="367"/>
      <c r="O459" s="367"/>
      <c r="P459" s="367"/>
      <c r="Q459" s="367"/>
      <c r="R459" s="367"/>
      <c r="S459" s="367"/>
      <c r="T459" s="367"/>
      <c r="U459" s="367"/>
      <c r="V459" s="367"/>
      <c r="W459" s="367"/>
      <c r="X459" s="367"/>
      <c r="Y459" s="367"/>
      <c r="Z459" s="367"/>
      <c r="AA459" s="367"/>
      <c r="AB459" s="367"/>
      <c r="AC459" s="367"/>
      <c r="AD459" s="367"/>
      <c r="AE459" s="367"/>
      <c r="AF459" s="367"/>
    </row>
    <row r="460" ht="15.75" customHeight="1">
      <c r="A460" s="359"/>
      <c r="B460" s="361"/>
      <c r="C460" s="361"/>
      <c r="D460" s="361"/>
      <c r="E460" s="367"/>
      <c r="F460" s="367"/>
      <c r="G460" s="367"/>
      <c r="H460" s="367"/>
      <c r="I460" s="367"/>
      <c r="J460" s="367"/>
      <c r="K460" s="367"/>
      <c r="L460" s="367"/>
      <c r="M460" s="367"/>
      <c r="N460" s="367"/>
      <c r="O460" s="367"/>
      <c r="P460" s="367"/>
      <c r="Q460" s="367"/>
      <c r="R460" s="367"/>
      <c r="S460" s="367"/>
      <c r="T460" s="367"/>
      <c r="U460" s="367"/>
      <c r="V460" s="367"/>
      <c r="W460" s="367"/>
      <c r="X460" s="367"/>
      <c r="Y460" s="367"/>
      <c r="Z460" s="367"/>
      <c r="AA460" s="367"/>
      <c r="AB460" s="367"/>
      <c r="AC460" s="367"/>
      <c r="AD460" s="367"/>
      <c r="AE460" s="367"/>
      <c r="AF460" s="367"/>
    </row>
    <row r="461" ht="15.75" customHeight="1">
      <c r="A461" s="359"/>
      <c r="B461" s="361"/>
      <c r="C461" s="361"/>
      <c r="D461" s="361"/>
      <c r="E461" s="367"/>
      <c r="F461" s="367"/>
      <c r="G461" s="367"/>
      <c r="H461" s="367"/>
      <c r="I461" s="367"/>
      <c r="J461" s="367"/>
      <c r="K461" s="367"/>
      <c r="L461" s="367"/>
      <c r="M461" s="367"/>
      <c r="N461" s="367"/>
      <c r="O461" s="367"/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</row>
    <row r="462" ht="15.75" customHeight="1">
      <c r="A462" s="359"/>
      <c r="B462" s="361"/>
      <c r="C462" s="361"/>
      <c r="D462" s="361"/>
      <c r="E462" s="367"/>
      <c r="F462" s="367"/>
      <c r="G462" s="367"/>
      <c r="H462" s="367"/>
      <c r="I462" s="367"/>
      <c r="J462" s="367"/>
      <c r="K462" s="367"/>
      <c r="L462" s="367"/>
      <c r="M462" s="367"/>
      <c r="N462" s="367"/>
      <c r="O462" s="367"/>
      <c r="P462" s="367"/>
      <c r="Q462" s="367"/>
      <c r="R462" s="367"/>
      <c r="S462" s="367"/>
      <c r="T462" s="367"/>
      <c r="U462" s="367"/>
      <c r="V462" s="367"/>
      <c r="W462" s="367"/>
      <c r="X462" s="367"/>
      <c r="Y462" s="367"/>
      <c r="Z462" s="367"/>
      <c r="AA462" s="367"/>
      <c r="AB462" s="367"/>
      <c r="AC462" s="367"/>
      <c r="AD462" s="367"/>
      <c r="AE462" s="367"/>
      <c r="AF462" s="367"/>
    </row>
    <row r="463" ht="15.75" customHeight="1">
      <c r="A463" s="359"/>
      <c r="B463" s="361"/>
      <c r="C463" s="361"/>
      <c r="D463" s="361"/>
      <c r="E463" s="367"/>
      <c r="F463" s="367"/>
      <c r="G463" s="367"/>
      <c r="H463" s="367"/>
      <c r="I463" s="367"/>
      <c r="J463" s="367"/>
      <c r="K463" s="367"/>
      <c r="L463" s="367"/>
      <c r="M463" s="367"/>
      <c r="N463" s="367"/>
      <c r="O463" s="367"/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</row>
    <row r="464" ht="15.75" customHeight="1">
      <c r="A464" s="359"/>
      <c r="B464" s="361"/>
      <c r="C464" s="361"/>
      <c r="D464" s="361"/>
      <c r="E464" s="367"/>
      <c r="F464" s="367"/>
      <c r="G464" s="367"/>
      <c r="H464" s="367"/>
      <c r="I464" s="367"/>
      <c r="J464" s="367"/>
      <c r="K464" s="367"/>
      <c r="L464" s="367"/>
      <c r="M464" s="367"/>
      <c r="N464" s="367"/>
      <c r="O464" s="367"/>
      <c r="P464" s="367"/>
      <c r="Q464" s="367"/>
      <c r="R464" s="367"/>
      <c r="S464" s="367"/>
      <c r="T464" s="367"/>
      <c r="U464" s="367"/>
      <c r="V464" s="367"/>
      <c r="W464" s="367"/>
      <c r="X464" s="367"/>
      <c r="Y464" s="367"/>
      <c r="Z464" s="367"/>
      <c r="AA464" s="367"/>
      <c r="AB464" s="367"/>
      <c r="AC464" s="367"/>
      <c r="AD464" s="367"/>
      <c r="AE464" s="367"/>
      <c r="AF464" s="367"/>
    </row>
    <row r="465" ht="15.75" customHeight="1">
      <c r="A465" s="359"/>
      <c r="B465" s="361"/>
      <c r="C465" s="361"/>
      <c r="D465" s="361"/>
      <c r="E465" s="367"/>
      <c r="F465" s="367"/>
      <c r="G465" s="367"/>
      <c r="H465" s="367"/>
      <c r="I465" s="367"/>
      <c r="J465" s="367"/>
      <c r="K465" s="367"/>
      <c r="L465" s="367"/>
      <c r="M465" s="367"/>
      <c r="N465" s="367"/>
      <c r="O465" s="367"/>
      <c r="P465" s="367"/>
      <c r="Q465" s="367"/>
      <c r="R465" s="367"/>
      <c r="S465" s="367"/>
      <c r="T465" s="367"/>
      <c r="U465" s="367"/>
      <c r="V465" s="367"/>
      <c r="W465" s="367"/>
      <c r="X465" s="367"/>
      <c r="Y465" s="367"/>
      <c r="Z465" s="367"/>
      <c r="AA465" s="367"/>
      <c r="AB465" s="367"/>
      <c r="AC465" s="367"/>
      <c r="AD465" s="367"/>
      <c r="AE465" s="367"/>
      <c r="AF465" s="367"/>
    </row>
    <row r="466" ht="15.75" customHeight="1">
      <c r="A466" s="359"/>
      <c r="B466" s="361"/>
      <c r="C466" s="361"/>
      <c r="D466" s="361"/>
      <c r="E466" s="367"/>
      <c r="F466" s="367"/>
      <c r="G466" s="367"/>
      <c r="H466" s="367"/>
      <c r="I466" s="367"/>
      <c r="J466" s="367"/>
      <c r="K466" s="367"/>
      <c r="L466" s="367"/>
      <c r="M466" s="367"/>
      <c r="N466" s="367"/>
      <c r="O466" s="367"/>
      <c r="P466" s="367"/>
      <c r="Q466" s="367"/>
      <c r="R466" s="367"/>
      <c r="S466" s="367"/>
      <c r="T466" s="367"/>
      <c r="U466" s="367"/>
      <c r="V466" s="367"/>
      <c r="W466" s="367"/>
      <c r="X466" s="367"/>
      <c r="Y466" s="367"/>
      <c r="Z466" s="367"/>
      <c r="AA466" s="367"/>
      <c r="AB466" s="367"/>
      <c r="AC466" s="367"/>
      <c r="AD466" s="367"/>
      <c r="AE466" s="367"/>
      <c r="AF466" s="367"/>
    </row>
    <row r="467" ht="15.75" customHeight="1">
      <c r="A467" s="359"/>
      <c r="B467" s="361"/>
      <c r="C467" s="361"/>
      <c r="D467" s="361"/>
      <c r="E467" s="367"/>
      <c r="F467" s="367"/>
      <c r="G467" s="367"/>
      <c r="H467" s="367"/>
      <c r="I467" s="367"/>
      <c r="J467" s="367"/>
      <c r="K467" s="367"/>
      <c r="L467" s="367"/>
      <c r="M467" s="367"/>
      <c r="N467" s="367"/>
      <c r="O467" s="367"/>
      <c r="P467" s="367"/>
      <c r="Q467" s="367"/>
      <c r="R467" s="367"/>
      <c r="S467" s="367"/>
      <c r="T467" s="367"/>
      <c r="U467" s="367"/>
      <c r="V467" s="367"/>
      <c r="W467" s="367"/>
      <c r="X467" s="367"/>
      <c r="Y467" s="367"/>
      <c r="Z467" s="367"/>
      <c r="AA467" s="367"/>
      <c r="AB467" s="367"/>
      <c r="AC467" s="367"/>
      <c r="AD467" s="367"/>
      <c r="AE467" s="367"/>
      <c r="AF467" s="367"/>
    </row>
    <row r="468" ht="15.75" customHeight="1">
      <c r="A468" s="359"/>
      <c r="B468" s="361"/>
      <c r="C468" s="361"/>
      <c r="D468" s="361"/>
      <c r="E468" s="367"/>
      <c r="F468" s="367"/>
      <c r="G468" s="367"/>
      <c r="H468" s="367"/>
      <c r="I468" s="367"/>
      <c r="J468" s="367"/>
      <c r="K468" s="367"/>
      <c r="L468" s="367"/>
      <c r="M468" s="367"/>
      <c r="N468" s="367"/>
      <c r="O468" s="367"/>
      <c r="P468" s="367"/>
      <c r="Q468" s="367"/>
      <c r="R468" s="367"/>
      <c r="S468" s="367"/>
      <c r="T468" s="367"/>
      <c r="U468" s="367"/>
      <c r="V468" s="367"/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</row>
    <row r="469" ht="15.75" customHeight="1">
      <c r="A469" s="359"/>
      <c r="B469" s="361"/>
      <c r="C469" s="361"/>
      <c r="D469" s="361"/>
      <c r="E469" s="367"/>
      <c r="F469" s="367"/>
      <c r="G469" s="367"/>
      <c r="H469" s="367"/>
      <c r="I469" s="367"/>
      <c r="J469" s="367"/>
      <c r="K469" s="367"/>
      <c r="L469" s="367"/>
      <c r="M469" s="367"/>
      <c r="N469" s="367"/>
      <c r="O469" s="367"/>
      <c r="P469" s="367"/>
      <c r="Q469" s="367"/>
      <c r="R469" s="367"/>
      <c r="S469" s="367"/>
      <c r="T469" s="367"/>
      <c r="U469" s="367"/>
      <c r="V469" s="367"/>
      <c r="W469" s="367"/>
      <c r="X469" s="367"/>
      <c r="Y469" s="367"/>
      <c r="Z469" s="367"/>
      <c r="AA469" s="367"/>
      <c r="AB469" s="367"/>
      <c r="AC469" s="367"/>
      <c r="AD469" s="367"/>
      <c r="AE469" s="367"/>
      <c r="AF469" s="367"/>
    </row>
    <row r="470" ht="15.75" customHeight="1">
      <c r="A470" s="359"/>
      <c r="B470" s="361"/>
      <c r="C470" s="361"/>
      <c r="D470" s="361"/>
      <c r="E470" s="367"/>
      <c r="F470" s="367"/>
      <c r="G470" s="367"/>
      <c r="H470" s="367"/>
      <c r="I470" s="367"/>
      <c r="J470" s="367"/>
      <c r="K470" s="367"/>
      <c r="L470" s="367"/>
      <c r="M470" s="367"/>
      <c r="N470" s="367"/>
      <c r="O470" s="367"/>
      <c r="P470" s="367"/>
      <c r="Q470" s="367"/>
      <c r="R470" s="367"/>
      <c r="S470" s="367"/>
      <c r="T470" s="367"/>
      <c r="U470" s="367"/>
      <c r="V470" s="367"/>
      <c r="W470" s="367"/>
      <c r="X470" s="367"/>
      <c r="Y470" s="367"/>
      <c r="Z470" s="367"/>
      <c r="AA470" s="367"/>
      <c r="AB470" s="367"/>
      <c r="AC470" s="367"/>
      <c r="AD470" s="367"/>
      <c r="AE470" s="367"/>
      <c r="AF470" s="367"/>
    </row>
    <row r="471" ht="15.75" customHeight="1">
      <c r="A471" s="359"/>
      <c r="B471" s="361"/>
      <c r="C471" s="361"/>
      <c r="D471" s="361"/>
      <c r="E471" s="367"/>
      <c r="F471" s="367"/>
      <c r="G471" s="367"/>
      <c r="H471" s="367"/>
      <c r="I471" s="367"/>
      <c r="J471" s="367"/>
      <c r="K471" s="367"/>
      <c r="L471" s="367"/>
      <c r="M471" s="367"/>
      <c r="N471" s="367"/>
      <c r="O471" s="367"/>
      <c r="P471" s="367"/>
      <c r="Q471" s="367"/>
      <c r="R471" s="367"/>
      <c r="S471" s="367"/>
      <c r="T471" s="367"/>
      <c r="U471" s="367"/>
      <c r="V471" s="367"/>
      <c r="W471" s="367"/>
      <c r="X471" s="367"/>
      <c r="Y471" s="367"/>
      <c r="Z471" s="367"/>
      <c r="AA471" s="367"/>
      <c r="AB471" s="367"/>
      <c r="AC471" s="367"/>
      <c r="AD471" s="367"/>
      <c r="AE471" s="367"/>
      <c r="AF471" s="367"/>
    </row>
    <row r="472" ht="15.75" customHeight="1">
      <c r="A472" s="359"/>
      <c r="B472" s="361"/>
      <c r="C472" s="361"/>
      <c r="D472" s="361"/>
      <c r="E472" s="367"/>
      <c r="F472" s="367"/>
      <c r="G472" s="367"/>
      <c r="H472" s="367"/>
      <c r="I472" s="367"/>
      <c r="J472" s="367"/>
      <c r="K472" s="367"/>
      <c r="L472" s="367"/>
      <c r="M472" s="367"/>
      <c r="N472" s="367"/>
      <c r="O472" s="367"/>
      <c r="P472" s="367"/>
      <c r="Q472" s="367"/>
      <c r="R472" s="367"/>
      <c r="S472" s="367"/>
      <c r="T472" s="367"/>
      <c r="U472" s="367"/>
      <c r="V472" s="367"/>
      <c r="W472" s="367"/>
      <c r="X472" s="367"/>
      <c r="Y472" s="367"/>
      <c r="Z472" s="367"/>
      <c r="AA472" s="367"/>
      <c r="AB472" s="367"/>
      <c r="AC472" s="367"/>
      <c r="AD472" s="367"/>
      <c r="AE472" s="367"/>
      <c r="AF472" s="367"/>
    </row>
    <row r="473" ht="15.75" customHeight="1">
      <c r="A473" s="359"/>
      <c r="B473" s="361"/>
      <c r="C473" s="361"/>
      <c r="D473" s="361"/>
      <c r="E473" s="367"/>
      <c r="F473" s="367"/>
      <c r="G473" s="367"/>
      <c r="H473" s="367"/>
      <c r="I473" s="367"/>
      <c r="J473" s="367"/>
      <c r="K473" s="367"/>
      <c r="L473" s="367"/>
      <c r="M473" s="367"/>
      <c r="N473" s="367"/>
      <c r="O473" s="367"/>
      <c r="P473" s="367"/>
      <c r="Q473" s="367"/>
      <c r="R473" s="367"/>
      <c r="S473" s="367"/>
      <c r="T473" s="367"/>
      <c r="U473" s="367"/>
      <c r="V473" s="367"/>
      <c r="W473" s="367"/>
      <c r="X473" s="367"/>
      <c r="Y473" s="367"/>
      <c r="Z473" s="367"/>
      <c r="AA473" s="367"/>
      <c r="AB473" s="367"/>
      <c r="AC473" s="367"/>
      <c r="AD473" s="367"/>
      <c r="AE473" s="367"/>
      <c r="AF473" s="367"/>
    </row>
    <row r="474" ht="15.75" customHeight="1">
      <c r="A474" s="359"/>
      <c r="B474" s="361"/>
      <c r="C474" s="361"/>
      <c r="D474" s="361"/>
      <c r="E474" s="367"/>
      <c r="F474" s="367"/>
      <c r="G474" s="367"/>
      <c r="H474" s="367"/>
      <c r="I474" s="367"/>
      <c r="J474" s="367"/>
      <c r="K474" s="367"/>
      <c r="L474" s="367"/>
      <c r="M474" s="367"/>
      <c r="N474" s="367"/>
      <c r="O474" s="367"/>
      <c r="P474" s="367"/>
      <c r="Q474" s="367"/>
      <c r="R474" s="367"/>
      <c r="S474" s="367"/>
      <c r="T474" s="367"/>
      <c r="U474" s="367"/>
      <c r="V474" s="367"/>
      <c r="W474" s="367"/>
      <c r="X474" s="367"/>
      <c r="Y474" s="367"/>
      <c r="Z474" s="367"/>
      <c r="AA474" s="367"/>
      <c r="AB474" s="367"/>
      <c r="AC474" s="367"/>
      <c r="AD474" s="367"/>
      <c r="AE474" s="367"/>
      <c r="AF474" s="367"/>
    </row>
    <row r="475" ht="15.75" customHeight="1">
      <c r="A475" s="359"/>
      <c r="B475" s="361"/>
      <c r="C475" s="361"/>
      <c r="D475" s="361"/>
      <c r="E475" s="367"/>
      <c r="F475" s="367"/>
      <c r="G475" s="367"/>
      <c r="H475" s="367"/>
      <c r="I475" s="367"/>
      <c r="J475" s="367"/>
      <c r="K475" s="367"/>
      <c r="L475" s="367"/>
      <c r="M475" s="367"/>
      <c r="N475" s="367"/>
      <c r="O475" s="367"/>
      <c r="P475" s="367"/>
      <c r="Q475" s="367"/>
      <c r="R475" s="367"/>
      <c r="S475" s="367"/>
      <c r="T475" s="367"/>
      <c r="U475" s="367"/>
      <c r="V475" s="367"/>
      <c r="W475" s="367"/>
      <c r="X475" s="367"/>
      <c r="Y475" s="367"/>
      <c r="Z475" s="367"/>
      <c r="AA475" s="367"/>
      <c r="AB475" s="367"/>
      <c r="AC475" s="367"/>
      <c r="AD475" s="367"/>
      <c r="AE475" s="367"/>
      <c r="AF475" s="367"/>
    </row>
    <row r="476" ht="15.75" customHeight="1">
      <c r="A476" s="359"/>
      <c r="B476" s="361"/>
      <c r="C476" s="361"/>
      <c r="D476" s="361"/>
      <c r="E476" s="367"/>
      <c r="F476" s="367"/>
      <c r="G476" s="367"/>
      <c r="H476" s="367"/>
      <c r="I476" s="367"/>
      <c r="J476" s="367"/>
      <c r="K476" s="367"/>
      <c r="L476" s="367"/>
      <c r="M476" s="367"/>
      <c r="N476" s="367"/>
      <c r="O476" s="367"/>
      <c r="P476" s="367"/>
      <c r="Q476" s="367"/>
      <c r="R476" s="367"/>
      <c r="S476" s="367"/>
      <c r="T476" s="367"/>
      <c r="U476" s="367"/>
      <c r="V476" s="367"/>
      <c r="W476" s="367"/>
      <c r="X476" s="367"/>
      <c r="Y476" s="367"/>
      <c r="Z476" s="367"/>
      <c r="AA476" s="367"/>
      <c r="AB476" s="367"/>
      <c r="AC476" s="367"/>
      <c r="AD476" s="367"/>
      <c r="AE476" s="367"/>
      <c r="AF476" s="367"/>
    </row>
    <row r="477" ht="15.75" customHeight="1">
      <c r="A477" s="359"/>
      <c r="B477" s="361"/>
      <c r="C477" s="361"/>
      <c r="D477" s="361"/>
      <c r="E477" s="367"/>
      <c r="F477" s="367"/>
      <c r="G477" s="367"/>
      <c r="H477" s="367"/>
      <c r="I477" s="367"/>
      <c r="J477" s="367"/>
      <c r="K477" s="367"/>
      <c r="L477" s="367"/>
      <c r="M477" s="367"/>
      <c r="N477" s="367"/>
      <c r="O477" s="367"/>
      <c r="P477" s="367"/>
      <c r="Q477" s="367"/>
      <c r="R477" s="367"/>
      <c r="S477" s="367"/>
      <c r="T477" s="367"/>
      <c r="U477" s="367"/>
      <c r="V477" s="367"/>
      <c r="W477" s="367"/>
      <c r="X477" s="367"/>
      <c r="Y477" s="367"/>
      <c r="Z477" s="367"/>
      <c r="AA477" s="367"/>
      <c r="AB477" s="367"/>
      <c r="AC477" s="367"/>
      <c r="AD477" s="367"/>
      <c r="AE477" s="367"/>
      <c r="AF477" s="367"/>
    </row>
    <row r="478" ht="15.75" customHeight="1">
      <c r="A478" s="359"/>
      <c r="B478" s="361"/>
      <c r="C478" s="361"/>
      <c r="D478" s="361"/>
      <c r="E478" s="367"/>
      <c r="F478" s="367"/>
      <c r="G478" s="367"/>
      <c r="H478" s="367"/>
      <c r="I478" s="367"/>
      <c r="J478" s="367"/>
      <c r="K478" s="367"/>
      <c r="L478" s="367"/>
      <c r="M478" s="367"/>
      <c r="N478" s="367"/>
      <c r="O478" s="367"/>
      <c r="P478" s="367"/>
      <c r="Q478" s="367"/>
      <c r="R478" s="367"/>
      <c r="S478" s="367"/>
      <c r="T478" s="367"/>
      <c r="U478" s="367"/>
      <c r="V478" s="367"/>
      <c r="W478" s="367"/>
      <c r="X478" s="367"/>
      <c r="Y478" s="367"/>
      <c r="Z478" s="367"/>
      <c r="AA478" s="367"/>
      <c r="AB478" s="367"/>
      <c r="AC478" s="367"/>
      <c r="AD478" s="367"/>
      <c r="AE478" s="367"/>
      <c r="AF478" s="367"/>
    </row>
    <row r="479" ht="15.75" customHeight="1">
      <c r="A479" s="359"/>
      <c r="B479" s="361"/>
      <c r="C479" s="361"/>
      <c r="D479" s="361"/>
      <c r="E479" s="367"/>
      <c r="F479" s="367"/>
      <c r="G479" s="367"/>
      <c r="H479" s="367"/>
      <c r="I479" s="367"/>
      <c r="J479" s="367"/>
      <c r="K479" s="367"/>
      <c r="L479" s="367"/>
      <c r="M479" s="367"/>
      <c r="N479" s="367"/>
      <c r="O479" s="367"/>
      <c r="P479" s="367"/>
      <c r="Q479" s="367"/>
      <c r="R479" s="367"/>
      <c r="S479" s="367"/>
      <c r="T479" s="367"/>
      <c r="U479" s="367"/>
      <c r="V479" s="367"/>
      <c r="W479" s="367"/>
      <c r="X479" s="367"/>
      <c r="Y479" s="367"/>
      <c r="Z479" s="367"/>
      <c r="AA479" s="367"/>
      <c r="AB479" s="367"/>
      <c r="AC479" s="367"/>
      <c r="AD479" s="367"/>
      <c r="AE479" s="367"/>
      <c r="AF479" s="367"/>
    </row>
    <row r="480" ht="15.75" customHeight="1">
      <c r="A480" s="359"/>
      <c r="B480" s="361"/>
      <c r="C480" s="361"/>
      <c r="D480" s="361"/>
      <c r="E480" s="367"/>
      <c r="F480" s="367"/>
      <c r="G480" s="367"/>
      <c r="H480" s="367"/>
      <c r="I480" s="367"/>
      <c r="J480" s="367"/>
      <c r="K480" s="367"/>
      <c r="L480" s="367"/>
      <c r="M480" s="367"/>
      <c r="N480" s="367"/>
      <c r="O480" s="367"/>
      <c r="P480" s="367"/>
      <c r="Q480" s="367"/>
      <c r="R480" s="367"/>
      <c r="S480" s="367"/>
      <c r="T480" s="367"/>
      <c r="U480" s="367"/>
      <c r="V480" s="367"/>
      <c r="W480" s="367"/>
      <c r="X480" s="367"/>
      <c r="Y480" s="367"/>
      <c r="Z480" s="367"/>
      <c r="AA480" s="367"/>
      <c r="AB480" s="367"/>
      <c r="AC480" s="367"/>
      <c r="AD480" s="367"/>
      <c r="AE480" s="367"/>
      <c r="AF480" s="367"/>
    </row>
    <row r="481" ht="15.75" customHeight="1">
      <c r="A481" s="359"/>
      <c r="B481" s="361"/>
      <c r="C481" s="361"/>
      <c r="D481" s="361"/>
      <c r="E481" s="367"/>
      <c r="F481" s="367"/>
      <c r="G481" s="367"/>
      <c r="H481" s="367"/>
      <c r="I481" s="367"/>
      <c r="J481" s="367"/>
      <c r="K481" s="367"/>
      <c r="L481" s="367"/>
      <c r="M481" s="367"/>
      <c r="N481" s="367"/>
      <c r="O481" s="367"/>
      <c r="P481" s="367"/>
      <c r="Q481" s="367"/>
      <c r="R481" s="367"/>
      <c r="S481" s="367"/>
      <c r="T481" s="367"/>
      <c r="U481" s="367"/>
      <c r="V481" s="367"/>
      <c r="W481" s="367"/>
      <c r="X481" s="367"/>
      <c r="Y481" s="367"/>
      <c r="Z481" s="367"/>
      <c r="AA481" s="367"/>
      <c r="AB481" s="367"/>
      <c r="AC481" s="367"/>
      <c r="AD481" s="367"/>
      <c r="AE481" s="367"/>
      <c r="AF481" s="367"/>
    </row>
    <row r="482" ht="15.75" customHeight="1">
      <c r="A482" s="359"/>
      <c r="B482" s="361"/>
      <c r="C482" s="361"/>
      <c r="D482" s="361"/>
      <c r="E482" s="367"/>
      <c r="F482" s="367"/>
      <c r="G482" s="367"/>
      <c r="H482" s="367"/>
      <c r="I482" s="367"/>
      <c r="J482" s="367"/>
      <c r="K482" s="367"/>
      <c r="L482" s="367"/>
      <c r="M482" s="367"/>
      <c r="N482" s="367"/>
      <c r="O482" s="367"/>
      <c r="P482" s="367"/>
      <c r="Q482" s="367"/>
      <c r="R482" s="367"/>
      <c r="S482" s="367"/>
      <c r="T482" s="367"/>
      <c r="U482" s="367"/>
      <c r="V482" s="367"/>
      <c r="W482" s="367"/>
      <c r="X482" s="367"/>
      <c r="Y482" s="367"/>
      <c r="Z482" s="367"/>
      <c r="AA482" s="367"/>
      <c r="AB482" s="367"/>
      <c r="AC482" s="367"/>
      <c r="AD482" s="367"/>
      <c r="AE482" s="367"/>
      <c r="AF482" s="367"/>
    </row>
    <row r="483" ht="15.75" customHeight="1">
      <c r="A483" s="359"/>
      <c r="B483" s="361"/>
      <c r="C483" s="361"/>
      <c r="D483" s="361"/>
      <c r="E483" s="367"/>
      <c r="F483" s="367"/>
      <c r="G483" s="367"/>
      <c r="H483" s="367"/>
      <c r="I483" s="367"/>
      <c r="J483" s="367"/>
      <c r="K483" s="367"/>
      <c r="L483" s="367"/>
      <c r="M483" s="367"/>
      <c r="N483" s="367"/>
      <c r="O483" s="367"/>
      <c r="P483" s="367"/>
      <c r="Q483" s="367"/>
      <c r="R483" s="367"/>
      <c r="S483" s="367"/>
      <c r="T483" s="367"/>
      <c r="U483" s="367"/>
      <c r="V483" s="367"/>
      <c r="W483" s="367"/>
      <c r="X483" s="367"/>
      <c r="Y483" s="367"/>
      <c r="Z483" s="367"/>
      <c r="AA483" s="367"/>
      <c r="AB483" s="367"/>
      <c r="AC483" s="367"/>
      <c r="AD483" s="367"/>
      <c r="AE483" s="367"/>
      <c r="AF483" s="367"/>
    </row>
    <row r="484" ht="15.75" customHeight="1">
      <c r="A484" s="359"/>
      <c r="B484" s="361"/>
      <c r="C484" s="361"/>
      <c r="D484" s="361"/>
      <c r="E484" s="367"/>
      <c r="F484" s="367"/>
      <c r="G484" s="367"/>
      <c r="H484" s="367"/>
      <c r="I484" s="367"/>
      <c r="J484" s="367"/>
      <c r="K484" s="367"/>
      <c r="L484" s="367"/>
      <c r="M484" s="367"/>
      <c r="N484" s="367"/>
      <c r="O484" s="367"/>
      <c r="P484" s="367"/>
      <c r="Q484" s="367"/>
      <c r="R484" s="367"/>
      <c r="S484" s="367"/>
      <c r="T484" s="367"/>
      <c r="U484" s="367"/>
      <c r="V484" s="367"/>
      <c r="W484" s="367"/>
      <c r="X484" s="367"/>
      <c r="Y484" s="367"/>
      <c r="Z484" s="367"/>
      <c r="AA484" s="367"/>
      <c r="AB484" s="367"/>
      <c r="AC484" s="367"/>
      <c r="AD484" s="367"/>
      <c r="AE484" s="367"/>
      <c r="AF484" s="367"/>
    </row>
    <row r="485" ht="15.75" customHeight="1">
      <c r="A485" s="359"/>
      <c r="B485" s="361"/>
      <c r="C485" s="361"/>
      <c r="D485" s="361"/>
      <c r="E485" s="367"/>
      <c r="F485" s="367"/>
      <c r="G485" s="367"/>
      <c r="H485" s="367"/>
      <c r="I485" s="367"/>
      <c r="J485" s="367"/>
      <c r="K485" s="367"/>
      <c r="L485" s="367"/>
      <c r="M485" s="367"/>
      <c r="N485" s="367"/>
      <c r="O485" s="367"/>
      <c r="P485" s="367"/>
      <c r="Q485" s="367"/>
      <c r="R485" s="367"/>
      <c r="S485" s="367"/>
      <c r="T485" s="367"/>
      <c r="U485" s="367"/>
      <c r="V485" s="367"/>
      <c r="W485" s="367"/>
      <c r="X485" s="367"/>
      <c r="Y485" s="367"/>
      <c r="Z485" s="367"/>
      <c r="AA485" s="367"/>
      <c r="AB485" s="367"/>
      <c r="AC485" s="367"/>
      <c r="AD485" s="367"/>
      <c r="AE485" s="367"/>
      <c r="AF485" s="367"/>
    </row>
    <row r="486" ht="15.75" customHeight="1">
      <c r="A486" s="359"/>
      <c r="B486" s="361"/>
      <c r="C486" s="361"/>
      <c r="D486" s="361"/>
      <c r="E486" s="367"/>
      <c r="F486" s="367"/>
      <c r="G486" s="367"/>
      <c r="H486" s="367"/>
      <c r="I486" s="367"/>
      <c r="J486" s="367"/>
      <c r="K486" s="367"/>
      <c r="L486" s="367"/>
      <c r="M486" s="367"/>
      <c r="N486" s="367"/>
      <c r="O486" s="367"/>
      <c r="P486" s="367"/>
      <c r="Q486" s="367"/>
      <c r="R486" s="367"/>
      <c r="S486" s="367"/>
      <c r="T486" s="367"/>
      <c r="U486" s="367"/>
      <c r="V486" s="367"/>
      <c r="W486" s="367"/>
      <c r="X486" s="367"/>
      <c r="Y486" s="367"/>
      <c r="Z486" s="367"/>
      <c r="AA486" s="367"/>
      <c r="AB486" s="367"/>
      <c r="AC486" s="367"/>
      <c r="AD486" s="367"/>
      <c r="AE486" s="367"/>
      <c r="AF486" s="367"/>
    </row>
    <row r="487" ht="15.75" customHeight="1">
      <c r="A487" s="359"/>
      <c r="B487" s="361"/>
      <c r="C487" s="361"/>
      <c r="D487" s="361"/>
      <c r="E487" s="367"/>
      <c r="F487" s="367"/>
      <c r="G487" s="367"/>
      <c r="H487" s="367"/>
      <c r="I487" s="367"/>
      <c r="J487" s="367"/>
      <c r="K487" s="367"/>
      <c r="L487" s="367"/>
      <c r="M487" s="367"/>
      <c r="N487" s="367"/>
      <c r="O487" s="367"/>
      <c r="P487" s="367"/>
      <c r="Q487" s="367"/>
      <c r="R487" s="367"/>
      <c r="S487" s="367"/>
      <c r="T487" s="367"/>
      <c r="U487" s="367"/>
      <c r="V487" s="367"/>
      <c r="W487" s="367"/>
      <c r="X487" s="367"/>
      <c r="Y487" s="367"/>
      <c r="Z487" s="367"/>
      <c r="AA487" s="367"/>
      <c r="AB487" s="367"/>
      <c r="AC487" s="367"/>
      <c r="AD487" s="367"/>
      <c r="AE487" s="367"/>
      <c r="AF487" s="367"/>
    </row>
    <row r="488" ht="15.75" customHeight="1">
      <c r="A488" s="359"/>
      <c r="B488" s="361"/>
      <c r="C488" s="361"/>
      <c r="D488" s="361"/>
      <c r="E488" s="367"/>
      <c r="F488" s="367"/>
      <c r="G488" s="367"/>
      <c r="H488" s="367"/>
      <c r="I488" s="367"/>
      <c r="J488" s="367"/>
      <c r="K488" s="367"/>
      <c r="L488" s="367"/>
      <c r="M488" s="367"/>
      <c r="N488" s="367"/>
      <c r="O488" s="367"/>
      <c r="P488" s="367"/>
      <c r="Q488" s="367"/>
      <c r="R488" s="367"/>
      <c r="S488" s="367"/>
      <c r="T488" s="367"/>
      <c r="U488" s="367"/>
      <c r="V488" s="367"/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</row>
    <row r="489" ht="15.75" customHeight="1">
      <c r="A489" s="359"/>
      <c r="B489" s="361"/>
      <c r="C489" s="361"/>
      <c r="D489" s="361"/>
      <c r="E489" s="367"/>
      <c r="F489" s="367"/>
      <c r="G489" s="367"/>
      <c r="H489" s="367"/>
      <c r="I489" s="367"/>
      <c r="J489" s="367"/>
      <c r="K489" s="367"/>
      <c r="L489" s="367"/>
      <c r="M489" s="367"/>
      <c r="N489" s="367"/>
      <c r="O489" s="367"/>
      <c r="P489" s="367"/>
      <c r="Q489" s="367"/>
      <c r="R489" s="367"/>
      <c r="S489" s="367"/>
      <c r="T489" s="367"/>
      <c r="U489" s="367"/>
      <c r="V489" s="367"/>
      <c r="W489" s="367"/>
      <c r="X489" s="367"/>
      <c r="Y489" s="367"/>
      <c r="Z489" s="367"/>
      <c r="AA489" s="367"/>
      <c r="AB489" s="367"/>
      <c r="AC489" s="367"/>
      <c r="AD489" s="367"/>
      <c r="AE489" s="367"/>
      <c r="AF489" s="367"/>
    </row>
    <row r="490" ht="15.75" customHeight="1">
      <c r="A490" s="359"/>
      <c r="B490" s="361"/>
      <c r="C490" s="361"/>
      <c r="D490" s="361"/>
      <c r="E490" s="367"/>
      <c r="F490" s="367"/>
      <c r="G490" s="367"/>
      <c r="H490" s="367"/>
      <c r="I490" s="367"/>
      <c r="J490" s="367"/>
      <c r="K490" s="367"/>
      <c r="L490" s="367"/>
      <c r="M490" s="367"/>
      <c r="N490" s="367"/>
      <c r="O490" s="367"/>
      <c r="P490" s="367"/>
      <c r="Q490" s="367"/>
      <c r="R490" s="367"/>
      <c r="S490" s="367"/>
      <c r="T490" s="367"/>
      <c r="U490" s="367"/>
      <c r="V490" s="367"/>
      <c r="W490" s="367"/>
      <c r="X490" s="367"/>
      <c r="Y490" s="367"/>
      <c r="Z490" s="367"/>
      <c r="AA490" s="367"/>
      <c r="AB490" s="367"/>
      <c r="AC490" s="367"/>
      <c r="AD490" s="367"/>
      <c r="AE490" s="367"/>
      <c r="AF490" s="367"/>
    </row>
    <row r="491" ht="15.75" customHeight="1">
      <c r="A491" s="359"/>
      <c r="B491" s="361"/>
      <c r="C491" s="361"/>
      <c r="D491" s="361"/>
      <c r="E491" s="367"/>
      <c r="F491" s="367"/>
      <c r="G491" s="367"/>
      <c r="H491" s="367"/>
      <c r="I491" s="367"/>
      <c r="J491" s="367"/>
      <c r="K491" s="367"/>
      <c r="L491" s="367"/>
      <c r="M491" s="367"/>
      <c r="N491" s="367"/>
      <c r="O491" s="367"/>
      <c r="P491" s="367"/>
      <c r="Q491" s="367"/>
      <c r="R491" s="367"/>
      <c r="S491" s="367"/>
      <c r="T491" s="367"/>
      <c r="U491" s="367"/>
      <c r="V491" s="367"/>
      <c r="W491" s="367"/>
      <c r="X491" s="367"/>
      <c r="Y491" s="367"/>
      <c r="Z491" s="367"/>
      <c r="AA491" s="367"/>
      <c r="AB491" s="367"/>
      <c r="AC491" s="367"/>
      <c r="AD491" s="367"/>
      <c r="AE491" s="367"/>
      <c r="AF491" s="367"/>
    </row>
    <row r="492" ht="15.75" customHeight="1">
      <c r="A492" s="359"/>
      <c r="B492" s="361"/>
      <c r="C492" s="361"/>
      <c r="D492" s="361"/>
      <c r="E492" s="367"/>
      <c r="F492" s="367"/>
      <c r="G492" s="367"/>
      <c r="H492" s="367"/>
      <c r="I492" s="367"/>
      <c r="J492" s="367"/>
      <c r="K492" s="367"/>
      <c r="L492" s="367"/>
      <c r="M492" s="367"/>
      <c r="N492" s="367"/>
      <c r="O492" s="367"/>
      <c r="P492" s="367"/>
      <c r="Q492" s="367"/>
      <c r="R492" s="367"/>
      <c r="S492" s="367"/>
      <c r="T492" s="367"/>
      <c r="U492" s="367"/>
      <c r="V492" s="367"/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</row>
    <row r="493" ht="15.75" customHeight="1">
      <c r="A493" s="359"/>
      <c r="B493" s="361"/>
      <c r="C493" s="361"/>
      <c r="D493" s="361"/>
      <c r="E493" s="367"/>
      <c r="F493" s="367"/>
      <c r="G493" s="367"/>
      <c r="H493" s="367"/>
      <c r="I493" s="367"/>
      <c r="J493" s="367"/>
      <c r="K493" s="367"/>
      <c r="L493" s="367"/>
      <c r="M493" s="367"/>
      <c r="N493" s="367"/>
      <c r="O493" s="367"/>
      <c r="P493" s="367"/>
      <c r="Q493" s="367"/>
      <c r="R493" s="367"/>
      <c r="S493" s="367"/>
      <c r="T493" s="367"/>
      <c r="U493" s="367"/>
      <c r="V493" s="367"/>
      <c r="W493" s="367"/>
      <c r="X493" s="367"/>
      <c r="Y493" s="367"/>
      <c r="Z493" s="367"/>
      <c r="AA493" s="367"/>
      <c r="AB493" s="367"/>
      <c r="AC493" s="367"/>
      <c r="AD493" s="367"/>
      <c r="AE493" s="367"/>
      <c r="AF493" s="367"/>
    </row>
    <row r="494" ht="15.75" customHeight="1">
      <c r="A494" s="359"/>
      <c r="B494" s="361"/>
      <c r="C494" s="361"/>
      <c r="D494" s="361"/>
      <c r="E494" s="367"/>
      <c r="F494" s="367"/>
      <c r="G494" s="367"/>
      <c r="H494" s="367"/>
      <c r="I494" s="367"/>
      <c r="J494" s="367"/>
      <c r="K494" s="367"/>
      <c r="L494" s="367"/>
      <c r="M494" s="367"/>
      <c r="N494" s="367"/>
      <c r="O494" s="367"/>
      <c r="P494" s="367"/>
      <c r="Q494" s="367"/>
      <c r="R494" s="367"/>
      <c r="S494" s="367"/>
      <c r="T494" s="367"/>
      <c r="U494" s="367"/>
      <c r="V494" s="367"/>
      <c r="W494" s="367"/>
      <c r="X494" s="367"/>
      <c r="Y494" s="367"/>
      <c r="Z494" s="367"/>
      <c r="AA494" s="367"/>
      <c r="AB494" s="367"/>
      <c r="AC494" s="367"/>
      <c r="AD494" s="367"/>
      <c r="AE494" s="367"/>
      <c r="AF494" s="367"/>
    </row>
    <row r="495" ht="15.75" customHeight="1">
      <c r="A495" s="359"/>
      <c r="B495" s="361"/>
      <c r="C495" s="361"/>
      <c r="D495" s="361"/>
      <c r="E495" s="367"/>
      <c r="F495" s="367"/>
      <c r="G495" s="367"/>
      <c r="H495" s="367"/>
      <c r="I495" s="367"/>
      <c r="J495" s="367"/>
      <c r="K495" s="367"/>
      <c r="L495" s="367"/>
      <c r="M495" s="367"/>
      <c r="N495" s="367"/>
      <c r="O495" s="367"/>
      <c r="P495" s="367"/>
      <c r="Q495" s="367"/>
      <c r="R495" s="367"/>
      <c r="S495" s="367"/>
      <c r="T495" s="367"/>
      <c r="U495" s="367"/>
      <c r="V495" s="367"/>
      <c r="W495" s="367"/>
      <c r="X495" s="367"/>
      <c r="Y495" s="367"/>
      <c r="Z495" s="367"/>
      <c r="AA495" s="367"/>
      <c r="AB495" s="367"/>
      <c r="AC495" s="367"/>
      <c r="AD495" s="367"/>
      <c r="AE495" s="367"/>
      <c r="AF495" s="367"/>
    </row>
    <row r="496" ht="15.75" customHeight="1">
      <c r="A496" s="359"/>
      <c r="B496" s="361"/>
      <c r="C496" s="361"/>
      <c r="D496" s="361"/>
      <c r="E496" s="367"/>
      <c r="F496" s="367"/>
      <c r="G496" s="367"/>
      <c r="H496" s="367"/>
      <c r="I496" s="367"/>
      <c r="J496" s="367"/>
      <c r="K496" s="367"/>
      <c r="L496" s="367"/>
      <c r="M496" s="367"/>
      <c r="N496" s="367"/>
      <c r="O496" s="367"/>
      <c r="P496" s="367"/>
      <c r="Q496" s="367"/>
      <c r="R496" s="367"/>
      <c r="S496" s="367"/>
      <c r="T496" s="367"/>
      <c r="U496" s="367"/>
      <c r="V496" s="367"/>
      <c r="W496" s="367"/>
      <c r="X496" s="367"/>
      <c r="Y496" s="367"/>
      <c r="Z496" s="367"/>
      <c r="AA496" s="367"/>
      <c r="AB496" s="367"/>
      <c r="AC496" s="367"/>
      <c r="AD496" s="367"/>
      <c r="AE496" s="367"/>
      <c r="AF496" s="367"/>
    </row>
    <row r="497" ht="15.75" customHeight="1">
      <c r="A497" s="359"/>
      <c r="B497" s="361"/>
      <c r="C497" s="361"/>
      <c r="D497" s="361"/>
      <c r="E497" s="367"/>
      <c r="F497" s="367"/>
      <c r="G497" s="367"/>
      <c r="H497" s="367"/>
      <c r="I497" s="367"/>
      <c r="J497" s="367"/>
      <c r="K497" s="367"/>
      <c r="L497" s="367"/>
      <c r="M497" s="367"/>
      <c r="N497" s="367"/>
      <c r="O497" s="367"/>
      <c r="P497" s="367"/>
      <c r="Q497" s="367"/>
      <c r="R497" s="367"/>
      <c r="S497" s="367"/>
      <c r="T497" s="367"/>
      <c r="U497" s="367"/>
      <c r="V497" s="367"/>
      <c r="W497" s="367"/>
      <c r="X497" s="367"/>
      <c r="Y497" s="367"/>
      <c r="Z497" s="367"/>
      <c r="AA497" s="367"/>
      <c r="AB497" s="367"/>
      <c r="AC497" s="367"/>
      <c r="AD497" s="367"/>
      <c r="AE497" s="367"/>
      <c r="AF497" s="367"/>
    </row>
    <row r="498" ht="15.75" customHeight="1">
      <c r="A498" s="359"/>
      <c r="B498" s="361"/>
      <c r="C498" s="361"/>
      <c r="D498" s="361"/>
      <c r="E498" s="367"/>
      <c r="F498" s="367"/>
      <c r="G498" s="367"/>
      <c r="H498" s="367"/>
      <c r="I498" s="367"/>
      <c r="J498" s="367"/>
      <c r="K498" s="367"/>
      <c r="L498" s="367"/>
      <c r="M498" s="367"/>
      <c r="N498" s="367"/>
      <c r="O498" s="367"/>
      <c r="P498" s="367"/>
      <c r="Q498" s="367"/>
      <c r="R498" s="367"/>
      <c r="S498" s="367"/>
      <c r="T498" s="367"/>
      <c r="U498" s="367"/>
      <c r="V498" s="367"/>
      <c r="W498" s="367"/>
      <c r="X498" s="367"/>
      <c r="Y498" s="367"/>
      <c r="Z498" s="367"/>
      <c r="AA498" s="367"/>
      <c r="AB498" s="367"/>
      <c r="AC498" s="367"/>
      <c r="AD498" s="367"/>
      <c r="AE498" s="367"/>
      <c r="AF498" s="367"/>
    </row>
    <row r="499" ht="15.75" customHeight="1">
      <c r="A499" s="359"/>
      <c r="B499" s="361"/>
      <c r="C499" s="361"/>
      <c r="D499" s="361"/>
      <c r="E499" s="367"/>
      <c r="F499" s="367"/>
      <c r="G499" s="367"/>
      <c r="H499" s="367"/>
      <c r="I499" s="367"/>
      <c r="J499" s="367"/>
      <c r="K499" s="367"/>
      <c r="L499" s="367"/>
      <c r="M499" s="367"/>
      <c r="N499" s="367"/>
      <c r="O499" s="367"/>
      <c r="P499" s="367"/>
      <c r="Q499" s="367"/>
      <c r="R499" s="367"/>
      <c r="S499" s="367"/>
      <c r="T499" s="367"/>
      <c r="U499" s="367"/>
      <c r="V499" s="367"/>
      <c r="W499" s="367"/>
      <c r="X499" s="367"/>
      <c r="Y499" s="367"/>
      <c r="Z499" s="367"/>
      <c r="AA499" s="367"/>
      <c r="AB499" s="367"/>
      <c r="AC499" s="367"/>
      <c r="AD499" s="367"/>
      <c r="AE499" s="367"/>
      <c r="AF499" s="367"/>
    </row>
    <row r="500" ht="15.75" customHeight="1">
      <c r="A500" s="359"/>
      <c r="B500" s="361"/>
      <c r="C500" s="361"/>
      <c r="D500" s="361"/>
      <c r="E500" s="367"/>
      <c r="F500" s="367"/>
      <c r="G500" s="367"/>
      <c r="H500" s="367"/>
      <c r="I500" s="367"/>
      <c r="J500" s="367"/>
      <c r="K500" s="367"/>
      <c r="L500" s="367"/>
      <c r="M500" s="367"/>
      <c r="N500" s="367"/>
      <c r="O500" s="367"/>
      <c r="P500" s="367"/>
      <c r="Q500" s="367"/>
      <c r="R500" s="367"/>
      <c r="S500" s="367"/>
      <c r="T500" s="367"/>
      <c r="U500" s="367"/>
      <c r="V500" s="367"/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</row>
    <row r="501" ht="15.75" customHeight="1">
      <c r="A501" s="359"/>
      <c r="B501" s="361"/>
      <c r="C501" s="361"/>
      <c r="D501" s="361"/>
      <c r="E501" s="367"/>
      <c r="F501" s="367"/>
      <c r="G501" s="367"/>
      <c r="H501" s="367"/>
      <c r="I501" s="367"/>
      <c r="J501" s="367"/>
      <c r="K501" s="367"/>
      <c r="L501" s="367"/>
      <c r="M501" s="367"/>
      <c r="N501" s="367"/>
      <c r="O501" s="367"/>
      <c r="P501" s="367"/>
      <c r="Q501" s="367"/>
      <c r="R501" s="367"/>
      <c r="S501" s="367"/>
      <c r="T501" s="367"/>
      <c r="U501" s="367"/>
      <c r="V501" s="367"/>
      <c r="W501" s="367"/>
      <c r="X501" s="367"/>
      <c r="Y501" s="367"/>
      <c r="Z501" s="367"/>
      <c r="AA501" s="367"/>
      <c r="AB501" s="367"/>
      <c r="AC501" s="367"/>
      <c r="AD501" s="367"/>
      <c r="AE501" s="367"/>
      <c r="AF501" s="367"/>
    </row>
    <row r="502" ht="15.75" customHeight="1">
      <c r="A502" s="359"/>
      <c r="B502" s="361"/>
      <c r="C502" s="361"/>
      <c r="D502" s="361"/>
      <c r="E502" s="367"/>
      <c r="F502" s="367"/>
      <c r="G502" s="367"/>
      <c r="H502" s="367"/>
      <c r="I502" s="367"/>
      <c r="J502" s="367"/>
      <c r="K502" s="367"/>
      <c r="L502" s="367"/>
      <c r="M502" s="367"/>
      <c r="N502" s="367"/>
      <c r="O502" s="367"/>
      <c r="P502" s="367"/>
      <c r="Q502" s="367"/>
      <c r="R502" s="367"/>
      <c r="S502" s="367"/>
      <c r="T502" s="367"/>
      <c r="U502" s="367"/>
      <c r="V502" s="367"/>
      <c r="W502" s="367"/>
      <c r="X502" s="367"/>
      <c r="Y502" s="367"/>
      <c r="Z502" s="367"/>
      <c r="AA502" s="367"/>
      <c r="AB502" s="367"/>
      <c r="AC502" s="367"/>
      <c r="AD502" s="367"/>
      <c r="AE502" s="367"/>
      <c r="AF502" s="367"/>
    </row>
    <row r="503" ht="15.75" customHeight="1">
      <c r="A503" s="359"/>
      <c r="B503" s="361"/>
      <c r="C503" s="361"/>
      <c r="D503" s="361"/>
      <c r="E503" s="367"/>
      <c r="F503" s="367"/>
      <c r="G503" s="367"/>
      <c r="H503" s="367"/>
      <c r="I503" s="367"/>
      <c r="J503" s="367"/>
      <c r="K503" s="367"/>
      <c r="L503" s="367"/>
      <c r="M503" s="367"/>
      <c r="N503" s="367"/>
      <c r="O503" s="367"/>
      <c r="P503" s="367"/>
      <c r="Q503" s="367"/>
      <c r="R503" s="367"/>
      <c r="S503" s="367"/>
      <c r="T503" s="367"/>
      <c r="U503" s="367"/>
      <c r="V503" s="367"/>
      <c r="W503" s="367"/>
      <c r="X503" s="367"/>
      <c r="Y503" s="367"/>
      <c r="Z503" s="367"/>
      <c r="AA503" s="367"/>
      <c r="AB503" s="367"/>
      <c r="AC503" s="367"/>
      <c r="AD503" s="367"/>
      <c r="AE503" s="367"/>
      <c r="AF503" s="367"/>
    </row>
    <row r="504" ht="15.75" customHeight="1">
      <c r="A504" s="359"/>
      <c r="B504" s="361"/>
      <c r="C504" s="361"/>
      <c r="D504" s="361"/>
      <c r="E504" s="367"/>
      <c r="F504" s="367"/>
      <c r="G504" s="367"/>
      <c r="H504" s="367"/>
      <c r="I504" s="367"/>
      <c r="J504" s="367"/>
      <c r="K504" s="367"/>
      <c r="L504" s="367"/>
      <c r="M504" s="367"/>
      <c r="N504" s="367"/>
      <c r="O504" s="367"/>
      <c r="P504" s="367"/>
      <c r="Q504" s="367"/>
      <c r="R504" s="367"/>
      <c r="S504" s="367"/>
      <c r="T504" s="367"/>
      <c r="U504" s="367"/>
      <c r="V504" s="367"/>
      <c r="W504" s="367"/>
      <c r="X504" s="367"/>
      <c r="Y504" s="367"/>
      <c r="Z504" s="367"/>
      <c r="AA504" s="367"/>
      <c r="AB504" s="367"/>
      <c r="AC504" s="367"/>
      <c r="AD504" s="367"/>
      <c r="AE504" s="367"/>
      <c r="AF504" s="367"/>
    </row>
    <row r="505" ht="15.75" customHeight="1">
      <c r="A505" s="359"/>
      <c r="B505" s="361"/>
      <c r="C505" s="361"/>
      <c r="D505" s="361"/>
      <c r="E505" s="367"/>
      <c r="F505" s="367"/>
      <c r="G505" s="367"/>
      <c r="H505" s="367"/>
      <c r="I505" s="367"/>
      <c r="J505" s="367"/>
      <c r="K505" s="367"/>
      <c r="L505" s="367"/>
      <c r="M505" s="367"/>
      <c r="N505" s="367"/>
      <c r="O505" s="367"/>
      <c r="P505" s="367"/>
      <c r="Q505" s="367"/>
      <c r="R505" s="367"/>
      <c r="S505" s="367"/>
      <c r="T505" s="367"/>
      <c r="U505" s="367"/>
      <c r="V505" s="367"/>
      <c r="W505" s="367"/>
      <c r="X505" s="367"/>
      <c r="Y505" s="367"/>
      <c r="Z505" s="367"/>
      <c r="AA505" s="367"/>
      <c r="AB505" s="367"/>
      <c r="AC505" s="367"/>
      <c r="AD505" s="367"/>
      <c r="AE505" s="367"/>
      <c r="AF505" s="367"/>
    </row>
    <row r="506" ht="15.75" customHeight="1">
      <c r="A506" s="359"/>
      <c r="B506" s="361"/>
      <c r="C506" s="361"/>
      <c r="D506" s="361"/>
      <c r="E506" s="367"/>
      <c r="F506" s="367"/>
      <c r="G506" s="367"/>
      <c r="H506" s="367"/>
      <c r="I506" s="367"/>
      <c r="J506" s="367"/>
      <c r="K506" s="367"/>
      <c r="L506" s="367"/>
      <c r="M506" s="367"/>
      <c r="N506" s="367"/>
      <c r="O506" s="367"/>
      <c r="P506" s="367"/>
      <c r="Q506" s="367"/>
      <c r="R506" s="367"/>
      <c r="S506" s="367"/>
      <c r="T506" s="367"/>
      <c r="U506" s="367"/>
      <c r="V506" s="367"/>
      <c r="W506" s="367"/>
      <c r="X506" s="367"/>
      <c r="Y506" s="367"/>
      <c r="Z506" s="367"/>
      <c r="AA506" s="367"/>
      <c r="AB506" s="367"/>
      <c r="AC506" s="367"/>
      <c r="AD506" s="367"/>
      <c r="AE506" s="367"/>
      <c r="AF506" s="367"/>
    </row>
    <row r="507" ht="15.75" customHeight="1">
      <c r="A507" s="359"/>
      <c r="B507" s="361"/>
      <c r="C507" s="361"/>
      <c r="D507" s="361"/>
      <c r="E507" s="367"/>
      <c r="F507" s="367"/>
      <c r="G507" s="367"/>
      <c r="H507" s="367"/>
      <c r="I507" s="367"/>
      <c r="J507" s="367"/>
      <c r="K507" s="367"/>
      <c r="L507" s="367"/>
      <c r="M507" s="367"/>
      <c r="N507" s="367"/>
      <c r="O507" s="367"/>
      <c r="P507" s="367"/>
      <c r="Q507" s="367"/>
      <c r="R507" s="367"/>
      <c r="S507" s="367"/>
      <c r="T507" s="367"/>
      <c r="U507" s="367"/>
      <c r="V507" s="367"/>
      <c r="W507" s="367"/>
      <c r="X507" s="367"/>
      <c r="Y507" s="367"/>
      <c r="Z507" s="367"/>
      <c r="AA507" s="367"/>
      <c r="AB507" s="367"/>
      <c r="AC507" s="367"/>
      <c r="AD507" s="367"/>
      <c r="AE507" s="367"/>
      <c r="AF507" s="367"/>
    </row>
    <row r="508" ht="15.75" customHeight="1">
      <c r="A508" s="359"/>
      <c r="B508" s="361"/>
      <c r="C508" s="361"/>
      <c r="D508" s="361"/>
      <c r="E508" s="367"/>
      <c r="F508" s="367"/>
      <c r="G508" s="367"/>
      <c r="H508" s="367"/>
      <c r="I508" s="367"/>
      <c r="J508" s="367"/>
      <c r="K508" s="367"/>
      <c r="L508" s="367"/>
      <c r="M508" s="367"/>
      <c r="N508" s="367"/>
      <c r="O508" s="367"/>
      <c r="P508" s="367"/>
      <c r="Q508" s="367"/>
      <c r="R508" s="367"/>
      <c r="S508" s="367"/>
      <c r="T508" s="367"/>
      <c r="U508" s="367"/>
      <c r="V508" s="367"/>
      <c r="W508" s="367"/>
      <c r="X508" s="367"/>
      <c r="Y508" s="367"/>
      <c r="Z508" s="367"/>
      <c r="AA508" s="367"/>
      <c r="AB508" s="367"/>
      <c r="AC508" s="367"/>
      <c r="AD508" s="367"/>
      <c r="AE508" s="367"/>
      <c r="AF508" s="367"/>
    </row>
    <row r="509" ht="15.75" customHeight="1">
      <c r="A509" s="359"/>
      <c r="B509" s="361"/>
      <c r="C509" s="361"/>
      <c r="D509" s="361"/>
      <c r="E509" s="367"/>
      <c r="F509" s="367"/>
      <c r="G509" s="367"/>
      <c r="H509" s="367"/>
      <c r="I509" s="367"/>
      <c r="J509" s="367"/>
      <c r="K509" s="367"/>
      <c r="L509" s="367"/>
      <c r="M509" s="367"/>
      <c r="N509" s="367"/>
      <c r="O509" s="367"/>
      <c r="P509" s="367"/>
      <c r="Q509" s="367"/>
      <c r="R509" s="367"/>
      <c r="S509" s="367"/>
      <c r="T509" s="367"/>
      <c r="U509" s="367"/>
      <c r="V509" s="367"/>
      <c r="W509" s="367"/>
      <c r="X509" s="367"/>
      <c r="Y509" s="367"/>
      <c r="Z509" s="367"/>
      <c r="AA509" s="367"/>
      <c r="AB509" s="367"/>
      <c r="AC509" s="367"/>
      <c r="AD509" s="367"/>
      <c r="AE509" s="367"/>
      <c r="AF509" s="367"/>
    </row>
    <row r="510" ht="15.75" customHeight="1">
      <c r="A510" s="359"/>
      <c r="B510" s="361"/>
      <c r="C510" s="361"/>
      <c r="D510" s="361"/>
      <c r="E510" s="367"/>
      <c r="F510" s="367"/>
      <c r="G510" s="367"/>
      <c r="H510" s="367"/>
      <c r="I510" s="367"/>
      <c r="J510" s="367"/>
      <c r="K510" s="367"/>
      <c r="L510" s="367"/>
      <c r="M510" s="367"/>
      <c r="N510" s="367"/>
      <c r="O510" s="367"/>
      <c r="P510" s="367"/>
      <c r="Q510" s="367"/>
      <c r="R510" s="367"/>
      <c r="S510" s="367"/>
      <c r="T510" s="367"/>
      <c r="U510" s="367"/>
      <c r="V510" s="367"/>
      <c r="W510" s="367"/>
      <c r="X510" s="367"/>
      <c r="Y510" s="367"/>
      <c r="Z510" s="367"/>
      <c r="AA510" s="367"/>
      <c r="AB510" s="367"/>
      <c r="AC510" s="367"/>
      <c r="AD510" s="367"/>
      <c r="AE510" s="367"/>
      <c r="AF510" s="367"/>
    </row>
    <row r="511" ht="15.75" customHeight="1">
      <c r="A511" s="359"/>
      <c r="B511" s="361"/>
      <c r="C511" s="361"/>
      <c r="D511" s="361"/>
      <c r="E511" s="367"/>
      <c r="F511" s="367"/>
      <c r="G511" s="367"/>
      <c r="H511" s="367"/>
      <c r="I511" s="367"/>
      <c r="J511" s="367"/>
      <c r="K511" s="367"/>
      <c r="L511" s="367"/>
      <c r="M511" s="367"/>
      <c r="N511" s="367"/>
      <c r="O511" s="367"/>
      <c r="P511" s="367"/>
      <c r="Q511" s="367"/>
      <c r="R511" s="367"/>
      <c r="S511" s="367"/>
      <c r="T511" s="367"/>
      <c r="U511" s="367"/>
      <c r="V511" s="367"/>
      <c r="W511" s="367"/>
      <c r="X511" s="367"/>
      <c r="Y511" s="367"/>
      <c r="Z511" s="367"/>
      <c r="AA511" s="367"/>
      <c r="AB511" s="367"/>
      <c r="AC511" s="367"/>
      <c r="AD511" s="367"/>
      <c r="AE511" s="367"/>
      <c r="AF511" s="367"/>
    </row>
    <row r="512" ht="15.75" customHeight="1">
      <c r="A512" s="359"/>
      <c r="B512" s="361"/>
      <c r="C512" s="361"/>
      <c r="D512" s="361"/>
      <c r="E512" s="367"/>
      <c r="F512" s="367"/>
      <c r="G512" s="367"/>
      <c r="H512" s="367"/>
      <c r="I512" s="367"/>
      <c r="J512" s="367"/>
      <c r="K512" s="367"/>
      <c r="L512" s="367"/>
      <c r="M512" s="367"/>
      <c r="N512" s="367"/>
      <c r="O512" s="367"/>
      <c r="P512" s="367"/>
      <c r="Q512" s="367"/>
      <c r="R512" s="367"/>
      <c r="S512" s="367"/>
      <c r="T512" s="367"/>
      <c r="U512" s="367"/>
      <c r="V512" s="367"/>
      <c r="W512" s="367"/>
      <c r="X512" s="367"/>
      <c r="Y512" s="367"/>
      <c r="Z512" s="367"/>
      <c r="AA512" s="367"/>
      <c r="AB512" s="367"/>
      <c r="AC512" s="367"/>
      <c r="AD512" s="367"/>
      <c r="AE512" s="367"/>
      <c r="AF512" s="367"/>
    </row>
    <row r="513" ht="15.75" customHeight="1">
      <c r="A513" s="359"/>
      <c r="B513" s="361"/>
      <c r="C513" s="361"/>
      <c r="D513" s="361"/>
      <c r="E513" s="367"/>
      <c r="F513" s="367"/>
      <c r="G513" s="367"/>
      <c r="H513" s="367"/>
      <c r="I513" s="367"/>
      <c r="J513" s="367"/>
      <c r="K513" s="367"/>
      <c r="L513" s="367"/>
      <c r="M513" s="367"/>
      <c r="N513" s="367"/>
      <c r="O513" s="367"/>
      <c r="P513" s="367"/>
      <c r="Q513" s="367"/>
      <c r="R513" s="367"/>
      <c r="S513" s="367"/>
      <c r="T513" s="367"/>
      <c r="U513" s="367"/>
      <c r="V513" s="367"/>
      <c r="W513" s="367"/>
      <c r="X513" s="367"/>
      <c r="Y513" s="367"/>
      <c r="Z513" s="367"/>
      <c r="AA513" s="367"/>
      <c r="AB513" s="367"/>
      <c r="AC513" s="367"/>
      <c r="AD513" s="367"/>
      <c r="AE513" s="367"/>
      <c r="AF513" s="367"/>
    </row>
    <row r="514" ht="15.75" customHeight="1">
      <c r="A514" s="359"/>
      <c r="B514" s="361"/>
      <c r="C514" s="361"/>
      <c r="D514" s="361"/>
      <c r="E514" s="367"/>
      <c r="F514" s="367"/>
      <c r="G514" s="367"/>
      <c r="H514" s="367"/>
      <c r="I514" s="367"/>
      <c r="J514" s="367"/>
      <c r="K514" s="367"/>
      <c r="L514" s="367"/>
      <c r="M514" s="367"/>
      <c r="N514" s="367"/>
      <c r="O514" s="367"/>
      <c r="P514" s="367"/>
      <c r="Q514" s="367"/>
      <c r="R514" s="367"/>
      <c r="S514" s="367"/>
      <c r="T514" s="367"/>
      <c r="U514" s="367"/>
      <c r="V514" s="367"/>
      <c r="W514" s="367"/>
      <c r="X514" s="367"/>
      <c r="Y514" s="367"/>
      <c r="Z514" s="367"/>
      <c r="AA514" s="367"/>
      <c r="AB514" s="367"/>
      <c r="AC514" s="367"/>
      <c r="AD514" s="367"/>
      <c r="AE514" s="367"/>
      <c r="AF514" s="367"/>
    </row>
    <row r="515" ht="15.75" customHeight="1">
      <c r="A515" s="359"/>
      <c r="B515" s="361"/>
      <c r="C515" s="361"/>
      <c r="D515" s="361"/>
      <c r="E515" s="367"/>
      <c r="F515" s="367"/>
      <c r="G515" s="367"/>
      <c r="H515" s="367"/>
      <c r="I515" s="367"/>
      <c r="J515" s="367"/>
      <c r="K515" s="367"/>
      <c r="L515" s="367"/>
      <c r="M515" s="367"/>
      <c r="N515" s="367"/>
      <c r="O515" s="367"/>
      <c r="P515" s="367"/>
      <c r="Q515" s="367"/>
      <c r="R515" s="367"/>
      <c r="S515" s="367"/>
      <c r="T515" s="367"/>
      <c r="U515" s="367"/>
      <c r="V515" s="367"/>
      <c r="W515" s="367"/>
      <c r="X515" s="367"/>
      <c r="Y515" s="367"/>
      <c r="Z515" s="367"/>
      <c r="AA515" s="367"/>
      <c r="AB515" s="367"/>
      <c r="AC515" s="367"/>
      <c r="AD515" s="367"/>
      <c r="AE515" s="367"/>
      <c r="AF515" s="367"/>
    </row>
    <row r="516" ht="15.75" customHeight="1">
      <c r="A516" s="359"/>
      <c r="B516" s="361"/>
      <c r="C516" s="361"/>
      <c r="D516" s="361"/>
      <c r="E516" s="367"/>
      <c r="F516" s="367"/>
      <c r="G516" s="367"/>
      <c r="H516" s="367"/>
      <c r="I516" s="367"/>
      <c r="J516" s="367"/>
      <c r="K516" s="367"/>
      <c r="L516" s="367"/>
      <c r="M516" s="367"/>
      <c r="N516" s="367"/>
      <c r="O516" s="367"/>
      <c r="P516" s="367"/>
      <c r="Q516" s="367"/>
      <c r="R516" s="367"/>
      <c r="S516" s="367"/>
      <c r="T516" s="367"/>
      <c r="U516" s="367"/>
      <c r="V516" s="367"/>
      <c r="W516" s="367"/>
      <c r="X516" s="367"/>
      <c r="Y516" s="367"/>
      <c r="Z516" s="367"/>
      <c r="AA516" s="367"/>
      <c r="AB516" s="367"/>
      <c r="AC516" s="367"/>
      <c r="AD516" s="367"/>
      <c r="AE516" s="367"/>
      <c r="AF516" s="367"/>
    </row>
    <row r="517" ht="15.75" customHeight="1">
      <c r="A517" s="359"/>
      <c r="B517" s="361"/>
      <c r="C517" s="361"/>
      <c r="D517" s="361"/>
      <c r="E517" s="367"/>
      <c r="F517" s="367"/>
      <c r="G517" s="367"/>
      <c r="H517" s="367"/>
      <c r="I517" s="367"/>
      <c r="J517" s="367"/>
      <c r="K517" s="367"/>
      <c r="L517" s="367"/>
      <c r="M517" s="367"/>
      <c r="N517" s="367"/>
      <c r="O517" s="367"/>
      <c r="P517" s="367"/>
      <c r="Q517" s="367"/>
      <c r="R517" s="367"/>
      <c r="S517" s="367"/>
      <c r="T517" s="367"/>
      <c r="U517" s="367"/>
      <c r="V517" s="367"/>
      <c r="W517" s="367"/>
      <c r="X517" s="367"/>
      <c r="Y517" s="367"/>
      <c r="Z517" s="367"/>
      <c r="AA517" s="367"/>
      <c r="AB517" s="367"/>
      <c r="AC517" s="367"/>
      <c r="AD517" s="367"/>
      <c r="AE517" s="367"/>
      <c r="AF517" s="367"/>
    </row>
    <row r="518" ht="15.75" customHeight="1">
      <c r="A518" s="359"/>
      <c r="B518" s="361"/>
      <c r="C518" s="361"/>
      <c r="D518" s="361"/>
      <c r="E518" s="367"/>
      <c r="F518" s="367"/>
      <c r="G518" s="367"/>
      <c r="H518" s="367"/>
      <c r="I518" s="367"/>
      <c r="J518" s="367"/>
      <c r="K518" s="367"/>
      <c r="L518" s="367"/>
      <c r="M518" s="367"/>
      <c r="N518" s="367"/>
      <c r="O518" s="367"/>
      <c r="P518" s="367"/>
      <c r="Q518" s="367"/>
      <c r="R518" s="367"/>
      <c r="S518" s="367"/>
      <c r="T518" s="367"/>
      <c r="U518" s="367"/>
      <c r="V518" s="367"/>
      <c r="W518" s="367"/>
      <c r="X518" s="367"/>
      <c r="Y518" s="367"/>
      <c r="Z518" s="367"/>
      <c r="AA518" s="367"/>
      <c r="AB518" s="367"/>
      <c r="AC518" s="367"/>
      <c r="AD518" s="367"/>
      <c r="AE518" s="367"/>
      <c r="AF518" s="367"/>
    </row>
    <row r="519" ht="15.75" customHeight="1">
      <c r="A519" s="359"/>
      <c r="B519" s="361"/>
      <c r="C519" s="361"/>
      <c r="D519" s="361"/>
      <c r="E519" s="367"/>
      <c r="F519" s="367"/>
      <c r="G519" s="367"/>
      <c r="H519" s="367"/>
      <c r="I519" s="367"/>
      <c r="J519" s="367"/>
      <c r="K519" s="367"/>
      <c r="L519" s="367"/>
      <c r="M519" s="367"/>
      <c r="N519" s="367"/>
      <c r="O519" s="367"/>
      <c r="P519" s="367"/>
      <c r="Q519" s="367"/>
      <c r="R519" s="367"/>
      <c r="S519" s="367"/>
      <c r="T519" s="367"/>
      <c r="U519" s="367"/>
      <c r="V519" s="367"/>
      <c r="W519" s="367"/>
      <c r="X519" s="367"/>
      <c r="Y519" s="367"/>
      <c r="Z519" s="367"/>
      <c r="AA519" s="367"/>
      <c r="AB519" s="367"/>
      <c r="AC519" s="367"/>
      <c r="AD519" s="367"/>
      <c r="AE519" s="367"/>
      <c r="AF519" s="367"/>
    </row>
    <row r="520" ht="15.75" customHeight="1">
      <c r="A520" s="359"/>
      <c r="B520" s="361"/>
      <c r="C520" s="361"/>
      <c r="D520" s="361"/>
      <c r="E520" s="367"/>
      <c r="F520" s="367"/>
      <c r="G520" s="367"/>
      <c r="H520" s="367"/>
      <c r="I520" s="367"/>
      <c r="J520" s="367"/>
      <c r="K520" s="367"/>
      <c r="L520" s="367"/>
      <c r="M520" s="367"/>
      <c r="N520" s="367"/>
      <c r="O520" s="367"/>
      <c r="P520" s="367"/>
      <c r="Q520" s="367"/>
      <c r="R520" s="367"/>
      <c r="S520" s="367"/>
      <c r="T520" s="367"/>
      <c r="U520" s="367"/>
      <c r="V520" s="367"/>
      <c r="W520" s="367"/>
      <c r="X520" s="367"/>
      <c r="Y520" s="367"/>
      <c r="Z520" s="367"/>
      <c r="AA520" s="367"/>
      <c r="AB520" s="367"/>
      <c r="AC520" s="367"/>
      <c r="AD520" s="367"/>
      <c r="AE520" s="367"/>
      <c r="AF520" s="367"/>
    </row>
    <row r="521" ht="15.75" customHeight="1">
      <c r="A521" s="359"/>
      <c r="B521" s="361"/>
      <c r="C521" s="361"/>
      <c r="D521" s="361"/>
      <c r="E521" s="367"/>
      <c r="F521" s="367"/>
      <c r="G521" s="367"/>
      <c r="H521" s="367"/>
      <c r="I521" s="367"/>
      <c r="J521" s="367"/>
      <c r="K521" s="367"/>
      <c r="L521" s="367"/>
      <c r="M521" s="367"/>
      <c r="N521" s="367"/>
      <c r="O521" s="367"/>
      <c r="P521" s="367"/>
      <c r="Q521" s="367"/>
      <c r="R521" s="367"/>
      <c r="S521" s="367"/>
      <c r="T521" s="367"/>
      <c r="U521" s="367"/>
      <c r="V521" s="367"/>
      <c r="W521" s="367"/>
      <c r="X521" s="367"/>
      <c r="Y521" s="367"/>
      <c r="Z521" s="367"/>
      <c r="AA521" s="367"/>
      <c r="AB521" s="367"/>
      <c r="AC521" s="367"/>
      <c r="AD521" s="367"/>
      <c r="AE521" s="367"/>
      <c r="AF521" s="367"/>
    </row>
    <row r="522" ht="15.75" customHeight="1">
      <c r="A522" s="359"/>
      <c r="B522" s="361"/>
      <c r="C522" s="361"/>
      <c r="D522" s="361"/>
      <c r="E522" s="367"/>
      <c r="F522" s="367"/>
      <c r="G522" s="367"/>
      <c r="H522" s="367"/>
      <c r="I522" s="367"/>
      <c r="J522" s="367"/>
      <c r="K522" s="367"/>
      <c r="L522" s="367"/>
      <c r="M522" s="367"/>
      <c r="N522" s="367"/>
      <c r="O522" s="367"/>
      <c r="P522" s="367"/>
      <c r="Q522" s="367"/>
      <c r="R522" s="367"/>
      <c r="S522" s="367"/>
      <c r="T522" s="367"/>
      <c r="U522" s="367"/>
      <c r="V522" s="367"/>
      <c r="W522" s="367"/>
      <c r="X522" s="367"/>
      <c r="Y522" s="367"/>
      <c r="Z522" s="367"/>
      <c r="AA522" s="367"/>
      <c r="AB522" s="367"/>
      <c r="AC522" s="367"/>
      <c r="AD522" s="367"/>
      <c r="AE522" s="367"/>
      <c r="AF522" s="367"/>
    </row>
    <row r="523" ht="15.75" customHeight="1">
      <c r="A523" s="359"/>
      <c r="B523" s="361"/>
      <c r="C523" s="361"/>
      <c r="D523" s="361"/>
      <c r="E523" s="367"/>
      <c r="F523" s="367"/>
      <c r="G523" s="367"/>
      <c r="H523" s="367"/>
      <c r="I523" s="367"/>
      <c r="J523" s="367"/>
      <c r="K523" s="367"/>
      <c r="L523" s="367"/>
      <c r="M523" s="367"/>
      <c r="N523" s="367"/>
      <c r="O523" s="367"/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  <c r="Z523" s="367"/>
      <c r="AA523" s="367"/>
      <c r="AB523" s="367"/>
      <c r="AC523" s="367"/>
      <c r="AD523" s="367"/>
      <c r="AE523" s="367"/>
      <c r="AF523" s="367"/>
    </row>
    <row r="524" ht="15.75" customHeight="1">
      <c r="A524" s="359"/>
      <c r="B524" s="361"/>
      <c r="C524" s="361"/>
      <c r="D524" s="361"/>
      <c r="E524" s="367"/>
      <c r="F524" s="367"/>
      <c r="G524" s="367"/>
      <c r="H524" s="367"/>
      <c r="I524" s="367"/>
      <c r="J524" s="367"/>
      <c r="K524" s="367"/>
      <c r="L524" s="367"/>
      <c r="M524" s="367"/>
      <c r="N524" s="367"/>
      <c r="O524" s="367"/>
      <c r="P524" s="367"/>
      <c r="Q524" s="367"/>
      <c r="R524" s="367"/>
      <c r="S524" s="367"/>
      <c r="T524" s="367"/>
      <c r="U524" s="367"/>
      <c r="V524" s="367"/>
      <c r="W524" s="367"/>
      <c r="X524" s="367"/>
      <c r="Y524" s="367"/>
      <c r="Z524" s="367"/>
      <c r="AA524" s="367"/>
      <c r="AB524" s="367"/>
      <c r="AC524" s="367"/>
      <c r="AD524" s="367"/>
      <c r="AE524" s="367"/>
      <c r="AF524" s="367"/>
    </row>
    <row r="525" ht="15.75" customHeight="1">
      <c r="A525" s="359"/>
      <c r="B525" s="361"/>
      <c r="C525" s="361"/>
      <c r="D525" s="361"/>
      <c r="E525" s="367"/>
      <c r="F525" s="367"/>
      <c r="G525" s="367"/>
      <c r="H525" s="367"/>
      <c r="I525" s="367"/>
      <c r="J525" s="367"/>
      <c r="K525" s="367"/>
      <c r="L525" s="367"/>
      <c r="M525" s="367"/>
      <c r="N525" s="367"/>
      <c r="O525" s="367"/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  <c r="Z525" s="367"/>
      <c r="AA525" s="367"/>
      <c r="AB525" s="367"/>
      <c r="AC525" s="367"/>
      <c r="AD525" s="367"/>
      <c r="AE525" s="367"/>
      <c r="AF525" s="367"/>
    </row>
    <row r="526" ht="15.75" customHeight="1">
      <c r="A526" s="359"/>
      <c r="B526" s="361"/>
      <c r="C526" s="361"/>
      <c r="D526" s="361"/>
      <c r="E526" s="367"/>
      <c r="F526" s="367"/>
      <c r="G526" s="367"/>
      <c r="H526" s="367"/>
      <c r="I526" s="367"/>
      <c r="J526" s="367"/>
      <c r="K526" s="367"/>
      <c r="L526" s="367"/>
      <c r="M526" s="367"/>
      <c r="N526" s="367"/>
      <c r="O526" s="367"/>
      <c r="P526" s="367"/>
      <c r="Q526" s="367"/>
      <c r="R526" s="367"/>
      <c r="S526" s="367"/>
      <c r="T526" s="367"/>
      <c r="U526" s="367"/>
      <c r="V526" s="367"/>
      <c r="W526" s="367"/>
      <c r="X526" s="367"/>
      <c r="Y526" s="367"/>
      <c r="Z526" s="367"/>
      <c r="AA526" s="367"/>
      <c r="AB526" s="367"/>
      <c r="AC526" s="367"/>
      <c r="AD526" s="367"/>
      <c r="AE526" s="367"/>
      <c r="AF526" s="367"/>
    </row>
    <row r="527" ht="15.75" customHeight="1">
      <c r="A527" s="359"/>
      <c r="B527" s="361"/>
      <c r="C527" s="361"/>
      <c r="D527" s="361"/>
      <c r="E527" s="367"/>
      <c r="F527" s="367"/>
      <c r="G527" s="367"/>
      <c r="H527" s="367"/>
      <c r="I527" s="367"/>
      <c r="J527" s="367"/>
      <c r="K527" s="367"/>
      <c r="L527" s="367"/>
      <c r="M527" s="367"/>
      <c r="N527" s="367"/>
      <c r="O527" s="367"/>
      <c r="P527" s="367"/>
      <c r="Q527" s="367"/>
      <c r="R527" s="367"/>
      <c r="S527" s="367"/>
      <c r="T527" s="367"/>
      <c r="U527" s="367"/>
      <c r="V527" s="367"/>
      <c r="W527" s="367"/>
      <c r="X527" s="367"/>
      <c r="Y527" s="367"/>
      <c r="Z527" s="367"/>
      <c r="AA527" s="367"/>
      <c r="AB527" s="367"/>
      <c r="AC527" s="367"/>
      <c r="AD527" s="367"/>
      <c r="AE527" s="367"/>
      <c r="AF527" s="367"/>
    </row>
    <row r="528" ht="15.75" customHeight="1">
      <c r="A528" s="359"/>
      <c r="B528" s="361"/>
      <c r="C528" s="361"/>
      <c r="D528" s="361"/>
      <c r="E528" s="367"/>
      <c r="F528" s="367"/>
      <c r="G528" s="367"/>
      <c r="H528" s="367"/>
      <c r="I528" s="367"/>
      <c r="J528" s="367"/>
      <c r="K528" s="367"/>
      <c r="L528" s="367"/>
      <c r="M528" s="367"/>
      <c r="N528" s="367"/>
      <c r="O528" s="367"/>
      <c r="P528" s="367"/>
      <c r="Q528" s="367"/>
      <c r="R528" s="367"/>
      <c r="S528" s="367"/>
      <c r="T528" s="367"/>
      <c r="U528" s="367"/>
      <c r="V528" s="367"/>
      <c r="W528" s="367"/>
      <c r="X528" s="367"/>
      <c r="Y528" s="367"/>
      <c r="Z528" s="367"/>
      <c r="AA528" s="367"/>
      <c r="AB528" s="367"/>
      <c r="AC528" s="367"/>
      <c r="AD528" s="367"/>
      <c r="AE528" s="367"/>
      <c r="AF528" s="367"/>
    </row>
    <row r="529" ht="15.75" customHeight="1">
      <c r="A529" s="359"/>
      <c r="B529" s="361"/>
      <c r="C529" s="361"/>
      <c r="D529" s="361"/>
      <c r="E529" s="367"/>
      <c r="F529" s="367"/>
      <c r="G529" s="367"/>
      <c r="H529" s="367"/>
      <c r="I529" s="367"/>
      <c r="J529" s="367"/>
      <c r="K529" s="367"/>
      <c r="L529" s="367"/>
      <c r="M529" s="367"/>
      <c r="N529" s="367"/>
      <c r="O529" s="367"/>
      <c r="P529" s="367"/>
      <c r="Q529" s="367"/>
      <c r="R529" s="367"/>
      <c r="S529" s="367"/>
      <c r="T529" s="367"/>
      <c r="U529" s="367"/>
      <c r="V529" s="367"/>
      <c r="W529" s="367"/>
      <c r="X529" s="367"/>
      <c r="Y529" s="367"/>
      <c r="Z529" s="367"/>
      <c r="AA529" s="367"/>
      <c r="AB529" s="367"/>
      <c r="AC529" s="367"/>
      <c r="AD529" s="367"/>
      <c r="AE529" s="367"/>
      <c r="AF529" s="367"/>
    </row>
    <row r="530" ht="15.75" customHeight="1">
      <c r="A530" s="359"/>
      <c r="B530" s="361"/>
      <c r="C530" s="361"/>
      <c r="D530" s="361"/>
      <c r="E530" s="367"/>
      <c r="F530" s="367"/>
      <c r="G530" s="367"/>
      <c r="H530" s="367"/>
      <c r="I530" s="367"/>
      <c r="J530" s="367"/>
      <c r="K530" s="367"/>
      <c r="L530" s="367"/>
      <c r="M530" s="367"/>
      <c r="N530" s="367"/>
      <c r="O530" s="367"/>
      <c r="P530" s="367"/>
      <c r="Q530" s="367"/>
      <c r="R530" s="367"/>
      <c r="S530" s="367"/>
      <c r="T530" s="367"/>
      <c r="U530" s="367"/>
      <c r="V530" s="367"/>
      <c r="W530" s="367"/>
      <c r="X530" s="367"/>
      <c r="Y530" s="367"/>
      <c r="Z530" s="367"/>
      <c r="AA530" s="367"/>
      <c r="AB530" s="367"/>
      <c r="AC530" s="367"/>
      <c r="AD530" s="367"/>
      <c r="AE530" s="367"/>
      <c r="AF530" s="367"/>
    </row>
    <row r="531" ht="15.75" customHeight="1">
      <c r="A531" s="359"/>
      <c r="B531" s="361"/>
      <c r="C531" s="361"/>
      <c r="D531" s="361"/>
      <c r="E531" s="367"/>
      <c r="F531" s="367"/>
      <c r="G531" s="367"/>
      <c r="H531" s="367"/>
      <c r="I531" s="367"/>
      <c r="J531" s="367"/>
      <c r="K531" s="367"/>
      <c r="L531" s="367"/>
      <c r="M531" s="367"/>
      <c r="N531" s="367"/>
      <c r="O531" s="367"/>
      <c r="P531" s="367"/>
      <c r="Q531" s="367"/>
      <c r="R531" s="367"/>
      <c r="S531" s="367"/>
      <c r="T531" s="367"/>
      <c r="U531" s="367"/>
      <c r="V531" s="367"/>
      <c r="W531" s="367"/>
      <c r="X531" s="367"/>
      <c r="Y531" s="367"/>
      <c r="Z531" s="367"/>
      <c r="AA531" s="367"/>
      <c r="AB531" s="367"/>
      <c r="AC531" s="367"/>
      <c r="AD531" s="367"/>
      <c r="AE531" s="367"/>
      <c r="AF531" s="367"/>
    </row>
    <row r="532" ht="15.75" customHeight="1">
      <c r="A532" s="359"/>
      <c r="B532" s="361"/>
      <c r="C532" s="361"/>
      <c r="D532" s="361"/>
      <c r="E532" s="367"/>
      <c r="F532" s="367"/>
      <c r="G532" s="367"/>
      <c r="H532" s="367"/>
      <c r="I532" s="367"/>
      <c r="J532" s="367"/>
      <c r="K532" s="367"/>
      <c r="L532" s="367"/>
      <c r="M532" s="367"/>
      <c r="N532" s="367"/>
      <c r="O532" s="367"/>
      <c r="P532" s="367"/>
      <c r="Q532" s="367"/>
      <c r="R532" s="367"/>
      <c r="S532" s="367"/>
      <c r="T532" s="367"/>
      <c r="U532" s="367"/>
      <c r="V532" s="367"/>
      <c r="W532" s="367"/>
      <c r="X532" s="367"/>
      <c r="Y532" s="367"/>
      <c r="Z532" s="367"/>
      <c r="AA532" s="367"/>
      <c r="AB532" s="367"/>
      <c r="AC532" s="367"/>
      <c r="AD532" s="367"/>
      <c r="AE532" s="367"/>
      <c r="AF532" s="367"/>
    </row>
    <row r="533" ht="15.75" customHeight="1">
      <c r="A533" s="359"/>
      <c r="B533" s="361"/>
      <c r="C533" s="361"/>
      <c r="D533" s="361"/>
      <c r="E533" s="367"/>
      <c r="F533" s="367"/>
      <c r="G533" s="367"/>
      <c r="H533" s="367"/>
      <c r="I533" s="367"/>
      <c r="J533" s="367"/>
      <c r="K533" s="367"/>
      <c r="L533" s="367"/>
      <c r="M533" s="367"/>
      <c r="N533" s="367"/>
      <c r="O533" s="367"/>
      <c r="P533" s="367"/>
      <c r="Q533" s="367"/>
      <c r="R533" s="367"/>
      <c r="S533" s="367"/>
      <c r="T533" s="367"/>
      <c r="U533" s="367"/>
      <c r="V533" s="367"/>
      <c r="W533" s="367"/>
      <c r="X533" s="367"/>
      <c r="Y533" s="367"/>
      <c r="Z533" s="367"/>
      <c r="AA533" s="367"/>
      <c r="AB533" s="367"/>
      <c r="AC533" s="367"/>
      <c r="AD533" s="367"/>
      <c r="AE533" s="367"/>
      <c r="AF533" s="367"/>
    </row>
    <row r="534" ht="15.75" customHeight="1">
      <c r="A534" s="359"/>
      <c r="B534" s="361"/>
      <c r="C534" s="361"/>
      <c r="D534" s="361"/>
      <c r="E534" s="367"/>
      <c r="F534" s="367"/>
      <c r="G534" s="367"/>
      <c r="H534" s="367"/>
      <c r="I534" s="367"/>
      <c r="J534" s="367"/>
      <c r="K534" s="367"/>
      <c r="L534" s="367"/>
      <c r="M534" s="367"/>
      <c r="N534" s="367"/>
      <c r="O534" s="367"/>
      <c r="P534" s="367"/>
      <c r="Q534" s="367"/>
      <c r="R534" s="367"/>
      <c r="S534" s="367"/>
      <c r="T534" s="367"/>
      <c r="U534" s="367"/>
      <c r="V534" s="367"/>
      <c r="W534" s="367"/>
      <c r="X534" s="367"/>
      <c r="Y534" s="367"/>
      <c r="Z534" s="367"/>
      <c r="AA534" s="367"/>
      <c r="AB534" s="367"/>
      <c r="AC534" s="367"/>
      <c r="AD534" s="367"/>
      <c r="AE534" s="367"/>
      <c r="AF534" s="367"/>
    </row>
    <row r="535" ht="15.75" customHeight="1">
      <c r="A535" s="359"/>
      <c r="B535" s="361"/>
      <c r="C535" s="361"/>
      <c r="D535" s="361"/>
      <c r="E535" s="367"/>
      <c r="F535" s="367"/>
      <c r="G535" s="367"/>
      <c r="H535" s="367"/>
      <c r="I535" s="367"/>
      <c r="J535" s="367"/>
      <c r="K535" s="367"/>
      <c r="L535" s="367"/>
      <c r="M535" s="367"/>
      <c r="N535" s="367"/>
      <c r="O535" s="367"/>
      <c r="P535" s="367"/>
      <c r="Q535" s="367"/>
      <c r="R535" s="367"/>
      <c r="S535" s="367"/>
      <c r="T535" s="367"/>
      <c r="U535" s="367"/>
      <c r="V535" s="367"/>
      <c r="W535" s="367"/>
      <c r="X535" s="367"/>
      <c r="Y535" s="367"/>
      <c r="Z535" s="367"/>
      <c r="AA535" s="367"/>
      <c r="AB535" s="367"/>
      <c r="AC535" s="367"/>
      <c r="AD535" s="367"/>
      <c r="AE535" s="367"/>
      <c r="AF535" s="367"/>
    </row>
    <row r="536" ht="15.75" customHeight="1">
      <c r="A536" s="359"/>
      <c r="B536" s="361"/>
      <c r="C536" s="361"/>
      <c r="D536" s="361"/>
      <c r="E536" s="367"/>
      <c r="F536" s="367"/>
      <c r="G536" s="367"/>
      <c r="H536" s="367"/>
      <c r="I536" s="367"/>
      <c r="J536" s="367"/>
      <c r="K536" s="367"/>
      <c r="L536" s="367"/>
      <c r="M536" s="367"/>
      <c r="N536" s="367"/>
      <c r="O536" s="367"/>
      <c r="P536" s="367"/>
      <c r="Q536" s="367"/>
      <c r="R536" s="367"/>
      <c r="S536" s="367"/>
      <c r="T536" s="367"/>
      <c r="U536" s="367"/>
      <c r="V536" s="367"/>
      <c r="W536" s="367"/>
      <c r="X536" s="367"/>
      <c r="Y536" s="367"/>
      <c r="Z536" s="367"/>
      <c r="AA536" s="367"/>
      <c r="AB536" s="367"/>
      <c r="AC536" s="367"/>
      <c r="AD536" s="367"/>
      <c r="AE536" s="367"/>
      <c r="AF536" s="367"/>
    </row>
    <row r="537" ht="15.75" customHeight="1">
      <c r="A537" s="359"/>
      <c r="B537" s="361"/>
      <c r="C537" s="361"/>
      <c r="D537" s="361"/>
      <c r="E537" s="367"/>
      <c r="F537" s="367"/>
      <c r="G537" s="367"/>
      <c r="H537" s="367"/>
      <c r="I537" s="367"/>
      <c r="J537" s="367"/>
      <c r="K537" s="367"/>
      <c r="L537" s="367"/>
      <c r="M537" s="367"/>
      <c r="N537" s="367"/>
      <c r="O537" s="367"/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  <c r="Z537" s="367"/>
      <c r="AA537" s="367"/>
      <c r="AB537" s="367"/>
      <c r="AC537" s="367"/>
      <c r="AD537" s="367"/>
      <c r="AE537" s="367"/>
      <c r="AF537" s="367"/>
    </row>
    <row r="538" ht="15.75" customHeight="1">
      <c r="A538" s="359"/>
      <c r="B538" s="361"/>
      <c r="C538" s="361"/>
      <c r="D538" s="361"/>
      <c r="E538" s="367"/>
      <c r="F538" s="367"/>
      <c r="G538" s="367"/>
      <c r="H538" s="367"/>
      <c r="I538" s="367"/>
      <c r="J538" s="367"/>
      <c r="K538" s="367"/>
      <c r="L538" s="367"/>
      <c r="M538" s="367"/>
      <c r="N538" s="367"/>
      <c r="O538" s="367"/>
      <c r="P538" s="367"/>
      <c r="Q538" s="367"/>
      <c r="R538" s="367"/>
      <c r="S538" s="367"/>
      <c r="T538" s="367"/>
      <c r="U538" s="367"/>
      <c r="V538" s="367"/>
      <c r="W538" s="367"/>
      <c r="X538" s="367"/>
      <c r="Y538" s="367"/>
      <c r="Z538" s="367"/>
      <c r="AA538" s="367"/>
      <c r="AB538" s="367"/>
      <c r="AC538" s="367"/>
      <c r="AD538" s="367"/>
      <c r="AE538" s="367"/>
      <c r="AF538" s="367"/>
    </row>
    <row r="539" ht="15.75" customHeight="1">
      <c r="A539" s="359"/>
      <c r="B539" s="361"/>
      <c r="C539" s="361"/>
      <c r="D539" s="361"/>
      <c r="E539" s="367"/>
      <c r="F539" s="367"/>
      <c r="G539" s="367"/>
      <c r="H539" s="367"/>
      <c r="I539" s="367"/>
      <c r="J539" s="367"/>
      <c r="K539" s="367"/>
      <c r="L539" s="367"/>
      <c r="M539" s="367"/>
      <c r="N539" s="367"/>
      <c r="O539" s="367"/>
      <c r="P539" s="367"/>
      <c r="Q539" s="367"/>
      <c r="R539" s="367"/>
      <c r="S539" s="367"/>
      <c r="T539" s="367"/>
      <c r="U539" s="367"/>
      <c r="V539" s="367"/>
      <c r="W539" s="367"/>
      <c r="X539" s="367"/>
      <c r="Y539" s="367"/>
      <c r="Z539" s="367"/>
      <c r="AA539" s="367"/>
      <c r="AB539" s="367"/>
      <c r="AC539" s="367"/>
      <c r="AD539" s="367"/>
      <c r="AE539" s="367"/>
      <c r="AF539" s="367"/>
    </row>
    <row r="540" ht="15.75" customHeight="1">
      <c r="A540" s="359"/>
      <c r="B540" s="361"/>
      <c r="C540" s="361"/>
      <c r="D540" s="361"/>
      <c r="E540" s="367"/>
      <c r="F540" s="367"/>
      <c r="G540" s="367"/>
      <c r="H540" s="367"/>
      <c r="I540" s="367"/>
      <c r="J540" s="367"/>
      <c r="K540" s="367"/>
      <c r="L540" s="367"/>
      <c r="M540" s="367"/>
      <c r="N540" s="367"/>
      <c r="O540" s="367"/>
      <c r="P540" s="367"/>
      <c r="Q540" s="367"/>
      <c r="R540" s="367"/>
      <c r="S540" s="367"/>
      <c r="T540" s="367"/>
      <c r="U540" s="367"/>
      <c r="V540" s="367"/>
      <c r="W540" s="367"/>
      <c r="X540" s="367"/>
      <c r="Y540" s="367"/>
      <c r="Z540" s="367"/>
      <c r="AA540" s="367"/>
      <c r="AB540" s="367"/>
      <c r="AC540" s="367"/>
      <c r="AD540" s="367"/>
      <c r="AE540" s="367"/>
      <c r="AF540" s="367"/>
    </row>
    <row r="541" ht="15.75" customHeight="1">
      <c r="A541" s="359"/>
      <c r="B541" s="361"/>
      <c r="C541" s="361"/>
      <c r="D541" s="361"/>
      <c r="E541" s="367"/>
      <c r="F541" s="367"/>
      <c r="G541" s="367"/>
      <c r="H541" s="367"/>
      <c r="I541" s="367"/>
      <c r="J541" s="367"/>
      <c r="K541" s="367"/>
      <c r="L541" s="367"/>
      <c r="M541" s="367"/>
      <c r="N541" s="367"/>
      <c r="O541" s="367"/>
      <c r="P541" s="367"/>
      <c r="Q541" s="367"/>
      <c r="R541" s="367"/>
      <c r="S541" s="367"/>
      <c r="T541" s="367"/>
      <c r="U541" s="367"/>
      <c r="V541" s="367"/>
      <c r="W541" s="367"/>
      <c r="X541" s="367"/>
      <c r="Y541" s="367"/>
      <c r="Z541" s="367"/>
      <c r="AA541" s="367"/>
      <c r="AB541" s="367"/>
      <c r="AC541" s="367"/>
      <c r="AD541" s="367"/>
      <c r="AE541" s="367"/>
      <c r="AF541" s="367"/>
    </row>
    <row r="542" ht="15.75" customHeight="1">
      <c r="A542" s="359"/>
      <c r="B542" s="361"/>
      <c r="C542" s="361"/>
      <c r="D542" s="361"/>
      <c r="E542" s="367"/>
      <c r="F542" s="367"/>
      <c r="G542" s="367"/>
      <c r="H542" s="367"/>
      <c r="I542" s="367"/>
      <c r="J542" s="367"/>
      <c r="K542" s="367"/>
      <c r="L542" s="367"/>
      <c r="M542" s="367"/>
      <c r="N542" s="367"/>
      <c r="O542" s="367"/>
      <c r="P542" s="367"/>
      <c r="Q542" s="367"/>
      <c r="R542" s="367"/>
      <c r="S542" s="367"/>
      <c r="T542" s="367"/>
      <c r="U542" s="367"/>
      <c r="V542" s="367"/>
      <c r="W542" s="367"/>
      <c r="X542" s="367"/>
      <c r="Y542" s="367"/>
      <c r="Z542" s="367"/>
      <c r="AA542" s="367"/>
      <c r="AB542" s="367"/>
      <c r="AC542" s="367"/>
      <c r="AD542" s="367"/>
      <c r="AE542" s="367"/>
      <c r="AF542" s="367"/>
    </row>
    <row r="543" ht="15.75" customHeight="1">
      <c r="A543" s="359"/>
      <c r="B543" s="361"/>
      <c r="C543" s="361"/>
      <c r="D543" s="361"/>
      <c r="E543" s="367"/>
      <c r="F543" s="367"/>
      <c r="G543" s="367"/>
      <c r="H543" s="367"/>
      <c r="I543" s="367"/>
      <c r="J543" s="367"/>
      <c r="K543" s="367"/>
      <c r="L543" s="367"/>
      <c r="M543" s="367"/>
      <c r="N543" s="367"/>
      <c r="O543" s="367"/>
      <c r="P543" s="367"/>
      <c r="Q543" s="367"/>
      <c r="R543" s="367"/>
      <c r="S543" s="367"/>
      <c r="T543" s="367"/>
      <c r="U543" s="367"/>
      <c r="V543" s="367"/>
      <c r="W543" s="367"/>
      <c r="X543" s="367"/>
      <c r="Y543" s="367"/>
      <c r="Z543" s="367"/>
      <c r="AA543" s="367"/>
      <c r="AB543" s="367"/>
      <c r="AC543" s="367"/>
      <c r="AD543" s="367"/>
      <c r="AE543" s="367"/>
      <c r="AF543" s="367"/>
    </row>
    <row r="544" ht="15.75" customHeight="1">
      <c r="A544" s="359"/>
      <c r="B544" s="361"/>
      <c r="C544" s="361"/>
      <c r="D544" s="361"/>
      <c r="E544" s="367"/>
      <c r="F544" s="367"/>
      <c r="G544" s="367"/>
      <c r="H544" s="367"/>
      <c r="I544" s="367"/>
      <c r="J544" s="367"/>
      <c r="K544" s="367"/>
      <c r="L544" s="367"/>
      <c r="M544" s="367"/>
      <c r="N544" s="367"/>
      <c r="O544" s="367"/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  <c r="Z544" s="367"/>
      <c r="AA544" s="367"/>
      <c r="AB544" s="367"/>
      <c r="AC544" s="367"/>
      <c r="AD544" s="367"/>
      <c r="AE544" s="367"/>
      <c r="AF544" s="367"/>
    </row>
    <row r="545" ht="15.75" customHeight="1">
      <c r="A545" s="359"/>
      <c r="B545" s="361"/>
      <c r="C545" s="361"/>
      <c r="D545" s="361"/>
      <c r="E545" s="367"/>
      <c r="F545" s="367"/>
      <c r="G545" s="367"/>
      <c r="H545" s="367"/>
      <c r="I545" s="367"/>
      <c r="J545" s="367"/>
      <c r="K545" s="367"/>
      <c r="L545" s="367"/>
      <c r="M545" s="367"/>
      <c r="N545" s="367"/>
      <c r="O545" s="367"/>
      <c r="P545" s="367"/>
      <c r="Q545" s="367"/>
      <c r="R545" s="367"/>
      <c r="S545" s="367"/>
      <c r="T545" s="367"/>
      <c r="U545" s="367"/>
      <c r="V545" s="367"/>
      <c r="W545" s="367"/>
      <c r="X545" s="367"/>
      <c r="Y545" s="367"/>
      <c r="Z545" s="367"/>
      <c r="AA545" s="367"/>
      <c r="AB545" s="367"/>
      <c r="AC545" s="367"/>
      <c r="AD545" s="367"/>
      <c r="AE545" s="367"/>
      <c r="AF545" s="367"/>
    </row>
    <row r="546" ht="15.75" customHeight="1">
      <c r="A546" s="359"/>
      <c r="B546" s="361"/>
      <c r="C546" s="361"/>
      <c r="D546" s="361"/>
      <c r="E546" s="367"/>
      <c r="F546" s="367"/>
      <c r="G546" s="367"/>
      <c r="H546" s="367"/>
      <c r="I546" s="367"/>
      <c r="J546" s="367"/>
      <c r="K546" s="367"/>
      <c r="L546" s="367"/>
      <c r="M546" s="367"/>
      <c r="N546" s="367"/>
      <c r="O546" s="367"/>
      <c r="P546" s="367"/>
      <c r="Q546" s="367"/>
      <c r="R546" s="367"/>
      <c r="S546" s="367"/>
      <c r="T546" s="367"/>
      <c r="U546" s="367"/>
      <c r="V546" s="367"/>
      <c r="W546" s="367"/>
      <c r="X546" s="367"/>
      <c r="Y546" s="367"/>
      <c r="Z546" s="367"/>
      <c r="AA546" s="367"/>
      <c r="AB546" s="367"/>
      <c r="AC546" s="367"/>
      <c r="AD546" s="367"/>
      <c r="AE546" s="367"/>
      <c r="AF546" s="367"/>
    </row>
    <row r="547" ht="15.75" customHeight="1">
      <c r="A547" s="359"/>
      <c r="B547" s="361"/>
      <c r="C547" s="361"/>
      <c r="D547" s="361"/>
      <c r="E547" s="367"/>
      <c r="F547" s="367"/>
      <c r="G547" s="367"/>
      <c r="H547" s="367"/>
      <c r="I547" s="367"/>
      <c r="J547" s="367"/>
      <c r="K547" s="367"/>
      <c r="L547" s="367"/>
      <c r="M547" s="367"/>
      <c r="N547" s="367"/>
      <c r="O547" s="367"/>
      <c r="P547" s="367"/>
      <c r="Q547" s="367"/>
      <c r="R547" s="367"/>
      <c r="S547" s="367"/>
      <c r="T547" s="367"/>
      <c r="U547" s="367"/>
      <c r="V547" s="367"/>
      <c r="W547" s="367"/>
      <c r="X547" s="367"/>
      <c r="Y547" s="367"/>
      <c r="Z547" s="367"/>
      <c r="AA547" s="367"/>
      <c r="AB547" s="367"/>
      <c r="AC547" s="367"/>
      <c r="AD547" s="367"/>
      <c r="AE547" s="367"/>
      <c r="AF547" s="367"/>
    </row>
    <row r="548" ht="15.75" customHeight="1">
      <c r="A548" s="359"/>
      <c r="B548" s="361"/>
      <c r="C548" s="361"/>
      <c r="D548" s="361"/>
      <c r="E548" s="367"/>
      <c r="F548" s="367"/>
      <c r="G548" s="367"/>
      <c r="H548" s="367"/>
      <c r="I548" s="367"/>
      <c r="J548" s="367"/>
      <c r="K548" s="367"/>
      <c r="L548" s="367"/>
      <c r="M548" s="367"/>
      <c r="N548" s="367"/>
      <c r="O548" s="367"/>
      <c r="P548" s="367"/>
      <c r="Q548" s="367"/>
      <c r="R548" s="367"/>
      <c r="S548" s="367"/>
      <c r="T548" s="367"/>
      <c r="U548" s="367"/>
      <c r="V548" s="367"/>
      <c r="W548" s="367"/>
      <c r="X548" s="367"/>
      <c r="Y548" s="367"/>
      <c r="Z548" s="367"/>
      <c r="AA548" s="367"/>
      <c r="AB548" s="367"/>
      <c r="AC548" s="367"/>
      <c r="AD548" s="367"/>
      <c r="AE548" s="367"/>
      <c r="AF548" s="367"/>
    </row>
    <row r="549" ht="15.75" customHeight="1">
      <c r="A549" s="359"/>
      <c r="B549" s="361"/>
      <c r="C549" s="361"/>
      <c r="D549" s="361"/>
      <c r="E549" s="367"/>
      <c r="F549" s="367"/>
      <c r="G549" s="367"/>
      <c r="H549" s="367"/>
      <c r="I549" s="367"/>
      <c r="J549" s="367"/>
      <c r="K549" s="367"/>
      <c r="L549" s="367"/>
      <c r="M549" s="367"/>
      <c r="N549" s="367"/>
      <c r="O549" s="367"/>
      <c r="P549" s="367"/>
      <c r="Q549" s="367"/>
      <c r="R549" s="367"/>
      <c r="S549" s="367"/>
      <c r="T549" s="367"/>
      <c r="U549" s="367"/>
      <c r="V549" s="367"/>
      <c r="W549" s="367"/>
      <c r="X549" s="367"/>
      <c r="Y549" s="367"/>
      <c r="Z549" s="367"/>
      <c r="AA549" s="367"/>
      <c r="AB549" s="367"/>
      <c r="AC549" s="367"/>
      <c r="AD549" s="367"/>
      <c r="AE549" s="367"/>
      <c r="AF549" s="367"/>
    </row>
    <row r="550" ht="15.75" customHeight="1">
      <c r="A550" s="359"/>
      <c r="B550" s="361"/>
      <c r="C550" s="361"/>
      <c r="D550" s="361"/>
      <c r="E550" s="367"/>
      <c r="F550" s="367"/>
      <c r="G550" s="367"/>
      <c r="H550" s="367"/>
      <c r="I550" s="367"/>
      <c r="J550" s="367"/>
      <c r="K550" s="367"/>
      <c r="L550" s="367"/>
      <c r="M550" s="367"/>
      <c r="N550" s="367"/>
      <c r="O550" s="367"/>
      <c r="P550" s="367"/>
      <c r="Q550" s="367"/>
      <c r="R550" s="367"/>
      <c r="S550" s="367"/>
      <c r="T550" s="367"/>
      <c r="U550" s="367"/>
      <c r="V550" s="367"/>
      <c r="W550" s="367"/>
      <c r="X550" s="367"/>
      <c r="Y550" s="367"/>
      <c r="Z550" s="367"/>
      <c r="AA550" s="367"/>
      <c r="AB550" s="367"/>
      <c r="AC550" s="367"/>
      <c r="AD550" s="367"/>
      <c r="AE550" s="367"/>
      <c r="AF550" s="367"/>
    </row>
    <row r="551" ht="15.75" customHeight="1">
      <c r="A551" s="359"/>
      <c r="B551" s="361"/>
      <c r="C551" s="361"/>
      <c r="D551" s="361"/>
      <c r="E551" s="367"/>
      <c r="F551" s="367"/>
      <c r="G551" s="367"/>
      <c r="H551" s="367"/>
      <c r="I551" s="367"/>
      <c r="J551" s="367"/>
      <c r="K551" s="367"/>
      <c r="L551" s="367"/>
      <c r="M551" s="367"/>
      <c r="N551" s="367"/>
      <c r="O551" s="367"/>
      <c r="P551" s="367"/>
      <c r="Q551" s="367"/>
      <c r="R551" s="367"/>
      <c r="S551" s="367"/>
      <c r="T551" s="367"/>
      <c r="U551" s="367"/>
      <c r="V551" s="367"/>
      <c r="W551" s="367"/>
      <c r="X551" s="367"/>
      <c r="Y551" s="367"/>
      <c r="Z551" s="367"/>
      <c r="AA551" s="367"/>
      <c r="AB551" s="367"/>
      <c r="AC551" s="367"/>
      <c r="AD551" s="367"/>
      <c r="AE551" s="367"/>
      <c r="AF551" s="367"/>
    </row>
    <row r="552" ht="15.75" customHeight="1">
      <c r="A552" s="359"/>
      <c r="B552" s="361"/>
      <c r="C552" s="361"/>
      <c r="D552" s="361"/>
      <c r="E552" s="367"/>
      <c r="F552" s="367"/>
      <c r="G552" s="367"/>
      <c r="H552" s="367"/>
      <c r="I552" s="367"/>
      <c r="J552" s="367"/>
      <c r="K552" s="367"/>
      <c r="L552" s="367"/>
      <c r="M552" s="367"/>
      <c r="N552" s="367"/>
      <c r="O552" s="367"/>
      <c r="P552" s="367"/>
      <c r="Q552" s="367"/>
      <c r="R552" s="367"/>
      <c r="S552" s="367"/>
      <c r="T552" s="367"/>
      <c r="U552" s="367"/>
      <c r="V552" s="367"/>
      <c r="W552" s="367"/>
      <c r="X552" s="367"/>
      <c r="Y552" s="367"/>
      <c r="Z552" s="367"/>
      <c r="AA552" s="367"/>
      <c r="AB552" s="367"/>
      <c r="AC552" s="367"/>
      <c r="AD552" s="367"/>
      <c r="AE552" s="367"/>
      <c r="AF552" s="367"/>
    </row>
    <row r="553" ht="15.75" customHeight="1">
      <c r="A553" s="359"/>
      <c r="B553" s="361"/>
      <c r="C553" s="361"/>
      <c r="D553" s="361"/>
      <c r="E553" s="367"/>
      <c r="F553" s="367"/>
      <c r="G553" s="367"/>
      <c r="H553" s="367"/>
      <c r="I553" s="367"/>
      <c r="J553" s="367"/>
      <c r="K553" s="367"/>
      <c r="L553" s="367"/>
      <c r="M553" s="367"/>
      <c r="N553" s="367"/>
      <c r="O553" s="367"/>
      <c r="P553" s="367"/>
      <c r="Q553" s="367"/>
      <c r="R553" s="367"/>
      <c r="S553" s="367"/>
      <c r="T553" s="367"/>
      <c r="U553" s="367"/>
      <c r="V553" s="367"/>
      <c r="W553" s="367"/>
      <c r="X553" s="367"/>
      <c r="Y553" s="367"/>
      <c r="Z553" s="367"/>
      <c r="AA553" s="367"/>
      <c r="AB553" s="367"/>
      <c r="AC553" s="367"/>
      <c r="AD553" s="367"/>
      <c r="AE553" s="367"/>
      <c r="AF553" s="367"/>
    </row>
    <row r="554" ht="15.75" customHeight="1">
      <c r="A554" s="359"/>
      <c r="B554" s="361"/>
      <c r="C554" s="361"/>
      <c r="D554" s="361"/>
      <c r="E554" s="367"/>
      <c r="F554" s="367"/>
      <c r="G554" s="367"/>
      <c r="H554" s="367"/>
      <c r="I554" s="367"/>
      <c r="J554" s="367"/>
      <c r="K554" s="367"/>
      <c r="L554" s="367"/>
      <c r="M554" s="367"/>
      <c r="N554" s="367"/>
      <c r="O554" s="367"/>
      <c r="P554" s="367"/>
      <c r="Q554" s="367"/>
      <c r="R554" s="367"/>
      <c r="S554" s="367"/>
      <c r="T554" s="367"/>
      <c r="U554" s="367"/>
      <c r="V554" s="367"/>
      <c r="W554" s="367"/>
      <c r="X554" s="367"/>
      <c r="Y554" s="367"/>
      <c r="Z554" s="367"/>
      <c r="AA554" s="367"/>
      <c r="AB554" s="367"/>
      <c r="AC554" s="367"/>
      <c r="AD554" s="367"/>
      <c r="AE554" s="367"/>
      <c r="AF554" s="367"/>
    </row>
    <row r="555" ht="15.75" customHeight="1">
      <c r="A555" s="359"/>
      <c r="B555" s="361"/>
      <c r="C555" s="361"/>
      <c r="D555" s="361"/>
      <c r="E555" s="367"/>
      <c r="F555" s="367"/>
      <c r="G555" s="367"/>
      <c r="H555" s="367"/>
      <c r="I555" s="367"/>
      <c r="J555" s="367"/>
      <c r="K555" s="367"/>
      <c r="L555" s="367"/>
      <c r="M555" s="367"/>
      <c r="N555" s="367"/>
      <c r="O555" s="367"/>
      <c r="P555" s="367"/>
      <c r="Q555" s="367"/>
      <c r="R555" s="367"/>
      <c r="S555" s="367"/>
      <c r="T555" s="367"/>
      <c r="U555" s="367"/>
      <c r="V555" s="367"/>
      <c r="W555" s="367"/>
      <c r="X555" s="367"/>
      <c r="Y555" s="367"/>
      <c r="Z555" s="367"/>
      <c r="AA555" s="367"/>
      <c r="AB555" s="367"/>
      <c r="AC555" s="367"/>
      <c r="AD555" s="367"/>
      <c r="AE555" s="367"/>
      <c r="AF555" s="367"/>
    </row>
    <row r="556" ht="15.75" customHeight="1">
      <c r="A556" s="359"/>
      <c r="B556" s="361"/>
      <c r="C556" s="361"/>
      <c r="D556" s="361"/>
      <c r="E556" s="367"/>
      <c r="F556" s="367"/>
      <c r="G556" s="367"/>
      <c r="H556" s="367"/>
      <c r="I556" s="367"/>
      <c r="J556" s="367"/>
      <c r="K556" s="367"/>
      <c r="L556" s="367"/>
      <c r="M556" s="367"/>
      <c r="N556" s="367"/>
      <c r="O556" s="367"/>
      <c r="P556" s="367"/>
      <c r="Q556" s="367"/>
      <c r="R556" s="367"/>
      <c r="S556" s="367"/>
      <c r="T556" s="367"/>
      <c r="U556" s="367"/>
      <c r="V556" s="367"/>
      <c r="W556" s="367"/>
      <c r="X556" s="367"/>
      <c r="Y556" s="367"/>
      <c r="Z556" s="367"/>
      <c r="AA556" s="367"/>
      <c r="AB556" s="367"/>
      <c r="AC556" s="367"/>
      <c r="AD556" s="367"/>
      <c r="AE556" s="367"/>
      <c r="AF556" s="367"/>
    </row>
    <row r="557" ht="15.75" customHeight="1">
      <c r="A557" s="359"/>
      <c r="B557" s="361"/>
      <c r="C557" s="361"/>
      <c r="D557" s="361"/>
      <c r="E557" s="367"/>
      <c r="F557" s="367"/>
      <c r="G557" s="367"/>
      <c r="H557" s="367"/>
      <c r="I557" s="367"/>
      <c r="J557" s="367"/>
      <c r="K557" s="367"/>
      <c r="L557" s="367"/>
      <c r="M557" s="367"/>
      <c r="N557" s="367"/>
      <c r="O557" s="367"/>
      <c r="P557" s="367"/>
      <c r="Q557" s="367"/>
      <c r="R557" s="367"/>
      <c r="S557" s="367"/>
      <c r="T557" s="367"/>
      <c r="U557" s="367"/>
      <c r="V557" s="367"/>
      <c r="W557" s="367"/>
      <c r="X557" s="367"/>
      <c r="Y557" s="367"/>
      <c r="Z557" s="367"/>
      <c r="AA557" s="367"/>
      <c r="AB557" s="367"/>
      <c r="AC557" s="367"/>
      <c r="AD557" s="367"/>
      <c r="AE557" s="367"/>
      <c r="AF557" s="367"/>
    </row>
    <row r="558" ht="15.75" customHeight="1">
      <c r="A558" s="359"/>
      <c r="B558" s="361"/>
      <c r="C558" s="361"/>
      <c r="D558" s="361"/>
      <c r="E558" s="367"/>
      <c r="F558" s="367"/>
      <c r="G558" s="367"/>
      <c r="H558" s="367"/>
      <c r="I558" s="367"/>
      <c r="J558" s="367"/>
      <c r="K558" s="367"/>
      <c r="L558" s="367"/>
      <c r="M558" s="367"/>
      <c r="N558" s="367"/>
      <c r="O558" s="367"/>
      <c r="P558" s="367"/>
      <c r="Q558" s="367"/>
      <c r="R558" s="367"/>
      <c r="S558" s="367"/>
      <c r="T558" s="367"/>
      <c r="U558" s="367"/>
      <c r="V558" s="367"/>
      <c r="W558" s="367"/>
      <c r="X558" s="367"/>
      <c r="Y558" s="367"/>
      <c r="Z558" s="367"/>
      <c r="AA558" s="367"/>
      <c r="AB558" s="367"/>
      <c r="AC558" s="367"/>
      <c r="AD558" s="367"/>
      <c r="AE558" s="367"/>
      <c r="AF558" s="367"/>
    </row>
    <row r="559" ht="15.75" customHeight="1">
      <c r="A559" s="359"/>
      <c r="B559" s="361"/>
      <c r="C559" s="361"/>
      <c r="D559" s="361"/>
      <c r="E559" s="367"/>
      <c r="F559" s="367"/>
      <c r="G559" s="367"/>
      <c r="H559" s="367"/>
      <c r="I559" s="367"/>
      <c r="J559" s="367"/>
      <c r="K559" s="367"/>
      <c r="L559" s="367"/>
      <c r="M559" s="367"/>
      <c r="N559" s="367"/>
      <c r="O559" s="367"/>
      <c r="P559" s="367"/>
      <c r="Q559" s="367"/>
      <c r="R559" s="367"/>
      <c r="S559" s="367"/>
      <c r="T559" s="367"/>
      <c r="U559" s="367"/>
      <c r="V559" s="367"/>
      <c r="W559" s="367"/>
      <c r="X559" s="367"/>
      <c r="Y559" s="367"/>
      <c r="Z559" s="367"/>
      <c r="AA559" s="367"/>
      <c r="AB559" s="367"/>
      <c r="AC559" s="367"/>
      <c r="AD559" s="367"/>
      <c r="AE559" s="367"/>
      <c r="AF559" s="367"/>
    </row>
    <row r="560" ht="15.75" customHeight="1">
      <c r="A560" s="359"/>
      <c r="B560" s="361"/>
      <c r="C560" s="361"/>
      <c r="D560" s="361"/>
      <c r="E560" s="367"/>
      <c r="F560" s="367"/>
      <c r="G560" s="367"/>
      <c r="H560" s="367"/>
      <c r="I560" s="367"/>
      <c r="J560" s="367"/>
      <c r="K560" s="367"/>
      <c r="L560" s="367"/>
      <c r="M560" s="367"/>
      <c r="N560" s="367"/>
      <c r="O560" s="367"/>
      <c r="P560" s="367"/>
      <c r="Q560" s="367"/>
      <c r="R560" s="367"/>
      <c r="S560" s="367"/>
      <c r="T560" s="367"/>
      <c r="U560" s="367"/>
      <c r="V560" s="367"/>
      <c r="W560" s="367"/>
      <c r="X560" s="367"/>
      <c r="Y560" s="367"/>
      <c r="Z560" s="367"/>
      <c r="AA560" s="367"/>
      <c r="AB560" s="367"/>
      <c r="AC560" s="367"/>
      <c r="AD560" s="367"/>
      <c r="AE560" s="367"/>
      <c r="AF560" s="367"/>
    </row>
    <row r="561" ht="15.75" customHeight="1">
      <c r="A561" s="359"/>
      <c r="B561" s="361"/>
      <c r="C561" s="361"/>
      <c r="D561" s="361"/>
      <c r="E561" s="367"/>
      <c r="F561" s="367"/>
      <c r="G561" s="367"/>
      <c r="H561" s="367"/>
      <c r="I561" s="367"/>
      <c r="J561" s="367"/>
      <c r="K561" s="367"/>
      <c r="L561" s="367"/>
      <c r="M561" s="367"/>
      <c r="N561" s="367"/>
      <c r="O561" s="367"/>
      <c r="P561" s="367"/>
      <c r="Q561" s="367"/>
      <c r="R561" s="367"/>
      <c r="S561" s="367"/>
      <c r="T561" s="367"/>
      <c r="U561" s="367"/>
      <c r="V561" s="367"/>
      <c r="W561" s="367"/>
      <c r="X561" s="367"/>
      <c r="Y561" s="367"/>
      <c r="Z561" s="367"/>
      <c r="AA561" s="367"/>
      <c r="AB561" s="367"/>
      <c r="AC561" s="367"/>
      <c r="AD561" s="367"/>
      <c r="AE561" s="367"/>
      <c r="AF561" s="367"/>
    </row>
    <row r="562" ht="15.75" customHeight="1">
      <c r="A562" s="359"/>
      <c r="B562" s="361"/>
      <c r="C562" s="361"/>
      <c r="D562" s="361"/>
      <c r="E562" s="367"/>
      <c r="F562" s="367"/>
      <c r="G562" s="367"/>
      <c r="H562" s="367"/>
      <c r="I562" s="367"/>
      <c r="J562" s="367"/>
      <c r="K562" s="367"/>
      <c r="L562" s="367"/>
      <c r="M562" s="367"/>
      <c r="N562" s="367"/>
      <c r="O562" s="367"/>
      <c r="P562" s="367"/>
      <c r="Q562" s="367"/>
      <c r="R562" s="367"/>
      <c r="S562" s="367"/>
      <c r="T562" s="367"/>
      <c r="U562" s="367"/>
      <c r="V562" s="367"/>
      <c r="W562" s="367"/>
      <c r="X562" s="367"/>
      <c r="Y562" s="367"/>
      <c r="Z562" s="367"/>
      <c r="AA562" s="367"/>
      <c r="AB562" s="367"/>
      <c r="AC562" s="367"/>
      <c r="AD562" s="367"/>
      <c r="AE562" s="367"/>
      <c r="AF562" s="367"/>
    </row>
    <row r="563" ht="15.75" customHeight="1">
      <c r="A563" s="359"/>
      <c r="B563" s="361"/>
      <c r="C563" s="361"/>
      <c r="D563" s="361"/>
      <c r="E563" s="367"/>
      <c r="F563" s="367"/>
      <c r="G563" s="367"/>
      <c r="H563" s="367"/>
      <c r="I563" s="367"/>
      <c r="J563" s="367"/>
      <c r="K563" s="367"/>
      <c r="L563" s="367"/>
      <c r="M563" s="367"/>
      <c r="N563" s="367"/>
      <c r="O563" s="367"/>
      <c r="P563" s="367"/>
      <c r="Q563" s="367"/>
      <c r="R563" s="367"/>
      <c r="S563" s="367"/>
      <c r="T563" s="367"/>
      <c r="U563" s="367"/>
      <c r="V563" s="367"/>
      <c r="W563" s="367"/>
      <c r="X563" s="367"/>
      <c r="Y563" s="367"/>
      <c r="Z563" s="367"/>
      <c r="AA563" s="367"/>
      <c r="AB563" s="367"/>
      <c r="AC563" s="367"/>
      <c r="AD563" s="367"/>
      <c r="AE563" s="367"/>
      <c r="AF563" s="367"/>
    </row>
    <row r="564" ht="15.75" customHeight="1">
      <c r="A564" s="359"/>
      <c r="B564" s="361"/>
      <c r="C564" s="361"/>
      <c r="D564" s="361"/>
      <c r="E564" s="367"/>
      <c r="F564" s="367"/>
      <c r="G564" s="367"/>
      <c r="H564" s="367"/>
      <c r="I564" s="367"/>
      <c r="J564" s="367"/>
      <c r="K564" s="367"/>
      <c r="L564" s="367"/>
      <c r="M564" s="367"/>
      <c r="N564" s="367"/>
      <c r="O564" s="367"/>
      <c r="P564" s="367"/>
      <c r="Q564" s="367"/>
      <c r="R564" s="367"/>
      <c r="S564" s="367"/>
      <c r="T564" s="367"/>
      <c r="U564" s="367"/>
      <c r="V564" s="367"/>
      <c r="W564" s="367"/>
      <c r="X564" s="367"/>
      <c r="Y564" s="367"/>
      <c r="Z564" s="367"/>
      <c r="AA564" s="367"/>
      <c r="AB564" s="367"/>
      <c r="AC564" s="367"/>
      <c r="AD564" s="367"/>
      <c r="AE564" s="367"/>
      <c r="AF564" s="367"/>
    </row>
    <row r="565" ht="15.75" customHeight="1">
      <c r="A565" s="359"/>
      <c r="B565" s="361"/>
      <c r="C565" s="361"/>
      <c r="D565" s="361"/>
      <c r="E565" s="367"/>
      <c r="F565" s="367"/>
      <c r="G565" s="367"/>
      <c r="H565" s="367"/>
      <c r="I565" s="367"/>
      <c r="J565" s="367"/>
      <c r="K565" s="367"/>
      <c r="L565" s="367"/>
      <c r="M565" s="367"/>
      <c r="N565" s="367"/>
      <c r="O565" s="367"/>
      <c r="P565" s="367"/>
      <c r="Q565" s="367"/>
      <c r="R565" s="367"/>
      <c r="S565" s="367"/>
      <c r="T565" s="367"/>
      <c r="U565" s="367"/>
      <c r="V565" s="367"/>
      <c r="W565" s="367"/>
      <c r="X565" s="367"/>
      <c r="Y565" s="367"/>
      <c r="Z565" s="367"/>
      <c r="AA565" s="367"/>
      <c r="AB565" s="367"/>
      <c r="AC565" s="367"/>
      <c r="AD565" s="367"/>
      <c r="AE565" s="367"/>
      <c r="AF565" s="367"/>
    </row>
    <row r="566" ht="15.75" customHeight="1">
      <c r="A566" s="359"/>
      <c r="B566" s="361"/>
      <c r="C566" s="361"/>
      <c r="D566" s="361"/>
      <c r="E566" s="367"/>
      <c r="F566" s="367"/>
      <c r="G566" s="367"/>
      <c r="H566" s="367"/>
      <c r="I566" s="367"/>
      <c r="J566" s="367"/>
      <c r="K566" s="367"/>
      <c r="L566" s="367"/>
      <c r="M566" s="367"/>
      <c r="N566" s="367"/>
      <c r="O566" s="367"/>
      <c r="P566" s="367"/>
      <c r="Q566" s="367"/>
      <c r="R566" s="367"/>
      <c r="S566" s="367"/>
      <c r="T566" s="367"/>
      <c r="U566" s="367"/>
      <c r="V566" s="367"/>
      <c r="W566" s="367"/>
      <c r="X566" s="367"/>
      <c r="Y566" s="367"/>
      <c r="Z566" s="367"/>
      <c r="AA566" s="367"/>
      <c r="AB566" s="367"/>
      <c r="AC566" s="367"/>
      <c r="AD566" s="367"/>
      <c r="AE566" s="367"/>
      <c r="AF566" s="367"/>
    </row>
    <row r="567" ht="15.75" customHeight="1">
      <c r="A567" s="359"/>
      <c r="B567" s="361"/>
      <c r="C567" s="361"/>
      <c r="D567" s="361"/>
      <c r="E567" s="367"/>
      <c r="F567" s="367"/>
      <c r="G567" s="367"/>
      <c r="H567" s="367"/>
      <c r="I567" s="367"/>
      <c r="J567" s="367"/>
      <c r="K567" s="367"/>
      <c r="L567" s="367"/>
      <c r="M567" s="367"/>
      <c r="N567" s="367"/>
      <c r="O567" s="367"/>
      <c r="P567" s="367"/>
      <c r="Q567" s="367"/>
      <c r="R567" s="367"/>
      <c r="S567" s="367"/>
      <c r="T567" s="367"/>
      <c r="U567" s="367"/>
      <c r="V567" s="367"/>
      <c r="W567" s="367"/>
      <c r="X567" s="367"/>
      <c r="Y567" s="367"/>
      <c r="Z567" s="367"/>
      <c r="AA567" s="367"/>
      <c r="AB567" s="367"/>
      <c r="AC567" s="367"/>
      <c r="AD567" s="367"/>
      <c r="AE567" s="367"/>
      <c r="AF567" s="367"/>
    </row>
    <row r="568" ht="15.75" customHeight="1">
      <c r="A568" s="359"/>
      <c r="B568" s="361"/>
      <c r="C568" s="361"/>
      <c r="D568" s="361"/>
      <c r="E568" s="367"/>
      <c r="F568" s="367"/>
      <c r="G568" s="367"/>
      <c r="H568" s="367"/>
      <c r="I568" s="367"/>
      <c r="J568" s="367"/>
      <c r="K568" s="367"/>
      <c r="L568" s="367"/>
      <c r="M568" s="367"/>
      <c r="N568" s="367"/>
      <c r="O568" s="367"/>
      <c r="P568" s="367"/>
      <c r="Q568" s="367"/>
      <c r="R568" s="367"/>
      <c r="S568" s="367"/>
      <c r="T568" s="367"/>
      <c r="U568" s="367"/>
      <c r="V568" s="367"/>
      <c r="W568" s="367"/>
      <c r="X568" s="367"/>
      <c r="Y568" s="367"/>
      <c r="Z568" s="367"/>
      <c r="AA568" s="367"/>
      <c r="AB568" s="367"/>
      <c r="AC568" s="367"/>
      <c r="AD568" s="367"/>
      <c r="AE568" s="367"/>
      <c r="AF568" s="367"/>
    </row>
    <row r="569" ht="15.75" customHeight="1">
      <c r="A569" s="359"/>
      <c r="B569" s="361"/>
      <c r="C569" s="361"/>
      <c r="D569" s="361"/>
      <c r="E569" s="367"/>
      <c r="F569" s="367"/>
      <c r="G569" s="367"/>
      <c r="H569" s="367"/>
      <c r="I569" s="367"/>
      <c r="J569" s="367"/>
      <c r="K569" s="367"/>
      <c r="L569" s="367"/>
      <c r="M569" s="367"/>
      <c r="N569" s="367"/>
      <c r="O569" s="367"/>
      <c r="P569" s="367"/>
      <c r="Q569" s="367"/>
      <c r="R569" s="367"/>
      <c r="S569" s="367"/>
      <c r="T569" s="367"/>
      <c r="U569" s="367"/>
      <c r="V569" s="367"/>
      <c r="W569" s="367"/>
      <c r="X569" s="367"/>
      <c r="Y569" s="367"/>
      <c r="Z569" s="367"/>
      <c r="AA569" s="367"/>
      <c r="AB569" s="367"/>
      <c r="AC569" s="367"/>
      <c r="AD569" s="367"/>
      <c r="AE569" s="367"/>
      <c r="AF569" s="367"/>
    </row>
    <row r="570" ht="15.75" customHeight="1">
      <c r="A570" s="359"/>
      <c r="B570" s="361"/>
      <c r="C570" s="361"/>
      <c r="D570" s="361"/>
      <c r="E570" s="367"/>
      <c r="F570" s="367"/>
      <c r="G570" s="367"/>
      <c r="H570" s="367"/>
      <c r="I570" s="367"/>
      <c r="J570" s="367"/>
      <c r="K570" s="367"/>
      <c r="L570" s="367"/>
      <c r="M570" s="367"/>
      <c r="N570" s="367"/>
      <c r="O570" s="367"/>
      <c r="P570" s="367"/>
      <c r="Q570" s="367"/>
      <c r="R570" s="367"/>
      <c r="S570" s="367"/>
      <c r="T570" s="367"/>
      <c r="U570" s="367"/>
      <c r="V570" s="367"/>
      <c r="W570" s="367"/>
      <c r="X570" s="367"/>
      <c r="Y570" s="367"/>
      <c r="Z570" s="367"/>
      <c r="AA570" s="367"/>
      <c r="AB570" s="367"/>
      <c r="AC570" s="367"/>
      <c r="AD570" s="367"/>
      <c r="AE570" s="367"/>
      <c r="AF570" s="367"/>
    </row>
    <row r="571" ht="15.75" customHeight="1">
      <c r="A571" s="359"/>
      <c r="B571" s="361"/>
      <c r="C571" s="361"/>
      <c r="D571" s="361"/>
      <c r="E571" s="367"/>
      <c r="F571" s="367"/>
      <c r="G571" s="367"/>
      <c r="H571" s="367"/>
      <c r="I571" s="367"/>
      <c r="J571" s="367"/>
      <c r="K571" s="367"/>
      <c r="L571" s="367"/>
      <c r="M571" s="367"/>
      <c r="N571" s="367"/>
      <c r="O571" s="367"/>
      <c r="P571" s="367"/>
      <c r="Q571" s="367"/>
      <c r="R571" s="367"/>
      <c r="S571" s="367"/>
      <c r="T571" s="367"/>
      <c r="U571" s="367"/>
      <c r="V571" s="367"/>
      <c r="W571" s="367"/>
      <c r="X571" s="367"/>
      <c r="Y571" s="367"/>
      <c r="Z571" s="367"/>
      <c r="AA571" s="367"/>
      <c r="AB571" s="367"/>
      <c r="AC571" s="367"/>
      <c r="AD571" s="367"/>
      <c r="AE571" s="367"/>
      <c r="AF571" s="367"/>
    </row>
    <row r="572" ht="15.75" customHeight="1">
      <c r="A572" s="359"/>
      <c r="B572" s="361"/>
      <c r="C572" s="361"/>
      <c r="D572" s="361"/>
      <c r="E572" s="367"/>
      <c r="F572" s="367"/>
      <c r="G572" s="367"/>
      <c r="H572" s="367"/>
      <c r="I572" s="367"/>
      <c r="J572" s="367"/>
      <c r="K572" s="367"/>
      <c r="L572" s="367"/>
      <c r="M572" s="367"/>
      <c r="N572" s="367"/>
      <c r="O572" s="367"/>
      <c r="P572" s="367"/>
      <c r="Q572" s="367"/>
      <c r="R572" s="367"/>
      <c r="S572" s="367"/>
      <c r="T572" s="367"/>
      <c r="U572" s="367"/>
      <c r="V572" s="367"/>
      <c r="W572" s="367"/>
      <c r="X572" s="367"/>
      <c r="Y572" s="367"/>
      <c r="Z572" s="367"/>
      <c r="AA572" s="367"/>
      <c r="AB572" s="367"/>
      <c r="AC572" s="367"/>
      <c r="AD572" s="367"/>
      <c r="AE572" s="367"/>
      <c r="AF572" s="367"/>
    </row>
    <row r="573" ht="15.75" customHeight="1">
      <c r="A573" s="359"/>
      <c r="B573" s="361"/>
      <c r="C573" s="361"/>
      <c r="D573" s="361"/>
      <c r="E573" s="367"/>
      <c r="F573" s="367"/>
      <c r="G573" s="367"/>
      <c r="H573" s="367"/>
      <c r="I573" s="367"/>
      <c r="J573" s="367"/>
      <c r="K573" s="367"/>
      <c r="L573" s="367"/>
      <c r="M573" s="367"/>
      <c r="N573" s="367"/>
      <c r="O573" s="367"/>
      <c r="P573" s="367"/>
      <c r="Q573" s="367"/>
      <c r="R573" s="367"/>
      <c r="S573" s="367"/>
      <c r="T573" s="367"/>
      <c r="U573" s="367"/>
      <c r="V573" s="367"/>
      <c r="W573" s="367"/>
      <c r="X573" s="367"/>
      <c r="Y573" s="367"/>
      <c r="Z573" s="367"/>
      <c r="AA573" s="367"/>
      <c r="AB573" s="367"/>
      <c r="AC573" s="367"/>
      <c r="AD573" s="367"/>
      <c r="AE573" s="367"/>
      <c r="AF573" s="367"/>
    </row>
    <row r="574" ht="15.75" customHeight="1">
      <c r="A574" s="359"/>
      <c r="B574" s="361"/>
      <c r="C574" s="361"/>
      <c r="D574" s="361"/>
      <c r="E574" s="367"/>
      <c r="F574" s="367"/>
      <c r="G574" s="367"/>
      <c r="H574" s="367"/>
      <c r="I574" s="367"/>
      <c r="J574" s="367"/>
      <c r="K574" s="367"/>
      <c r="L574" s="367"/>
      <c r="M574" s="367"/>
      <c r="N574" s="367"/>
      <c r="O574" s="367"/>
      <c r="P574" s="367"/>
      <c r="Q574" s="367"/>
      <c r="R574" s="367"/>
      <c r="S574" s="367"/>
      <c r="T574" s="367"/>
      <c r="U574" s="367"/>
      <c r="V574" s="367"/>
      <c r="W574" s="367"/>
      <c r="X574" s="367"/>
      <c r="Y574" s="367"/>
      <c r="Z574" s="367"/>
      <c r="AA574" s="367"/>
      <c r="AB574" s="367"/>
      <c r="AC574" s="367"/>
      <c r="AD574" s="367"/>
      <c r="AE574" s="367"/>
      <c r="AF574" s="367"/>
    </row>
    <row r="575" ht="15.75" customHeight="1">
      <c r="A575" s="359"/>
      <c r="B575" s="361"/>
      <c r="C575" s="361"/>
      <c r="D575" s="361"/>
      <c r="E575" s="367"/>
      <c r="F575" s="367"/>
      <c r="G575" s="367"/>
      <c r="H575" s="367"/>
      <c r="I575" s="367"/>
      <c r="J575" s="367"/>
      <c r="K575" s="367"/>
      <c r="L575" s="367"/>
      <c r="M575" s="367"/>
      <c r="N575" s="367"/>
      <c r="O575" s="367"/>
      <c r="P575" s="367"/>
      <c r="Q575" s="367"/>
      <c r="R575" s="367"/>
      <c r="S575" s="367"/>
      <c r="T575" s="367"/>
      <c r="U575" s="367"/>
      <c r="V575" s="367"/>
      <c r="W575" s="367"/>
      <c r="X575" s="367"/>
      <c r="Y575" s="367"/>
      <c r="Z575" s="367"/>
      <c r="AA575" s="367"/>
      <c r="AB575" s="367"/>
      <c r="AC575" s="367"/>
      <c r="AD575" s="367"/>
      <c r="AE575" s="367"/>
      <c r="AF575" s="367"/>
    </row>
    <row r="576" ht="15.75" customHeight="1">
      <c r="A576" s="359"/>
      <c r="B576" s="361"/>
      <c r="C576" s="361"/>
      <c r="D576" s="361"/>
      <c r="E576" s="367"/>
      <c r="F576" s="367"/>
      <c r="G576" s="367"/>
      <c r="H576" s="367"/>
      <c r="I576" s="367"/>
      <c r="J576" s="367"/>
      <c r="K576" s="367"/>
      <c r="L576" s="367"/>
      <c r="M576" s="367"/>
      <c r="N576" s="367"/>
      <c r="O576" s="367"/>
      <c r="P576" s="367"/>
      <c r="Q576" s="367"/>
      <c r="R576" s="367"/>
      <c r="S576" s="367"/>
      <c r="T576" s="367"/>
      <c r="U576" s="367"/>
      <c r="V576" s="367"/>
      <c r="W576" s="367"/>
      <c r="X576" s="367"/>
      <c r="Y576" s="367"/>
      <c r="Z576" s="367"/>
      <c r="AA576" s="367"/>
      <c r="AB576" s="367"/>
      <c r="AC576" s="367"/>
      <c r="AD576" s="367"/>
      <c r="AE576" s="367"/>
      <c r="AF576" s="367"/>
    </row>
    <row r="577" ht="15.75" customHeight="1">
      <c r="A577" s="359"/>
      <c r="B577" s="361"/>
      <c r="C577" s="361"/>
      <c r="D577" s="361"/>
      <c r="E577" s="367"/>
      <c r="F577" s="367"/>
      <c r="G577" s="367"/>
      <c r="H577" s="367"/>
      <c r="I577" s="367"/>
      <c r="J577" s="367"/>
      <c r="K577" s="367"/>
      <c r="L577" s="367"/>
      <c r="M577" s="367"/>
      <c r="N577" s="367"/>
      <c r="O577" s="367"/>
      <c r="P577" s="367"/>
      <c r="Q577" s="367"/>
      <c r="R577" s="367"/>
      <c r="S577" s="367"/>
      <c r="T577" s="367"/>
      <c r="U577" s="367"/>
      <c r="V577" s="367"/>
      <c r="W577" s="367"/>
      <c r="X577" s="367"/>
      <c r="Y577" s="367"/>
      <c r="Z577" s="367"/>
      <c r="AA577" s="367"/>
      <c r="AB577" s="367"/>
      <c r="AC577" s="367"/>
      <c r="AD577" s="367"/>
      <c r="AE577" s="367"/>
      <c r="AF577" s="367"/>
    </row>
    <row r="578" ht="15.75" customHeight="1">
      <c r="A578" s="359"/>
      <c r="B578" s="361"/>
      <c r="C578" s="361"/>
      <c r="D578" s="361"/>
      <c r="E578" s="367"/>
      <c r="F578" s="367"/>
      <c r="G578" s="367"/>
      <c r="H578" s="367"/>
      <c r="I578" s="367"/>
      <c r="J578" s="367"/>
      <c r="K578" s="367"/>
      <c r="L578" s="367"/>
      <c r="M578" s="367"/>
      <c r="N578" s="367"/>
      <c r="O578" s="367"/>
      <c r="P578" s="367"/>
      <c r="Q578" s="367"/>
      <c r="R578" s="367"/>
      <c r="S578" s="367"/>
      <c r="T578" s="367"/>
      <c r="U578" s="367"/>
      <c r="V578" s="367"/>
      <c r="W578" s="367"/>
      <c r="X578" s="367"/>
      <c r="Y578" s="367"/>
      <c r="Z578" s="367"/>
      <c r="AA578" s="367"/>
      <c r="AB578" s="367"/>
      <c r="AC578" s="367"/>
      <c r="AD578" s="367"/>
      <c r="AE578" s="367"/>
      <c r="AF578" s="367"/>
    </row>
    <row r="579" ht="15.75" customHeight="1">
      <c r="A579" s="359"/>
      <c r="B579" s="361"/>
      <c r="C579" s="361"/>
      <c r="D579" s="361"/>
      <c r="E579" s="367"/>
      <c r="F579" s="367"/>
      <c r="G579" s="367"/>
      <c r="H579" s="367"/>
      <c r="I579" s="367"/>
      <c r="J579" s="367"/>
      <c r="K579" s="367"/>
      <c r="L579" s="367"/>
      <c r="M579" s="367"/>
      <c r="N579" s="367"/>
      <c r="O579" s="367"/>
      <c r="P579" s="367"/>
      <c r="Q579" s="367"/>
      <c r="R579" s="367"/>
      <c r="S579" s="367"/>
      <c r="T579" s="367"/>
      <c r="U579" s="367"/>
      <c r="V579" s="367"/>
      <c r="W579" s="367"/>
      <c r="X579" s="367"/>
      <c r="Y579" s="367"/>
      <c r="Z579" s="367"/>
      <c r="AA579" s="367"/>
      <c r="AB579" s="367"/>
      <c r="AC579" s="367"/>
      <c r="AD579" s="367"/>
      <c r="AE579" s="367"/>
      <c r="AF579" s="367"/>
    </row>
    <row r="580" ht="15.75" customHeight="1">
      <c r="A580" s="359"/>
      <c r="B580" s="361"/>
      <c r="C580" s="361"/>
      <c r="D580" s="361"/>
      <c r="E580" s="367"/>
      <c r="F580" s="367"/>
      <c r="G580" s="367"/>
      <c r="H580" s="367"/>
      <c r="I580" s="367"/>
      <c r="J580" s="367"/>
      <c r="K580" s="367"/>
      <c r="L580" s="367"/>
      <c r="M580" s="367"/>
      <c r="N580" s="367"/>
      <c r="O580" s="367"/>
      <c r="P580" s="367"/>
      <c r="Q580" s="367"/>
      <c r="R580" s="367"/>
      <c r="S580" s="367"/>
      <c r="T580" s="367"/>
      <c r="U580" s="367"/>
      <c r="V580" s="367"/>
      <c r="W580" s="367"/>
      <c r="X580" s="367"/>
      <c r="Y580" s="367"/>
      <c r="Z580" s="367"/>
      <c r="AA580" s="367"/>
      <c r="AB580" s="367"/>
      <c r="AC580" s="367"/>
      <c r="AD580" s="367"/>
      <c r="AE580" s="367"/>
      <c r="AF580" s="367"/>
    </row>
    <row r="581" ht="15.75" customHeight="1">
      <c r="A581" s="359"/>
      <c r="B581" s="361"/>
      <c r="C581" s="361"/>
      <c r="D581" s="361"/>
      <c r="E581" s="367"/>
      <c r="F581" s="367"/>
      <c r="G581" s="367"/>
      <c r="H581" s="367"/>
      <c r="I581" s="367"/>
      <c r="J581" s="367"/>
      <c r="K581" s="367"/>
      <c r="L581" s="367"/>
      <c r="M581" s="367"/>
      <c r="N581" s="367"/>
      <c r="O581" s="367"/>
      <c r="P581" s="367"/>
      <c r="Q581" s="367"/>
      <c r="R581" s="367"/>
      <c r="S581" s="367"/>
      <c r="T581" s="367"/>
      <c r="U581" s="367"/>
      <c r="V581" s="367"/>
      <c r="W581" s="367"/>
      <c r="X581" s="367"/>
      <c r="Y581" s="367"/>
      <c r="Z581" s="367"/>
      <c r="AA581" s="367"/>
      <c r="AB581" s="367"/>
      <c r="AC581" s="367"/>
      <c r="AD581" s="367"/>
      <c r="AE581" s="367"/>
      <c r="AF581" s="367"/>
    </row>
    <row r="582" ht="15.75" customHeight="1">
      <c r="A582" s="359"/>
      <c r="B582" s="361"/>
      <c r="C582" s="361"/>
      <c r="D582" s="361"/>
      <c r="E582" s="367"/>
      <c r="F582" s="367"/>
      <c r="G582" s="367"/>
      <c r="H582" s="367"/>
      <c r="I582" s="367"/>
      <c r="J582" s="367"/>
      <c r="K582" s="367"/>
      <c r="L582" s="367"/>
      <c r="M582" s="367"/>
      <c r="N582" s="367"/>
      <c r="O582" s="367"/>
      <c r="P582" s="367"/>
      <c r="Q582" s="367"/>
      <c r="R582" s="367"/>
      <c r="S582" s="367"/>
      <c r="T582" s="367"/>
      <c r="U582" s="367"/>
      <c r="V582" s="367"/>
      <c r="W582" s="367"/>
      <c r="X582" s="367"/>
      <c r="Y582" s="367"/>
      <c r="Z582" s="367"/>
      <c r="AA582" s="367"/>
      <c r="AB582" s="367"/>
      <c r="AC582" s="367"/>
      <c r="AD582" s="367"/>
      <c r="AE582" s="367"/>
      <c r="AF582" s="367"/>
    </row>
    <row r="583" ht="15.75" customHeight="1">
      <c r="A583" s="359"/>
      <c r="B583" s="361"/>
      <c r="C583" s="361"/>
      <c r="D583" s="361"/>
      <c r="E583" s="367"/>
      <c r="F583" s="367"/>
      <c r="G583" s="367"/>
      <c r="H583" s="367"/>
      <c r="I583" s="367"/>
      <c r="J583" s="367"/>
      <c r="K583" s="367"/>
      <c r="L583" s="367"/>
      <c r="M583" s="367"/>
      <c r="N583" s="367"/>
      <c r="O583" s="367"/>
      <c r="P583" s="367"/>
      <c r="Q583" s="367"/>
      <c r="R583" s="367"/>
      <c r="S583" s="367"/>
      <c r="T583" s="367"/>
      <c r="U583" s="367"/>
      <c r="V583" s="367"/>
      <c r="W583" s="367"/>
      <c r="X583" s="367"/>
      <c r="Y583" s="367"/>
      <c r="Z583" s="367"/>
      <c r="AA583" s="367"/>
      <c r="AB583" s="367"/>
      <c r="AC583" s="367"/>
      <c r="AD583" s="367"/>
      <c r="AE583" s="367"/>
      <c r="AF583" s="367"/>
    </row>
    <row r="584" ht="15.75" customHeight="1">
      <c r="A584" s="359"/>
      <c r="B584" s="361"/>
      <c r="C584" s="361"/>
      <c r="D584" s="361"/>
      <c r="E584" s="367"/>
      <c r="F584" s="367"/>
      <c r="G584" s="367"/>
      <c r="H584" s="367"/>
      <c r="I584" s="367"/>
      <c r="J584" s="367"/>
      <c r="K584" s="367"/>
      <c r="L584" s="367"/>
      <c r="M584" s="367"/>
      <c r="N584" s="367"/>
      <c r="O584" s="367"/>
      <c r="P584" s="367"/>
      <c r="Q584" s="367"/>
      <c r="R584" s="367"/>
      <c r="S584" s="367"/>
      <c r="T584" s="367"/>
      <c r="U584" s="367"/>
      <c r="V584" s="367"/>
      <c r="W584" s="367"/>
      <c r="X584" s="367"/>
      <c r="Y584" s="367"/>
      <c r="Z584" s="367"/>
      <c r="AA584" s="367"/>
      <c r="AB584" s="367"/>
      <c r="AC584" s="367"/>
      <c r="AD584" s="367"/>
      <c r="AE584" s="367"/>
      <c r="AF584" s="367"/>
    </row>
    <row r="585" ht="15.75" customHeight="1">
      <c r="A585" s="359"/>
      <c r="B585" s="361"/>
      <c r="C585" s="361"/>
      <c r="D585" s="361"/>
      <c r="E585" s="367"/>
      <c r="F585" s="367"/>
      <c r="G585" s="367"/>
      <c r="H585" s="367"/>
      <c r="I585" s="367"/>
      <c r="J585" s="367"/>
      <c r="K585" s="367"/>
      <c r="L585" s="367"/>
      <c r="M585" s="367"/>
      <c r="N585" s="367"/>
      <c r="O585" s="367"/>
      <c r="P585" s="367"/>
      <c r="Q585" s="367"/>
      <c r="R585" s="367"/>
      <c r="S585" s="367"/>
      <c r="T585" s="367"/>
      <c r="U585" s="367"/>
      <c r="V585" s="367"/>
      <c r="W585" s="367"/>
      <c r="X585" s="367"/>
      <c r="Y585" s="367"/>
      <c r="Z585" s="367"/>
      <c r="AA585" s="367"/>
      <c r="AB585" s="367"/>
      <c r="AC585" s="367"/>
      <c r="AD585" s="367"/>
      <c r="AE585" s="367"/>
      <c r="AF585" s="367"/>
    </row>
    <row r="586" ht="15.75" customHeight="1">
      <c r="A586" s="359"/>
      <c r="B586" s="361"/>
      <c r="C586" s="361"/>
      <c r="D586" s="361"/>
      <c r="E586" s="367"/>
      <c r="F586" s="367"/>
      <c r="G586" s="367"/>
      <c r="H586" s="367"/>
      <c r="I586" s="367"/>
      <c r="J586" s="367"/>
      <c r="K586" s="367"/>
      <c r="L586" s="367"/>
      <c r="M586" s="367"/>
      <c r="N586" s="367"/>
      <c r="O586" s="367"/>
      <c r="P586" s="367"/>
      <c r="Q586" s="367"/>
      <c r="R586" s="367"/>
      <c r="S586" s="367"/>
      <c r="T586" s="367"/>
      <c r="U586" s="367"/>
      <c r="V586" s="367"/>
      <c r="W586" s="367"/>
      <c r="X586" s="367"/>
      <c r="Y586" s="367"/>
      <c r="Z586" s="367"/>
      <c r="AA586" s="367"/>
      <c r="AB586" s="367"/>
      <c r="AC586" s="367"/>
      <c r="AD586" s="367"/>
      <c r="AE586" s="367"/>
      <c r="AF586" s="367"/>
    </row>
    <row r="587" ht="15.75" customHeight="1">
      <c r="A587" s="359"/>
      <c r="B587" s="361"/>
      <c r="C587" s="361"/>
      <c r="D587" s="361"/>
      <c r="E587" s="367"/>
      <c r="F587" s="367"/>
      <c r="G587" s="367"/>
      <c r="H587" s="367"/>
      <c r="I587" s="367"/>
      <c r="J587" s="367"/>
      <c r="K587" s="367"/>
      <c r="L587" s="367"/>
      <c r="M587" s="367"/>
      <c r="N587" s="367"/>
      <c r="O587" s="367"/>
      <c r="P587" s="367"/>
      <c r="Q587" s="367"/>
      <c r="R587" s="367"/>
      <c r="S587" s="367"/>
      <c r="T587" s="367"/>
      <c r="U587" s="367"/>
      <c r="V587" s="367"/>
      <c r="W587" s="367"/>
      <c r="X587" s="367"/>
      <c r="Y587" s="367"/>
      <c r="Z587" s="367"/>
      <c r="AA587" s="367"/>
      <c r="AB587" s="367"/>
      <c r="AC587" s="367"/>
      <c r="AD587" s="367"/>
      <c r="AE587" s="367"/>
      <c r="AF587" s="367"/>
    </row>
    <row r="588" ht="15.75" customHeight="1">
      <c r="A588" s="359"/>
      <c r="B588" s="361"/>
      <c r="C588" s="361"/>
      <c r="D588" s="361"/>
      <c r="E588" s="367"/>
      <c r="F588" s="367"/>
      <c r="G588" s="367"/>
      <c r="H588" s="367"/>
      <c r="I588" s="367"/>
      <c r="J588" s="367"/>
      <c r="K588" s="367"/>
      <c r="L588" s="367"/>
      <c r="M588" s="367"/>
      <c r="N588" s="367"/>
      <c r="O588" s="367"/>
      <c r="P588" s="367"/>
      <c r="Q588" s="367"/>
      <c r="R588" s="367"/>
      <c r="S588" s="367"/>
      <c r="T588" s="367"/>
      <c r="U588" s="367"/>
      <c r="V588" s="367"/>
      <c r="W588" s="367"/>
      <c r="X588" s="367"/>
      <c r="Y588" s="367"/>
      <c r="Z588" s="367"/>
      <c r="AA588" s="367"/>
      <c r="AB588" s="367"/>
      <c r="AC588" s="367"/>
      <c r="AD588" s="367"/>
      <c r="AE588" s="367"/>
      <c r="AF588" s="367"/>
    </row>
    <row r="589" ht="15.75" customHeight="1">
      <c r="A589" s="359"/>
      <c r="B589" s="361"/>
      <c r="C589" s="361"/>
      <c r="D589" s="361"/>
      <c r="E589" s="367"/>
      <c r="F589" s="367"/>
      <c r="G589" s="367"/>
      <c r="H589" s="367"/>
      <c r="I589" s="367"/>
      <c r="J589" s="367"/>
      <c r="K589" s="367"/>
      <c r="L589" s="367"/>
      <c r="M589" s="367"/>
      <c r="N589" s="367"/>
      <c r="O589" s="367"/>
      <c r="P589" s="367"/>
      <c r="Q589" s="367"/>
      <c r="R589" s="367"/>
      <c r="S589" s="367"/>
      <c r="T589" s="367"/>
      <c r="U589" s="367"/>
      <c r="V589" s="367"/>
      <c r="W589" s="367"/>
      <c r="X589" s="367"/>
      <c r="Y589" s="367"/>
      <c r="Z589" s="367"/>
      <c r="AA589" s="367"/>
      <c r="AB589" s="367"/>
      <c r="AC589" s="367"/>
      <c r="AD589" s="367"/>
      <c r="AE589" s="367"/>
      <c r="AF589" s="367"/>
    </row>
    <row r="590" ht="15.75" customHeight="1">
      <c r="A590" s="359"/>
      <c r="B590" s="361"/>
      <c r="C590" s="361"/>
      <c r="D590" s="361"/>
      <c r="E590" s="367"/>
      <c r="F590" s="367"/>
      <c r="G590" s="367"/>
      <c r="H590" s="367"/>
      <c r="I590" s="367"/>
      <c r="J590" s="367"/>
      <c r="K590" s="367"/>
      <c r="L590" s="367"/>
      <c r="M590" s="367"/>
      <c r="N590" s="367"/>
      <c r="O590" s="367"/>
      <c r="P590" s="367"/>
      <c r="Q590" s="367"/>
      <c r="R590" s="367"/>
      <c r="S590" s="367"/>
      <c r="T590" s="367"/>
      <c r="U590" s="367"/>
      <c r="V590" s="367"/>
      <c r="W590" s="367"/>
      <c r="X590" s="367"/>
      <c r="Y590" s="367"/>
      <c r="Z590" s="367"/>
      <c r="AA590" s="367"/>
      <c r="AB590" s="367"/>
      <c r="AC590" s="367"/>
      <c r="AD590" s="367"/>
      <c r="AE590" s="367"/>
      <c r="AF590" s="367"/>
    </row>
    <row r="591" ht="15.75" customHeight="1">
      <c r="A591" s="359"/>
      <c r="B591" s="361"/>
      <c r="C591" s="361"/>
      <c r="D591" s="361"/>
      <c r="E591" s="367"/>
      <c r="F591" s="367"/>
      <c r="G591" s="367"/>
      <c r="H591" s="367"/>
      <c r="I591" s="367"/>
      <c r="J591" s="367"/>
      <c r="K591" s="367"/>
      <c r="L591" s="367"/>
      <c r="M591" s="367"/>
      <c r="N591" s="367"/>
      <c r="O591" s="367"/>
      <c r="P591" s="367"/>
      <c r="Q591" s="367"/>
      <c r="R591" s="367"/>
      <c r="S591" s="367"/>
      <c r="T591" s="367"/>
      <c r="U591" s="367"/>
      <c r="V591" s="367"/>
      <c r="W591" s="367"/>
      <c r="X591" s="367"/>
      <c r="Y591" s="367"/>
      <c r="Z591" s="367"/>
      <c r="AA591" s="367"/>
      <c r="AB591" s="367"/>
      <c r="AC591" s="367"/>
      <c r="AD591" s="367"/>
      <c r="AE591" s="367"/>
      <c r="AF591" s="367"/>
    </row>
    <row r="592" ht="15.75" customHeight="1">
      <c r="A592" s="359"/>
      <c r="B592" s="361"/>
      <c r="C592" s="361"/>
      <c r="D592" s="361"/>
      <c r="E592" s="367"/>
      <c r="F592" s="367"/>
      <c r="G592" s="367"/>
      <c r="H592" s="367"/>
      <c r="I592" s="367"/>
      <c r="J592" s="367"/>
      <c r="K592" s="367"/>
      <c r="L592" s="367"/>
      <c r="M592" s="367"/>
      <c r="N592" s="367"/>
      <c r="O592" s="367"/>
      <c r="P592" s="367"/>
      <c r="Q592" s="367"/>
      <c r="R592" s="367"/>
      <c r="S592" s="367"/>
      <c r="T592" s="367"/>
      <c r="U592" s="367"/>
      <c r="V592" s="367"/>
      <c r="W592" s="367"/>
      <c r="X592" s="367"/>
      <c r="Y592" s="367"/>
      <c r="Z592" s="367"/>
      <c r="AA592" s="367"/>
      <c r="AB592" s="367"/>
      <c r="AC592" s="367"/>
      <c r="AD592" s="367"/>
      <c r="AE592" s="367"/>
      <c r="AF592" s="367"/>
    </row>
    <row r="593" ht="15.75" customHeight="1">
      <c r="A593" s="359"/>
      <c r="B593" s="361"/>
      <c r="C593" s="361"/>
      <c r="D593" s="361"/>
      <c r="E593" s="367"/>
      <c r="F593" s="367"/>
      <c r="G593" s="367"/>
      <c r="H593" s="367"/>
      <c r="I593" s="367"/>
      <c r="J593" s="367"/>
      <c r="K593" s="367"/>
      <c r="L593" s="367"/>
      <c r="M593" s="367"/>
      <c r="N593" s="367"/>
      <c r="O593" s="367"/>
      <c r="P593" s="367"/>
      <c r="Q593" s="367"/>
      <c r="R593" s="367"/>
      <c r="S593" s="367"/>
      <c r="T593" s="367"/>
      <c r="U593" s="367"/>
      <c r="V593" s="367"/>
      <c r="W593" s="367"/>
      <c r="X593" s="367"/>
      <c r="Y593" s="367"/>
      <c r="Z593" s="367"/>
      <c r="AA593" s="367"/>
      <c r="AB593" s="367"/>
      <c r="AC593" s="367"/>
      <c r="AD593" s="367"/>
      <c r="AE593" s="367"/>
      <c r="AF593" s="367"/>
    </row>
    <row r="594" ht="15.75" customHeight="1">
      <c r="A594" s="359"/>
      <c r="B594" s="361"/>
      <c r="C594" s="361"/>
      <c r="D594" s="361"/>
      <c r="E594" s="367"/>
      <c r="F594" s="367"/>
      <c r="G594" s="367"/>
      <c r="H594" s="367"/>
      <c r="I594" s="367"/>
      <c r="J594" s="367"/>
      <c r="K594" s="367"/>
      <c r="L594" s="367"/>
      <c r="M594" s="367"/>
      <c r="N594" s="367"/>
      <c r="O594" s="367"/>
      <c r="P594" s="367"/>
      <c r="Q594" s="367"/>
      <c r="R594" s="367"/>
      <c r="S594" s="367"/>
      <c r="T594" s="367"/>
      <c r="U594" s="367"/>
      <c r="V594" s="367"/>
      <c r="W594" s="367"/>
      <c r="X594" s="367"/>
      <c r="Y594" s="367"/>
      <c r="Z594" s="367"/>
      <c r="AA594" s="367"/>
      <c r="AB594" s="367"/>
      <c r="AC594" s="367"/>
      <c r="AD594" s="367"/>
      <c r="AE594" s="367"/>
      <c r="AF594" s="367"/>
    </row>
    <row r="595" ht="15.75" customHeight="1">
      <c r="A595" s="359"/>
      <c r="B595" s="361"/>
      <c r="C595" s="361"/>
      <c r="D595" s="361"/>
      <c r="E595" s="367"/>
      <c r="F595" s="367"/>
      <c r="G595" s="367"/>
      <c r="H595" s="367"/>
      <c r="I595" s="367"/>
      <c r="J595" s="367"/>
      <c r="K595" s="367"/>
      <c r="L595" s="367"/>
      <c r="M595" s="367"/>
      <c r="N595" s="367"/>
      <c r="O595" s="367"/>
      <c r="P595" s="367"/>
      <c r="Q595" s="367"/>
      <c r="R595" s="367"/>
      <c r="S595" s="367"/>
      <c r="T595" s="367"/>
      <c r="U595" s="367"/>
      <c r="V595" s="367"/>
      <c r="W595" s="367"/>
      <c r="X595" s="367"/>
      <c r="Y595" s="367"/>
      <c r="Z595" s="367"/>
      <c r="AA595" s="367"/>
      <c r="AB595" s="367"/>
      <c r="AC595" s="367"/>
      <c r="AD595" s="367"/>
      <c r="AE595" s="367"/>
      <c r="AF595" s="367"/>
    </row>
    <row r="596" ht="15.75" customHeight="1">
      <c r="A596" s="359"/>
      <c r="B596" s="361"/>
      <c r="C596" s="361"/>
      <c r="D596" s="361"/>
      <c r="E596" s="367"/>
      <c r="F596" s="367"/>
      <c r="G596" s="367"/>
      <c r="H596" s="367"/>
      <c r="I596" s="367"/>
      <c r="J596" s="367"/>
      <c r="K596" s="367"/>
      <c r="L596" s="367"/>
      <c r="M596" s="367"/>
      <c r="N596" s="367"/>
      <c r="O596" s="367"/>
      <c r="P596" s="367"/>
      <c r="Q596" s="367"/>
      <c r="R596" s="367"/>
      <c r="S596" s="367"/>
      <c r="T596" s="367"/>
      <c r="U596" s="367"/>
      <c r="V596" s="367"/>
      <c r="W596" s="367"/>
      <c r="X596" s="367"/>
      <c r="Y596" s="367"/>
      <c r="Z596" s="367"/>
      <c r="AA596" s="367"/>
      <c r="AB596" s="367"/>
      <c r="AC596" s="367"/>
      <c r="AD596" s="367"/>
      <c r="AE596" s="367"/>
      <c r="AF596" s="367"/>
    </row>
    <row r="597" ht="15.75" customHeight="1">
      <c r="A597" s="359"/>
      <c r="B597" s="361"/>
      <c r="C597" s="361"/>
      <c r="D597" s="361"/>
      <c r="E597" s="367"/>
      <c r="F597" s="367"/>
      <c r="G597" s="367"/>
      <c r="H597" s="367"/>
      <c r="I597" s="367"/>
      <c r="J597" s="367"/>
      <c r="K597" s="367"/>
      <c r="L597" s="367"/>
      <c r="M597" s="367"/>
      <c r="N597" s="367"/>
      <c r="O597" s="367"/>
      <c r="P597" s="367"/>
      <c r="Q597" s="367"/>
      <c r="R597" s="367"/>
      <c r="S597" s="367"/>
      <c r="T597" s="367"/>
      <c r="U597" s="367"/>
      <c r="V597" s="367"/>
      <c r="W597" s="367"/>
      <c r="X597" s="367"/>
      <c r="Y597" s="367"/>
      <c r="Z597" s="367"/>
      <c r="AA597" s="367"/>
      <c r="AB597" s="367"/>
      <c r="AC597" s="367"/>
      <c r="AD597" s="367"/>
      <c r="AE597" s="367"/>
      <c r="AF597" s="367"/>
    </row>
    <row r="598" ht="15.75" customHeight="1">
      <c r="A598" s="359"/>
      <c r="B598" s="361"/>
      <c r="C598" s="361"/>
      <c r="D598" s="361"/>
      <c r="E598" s="367"/>
      <c r="F598" s="367"/>
      <c r="G598" s="367"/>
      <c r="H598" s="367"/>
      <c r="I598" s="367"/>
      <c r="J598" s="367"/>
      <c r="K598" s="367"/>
      <c r="L598" s="367"/>
      <c r="M598" s="367"/>
      <c r="N598" s="367"/>
      <c r="O598" s="367"/>
      <c r="P598" s="367"/>
      <c r="Q598" s="367"/>
      <c r="R598" s="367"/>
      <c r="S598" s="367"/>
      <c r="T598" s="367"/>
      <c r="U598" s="367"/>
      <c r="V598" s="367"/>
      <c r="W598" s="367"/>
      <c r="X598" s="367"/>
      <c r="Y598" s="367"/>
      <c r="Z598" s="367"/>
      <c r="AA598" s="367"/>
      <c r="AB598" s="367"/>
      <c r="AC598" s="367"/>
      <c r="AD598" s="367"/>
      <c r="AE598" s="367"/>
      <c r="AF598" s="367"/>
    </row>
    <row r="599" ht="15.75" customHeight="1">
      <c r="A599" s="359"/>
      <c r="B599" s="361"/>
      <c r="C599" s="361"/>
      <c r="D599" s="361"/>
      <c r="E599" s="367"/>
      <c r="F599" s="367"/>
      <c r="G599" s="367"/>
      <c r="H599" s="367"/>
      <c r="I599" s="367"/>
      <c r="J599" s="367"/>
      <c r="K599" s="367"/>
      <c r="L599" s="367"/>
      <c r="M599" s="367"/>
      <c r="N599" s="367"/>
      <c r="O599" s="367"/>
      <c r="P599" s="367"/>
      <c r="Q599" s="367"/>
      <c r="R599" s="367"/>
      <c r="S599" s="367"/>
      <c r="T599" s="367"/>
      <c r="U599" s="367"/>
      <c r="V599" s="367"/>
      <c r="W599" s="367"/>
      <c r="X599" s="367"/>
      <c r="Y599" s="367"/>
      <c r="Z599" s="367"/>
      <c r="AA599" s="367"/>
      <c r="AB599" s="367"/>
      <c r="AC599" s="367"/>
      <c r="AD599" s="367"/>
      <c r="AE599" s="367"/>
      <c r="AF599" s="367"/>
    </row>
    <row r="600" ht="15.75" customHeight="1">
      <c r="A600" s="359"/>
      <c r="B600" s="361"/>
      <c r="C600" s="361"/>
      <c r="D600" s="361"/>
      <c r="E600" s="367"/>
      <c r="F600" s="367"/>
      <c r="G600" s="367"/>
      <c r="H600" s="367"/>
      <c r="I600" s="367"/>
      <c r="J600" s="367"/>
      <c r="K600" s="367"/>
      <c r="L600" s="367"/>
      <c r="M600" s="367"/>
      <c r="N600" s="367"/>
      <c r="O600" s="367"/>
      <c r="P600" s="367"/>
      <c r="Q600" s="367"/>
      <c r="R600" s="367"/>
      <c r="S600" s="367"/>
      <c r="T600" s="367"/>
      <c r="U600" s="367"/>
      <c r="V600" s="367"/>
      <c r="W600" s="367"/>
      <c r="X600" s="367"/>
      <c r="Y600" s="367"/>
      <c r="Z600" s="367"/>
      <c r="AA600" s="367"/>
      <c r="AB600" s="367"/>
      <c r="AC600" s="367"/>
      <c r="AD600" s="367"/>
      <c r="AE600" s="367"/>
      <c r="AF600" s="367"/>
    </row>
    <row r="601" ht="15.75" customHeight="1">
      <c r="A601" s="359"/>
      <c r="B601" s="361"/>
      <c r="C601" s="361"/>
      <c r="D601" s="361"/>
      <c r="E601" s="367"/>
      <c r="F601" s="367"/>
      <c r="G601" s="367"/>
      <c r="H601" s="367"/>
      <c r="I601" s="367"/>
      <c r="J601" s="367"/>
      <c r="K601" s="367"/>
      <c r="L601" s="367"/>
      <c r="M601" s="367"/>
      <c r="N601" s="367"/>
      <c r="O601" s="367"/>
      <c r="P601" s="367"/>
      <c r="Q601" s="367"/>
      <c r="R601" s="367"/>
      <c r="S601" s="367"/>
      <c r="T601" s="367"/>
      <c r="U601" s="367"/>
      <c r="V601" s="367"/>
      <c r="W601" s="367"/>
      <c r="X601" s="367"/>
      <c r="Y601" s="367"/>
      <c r="Z601" s="367"/>
      <c r="AA601" s="367"/>
      <c r="AB601" s="367"/>
      <c r="AC601" s="367"/>
      <c r="AD601" s="367"/>
      <c r="AE601" s="367"/>
      <c r="AF601" s="367"/>
    </row>
    <row r="602" ht="15.75" customHeight="1">
      <c r="A602" s="359"/>
      <c r="B602" s="361"/>
      <c r="C602" s="361"/>
      <c r="D602" s="361"/>
      <c r="E602" s="367"/>
      <c r="F602" s="367"/>
      <c r="G602" s="367"/>
      <c r="H602" s="367"/>
      <c r="I602" s="367"/>
      <c r="J602" s="367"/>
      <c r="K602" s="367"/>
      <c r="L602" s="367"/>
      <c r="M602" s="367"/>
      <c r="N602" s="367"/>
      <c r="O602" s="367"/>
      <c r="P602" s="367"/>
      <c r="Q602" s="367"/>
      <c r="R602" s="367"/>
      <c r="S602" s="367"/>
      <c r="T602" s="367"/>
      <c r="U602" s="367"/>
      <c r="V602" s="367"/>
      <c r="W602" s="367"/>
      <c r="X602" s="367"/>
      <c r="Y602" s="367"/>
      <c r="Z602" s="367"/>
      <c r="AA602" s="367"/>
      <c r="AB602" s="367"/>
      <c r="AC602" s="367"/>
      <c r="AD602" s="367"/>
      <c r="AE602" s="367"/>
      <c r="AF602" s="367"/>
    </row>
    <row r="603" ht="15.75" customHeight="1">
      <c r="A603" s="359"/>
      <c r="B603" s="361"/>
      <c r="C603" s="361"/>
      <c r="D603" s="361"/>
      <c r="E603" s="367"/>
      <c r="F603" s="367"/>
      <c r="G603" s="367"/>
      <c r="H603" s="367"/>
      <c r="I603" s="367"/>
      <c r="J603" s="367"/>
      <c r="K603" s="367"/>
      <c r="L603" s="367"/>
      <c r="M603" s="367"/>
      <c r="N603" s="367"/>
      <c r="O603" s="367"/>
      <c r="P603" s="367"/>
      <c r="Q603" s="367"/>
      <c r="R603" s="367"/>
      <c r="S603" s="367"/>
      <c r="T603" s="367"/>
      <c r="U603" s="367"/>
      <c r="V603" s="367"/>
      <c r="W603" s="367"/>
      <c r="X603" s="367"/>
      <c r="Y603" s="367"/>
      <c r="Z603" s="367"/>
      <c r="AA603" s="367"/>
      <c r="AB603" s="367"/>
      <c r="AC603" s="367"/>
      <c r="AD603" s="367"/>
      <c r="AE603" s="367"/>
      <c r="AF603" s="367"/>
    </row>
    <row r="604" ht="15.75" customHeight="1">
      <c r="A604" s="359"/>
      <c r="B604" s="361"/>
      <c r="C604" s="361"/>
      <c r="D604" s="361"/>
      <c r="E604" s="367"/>
      <c r="F604" s="367"/>
      <c r="G604" s="367"/>
      <c r="H604" s="367"/>
      <c r="I604" s="367"/>
      <c r="J604" s="367"/>
      <c r="K604" s="367"/>
      <c r="L604" s="367"/>
      <c r="M604" s="367"/>
      <c r="N604" s="367"/>
      <c r="O604" s="367"/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  <c r="Z604" s="367"/>
      <c r="AA604" s="367"/>
      <c r="AB604" s="367"/>
      <c r="AC604" s="367"/>
      <c r="AD604" s="367"/>
      <c r="AE604" s="367"/>
      <c r="AF604" s="367"/>
    </row>
    <row r="605" ht="15.75" customHeight="1">
      <c r="A605" s="359"/>
      <c r="B605" s="361"/>
      <c r="C605" s="361"/>
      <c r="D605" s="361"/>
      <c r="E605" s="367"/>
      <c r="F605" s="367"/>
      <c r="G605" s="367"/>
      <c r="H605" s="367"/>
      <c r="I605" s="367"/>
      <c r="J605" s="367"/>
      <c r="K605" s="367"/>
      <c r="L605" s="367"/>
      <c r="M605" s="367"/>
      <c r="N605" s="367"/>
      <c r="O605" s="367"/>
      <c r="P605" s="367"/>
      <c r="Q605" s="367"/>
      <c r="R605" s="367"/>
      <c r="S605" s="367"/>
      <c r="T605" s="367"/>
      <c r="U605" s="367"/>
      <c r="V605" s="367"/>
      <c r="W605" s="367"/>
      <c r="X605" s="367"/>
      <c r="Y605" s="367"/>
      <c r="Z605" s="367"/>
      <c r="AA605" s="367"/>
      <c r="AB605" s="367"/>
      <c r="AC605" s="367"/>
      <c r="AD605" s="367"/>
      <c r="AE605" s="367"/>
      <c r="AF605" s="367"/>
    </row>
    <row r="606" ht="15.75" customHeight="1">
      <c r="A606" s="359"/>
      <c r="B606" s="361"/>
      <c r="C606" s="361"/>
      <c r="D606" s="361"/>
      <c r="E606" s="367"/>
      <c r="F606" s="367"/>
      <c r="G606" s="367"/>
      <c r="H606" s="367"/>
      <c r="I606" s="367"/>
      <c r="J606" s="367"/>
      <c r="K606" s="367"/>
      <c r="L606" s="367"/>
      <c r="M606" s="367"/>
      <c r="N606" s="367"/>
      <c r="O606" s="367"/>
      <c r="P606" s="367"/>
      <c r="Q606" s="367"/>
      <c r="R606" s="367"/>
      <c r="S606" s="367"/>
      <c r="T606" s="367"/>
      <c r="U606" s="367"/>
      <c r="V606" s="367"/>
      <c r="W606" s="367"/>
      <c r="X606" s="367"/>
      <c r="Y606" s="367"/>
      <c r="Z606" s="367"/>
      <c r="AA606" s="367"/>
      <c r="AB606" s="367"/>
      <c r="AC606" s="367"/>
      <c r="AD606" s="367"/>
      <c r="AE606" s="367"/>
      <c r="AF606" s="367"/>
    </row>
    <row r="607" ht="15.75" customHeight="1">
      <c r="A607" s="359"/>
      <c r="B607" s="361"/>
      <c r="C607" s="361"/>
      <c r="D607" s="361"/>
      <c r="E607" s="367"/>
      <c r="F607" s="367"/>
      <c r="G607" s="367"/>
      <c r="H607" s="367"/>
      <c r="I607" s="367"/>
      <c r="J607" s="367"/>
      <c r="K607" s="367"/>
      <c r="L607" s="367"/>
      <c r="M607" s="367"/>
      <c r="N607" s="367"/>
      <c r="O607" s="367"/>
      <c r="P607" s="367"/>
      <c r="Q607" s="367"/>
      <c r="R607" s="367"/>
      <c r="S607" s="367"/>
      <c r="T607" s="367"/>
      <c r="U607" s="367"/>
      <c r="V607" s="367"/>
      <c r="W607" s="367"/>
      <c r="X607" s="367"/>
      <c r="Y607" s="367"/>
      <c r="Z607" s="367"/>
      <c r="AA607" s="367"/>
      <c r="AB607" s="367"/>
      <c r="AC607" s="367"/>
      <c r="AD607" s="367"/>
      <c r="AE607" s="367"/>
      <c r="AF607" s="367"/>
    </row>
    <row r="608" ht="15.75" customHeight="1">
      <c r="A608" s="359"/>
      <c r="B608" s="361"/>
      <c r="C608" s="361"/>
      <c r="D608" s="361"/>
      <c r="E608" s="367"/>
      <c r="F608" s="367"/>
      <c r="G608" s="367"/>
      <c r="H608" s="367"/>
      <c r="I608" s="367"/>
      <c r="J608" s="367"/>
      <c r="K608" s="367"/>
      <c r="L608" s="367"/>
      <c r="M608" s="367"/>
      <c r="N608" s="367"/>
      <c r="O608" s="367"/>
      <c r="P608" s="367"/>
      <c r="Q608" s="367"/>
      <c r="R608" s="367"/>
      <c r="S608" s="367"/>
      <c r="T608" s="367"/>
      <c r="U608" s="367"/>
      <c r="V608" s="367"/>
      <c r="W608" s="367"/>
      <c r="X608" s="367"/>
      <c r="Y608" s="367"/>
      <c r="Z608" s="367"/>
      <c r="AA608" s="367"/>
      <c r="AB608" s="367"/>
      <c r="AC608" s="367"/>
      <c r="AD608" s="367"/>
      <c r="AE608" s="367"/>
      <c r="AF608" s="367"/>
    </row>
    <row r="609" ht="15.75" customHeight="1">
      <c r="A609" s="359"/>
      <c r="B609" s="361"/>
      <c r="C609" s="361"/>
      <c r="D609" s="361"/>
      <c r="E609" s="367"/>
      <c r="F609" s="367"/>
      <c r="G609" s="367"/>
      <c r="H609" s="367"/>
      <c r="I609" s="367"/>
      <c r="J609" s="367"/>
      <c r="K609" s="367"/>
      <c r="L609" s="367"/>
      <c r="M609" s="367"/>
      <c r="N609" s="367"/>
      <c r="O609" s="367"/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  <c r="Z609" s="367"/>
      <c r="AA609" s="367"/>
      <c r="AB609" s="367"/>
      <c r="AC609" s="367"/>
      <c r="AD609" s="367"/>
      <c r="AE609" s="367"/>
      <c r="AF609" s="367"/>
    </row>
    <row r="610" ht="15.75" customHeight="1">
      <c r="A610" s="359"/>
      <c r="B610" s="361"/>
      <c r="C610" s="361"/>
      <c r="D610" s="361"/>
      <c r="E610" s="367"/>
      <c r="F610" s="367"/>
      <c r="G610" s="367"/>
      <c r="H610" s="367"/>
      <c r="I610" s="367"/>
      <c r="J610" s="367"/>
      <c r="K610" s="367"/>
      <c r="L610" s="367"/>
      <c r="M610" s="367"/>
      <c r="N610" s="367"/>
      <c r="O610" s="367"/>
      <c r="P610" s="367"/>
      <c r="Q610" s="367"/>
      <c r="R610" s="367"/>
      <c r="S610" s="367"/>
      <c r="T610" s="367"/>
      <c r="U610" s="367"/>
      <c r="V610" s="367"/>
      <c r="W610" s="367"/>
      <c r="X610" s="367"/>
      <c r="Y610" s="367"/>
      <c r="Z610" s="367"/>
      <c r="AA610" s="367"/>
      <c r="AB610" s="367"/>
      <c r="AC610" s="367"/>
      <c r="AD610" s="367"/>
      <c r="AE610" s="367"/>
      <c r="AF610" s="367"/>
    </row>
    <row r="611" ht="15.75" customHeight="1">
      <c r="A611" s="359"/>
      <c r="B611" s="361"/>
      <c r="C611" s="361"/>
      <c r="D611" s="361"/>
      <c r="E611" s="367"/>
      <c r="F611" s="367"/>
      <c r="G611" s="367"/>
      <c r="H611" s="367"/>
      <c r="I611" s="367"/>
      <c r="J611" s="367"/>
      <c r="K611" s="367"/>
      <c r="L611" s="367"/>
      <c r="M611" s="367"/>
      <c r="N611" s="367"/>
      <c r="O611" s="367"/>
      <c r="P611" s="367"/>
      <c r="Q611" s="367"/>
      <c r="R611" s="367"/>
      <c r="S611" s="367"/>
      <c r="T611" s="367"/>
      <c r="U611" s="367"/>
      <c r="V611" s="367"/>
      <c r="W611" s="367"/>
      <c r="X611" s="367"/>
      <c r="Y611" s="367"/>
      <c r="Z611" s="367"/>
      <c r="AA611" s="367"/>
      <c r="AB611" s="367"/>
      <c r="AC611" s="367"/>
      <c r="AD611" s="367"/>
      <c r="AE611" s="367"/>
      <c r="AF611" s="367"/>
    </row>
    <row r="612" ht="15.75" customHeight="1">
      <c r="A612" s="359"/>
      <c r="B612" s="361"/>
      <c r="C612" s="361"/>
      <c r="D612" s="361"/>
      <c r="E612" s="367"/>
      <c r="F612" s="367"/>
      <c r="G612" s="367"/>
      <c r="H612" s="367"/>
      <c r="I612" s="367"/>
      <c r="J612" s="367"/>
      <c r="K612" s="367"/>
      <c r="L612" s="367"/>
      <c r="M612" s="367"/>
      <c r="N612" s="367"/>
      <c r="O612" s="367"/>
      <c r="P612" s="367"/>
      <c r="Q612" s="367"/>
      <c r="R612" s="367"/>
      <c r="S612" s="367"/>
      <c r="T612" s="367"/>
      <c r="U612" s="367"/>
      <c r="V612" s="367"/>
      <c r="W612" s="367"/>
      <c r="X612" s="367"/>
      <c r="Y612" s="367"/>
      <c r="Z612" s="367"/>
      <c r="AA612" s="367"/>
      <c r="AB612" s="367"/>
      <c r="AC612" s="367"/>
      <c r="AD612" s="367"/>
      <c r="AE612" s="367"/>
      <c r="AF612" s="367"/>
    </row>
    <row r="613" ht="15.75" customHeight="1">
      <c r="A613" s="359"/>
      <c r="B613" s="361"/>
      <c r="C613" s="361"/>
      <c r="D613" s="361"/>
      <c r="E613" s="367"/>
      <c r="F613" s="367"/>
      <c r="G613" s="367"/>
      <c r="H613" s="367"/>
      <c r="I613" s="367"/>
      <c r="J613" s="367"/>
      <c r="K613" s="367"/>
      <c r="L613" s="367"/>
      <c r="M613" s="367"/>
      <c r="N613" s="367"/>
      <c r="O613" s="367"/>
      <c r="P613" s="367"/>
      <c r="Q613" s="367"/>
      <c r="R613" s="367"/>
      <c r="S613" s="367"/>
      <c r="T613" s="367"/>
      <c r="U613" s="367"/>
      <c r="V613" s="367"/>
      <c r="W613" s="367"/>
      <c r="X613" s="367"/>
      <c r="Y613" s="367"/>
      <c r="Z613" s="367"/>
      <c r="AA613" s="367"/>
      <c r="AB613" s="367"/>
      <c r="AC613" s="367"/>
      <c r="AD613" s="367"/>
      <c r="AE613" s="367"/>
      <c r="AF613" s="367"/>
    </row>
    <row r="614" ht="15.75" customHeight="1">
      <c r="A614" s="359"/>
      <c r="B614" s="361"/>
      <c r="C614" s="361"/>
      <c r="D614" s="361"/>
      <c r="E614" s="367"/>
      <c r="F614" s="367"/>
      <c r="G614" s="367"/>
      <c r="H614" s="367"/>
      <c r="I614" s="367"/>
      <c r="J614" s="367"/>
      <c r="K614" s="367"/>
      <c r="L614" s="367"/>
      <c r="M614" s="367"/>
      <c r="N614" s="367"/>
      <c r="O614" s="367"/>
      <c r="P614" s="367"/>
      <c r="Q614" s="367"/>
      <c r="R614" s="367"/>
      <c r="S614" s="367"/>
      <c r="T614" s="367"/>
      <c r="U614" s="367"/>
      <c r="V614" s="367"/>
      <c r="W614" s="367"/>
      <c r="X614" s="367"/>
      <c r="Y614" s="367"/>
      <c r="Z614" s="367"/>
      <c r="AA614" s="367"/>
      <c r="AB614" s="367"/>
      <c r="AC614" s="367"/>
      <c r="AD614" s="367"/>
      <c r="AE614" s="367"/>
      <c r="AF614" s="367"/>
    </row>
    <row r="615" ht="15.75" customHeight="1">
      <c r="A615" s="359"/>
      <c r="B615" s="361"/>
      <c r="C615" s="361"/>
      <c r="D615" s="361"/>
      <c r="E615" s="367"/>
      <c r="F615" s="367"/>
      <c r="G615" s="367"/>
      <c r="H615" s="367"/>
      <c r="I615" s="367"/>
      <c r="J615" s="367"/>
      <c r="K615" s="367"/>
      <c r="L615" s="367"/>
      <c r="M615" s="367"/>
      <c r="N615" s="367"/>
      <c r="O615" s="367"/>
      <c r="P615" s="367"/>
      <c r="Q615" s="367"/>
      <c r="R615" s="367"/>
      <c r="S615" s="367"/>
      <c r="T615" s="367"/>
      <c r="U615" s="367"/>
      <c r="V615" s="367"/>
      <c r="W615" s="367"/>
      <c r="X615" s="367"/>
      <c r="Y615" s="367"/>
      <c r="Z615" s="367"/>
      <c r="AA615" s="367"/>
      <c r="AB615" s="367"/>
      <c r="AC615" s="367"/>
      <c r="AD615" s="367"/>
      <c r="AE615" s="367"/>
      <c r="AF615" s="367"/>
    </row>
    <row r="616" ht="15.75" customHeight="1">
      <c r="A616" s="359"/>
      <c r="B616" s="361"/>
      <c r="C616" s="361"/>
      <c r="D616" s="361"/>
      <c r="E616" s="367"/>
      <c r="F616" s="367"/>
      <c r="G616" s="367"/>
      <c r="H616" s="367"/>
      <c r="I616" s="367"/>
      <c r="J616" s="367"/>
      <c r="K616" s="367"/>
      <c r="L616" s="367"/>
      <c r="M616" s="367"/>
      <c r="N616" s="367"/>
      <c r="O616" s="367"/>
      <c r="P616" s="367"/>
      <c r="Q616" s="367"/>
      <c r="R616" s="367"/>
      <c r="S616" s="367"/>
      <c r="T616" s="367"/>
      <c r="U616" s="367"/>
      <c r="V616" s="367"/>
      <c r="W616" s="367"/>
      <c r="X616" s="367"/>
      <c r="Y616" s="367"/>
      <c r="Z616" s="367"/>
      <c r="AA616" s="367"/>
      <c r="AB616" s="367"/>
      <c r="AC616" s="367"/>
      <c r="AD616" s="367"/>
      <c r="AE616" s="367"/>
      <c r="AF616" s="367"/>
    </row>
    <row r="617" ht="15.75" customHeight="1">
      <c r="A617" s="359"/>
      <c r="B617" s="361"/>
      <c r="C617" s="361"/>
      <c r="D617" s="361"/>
      <c r="E617" s="367"/>
      <c r="F617" s="367"/>
      <c r="G617" s="367"/>
      <c r="H617" s="367"/>
      <c r="I617" s="367"/>
      <c r="J617" s="367"/>
      <c r="K617" s="367"/>
      <c r="L617" s="367"/>
      <c r="M617" s="367"/>
      <c r="N617" s="367"/>
      <c r="O617" s="367"/>
      <c r="P617" s="367"/>
      <c r="Q617" s="367"/>
      <c r="R617" s="367"/>
      <c r="S617" s="367"/>
      <c r="T617" s="367"/>
      <c r="U617" s="367"/>
      <c r="V617" s="367"/>
      <c r="W617" s="367"/>
      <c r="X617" s="367"/>
      <c r="Y617" s="367"/>
      <c r="Z617" s="367"/>
      <c r="AA617" s="367"/>
      <c r="AB617" s="367"/>
      <c r="AC617" s="367"/>
      <c r="AD617" s="367"/>
      <c r="AE617" s="367"/>
      <c r="AF617" s="367"/>
    </row>
    <row r="618" ht="15.75" customHeight="1">
      <c r="A618" s="359"/>
      <c r="B618" s="361"/>
      <c r="C618" s="361"/>
      <c r="D618" s="361"/>
      <c r="E618" s="367"/>
      <c r="F618" s="367"/>
      <c r="G618" s="367"/>
      <c r="H618" s="367"/>
      <c r="I618" s="367"/>
      <c r="J618" s="367"/>
      <c r="K618" s="367"/>
      <c r="L618" s="367"/>
      <c r="M618" s="367"/>
      <c r="N618" s="367"/>
      <c r="O618" s="367"/>
      <c r="P618" s="367"/>
      <c r="Q618" s="367"/>
      <c r="R618" s="367"/>
      <c r="S618" s="367"/>
      <c r="T618" s="367"/>
      <c r="U618" s="367"/>
      <c r="V618" s="367"/>
      <c r="W618" s="367"/>
      <c r="X618" s="367"/>
      <c r="Y618" s="367"/>
      <c r="Z618" s="367"/>
      <c r="AA618" s="367"/>
      <c r="AB618" s="367"/>
      <c r="AC618" s="367"/>
      <c r="AD618" s="367"/>
      <c r="AE618" s="367"/>
      <c r="AF618" s="367"/>
    </row>
    <row r="619" ht="15.75" customHeight="1">
      <c r="A619" s="359"/>
      <c r="B619" s="361"/>
      <c r="C619" s="361"/>
      <c r="D619" s="361"/>
      <c r="E619" s="367"/>
      <c r="F619" s="367"/>
      <c r="G619" s="367"/>
      <c r="H619" s="367"/>
      <c r="I619" s="367"/>
      <c r="J619" s="367"/>
      <c r="K619" s="367"/>
      <c r="L619" s="367"/>
      <c r="M619" s="367"/>
      <c r="N619" s="367"/>
      <c r="O619" s="367"/>
      <c r="P619" s="367"/>
      <c r="Q619" s="367"/>
      <c r="R619" s="367"/>
      <c r="S619" s="367"/>
      <c r="T619" s="367"/>
      <c r="U619" s="367"/>
      <c r="V619" s="367"/>
      <c r="W619" s="367"/>
      <c r="X619" s="367"/>
      <c r="Y619" s="367"/>
      <c r="Z619" s="367"/>
      <c r="AA619" s="367"/>
      <c r="AB619" s="367"/>
      <c r="AC619" s="367"/>
      <c r="AD619" s="367"/>
      <c r="AE619" s="367"/>
      <c r="AF619" s="367"/>
    </row>
    <row r="620" ht="15.75" customHeight="1">
      <c r="A620" s="359"/>
      <c r="B620" s="361"/>
      <c r="C620" s="361"/>
      <c r="D620" s="361"/>
      <c r="E620" s="367"/>
      <c r="F620" s="367"/>
      <c r="G620" s="367"/>
      <c r="H620" s="367"/>
      <c r="I620" s="367"/>
      <c r="J620" s="367"/>
      <c r="K620" s="367"/>
      <c r="L620" s="367"/>
      <c r="M620" s="367"/>
      <c r="N620" s="367"/>
      <c r="O620" s="367"/>
      <c r="P620" s="367"/>
      <c r="Q620" s="367"/>
      <c r="R620" s="367"/>
      <c r="S620" s="367"/>
      <c r="T620" s="367"/>
      <c r="U620" s="367"/>
      <c r="V620" s="367"/>
      <c r="W620" s="367"/>
      <c r="X620" s="367"/>
      <c r="Y620" s="367"/>
      <c r="Z620" s="367"/>
      <c r="AA620" s="367"/>
      <c r="AB620" s="367"/>
      <c r="AC620" s="367"/>
      <c r="AD620" s="367"/>
      <c r="AE620" s="367"/>
      <c r="AF620" s="367"/>
    </row>
    <row r="621" ht="15.75" customHeight="1">
      <c r="A621" s="359"/>
      <c r="B621" s="361"/>
      <c r="C621" s="361"/>
      <c r="D621" s="361"/>
      <c r="E621" s="367"/>
      <c r="F621" s="367"/>
      <c r="G621" s="367"/>
      <c r="H621" s="367"/>
      <c r="I621" s="367"/>
      <c r="J621" s="367"/>
      <c r="K621" s="367"/>
      <c r="L621" s="367"/>
      <c r="M621" s="367"/>
      <c r="N621" s="367"/>
      <c r="O621" s="367"/>
      <c r="P621" s="367"/>
      <c r="Q621" s="367"/>
      <c r="R621" s="367"/>
      <c r="S621" s="367"/>
      <c r="T621" s="367"/>
      <c r="U621" s="367"/>
      <c r="V621" s="367"/>
      <c r="W621" s="367"/>
      <c r="X621" s="367"/>
      <c r="Y621" s="367"/>
      <c r="Z621" s="367"/>
      <c r="AA621" s="367"/>
      <c r="AB621" s="367"/>
      <c r="AC621" s="367"/>
      <c r="AD621" s="367"/>
      <c r="AE621" s="367"/>
      <c r="AF621" s="367"/>
    </row>
    <row r="622" ht="15.75" customHeight="1">
      <c r="A622" s="359"/>
      <c r="B622" s="361"/>
      <c r="C622" s="361"/>
      <c r="D622" s="361"/>
      <c r="E622" s="367"/>
      <c r="F622" s="367"/>
      <c r="G622" s="367"/>
      <c r="H622" s="367"/>
      <c r="I622" s="367"/>
      <c r="J622" s="367"/>
      <c r="K622" s="367"/>
      <c r="L622" s="367"/>
      <c r="M622" s="367"/>
      <c r="N622" s="367"/>
      <c r="O622" s="367"/>
      <c r="P622" s="367"/>
      <c r="Q622" s="367"/>
      <c r="R622" s="367"/>
      <c r="S622" s="367"/>
      <c r="T622" s="367"/>
      <c r="U622" s="367"/>
      <c r="V622" s="367"/>
      <c r="W622" s="367"/>
      <c r="X622" s="367"/>
      <c r="Y622" s="367"/>
      <c r="Z622" s="367"/>
      <c r="AA622" s="367"/>
      <c r="AB622" s="367"/>
      <c r="AC622" s="367"/>
      <c r="AD622" s="367"/>
      <c r="AE622" s="367"/>
      <c r="AF622" s="367"/>
    </row>
    <row r="623" ht="15.75" customHeight="1">
      <c r="A623" s="359"/>
      <c r="B623" s="361"/>
      <c r="C623" s="361"/>
      <c r="D623" s="361"/>
      <c r="E623" s="367"/>
      <c r="F623" s="367"/>
      <c r="G623" s="367"/>
      <c r="H623" s="367"/>
      <c r="I623" s="367"/>
      <c r="J623" s="367"/>
      <c r="K623" s="367"/>
      <c r="L623" s="367"/>
      <c r="M623" s="367"/>
      <c r="N623" s="367"/>
      <c r="O623" s="367"/>
      <c r="P623" s="367"/>
      <c r="Q623" s="367"/>
      <c r="R623" s="367"/>
      <c r="S623" s="367"/>
      <c r="T623" s="367"/>
      <c r="U623" s="367"/>
      <c r="V623" s="367"/>
      <c r="W623" s="367"/>
      <c r="X623" s="367"/>
      <c r="Y623" s="367"/>
      <c r="Z623" s="367"/>
      <c r="AA623" s="367"/>
      <c r="AB623" s="367"/>
      <c r="AC623" s="367"/>
      <c r="AD623" s="367"/>
      <c r="AE623" s="367"/>
      <c r="AF623" s="367"/>
    </row>
    <row r="624" ht="15.75" customHeight="1">
      <c r="A624" s="359"/>
      <c r="B624" s="361"/>
      <c r="C624" s="361"/>
      <c r="D624" s="361"/>
      <c r="E624" s="367"/>
      <c r="F624" s="367"/>
      <c r="G624" s="367"/>
      <c r="H624" s="367"/>
      <c r="I624" s="367"/>
      <c r="J624" s="367"/>
      <c r="K624" s="367"/>
      <c r="L624" s="367"/>
      <c r="M624" s="367"/>
      <c r="N624" s="367"/>
      <c r="O624" s="367"/>
      <c r="P624" s="367"/>
      <c r="Q624" s="367"/>
      <c r="R624" s="367"/>
      <c r="S624" s="367"/>
      <c r="T624" s="367"/>
      <c r="U624" s="367"/>
      <c r="V624" s="367"/>
      <c r="W624" s="367"/>
      <c r="X624" s="367"/>
      <c r="Y624" s="367"/>
      <c r="Z624" s="367"/>
      <c r="AA624" s="367"/>
      <c r="AB624" s="367"/>
      <c r="AC624" s="367"/>
      <c r="AD624" s="367"/>
      <c r="AE624" s="367"/>
      <c r="AF624" s="367"/>
    </row>
    <row r="625" ht="15.75" customHeight="1">
      <c r="A625" s="359"/>
      <c r="B625" s="361"/>
      <c r="C625" s="361"/>
      <c r="D625" s="361"/>
      <c r="E625" s="367"/>
      <c r="F625" s="367"/>
      <c r="G625" s="367"/>
      <c r="H625" s="367"/>
      <c r="I625" s="367"/>
      <c r="J625" s="367"/>
      <c r="K625" s="367"/>
      <c r="L625" s="367"/>
      <c r="M625" s="367"/>
      <c r="N625" s="367"/>
      <c r="O625" s="367"/>
      <c r="P625" s="367"/>
      <c r="Q625" s="367"/>
      <c r="R625" s="367"/>
      <c r="S625" s="367"/>
      <c r="T625" s="367"/>
      <c r="U625" s="367"/>
      <c r="V625" s="367"/>
      <c r="W625" s="367"/>
      <c r="X625" s="367"/>
      <c r="Y625" s="367"/>
      <c r="Z625" s="367"/>
      <c r="AA625" s="367"/>
      <c r="AB625" s="367"/>
      <c r="AC625" s="367"/>
      <c r="AD625" s="367"/>
      <c r="AE625" s="367"/>
      <c r="AF625" s="367"/>
    </row>
    <row r="626" ht="15.75" customHeight="1">
      <c r="A626" s="359"/>
      <c r="B626" s="361"/>
      <c r="C626" s="361"/>
      <c r="D626" s="361"/>
      <c r="E626" s="367"/>
      <c r="F626" s="367"/>
      <c r="G626" s="367"/>
      <c r="H626" s="367"/>
      <c r="I626" s="367"/>
      <c r="J626" s="367"/>
      <c r="K626" s="367"/>
      <c r="L626" s="367"/>
      <c r="M626" s="367"/>
      <c r="N626" s="367"/>
      <c r="O626" s="367"/>
      <c r="P626" s="367"/>
      <c r="Q626" s="367"/>
      <c r="R626" s="367"/>
      <c r="S626" s="367"/>
      <c r="T626" s="367"/>
      <c r="U626" s="367"/>
      <c r="V626" s="367"/>
      <c r="W626" s="367"/>
      <c r="X626" s="367"/>
      <c r="Y626" s="367"/>
      <c r="Z626" s="367"/>
      <c r="AA626" s="367"/>
      <c r="AB626" s="367"/>
      <c r="AC626" s="367"/>
      <c r="AD626" s="367"/>
      <c r="AE626" s="367"/>
      <c r="AF626" s="367"/>
    </row>
    <row r="627" ht="15.75" customHeight="1">
      <c r="A627" s="359"/>
      <c r="B627" s="361"/>
      <c r="C627" s="361"/>
      <c r="D627" s="361"/>
      <c r="E627" s="367"/>
      <c r="F627" s="367"/>
      <c r="G627" s="367"/>
      <c r="H627" s="367"/>
      <c r="I627" s="367"/>
      <c r="J627" s="367"/>
      <c r="K627" s="367"/>
      <c r="L627" s="367"/>
      <c r="M627" s="367"/>
      <c r="N627" s="367"/>
      <c r="O627" s="367"/>
      <c r="P627" s="367"/>
      <c r="Q627" s="367"/>
      <c r="R627" s="367"/>
      <c r="S627" s="367"/>
      <c r="T627" s="367"/>
      <c r="U627" s="367"/>
      <c r="V627" s="367"/>
      <c r="W627" s="367"/>
      <c r="X627" s="367"/>
      <c r="Y627" s="367"/>
      <c r="Z627" s="367"/>
      <c r="AA627" s="367"/>
      <c r="AB627" s="367"/>
      <c r="AC627" s="367"/>
      <c r="AD627" s="367"/>
      <c r="AE627" s="367"/>
      <c r="AF627" s="367"/>
    </row>
    <row r="628" ht="15.75" customHeight="1">
      <c r="A628" s="359"/>
      <c r="B628" s="361"/>
      <c r="C628" s="361"/>
      <c r="D628" s="361"/>
      <c r="E628" s="367"/>
      <c r="F628" s="367"/>
      <c r="G628" s="367"/>
      <c r="H628" s="367"/>
      <c r="I628" s="367"/>
      <c r="J628" s="367"/>
      <c r="K628" s="367"/>
      <c r="L628" s="367"/>
      <c r="M628" s="367"/>
      <c r="N628" s="367"/>
      <c r="O628" s="367"/>
      <c r="P628" s="367"/>
      <c r="Q628" s="367"/>
      <c r="R628" s="367"/>
      <c r="S628" s="367"/>
      <c r="T628" s="367"/>
      <c r="U628" s="367"/>
      <c r="V628" s="367"/>
      <c r="W628" s="367"/>
      <c r="X628" s="367"/>
      <c r="Y628" s="367"/>
      <c r="Z628" s="367"/>
      <c r="AA628" s="367"/>
      <c r="AB628" s="367"/>
      <c r="AC628" s="367"/>
      <c r="AD628" s="367"/>
      <c r="AE628" s="367"/>
      <c r="AF628" s="367"/>
    </row>
    <row r="629" ht="15.75" customHeight="1">
      <c r="A629" s="359"/>
      <c r="B629" s="361"/>
      <c r="C629" s="361"/>
      <c r="D629" s="361"/>
      <c r="E629" s="367"/>
      <c r="F629" s="367"/>
      <c r="G629" s="367"/>
      <c r="H629" s="367"/>
      <c r="I629" s="367"/>
      <c r="J629" s="367"/>
      <c r="K629" s="367"/>
      <c r="L629" s="367"/>
      <c r="M629" s="367"/>
      <c r="N629" s="367"/>
      <c r="O629" s="367"/>
      <c r="P629" s="367"/>
      <c r="Q629" s="367"/>
      <c r="R629" s="367"/>
      <c r="S629" s="367"/>
      <c r="T629" s="367"/>
      <c r="U629" s="367"/>
      <c r="V629" s="367"/>
      <c r="W629" s="367"/>
      <c r="X629" s="367"/>
      <c r="Y629" s="367"/>
      <c r="Z629" s="367"/>
      <c r="AA629" s="367"/>
      <c r="AB629" s="367"/>
      <c r="AC629" s="367"/>
      <c r="AD629" s="367"/>
      <c r="AE629" s="367"/>
      <c r="AF629" s="367"/>
    </row>
    <row r="630" ht="15.75" customHeight="1">
      <c r="A630" s="359"/>
      <c r="B630" s="361"/>
      <c r="C630" s="361"/>
      <c r="D630" s="361"/>
      <c r="E630" s="367"/>
      <c r="F630" s="367"/>
      <c r="G630" s="367"/>
      <c r="H630" s="367"/>
      <c r="I630" s="367"/>
      <c r="J630" s="367"/>
      <c r="K630" s="367"/>
      <c r="L630" s="367"/>
      <c r="M630" s="367"/>
      <c r="N630" s="367"/>
      <c r="O630" s="367"/>
      <c r="P630" s="367"/>
      <c r="Q630" s="367"/>
      <c r="R630" s="367"/>
      <c r="S630" s="367"/>
      <c r="T630" s="367"/>
      <c r="U630" s="367"/>
      <c r="V630" s="367"/>
      <c r="W630" s="367"/>
      <c r="X630" s="367"/>
      <c r="Y630" s="367"/>
      <c r="Z630" s="367"/>
      <c r="AA630" s="367"/>
      <c r="AB630" s="367"/>
      <c r="AC630" s="367"/>
      <c r="AD630" s="367"/>
      <c r="AE630" s="367"/>
      <c r="AF630" s="367"/>
    </row>
    <row r="631" ht="15.75" customHeight="1">
      <c r="A631" s="359"/>
      <c r="B631" s="361"/>
      <c r="C631" s="361"/>
      <c r="D631" s="361"/>
      <c r="E631" s="367"/>
      <c r="F631" s="367"/>
      <c r="G631" s="367"/>
      <c r="H631" s="367"/>
      <c r="I631" s="367"/>
      <c r="J631" s="367"/>
      <c r="K631" s="367"/>
      <c r="L631" s="367"/>
      <c r="M631" s="367"/>
      <c r="N631" s="367"/>
      <c r="O631" s="367"/>
      <c r="P631" s="367"/>
      <c r="Q631" s="367"/>
      <c r="R631" s="367"/>
      <c r="S631" s="367"/>
      <c r="T631" s="367"/>
      <c r="U631" s="367"/>
      <c r="V631" s="367"/>
      <c r="W631" s="367"/>
      <c r="X631" s="367"/>
      <c r="Y631" s="367"/>
      <c r="Z631" s="367"/>
      <c r="AA631" s="367"/>
      <c r="AB631" s="367"/>
      <c r="AC631" s="367"/>
      <c r="AD631" s="367"/>
      <c r="AE631" s="367"/>
      <c r="AF631" s="367"/>
    </row>
    <row r="632" ht="15.75" customHeight="1">
      <c r="A632" s="359"/>
      <c r="B632" s="361"/>
      <c r="C632" s="361"/>
      <c r="D632" s="361"/>
      <c r="E632" s="367"/>
      <c r="F632" s="367"/>
      <c r="G632" s="367"/>
      <c r="H632" s="367"/>
      <c r="I632" s="367"/>
      <c r="J632" s="367"/>
      <c r="K632" s="367"/>
      <c r="L632" s="367"/>
      <c r="M632" s="367"/>
      <c r="N632" s="367"/>
      <c r="O632" s="367"/>
      <c r="P632" s="367"/>
      <c r="Q632" s="367"/>
      <c r="R632" s="367"/>
      <c r="S632" s="367"/>
      <c r="T632" s="367"/>
      <c r="U632" s="367"/>
      <c r="V632" s="367"/>
      <c r="W632" s="367"/>
      <c r="X632" s="367"/>
      <c r="Y632" s="367"/>
      <c r="Z632" s="367"/>
      <c r="AA632" s="367"/>
      <c r="AB632" s="367"/>
      <c r="AC632" s="367"/>
      <c r="AD632" s="367"/>
      <c r="AE632" s="367"/>
      <c r="AF632" s="367"/>
    </row>
    <row r="633" ht="15.75" customHeight="1">
      <c r="A633" s="359"/>
      <c r="B633" s="361"/>
      <c r="C633" s="361"/>
      <c r="D633" s="361"/>
      <c r="E633" s="367"/>
      <c r="F633" s="367"/>
      <c r="G633" s="367"/>
      <c r="H633" s="367"/>
      <c r="I633" s="367"/>
      <c r="J633" s="367"/>
      <c r="K633" s="367"/>
      <c r="L633" s="367"/>
      <c r="M633" s="367"/>
      <c r="N633" s="367"/>
      <c r="O633" s="367"/>
      <c r="P633" s="367"/>
      <c r="Q633" s="367"/>
      <c r="R633" s="367"/>
      <c r="S633" s="367"/>
      <c r="T633" s="367"/>
      <c r="U633" s="367"/>
      <c r="V633" s="367"/>
      <c r="W633" s="367"/>
      <c r="X633" s="367"/>
      <c r="Y633" s="367"/>
      <c r="Z633" s="367"/>
      <c r="AA633" s="367"/>
      <c r="AB633" s="367"/>
      <c r="AC633" s="367"/>
      <c r="AD633" s="367"/>
      <c r="AE633" s="367"/>
      <c r="AF633" s="367"/>
    </row>
    <row r="634" ht="15.75" customHeight="1">
      <c r="A634" s="359"/>
      <c r="B634" s="361"/>
      <c r="C634" s="361"/>
      <c r="D634" s="361"/>
      <c r="E634" s="367"/>
      <c r="F634" s="367"/>
      <c r="G634" s="367"/>
      <c r="H634" s="367"/>
      <c r="I634" s="367"/>
      <c r="J634" s="367"/>
      <c r="K634" s="367"/>
      <c r="L634" s="367"/>
      <c r="M634" s="367"/>
      <c r="N634" s="367"/>
      <c r="O634" s="367"/>
      <c r="P634" s="367"/>
      <c r="Q634" s="367"/>
      <c r="R634" s="367"/>
      <c r="S634" s="367"/>
      <c r="T634" s="367"/>
      <c r="U634" s="367"/>
      <c r="V634" s="367"/>
      <c r="W634" s="367"/>
      <c r="X634" s="367"/>
      <c r="Y634" s="367"/>
      <c r="Z634" s="367"/>
      <c r="AA634" s="367"/>
      <c r="AB634" s="367"/>
      <c r="AC634" s="367"/>
      <c r="AD634" s="367"/>
      <c r="AE634" s="367"/>
      <c r="AF634" s="367"/>
    </row>
    <row r="635" ht="15.75" customHeight="1">
      <c r="A635" s="359"/>
      <c r="B635" s="361"/>
      <c r="C635" s="361"/>
      <c r="D635" s="361"/>
      <c r="E635" s="367"/>
      <c r="F635" s="367"/>
      <c r="G635" s="367"/>
      <c r="H635" s="367"/>
      <c r="I635" s="367"/>
      <c r="J635" s="367"/>
      <c r="K635" s="367"/>
      <c r="L635" s="367"/>
      <c r="M635" s="367"/>
      <c r="N635" s="367"/>
      <c r="O635" s="367"/>
      <c r="P635" s="367"/>
      <c r="Q635" s="367"/>
      <c r="R635" s="367"/>
      <c r="S635" s="367"/>
      <c r="T635" s="367"/>
      <c r="U635" s="367"/>
      <c r="V635" s="367"/>
      <c r="W635" s="367"/>
      <c r="X635" s="367"/>
      <c r="Y635" s="367"/>
      <c r="Z635" s="367"/>
      <c r="AA635" s="367"/>
      <c r="AB635" s="367"/>
      <c r="AC635" s="367"/>
      <c r="AD635" s="367"/>
      <c r="AE635" s="367"/>
      <c r="AF635" s="367"/>
    </row>
    <row r="636" ht="15.75" customHeight="1">
      <c r="A636" s="359"/>
      <c r="B636" s="361"/>
      <c r="C636" s="361"/>
      <c r="D636" s="361"/>
      <c r="E636" s="367"/>
      <c r="F636" s="367"/>
      <c r="G636" s="367"/>
      <c r="H636" s="367"/>
      <c r="I636" s="367"/>
      <c r="J636" s="367"/>
      <c r="K636" s="367"/>
      <c r="L636" s="367"/>
      <c r="M636" s="367"/>
      <c r="N636" s="367"/>
      <c r="O636" s="367"/>
      <c r="P636" s="367"/>
      <c r="Q636" s="367"/>
      <c r="R636" s="367"/>
      <c r="S636" s="367"/>
      <c r="T636" s="367"/>
      <c r="U636" s="367"/>
      <c r="V636" s="367"/>
      <c r="W636" s="367"/>
      <c r="X636" s="367"/>
      <c r="Y636" s="367"/>
      <c r="Z636" s="367"/>
      <c r="AA636" s="367"/>
      <c r="AB636" s="367"/>
      <c r="AC636" s="367"/>
      <c r="AD636" s="367"/>
      <c r="AE636" s="367"/>
      <c r="AF636" s="367"/>
    </row>
    <row r="637" ht="15.75" customHeight="1">
      <c r="A637" s="359"/>
      <c r="B637" s="361"/>
      <c r="C637" s="361"/>
      <c r="D637" s="361"/>
      <c r="E637" s="367"/>
      <c r="F637" s="367"/>
      <c r="G637" s="367"/>
      <c r="H637" s="367"/>
      <c r="I637" s="367"/>
      <c r="J637" s="367"/>
      <c r="K637" s="367"/>
      <c r="L637" s="367"/>
      <c r="M637" s="367"/>
      <c r="N637" s="367"/>
      <c r="O637" s="367"/>
      <c r="P637" s="367"/>
      <c r="Q637" s="367"/>
      <c r="R637" s="367"/>
      <c r="S637" s="367"/>
      <c r="T637" s="367"/>
      <c r="U637" s="367"/>
      <c r="V637" s="367"/>
      <c r="W637" s="367"/>
      <c r="X637" s="367"/>
      <c r="Y637" s="367"/>
      <c r="Z637" s="367"/>
      <c r="AA637" s="367"/>
      <c r="AB637" s="367"/>
      <c r="AC637" s="367"/>
      <c r="AD637" s="367"/>
      <c r="AE637" s="367"/>
      <c r="AF637" s="367"/>
    </row>
    <row r="638" ht="15.75" customHeight="1">
      <c r="A638" s="359"/>
      <c r="B638" s="361"/>
      <c r="C638" s="361"/>
      <c r="D638" s="361"/>
      <c r="E638" s="367"/>
      <c r="F638" s="367"/>
      <c r="G638" s="367"/>
      <c r="H638" s="367"/>
      <c r="I638" s="367"/>
      <c r="J638" s="367"/>
      <c r="K638" s="367"/>
      <c r="L638" s="367"/>
      <c r="M638" s="367"/>
      <c r="N638" s="367"/>
      <c r="O638" s="367"/>
      <c r="P638" s="367"/>
      <c r="Q638" s="367"/>
      <c r="R638" s="367"/>
      <c r="S638" s="367"/>
      <c r="T638" s="367"/>
      <c r="U638" s="367"/>
      <c r="V638" s="367"/>
      <c r="W638" s="367"/>
      <c r="X638" s="367"/>
      <c r="Y638" s="367"/>
      <c r="Z638" s="367"/>
      <c r="AA638" s="367"/>
      <c r="AB638" s="367"/>
      <c r="AC638" s="367"/>
      <c r="AD638" s="367"/>
      <c r="AE638" s="367"/>
      <c r="AF638" s="367"/>
    </row>
    <row r="639" ht="15.75" customHeight="1">
      <c r="A639" s="359"/>
      <c r="B639" s="361"/>
      <c r="C639" s="361"/>
      <c r="D639" s="361"/>
      <c r="E639" s="367"/>
      <c r="F639" s="367"/>
      <c r="G639" s="367"/>
      <c r="H639" s="367"/>
      <c r="I639" s="367"/>
      <c r="J639" s="367"/>
      <c r="K639" s="367"/>
      <c r="L639" s="367"/>
      <c r="M639" s="367"/>
      <c r="N639" s="367"/>
      <c r="O639" s="367"/>
      <c r="P639" s="367"/>
      <c r="Q639" s="367"/>
      <c r="R639" s="367"/>
      <c r="S639" s="367"/>
      <c r="T639" s="367"/>
      <c r="U639" s="367"/>
      <c r="V639" s="367"/>
      <c r="W639" s="367"/>
      <c r="X639" s="367"/>
      <c r="Y639" s="367"/>
      <c r="Z639" s="367"/>
      <c r="AA639" s="367"/>
      <c r="AB639" s="367"/>
      <c r="AC639" s="367"/>
      <c r="AD639" s="367"/>
      <c r="AE639" s="367"/>
      <c r="AF639" s="367"/>
    </row>
    <row r="640" ht="15.75" customHeight="1">
      <c r="A640" s="359"/>
      <c r="B640" s="361"/>
      <c r="C640" s="361"/>
      <c r="D640" s="361"/>
      <c r="E640" s="367"/>
      <c r="F640" s="367"/>
      <c r="G640" s="367"/>
      <c r="H640" s="367"/>
      <c r="I640" s="367"/>
      <c r="J640" s="367"/>
      <c r="K640" s="367"/>
      <c r="L640" s="367"/>
      <c r="M640" s="367"/>
      <c r="N640" s="367"/>
      <c r="O640" s="367"/>
      <c r="P640" s="367"/>
      <c r="Q640" s="367"/>
      <c r="R640" s="367"/>
      <c r="S640" s="367"/>
      <c r="T640" s="367"/>
      <c r="U640" s="367"/>
      <c r="V640" s="367"/>
      <c r="W640" s="367"/>
      <c r="X640" s="367"/>
      <c r="Y640" s="367"/>
      <c r="Z640" s="367"/>
      <c r="AA640" s="367"/>
      <c r="AB640" s="367"/>
      <c r="AC640" s="367"/>
      <c r="AD640" s="367"/>
      <c r="AE640" s="367"/>
      <c r="AF640" s="367"/>
    </row>
    <row r="641" ht="15.75" customHeight="1">
      <c r="A641" s="359"/>
      <c r="B641" s="361"/>
      <c r="C641" s="361"/>
      <c r="D641" s="361"/>
      <c r="E641" s="367"/>
      <c r="F641" s="367"/>
      <c r="G641" s="367"/>
      <c r="H641" s="367"/>
      <c r="I641" s="367"/>
      <c r="J641" s="367"/>
      <c r="K641" s="367"/>
      <c r="L641" s="367"/>
      <c r="M641" s="367"/>
      <c r="N641" s="367"/>
      <c r="O641" s="367"/>
      <c r="P641" s="367"/>
      <c r="Q641" s="367"/>
      <c r="R641" s="367"/>
      <c r="S641" s="367"/>
      <c r="T641" s="367"/>
      <c r="U641" s="367"/>
      <c r="V641" s="367"/>
      <c r="W641" s="367"/>
      <c r="X641" s="367"/>
      <c r="Y641" s="367"/>
      <c r="Z641" s="367"/>
      <c r="AA641" s="367"/>
      <c r="AB641" s="367"/>
      <c r="AC641" s="367"/>
      <c r="AD641" s="367"/>
      <c r="AE641" s="367"/>
      <c r="AF641" s="367"/>
    </row>
    <row r="642" ht="15.75" customHeight="1">
      <c r="A642" s="359"/>
      <c r="B642" s="361"/>
      <c r="C642" s="361"/>
      <c r="D642" s="361"/>
      <c r="E642" s="367"/>
      <c r="F642" s="367"/>
      <c r="G642" s="367"/>
      <c r="H642" s="367"/>
      <c r="I642" s="367"/>
      <c r="J642" s="367"/>
      <c r="K642" s="367"/>
      <c r="L642" s="367"/>
      <c r="M642" s="367"/>
      <c r="N642" s="367"/>
      <c r="O642" s="367"/>
      <c r="P642" s="367"/>
      <c r="Q642" s="367"/>
      <c r="R642" s="367"/>
      <c r="S642" s="367"/>
      <c r="T642" s="367"/>
      <c r="U642" s="367"/>
      <c r="V642" s="367"/>
      <c r="W642" s="367"/>
      <c r="X642" s="367"/>
      <c r="Y642" s="367"/>
      <c r="Z642" s="367"/>
      <c r="AA642" s="367"/>
      <c r="AB642" s="367"/>
      <c r="AC642" s="367"/>
      <c r="AD642" s="367"/>
      <c r="AE642" s="367"/>
      <c r="AF642" s="367"/>
    </row>
    <row r="643" ht="15.75" customHeight="1">
      <c r="A643" s="359"/>
      <c r="B643" s="361"/>
      <c r="C643" s="361"/>
      <c r="D643" s="361"/>
      <c r="E643" s="367"/>
      <c r="F643" s="367"/>
      <c r="G643" s="367"/>
      <c r="H643" s="367"/>
      <c r="I643" s="367"/>
      <c r="J643" s="367"/>
      <c r="K643" s="367"/>
      <c r="L643" s="367"/>
      <c r="M643" s="367"/>
      <c r="N643" s="367"/>
      <c r="O643" s="367"/>
      <c r="P643" s="367"/>
      <c r="Q643" s="367"/>
      <c r="R643" s="367"/>
      <c r="S643" s="367"/>
      <c r="T643" s="367"/>
      <c r="U643" s="367"/>
      <c r="V643" s="367"/>
      <c r="W643" s="367"/>
      <c r="X643" s="367"/>
      <c r="Y643" s="367"/>
      <c r="Z643" s="367"/>
      <c r="AA643" s="367"/>
      <c r="AB643" s="367"/>
      <c r="AC643" s="367"/>
      <c r="AD643" s="367"/>
      <c r="AE643" s="367"/>
      <c r="AF643" s="367"/>
    </row>
    <row r="644" ht="15.75" customHeight="1">
      <c r="A644" s="359"/>
      <c r="B644" s="361"/>
      <c r="C644" s="361"/>
      <c r="D644" s="361"/>
      <c r="E644" s="367"/>
      <c r="F644" s="367"/>
      <c r="G644" s="367"/>
      <c r="H644" s="367"/>
      <c r="I644" s="367"/>
      <c r="J644" s="367"/>
      <c r="K644" s="367"/>
      <c r="L644" s="367"/>
      <c r="M644" s="367"/>
      <c r="N644" s="367"/>
      <c r="O644" s="367"/>
      <c r="P644" s="367"/>
      <c r="Q644" s="367"/>
      <c r="R644" s="367"/>
      <c r="S644" s="367"/>
      <c r="T644" s="367"/>
      <c r="U644" s="367"/>
      <c r="V644" s="367"/>
      <c r="W644" s="367"/>
      <c r="X644" s="367"/>
      <c r="Y644" s="367"/>
      <c r="Z644" s="367"/>
      <c r="AA644" s="367"/>
      <c r="AB644" s="367"/>
      <c r="AC644" s="367"/>
      <c r="AD644" s="367"/>
      <c r="AE644" s="367"/>
      <c r="AF644" s="367"/>
    </row>
    <row r="645" ht="15.75" customHeight="1">
      <c r="A645" s="359"/>
      <c r="B645" s="361"/>
      <c r="C645" s="361"/>
      <c r="D645" s="361"/>
      <c r="E645" s="367"/>
      <c r="F645" s="367"/>
      <c r="G645" s="367"/>
      <c r="H645" s="367"/>
      <c r="I645" s="367"/>
      <c r="J645" s="367"/>
      <c r="K645" s="367"/>
      <c r="L645" s="367"/>
      <c r="M645" s="367"/>
      <c r="N645" s="367"/>
      <c r="O645" s="367"/>
      <c r="P645" s="367"/>
      <c r="Q645" s="367"/>
      <c r="R645" s="367"/>
      <c r="S645" s="367"/>
      <c r="T645" s="367"/>
      <c r="U645" s="367"/>
      <c r="V645" s="367"/>
      <c r="W645" s="367"/>
      <c r="X645" s="367"/>
      <c r="Y645" s="367"/>
      <c r="Z645" s="367"/>
      <c r="AA645" s="367"/>
      <c r="AB645" s="367"/>
      <c r="AC645" s="367"/>
      <c r="AD645" s="367"/>
      <c r="AE645" s="367"/>
      <c r="AF645" s="367"/>
    </row>
    <row r="646" ht="15.75" customHeight="1">
      <c r="A646" s="359"/>
      <c r="B646" s="361"/>
      <c r="C646" s="361"/>
      <c r="D646" s="361"/>
      <c r="E646" s="367"/>
      <c r="F646" s="367"/>
      <c r="G646" s="367"/>
      <c r="H646" s="367"/>
      <c r="I646" s="367"/>
      <c r="J646" s="367"/>
      <c r="K646" s="367"/>
      <c r="L646" s="367"/>
      <c r="M646" s="367"/>
      <c r="N646" s="367"/>
      <c r="O646" s="367"/>
      <c r="P646" s="367"/>
      <c r="Q646" s="367"/>
      <c r="R646" s="367"/>
      <c r="S646" s="367"/>
      <c r="T646" s="367"/>
      <c r="U646" s="367"/>
      <c r="V646" s="367"/>
      <c r="W646" s="367"/>
      <c r="X646" s="367"/>
      <c r="Y646" s="367"/>
      <c r="Z646" s="367"/>
      <c r="AA646" s="367"/>
      <c r="AB646" s="367"/>
      <c r="AC646" s="367"/>
      <c r="AD646" s="367"/>
      <c r="AE646" s="367"/>
      <c r="AF646" s="367"/>
    </row>
    <row r="647" ht="15.75" customHeight="1">
      <c r="A647" s="359"/>
      <c r="B647" s="361"/>
      <c r="C647" s="361"/>
      <c r="D647" s="361"/>
      <c r="E647" s="367"/>
      <c r="F647" s="367"/>
      <c r="G647" s="367"/>
      <c r="H647" s="367"/>
      <c r="I647" s="367"/>
      <c r="J647" s="367"/>
      <c r="K647" s="367"/>
      <c r="L647" s="367"/>
      <c r="M647" s="367"/>
      <c r="N647" s="367"/>
      <c r="O647" s="367"/>
      <c r="P647" s="367"/>
      <c r="Q647" s="367"/>
      <c r="R647" s="367"/>
      <c r="S647" s="367"/>
      <c r="T647" s="367"/>
      <c r="U647" s="367"/>
      <c r="V647" s="367"/>
      <c r="W647" s="367"/>
      <c r="X647" s="367"/>
      <c r="Y647" s="367"/>
      <c r="Z647" s="367"/>
      <c r="AA647" s="367"/>
      <c r="AB647" s="367"/>
      <c r="AC647" s="367"/>
      <c r="AD647" s="367"/>
      <c r="AE647" s="367"/>
      <c r="AF647" s="367"/>
    </row>
    <row r="648" ht="15.75" customHeight="1">
      <c r="A648" s="359"/>
      <c r="B648" s="361"/>
      <c r="C648" s="361"/>
      <c r="D648" s="361"/>
      <c r="E648" s="367"/>
      <c r="F648" s="367"/>
      <c r="G648" s="367"/>
      <c r="H648" s="367"/>
      <c r="I648" s="367"/>
      <c r="J648" s="367"/>
      <c r="K648" s="367"/>
      <c r="L648" s="367"/>
      <c r="M648" s="367"/>
      <c r="N648" s="367"/>
      <c r="O648" s="367"/>
      <c r="P648" s="367"/>
      <c r="Q648" s="367"/>
      <c r="R648" s="367"/>
      <c r="S648" s="367"/>
      <c r="T648" s="367"/>
      <c r="U648" s="367"/>
      <c r="V648" s="367"/>
      <c r="W648" s="367"/>
      <c r="X648" s="367"/>
      <c r="Y648" s="367"/>
      <c r="Z648" s="367"/>
      <c r="AA648" s="367"/>
      <c r="AB648" s="367"/>
      <c r="AC648" s="367"/>
      <c r="AD648" s="367"/>
      <c r="AE648" s="367"/>
      <c r="AF648" s="367"/>
    </row>
    <row r="649" ht="15.75" customHeight="1">
      <c r="A649" s="359"/>
      <c r="B649" s="361"/>
      <c r="C649" s="361"/>
      <c r="D649" s="361"/>
      <c r="E649" s="367"/>
      <c r="F649" s="367"/>
      <c r="G649" s="367"/>
      <c r="H649" s="367"/>
      <c r="I649" s="367"/>
      <c r="J649" s="367"/>
      <c r="K649" s="367"/>
      <c r="L649" s="367"/>
      <c r="M649" s="367"/>
      <c r="N649" s="367"/>
      <c r="O649" s="367"/>
      <c r="P649" s="367"/>
      <c r="Q649" s="367"/>
      <c r="R649" s="367"/>
      <c r="S649" s="367"/>
      <c r="T649" s="367"/>
      <c r="U649" s="367"/>
      <c r="V649" s="367"/>
      <c r="W649" s="367"/>
      <c r="X649" s="367"/>
      <c r="Y649" s="367"/>
      <c r="Z649" s="367"/>
      <c r="AA649" s="367"/>
      <c r="AB649" s="367"/>
      <c r="AC649" s="367"/>
      <c r="AD649" s="367"/>
      <c r="AE649" s="367"/>
      <c r="AF649" s="367"/>
    </row>
    <row r="650" ht="15.75" customHeight="1">
      <c r="A650" s="359"/>
      <c r="B650" s="361"/>
      <c r="C650" s="361"/>
      <c r="D650" s="361"/>
      <c r="E650" s="367"/>
      <c r="F650" s="367"/>
      <c r="G650" s="367"/>
      <c r="H650" s="367"/>
      <c r="I650" s="367"/>
      <c r="J650" s="367"/>
      <c r="K650" s="367"/>
      <c r="L650" s="367"/>
      <c r="M650" s="367"/>
      <c r="N650" s="367"/>
      <c r="O650" s="367"/>
      <c r="P650" s="367"/>
      <c r="Q650" s="367"/>
      <c r="R650" s="367"/>
      <c r="S650" s="367"/>
      <c r="T650" s="367"/>
      <c r="U650" s="367"/>
      <c r="V650" s="367"/>
      <c r="W650" s="367"/>
      <c r="X650" s="367"/>
      <c r="Y650" s="367"/>
      <c r="Z650" s="367"/>
      <c r="AA650" s="367"/>
      <c r="AB650" s="367"/>
      <c r="AC650" s="367"/>
      <c r="AD650" s="367"/>
      <c r="AE650" s="367"/>
      <c r="AF650" s="367"/>
    </row>
    <row r="651" ht="15.75" customHeight="1">
      <c r="A651" s="359"/>
      <c r="B651" s="361"/>
      <c r="C651" s="361"/>
      <c r="D651" s="361"/>
      <c r="E651" s="367"/>
      <c r="F651" s="367"/>
      <c r="G651" s="367"/>
      <c r="H651" s="367"/>
      <c r="I651" s="367"/>
      <c r="J651" s="367"/>
      <c r="K651" s="367"/>
      <c r="L651" s="367"/>
      <c r="M651" s="367"/>
      <c r="N651" s="367"/>
      <c r="O651" s="367"/>
      <c r="P651" s="367"/>
      <c r="Q651" s="367"/>
      <c r="R651" s="367"/>
      <c r="S651" s="367"/>
      <c r="T651" s="367"/>
      <c r="U651" s="367"/>
      <c r="V651" s="367"/>
      <c r="W651" s="367"/>
      <c r="X651" s="367"/>
      <c r="Y651" s="367"/>
      <c r="Z651" s="367"/>
      <c r="AA651" s="367"/>
      <c r="AB651" s="367"/>
      <c r="AC651" s="367"/>
      <c r="AD651" s="367"/>
      <c r="AE651" s="367"/>
      <c r="AF651" s="367"/>
    </row>
    <row r="652" ht="15.75" customHeight="1">
      <c r="A652" s="359"/>
      <c r="B652" s="361"/>
      <c r="C652" s="361"/>
      <c r="D652" s="361"/>
      <c r="E652" s="367"/>
      <c r="F652" s="367"/>
      <c r="G652" s="367"/>
      <c r="H652" s="367"/>
      <c r="I652" s="367"/>
      <c r="J652" s="367"/>
      <c r="K652" s="367"/>
      <c r="L652" s="367"/>
      <c r="M652" s="367"/>
      <c r="N652" s="367"/>
      <c r="O652" s="367"/>
      <c r="P652" s="367"/>
      <c r="Q652" s="367"/>
      <c r="R652" s="367"/>
      <c r="S652" s="367"/>
      <c r="T652" s="367"/>
      <c r="U652" s="367"/>
      <c r="V652" s="367"/>
      <c r="W652" s="367"/>
      <c r="X652" s="367"/>
      <c r="Y652" s="367"/>
      <c r="Z652" s="367"/>
      <c r="AA652" s="367"/>
      <c r="AB652" s="367"/>
      <c r="AC652" s="367"/>
      <c r="AD652" s="367"/>
      <c r="AE652" s="367"/>
      <c r="AF652" s="367"/>
    </row>
    <row r="653" ht="15.75" customHeight="1">
      <c r="A653" s="359"/>
      <c r="B653" s="361"/>
      <c r="C653" s="361"/>
      <c r="D653" s="361"/>
      <c r="E653" s="367"/>
      <c r="F653" s="367"/>
      <c r="G653" s="367"/>
      <c r="H653" s="367"/>
      <c r="I653" s="367"/>
      <c r="J653" s="367"/>
      <c r="K653" s="367"/>
      <c r="L653" s="367"/>
      <c r="M653" s="367"/>
      <c r="N653" s="367"/>
      <c r="O653" s="367"/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  <c r="Z653" s="367"/>
      <c r="AA653" s="367"/>
      <c r="AB653" s="367"/>
      <c r="AC653" s="367"/>
      <c r="AD653" s="367"/>
      <c r="AE653" s="367"/>
      <c r="AF653" s="367"/>
    </row>
    <row r="654" ht="15.75" customHeight="1">
      <c r="A654" s="359"/>
      <c r="B654" s="361"/>
      <c r="C654" s="361"/>
      <c r="D654" s="361"/>
      <c r="E654" s="367"/>
      <c r="F654" s="367"/>
      <c r="G654" s="367"/>
      <c r="H654" s="367"/>
      <c r="I654" s="367"/>
      <c r="J654" s="367"/>
      <c r="K654" s="367"/>
      <c r="L654" s="367"/>
      <c r="M654" s="367"/>
      <c r="N654" s="367"/>
      <c r="O654" s="367"/>
      <c r="P654" s="367"/>
      <c r="Q654" s="367"/>
      <c r="R654" s="367"/>
      <c r="S654" s="367"/>
      <c r="T654" s="367"/>
      <c r="U654" s="367"/>
      <c r="V654" s="367"/>
      <c r="W654" s="367"/>
      <c r="X654" s="367"/>
      <c r="Y654" s="367"/>
      <c r="Z654" s="367"/>
      <c r="AA654" s="367"/>
      <c r="AB654" s="367"/>
      <c r="AC654" s="367"/>
      <c r="AD654" s="367"/>
      <c r="AE654" s="367"/>
      <c r="AF654" s="367"/>
    </row>
    <row r="655" ht="15.75" customHeight="1">
      <c r="A655" s="359"/>
      <c r="B655" s="361"/>
      <c r="C655" s="361"/>
      <c r="D655" s="361"/>
      <c r="E655" s="367"/>
      <c r="F655" s="367"/>
      <c r="G655" s="367"/>
      <c r="H655" s="367"/>
      <c r="I655" s="367"/>
      <c r="J655" s="367"/>
      <c r="K655" s="367"/>
      <c r="L655" s="367"/>
      <c r="M655" s="367"/>
      <c r="N655" s="367"/>
      <c r="O655" s="367"/>
      <c r="P655" s="367"/>
      <c r="Q655" s="367"/>
      <c r="R655" s="367"/>
      <c r="S655" s="367"/>
      <c r="T655" s="367"/>
      <c r="U655" s="367"/>
      <c r="V655" s="367"/>
      <c r="W655" s="367"/>
      <c r="X655" s="367"/>
      <c r="Y655" s="367"/>
      <c r="Z655" s="367"/>
      <c r="AA655" s="367"/>
      <c r="AB655" s="367"/>
      <c r="AC655" s="367"/>
      <c r="AD655" s="367"/>
      <c r="AE655" s="367"/>
      <c r="AF655" s="367"/>
    </row>
    <row r="656" ht="15.75" customHeight="1">
      <c r="A656" s="359"/>
      <c r="B656" s="361"/>
      <c r="C656" s="361"/>
      <c r="D656" s="361"/>
      <c r="E656" s="367"/>
      <c r="F656" s="367"/>
      <c r="G656" s="367"/>
      <c r="H656" s="367"/>
      <c r="I656" s="367"/>
      <c r="J656" s="367"/>
      <c r="K656" s="367"/>
      <c r="L656" s="367"/>
      <c r="M656" s="367"/>
      <c r="N656" s="367"/>
      <c r="O656" s="367"/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  <c r="Z656" s="367"/>
      <c r="AA656" s="367"/>
      <c r="AB656" s="367"/>
      <c r="AC656" s="367"/>
      <c r="AD656" s="367"/>
      <c r="AE656" s="367"/>
      <c r="AF656" s="367"/>
    </row>
    <row r="657" ht="15.75" customHeight="1">
      <c r="A657" s="359"/>
      <c r="B657" s="361"/>
      <c r="C657" s="361"/>
      <c r="D657" s="361"/>
      <c r="E657" s="367"/>
      <c r="F657" s="367"/>
      <c r="G657" s="367"/>
      <c r="H657" s="367"/>
      <c r="I657" s="367"/>
      <c r="J657" s="367"/>
      <c r="K657" s="367"/>
      <c r="L657" s="367"/>
      <c r="M657" s="367"/>
      <c r="N657" s="367"/>
      <c r="O657" s="367"/>
      <c r="P657" s="367"/>
      <c r="Q657" s="367"/>
      <c r="R657" s="367"/>
      <c r="S657" s="367"/>
      <c r="T657" s="367"/>
      <c r="U657" s="367"/>
      <c r="V657" s="367"/>
      <c r="W657" s="367"/>
      <c r="X657" s="367"/>
      <c r="Y657" s="367"/>
      <c r="Z657" s="367"/>
      <c r="AA657" s="367"/>
      <c r="AB657" s="367"/>
      <c r="AC657" s="367"/>
      <c r="AD657" s="367"/>
      <c r="AE657" s="367"/>
      <c r="AF657" s="367"/>
    </row>
    <row r="658" ht="15.75" customHeight="1">
      <c r="A658" s="359"/>
      <c r="B658" s="361"/>
      <c r="C658" s="361"/>
      <c r="D658" s="361"/>
      <c r="E658" s="367"/>
      <c r="F658" s="367"/>
      <c r="G658" s="367"/>
      <c r="H658" s="367"/>
      <c r="I658" s="367"/>
      <c r="J658" s="367"/>
      <c r="K658" s="367"/>
      <c r="L658" s="367"/>
      <c r="M658" s="367"/>
      <c r="N658" s="367"/>
      <c r="O658" s="367"/>
      <c r="P658" s="367"/>
      <c r="Q658" s="367"/>
      <c r="R658" s="367"/>
      <c r="S658" s="367"/>
      <c r="T658" s="367"/>
      <c r="U658" s="367"/>
      <c r="V658" s="367"/>
      <c r="W658" s="367"/>
      <c r="X658" s="367"/>
      <c r="Y658" s="367"/>
      <c r="Z658" s="367"/>
      <c r="AA658" s="367"/>
      <c r="AB658" s="367"/>
      <c r="AC658" s="367"/>
      <c r="AD658" s="367"/>
      <c r="AE658" s="367"/>
      <c r="AF658" s="367"/>
    </row>
    <row r="659" ht="15.75" customHeight="1">
      <c r="A659" s="359"/>
      <c r="B659" s="361"/>
      <c r="C659" s="361"/>
      <c r="D659" s="361"/>
      <c r="E659" s="367"/>
      <c r="F659" s="367"/>
      <c r="G659" s="367"/>
      <c r="H659" s="367"/>
      <c r="I659" s="367"/>
      <c r="J659" s="367"/>
      <c r="K659" s="367"/>
      <c r="L659" s="367"/>
      <c r="M659" s="367"/>
      <c r="N659" s="367"/>
      <c r="O659" s="367"/>
      <c r="P659" s="367"/>
      <c r="Q659" s="367"/>
      <c r="R659" s="367"/>
      <c r="S659" s="367"/>
      <c r="T659" s="367"/>
      <c r="U659" s="367"/>
      <c r="V659" s="367"/>
      <c r="W659" s="367"/>
      <c r="X659" s="367"/>
      <c r="Y659" s="367"/>
      <c r="Z659" s="367"/>
      <c r="AA659" s="367"/>
      <c r="AB659" s="367"/>
      <c r="AC659" s="367"/>
      <c r="AD659" s="367"/>
      <c r="AE659" s="367"/>
      <c r="AF659" s="367"/>
    </row>
    <row r="660" ht="15.75" customHeight="1">
      <c r="A660" s="359"/>
      <c r="B660" s="361"/>
      <c r="C660" s="361"/>
      <c r="D660" s="361"/>
      <c r="E660" s="367"/>
      <c r="F660" s="367"/>
      <c r="G660" s="367"/>
      <c r="H660" s="367"/>
      <c r="I660" s="367"/>
      <c r="J660" s="367"/>
      <c r="K660" s="367"/>
      <c r="L660" s="367"/>
      <c r="M660" s="367"/>
      <c r="N660" s="367"/>
      <c r="O660" s="367"/>
      <c r="P660" s="367"/>
      <c r="Q660" s="367"/>
      <c r="R660" s="367"/>
      <c r="S660" s="367"/>
      <c r="T660" s="367"/>
      <c r="U660" s="367"/>
      <c r="V660" s="367"/>
      <c r="W660" s="367"/>
      <c r="X660" s="367"/>
      <c r="Y660" s="367"/>
      <c r="Z660" s="367"/>
      <c r="AA660" s="367"/>
      <c r="AB660" s="367"/>
      <c r="AC660" s="367"/>
      <c r="AD660" s="367"/>
      <c r="AE660" s="367"/>
      <c r="AF660" s="367"/>
    </row>
    <row r="661" ht="15.75" customHeight="1">
      <c r="A661" s="359"/>
      <c r="B661" s="361"/>
      <c r="C661" s="361"/>
      <c r="D661" s="361"/>
      <c r="E661" s="367"/>
      <c r="F661" s="367"/>
      <c r="G661" s="367"/>
      <c r="H661" s="367"/>
      <c r="I661" s="367"/>
      <c r="J661" s="367"/>
      <c r="K661" s="367"/>
      <c r="L661" s="367"/>
      <c r="M661" s="367"/>
      <c r="N661" s="367"/>
      <c r="O661" s="367"/>
      <c r="P661" s="367"/>
      <c r="Q661" s="367"/>
      <c r="R661" s="367"/>
      <c r="S661" s="367"/>
      <c r="T661" s="367"/>
      <c r="U661" s="367"/>
      <c r="V661" s="367"/>
      <c r="W661" s="367"/>
      <c r="X661" s="367"/>
      <c r="Y661" s="367"/>
      <c r="Z661" s="367"/>
      <c r="AA661" s="367"/>
      <c r="AB661" s="367"/>
      <c r="AC661" s="367"/>
      <c r="AD661" s="367"/>
      <c r="AE661" s="367"/>
      <c r="AF661" s="367"/>
    </row>
    <row r="662" ht="15.75" customHeight="1">
      <c r="A662" s="359"/>
      <c r="B662" s="361"/>
      <c r="C662" s="361"/>
      <c r="D662" s="361"/>
      <c r="E662" s="367"/>
      <c r="F662" s="367"/>
      <c r="G662" s="367"/>
      <c r="H662" s="367"/>
      <c r="I662" s="367"/>
      <c r="J662" s="367"/>
      <c r="K662" s="367"/>
      <c r="L662" s="367"/>
      <c r="M662" s="367"/>
      <c r="N662" s="367"/>
      <c r="O662" s="367"/>
      <c r="P662" s="367"/>
      <c r="Q662" s="367"/>
      <c r="R662" s="367"/>
      <c r="S662" s="367"/>
      <c r="T662" s="367"/>
      <c r="U662" s="367"/>
      <c r="V662" s="367"/>
      <c r="W662" s="367"/>
      <c r="X662" s="367"/>
      <c r="Y662" s="367"/>
      <c r="Z662" s="367"/>
      <c r="AA662" s="367"/>
      <c r="AB662" s="367"/>
      <c r="AC662" s="367"/>
      <c r="AD662" s="367"/>
      <c r="AE662" s="367"/>
      <c r="AF662" s="367"/>
    </row>
    <row r="663" ht="15.75" customHeight="1">
      <c r="A663" s="359"/>
      <c r="B663" s="361"/>
      <c r="C663" s="361"/>
      <c r="D663" s="361"/>
      <c r="E663" s="367"/>
      <c r="F663" s="367"/>
      <c r="G663" s="367"/>
      <c r="H663" s="367"/>
      <c r="I663" s="367"/>
      <c r="J663" s="367"/>
      <c r="K663" s="367"/>
      <c r="L663" s="367"/>
      <c r="M663" s="367"/>
      <c r="N663" s="367"/>
      <c r="O663" s="367"/>
      <c r="P663" s="367"/>
      <c r="Q663" s="367"/>
      <c r="R663" s="367"/>
      <c r="S663" s="367"/>
      <c r="T663" s="367"/>
      <c r="U663" s="367"/>
      <c r="V663" s="367"/>
      <c r="W663" s="367"/>
      <c r="X663" s="367"/>
      <c r="Y663" s="367"/>
      <c r="Z663" s="367"/>
      <c r="AA663" s="367"/>
      <c r="AB663" s="367"/>
      <c r="AC663" s="367"/>
      <c r="AD663" s="367"/>
      <c r="AE663" s="367"/>
      <c r="AF663" s="367"/>
    </row>
    <row r="664" ht="15.75" customHeight="1">
      <c r="A664" s="359"/>
      <c r="B664" s="361"/>
      <c r="C664" s="361"/>
      <c r="D664" s="361"/>
      <c r="E664" s="367"/>
      <c r="F664" s="367"/>
      <c r="G664" s="367"/>
      <c r="H664" s="367"/>
      <c r="I664" s="367"/>
      <c r="J664" s="367"/>
      <c r="K664" s="367"/>
      <c r="L664" s="367"/>
      <c r="M664" s="367"/>
      <c r="N664" s="367"/>
      <c r="O664" s="367"/>
      <c r="P664" s="367"/>
      <c r="Q664" s="367"/>
      <c r="R664" s="367"/>
      <c r="S664" s="367"/>
      <c r="T664" s="367"/>
      <c r="U664" s="367"/>
      <c r="V664" s="367"/>
      <c r="W664" s="367"/>
      <c r="X664" s="367"/>
      <c r="Y664" s="367"/>
      <c r="Z664" s="367"/>
      <c r="AA664" s="367"/>
      <c r="AB664" s="367"/>
      <c r="AC664" s="367"/>
      <c r="AD664" s="367"/>
      <c r="AE664" s="367"/>
      <c r="AF664" s="367"/>
    </row>
    <row r="665" ht="15.75" customHeight="1">
      <c r="A665" s="359"/>
      <c r="B665" s="361"/>
      <c r="C665" s="361"/>
      <c r="D665" s="361"/>
      <c r="E665" s="367"/>
      <c r="F665" s="367"/>
      <c r="G665" s="367"/>
      <c r="H665" s="367"/>
      <c r="I665" s="367"/>
      <c r="J665" s="367"/>
      <c r="K665" s="367"/>
      <c r="L665" s="367"/>
      <c r="M665" s="367"/>
      <c r="N665" s="367"/>
      <c r="O665" s="367"/>
      <c r="P665" s="367"/>
      <c r="Q665" s="367"/>
      <c r="R665" s="367"/>
      <c r="S665" s="367"/>
      <c r="T665" s="367"/>
      <c r="U665" s="367"/>
      <c r="V665" s="367"/>
      <c r="W665" s="367"/>
      <c r="X665" s="367"/>
      <c r="Y665" s="367"/>
      <c r="Z665" s="367"/>
      <c r="AA665" s="367"/>
      <c r="AB665" s="367"/>
      <c r="AC665" s="367"/>
      <c r="AD665" s="367"/>
      <c r="AE665" s="367"/>
      <c r="AF665" s="367"/>
    </row>
    <row r="666" ht="15.75" customHeight="1">
      <c r="A666" s="359"/>
      <c r="B666" s="361"/>
      <c r="C666" s="361"/>
      <c r="D666" s="361"/>
      <c r="E666" s="367"/>
      <c r="F666" s="367"/>
      <c r="G666" s="367"/>
      <c r="H666" s="367"/>
      <c r="I666" s="367"/>
      <c r="J666" s="367"/>
      <c r="K666" s="367"/>
      <c r="L666" s="367"/>
      <c r="M666" s="367"/>
      <c r="N666" s="367"/>
      <c r="O666" s="367"/>
      <c r="P666" s="367"/>
      <c r="Q666" s="367"/>
      <c r="R666" s="367"/>
      <c r="S666" s="367"/>
      <c r="T666" s="367"/>
      <c r="U666" s="367"/>
      <c r="V666" s="367"/>
      <c r="W666" s="367"/>
      <c r="X666" s="367"/>
      <c r="Y666" s="367"/>
      <c r="Z666" s="367"/>
      <c r="AA666" s="367"/>
      <c r="AB666" s="367"/>
      <c r="AC666" s="367"/>
      <c r="AD666" s="367"/>
      <c r="AE666" s="367"/>
      <c r="AF666" s="367"/>
    </row>
    <row r="667" ht="15.75" customHeight="1">
      <c r="A667" s="359"/>
      <c r="B667" s="361"/>
      <c r="C667" s="361"/>
      <c r="D667" s="361"/>
      <c r="E667" s="367"/>
      <c r="F667" s="367"/>
      <c r="G667" s="367"/>
      <c r="H667" s="367"/>
      <c r="I667" s="367"/>
      <c r="J667" s="367"/>
      <c r="K667" s="367"/>
      <c r="L667" s="367"/>
      <c r="M667" s="367"/>
      <c r="N667" s="367"/>
      <c r="O667" s="367"/>
      <c r="P667" s="367"/>
      <c r="Q667" s="367"/>
      <c r="R667" s="367"/>
      <c r="S667" s="367"/>
      <c r="T667" s="367"/>
      <c r="U667" s="367"/>
      <c r="V667" s="367"/>
      <c r="W667" s="367"/>
      <c r="X667" s="367"/>
      <c r="Y667" s="367"/>
      <c r="Z667" s="367"/>
      <c r="AA667" s="367"/>
      <c r="AB667" s="367"/>
      <c r="AC667" s="367"/>
      <c r="AD667" s="367"/>
      <c r="AE667" s="367"/>
      <c r="AF667" s="367"/>
    </row>
    <row r="668" ht="15.75" customHeight="1">
      <c r="A668" s="359"/>
      <c r="B668" s="361"/>
      <c r="C668" s="361"/>
      <c r="D668" s="361"/>
      <c r="E668" s="367"/>
      <c r="F668" s="367"/>
      <c r="G668" s="367"/>
      <c r="H668" s="367"/>
      <c r="I668" s="367"/>
      <c r="J668" s="367"/>
      <c r="K668" s="367"/>
      <c r="L668" s="367"/>
      <c r="M668" s="367"/>
      <c r="N668" s="367"/>
      <c r="O668" s="367"/>
      <c r="P668" s="367"/>
      <c r="Q668" s="367"/>
      <c r="R668" s="367"/>
      <c r="S668" s="367"/>
      <c r="T668" s="367"/>
      <c r="U668" s="367"/>
      <c r="V668" s="367"/>
      <c r="W668" s="367"/>
      <c r="X668" s="367"/>
      <c r="Y668" s="367"/>
      <c r="Z668" s="367"/>
      <c r="AA668" s="367"/>
      <c r="AB668" s="367"/>
      <c r="AC668" s="367"/>
      <c r="AD668" s="367"/>
      <c r="AE668" s="367"/>
      <c r="AF668" s="367"/>
    </row>
    <row r="669" ht="15.75" customHeight="1">
      <c r="A669" s="359"/>
      <c r="B669" s="361"/>
      <c r="C669" s="361"/>
      <c r="D669" s="361"/>
      <c r="E669" s="367"/>
      <c r="F669" s="367"/>
      <c r="G669" s="367"/>
      <c r="H669" s="367"/>
      <c r="I669" s="367"/>
      <c r="J669" s="367"/>
      <c r="K669" s="367"/>
      <c r="L669" s="367"/>
      <c r="M669" s="367"/>
      <c r="N669" s="367"/>
      <c r="O669" s="367"/>
      <c r="P669" s="367"/>
      <c r="Q669" s="367"/>
      <c r="R669" s="367"/>
      <c r="S669" s="367"/>
      <c r="T669" s="367"/>
      <c r="U669" s="367"/>
      <c r="V669" s="367"/>
      <c r="W669" s="367"/>
      <c r="X669" s="367"/>
      <c r="Y669" s="367"/>
      <c r="Z669" s="367"/>
      <c r="AA669" s="367"/>
      <c r="AB669" s="367"/>
      <c r="AC669" s="367"/>
      <c r="AD669" s="367"/>
      <c r="AE669" s="367"/>
      <c r="AF669" s="367"/>
    </row>
    <row r="670" ht="15.75" customHeight="1">
      <c r="A670" s="359"/>
      <c r="B670" s="361"/>
      <c r="C670" s="361"/>
      <c r="D670" s="361"/>
      <c r="E670" s="367"/>
      <c r="F670" s="367"/>
      <c r="G670" s="367"/>
      <c r="H670" s="367"/>
      <c r="I670" s="367"/>
      <c r="J670" s="367"/>
      <c r="K670" s="367"/>
      <c r="L670" s="367"/>
      <c r="M670" s="367"/>
      <c r="N670" s="367"/>
      <c r="O670" s="367"/>
      <c r="P670" s="367"/>
      <c r="Q670" s="367"/>
      <c r="R670" s="367"/>
      <c r="S670" s="367"/>
      <c r="T670" s="367"/>
      <c r="U670" s="367"/>
      <c r="V670" s="367"/>
      <c r="W670" s="367"/>
      <c r="X670" s="367"/>
      <c r="Y670" s="367"/>
      <c r="Z670" s="367"/>
      <c r="AA670" s="367"/>
      <c r="AB670" s="367"/>
      <c r="AC670" s="367"/>
      <c r="AD670" s="367"/>
      <c r="AE670" s="367"/>
      <c r="AF670" s="367"/>
    </row>
    <row r="671" ht="15.75" customHeight="1">
      <c r="A671" s="359"/>
      <c r="B671" s="361"/>
      <c r="C671" s="361"/>
      <c r="D671" s="361"/>
      <c r="E671" s="367"/>
      <c r="F671" s="367"/>
      <c r="G671" s="367"/>
      <c r="H671" s="367"/>
      <c r="I671" s="367"/>
      <c r="J671" s="367"/>
      <c r="K671" s="367"/>
      <c r="L671" s="367"/>
      <c r="M671" s="367"/>
      <c r="N671" s="367"/>
      <c r="O671" s="367"/>
      <c r="P671" s="367"/>
      <c r="Q671" s="367"/>
      <c r="R671" s="367"/>
      <c r="S671" s="367"/>
      <c r="T671" s="367"/>
      <c r="U671" s="367"/>
      <c r="V671" s="367"/>
      <c r="W671" s="367"/>
      <c r="X671" s="367"/>
      <c r="Y671" s="367"/>
      <c r="Z671" s="367"/>
      <c r="AA671" s="367"/>
      <c r="AB671" s="367"/>
      <c r="AC671" s="367"/>
      <c r="AD671" s="367"/>
      <c r="AE671" s="367"/>
      <c r="AF671" s="367"/>
    </row>
    <row r="672" ht="15.75" customHeight="1">
      <c r="A672" s="359"/>
      <c r="B672" s="361"/>
      <c r="C672" s="361"/>
      <c r="D672" s="361"/>
      <c r="E672" s="367"/>
      <c r="F672" s="367"/>
      <c r="G672" s="367"/>
      <c r="H672" s="367"/>
      <c r="I672" s="367"/>
      <c r="J672" s="367"/>
      <c r="K672" s="367"/>
      <c r="L672" s="367"/>
      <c r="M672" s="367"/>
      <c r="N672" s="367"/>
      <c r="O672" s="367"/>
      <c r="P672" s="367"/>
      <c r="Q672" s="367"/>
      <c r="R672" s="367"/>
      <c r="S672" s="367"/>
      <c r="T672" s="367"/>
      <c r="U672" s="367"/>
      <c r="V672" s="367"/>
      <c r="W672" s="367"/>
      <c r="X672" s="367"/>
      <c r="Y672" s="367"/>
      <c r="Z672" s="367"/>
      <c r="AA672" s="367"/>
      <c r="AB672" s="367"/>
      <c r="AC672" s="367"/>
      <c r="AD672" s="367"/>
      <c r="AE672" s="367"/>
      <c r="AF672" s="367"/>
    </row>
    <row r="673" ht="15.75" customHeight="1">
      <c r="A673" s="359"/>
      <c r="B673" s="361"/>
      <c r="C673" s="361"/>
      <c r="D673" s="361"/>
      <c r="E673" s="367"/>
      <c r="F673" s="367"/>
      <c r="G673" s="367"/>
      <c r="H673" s="367"/>
      <c r="I673" s="367"/>
      <c r="J673" s="367"/>
      <c r="K673" s="367"/>
      <c r="L673" s="367"/>
      <c r="M673" s="367"/>
      <c r="N673" s="367"/>
      <c r="O673" s="367"/>
      <c r="P673" s="367"/>
      <c r="Q673" s="367"/>
      <c r="R673" s="367"/>
      <c r="S673" s="367"/>
      <c r="T673" s="367"/>
      <c r="U673" s="367"/>
      <c r="V673" s="367"/>
      <c r="W673" s="367"/>
      <c r="X673" s="367"/>
      <c r="Y673" s="367"/>
      <c r="Z673" s="367"/>
      <c r="AA673" s="367"/>
      <c r="AB673" s="367"/>
      <c r="AC673" s="367"/>
      <c r="AD673" s="367"/>
      <c r="AE673" s="367"/>
      <c r="AF673" s="367"/>
    </row>
    <row r="674" ht="15.75" customHeight="1">
      <c r="A674" s="359"/>
      <c r="B674" s="361"/>
      <c r="C674" s="361"/>
      <c r="D674" s="361"/>
      <c r="E674" s="367"/>
      <c r="F674" s="367"/>
      <c r="G674" s="367"/>
      <c r="H674" s="367"/>
      <c r="I674" s="367"/>
      <c r="J674" s="367"/>
      <c r="K674" s="367"/>
      <c r="L674" s="367"/>
      <c r="M674" s="367"/>
      <c r="N674" s="367"/>
      <c r="O674" s="367"/>
      <c r="P674" s="367"/>
      <c r="Q674" s="367"/>
      <c r="R674" s="367"/>
      <c r="S674" s="367"/>
      <c r="T674" s="367"/>
      <c r="U674" s="367"/>
      <c r="V674" s="367"/>
      <c r="W674" s="367"/>
      <c r="X674" s="367"/>
      <c r="Y674" s="367"/>
      <c r="Z674" s="367"/>
      <c r="AA674" s="367"/>
      <c r="AB674" s="367"/>
      <c r="AC674" s="367"/>
      <c r="AD674" s="367"/>
      <c r="AE674" s="367"/>
      <c r="AF674" s="367"/>
    </row>
    <row r="675" ht="15.75" customHeight="1">
      <c r="A675" s="359"/>
      <c r="B675" s="361"/>
      <c r="C675" s="361"/>
      <c r="D675" s="361"/>
      <c r="E675" s="367"/>
      <c r="F675" s="367"/>
      <c r="G675" s="367"/>
      <c r="H675" s="367"/>
      <c r="I675" s="367"/>
      <c r="J675" s="367"/>
      <c r="K675" s="367"/>
      <c r="L675" s="367"/>
      <c r="M675" s="367"/>
      <c r="N675" s="367"/>
      <c r="O675" s="367"/>
      <c r="P675" s="367"/>
      <c r="Q675" s="367"/>
      <c r="R675" s="367"/>
      <c r="S675" s="367"/>
      <c r="T675" s="367"/>
      <c r="U675" s="367"/>
      <c r="V675" s="367"/>
      <c r="W675" s="367"/>
      <c r="X675" s="367"/>
      <c r="Y675" s="367"/>
      <c r="Z675" s="367"/>
      <c r="AA675" s="367"/>
      <c r="AB675" s="367"/>
      <c r="AC675" s="367"/>
      <c r="AD675" s="367"/>
      <c r="AE675" s="367"/>
      <c r="AF675" s="367"/>
    </row>
    <row r="676" ht="15.75" customHeight="1">
      <c r="A676" s="359"/>
      <c r="B676" s="361"/>
      <c r="C676" s="361"/>
      <c r="D676" s="361"/>
      <c r="E676" s="367"/>
      <c r="F676" s="367"/>
      <c r="G676" s="367"/>
      <c r="H676" s="367"/>
      <c r="I676" s="367"/>
      <c r="J676" s="367"/>
      <c r="K676" s="367"/>
      <c r="L676" s="367"/>
      <c r="M676" s="367"/>
      <c r="N676" s="367"/>
      <c r="O676" s="367"/>
      <c r="P676" s="367"/>
      <c r="Q676" s="367"/>
      <c r="R676" s="367"/>
      <c r="S676" s="367"/>
      <c r="T676" s="367"/>
      <c r="U676" s="367"/>
      <c r="V676" s="367"/>
      <c r="W676" s="367"/>
      <c r="X676" s="367"/>
      <c r="Y676" s="367"/>
      <c r="Z676" s="367"/>
      <c r="AA676" s="367"/>
      <c r="AB676" s="367"/>
      <c r="AC676" s="367"/>
      <c r="AD676" s="367"/>
      <c r="AE676" s="367"/>
      <c r="AF676" s="367"/>
    </row>
    <row r="677" ht="15.75" customHeight="1">
      <c r="A677" s="359"/>
      <c r="B677" s="361"/>
      <c r="C677" s="361"/>
      <c r="D677" s="361"/>
      <c r="E677" s="367"/>
      <c r="F677" s="367"/>
      <c r="G677" s="367"/>
      <c r="H677" s="367"/>
      <c r="I677" s="367"/>
      <c r="J677" s="367"/>
      <c r="K677" s="367"/>
      <c r="L677" s="367"/>
      <c r="M677" s="367"/>
      <c r="N677" s="367"/>
      <c r="O677" s="367"/>
      <c r="P677" s="367"/>
      <c r="Q677" s="367"/>
      <c r="R677" s="367"/>
      <c r="S677" s="367"/>
      <c r="T677" s="367"/>
      <c r="U677" s="367"/>
      <c r="V677" s="367"/>
      <c r="W677" s="367"/>
      <c r="X677" s="367"/>
      <c r="Y677" s="367"/>
      <c r="Z677" s="367"/>
      <c r="AA677" s="367"/>
      <c r="AB677" s="367"/>
      <c r="AC677" s="367"/>
      <c r="AD677" s="367"/>
      <c r="AE677" s="367"/>
      <c r="AF677" s="367"/>
    </row>
    <row r="678" ht="15.75" customHeight="1">
      <c r="A678" s="359"/>
      <c r="B678" s="361"/>
      <c r="C678" s="361"/>
      <c r="D678" s="361"/>
      <c r="E678" s="367"/>
      <c r="F678" s="367"/>
      <c r="G678" s="367"/>
      <c r="H678" s="367"/>
      <c r="I678" s="367"/>
      <c r="J678" s="367"/>
      <c r="K678" s="367"/>
      <c r="L678" s="367"/>
      <c r="M678" s="367"/>
      <c r="N678" s="367"/>
      <c r="O678" s="367"/>
      <c r="P678" s="367"/>
      <c r="Q678" s="367"/>
      <c r="R678" s="367"/>
      <c r="S678" s="367"/>
      <c r="T678" s="367"/>
      <c r="U678" s="367"/>
      <c r="V678" s="367"/>
      <c r="W678" s="367"/>
      <c r="X678" s="367"/>
      <c r="Y678" s="367"/>
      <c r="Z678" s="367"/>
      <c r="AA678" s="367"/>
      <c r="AB678" s="367"/>
      <c r="AC678" s="367"/>
      <c r="AD678" s="367"/>
      <c r="AE678" s="367"/>
      <c r="AF678" s="367"/>
    </row>
    <row r="679" ht="15.75" customHeight="1">
      <c r="A679" s="359"/>
      <c r="B679" s="361"/>
      <c r="C679" s="361"/>
      <c r="D679" s="361"/>
      <c r="E679" s="367"/>
      <c r="F679" s="367"/>
      <c r="G679" s="367"/>
      <c r="H679" s="367"/>
      <c r="I679" s="367"/>
      <c r="J679" s="367"/>
      <c r="K679" s="367"/>
      <c r="L679" s="367"/>
      <c r="M679" s="367"/>
      <c r="N679" s="367"/>
      <c r="O679" s="367"/>
      <c r="P679" s="367"/>
      <c r="Q679" s="367"/>
      <c r="R679" s="367"/>
      <c r="S679" s="367"/>
      <c r="T679" s="367"/>
      <c r="U679" s="367"/>
      <c r="V679" s="367"/>
      <c r="W679" s="367"/>
      <c r="X679" s="367"/>
      <c r="Y679" s="367"/>
      <c r="Z679" s="367"/>
      <c r="AA679" s="367"/>
      <c r="AB679" s="367"/>
      <c r="AC679" s="367"/>
      <c r="AD679" s="367"/>
      <c r="AE679" s="367"/>
      <c r="AF679" s="367"/>
    </row>
    <row r="680" ht="15.75" customHeight="1">
      <c r="A680" s="359"/>
      <c r="B680" s="361"/>
      <c r="C680" s="361"/>
      <c r="D680" s="361"/>
      <c r="E680" s="367"/>
      <c r="F680" s="367"/>
      <c r="G680" s="367"/>
      <c r="H680" s="367"/>
      <c r="I680" s="367"/>
      <c r="J680" s="367"/>
      <c r="K680" s="367"/>
      <c r="L680" s="367"/>
      <c r="M680" s="367"/>
      <c r="N680" s="367"/>
      <c r="O680" s="367"/>
      <c r="P680" s="367"/>
      <c r="Q680" s="367"/>
      <c r="R680" s="367"/>
      <c r="S680" s="367"/>
      <c r="T680" s="367"/>
      <c r="U680" s="367"/>
      <c r="V680" s="367"/>
      <c r="W680" s="367"/>
      <c r="X680" s="367"/>
      <c r="Y680" s="367"/>
      <c r="Z680" s="367"/>
      <c r="AA680" s="367"/>
      <c r="AB680" s="367"/>
      <c r="AC680" s="367"/>
      <c r="AD680" s="367"/>
      <c r="AE680" s="367"/>
      <c r="AF680" s="367"/>
    </row>
    <row r="681" ht="15.75" customHeight="1">
      <c r="A681" s="359"/>
      <c r="B681" s="361"/>
      <c r="C681" s="361"/>
      <c r="D681" s="361"/>
      <c r="E681" s="367"/>
      <c r="F681" s="367"/>
      <c r="G681" s="367"/>
      <c r="H681" s="367"/>
      <c r="I681" s="367"/>
      <c r="J681" s="367"/>
      <c r="K681" s="367"/>
      <c r="L681" s="367"/>
      <c r="M681" s="367"/>
      <c r="N681" s="367"/>
      <c r="O681" s="367"/>
      <c r="P681" s="367"/>
      <c r="Q681" s="367"/>
      <c r="R681" s="367"/>
      <c r="S681" s="367"/>
      <c r="T681" s="367"/>
      <c r="U681" s="367"/>
      <c r="V681" s="367"/>
      <c r="W681" s="367"/>
      <c r="X681" s="367"/>
      <c r="Y681" s="367"/>
      <c r="Z681" s="367"/>
      <c r="AA681" s="367"/>
      <c r="AB681" s="367"/>
      <c r="AC681" s="367"/>
      <c r="AD681" s="367"/>
      <c r="AE681" s="367"/>
      <c r="AF681" s="367"/>
    </row>
    <row r="682" ht="15.75" customHeight="1">
      <c r="A682" s="359"/>
      <c r="B682" s="361"/>
      <c r="C682" s="361"/>
      <c r="D682" s="361"/>
      <c r="E682" s="367"/>
      <c r="F682" s="367"/>
      <c r="G682" s="367"/>
      <c r="H682" s="367"/>
      <c r="I682" s="367"/>
      <c r="J682" s="367"/>
      <c r="K682" s="367"/>
      <c r="L682" s="367"/>
      <c r="M682" s="367"/>
      <c r="N682" s="367"/>
      <c r="O682" s="367"/>
      <c r="P682" s="367"/>
      <c r="Q682" s="367"/>
      <c r="R682" s="367"/>
      <c r="S682" s="367"/>
      <c r="T682" s="367"/>
      <c r="U682" s="367"/>
      <c r="V682" s="367"/>
      <c r="W682" s="367"/>
      <c r="X682" s="367"/>
      <c r="Y682" s="367"/>
      <c r="Z682" s="367"/>
      <c r="AA682" s="367"/>
      <c r="AB682" s="367"/>
      <c r="AC682" s="367"/>
      <c r="AD682" s="367"/>
      <c r="AE682" s="367"/>
      <c r="AF682" s="367"/>
    </row>
    <row r="683" ht="15.75" customHeight="1">
      <c r="A683" s="359"/>
      <c r="B683" s="361"/>
      <c r="C683" s="361"/>
      <c r="D683" s="361"/>
      <c r="E683" s="367"/>
      <c r="F683" s="367"/>
      <c r="G683" s="367"/>
      <c r="H683" s="367"/>
      <c r="I683" s="367"/>
      <c r="J683" s="367"/>
      <c r="K683" s="367"/>
      <c r="L683" s="367"/>
      <c r="M683" s="367"/>
      <c r="N683" s="367"/>
      <c r="O683" s="367"/>
      <c r="P683" s="367"/>
      <c r="Q683" s="367"/>
      <c r="R683" s="367"/>
      <c r="S683" s="367"/>
      <c r="T683" s="367"/>
      <c r="U683" s="367"/>
      <c r="V683" s="367"/>
      <c r="W683" s="367"/>
      <c r="X683" s="367"/>
      <c r="Y683" s="367"/>
      <c r="Z683" s="367"/>
      <c r="AA683" s="367"/>
      <c r="AB683" s="367"/>
      <c r="AC683" s="367"/>
      <c r="AD683" s="367"/>
      <c r="AE683" s="367"/>
      <c r="AF683" s="367"/>
    </row>
    <row r="684" ht="15.75" customHeight="1">
      <c r="A684" s="359"/>
      <c r="B684" s="361"/>
      <c r="C684" s="361"/>
      <c r="D684" s="361"/>
      <c r="E684" s="367"/>
      <c r="F684" s="367"/>
      <c r="G684" s="367"/>
      <c r="H684" s="367"/>
      <c r="I684" s="367"/>
      <c r="J684" s="367"/>
      <c r="K684" s="367"/>
      <c r="L684" s="367"/>
      <c r="M684" s="367"/>
      <c r="N684" s="367"/>
      <c r="O684" s="367"/>
      <c r="P684" s="367"/>
      <c r="Q684" s="367"/>
      <c r="R684" s="367"/>
      <c r="S684" s="367"/>
      <c r="T684" s="367"/>
      <c r="U684" s="367"/>
      <c r="V684" s="367"/>
      <c r="W684" s="367"/>
      <c r="X684" s="367"/>
      <c r="Y684" s="367"/>
      <c r="Z684" s="367"/>
      <c r="AA684" s="367"/>
      <c r="AB684" s="367"/>
      <c r="AC684" s="367"/>
      <c r="AD684" s="367"/>
      <c r="AE684" s="367"/>
      <c r="AF684" s="367"/>
    </row>
    <row r="685" ht="15.75" customHeight="1">
      <c r="A685" s="359"/>
      <c r="B685" s="361"/>
      <c r="C685" s="361"/>
      <c r="D685" s="361"/>
      <c r="E685" s="367"/>
      <c r="F685" s="367"/>
      <c r="G685" s="367"/>
      <c r="H685" s="367"/>
      <c r="I685" s="367"/>
      <c r="J685" s="367"/>
      <c r="K685" s="367"/>
      <c r="L685" s="367"/>
      <c r="M685" s="367"/>
      <c r="N685" s="367"/>
      <c r="O685" s="367"/>
      <c r="P685" s="367"/>
      <c r="Q685" s="367"/>
      <c r="R685" s="367"/>
      <c r="S685" s="367"/>
      <c r="T685" s="367"/>
      <c r="U685" s="367"/>
      <c r="V685" s="367"/>
      <c r="W685" s="367"/>
      <c r="X685" s="367"/>
      <c r="Y685" s="367"/>
      <c r="Z685" s="367"/>
      <c r="AA685" s="367"/>
      <c r="AB685" s="367"/>
      <c r="AC685" s="367"/>
      <c r="AD685" s="367"/>
      <c r="AE685" s="367"/>
      <c r="AF685" s="367"/>
    </row>
    <row r="686" ht="15.75" customHeight="1">
      <c r="A686" s="359"/>
      <c r="B686" s="361"/>
      <c r="C686" s="361"/>
      <c r="D686" s="361"/>
      <c r="E686" s="367"/>
      <c r="F686" s="367"/>
      <c r="G686" s="367"/>
      <c r="H686" s="367"/>
      <c r="I686" s="367"/>
      <c r="J686" s="367"/>
      <c r="K686" s="367"/>
      <c r="L686" s="367"/>
      <c r="M686" s="367"/>
      <c r="N686" s="367"/>
      <c r="O686" s="367"/>
      <c r="P686" s="367"/>
      <c r="Q686" s="367"/>
      <c r="R686" s="367"/>
      <c r="S686" s="367"/>
      <c r="T686" s="367"/>
      <c r="U686" s="367"/>
      <c r="V686" s="367"/>
      <c r="W686" s="367"/>
      <c r="X686" s="367"/>
      <c r="Y686" s="367"/>
      <c r="Z686" s="367"/>
      <c r="AA686" s="367"/>
      <c r="AB686" s="367"/>
      <c r="AC686" s="367"/>
      <c r="AD686" s="367"/>
      <c r="AE686" s="367"/>
      <c r="AF686" s="367"/>
    </row>
    <row r="687" ht="15.75" customHeight="1">
      <c r="A687" s="359"/>
      <c r="B687" s="361"/>
      <c r="C687" s="361"/>
      <c r="D687" s="361"/>
      <c r="E687" s="367"/>
      <c r="F687" s="367"/>
      <c r="G687" s="367"/>
      <c r="H687" s="367"/>
      <c r="I687" s="367"/>
      <c r="J687" s="367"/>
      <c r="K687" s="367"/>
      <c r="L687" s="367"/>
      <c r="M687" s="367"/>
      <c r="N687" s="367"/>
      <c r="O687" s="367"/>
      <c r="P687" s="367"/>
      <c r="Q687" s="367"/>
      <c r="R687" s="367"/>
      <c r="S687" s="367"/>
      <c r="T687" s="367"/>
      <c r="U687" s="367"/>
      <c r="V687" s="367"/>
      <c r="W687" s="367"/>
      <c r="X687" s="367"/>
      <c r="Y687" s="367"/>
      <c r="Z687" s="367"/>
      <c r="AA687" s="367"/>
      <c r="AB687" s="367"/>
      <c r="AC687" s="367"/>
      <c r="AD687" s="367"/>
      <c r="AE687" s="367"/>
      <c r="AF687" s="367"/>
    </row>
    <row r="688" ht="15.75" customHeight="1">
      <c r="A688" s="359"/>
      <c r="B688" s="361"/>
      <c r="C688" s="361"/>
      <c r="D688" s="361"/>
      <c r="E688" s="367"/>
      <c r="F688" s="367"/>
      <c r="G688" s="367"/>
      <c r="H688" s="367"/>
      <c r="I688" s="367"/>
      <c r="J688" s="367"/>
      <c r="K688" s="367"/>
      <c r="L688" s="367"/>
      <c r="M688" s="367"/>
      <c r="N688" s="367"/>
      <c r="O688" s="367"/>
      <c r="P688" s="367"/>
      <c r="Q688" s="367"/>
      <c r="R688" s="367"/>
      <c r="S688" s="367"/>
      <c r="T688" s="367"/>
      <c r="U688" s="367"/>
      <c r="V688" s="367"/>
      <c r="W688" s="367"/>
      <c r="X688" s="367"/>
      <c r="Y688" s="367"/>
      <c r="Z688" s="367"/>
      <c r="AA688" s="367"/>
      <c r="AB688" s="367"/>
      <c r="AC688" s="367"/>
      <c r="AD688" s="367"/>
      <c r="AE688" s="367"/>
      <c r="AF688" s="367"/>
    </row>
    <row r="689" ht="15.75" customHeight="1">
      <c r="A689" s="359"/>
      <c r="B689" s="361"/>
      <c r="C689" s="361"/>
      <c r="D689" s="361"/>
      <c r="E689" s="367"/>
      <c r="F689" s="367"/>
      <c r="G689" s="367"/>
      <c r="H689" s="367"/>
      <c r="I689" s="367"/>
      <c r="J689" s="367"/>
      <c r="K689" s="367"/>
      <c r="L689" s="367"/>
      <c r="M689" s="367"/>
      <c r="N689" s="367"/>
      <c r="O689" s="367"/>
      <c r="P689" s="367"/>
      <c r="Q689" s="367"/>
      <c r="R689" s="367"/>
      <c r="S689" s="367"/>
      <c r="T689" s="367"/>
      <c r="U689" s="367"/>
      <c r="V689" s="367"/>
      <c r="W689" s="367"/>
      <c r="X689" s="367"/>
      <c r="Y689" s="367"/>
      <c r="Z689" s="367"/>
      <c r="AA689" s="367"/>
      <c r="AB689" s="367"/>
      <c r="AC689" s="367"/>
      <c r="AD689" s="367"/>
      <c r="AE689" s="367"/>
      <c r="AF689" s="367"/>
    </row>
    <row r="690" ht="15.75" customHeight="1">
      <c r="A690" s="359"/>
      <c r="B690" s="361"/>
      <c r="C690" s="361"/>
      <c r="D690" s="361"/>
      <c r="E690" s="367"/>
      <c r="F690" s="367"/>
      <c r="G690" s="367"/>
      <c r="H690" s="367"/>
      <c r="I690" s="367"/>
      <c r="J690" s="367"/>
      <c r="K690" s="367"/>
      <c r="L690" s="367"/>
      <c r="M690" s="367"/>
      <c r="N690" s="367"/>
      <c r="O690" s="367"/>
      <c r="P690" s="367"/>
      <c r="Q690" s="367"/>
      <c r="R690" s="367"/>
      <c r="S690" s="367"/>
      <c r="T690" s="367"/>
      <c r="U690" s="367"/>
      <c r="V690" s="367"/>
      <c r="W690" s="367"/>
      <c r="X690" s="367"/>
      <c r="Y690" s="367"/>
      <c r="Z690" s="367"/>
      <c r="AA690" s="367"/>
      <c r="AB690" s="367"/>
      <c r="AC690" s="367"/>
      <c r="AD690" s="367"/>
      <c r="AE690" s="367"/>
      <c r="AF690" s="367"/>
    </row>
    <row r="691" ht="15.75" customHeight="1">
      <c r="A691" s="359"/>
      <c r="B691" s="361"/>
      <c r="C691" s="361"/>
      <c r="D691" s="361"/>
      <c r="E691" s="367"/>
      <c r="F691" s="367"/>
      <c r="G691" s="367"/>
      <c r="H691" s="367"/>
      <c r="I691" s="367"/>
      <c r="J691" s="367"/>
      <c r="K691" s="367"/>
      <c r="L691" s="367"/>
      <c r="M691" s="367"/>
      <c r="N691" s="367"/>
      <c r="O691" s="367"/>
      <c r="P691" s="367"/>
      <c r="Q691" s="367"/>
      <c r="R691" s="367"/>
      <c r="S691" s="367"/>
      <c r="T691" s="367"/>
      <c r="U691" s="367"/>
      <c r="V691" s="367"/>
      <c r="W691" s="367"/>
      <c r="X691" s="367"/>
      <c r="Y691" s="367"/>
      <c r="Z691" s="367"/>
      <c r="AA691" s="367"/>
      <c r="AB691" s="367"/>
      <c r="AC691" s="367"/>
      <c r="AD691" s="367"/>
      <c r="AE691" s="367"/>
      <c r="AF691" s="367"/>
    </row>
    <row r="692" ht="15.75" customHeight="1">
      <c r="A692" s="359"/>
      <c r="B692" s="361"/>
      <c r="C692" s="361"/>
      <c r="D692" s="361"/>
      <c r="E692" s="367"/>
      <c r="F692" s="367"/>
      <c r="G692" s="367"/>
      <c r="H692" s="367"/>
      <c r="I692" s="367"/>
      <c r="J692" s="367"/>
      <c r="K692" s="367"/>
      <c r="L692" s="367"/>
      <c r="M692" s="367"/>
      <c r="N692" s="367"/>
      <c r="O692" s="367"/>
      <c r="P692" s="367"/>
      <c r="Q692" s="367"/>
      <c r="R692" s="367"/>
      <c r="S692" s="367"/>
      <c r="T692" s="367"/>
      <c r="U692" s="367"/>
      <c r="V692" s="367"/>
      <c r="W692" s="367"/>
      <c r="X692" s="367"/>
      <c r="Y692" s="367"/>
      <c r="Z692" s="367"/>
      <c r="AA692" s="367"/>
      <c r="AB692" s="367"/>
      <c r="AC692" s="367"/>
      <c r="AD692" s="367"/>
      <c r="AE692" s="367"/>
      <c r="AF692" s="367"/>
    </row>
    <row r="693" ht="15.75" customHeight="1">
      <c r="A693" s="359"/>
      <c r="B693" s="361"/>
      <c r="C693" s="361"/>
      <c r="D693" s="361"/>
      <c r="E693" s="367"/>
      <c r="F693" s="367"/>
      <c r="G693" s="367"/>
      <c r="H693" s="367"/>
      <c r="I693" s="367"/>
      <c r="J693" s="367"/>
      <c r="K693" s="367"/>
      <c r="L693" s="367"/>
      <c r="M693" s="367"/>
      <c r="N693" s="367"/>
      <c r="O693" s="367"/>
      <c r="P693" s="367"/>
      <c r="Q693" s="367"/>
      <c r="R693" s="367"/>
      <c r="S693" s="367"/>
      <c r="T693" s="367"/>
      <c r="U693" s="367"/>
      <c r="V693" s="367"/>
      <c r="W693" s="367"/>
      <c r="X693" s="367"/>
      <c r="Y693" s="367"/>
      <c r="Z693" s="367"/>
      <c r="AA693" s="367"/>
      <c r="AB693" s="367"/>
      <c r="AC693" s="367"/>
      <c r="AD693" s="367"/>
      <c r="AE693" s="367"/>
      <c r="AF693" s="367"/>
    </row>
    <row r="694" ht="15.75" customHeight="1">
      <c r="A694" s="359"/>
      <c r="B694" s="361"/>
      <c r="C694" s="361"/>
      <c r="D694" s="361"/>
      <c r="E694" s="367"/>
      <c r="F694" s="367"/>
      <c r="G694" s="367"/>
      <c r="H694" s="367"/>
      <c r="I694" s="367"/>
      <c r="J694" s="367"/>
      <c r="K694" s="367"/>
      <c r="L694" s="367"/>
      <c r="M694" s="367"/>
      <c r="N694" s="367"/>
      <c r="O694" s="367"/>
      <c r="P694" s="367"/>
      <c r="Q694" s="367"/>
      <c r="R694" s="367"/>
      <c r="S694" s="367"/>
      <c r="T694" s="367"/>
      <c r="U694" s="367"/>
      <c r="V694" s="367"/>
      <c r="W694" s="367"/>
      <c r="X694" s="367"/>
      <c r="Y694" s="367"/>
      <c r="Z694" s="367"/>
      <c r="AA694" s="367"/>
      <c r="AB694" s="367"/>
      <c r="AC694" s="367"/>
      <c r="AD694" s="367"/>
      <c r="AE694" s="367"/>
      <c r="AF694" s="367"/>
    </row>
    <row r="695" ht="15.75" customHeight="1">
      <c r="A695" s="359"/>
      <c r="B695" s="361"/>
      <c r="C695" s="361"/>
      <c r="D695" s="361"/>
      <c r="E695" s="367"/>
      <c r="F695" s="367"/>
      <c r="G695" s="367"/>
      <c r="H695" s="367"/>
      <c r="I695" s="367"/>
      <c r="J695" s="367"/>
      <c r="K695" s="367"/>
      <c r="L695" s="367"/>
      <c r="M695" s="367"/>
      <c r="N695" s="367"/>
      <c r="O695" s="367"/>
      <c r="P695" s="367"/>
      <c r="Q695" s="367"/>
      <c r="R695" s="367"/>
      <c r="S695" s="367"/>
      <c r="T695" s="367"/>
      <c r="U695" s="367"/>
      <c r="V695" s="367"/>
      <c r="W695" s="367"/>
      <c r="X695" s="367"/>
      <c r="Y695" s="367"/>
      <c r="Z695" s="367"/>
      <c r="AA695" s="367"/>
      <c r="AB695" s="367"/>
      <c r="AC695" s="367"/>
      <c r="AD695" s="367"/>
      <c r="AE695" s="367"/>
      <c r="AF695" s="367"/>
    </row>
    <row r="696" ht="15.75" customHeight="1">
      <c r="A696" s="359"/>
      <c r="B696" s="361"/>
      <c r="C696" s="361"/>
      <c r="D696" s="361"/>
      <c r="E696" s="367"/>
      <c r="F696" s="367"/>
      <c r="G696" s="367"/>
      <c r="H696" s="367"/>
      <c r="I696" s="367"/>
      <c r="J696" s="367"/>
      <c r="K696" s="367"/>
      <c r="L696" s="367"/>
      <c r="M696" s="367"/>
      <c r="N696" s="367"/>
      <c r="O696" s="367"/>
      <c r="P696" s="367"/>
      <c r="Q696" s="367"/>
      <c r="R696" s="367"/>
      <c r="S696" s="367"/>
      <c r="T696" s="367"/>
      <c r="U696" s="367"/>
      <c r="V696" s="367"/>
      <c r="W696" s="367"/>
      <c r="X696" s="367"/>
      <c r="Y696" s="367"/>
      <c r="Z696" s="367"/>
      <c r="AA696" s="367"/>
      <c r="AB696" s="367"/>
      <c r="AC696" s="367"/>
      <c r="AD696" s="367"/>
      <c r="AE696" s="367"/>
      <c r="AF696" s="367"/>
    </row>
    <row r="697" ht="15.75" customHeight="1">
      <c r="A697" s="359"/>
      <c r="B697" s="361"/>
      <c r="C697" s="361"/>
      <c r="D697" s="361"/>
      <c r="E697" s="367"/>
      <c r="F697" s="367"/>
      <c r="G697" s="367"/>
      <c r="H697" s="367"/>
      <c r="I697" s="367"/>
      <c r="J697" s="367"/>
      <c r="K697" s="367"/>
      <c r="L697" s="367"/>
      <c r="M697" s="367"/>
      <c r="N697" s="367"/>
      <c r="O697" s="367"/>
      <c r="P697" s="367"/>
      <c r="Q697" s="367"/>
      <c r="R697" s="367"/>
      <c r="S697" s="367"/>
      <c r="T697" s="367"/>
      <c r="U697" s="367"/>
      <c r="V697" s="367"/>
      <c r="W697" s="367"/>
      <c r="X697" s="367"/>
      <c r="Y697" s="367"/>
      <c r="Z697" s="367"/>
      <c r="AA697" s="367"/>
      <c r="AB697" s="367"/>
      <c r="AC697" s="367"/>
      <c r="AD697" s="367"/>
      <c r="AE697" s="367"/>
      <c r="AF697" s="367"/>
    </row>
    <row r="698" ht="15.75" customHeight="1">
      <c r="A698" s="359"/>
      <c r="B698" s="361"/>
      <c r="C698" s="361"/>
      <c r="D698" s="361"/>
      <c r="E698" s="367"/>
      <c r="F698" s="367"/>
      <c r="G698" s="367"/>
      <c r="H698" s="367"/>
      <c r="I698" s="367"/>
      <c r="J698" s="367"/>
      <c r="K698" s="367"/>
      <c r="L698" s="367"/>
      <c r="M698" s="367"/>
      <c r="N698" s="367"/>
      <c r="O698" s="367"/>
      <c r="P698" s="367"/>
      <c r="Q698" s="367"/>
      <c r="R698" s="367"/>
      <c r="S698" s="367"/>
      <c r="T698" s="367"/>
      <c r="U698" s="367"/>
      <c r="V698" s="367"/>
      <c r="W698" s="367"/>
      <c r="X698" s="367"/>
      <c r="Y698" s="367"/>
      <c r="Z698" s="367"/>
      <c r="AA698" s="367"/>
      <c r="AB698" s="367"/>
      <c r="AC698" s="367"/>
      <c r="AD698" s="367"/>
      <c r="AE698" s="367"/>
      <c r="AF698" s="367"/>
    </row>
    <row r="699" ht="15.75" customHeight="1">
      <c r="A699" s="359"/>
      <c r="B699" s="361"/>
      <c r="C699" s="361"/>
      <c r="D699" s="361"/>
      <c r="E699" s="367"/>
      <c r="F699" s="367"/>
      <c r="G699" s="367"/>
      <c r="H699" s="367"/>
      <c r="I699" s="367"/>
      <c r="J699" s="367"/>
      <c r="K699" s="367"/>
      <c r="L699" s="367"/>
      <c r="M699" s="367"/>
      <c r="N699" s="367"/>
      <c r="O699" s="367"/>
      <c r="P699" s="367"/>
      <c r="Q699" s="367"/>
      <c r="R699" s="367"/>
      <c r="S699" s="367"/>
      <c r="T699" s="367"/>
      <c r="U699" s="367"/>
      <c r="V699" s="367"/>
      <c r="W699" s="367"/>
      <c r="X699" s="367"/>
      <c r="Y699" s="367"/>
      <c r="Z699" s="367"/>
      <c r="AA699" s="367"/>
      <c r="AB699" s="367"/>
      <c r="AC699" s="367"/>
      <c r="AD699" s="367"/>
      <c r="AE699" s="367"/>
      <c r="AF699" s="367"/>
    </row>
    <row r="700" ht="15.75" customHeight="1">
      <c r="A700" s="359"/>
      <c r="B700" s="361"/>
      <c r="C700" s="361"/>
      <c r="D700" s="361"/>
      <c r="E700" s="367"/>
      <c r="F700" s="367"/>
      <c r="G700" s="367"/>
      <c r="H700" s="367"/>
      <c r="I700" s="367"/>
      <c r="J700" s="367"/>
      <c r="K700" s="367"/>
      <c r="L700" s="367"/>
      <c r="M700" s="367"/>
      <c r="N700" s="367"/>
      <c r="O700" s="367"/>
      <c r="P700" s="367"/>
      <c r="Q700" s="367"/>
      <c r="R700" s="367"/>
      <c r="S700" s="367"/>
      <c r="T700" s="367"/>
      <c r="U700" s="367"/>
      <c r="V700" s="367"/>
      <c r="W700" s="367"/>
      <c r="X700" s="367"/>
      <c r="Y700" s="367"/>
      <c r="Z700" s="367"/>
      <c r="AA700" s="367"/>
      <c r="AB700" s="367"/>
      <c r="AC700" s="367"/>
      <c r="AD700" s="367"/>
      <c r="AE700" s="367"/>
      <c r="AF700" s="367"/>
    </row>
    <row r="701" ht="15.75" customHeight="1">
      <c r="A701" s="359"/>
      <c r="B701" s="361"/>
      <c r="C701" s="361"/>
      <c r="D701" s="361"/>
      <c r="E701" s="367"/>
      <c r="F701" s="367"/>
      <c r="G701" s="367"/>
      <c r="H701" s="367"/>
      <c r="I701" s="367"/>
      <c r="J701" s="367"/>
      <c r="K701" s="367"/>
      <c r="L701" s="367"/>
      <c r="M701" s="367"/>
      <c r="N701" s="367"/>
      <c r="O701" s="367"/>
      <c r="P701" s="367"/>
      <c r="Q701" s="367"/>
      <c r="R701" s="367"/>
      <c r="S701" s="367"/>
      <c r="T701" s="367"/>
      <c r="U701" s="367"/>
      <c r="V701" s="367"/>
      <c r="W701" s="367"/>
      <c r="X701" s="367"/>
      <c r="Y701" s="367"/>
      <c r="Z701" s="367"/>
      <c r="AA701" s="367"/>
      <c r="AB701" s="367"/>
      <c r="AC701" s="367"/>
      <c r="AD701" s="367"/>
      <c r="AE701" s="367"/>
      <c r="AF701" s="367"/>
    </row>
    <row r="702" ht="15.75" customHeight="1">
      <c r="A702" s="359"/>
      <c r="B702" s="361"/>
      <c r="C702" s="361"/>
      <c r="D702" s="361"/>
      <c r="E702" s="367"/>
      <c r="F702" s="367"/>
      <c r="G702" s="367"/>
      <c r="H702" s="367"/>
      <c r="I702" s="367"/>
      <c r="J702" s="367"/>
      <c r="K702" s="367"/>
      <c r="L702" s="367"/>
      <c r="M702" s="367"/>
      <c r="N702" s="367"/>
      <c r="O702" s="367"/>
      <c r="P702" s="367"/>
      <c r="Q702" s="367"/>
      <c r="R702" s="367"/>
      <c r="S702" s="367"/>
      <c r="T702" s="367"/>
      <c r="U702" s="367"/>
      <c r="V702" s="367"/>
      <c r="W702" s="367"/>
      <c r="X702" s="367"/>
      <c r="Y702" s="367"/>
      <c r="Z702" s="367"/>
      <c r="AA702" s="367"/>
      <c r="AB702" s="367"/>
      <c r="AC702" s="367"/>
      <c r="AD702" s="367"/>
      <c r="AE702" s="367"/>
      <c r="AF702" s="367"/>
    </row>
    <row r="703" ht="15.75" customHeight="1">
      <c r="A703" s="359"/>
      <c r="B703" s="361"/>
      <c r="C703" s="361"/>
      <c r="D703" s="361"/>
      <c r="E703" s="367"/>
      <c r="F703" s="367"/>
      <c r="G703" s="367"/>
      <c r="H703" s="367"/>
      <c r="I703" s="367"/>
      <c r="J703" s="367"/>
      <c r="K703" s="367"/>
      <c r="L703" s="367"/>
      <c r="M703" s="367"/>
      <c r="N703" s="367"/>
      <c r="O703" s="367"/>
      <c r="P703" s="367"/>
      <c r="Q703" s="367"/>
      <c r="R703" s="367"/>
      <c r="S703" s="367"/>
      <c r="T703" s="367"/>
      <c r="U703" s="367"/>
      <c r="V703" s="367"/>
      <c r="W703" s="367"/>
      <c r="X703" s="367"/>
      <c r="Y703" s="367"/>
      <c r="Z703" s="367"/>
      <c r="AA703" s="367"/>
      <c r="AB703" s="367"/>
      <c r="AC703" s="367"/>
      <c r="AD703" s="367"/>
      <c r="AE703" s="367"/>
      <c r="AF703" s="367"/>
    </row>
    <row r="704" ht="15.75" customHeight="1">
      <c r="A704" s="359"/>
      <c r="B704" s="361"/>
      <c r="C704" s="361"/>
      <c r="D704" s="361"/>
      <c r="E704" s="367"/>
      <c r="F704" s="367"/>
      <c r="G704" s="367"/>
      <c r="H704" s="367"/>
      <c r="I704" s="367"/>
      <c r="J704" s="367"/>
      <c r="K704" s="367"/>
      <c r="L704" s="367"/>
      <c r="M704" s="367"/>
      <c r="N704" s="367"/>
      <c r="O704" s="367"/>
      <c r="P704" s="367"/>
      <c r="Q704" s="367"/>
      <c r="R704" s="367"/>
      <c r="S704" s="367"/>
      <c r="T704" s="367"/>
      <c r="U704" s="367"/>
      <c r="V704" s="367"/>
      <c r="W704" s="367"/>
      <c r="X704" s="367"/>
      <c r="Y704" s="367"/>
      <c r="Z704" s="367"/>
      <c r="AA704" s="367"/>
      <c r="AB704" s="367"/>
      <c r="AC704" s="367"/>
      <c r="AD704" s="367"/>
      <c r="AE704" s="367"/>
      <c r="AF704" s="367"/>
    </row>
    <row r="705" ht="15.75" customHeight="1">
      <c r="A705" s="359"/>
      <c r="B705" s="361"/>
      <c r="C705" s="361"/>
      <c r="D705" s="361"/>
      <c r="E705" s="367"/>
      <c r="F705" s="367"/>
      <c r="G705" s="367"/>
      <c r="H705" s="367"/>
      <c r="I705" s="367"/>
      <c r="J705" s="367"/>
      <c r="K705" s="367"/>
      <c r="L705" s="367"/>
      <c r="M705" s="367"/>
      <c r="N705" s="367"/>
      <c r="O705" s="367"/>
      <c r="P705" s="367"/>
      <c r="Q705" s="367"/>
      <c r="R705" s="367"/>
      <c r="S705" s="367"/>
      <c r="T705" s="367"/>
      <c r="U705" s="367"/>
      <c r="V705" s="367"/>
      <c r="W705" s="367"/>
      <c r="X705" s="367"/>
      <c r="Y705" s="367"/>
      <c r="Z705" s="367"/>
      <c r="AA705" s="367"/>
      <c r="AB705" s="367"/>
      <c r="AC705" s="367"/>
      <c r="AD705" s="367"/>
      <c r="AE705" s="367"/>
      <c r="AF705" s="367"/>
    </row>
    <row r="706" ht="15.75" customHeight="1">
      <c r="A706" s="359"/>
      <c r="B706" s="361"/>
      <c r="C706" s="361"/>
      <c r="D706" s="361"/>
      <c r="E706" s="367"/>
      <c r="F706" s="367"/>
      <c r="G706" s="367"/>
      <c r="H706" s="367"/>
      <c r="I706" s="367"/>
      <c r="J706" s="367"/>
      <c r="K706" s="367"/>
      <c r="L706" s="367"/>
      <c r="M706" s="367"/>
      <c r="N706" s="367"/>
      <c r="O706" s="367"/>
      <c r="P706" s="367"/>
      <c r="Q706" s="367"/>
      <c r="R706" s="367"/>
      <c r="S706" s="367"/>
      <c r="T706" s="367"/>
      <c r="U706" s="367"/>
      <c r="V706" s="367"/>
      <c r="W706" s="367"/>
      <c r="X706" s="367"/>
      <c r="Y706" s="367"/>
      <c r="Z706" s="367"/>
      <c r="AA706" s="367"/>
      <c r="AB706" s="367"/>
      <c r="AC706" s="367"/>
      <c r="AD706" s="367"/>
      <c r="AE706" s="367"/>
      <c r="AF706" s="367"/>
    </row>
    <row r="707" ht="15.75" customHeight="1">
      <c r="A707" s="359"/>
      <c r="B707" s="361"/>
      <c r="C707" s="361"/>
      <c r="D707" s="361"/>
      <c r="E707" s="367"/>
      <c r="F707" s="367"/>
      <c r="G707" s="367"/>
      <c r="H707" s="367"/>
      <c r="I707" s="367"/>
      <c r="J707" s="367"/>
      <c r="K707" s="367"/>
      <c r="L707" s="367"/>
      <c r="M707" s="367"/>
      <c r="N707" s="367"/>
      <c r="O707" s="367"/>
      <c r="P707" s="367"/>
      <c r="Q707" s="367"/>
      <c r="R707" s="367"/>
      <c r="S707" s="367"/>
      <c r="T707" s="367"/>
      <c r="U707" s="367"/>
      <c r="V707" s="367"/>
      <c r="W707" s="367"/>
      <c r="X707" s="367"/>
      <c r="Y707" s="367"/>
      <c r="Z707" s="367"/>
      <c r="AA707" s="367"/>
      <c r="AB707" s="367"/>
      <c r="AC707" s="367"/>
      <c r="AD707" s="367"/>
      <c r="AE707" s="367"/>
      <c r="AF707" s="367"/>
    </row>
    <row r="708" ht="15.75" customHeight="1">
      <c r="A708" s="359"/>
      <c r="B708" s="361"/>
      <c r="C708" s="361"/>
      <c r="D708" s="361"/>
      <c r="E708" s="367"/>
      <c r="F708" s="367"/>
      <c r="G708" s="367"/>
      <c r="H708" s="367"/>
      <c r="I708" s="367"/>
      <c r="J708" s="367"/>
      <c r="K708" s="367"/>
      <c r="L708" s="367"/>
      <c r="M708" s="367"/>
      <c r="N708" s="367"/>
      <c r="O708" s="367"/>
      <c r="P708" s="367"/>
      <c r="Q708" s="367"/>
      <c r="R708" s="367"/>
      <c r="S708" s="367"/>
      <c r="T708" s="367"/>
      <c r="U708" s="367"/>
      <c r="V708" s="367"/>
      <c r="W708" s="367"/>
      <c r="X708" s="367"/>
      <c r="Y708" s="367"/>
      <c r="Z708" s="367"/>
      <c r="AA708" s="367"/>
      <c r="AB708" s="367"/>
      <c r="AC708" s="367"/>
      <c r="AD708" s="367"/>
      <c r="AE708" s="367"/>
      <c r="AF708" s="367"/>
    </row>
    <row r="709" ht="15.75" customHeight="1">
      <c r="A709" s="359"/>
      <c r="B709" s="361"/>
      <c r="C709" s="361"/>
      <c r="D709" s="361"/>
      <c r="E709" s="367"/>
      <c r="F709" s="367"/>
      <c r="G709" s="367"/>
      <c r="H709" s="367"/>
      <c r="I709" s="367"/>
      <c r="J709" s="367"/>
      <c r="K709" s="367"/>
      <c r="L709" s="367"/>
      <c r="M709" s="367"/>
      <c r="N709" s="367"/>
      <c r="O709" s="367"/>
      <c r="P709" s="367"/>
      <c r="Q709" s="367"/>
      <c r="R709" s="367"/>
      <c r="S709" s="367"/>
      <c r="T709" s="367"/>
      <c r="U709" s="367"/>
      <c r="V709" s="367"/>
      <c r="W709" s="367"/>
      <c r="X709" s="367"/>
      <c r="Y709" s="367"/>
      <c r="Z709" s="367"/>
      <c r="AA709" s="367"/>
      <c r="AB709" s="367"/>
      <c r="AC709" s="367"/>
      <c r="AD709" s="367"/>
      <c r="AE709" s="367"/>
      <c r="AF709" s="367"/>
    </row>
    <row r="710" ht="15.75" customHeight="1">
      <c r="A710" s="359"/>
      <c r="B710" s="361"/>
      <c r="C710" s="361"/>
      <c r="D710" s="361"/>
      <c r="E710" s="367"/>
      <c r="F710" s="367"/>
      <c r="G710" s="367"/>
      <c r="H710" s="367"/>
      <c r="I710" s="367"/>
      <c r="J710" s="367"/>
      <c r="K710" s="367"/>
      <c r="L710" s="367"/>
      <c r="M710" s="367"/>
      <c r="N710" s="367"/>
      <c r="O710" s="367"/>
      <c r="P710" s="367"/>
      <c r="Q710" s="367"/>
      <c r="R710" s="367"/>
      <c r="S710" s="367"/>
      <c r="T710" s="367"/>
      <c r="U710" s="367"/>
      <c r="V710" s="367"/>
      <c r="W710" s="367"/>
      <c r="X710" s="367"/>
      <c r="Y710" s="367"/>
      <c r="Z710" s="367"/>
      <c r="AA710" s="367"/>
      <c r="AB710" s="367"/>
      <c r="AC710" s="367"/>
      <c r="AD710" s="367"/>
      <c r="AE710" s="367"/>
      <c r="AF710" s="367"/>
    </row>
    <row r="711" ht="15.75" customHeight="1">
      <c r="A711" s="359"/>
      <c r="B711" s="361"/>
      <c r="C711" s="361"/>
      <c r="D711" s="361"/>
      <c r="E711" s="367"/>
      <c r="F711" s="367"/>
      <c r="G711" s="367"/>
      <c r="H711" s="367"/>
      <c r="I711" s="367"/>
      <c r="J711" s="367"/>
      <c r="K711" s="367"/>
      <c r="L711" s="367"/>
      <c r="M711" s="367"/>
      <c r="N711" s="367"/>
      <c r="O711" s="367"/>
      <c r="P711" s="367"/>
      <c r="Q711" s="367"/>
      <c r="R711" s="367"/>
      <c r="S711" s="367"/>
      <c r="T711" s="367"/>
      <c r="U711" s="367"/>
      <c r="V711" s="367"/>
      <c r="W711" s="367"/>
      <c r="X711" s="367"/>
      <c r="Y711" s="367"/>
      <c r="Z711" s="367"/>
      <c r="AA711" s="367"/>
      <c r="AB711" s="367"/>
      <c r="AC711" s="367"/>
      <c r="AD711" s="367"/>
      <c r="AE711" s="367"/>
      <c r="AF711" s="367"/>
    </row>
    <row r="712" ht="15.75" customHeight="1">
      <c r="A712" s="359"/>
      <c r="B712" s="361"/>
      <c r="C712" s="361"/>
      <c r="D712" s="361"/>
      <c r="E712" s="367"/>
      <c r="F712" s="367"/>
      <c r="G712" s="367"/>
      <c r="H712" s="367"/>
      <c r="I712" s="367"/>
      <c r="J712" s="367"/>
      <c r="K712" s="367"/>
      <c r="L712" s="367"/>
      <c r="M712" s="367"/>
      <c r="N712" s="367"/>
      <c r="O712" s="367"/>
      <c r="P712" s="367"/>
      <c r="Q712" s="367"/>
      <c r="R712" s="367"/>
      <c r="S712" s="367"/>
      <c r="T712" s="367"/>
      <c r="U712" s="367"/>
      <c r="V712" s="367"/>
      <c r="W712" s="367"/>
      <c r="X712" s="367"/>
      <c r="Y712" s="367"/>
      <c r="Z712" s="367"/>
      <c r="AA712" s="367"/>
      <c r="AB712" s="367"/>
      <c r="AC712" s="367"/>
      <c r="AD712" s="367"/>
      <c r="AE712" s="367"/>
      <c r="AF712" s="367"/>
    </row>
    <row r="713" ht="15.75" customHeight="1">
      <c r="A713" s="359"/>
      <c r="B713" s="361"/>
      <c r="C713" s="361"/>
      <c r="D713" s="361"/>
      <c r="E713" s="367"/>
      <c r="F713" s="367"/>
      <c r="G713" s="367"/>
      <c r="H713" s="367"/>
      <c r="I713" s="367"/>
      <c r="J713" s="367"/>
      <c r="K713" s="367"/>
      <c r="L713" s="367"/>
      <c r="M713" s="367"/>
      <c r="N713" s="367"/>
      <c r="O713" s="367"/>
      <c r="P713" s="367"/>
      <c r="Q713" s="367"/>
      <c r="R713" s="367"/>
      <c r="S713" s="367"/>
      <c r="T713" s="367"/>
      <c r="U713" s="367"/>
      <c r="V713" s="367"/>
      <c r="W713" s="367"/>
      <c r="X713" s="367"/>
      <c r="Y713" s="367"/>
      <c r="Z713" s="367"/>
      <c r="AA713" s="367"/>
      <c r="AB713" s="367"/>
      <c r="AC713" s="367"/>
      <c r="AD713" s="367"/>
      <c r="AE713" s="367"/>
      <c r="AF713" s="367"/>
    </row>
    <row r="714" ht="15.75" customHeight="1">
      <c r="A714" s="359"/>
      <c r="B714" s="361"/>
      <c r="C714" s="361"/>
      <c r="D714" s="361"/>
      <c r="E714" s="367"/>
      <c r="F714" s="367"/>
      <c r="G714" s="367"/>
      <c r="H714" s="367"/>
      <c r="I714" s="367"/>
      <c r="J714" s="367"/>
      <c r="K714" s="367"/>
      <c r="L714" s="367"/>
      <c r="M714" s="367"/>
      <c r="N714" s="367"/>
      <c r="O714" s="367"/>
      <c r="P714" s="367"/>
      <c r="Q714" s="367"/>
      <c r="R714" s="367"/>
      <c r="S714" s="367"/>
      <c r="T714" s="367"/>
      <c r="U714" s="367"/>
      <c r="V714" s="367"/>
      <c r="W714" s="367"/>
      <c r="X714" s="367"/>
      <c r="Y714" s="367"/>
      <c r="Z714" s="367"/>
      <c r="AA714" s="367"/>
      <c r="AB714" s="367"/>
      <c r="AC714" s="367"/>
      <c r="AD714" s="367"/>
      <c r="AE714" s="367"/>
      <c r="AF714" s="367"/>
    </row>
    <row r="715" ht="15.75" customHeight="1">
      <c r="A715" s="359"/>
      <c r="B715" s="361"/>
      <c r="C715" s="361"/>
      <c r="D715" s="361"/>
      <c r="E715" s="367"/>
      <c r="F715" s="367"/>
      <c r="G715" s="367"/>
      <c r="H715" s="367"/>
      <c r="I715" s="367"/>
      <c r="J715" s="367"/>
      <c r="K715" s="367"/>
      <c r="L715" s="367"/>
      <c r="M715" s="367"/>
      <c r="N715" s="367"/>
      <c r="O715" s="367"/>
      <c r="P715" s="367"/>
      <c r="Q715" s="367"/>
      <c r="R715" s="367"/>
      <c r="S715" s="367"/>
      <c r="T715" s="367"/>
      <c r="U715" s="367"/>
      <c r="V715" s="367"/>
      <c r="W715" s="367"/>
      <c r="X715" s="367"/>
      <c r="Y715" s="367"/>
      <c r="Z715" s="367"/>
      <c r="AA715" s="367"/>
      <c r="AB715" s="367"/>
      <c r="AC715" s="367"/>
      <c r="AD715" s="367"/>
      <c r="AE715" s="367"/>
      <c r="AF715" s="367"/>
    </row>
    <row r="716" ht="15.75" customHeight="1">
      <c r="A716" s="359"/>
      <c r="B716" s="361"/>
      <c r="C716" s="361"/>
      <c r="D716" s="361"/>
      <c r="E716" s="367"/>
      <c r="F716" s="367"/>
      <c r="G716" s="367"/>
      <c r="H716" s="367"/>
      <c r="I716" s="367"/>
      <c r="J716" s="367"/>
      <c r="K716" s="367"/>
      <c r="L716" s="367"/>
      <c r="M716" s="367"/>
      <c r="N716" s="367"/>
      <c r="O716" s="367"/>
      <c r="P716" s="367"/>
      <c r="Q716" s="367"/>
      <c r="R716" s="367"/>
      <c r="S716" s="367"/>
      <c r="T716" s="367"/>
      <c r="U716" s="367"/>
      <c r="V716" s="367"/>
      <c r="W716" s="367"/>
      <c r="X716" s="367"/>
      <c r="Y716" s="367"/>
      <c r="Z716" s="367"/>
      <c r="AA716" s="367"/>
      <c r="AB716" s="367"/>
      <c r="AC716" s="367"/>
      <c r="AD716" s="367"/>
      <c r="AE716" s="367"/>
      <c r="AF716" s="367"/>
    </row>
    <row r="717" ht="15.75" customHeight="1">
      <c r="A717" s="359"/>
      <c r="B717" s="361"/>
      <c r="C717" s="361"/>
      <c r="D717" s="361"/>
      <c r="E717" s="367"/>
      <c r="F717" s="367"/>
      <c r="G717" s="367"/>
      <c r="H717" s="367"/>
      <c r="I717" s="367"/>
      <c r="J717" s="367"/>
      <c r="K717" s="367"/>
      <c r="L717" s="367"/>
      <c r="M717" s="367"/>
      <c r="N717" s="367"/>
      <c r="O717" s="367"/>
      <c r="P717" s="367"/>
      <c r="Q717" s="367"/>
      <c r="R717" s="367"/>
      <c r="S717" s="367"/>
      <c r="T717" s="367"/>
      <c r="U717" s="367"/>
      <c r="V717" s="367"/>
      <c r="W717" s="367"/>
      <c r="X717" s="367"/>
      <c r="Y717" s="367"/>
      <c r="Z717" s="367"/>
      <c r="AA717" s="367"/>
      <c r="AB717" s="367"/>
      <c r="AC717" s="367"/>
      <c r="AD717" s="367"/>
      <c r="AE717" s="367"/>
      <c r="AF717" s="367"/>
    </row>
    <row r="718" ht="15.75" customHeight="1">
      <c r="A718" s="359"/>
      <c r="B718" s="361"/>
      <c r="C718" s="361"/>
      <c r="D718" s="361"/>
      <c r="E718" s="367"/>
      <c r="F718" s="367"/>
      <c r="G718" s="367"/>
      <c r="H718" s="367"/>
      <c r="I718" s="367"/>
      <c r="J718" s="367"/>
      <c r="K718" s="367"/>
      <c r="L718" s="367"/>
      <c r="M718" s="367"/>
      <c r="N718" s="367"/>
      <c r="O718" s="367"/>
      <c r="P718" s="367"/>
      <c r="Q718" s="367"/>
      <c r="R718" s="367"/>
      <c r="S718" s="367"/>
      <c r="T718" s="367"/>
      <c r="U718" s="367"/>
      <c r="V718" s="367"/>
      <c r="W718" s="367"/>
      <c r="X718" s="367"/>
      <c r="Y718" s="367"/>
      <c r="Z718" s="367"/>
      <c r="AA718" s="367"/>
      <c r="AB718" s="367"/>
      <c r="AC718" s="367"/>
      <c r="AD718" s="367"/>
      <c r="AE718" s="367"/>
      <c r="AF718" s="367"/>
    </row>
    <row r="719" ht="15.75" customHeight="1">
      <c r="A719" s="359"/>
      <c r="B719" s="361"/>
      <c r="C719" s="361"/>
      <c r="D719" s="361"/>
      <c r="E719" s="367"/>
      <c r="F719" s="367"/>
      <c r="G719" s="367"/>
      <c r="H719" s="367"/>
      <c r="I719" s="367"/>
      <c r="J719" s="367"/>
      <c r="K719" s="367"/>
      <c r="L719" s="367"/>
      <c r="M719" s="367"/>
      <c r="N719" s="367"/>
      <c r="O719" s="367"/>
      <c r="P719" s="367"/>
      <c r="Q719" s="367"/>
      <c r="R719" s="367"/>
      <c r="S719" s="367"/>
      <c r="T719" s="367"/>
      <c r="U719" s="367"/>
      <c r="V719" s="367"/>
      <c r="W719" s="367"/>
      <c r="X719" s="367"/>
      <c r="Y719" s="367"/>
      <c r="Z719" s="367"/>
      <c r="AA719" s="367"/>
      <c r="AB719" s="367"/>
      <c r="AC719" s="367"/>
      <c r="AD719" s="367"/>
      <c r="AE719" s="367"/>
      <c r="AF719" s="367"/>
    </row>
    <row r="720" ht="15.75" customHeight="1">
      <c r="A720" s="359"/>
      <c r="B720" s="361"/>
      <c r="C720" s="361"/>
      <c r="D720" s="361"/>
      <c r="E720" s="367"/>
      <c r="F720" s="367"/>
      <c r="G720" s="367"/>
      <c r="H720" s="367"/>
      <c r="I720" s="367"/>
      <c r="J720" s="367"/>
      <c r="K720" s="367"/>
      <c r="L720" s="367"/>
      <c r="M720" s="367"/>
      <c r="N720" s="367"/>
      <c r="O720" s="367"/>
      <c r="P720" s="367"/>
      <c r="Q720" s="367"/>
      <c r="R720" s="367"/>
      <c r="S720" s="367"/>
      <c r="T720" s="367"/>
      <c r="U720" s="367"/>
      <c r="V720" s="367"/>
      <c r="W720" s="367"/>
      <c r="X720" s="367"/>
      <c r="Y720" s="367"/>
      <c r="Z720" s="367"/>
      <c r="AA720" s="367"/>
      <c r="AB720" s="367"/>
      <c r="AC720" s="367"/>
      <c r="AD720" s="367"/>
      <c r="AE720" s="367"/>
      <c r="AF720" s="367"/>
    </row>
    <row r="721" ht="15.75" customHeight="1">
      <c r="A721" s="359"/>
      <c r="B721" s="361"/>
      <c r="C721" s="361"/>
      <c r="D721" s="361"/>
      <c r="E721" s="367"/>
      <c r="F721" s="367"/>
      <c r="G721" s="367"/>
      <c r="H721" s="367"/>
      <c r="I721" s="367"/>
      <c r="J721" s="367"/>
      <c r="K721" s="367"/>
      <c r="L721" s="367"/>
      <c r="M721" s="367"/>
      <c r="N721" s="367"/>
      <c r="O721" s="367"/>
      <c r="P721" s="367"/>
      <c r="Q721" s="367"/>
      <c r="R721" s="367"/>
      <c r="S721" s="367"/>
      <c r="T721" s="367"/>
      <c r="U721" s="367"/>
      <c r="V721" s="367"/>
      <c r="W721" s="367"/>
      <c r="X721" s="367"/>
      <c r="Y721" s="367"/>
      <c r="Z721" s="367"/>
      <c r="AA721" s="367"/>
      <c r="AB721" s="367"/>
      <c r="AC721" s="367"/>
      <c r="AD721" s="367"/>
      <c r="AE721" s="367"/>
      <c r="AF721" s="367"/>
    </row>
    <row r="722" ht="15.75" customHeight="1">
      <c r="A722" s="359"/>
      <c r="B722" s="361"/>
      <c r="C722" s="361"/>
      <c r="D722" s="361"/>
      <c r="E722" s="367"/>
      <c r="F722" s="367"/>
      <c r="G722" s="367"/>
      <c r="H722" s="367"/>
      <c r="I722" s="367"/>
      <c r="J722" s="367"/>
      <c r="K722" s="367"/>
      <c r="L722" s="367"/>
      <c r="M722" s="367"/>
      <c r="N722" s="367"/>
      <c r="O722" s="367"/>
      <c r="P722" s="367"/>
      <c r="Q722" s="367"/>
      <c r="R722" s="367"/>
      <c r="S722" s="367"/>
      <c r="T722" s="367"/>
      <c r="U722" s="367"/>
      <c r="V722" s="367"/>
      <c r="W722" s="367"/>
      <c r="X722" s="367"/>
      <c r="Y722" s="367"/>
      <c r="Z722" s="367"/>
      <c r="AA722" s="367"/>
      <c r="AB722" s="367"/>
      <c r="AC722" s="367"/>
      <c r="AD722" s="367"/>
      <c r="AE722" s="367"/>
      <c r="AF722" s="367"/>
    </row>
    <row r="723" ht="15.75" customHeight="1">
      <c r="A723" s="359"/>
      <c r="B723" s="361"/>
      <c r="C723" s="361"/>
      <c r="D723" s="361"/>
      <c r="E723" s="367"/>
      <c r="F723" s="367"/>
      <c r="G723" s="367"/>
      <c r="H723" s="367"/>
      <c r="I723" s="367"/>
      <c r="J723" s="367"/>
      <c r="K723" s="367"/>
      <c r="L723" s="367"/>
      <c r="M723" s="367"/>
      <c r="N723" s="367"/>
      <c r="O723" s="367"/>
      <c r="P723" s="367"/>
      <c r="Q723" s="367"/>
      <c r="R723" s="367"/>
      <c r="S723" s="367"/>
      <c r="T723" s="367"/>
      <c r="U723" s="367"/>
      <c r="V723" s="367"/>
      <c r="W723" s="367"/>
      <c r="X723" s="367"/>
      <c r="Y723" s="367"/>
      <c r="Z723" s="367"/>
      <c r="AA723" s="367"/>
      <c r="AB723" s="367"/>
      <c r="AC723" s="367"/>
      <c r="AD723" s="367"/>
      <c r="AE723" s="367"/>
      <c r="AF723" s="367"/>
    </row>
    <row r="724" ht="15.75" customHeight="1">
      <c r="A724" s="359"/>
      <c r="B724" s="361"/>
      <c r="C724" s="361"/>
      <c r="D724" s="361"/>
      <c r="E724" s="367"/>
      <c r="F724" s="367"/>
      <c r="G724" s="367"/>
      <c r="H724" s="367"/>
      <c r="I724" s="367"/>
      <c r="J724" s="367"/>
      <c r="K724" s="367"/>
      <c r="L724" s="367"/>
      <c r="M724" s="367"/>
      <c r="N724" s="367"/>
      <c r="O724" s="367"/>
      <c r="P724" s="367"/>
      <c r="Q724" s="367"/>
      <c r="R724" s="367"/>
      <c r="S724" s="367"/>
      <c r="T724" s="367"/>
      <c r="U724" s="367"/>
      <c r="V724" s="367"/>
      <c r="W724" s="367"/>
      <c r="X724" s="367"/>
      <c r="Y724" s="367"/>
      <c r="Z724" s="367"/>
      <c r="AA724" s="367"/>
      <c r="AB724" s="367"/>
      <c r="AC724" s="367"/>
      <c r="AD724" s="367"/>
      <c r="AE724" s="367"/>
      <c r="AF724" s="367"/>
    </row>
    <row r="725" ht="15.75" customHeight="1">
      <c r="A725" s="359"/>
      <c r="B725" s="361"/>
      <c r="C725" s="361"/>
      <c r="D725" s="361"/>
      <c r="E725" s="367"/>
      <c r="F725" s="367"/>
      <c r="G725" s="367"/>
      <c r="H725" s="367"/>
      <c r="I725" s="367"/>
      <c r="J725" s="367"/>
      <c r="K725" s="367"/>
      <c r="L725" s="367"/>
      <c r="M725" s="367"/>
      <c r="N725" s="367"/>
      <c r="O725" s="367"/>
      <c r="P725" s="367"/>
      <c r="Q725" s="367"/>
      <c r="R725" s="367"/>
      <c r="S725" s="367"/>
      <c r="T725" s="367"/>
      <c r="U725" s="367"/>
      <c r="V725" s="367"/>
      <c r="W725" s="367"/>
      <c r="X725" s="367"/>
      <c r="Y725" s="367"/>
      <c r="Z725" s="367"/>
      <c r="AA725" s="367"/>
      <c r="AB725" s="367"/>
      <c r="AC725" s="367"/>
      <c r="AD725" s="367"/>
      <c r="AE725" s="367"/>
      <c r="AF725" s="367"/>
    </row>
    <row r="726" ht="15.75" customHeight="1">
      <c r="A726" s="359"/>
      <c r="B726" s="361"/>
      <c r="C726" s="361"/>
      <c r="D726" s="361"/>
      <c r="E726" s="367"/>
      <c r="F726" s="367"/>
      <c r="G726" s="367"/>
      <c r="H726" s="367"/>
      <c r="I726" s="367"/>
      <c r="J726" s="367"/>
      <c r="K726" s="367"/>
      <c r="L726" s="367"/>
      <c r="M726" s="367"/>
      <c r="N726" s="367"/>
      <c r="O726" s="367"/>
      <c r="P726" s="367"/>
      <c r="Q726" s="367"/>
      <c r="R726" s="367"/>
      <c r="S726" s="367"/>
      <c r="T726" s="367"/>
      <c r="U726" s="367"/>
      <c r="V726" s="367"/>
      <c r="W726" s="367"/>
      <c r="X726" s="367"/>
      <c r="Y726" s="367"/>
      <c r="Z726" s="367"/>
      <c r="AA726" s="367"/>
      <c r="AB726" s="367"/>
      <c r="AC726" s="367"/>
      <c r="AD726" s="367"/>
      <c r="AE726" s="367"/>
      <c r="AF726" s="367"/>
    </row>
    <row r="727" ht="15.75" customHeight="1">
      <c r="A727" s="359"/>
      <c r="B727" s="361"/>
      <c r="C727" s="361"/>
      <c r="D727" s="361"/>
      <c r="E727" s="367"/>
      <c r="F727" s="367"/>
      <c r="G727" s="367"/>
      <c r="H727" s="367"/>
      <c r="I727" s="367"/>
      <c r="J727" s="367"/>
      <c r="K727" s="367"/>
      <c r="L727" s="367"/>
      <c r="M727" s="367"/>
      <c r="N727" s="367"/>
      <c r="O727" s="367"/>
      <c r="P727" s="367"/>
      <c r="Q727" s="367"/>
      <c r="R727" s="367"/>
      <c r="S727" s="367"/>
      <c r="T727" s="367"/>
      <c r="U727" s="367"/>
      <c r="V727" s="367"/>
      <c r="W727" s="367"/>
      <c r="X727" s="367"/>
      <c r="Y727" s="367"/>
      <c r="Z727" s="367"/>
      <c r="AA727" s="367"/>
      <c r="AB727" s="367"/>
      <c r="AC727" s="367"/>
      <c r="AD727" s="367"/>
      <c r="AE727" s="367"/>
      <c r="AF727" s="367"/>
    </row>
    <row r="728" ht="15.75" customHeight="1">
      <c r="A728" s="359"/>
      <c r="B728" s="361"/>
      <c r="C728" s="361"/>
      <c r="D728" s="361"/>
      <c r="E728" s="367"/>
      <c r="F728" s="367"/>
      <c r="G728" s="367"/>
      <c r="H728" s="367"/>
      <c r="I728" s="367"/>
      <c r="J728" s="367"/>
      <c r="K728" s="367"/>
      <c r="L728" s="367"/>
      <c r="M728" s="367"/>
      <c r="N728" s="367"/>
      <c r="O728" s="367"/>
      <c r="P728" s="367"/>
      <c r="Q728" s="367"/>
      <c r="R728" s="367"/>
      <c r="S728" s="367"/>
      <c r="T728" s="367"/>
      <c r="U728" s="367"/>
      <c r="V728" s="367"/>
      <c r="W728" s="367"/>
      <c r="X728" s="367"/>
      <c r="Y728" s="367"/>
      <c r="Z728" s="367"/>
      <c r="AA728" s="367"/>
      <c r="AB728" s="367"/>
      <c r="AC728" s="367"/>
      <c r="AD728" s="367"/>
      <c r="AE728" s="367"/>
      <c r="AF728" s="367"/>
    </row>
    <row r="729" ht="15.75" customHeight="1">
      <c r="A729" s="359"/>
      <c r="B729" s="361"/>
      <c r="C729" s="361"/>
      <c r="D729" s="361"/>
      <c r="E729" s="367"/>
      <c r="F729" s="367"/>
      <c r="G729" s="367"/>
      <c r="H729" s="367"/>
      <c r="I729" s="367"/>
      <c r="J729" s="367"/>
      <c r="K729" s="367"/>
      <c r="L729" s="367"/>
      <c r="M729" s="367"/>
      <c r="N729" s="367"/>
      <c r="O729" s="367"/>
      <c r="P729" s="367"/>
      <c r="Q729" s="367"/>
      <c r="R729" s="367"/>
      <c r="S729" s="367"/>
      <c r="T729" s="367"/>
      <c r="U729" s="367"/>
      <c r="V729" s="367"/>
      <c r="W729" s="367"/>
      <c r="X729" s="367"/>
      <c r="Y729" s="367"/>
      <c r="Z729" s="367"/>
      <c r="AA729" s="367"/>
      <c r="AB729" s="367"/>
      <c r="AC729" s="367"/>
      <c r="AD729" s="367"/>
      <c r="AE729" s="367"/>
      <c r="AF729" s="367"/>
    </row>
    <row r="730" ht="15.75" customHeight="1">
      <c r="A730" s="359"/>
      <c r="B730" s="361"/>
      <c r="C730" s="361"/>
      <c r="D730" s="361"/>
      <c r="E730" s="367"/>
      <c r="F730" s="367"/>
      <c r="G730" s="367"/>
      <c r="H730" s="367"/>
      <c r="I730" s="367"/>
      <c r="J730" s="367"/>
      <c r="K730" s="367"/>
      <c r="L730" s="367"/>
      <c r="M730" s="367"/>
      <c r="N730" s="367"/>
      <c r="O730" s="367"/>
      <c r="P730" s="367"/>
      <c r="Q730" s="367"/>
      <c r="R730" s="367"/>
      <c r="S730" s="367"/>
      <c r="T730" s="367"/>
      <c r="U730" s="367"/>
      <c r="V730" s="367"/>
      <c r="W730" s="367"/>
      <c r="X730" s="367"/>
      <c r="Y730" s="367"/>
      <c r="Z730" s="367"/>
      <c r="AA730" s="367"/>
      <c r="AB730" s="367"/>
      <c r="AC730" s="367"/>
      <c r="AD730" s="367"/>
      <c r="AE730" s="367"/>
      <c r="AF730" s="367"/>
    </row>
    <row r="731" ht="15.75" customHeight="1">
      <c r="A731" s="359"/>
      <c r="B731" s="361"/>
      <c r="C731" s="361"/>
      <c r="D731" s="361"/>
      <c r="E731" s="367"/>
      <c r="F731" s="367"/>
      <c r="G731" s="367"/>
      <c r="H731" s="367"/>
      <c r="I731" s="367"/>
      <c r="J731" s="367"/>
      <c r="K731" s="367"/>
      <c r="L731" s="367"/>
      <c r="M731" s="367"/>
      <c r="N731" s="367"/>
      <c r="O731" s="367"/>
      <c r="P731" s="367"/>
      <c r="Q731" s="367"/>
      <c r="R731" s="367"/>
      <c r="S731" s="367"/>
      <c r="T731" s="367"/>
      <c r="U731" s="367"/>
      <c r="V731" s="367"/>
      <c r="W731" s="367"/>
      <c r="X731" s="367"/>
      <c r="Y731" s="367"/>
      <c r="Z731" s="367"/>
      <c r="AA731" s="367"/>
      <c r="AB731" s="367"/>
      <c r="AC731" s="367"/>
      <c r="AD731" s="367"/>
      <c r="AE731" s="367"/>
      <c r="AF731" s="367"/>
    </row>
    <row r="732" ht="15.75" customHeight="1">
      <c r="A732" s="359"/>
      <c r="B732" s="361"/>
      <c r="C732" s="361"/>
      <c r="D732" s="361"/>
      <c r="E732" s="367"/>
      <c r="F732" s="367"/>
      <c r="G732" s="367"/>
      <c r="H732" s="367"/>
      <c r="I732" s="367"/>
      <c r="J732" s="367"/>
      <c r="K732" s="367"/>
      <c r="L732" s="367"/>
      <c r="M732" s="367"/>
      <c r="N732" s="367"/>
      <c r="O732" s="367"/>
      <c r="P732" s="367"/>
      <c r="Q732" s="367"/>
      <c r="R732" s="367"/>
      <c r="S732" s="367"/>
      <c r="T732" s="367"/>
      <c r="U732" s="367"/>
      <c r="V732" s="367"/>
      <c r="W732" s="367"/>
      <c r="X732" s="367"/>
      <c r="Y732" s="367"/>
      <c r="Z732" s="367"/>
      <c r="AA732" s="367"/>
      <c r="AB732" s="367"/>
      <c r="AC732" s="367"/>
      <c r="AD732" s="367"/>
      <c r="AE732" s="367"/>
      <c r="AF732" s="367"/>
    </row>
    <row r="733" ht="15.75" customHeight="1">
      <c r="A733" s="359"/>
      <c r="B733" s="361"/>
      <c r="C733" s="361"/>
      <c r="D733" s="361"/>
      <c r="E733" s="367"/>
      <c r="F733" s="367"/>
      <c r="G733" s="367"/>
      <c r="H733" s="367"/>
      <c r="I733" s="367"/>
      <c r="J733" s="367"/>
      <c r="K733" s="367"/>
      <c r="L733" s="367"/>
      <c r="M733" s="367"/>
      <c r="N733" s="367"/>
      <c r="O733" s="367"/>
      <c r="P733" s="367"/>
      <c r="Q733" s="367"/>
      <c r="R733" s="367"/>
      <c r="S733" s="367"/>
      <c r="T733" s="367"/>
      <c r="U733" s="367"/>
      <c r="V733" s="367"/>
      <c r="W733" s="367"/>
      <c r="X733" s="367"/>
      <c r="Y733" s="367"/>
      <c r="Z733" s="367"/>
      <c r="AA733" s="367"/>
      <c r="AB733" s="367"/>
      <c r="AC733" s="367"/>
      <c r="AD733" s="367"/>
      <c r="AE733" s="367"/>
      <c r="AF733" s="367"/>
    </row>
    <row r="734" ht="15.75" customHeight="1">
      <c r="A734" s="359"/>
      <c r="B734" s="361"/>
      <c r="C734" s="361"/>
      <c r="D734" s="361"/>
      <c r="E734" s="367"/>
      <c r="F734" s="367"/>
      <c r="G734" s="367"/>
      <c r="H734" s="367"/>
      <c r="I734" s="367"/>
      <c r="J734" s="367"/>
      <c r="K734" s="367"/>
      <c r="L734" s="367"/>
      <c r="M734" s="367"/>
      <c r="N734" s="367"/>
      <c r="O734" s="367"/>
      <c r="P734" s="367"/>
      <c r="Q734" s="367"/>
      <c r="R734" s="367"/>
      <c r="S734" s="367"/>
      <c r="T734" s="367"/>
      <c r="U734" s="367"/>
      <c r="V734" s="367"/>
      <c r="W734" s="367"/>
      <c r="X734" s="367"/>
      <c r="Y734" s="367"/>
      <c r="Z734" s="367"/>
      <c r="AA734" s="367"/>
      <c r="AB734" s="367"/>
      <c r="AC734" s="367"/>
      <c r="AD734" s="367"/>
      <c r="AE734" s="367"/>
      <c r="AF734" s="367"/>
    </row>
    <row r="735" ht="15.75" customHeight="1">
      <c r="A735" s="359"/>
      <c r="B735" s="361"/>
      <c r="C735" s="361"/>
      <c r="D735" s="361"/>
      <c r="E735" s="367"/>
      <c r="F735" s="367"/>
      <c r="G735" s="367"/>
      <c r="H735" s="367"/>
      <c r="I735" s="367"/>
      <c r="J735" s="367"/>
      <c r="K735" s="367"/>
      <c r="L735" s="367"/>
      <c r="M735" s="367"/>
      <c r="N735" s="367"/>
      <c r="O735" s="367"/>
      <c r="P735" s="367"/>
      <c r="Q735" s="367"/>
      <c r="R735" s="367"/>
      <c r="S735" s="367"/>
      <c r="T735" s="367"/>
      <c r="U735" s="367"/>
      <c r="V735" s="367"/>
      <c r="W735" s="367"/>
      <c r="X735" s="367"/>
      <c r="Y735" s="367"/>
      <c r="Z735" s="367"/>
      <c r="AA735" s="367"/>
      <c r="AB735" s="367"/>
      <c r="AC735" s="367"/>
      <c r="AD735" s="367"/>
      <c r="AE735" s="367"/>
      <c r="AF735" s="367"/>
    </row>
    <row r="736" ht="15.75" customHeight="1">
      <c r="A736" s="359"/>
      <c r="B736" s="361"/>
      <c r="C736" s="361"/>
      <c r="D736" s="361"/>
      <c r="E736" s="367"/>
      <c r="F736" s="367"/>
      <c r="G736" s="367"/>
      <c r="H736" s="367"/>
      <c r="I736" s="367"/>
      <c r="J736" s="367"/>
      <c r="K736" s="367"/>
      <c r="L736" s="367"/>
      <c r="M736" s="367"/>
      <c r="N736" s="367"/>
      <c r="O736" s="367"/>
      <c r="P736" s="367"/>
      <c r="Q736" s="367"/>
      <c r="R736" s="367"/>
      <c r="S736" s="367"/>
      <c r="T736" s="367"/>
      <c r="U736" s="367"/>
      <c r="V736" s="367"/>
      <c r="W736" s="367"/>
      <c r="X736" s="367"/>
      <c r="Y736" s="367"/>
      <c r="Z736" s="367"/>
      <c r="AA736" s="367"/>
      <c r="AB736" s="367"/>
      <c r="AC736" s="367"/>
      <c r="AD736" s="367"/>
      <c r="AE736" s="367"/>
      <c r="AF736" s="367"/>
    </row>
    <row r="737" ht="15.75" customHeight="1">
      <c r="A737" s="359"/>
      <c r="B737" s="361"/>
      <c r="C737" s="361"/>
      <c r="D737" s="361"/>
      <c r="E737" s="367"/>
      <c r="F737" s="367"/>
      <c r="G737" s="367"/>
      <c r="H737" s="367"/>
      <c r="I737" s="367"/>
      <c r="J737" s="367"/>
      <c r="K737" s="367"/>
      <c r="L737" s="367"/>
      <c r="M737" s="367"/>
      <c r="N737" s="367"/>
      <c r="O737" s="367"/>
      <c r="P737" s="367"/>
      <c r="Q737" s="367"/>
      <c r="R737" s="367"/>
      <c r="S737" s="367"/>
      <c r="T737" s="367"/>
      <c r="U737" s="367"/>
      <c r="V737" s="367"/>
      <c r="W737" s="367"/>
      <c r="X737" s="367"/>
      <c r="Y737" s="367"/>
      <c r="Z737" s="367"/>
      <c r="AA737" s="367"/>
      <c r="AB737" s="367"/>
      <c r="AC737" s="367"/>
      <c r="AD737" s="367"/>
      <c r="AE737" s="367"/>
      <c r="AF737" s="367"/>
    </row>
    <row r="738" ht="15.75" customHeight="1">
      <c r="A738" s="359"/>
      <c r="B738" s="361"/>
      <c r="C738" s="361"/>
      <c r="D738" s="361"/>
      <c r="E738" s="367"/>
      <c r="F738" s="367"/>
      <c r="G738" s="367"/>
      <c r="H738" s="367"/>
      <c r="I738" s="367"/>
      <c r="J738" s="367"/>
      <c r="K738" s="367"/>
      <c r="L738" s="367"/>
      <c r="M738" s="367"/>
      <c r="N738" s="367"/>
      <c r="O738" s="367"/>
      <c r="P738" s="367"/>
      <c r="Q738" s="367"/>
      <c r="R738" s="367"/>
      <c r="S738" s="367"/>
      <c r="T738" s="367"/>
      <c r="U738" s="367"/>
      <c r="V738" s="367"/>
      <c r="W738" s="367"/>
      <c r="X738" s="367"/>
      <c r="Y738" s="367"/>
      <c r="Z738" s="367"/>
      <c r="AA738" s="367"/>
      <c r="AB738" s="367"/>
      <c r="AC738" s="367"/>
      <c r="AD738" s="367"/>
      <c r="AE738" s="367"/>
      <c r="AF738" s="367"/>
    </row>
    <row r="739" ht="15.75" customHeight="1">
      <c r="A739" s="359"/>
      <c r="B739" s="361"/>
      <c r="C739" s="361"/>
      <c r="D739" s="361"/>
      <c r="E739" s="367"/>
      <c r="F739" s="367"/>
      <c r="G739" s="367"/>
      <c r="H739" s="367"/>
      <c r="I739" s="367"/>
      <c r="J739" s="367"/>
      <c r="K739" s="367"/>
      <c r="L739" s="367"/>
      <c r="M739" s="367"/>
      <c r="N739" s="367"/>
      <c r="O739" s="367"/>
      <c r="P739" s="367"/>
      <c r="Q739" s="367"/>
      <c r="R739" s="367"/>
      <c r="S739" s="367"/>
      <c r="T739" s="367"/>
      <c r="U739" s="367"/>
      <c r="V739" s="367"/>
      <c r="W739" s="367"/>
      <c r="X739" s="367"/>
      <c r="Y739" s="367"/>
      <c r="Z739" s="367"/>
      <c r="AA739" s="367"/>
      <c r="AB739" s="367"/>
      <c r="AC739" s="367"/>
      <c r="AD739" s="367"/>
      <c r="AE739" s="367"/>
      <c r="AF739" s="367"/>
    </row>
    <row r="740" ht="15.75" customHeight="1">
      <c r="A740" s="359"/>
      <c r="B740" s="361"/>
      <c r="C740" s="361"/>
      <c r="D740" s="361"/>
      <c r="E740" s="367"/>
      <c r="F740" s="367"/>
      <c r="G740" s="367"/>
      <c r="H740" s="367"/>
      <c r="I740" s="367"/>
      <c r="J740" s="367"/>
      <c r="K740" s="367"/>
      <c r="L740" s="367"/>
      <c r="M740" s="367"/>
      <c r="N740" s="367"/>
      <c r="O740" s="367"/>
      <c r="P740" s="367"/>
      <c r="Q740" s="367"/>
      <c r="R740" s="367"/>
      <c r="S740" s="367"/>
      <c r="T740" s="367"/>
      <c r="U740" s="367"/>
      <c r="V740" s="367"/>
      <c r="W740" s="367"/>
      <c r="X740" s="367"/>
      <c r="Y740" s="367"/>
      <c r="Z740" s="367"/>
      <c r="AA740" s="367"/>
      <c r="AB740" s="367"/>
      <c r="AC740" s="367"/>
      <c r="AD740" s="367"/>
      <c r="AE740" s="367"/>
      <c r="AF740" s="367"/>
    </row>
    <row r="741" ht="15.75" customHeight="1">
      <c r="A741" s="359"/>
      <c r="B741" s="361"/>
      <c r="C741" s="361"/>
      <c r="D741" s="361"/>
      <c r="E741" s="367"/>
      <c r="F741" s="367"/>
      <c r="G741" s="367"/>
      <c r="H741" s="367"/>
      <c r="I741" s="367"/>
      <c r="J741" s="367"/>
      <c r="K741" s="367"/>
      <c r="L741" s="367"/>
      <c r="M741" s="367"/>
      <c r="N741" s="367"/>
      <c r="O741" s="367"/>
      <c r="P741" s="367"/>
      <c r="Q741" s="367"/>
      <c r="R741" s="367"/>
      <c r="S741" s="367"/>
      <c r="T741" s="367"/>
      <c r="U741" s="367"/>
      <c r="V741" s="367"/>
      <c r="W741" s="367"/>
      <c r="X741" s="367"/>
      <c r="Y741" s="367"/>
      <c r="Z741" s="367"/>
      <c r="AA741" s="367"/>
      <c r="AB741" s="367"/>
      <c r="AC741" s="367"/>
      <c r="AD741" s="367"/>
      <c r="AE741" s="367"/>
      <c r="AF741" s="367"/>
    </row>
    <row r="742" ht="15.75" customHeight="1">
      <c r="A742" s="359"/>
      <c r="B742" s="361"/>
      <c r="C742" s="361"/>
      <c r="D742" s="361"/>
      <c r="E742" s="367"/>
      <c r="F742" s="367"/>
      <c r="G742" s="367"/>
      <c r="H742" s="367"/>
      <c r="I742" s="367"/>
      <c r="J742" s="367"/>
      <c r="K742" s="367"/>
      <c r="L742" s="367"/>
      <c r="M742" s="367"/>
      <c r="N742" s="367"/>
      <c r="O742" s="367"/>
      <c r="P742" s="367"/>
      <c r="Q742" s="367"/>
      <c r="R742" s="367"/>
      <c r="S742" s="367"/>
      <c r="T742" s="367"/>
      <c r="U742" s="367"/>
      <c r="V742" s="367"/>
      <c r="W742" s="367"/>
      <c r="X742" s="367"/>
      <c r="Y742" s="367"/>
      <c r="Z742" s="367"/>
      <c r="AA742" s="367"/>
      <c r="AB742" s="367"/>
      <c r="AC742" s="367"/>
      <c r="AD742" s="367"/>
      <c r="AE742" s="367"/>
      <c r="AF742" s="367"/>
    </row>
    <row r="743" ht="15.75" customHeight="1">
      <c r="A743" s="359"/>
      <c r="B743" s="361"/>
      <c r="C743" s="361"/>
      <c r="D743" s="361"/>
      <c r="E743" s="367"/>
      <c r="F743" s="367"/>
      <c r="G743" s="367"/>
      <c r="H743" s="367"/>
      <c r="I743" s="367"/>
      <c r="J743" s="367"/>
      <c r="K743" s="367"/>
      <c r="L743" s="367"/>
      <c r="M743" s="367"/>
      <c r="N743" s="367"/>
      <c r="O743" s="367"/>
      <c r="P743" s="367"/>
      <c r="Q743" s="367"/>
      <c r="R743" s="367"/>
      <c r="S743" s="367"/>
      <c r="T743" s="367"/>
      <c r="U743" s="367"/>
      <c r="V743" s="367"/>
      <c r="W743" s="367"/>
      <c r="X743" s="367"/>
      <c r="Y743" s="367"/>
      <c r="Z743" s="367"/>
      <c r="AA743" s="367"/>
      <c r="AB743" s="367"/>
      <c r="AC743" s="367"/>
      <c r="AD743" s="367"/>
      <c r="AE743" s="367"/>
      <c r="AF743" s="367"/>
    </row>
    <row r="744" ht="15.75" customHeight="1">
      <c r="A744" s="359"/>
      <c r="B744" s="361"/>
      <c r="C744" s="361"/>
      <c r="D744" s="361"/>
      <c r="E744" s="367"/>
      <c r="F744" s="367"/>
      <c r="G744" s="367"/>
      <c r="H744" s="367"/>
      <c r="I744" s="367"/>
      <c r="J744" s="367"/>
      <c r="K744" s="367"/>
      <c r="L744" s="367"/>
      <c r="M744" s="367"/>
      <c r="N744" s="367"/>
      <c r="O744" s="367"/>
      <c r="P744" s="367"/>
      <c r="Q744" s="367"/>
      <c r="R744" s="367"/>
      <c r="S744" s="367"/>
      <c r="T744" s="367"/>
      <c r="U744" s="367"/>
      <c r="V744" s="367"/>
      <c r="W744" s="367"/>
      <c r="X744" s="367"/>
      <c r="Y744" s="367"/>
      <c r="Z744" s="367"/>
      <c r="AA744" s="367"/>
      <c r="AB744" s="367"/>
      <c r="AC744" s="367"/>
      <c r="AD744" s="367"/>
      <c r="AE744" s="367"/>
      <c r="AF744" s="367"/>
    </row>
    <row r="745" ht="15.75" customHeight="1">
      <c r="A745" s="359"/>
      <c r="B745" s="361"/>
      <c r="C745" s="361"/>
      <c r="D745" s="361"/>
      <c r="E745" s="367"/>
      <c r="F745" s="367"/>
      <c r="G745" s="367"/>
      <c r="H745" s="367"/>
      <c r="I745" s="367"/>
      <c r="J745" s="367"/>
      <c r="K745" s="367"/>
      <c r="L745" s="367"/>
      <c r="M745" s="367"/>
      <c r="N745" s="367"/>
      <c r="O745" s="367"/>
      <c r="P745" s="367"/>
      <c r="Q745" s="367"/>
      <c r="R745" s="367"/>
      <c r="S745" s="367"/>
      <c r="T745" s="367"/>
      <c r="U745" s="367"/>
      <c r="V745" s="367"/>
      <c r="W745" s="367"/>
      <c r="X745" s="367"/>
      <c r="Y745" s="367"/>
      <c r="Z745" s="367"/>
      <c r="AA745" s="367"/>
      <c r="AB745" s="367"/>
      <c r="AC745" s="367"/>
      <c r="AD745" s="367"/>
      <c r="AE745" s="367"/>
      <c r="AF745" s="367"/>
    </row>
    <row r="746" ht="15.75" customHeight="1">
      <c r="A746" s="359"/>
      <c r="B746" s="361"/>
      <c r="C746" s="361"/>
      <c r="D746" s="361"/>
      <c r="E746" s="367"/>
      <c r="F746" s="367"/>
      <c r="G746" s="367"/>
      <c r="H746" s="367"/>
      <c r="I746" s="367"/>
      <c r="J746" s="367"/>
      <c r="K746" s="367"/>
      <c r="L746" s="367"/>
      <c r="M746" s="367"/>
      <c r="N746" s="367"/>
      <c r="O746" s="367"/>
      <c r="P746" s="367"/>
      <c r="Q746" s="367"/>
      <c r="R746" s="367"/>
      <c r="S746" s="367"/>
      <c r="T746" s="367"/>
      <c r="U746" s="367"/>
      <c r="V746" s="367"/>
      <c r="W746" s="367"/>
      <c r="X746" s="367"/>
      <c r="Y746" s="367"/>
      <c r="Z746" s="367"/>
      <c r="AA746" s="367"/>
      <c r="AB746" s="367"/>
      <c r="AC746" s="367"/>
      <c r="AD746" s="367"/>
      <c r="AE746" s="367"/>
      <c r="AF746" s="367"/>
    </row>
    <row r="747" ht="15.75" customHeight="1">
      <c r="A747" s="359"/>
      <c r="B747" s="361"/>
      <c r="C747" s="361"/>
      <c r="D747" s="361"/>
      <c r="E747" s="367"/>
      <c r="F747" s="367"/>
      <c r="G747" s="367"/>
      <c r="H747" s="367"/>
      <c r="I747" s="367"/>
      <c r="J747" s="367"/>
      <c r="K747" s="367"/>
      <c r="L747" s="367"/>
      <c r="M747" s="367"/>
      <c r="N747" s="367"/>
      <c r="O747" s="367"/>
      <c r="P747" s="367"/>
      <c r="Q747" s="367"/>
      <c r="R747" s="367"/>
      <c r="S747" s="367"/>
      <c r="T747" s="367"/>
      <c r="U747" s="367"/>
      <c r="V747" s="367"/>
      <c r="W747" s="367"/>
      <c r="X747" s="367"/>
      <c r="Y747" s="367"/>
      <c r="Z747" s="367"/>
      <c r="AA747" s="367"/>
      <c r="AB747" s="367"/>
      <c r="AC747" s="367"/>
      <c r="AD747" s="367"/>
      <c r="AE747" s="367"/>
      <c r="AF747" s="367"/>
    </row>
    <row r="748" ht="15.75" customHeight="1">
      <c r="A748" s="359"/>
      <c r="B748" s="361"/>
      <c r="C748" s="361"/>
      <c r="D748" s="361"/>
      <c r="E748" s="367"/>
      <c r="F748" s="367"/>
      <c r="G748" s="367"/>
      <c r="H748" s="367"/>
      <c r="I748" s="367"/>
      <c r="J748" s="367"/>
      <c r="K748" s="367"/>
      <c r="L748" s="367"/>
      <c r="M748" s="367"/>
      <c r="N748" s="367"/>
      <c r="O748" s="367"/>
      <c r="P748" s="367"/>
      <c r="Q748" s="367"/>
      <c r="R748" s="367"/>
      <c r="S748" s="367"/>
      <c r="T748" s="367"/>
      <c r="U748" s="367"/>
      <c r="V748" s="367"/>
      <c r="W748" s="367"/>
      <c r="X748" s="367"/>
      <c r="Y748" s="367"/>
      <c r="Z748" s="367"/>
      <c r="AA748" s="367"/>
      <c r="AB748" s="367"/>
      <c r="AC748" s="367"/>
      <c r="AD748" s="367"/>
      <c r="AE748" s="367"/>
      <c r="AF748" s="367"/>
    </row>
    <row r="749" ht="15.75" customHeight="1">
      <c r="A749" s="359"/>
      <c r="B749" s="361"/>
      <c r="C749" s="361"/>
      <c r="D749" s="361"/>
      <c r="E749" s="367"/>
      <c r="F749" s="367"/>
      <c r="G749" s="367"/>
      <c r="H749" s="367"/>
      <c r="I749" s="367"/>
      <c r="J749" s="367"/>
      <c r="K749" s="367"/>
      <c r="L749" s="367"/>
      <c r="M749" s="367"/>
      <c r="N749" s="367"/>
      <c r="O749" s="367"/>
      <c r="P749" s="367"/>
      <c r="Q749" s="367"/>
      <c r="R749" s="367"/>
      <c r="S749" s="367"/>
      <c r="T749" s="367"/>
      <c r="U749" s="367"/>
      <c r="V749" s="367"/>
      <c r="W749" s="367"/>
      <c r="X749" s="367"/>
      <c r="Y749" s="367"/>
      <c r="Z749" s="367"/>
      <c r="AA749" s="367"/>
      <c r="AB749" s="367"/>
      <c r="AC749" s="367"/>
      <c r="AD749" s="367"/>
      <c r="AE749" s="367"/>
      <c r="AF749" s="367"/>
    </row>
    <row r="750" ht="15.75" customHeight="1">
      <c r="A750" s="359"/>
      <c r="B750" s="361"/>
      <c r="C750" s="361"/>
      <c r="D750" s="361"/>
      <c r="E750" s="367"/>
      <c r="F750" s="367"/>
      <c r="G750" s="367"/>
      <c r="H750" s="367"/>
      <c r="I750" s="367"/>
      <c r="J750" s="367"/>
      <c r="K750" s="367"/>
      <c r="L750" s="367"/>
      <c r="M750" s="367"/>
      <c r="N750" s="367"/>
      <c r="O750" s="367"/>
      <c r="P750" s="367"/>
      <c r="Q750" s="367"/>
      <c r="R750" s="367"/>
      <c r="S750" s="367"/>
      <c r="T750" s="367"/>
      <c r="U750" s="367"/>
      <c r="V750" s="367"/>
      <c r="W750" s="367"/>
      <c r="X750" s="367"/>
      <c r="Y750" s="367"/>
      <c r="Z750" s="367"/>
      <c r="AA750" s="367"/>
      <c r="AB750" s="367"/>
      <c r="AC750" s="367"/>
      <c r="AD750" s="367"/>
      <c r="AE750" s="367"/>
      <c r="AF750" s="367"/>
    </row>
    <row r="751" ht="15.75" customHeight="1">
      <c r="A751" s="359"/>
      <c r="B751" s="361"/>
      <c r="C751" s="361"/>
      <c r="D751" s="361"/>
      <c r="E751" s="367"/>
      <c r="F751" s="367"/>
      <c r="G751" s="367"/>
      <c r="H751" s="367"/>
      <c r="I751" s="367"/>
      <c r="J751" s="367"/>
      <c r="K751" s="367"/>
      <c r="L751" s="367"/>
      <c r="M751" s="367"/>
      <c r="N751" s="367"/>
      <c r="O751" s="367"/>
      <c r="P751" s="367"/>
      <c r="Q751" s="367"/>
      <c r="R751" s="367"/>
      <c r="S751" s="367"/>
      <c r="T751" s="367"/>
      <c r="U751" s="367"/>
      <c r="V751" s="367"/>
      <c r="W751" s="367"/>
      <c r="X751" s="367"/>
      <c r="Y751" s="367"/>
      <c r="Z751" s="367"/>
      <c r="AA751" s="367"/>
      <c r="AB751" s="367"/>
      <c r="AC751" s="367"/>
      <c r="AD751" s="367"/>
      <c r="AE751" s="367"/>
      <c r="AF751" s="367"/>
    </row>
    <row r="752" ht="15.75" customHeight="1">
      <c r="A752" s="359"/>
      <c r="B752" s="361"/>
      <c r="C752" s="361"/>
      <c r="D752" s="361"/>
      <c r="E752" s="367"/>
      <c r="F752" s="367"/>
      <c r="G752" s="367"/>
      <c r="H752" s="367"/>
      <c r="I752" s="367"/>
      <c r="J752" s="367"/>
      <c r="K752" s="367"/>
      <c r="L752" s="367"/>
      <c r="M752" s="367"/>
      <c r="N752" s="367"/>
      <c r="O752" s="367"/>
      <c r="P752" s="367"/>
      <c r="Q752" s="367"/>
      <c r="R752" s="367"/>
      <c r="S752" s="367"/>
      <c r="T752" s="367"/>
      <c r="U752" s="367"/>
      <c r="V752" s="367"/>
      <c r="W752" s="367"/>
      <c r="X752" s="367"/>
      <c r="Y752" s="367"/>
      <c r="Z752" s="367"/>
      <c r="AA752" s="367"/>
      <c r="AB752" s="367"/>
      <c r="AC752" s="367"/>
      <c r="AD752" s="367"/>
      <c r="AE752" s="367"/>
      <c r="AF752" s="367"/>
    </row>
    <row r="753" ht="15.75" customHeight="1">
      <c r="A753" s="359"/>
      <c r="B753" s="361"/>
      <c r="C753" s="361"/>
      <c r="D753" s="361"/>
      <c r="E753" s="367"/>
      <c r="F753" s="367"/>
      <c r="G753" s="367"/>
      <c r="H753" s="367"/>
      <c r="I753" s="367"/>
      <c r="J753" s="367"/>
      <c r="K753" s="367"/>
      <c r="L753" s="367"/>
      <c r="M753" s="367"/>
      <c r="N753" s="367"/>
      <c r="O753" s="367"/>
      <c r="P753" s="367"/>
      <c r="Q753" s="367"/>
      <c r="R753" s="367"/>
      <c r="S753" s="367"/>
      <c r="T753" s="367"/>
      <c r="U753" s="367"/>
      <c r="V753" s="367"/>
      <c r="W753" s="367"/>
      <c r="X753" s="367"/>
      <c r="Y753" s="367"/>
      <c r="Z753" s="367"/>
      <c r="AA753" s="367"/>
      <c r="AB753" s="367"/>
      <c r="AC753" s="367"/>
      <c r="AD753" s="367"/>
      <c r="AE753" s="367"/>
      <c r="AF753" s="367"/>
    </row>
    <row r="754" ht="15.75" customHeight="1">
      <c r="A754" s="359"/>
      <c r="B754" s="361"/>
      <c r="C754" s="361"/>
      <c r="D754" s="361"/>
      <c r="E754" s="367"/>
      <c r="F754" s="367"/>
      <c r="G754" s="367"/>
      <c r="H754" s="367"/>
      <c r="I754" s="367"/>
      <c r="J754" s="367"/>
      <c r="K754" s="367"/>
      <c r="L754" s="367"/>
      <c r="M754" s="367"/>
      <c r="N754" s="367"/>
      <c r="O754" s="367"/>
      <c r="P754" s="367"/>
      <c r="Q754" s="367"/>
      <c r="R754" s="367"/>
      <c r="S754" s="367"/>
      <c r="T754" s="367"/>
      <c r="U754" s="367"/>
      <c r="V754" s="367"/>
      <c r="W754" s="367"/>
      <c r="X754" s="367"/>
      <c r="Y754" s="367"/>
      <c r="Z754" s="367"/>
      <c r="AA754" s="367"/>
      <c r="AB754" s="367"/>
      <c r="AC754" s="367"/>
      <c r="AD754" s="367"/>
      <c r="AE754" s="367"/>
      <c r="AF754" s="367"/>
    </row>
    <row r="755" ht="15.75" customHeight="1">
      <c r="A755" s="359"/>
      <c r="B755" s="361"/>
      <c r="C755" s="361"/>
      <c r="D755" s="361"/>
      <c r="E755" s="367"/>
      <c r="F755" s="367"/>
      <c r="G755" s="367"/>
      <c r="H755" s="367"/>
      <c r="I755" s="367"/>
      <c r="J755" s="367"/>
      <c r="K755" s="367"/>
      <c r="L755" s="367"/>
      <c r="M755" s="367"/>
      <c r="N755" s="367"/>
      <c r="O755" s="367"/>
      <c r="P755" s="367"/>
      <c r="Q755" s="367"/>
      <c r="R755" s="367"/>
      <c r="S755" s="367"/>
      <c r="T755" s="367"/>
      <c r="U755" s="367"/>
      <c r="V755" s="367"/>
      <c r="W755" s="367"/>
      <c r="X755" s="367"/>
      <c r="Y755" s="367"/>
      <c r="Z755" s="367"/>
      <c r="AA755" s="367"/>
      <c r="AB755" s="367"/>
      <c r="AC755" s="367"/>
      <c r="AD755" s="367"/>
      <c r="AE755" s="367"/>
      <c r="AF755" s="367"/>
    </row>
    <row r="756" ht="15.75" customHeight="1">
      <c r="A756" s="359"/>
      <c r="B756" s="361"/>
      <c r="C756" s="361"/>
      <c r="D756" s="361"/>
      <c r="E756" s="367"/>
      <c r="F756" s="367"/>
      <c r="G756" s="367"/>
      <c r="H756" s="367"/>
      <c r="I756" s="367"/>
      <c r="J756" s="367"/>
      <c r="K756" s="367"/>
      <c r="L756" s="367"/>
      <c r="M756" s="367"/>
      <c r="N756" s="367"/>
      <c r="O756" s="367"/>
      <c r="P756" s="367"/>
      <c r="Q756" s="367"/>
      <c r="R756" s="367"/>
      <c r="S756" s="367"/>
      <c r="T756" s="367"/>
      <c r="U756" s="367"/>
      <c r="V756" s="367"/>
      <c r="W756" s="367"/>
      <c r="X756" s="367"/>
      <c r="Y756" s="367"/>
      <c r="Z756" s="367"/>
      <c r="AA756" s="367"/>
      <c r="AB756" s="367"/>
      <c r="AC756" s="367"/>
      <c r="AD756" s="367"/>
      <c r="AE756" s="367"/>
      <c r="AF756" s="367"/>
    </row>
    <row r="757" ht="15.75" customHeight="1">
      <c r="A757" s="359"/>
      <c r="B757" s="361"/>
      <c r="C757" s="361"/>
      <c r="D757" s="361"/>
      <c r="E757" s="367"/>
      <c r="F757" s="367"/>
      <c r="G757" s="367"/>
      <c r="H757" s="367"/>
      <c r="I757" s="367"/>
      <c r="J757" s="367"/>
      <c r="K757" s="367"/>
      <c r="L757" s="367"/>
      <c r="M757" s="367"/>
      <c r="N757" s="367"/>
      <c r="O757" s="367"/>
      <c r="P757" s="367"/>
      <c r="Q757" s="367"/>
      <c r="R757" s="367"/>
      <c r="S757" s="367"/>
      <c r="T757" s="367"/>
      <c r="U757" s="367"/>
      <c r="V757" s="367"/>
      <c r="W757" s="367"/>
      <c r="X757" s="367"/>
      <c r="Y757" s="367"/>
      <c r="Z757" s="367"/>
      <c r="AA757" s="367"/>
      <c r="AB757" s="367"/>
      <c r="AC757" s="367"/>
      <c r="AD757" s="367"/>
      <c r="AE757" s="367"/>
      <c r="AF757" s="367"/>
    </row>
    <row r="758" ht="15.75" customHeight="1">
      <c r="A758" s="359"/>
      <c r="B758" s="361"/>
      <c r="C758" s="361"/>
      <c r="D758" s="361"/>
      <c r="E758" s="367"/>
      <c r="F758" s="367"/>
      <c r="G758" s="367"/>
      <c r="H758" s="367"/>
      <c r="I758" s="367"/>
      <c r="J758" s="367"/>
      <c r="K758" s="367"/>
      <c r="L758" s="367"/>
      <c r="M758" s="367"/>
      <c r="N758" s="367"/>
      <c r="O758" s="367"/>
      <c r="P758" s="367"/>
      <c r="Q758" s="367"/>
      <c r="R758" s="367"/>
      <c r="S758" s="367"/>
      <c r="T758" s="367"/>
      <c r="U758" s="367"/>
      <c r="V758" s="367"/>
      <c r="W758" s="367"/>
      <c r="X758" s="367"/>
      <c r="Y758" s="367"/>
      <c r="Z758" s="367"/>
      <c r="AA758" s="367"/>
      <c r="AB758" s="367"/>
      <c r="AC758" s="367"/>
      <c r="AD758" s="367"/>
      <c r="AE758" s="367"/>
      <c r="AF758" s="367"/>
    </row>
    <row r="759" ht="15.75" customHeight="1">
      <c r="A759" s="359"/>
      <c r="B759" s="361"/>
      <c r="C759" s="361"/>
      <c r="D759" s="361"/>
      <c r="E759" s="367"/>
      <c r="F759" s="367"/>
      <c r="G759" s="367"/>
      <c r="H759" s="367"/>
      <c r="I759" s="367"/>
      <c r="J759" s="367"/>
      <c r="K759" s="367"/>
      <c r="L759" s="367"/>
      <c r="M759" s="367"/>
      <c r="N759" s="367"/>
      <c r="O759" s="367"/>
      <c r="P759" s="367"/>
      <c r="Q759" s="367"/>
      <c r="R759" s="367"/>
      <c r="S759" s="367"/>
      <c r="T759" s="367"/>
      <c r="U759" s="367"/>
      <c r="V759" s="367"/>
      <c r="W759" s="367"/>
      <c r="X759" s="367"/>
      <c r="Y759" s="367"/>
      <c r="Z759" s="367"/>
      <c r="AA759" s="367"/>
      <c r="AB759" s="367"/>
      <c r="AC759" s="367"/>
      <c r="AD759" s="367"/>
      <c r="AE759" s="367"/>
      <c r="AF759" s="367"/>
    </row>
    <row r="760" ht="15.75" customHeight="1">
      <c r="A760" s="359"/>
      <c r="B760" s="361"/>
      <c r="C760" s="361"/>
      <c r="D760" s="361"/>
      <c r="E760" s="367"/>
      <c r="F760" s="367"/>
      <c r="G760" s="367"/>
      <c r="H760" s="367"/>
      <c r="I760" s="367"/>
      <c r="J760" s="367"/>
      <c r="K760" s="367"/>
      <c r="L760" s="367"/>
      <c r="M760" s="367"/>
      <c r="N760" s="367"/>
      <c r="O760" s="367"/>
      <c r="P760" s="367"/>
      <c r="Q760" s="367"/>
      <c r="R760" s="367"/>
      <c r="S760" s="367"/>
      <c r="T760" s="367"/>
      <c r="U760" s="367"/>
      <c r="V760" s="367"/>
      <c r="W760" s="367"/>
      <c r="X760" s="367"/>
      <c r="Y760" s="367"/>
      <c r="Z760" s="367"/>
      <c r="AA760" s="367"/>
      <c r="AB760" s="367"/>
      <c r="AC760" s="367"/>
      <c r="AD760" s="367"/>
      <c r="AE760" s="367"/>
      <c r="AF760" s="367"/>
    </row>
    <row r="761" ht="15.75" customHeight="1">
      <c r="A761" s="359"/>
      <c r="B761" s="361"/>
      <c r="C761" s="361"/>
      <c r="D761" s="361"/>
      <c r="E761" s="367"/>
      <c r="F761" s="367"/>
      <c r="G761" s="367"/>
      <c r="H761" s="367"/>
      <c r="I761" s="367"/>
      <c r="J761" s="367"/>
      <c r="K761" s="367"/>
      <c r="L761" s="367"/>
      <c r="M761" s="367"/>
      <c r="N761" s="367"/>
      <c r="O761" s="367"/>
      <c r="P761" s="367"/>
      <c r="Q761" s="367"/>
      <c r="R761" s="367"/>
      <c r="S761" s="367"/>
      <c r="T761" s="367"/>
      <c r="U761" s="367"/>
      <c r="V761" s="367"/>
      <c r="W761" s="367"/>
      <c r="X761" s="367"/>
      <c r="Y761" s="367"/>
      <c r="Z761" s="367"/>
      <c r="AA761" s="367"/>
      <c r="AB761" s="367"/>
      <c r="AC761" s="367"/>
      <c r="AD761" s="367"/>
      <c r="AE761" s="367"/>
      <c r="AF761" s="367"/>
    </row>
    <row r="762" ht="15.75" customHeight="1">
      <c r="A762" s="359"/>
      <c r="B762" s="361"/>
      <c r="C762" s="361"/>
      <c r="D762" s="361"/>
      <c r="E762" s="367"/>
      <c r="F762" s="367"/>
      <c r="G762" s="367"/>
      <c r="H762" s="367"/>
      <c r="I762" s="367"/>
      <c r="J762" s="367"/>
      <c r="K762" s="367"/>
      <c r="L762" s="367"/>
      <c r="M762" s="367"/>
      <c r="N762" s="367"/>
      <c r="O762" s="367"/>
      <c r="P762" s="367"/>
      <c r="Q762" s="367"/>
      <c r="R762" s="367"/>
      <c r="S762" s="367"/>
      <c r="T762" s="367"/>
      <c r="U762" s="367"/>
      <c r="V762" s="367"/>
      <c r="W762" s="367"/>
      <c r="X762" s="367"/>
      <c r="Y762" s="367"/>
      <c r="Z762" s="367"/>
      <c r="AA762" s="367"/>
      <c r="AB762" s="367"/>
      <c r="AC762" s="367"/>
      <c r="AD762" s="367"/>
      <c r="AE762" s="367"/>
      <c r="AF762" s="367"/>
    </row>
    <row r="763" ht="15.75" customHeight="1">
      <c r="A763" s="359"/>
      <c r="B763" s="361"/>
      <c r="C763" s="361"/>
      <c r="D763" s="361"/>
      <c r="E763" s="367"/>
      <c r="F763" s="367"/>
      <c r="G763" s="367"/>
      <c r="H763" s="367"/>
      <c r="I763" s="367"/>
      <c r="J763" s="367"/>
      <c r="K763" s="367"/>
      <c r="L763" s="367"/>
      <c r="M763" s="367"/>
      <c r="N763" s="367"/>
      <c r="O763" s="367"/>
      <c r="P763" s="367"/>
      <c r="Q763" s="367"/>
      <c r="R763" s="367"/>
      <c r="S763" s="367"/>
      <c r="T763" s="367"/>
      <c r="U763" s="367"/>
      <c r="V763" s="367"/>
      <c r="W763" s="367"/>
      <c r="X763" s="367"/>
      <c r="Y763" s="367"/>
      <c r="Z763" s="367"/>
      <c r="AA763" s="367"/>
      <c r="AB763" s="367"/>
      <c r="AC763" s="367"/>
      <c r="AD763" s="367"/>
      <c r="AE763" s="367"/>
      <c r="AF763" s="367"/>
    </row>
    <row r="764" ht="15.75" customHeight="1">
      <c r="A764" s="359"/>
      <c r="B764" s="361"/>
      <c r="C764" s="361"/>
      <c r="D764" s="361"/>
      <c r="E764" s="367"/>
      <c r="F764" s="367"/>
      <c r="G764" s="367"/>
      <c r="H764" s="367"/>
      <c r="I764" s="367"/>
      <c r="J764" s="367"/>
      <c r="K764" s="367"/>
      <c r="L764" s="367"/>
      <c r="M764" s="367"/>
      <c r="N764" s="367"/>
      <c r="O764" s="367"/>
      <c r="P764" s="367"/>
      <c r="Q764" s="367"/>
      <c r="R764" s="367"/>
      <c r="S764" s="367"/>
      <c r="T764" s="367"/>
      <c r="U764" s="367"/>
      <c r="V764" s="367"/>
      <c r="W764" s="367"/>
      <c r="X764" s="367"/>
      <c r="Y764" s="367"/>
      <c r="Z764" s="367"/>
      <c r="AA764" s="367"/>
      <c r="AB764" s="367"/>
      <c r="AC764" s="367"/>
      <c r="AD764" s="367"/>
      <c r="AE764" s="367"/>
      <c r="AF764" s="367"/>
    </row>
    <row r="765" ht="15.75" customHeight="1">
      <c r="A765" s="359"/>
      <c r="B765" s="361"/>
      <c r="C765" s="361"/>
      <c r="D765" s="361"/>
      <c r="E765" s="367"/>
      <c r="F765" s="367"/>
      <c r="G765" s="367"/>
      <c r="H765" s="367"/>
      <c r="I765" s="367"/>
      <c r="J765" s="367"/>
      <c r="K765" s="367"/>
      <c r="L765" s="367"/>
      <c r="M765" s="367"/>
      <c r="N765" s="367"/>
      <c r="O765" s="367"/>
      <c r="P765" s="367"/>
      <c r="Q765" s="367"/>
      <c r="R765" s="367"/>
      <c r="S765" s="367"/>
      <c r="T765" s="367"/>
      <c r="U765" s="367"/>
      <c r="V765" s="367"/>
      <c r="W765" s="367"/>
      <c r="X765" s="367"/>
      <c r="Y765" s="367"/>
      <c r="Z765" s="367"/>
      <c r="AA765" s="367"/>
      <c r="AB765" s="367"/>
      <c r="AC765" s="367"/>
      <c r="AD765" s="367"/>
      <c r="AE765" s="367"/>
      <c r="AF765" s="367"/>
    </row>
    <row r="766" ht="15.75" customHeight="1">
      <c r="A766" s="359"/>
      <c r="B766" s="361"/>
      <c r="C766" s="361"/>
      <c r="D766" s="361"/>
      <c r="E766" s="367"/>
      <c r="F766" s="367"/>
      <c r="G766" s="367"/>
      <c r="H766" s="367"/>
      <c r="I766" s="367"/>
      <c r="J766" s="367"/>
      <c r="K766" s="367"/>
      <c r="L766" s="367"/>
      <c r="M766" s="367"/>
      <c r="N766" s="367"/>
      <c r="O766" s="367"/>
      <c r="P766" s="367"/>
      <c r="Q766" s="367"/>
      <c r="R766" s="367"/>
      <c r="S766" s="367"/>
      <c r="T766" s="367"/>
      <c r="U766" s="367"/>
      <c r="V766" s="367"/>
      <c r="W766" s="367"/>
      <c r="X766" s="367"/>
      <c r="Y766" s="367"/>
      <c r="Z766" s="367"/>
      <c r="AA766" s="367"/>
      <c r="AB766" s="367"/>
      <c r="AC766" s="367"/>
      <c r="AD766" s="367"/>
      <c r="AE766" s="367"/>
      <c r="AF766" s="367"/>
    </row>
    <row r="767" ht="15.75" customHeight="1">
      <c r="A767" s="359"/>
      <c r="B767" s="361"/>
      <c r="C767" s="361"/>
      <c r="D767" s="361"/>
      <c r="E767" s="367"/>
      <c r="F767" s="367"/>
      <c r="G767" s="367"/>
      <c r="H767" s="367"/>
      <c r="I767" s="367"/>
      <c r="J767" s="367"/>
      <c r="K767" s="367"/>
      <c r="L767" s="367"/>
      <c r="M767" s="367"/>
      <c r="N767" s="367"/>
      <c r="O767" s="367"/>
      <c r="P767" s="367"/>
      <c r="Q767" s="367"/>
      <c r="R767" s="367"/>
      <c r="S767" s="367"/>
      <c r="T767" s="367"/>
      <c r="U767" s="367"/>
      <c r="V767" s="367"/>
      <c r="W767" s="367"/>
      <c r="X767" s="367"/>
      <c r="Y767" s="367"/>
      <c r="Z767" s="367"/>
      <c r="AA767" s="367"/>
      <c r="AB767" s="367"/>
      <c r="AC767" s="367"/>
      <c r="AD767" s="367"/>
      <c r="AE767" s="367"/>
      <c r="AF767" s="367"/>
    </row>
    <row r="768" ht="15.75" customHeight="1">
      <c r="A768" s="359"/>
      <c r="B768" s="361"/>
      <c r="C768" s="361"/>
      <c r="D768" s="361"/>
      <c r="E768" s="367"/>
      <c r="F768" s="367"/>
      <c r="G768" s="367"/>
      <c r="H768" s="367"/>
      <c r="I768" s="367"/>
      <c r="J768" s="367"/>
      <c r="K768" s="367"/>
      <c r="L768" s="367"/>
      <c r="M768" s="367"/>
      <c r="N768" s="367"/>
      <c r="O768" s="367"/>
      <c r="P768" s="367"/>
      <c r="Q768" s="367"/>
      <c r="R768" s="367"/>
      <c r="S768" s="367"/>
      <c r="T768" s="367"/>
      <c r="U768" s="367"/>
      <c r="V768" s="367"/>
      <c r="W768" s="367"/>
      <c r="X768" s="367"/>
      <c r="Y768" s="367"/>
      <c r="Z768" s="367"/>
      <c r="AA768" s="367"/>
      <c r="AB768" s="367"/>
      <c r="AC768" s="367"/>
      <c r="AD768" s="367"/>
      <c r="AE768" s="367"/>
      <c r="AF768" s="367"/>
    </row>
    <row r="769" ht="15.75" customHeight="1">
      <c r="A769" s="359"/>
      <c r="B769" s="361"/>
      <c r="C769" s="361"/>
      <c r="D769" s="361"/>
      <c r="E769" s="367"/>
      <c r="F769" s="367"/>
      <c r="G769" s="367"/>
      <c r="H769" s="367"/>
      <c r="I769" s="367"/>
      <c r="J769" s="367"/>
      <c r="K769" s="367"/>
      <c r="L769" s="367"/>
      <c r="M769" s="367"/>
      <c r="N769" s="367"/>
      <c r="O769" s="367"/>
      <c r="P769" s="367"/>
      <c r="Q769" s="367"/>
      <c r="R769" s="367"/>
      <c r="S769" s="367"/>
      <c r="T769" s="367"/>
      <c r="U769" s="367"/>
      <c r="V769" s="367"/>
      <c r="W769" s="367"/>
      <c r="X769" s="367"/>
      <c r="Y769" s="367"/>
      <c r="Z769" s="367"/>
      <c r="AA769" s="367"/>
      <c r="AB769" s="367"/>
      <c r="AC769" s="367"/>
      <c r="AD769" s="367"/>
      <c r="AE769" s="367"/>
      <c r="AF769" s="367"/>
    </row>
    <row r="770" ht="15.75" customHeight="1">
      <c r="A770" s="359"/>
      <c r="B770" s="361"/>
      <c r="C770" s="361"/>
      <c r="D770" s="361"/>
      <c r="E770" s="367"/>
      <c r="F770" s="367"/>
      <c r="G770" s="367"/>
      <c r="H770" s="367"/>
      <c r="I770" s="367"/>
      <c r="J770" s="367"/>
      <c r="K770" s="367"/>
      <c r="L770" s="367"/>
      <c r="M770" s="367"/>
      <c r="N770" s="367"/>
      <c r="O770" s="367"/>
      <c r="P770" s="367"/>
      <c r="Q770" s="367"/>
      <c r="R770" s="367"/>
      <c r="S770" s="367"/>
      <c r="T770" s="367"/>
      <c r="U770" s="367"/>
      <c r="V770" s="367"/>
      <c r="W770" s="367"/>
      <c r="X770" s="367"/>
      <c r="Y770" s="367"/>
      <c r="Z770" s="367"/>
      <c r="AA770" s="367"/>
      <c r="AB770" s="367"/>
      <c r="AC770" s="367"/>
      <c r="AD770" s="367"/>
      <c r="AE770" s="367"/>
      <c r="AF770" s="367"/>
    </row>
    <row r="771" ht="15.75" customHeight="1">
      <c r="A771" s="359"/>
      <c r="B771" s="361"/>
      <c r="C771" s="361"/>
      <c r="D771" s="361"/>
      <c r="E771" s="367"/>
      <c r="F771" s="367"/>
      <c r="G771" s="367"/>
      <c r="H771" s="367"/>
      <c r="I771" s="367"/>
      <c r="J771" s="367"/>
      <c r="K771" s="367"/>
      <c r="L771" s="367"/>
      <c r="M771" s="367"/>
      <c r="N771" s="367"/>
      <c r="O771" s="367"/>
      <c r="P771" s="367"/>
      <c r="Q771" s="367"/>
      <c r="R771" s="367"/>
      <c r="S771" s="367"/>
      <c r="T771" s="367"/>
      <c r="U771" s="367"/>
      <c r="V771" s="367"/>
      <c r="W771" s="367"/>
      <c r="X771" s="367"/>
      <c r="Y771" s="367"/>
      <c r="Z771" s="367"/>
      <c r="AA771" s="367"/>
      <c r="AB771" s="367"/>
      <c r="AC771" s="367"/>
      <c r="AD771" s="367"/>
      <c r="AE771" s="367"/>
      <c r="AF771" s="367"/>
    </row>
    <row r="772" ht="15.75" customHeight="1">
      <c r="A772" s="359"/>
      <c r="B772" s="361"/>
      <c r="C772" s="361"/>
      <c r="D772" s="361"/>
      <c r="E772" s="367"/>
      <c r="F772" s="367"/>
      <c r="G772" s="367"/>
      <c r="H772" s="367"/>
      <c r="I772" s="367"/>
      <c r="J772" s="367"/>
      <c r="K772" s="367"/>
      <c r="L772" s="367"/>
      <c r="M772" s="367"/>
      <c r="N772" s="367"/>
      <c r="O772" s="367"/>
      <c r="P772" s="367"/>
      <c r="Q772" s="367"/>
      <c r="R772" s="367"/>
      <c r="S772" s="367"/>
      <c r="T772" s="367"/>
      <c r="U772" s="367"/>
      <c r="V772" s="367"/>
      <c r="W772" s="367"/>
      <c r="X772" s="367"/>
      <c r="Y772" s="367"/>
      <c r="Z772" s="367"/>
      <c r="AA772" s="367"/>
      <c r="AB772" s="367"/>
      <c r="AC772" s="367"/>
      <c r="AD772" s="367"/>
      <c r="AE772" s="367"/>
      <c r="AF772" s="367"/>
    </row>
    <row r="773" ht="15.75" customHeight="1">
      <c r="A773" s="359"/>
      <c r="B773" s="361"/>
      <c r="C773" s="361"/>
      <c r="D773" s="361"/>
      <c r="E773" s="367"/>
      <c r="F773" s="367"/>
      <c r="G773" s="367"/>
      <c r="H773" s="367"/>
      <c r="I773" s="367"/>
      <c r="J773" s="367"/>
      <c r="K773" s="367"/>
      <c r="L773" s="367"/>
      <c r="M773" s="367"/>
      <c r="N773" s="367"/>
      <c r="O773" s="367"/>
      <c r="P773" s="367"/>
      <c r="Q773" s="367"/>
      <c r="R773" s="367"/>
      <c r="S773" s="367"/>
      <c r="T773" s="367"/>
      <c r="U773" s="367"/>
      <c r="V773" s="367"/>
      <c r="W773" s="367"/>
      <c r="X773" s="367"/>
      <c r="Y773" s="367"/>
      <c r="Z773" s="367"/>
      <c r="AA773" s="367"/>
      <c r="AB773" s="367"/>
      <c r="AC773" s="367"/>
      <c r="AD773" s="367"/>
      <c r="AE773" s="367"/>
      <c r="AF773" s="367"/>
    </row>
    <row r="774" ht="15.75" customHeight="1">
      <c r="A774" s="359"/>
      <c r="B774" s="361"/>
      <c r="C774" s="361"/>
      <c r="D774" s="361"/>
      <c r="E774" s="367"/>
      <c r="F774" s="367"/>
      <c r="G774" s="367"/>
      <c r="H774" s="367"/>
      <c r="I774" s="367"/>
      <c r="J774" s="367"/>
      <c r="K774" s="367"/>
      <c r="L774" s="367"/>
      <c r="M774" s="367"/>
      <c r="N774" s="367"/>
      <c r="O774" s="367"/>
      <c r="P774" s="367"/>
      <c r="Q774" s="367"/>
      <c r="R774" s="367"/>
      <c r="S774" s="367"/>
      <c r="T774" s="367"/>
      <c r="U774" s="367"/>
      <c r="V774" s="367"/>
      <c r="W774" s="367"/>
      <c r="X774" s="367"/>
      <c r="Y774" s="367"/>
      <c r="Z774" s="367"/>
      <c r="AA774" s="367"/>
      <c r="AB774" s="367"/>
      <c r="AC774" s="367"/>
      <c r="AD774" s="367"/>
      <c r="AE774" s="367"/>
      <c r="AF774" s="367"/>
    </row>
    <row r="775" ht="15.75" customHeight="1">
      <c r="A775" s="359"/>
      <c r="B775" s="361"/>
      <c r="C775" s="361"/>
      <c r="D775" s="361"/>
      <c r="E775" s="367"/>
      <c r="F775" s="367"/>
      <c r="G775" s="367"/>
      <c r="H775" s="367"/>
      <c r="I775" s="367"/>
      <c r="J775" s="367"/>
      <c r="K775" s="367"/>
      <c r="L775" s="367"/>
      <c r="M775" s="367"/>
      <c r="N775" s="367"/>
      <c r="O775" s="367"/>
      <c r="P775" s="367"/>
      <c r="Q775" s="367"/>
      <c r="R775" s="367"/>
      <c r="S775" s="367"/>
      <c r="T775" s="367"/>
      <c r="U775" s="367"/>
      <c r="V775" s="367"/>
      <c r="W775" s="367"/>
      <c r="X775" s="367"/>
      <c r="Y775" s="367"/>
      <c r="Z775" s="367"/>
      <c r="AA775" s="367"/>
      <c r="AB775" s="367"/>
      <c r="AC775" s="367"/>
      <c r="AD775" s="367"/>
      <c r="AE775" s="367"/>
      <c r="AF775" s="367"/>
    </row>
    <row r="776" ht="15.75" customHeight="1">
      <c r="A776" s="359"/>
      <c r="B776" s="361"/>
      <c r="C776" s="361"/>
      <c r="D776" s="361"/>
      <c r="E776" s="367"/>
      <c r="F776" s="367"/>
      <c r="G776" s="367"/>
      <c r="H776" s="367"/>
      <c r="I776" s="367"/>
      <c r="J776" s="367"/>
      <c r="K776" s="367"/>
      <c r="L776" s="367"/>
      <c r="M776" s="367"/>
      <c r="N776" s="367"/>
      <c r="O776" s="367"/>
      <c r="P776" s="367"/>
      <c r="Q776" s="367"/>
      <c r="R776" s="367"/>
      <c r="S776" s="367"/>
      <c r="T776" s="367"/>
      <c r="U776" s="367"/>
      <c r="V776" s="367"/>
      <c r="W776" s="367"/>
      <c r="X776" s="367"/>
      <c r="Y776" s="367"/>
      <c r="Z776" s="367"/>
      <c r="AA776" s="367"/>
      <c r="AB776" s="367"/>
      <c r="AC776" s="367"/>
      <c r="AD776" s="367"/>
      <c r="AE776" s="367"/>
      <c r="AF776" s="367"/>
    </row>
    <row r="777" ht="15.75" customHeight="1">
      <c r="A777" s="359"/>
      <c r="B777" s="361"/>
      <c r="C777" s="361"/>
      <c r="D777" s="361"/>
      <c r="E777" s="367"/>
      <c r="F777" s="367"/>
      <c r="G777" s="367"/>
      <c r="H777" s="367"/>
      <c r="I777" s="367"/>
      <c r="J777" s="367"/>
      <c r="K777" s="367"/>
      <c r="L777" s="367"/>
      <c r="M777" s="367"/>
      <c r="N777" s="367"/>
      <c r="O777" s="367"/>
      <c r="P777" s="367"/>
      <c r="Q777" s="367"/>
      <c r="R777" s="367"/>
      <c r="S777" s="367"/>
      <c r="T777" s="367"/>
      <c r="U777" s="367"/>
      <c r="V777" s="367"/>
      <c r="W777" s="367"/>
      <c r="X777" s="367"/>
      <c r="Y777" s="367"/>
      <c r="Z777" s="367"/>
      <c r="AA777" s="367"/>
      <c r="AB777" s="367"/>
      <c r="AC777" s="367"/>
      <c r="AD777" s="367"/>
      <c r="AE777" s="367"/>
      <c r="AF777" s="367"/>
    </row>
    <row r="778" ht="15.75" customHeight="1">
      <c r="A778" s="359"/>
      <c r="B778" s="361"/>
      <c r="C778" s="361"/>
      <c r="D778" s="361"/>
      <c r="E778" s="367"/>
      <c r="F778" s="367"/>
      <c r="G778" s="367"/>
      <c r="H778" s="367"/>
      <c r="I778" s="367"/>
      <c r="J778" s="367"/>
      <c r="K778" s="367"/>
      <c r="L778" s="367"/>
      <c r="M778" s="367"/>
      <c r="N778" s="367"/>
      <c r="O778" s="367"/>
      <c r="P778" s="367"/>
      <c r="Q778" s="367"/>
      <c r="R778" s="367"/>
      <c r="S778" s="367"/>
      <c r="T778" s="367"/>
      <c r="U778" s="367"/>
      <c r="V778" s="367"/>
      <c r="W778" s="367"/>
      <c r="X778" s="367"/>
      <c r="Y778" s="367"/>
      <c r="Z778" s="367"/>
      <c r="AA778" s="367"/>
      <c r="AB778" s="367"/>
      <c r="AC778" s="367"/>
      <c r="AD778" s="367"/>
      <c r="AE778" s="367"/>
      <c r="AF778" s="367"/>
    </row>
    <row r="779" ht="15.75" customHeight="1">
      <c r="A779" s="359"/>
      <c r="B779" s="361"/>
      <c r="C779" s="361"/>
      <c r="D779" s="361"/>
      <c r="E779" s="367"/>
      <c r="F779" s="367"/>
      <c r="G779" s="367"/>
      <c r="H779" s="367"/>
      <c r="I779" s="367"/>
      <c r="J779" s="367"/>
      <c r="K779" s="367"/>
      <c r="L779" s="367"/>
      <c r="M779" s="367"/>
      <c r="N779" s="367"/>
      <c r="O779" s="367"/>
      <c r="P779" s="367"/>
      <c r="Q779" s="367"/>
      <c r="R779" s="367"/>
      <c r="S779" s="367"/>
      <c r="T779" s="367"/>
      <c r="U779" s="367"/>
      <c r="V779" s="367"/>
      <c r="W779" s="367"/>
      <c r="X779" s="367"/>
      <c r="Y779" s="367"/>
      <c r="Z779" s="367"/>
      <c r="AA779" s="367"/>
      <c r="AB779" s="367"/>
      <c r="AC779" s="367"/>
      <c r="AD779" s="367"/>
      <c r="AE779" s="367"/>
      <c r="AF779" s="367"/>
    </row>
    <row r="780" ht="15.75" customHeight="1">
      <c r="A780" s="359"/>
      <c r="B780" s="361"/>
      <c r="C780" s="361"/>
      <c r="D780" s="361"/>
      <c r="E780" s="367"/>
      <c r="F780" s="367"/>
      <c r="G780" s="367"/>
      <c r="H780" s="367"/>
      <c r="I780" s="367"/>
      <c r="J780" s="367"/>
      <c r="K780" s="367"/>
      <c r="L780" s="367"/>
      <c r="M780" s="367"/>
      <c r="N780" s="367"/>
      <c r="O780" s="367"/>
      <c r="P780" s="367"/>
      <c r="Q780" s="367"/>
      <c r="R780" s="367"/>
      <c r="S780" s="367"/>
      <c r="T780" s="367"/>
      <c r="U780" s="367"/>
      <c r="V780" s="367"/>
      <c r="W780" s="367"/>
      <c r="X780" s="367"/>
      <c r="Y780" s="367"/>
      <c r="Z780" s="367"/>
      <c r="AA780" s="367"/>
      <c r="AB780" s="367"/>
      <c r="AC780" s="367"/>
      <c r="AD780" s="367"/>
      <c r="AE780" s="367"/>
      <c r="AF780" s="367"/>
    </row>
    <row r="781" ht="15.75" customHeight="1">
      <c r="A781" s="359"/>
      <c r="B781" s="361"/>
      <c r="C781" s="361"/>
      <c r="D781" s="361"/>
      <c r="E781" s="367"/>
      <c r="F781" s="367"/>
      <c r="G781" s="367"/>
      <c r="H781" s="367"/>
      <c r="I781" s="367"/>
      <c r="J781" s="367"/>
      <c r="K781" s="367"/>
      <c r="L781" s="367"/>
      <c r="M781" s="367"/>
      <c r="N781" s="367"/>
      <c r="O781" s="367"/>
      <c r="P781" s="367"/>
      <c r="Q781" s="367"/>
      <c r="R781" s="367"/>
      <c r="S781" s="367"/>
      <c r="T781" s="367"/>
      <c r="U781" s="367"/>
      <c r="V781" s="367"/>
      <c r="W781" s="367"/>
      <c r="X781" s="367"/>
      <c r="Y781" s="367"/>
      <c r="Z781" s="367"/>
      <c r="AA781" s="367"/>
      <c r="AB781" s="367"/>
      <c r="AC781" s="367"/>
      <c r="AD781" s="367"/>
      <c r="AE781" s="367"/>
      <c r="AF781" s="367"/>
    </row>
    <row r="782" ht="15.75" customHeight="1">
      <c r="A782" s="359"/>
      <c r="B782" s="361"/>
      <c r="C782" s="361"/>
      <c r="D782" s="361"/>
      <c r="E782" s="367"/>
      <c r="F782" s="367"/>
      <c r="G782" s="367"/>
      <c r="H782" s="367"/>
      <c r="I782" s="367"/>
      <c r="J782" s="367"/>
      <c r="K782" s="367"/>
      <c r="L782" s="367"/>
      <c r="M782" s="367"/>
      <c r="N782" s="367"/>
      <c r="O782" s="367"/>
      <c r="P782" s="367"/>
      <c r="Q782" s="367"/>
      <c r="R782" s="367"/>
      <c r="S782" s="367"/>
      <c r="T782" s="367"/>
      <c r="U782" s="367"/>
      <c r="V782" s="367"/>
      <c r="W782" s="367"/>
      <c r="X782" s="367"/>
      <c r="Y782" s="367"/>
      <c r="Z782" s="367"/>
      <c r="AA782" s="367"/>
      <c r="AB782" s="367"/>
      <c r="AC782" s="367"/>
      <c r="AD782" s="367"/>
      <c r="AE782" s="367"/>
      <c r="AF782" s="367"/>
    </row>
    <row r="783" ht="15.75" customHeight="1">
      <c r="A783" s="359"/>
      <c r="B783" s="361"/>
      <c r="C783" s="361"/>
      <c r="D783" s="361"/>
      <c r="E783" s="367"/>
      <c r="F783" s="367"/>
      <c r="G783" s="367"/>
      <c r="H783" s="367"/>
      <c r="I783" s="367"/>
      <c r="J783" s="367"/>
      <c r="K783" s="367"/>
      <c r="L783" s="367"/>
      <c r="M783" s="367"/>
      <c r="N783" s="367"/>
      <c r="O783" s="367"/>
      <c r="P783" s="367"/>
      <c r="Q783" s="367"/>
      <c r="R783" s="367"/>
      <c r="S783" s="367"/>
      <c r="T783" s="367"/>
      <c r="U783" s="367"/>
      <c r="V783" s="367"/>
      <c r="W783" s="367"/>
      <c r="X783" s="367"/>
      <c r="Y783" s="367"/>
      <c r="Z783" s="367"/>
      <c r="AA783" s="367"/>
      <c r="AB783" s="367"/>
      <c r="AC783" s="367"/>
      <c r="AD783" s="367"/>
      <c r="AE783" s="367"/>
      <c r="AF783" s="367"/>
    </row>
    <row r="784" ht="15.75" customHeight="1">
      <c r="A784" s="359"/>
      <c r="B784" s="361"/>
      <c r="C784" s="361"/>
      <c r="D784" s="361"/>
      <c r="E784" s="367"/>
      <c r="F784" s="367"/>
      <c r="G784" s="367"/>
      <c r="H784" s="367"/>
      <c r="I784" s="367"/>
      <c r="J784" s="367"/>
      <c r="K784" s="367"/>
      <c r="L784" s="367"/>
      <c r="M784" s="367"/>
      <c r="N784" s="367"/>
      <c r="O784" s="367"/>
      <c r="P784" s="367"/>
      <c r="Q784" s="367"/>
      <c r="R784" s="367"/>
      <c r="S784" s="367"/>
      <c r="T784" s="367"/>
      <c r="U784" s="367"/>
      <c r="V784" s="367"/>
      <c r="W784" s="367"/>
      <c r="X784" s="367"/>
      <c r="Y784" s="367"/>
      <c r="Z784" s="367"/>
      <c r="AA784" s="367"/>
      <c r="AB784" s="367"/>
      <c r="AC784" s="367"/>
      <c r="AD784" s="367"/>
      <c r="AE784" s="367"/>
      <c r="AF784" s="367"/>
    </row>
    <row r="785" ht="15.75" customHeight="1">
      <c r="A785" s="359"/>
      <c r="B785" s="361"/>
      <c r="C785" s="361"/>
      <c r="D785" s="361"/>
      <c r="E785" s="367"/>
      <c r="F785" s="367"/>
      <c r="G785" s="367"/>
      <c r="H785" s="367"/>
      <c r="I785" s="367"/>
      <c r="J785" s="367"/>
      <c r="K785" s="367"/>
      <c r="L785" s="367"/>
      <c r="M785" s="367"/>
      <c r="N785" s="367"/>
      <c r="O785" s="367"/>
      <c r="P785" s="367"/>
      <c r="Q785" s="367"/>
      <c r="R785" s="367"/>
      <c r="S785" s="367"/>
      <c r="T785" s="367"/>
      <c r="U785" s="367"/>
      <c r="V785" s="367"/>
      <c r="W785" s="367"/>
      <c r="X785" s="367"/>
      <c r="Y785" s="367"/>
      <c r="Z785" s="367"/>
      <c r="AA785" s="367"/>
      <c r="AB785" s="367"/>
      <c r="AC785" s="367"/>
      <c r="AD785" s="367"/>
      <c r="AE785" s="367"/>
      <c r="AF785" s="367"/>
    </row>
    <row r="786" ht="15.75" customHeight="1">
      <c r="A786" s="359"/>
      <c r="B786" s="361"/>
      <c r="C786" s="361"/>
      <c r="D786" s="361"/>
      <c r="E786" s="367"/>
      <c r="F786" s="367"/>
      <c r="G786" s="367"/>
      <c r="H786" s="367"/>
      <c r="I786" s="367"/>
      <c r="J786" s="367"/>
      <c r="K786" s="367"/>
      <c r="L786" s="367"/>
      <c r="M786" s="367"/>
      <c r="N786" s="367"/>
      <c r="O786" s="367"/>
      <c r="P786" s="367"/>
      <c r="Q786" s="367"/>
      <c r="R786" s="367"/>
      <c r="S786" s="367"/>
      <c r="T786" s="367"/>
      <c r="U786" s="367"/>
      <c r="V786" s="367"/>
      <c r="W786" s="367"/>
      <c r="X786" s="367"/>
      <c r="Y786" s="367"/>
      <c r="Z786" s="367"/>
      <c r="AA786" s="367"/>
      <c r="AB786" s="367"/>
      <c r="AC786" s="367"/>
      <c r="AD786" s="367"/>
      <c r="AE786" s="367"/>
      <c r="AF786" s="367"/>
    </row>
    <row r="787" ht="15.75" customHeight="1">
      <c r="A787" s="359"/>
      <c r="B787" s="361"/>
      <c r="C787" s="361"/>
      <c r="D787" s="361"/>
      <c r="E787" s="367"/>
      <c r="F787" s="367"/>
      <c r="G787" s="367"/>
      <c r="H787" s="367"/>
      <c r="I787" s="367"/>
      <c r="J787" s="367"/>
      <c r="K787" s="367"/>
      <c r="L787" s="367"/>
      <c r="M787" s="367"/>
      <c r="N787" s="367"/>
      <c r="O787" s="367"/>
      <c r="P787" s="367"/>
      <c r="Q787" s="367"/>
      <c r="R787" s="367"/>
      <c r="S787" s="367"/>
      <c r="T787" s="367"/>
      <c r="U787" s="367"/>
      <c r="V787" s="367"/>
      <c r="W787" s="367"/>
      <c r="X787" s="367"/>
      <c r="Y787" s="367"/>
      <c r="Z787" s="367"/>
      <c r="AA787" s="367"/>
      <c r="AB787" s="367"/>
      <c r="AC787" s="367"/>
      <c r="AD787" s="367"/>
      <c r="AE787" s="367"/>
      <c r="AF787" s="367"/>
    </row>
    <row r="788" ht="15.75" customHeight="1">
      <c r="A788" s="359"/>
      <c r="B788" s="361"/>
      <c r="C788" s="361"/>
      <c r="D788" s="361"/>
      <c r="E788" s="367"/>
      <c r="F788" s="367"/>
      <c r="G788" s="367"/>
      <c r="H788" s="367"/>
      <c r="I788" s="367"/>
      <c r="J788" s="367"/>
      <c r="K788" s="367"/>
      <c r="L788" s="367"/>
      <c r="M788" s="367"/>
      <c r="N788" s="367"/>
      <c r="O788" s="367"/>
      <c r="P788" s="367"/>
      <c r="Q788" s="367"/>
      <c r="R788" s="367"/>
      <c r="S788" s="367"/>
      <c r="T788" s="367"/>
      <c r="U788" s="367"/>
      <c r="V788" s="367"/>
      <c r="W788" s="367"/>
      <c r="X788" s="367"/>
      <c r="Y788" s="367"/>
      <c r="Z788" s="367"/>
      <c r="AA788" s="367"/>
      <c r="AB788" s="367"/>
      <c r="AC788" s="367"/>
      <c r="AD788" s="367"/>
      <c r="AE788" s="367"/>
      <c r="AF788" s="367"/>
    </row>
    <row r="789" ht="15.75" customHeight="1">
      <c r="A789" s="359"/>
      <c r="B789" s="361"/>
      <c r="C789" s="361"/>
      <c r="D789" s="361"/>
      <c r="E789" s="367"/>
      <c r="F789" s="367"/>
      <c r="G789" s="367"/>
      <c r="H789" s="367"/>
      <c r="I789" s="367"/>
      <c r="J789" s="367"/>
      <c r="K789" s="367"/>
      <c r="L789" s="367"/>
      <c r="M789" s="367"/>
      <c r="N789" s="367"/>
      <c r="O789" s="367"/>
      <c r="P789" s="367"/>
      <c r="Q789" s="367"/>
      <c r="R789" s="367"/>
      <c r="S789" s="367"/>
      <c r="T789" s="367"/>
      <c r="U789" s="367"/>
      <c r="V789" s="367"/>
      <c r="W789" s="367"/>
      <c r="X789" s="367"/>
      <c r="Y789" s="367"/>
      <c r="Z789" s="367"/>
      <c r="AA789" s="367"/>
      <c r="AB789" s="367"/>
      <c r="AC789" s="367"/>
      <c r="AD789" s="367"/>
      <c r="AE789" s="367"/>
      <c r="AF789" s="367"/>
    </row>
    <row r="790" ht="15.75" customHeight="1">
      <c r="A790" s="359"/>
      <c r="B790" s="361"/>
      <c r="C790" s="361"/>
      <c r="D790" s="361"/>
      <c r="E790" s="367"/>
      <c r="F790" s="367"/>
      <c r="G790" s="367"/>
      <c r="H790" s="367"/>
      <c r="I790" s="367"/>
      <c r="J790" s="367"/>
      <c r="K790" s="367"/>
      <c r="L790" s="367"/>
      <c r="M790" s="367"/>
      <c r="N790" s="367"/>
      <c r="O790" s="367"/>
      <c r="P790" s="367"/>
      <c r="Q790" s="367"/>
      <c r="R790" s="367"/>
      <c r="S790" s="367"/>
      <c r="T790" s="367"/>
      <c r="U790" s="367"/>
      <c r="V790" s="367"/>
      <c r="W790" s="367"/>
      <c r="X790" s="367"/>
      <c r="Y790" s="367"/>
      <c r="Z790" s="367"/>
      <c r="AA790" s="367"/>
      <c r="AB790" s="367"/>
      <c r="AC790" s="367"/>
      <c r="AD790" s="367"/>
      <c r="AE790" s="367"/>
      <c r="AF790" s="367"/>
    </row>
    <row r="791" ht="15.75" customHeight="1">
      <c r="A791" s="359"/>
      <c r="B791" s="361"/>
      <c r="C791" s="361"/>
      <c r="D791" s="361"/>
      <c r="E791" s="367"/>
      <c r="F791" s="367"/>
      <c r="G791" s="367"/>
      <c r="H791" s="367"/>
      <c r="I791" s="367"/>
      <c r="J791" s="367"/>
      <c r="K791" s="367"/>
      <c r="L791" s="367"/>
      <c r="M791" s="367"/>
      <c r="N791" s="367"/>
      <c r="O791" s="367"/>
      <c r="P791" s="367"/>
      <c r="Q791" s="367"/>
      <c r="R791" s="367"/>
      <c r="S791" s="367"/>
      <c r="T791" s="367"/>
      <c r="U791" s="367"/>
      <c r="V791" s="367"/>
      <c r="W791" s="367"/>
      <c r="X791" s="367"/>
      <c r="Y791" s="367"/>
      <c r="Z791" s="367"/>
      <c r="AA791" s="367"/>
      <c r="AB791" s="367"/>
      <c r="AC791" s="367"/>
      <c r="AD791" s="367"/>
      <c r="AE791" s="367"/>
      <c r="AF791" s="367"/>
    </row>
    <row r="792" ht="15.75" customHeight="1">
      <c r="A792" s="359"/>
      <c r="B792" s="361"/>
      <c r="C792" s="361"/>
      <c r="D792" s="361"/>
      <c r="E792" s="367"/>
      <c r="F792" s="367"/>
      <c r="G792" s="367"/>
      <c r="H792" s="367"/>
      <c r="I792" s="367"/>
      <c r="J792" s="367"/>
      <c r="K792" s="367"/>
      <c r="L792" s="367"/>
      <c r="M792" s="367"/>
      <c r="N792" s="367"/>
      <c r="O792" s="367"/>
      <c r="P792" s="367"/>
      <c r="Q792" s="367"/>
      <c r="R792" s="367"/>
      <c r="S792" s="367"/>
      <c r="T792" s="367"/>
      <c r="U792" s="367"/>
      <c r="V792" s="367"/>
      <c r="W792" s="367"/>
      <c r="X792" s="367"/>
      <c r="Y792" s="367"/>
      <c r="Z792" s="367"/>
      <c r="AA792" s="367"/>
      <c r="AB792" s="367"/>
      <c r="AC792" s="367"/>
      <c r="AD792" s="367"/>
      <c r="AE792" s="367"/>
      <c r="AF792" s="367"/>
    </row>
    <row r="793" ht="15.75" customHeight="1">
      <c r="A793" s="359"/>
      <c r="B793" s="361"/>
      <c r="C793" s="361"/>
      <c r="D793" s="361"/>
      <c r="E793" s="367"/>
      <c r="F793" s="367"/>
      <c r="G793" s="367"/>
      <c r="H793" s="367"/>
      <c r="I793" s="367"/>
      <c r="J793" s="367"/>
      <c r="K793" s="367"/>
      <c r="L793" s="367"/>
      <c r="M793" s="367"/>
      <c r="N793" s="367"/>
      <c r="O793" s="367"/>
      <c r="P793" s="367"/>
      <c r="Q793" s="367"/>
      <c r="R793" s="367"/>
      <c r="S793" s="367"/>
      <c r="T793" s="367"/>
      <c r="U793" s="367"/>
      <c r="V793" s="367"/>
      <c r="W793" s="367"/>
      <c r="X793" s="367"/>
      <c r="Y793" s="367"/>
      <c r="Z793" s="367"/>
      <c r="AA793" s="367"/>
      <c r="AB793" s="367"/>
      <c r="AC793" s="367"/>
      <c r="AD793" s="367"/>
      <c r="AE793" s="367"/>
      <c r="AF793" s="367"/>
    </row>
    <row r="794" ht="15.75" customHeight="1">
      <c r="A794" s="359"/>
      <c r="B794" s="361"/>
      <c r="C794" s="361"/>
      <c r="D794" s="361"/>
      <c r="E794" s="367"/>
      <c r="F794" s="367"/>
      <c r="G794" s="367"/>
      <c r="H794" s="367"/>
      <c r="I794" s="367"/>
      <c r="J794" s="367"/>
      <c r="K794" s="367"/>
      <c r="L794" s="367"/>
      <c r="M794" s="367"/>
      <c r="N794" s="367"/>
      <c r="O794" s="367"/>
      <c r="P794" s="367"/>
      <c r="Q794" s="367"/>
      <c r="R794" s="367"/>
      <c r="S794" s="367"/>
      <c r="T794" s="367"/>
      <c r="U794" s="367"/>
      <c r="V794" s="367"/>
      <c r="W794" s="367"/>
      <c r="X794" s="367"/>
      <c r="Y794" s="367"/>
      <c r="Z794" s="367"/>
      <c r="AA794" s="367"/>
      <c r="AB794" s="367"/>
      <c r="AC794" s="367"/>
      <c r="AD794" s="367"/>
      <c r="AE794" s="367"/>
      <c r="AF794" s="367"/>
    </row>
    <row r="795" ht="15.75" customHeight="1">
      <c r="A795" s="359"/>
      <c r="B795" s="361"/>
      <c r="C795" s="361"/>
      <c r="D795" s="361"/>
      <c r="E795" s="367"/>
      <c r="F795" s="367"/>
      <c r="G795" s="367"/>
      <c r="H795" s="367"/>
      <c r="I795" s="367"/>
      <c r="J795" s="367"/>
      <c r="K795" s="367"/>
      <c r="L795" s="367"/>
      <c r="M795" s="367"/>
      <c r="N795" s="367"/>
      <c r="O795" s="367"/>
      <c r="P795" s="367"/>
      <c r="Q795" s="367"/>
      <c r="R795" s="367"/>
      <c r="S795" s="367"/>
      <c r="T795" s="367"/>
      <c r="U795" s="367"/>
      <c r="V795" s="367"/>
      <c r="W795" s="367"/>
      <c r="X795" s="367"/>
      <c r="Y795" s="367"/>
      <c r="Z795" s="367"/>
      <c r="AA795" s="367"/>
      <c r="AB795" s="367"/>
      <c r="AC795" s="367"/>
      <c r="AD795" s="367"/>
      <c r="AE795" s="367"/>
      <c r="AF795" s="367"/>
    </row>
    <row r="796" ht="15.75" customHeight="1">
      <c r="A796" s="359"/>
      <c r="B796" s="361"/>
      <c r="C796" s="361"/>
      <c r="D796" s="361"/>
      <c r="E796" s="367"/>
      <c r="F796" s="367"/>
      <c r="G796" s="367"/>
      <c r="H796" s="367"/>
      <c r="I796" s="367"/>
      <c r="J796" s="367"/>
      <c r="K796" s="367"/>
      <c r="L796" s="367"/>
      <c r="M796" s="367"/>
      <c r="N796" s="367"/>
      <c r="O796" s="367"/>
      <c r="P796" s="367"/>
      <c r="Q796" s="367"/>
      <c r="R796" s="367"/>
      <c r="S796" s="367"/>
      <c r="T796" s="367"/>
      <c r="U796" s="367"/>
      <c r="V796" s="367"/>
      <c r="W796" s="367"/>
      <c r="X796" s="367"/>
      <c r="Y796" s="367"/>
      <c r="Z796" s="367"/>
      <c r="AA796" s="367"/>
      <c r="AB796" s="367"/>
      <c r="AC796" s="367"/>
      <c r="AD796" s="367"/>
      <c r="AE796" s="367"/>
      <c r="AF796" s="367"/>
    </row>
    <row r="797" ht="15.75" customHeight="1">
      <c r="A797" s="359"/>
      <c r="B797" s="361"/>
      <c r="C797" s="361"/>
      <c r="D797" s="361"/>
      <c r="E797" s="367"/>
      <c r="F797" s="367"/>
      <c r="G797" s="367"/>
      <c r="H797" s="367"/>
      <c r="I797" s="367"/>
      <c r="J797" s="367"/>
      <c r="K797" s="367"/>
      <c r="L797" s="367"/>
      <c r="M797" s="367"/>
      <c r="N797" s="367"/>
      <c r="O797" s="367"/>
      <c r="P797" s="367"/>
      <c r="Q797" s="367"/>
      <c r="R797" s="367"/>
      <c r="S797" s="367"/>
      <c r="T797" s="367"/>
      <c r="U797" s="367"/>
      <c r="V797" s="367"/>
      <c r="W797" s="367"/>
      <c r="X797" s="367"/>
      <c r="Y797" s="367"/>
      <c r="Z797" s="367"/>
      <c r="AA797" s="367"/>
      <c r="AB797" s="367"/>
      <c r="AC797" s="367"/>
      <c r="AD797" s="367"/>
      <c r="AE797" s="367"/>
      <c r="AF797" s="367"/>
    </row>
    <row r="798" ht="15.75" customHeight="1">
      <c r="A798" s="359"/>
      <c r="B798" s="361"/>
      <c r="C798" s="361"/>
      <c r="D798" s="361"/>
      <c r="E798" s="367"/>
      <c r="F798" s="367"/>
      <c r="G798" s="367"/>
      <c r="H798" s="367"/>
      <c r="I798" s="367"/>
      <c r="J798" s="367"/>
      <c r="K798" s="367"/>
      <c r="L798" s="367"/>
      <c r="M798" s="367"/>
      <c r="N798" s="367"/>
      <c r="O798" s="367"/>
      <c r="P798" s="367"/>
      <c r="Q798" s="367"/>
      <c r="R798" s="367"/>
      <c r="S798" s="367"/>
      <c r="T798" s="367"/>
      <c r="U798" s="367"/>
      <c r="V798" s="367"/>
      <c r="W798" s="367"/>
      <c r="X798" s="367"/>
      <c r="Y798" s="367"/>
      <c r="Z798" s="367"/>
      <c r="AA798" s="367"/>
      <c r="AB798" s="367"/>
      <c r="AC798" s="367"/>
      <c r="AD798" s="367"/>
      <c r="AE798" s="367"/>
      <c r="AF798" s="367"/>
    </row>
    <row r="799" ht="15.75" customHeight="1">
      <c r="A799" s="359"/>
      <c r="B799" s="361"/>
      <c r="C799" s="361"/>
      <c r="D799" s="361"/>
      <c r="E799" s="367"/>
      <c r="F799" s="367"/>
      <c r="G799" s="367"/>
      <c r="H799" s="367"/>
      <c r="I799" s="367"/>
      <c r="J799" s="367"/>
      <c r="K799" s="367"/>
      <c r="L799" s="367"/>
      <c r="M799" s="367"/>
      <c r="N799" s="367"/>
      <c r="O799" s="367"/>
      <c r="P799" s="367"/>
      <c r="Q799" s="367"/>
      <c r="R799" s="367"/>
      <c r="S799" s="367"/>
      <c r="T799" s="367"/>
      <c r="U799" s="367"/>
      <c r="V799" s="367"/>
      <c r="W799" s="367"/>
      <c r="X799" s="367"/>
      <c r="Y799" s="367"/>
      <c r="Z799" s="367"/>
      <c r="AA799" s="367"/>
      <c r="AB799" s="367"/>
      <c r="AC799" s="367"/>
      <c r="AD799" s="367"/>
      <c r="AE799" s="367"/>
      <c r="AF799" s="367"/>
    </row>
    <row r="800" ht="15.75" customHeight="1">
      <c r="A800" s="359"/>
      <c r="B800" s="361"/>
      <c r="C800" s="361"/>
      <c r="D800" s="361"/>
      <c r="E800" s="367"/>
      <c r="F800" s="367"/>
      <c r="G800" s="367"/>
      <c r="H800" s="367"/>
      <c r="I800" s="367"/>
      <c r="J800" s="367"/>
      <c r="K800" s="367"/>
      <c r="L800" s="367"/>
      <c r="M800" s="367"/>
      <c r="N800" s="367"/>
      <c r="O800" s="367"/>
      <c r="P800" s="367"/>
      <c r="Q800" s="367"/>
      <c r="R800" s="367"/>
      <c r="S800" s="367"/>
      <c r="T800" s="367"/>
      <c r="U800" s="367"/>
      <c r="V800" s="367"/>
      <c r="W800" s="367"/>
      <c r="X800" s="367"/>
      <c r="Y800" s="367"/>
      <c r="Z800" s="367"/>
      <c r="AA800" s="367"/>
      <c r="AB800" s="367"/>
      <c r="AC800" s="367"/>
      <c r="AD800" s="367"/>
      <c r="AE800" s="367"/>
      <c r="AF800" s="367"/>
    </row>
    <row r="801" ht="15.75" customHeight="1">
      <c r="A801" s="359"/>
      <c r="B801" s="361"/>
      <c r="C801" s="361"/>
      <c r="D801" s="361"/>
      <c r="E801" s="367"/>
      <c r="F801" s="367"/>
      <c r="G801" s="367"/>
      <c r="H801" s="367"/>
      <c r="I801" s="367"/>
      <c r="J801" s="367"/>
      <c r="K801" s="367"/>
      <c r="L801" s="367"/>
      <c r="M801" s="367"/>
      <c r="N801" s="367"/>
      <c r="O801" s="367"/>
      <c r="P801" s="367"/>
      <c r="Q801" s="367"/>
      <c r="R801" s="367"/>
      <c r="S801" s="367"/>
      <c r="T801" s="367"/>
      <c r="U801" s="367"/>
      <c r="V801" s="367"/>
      <c r="W801" s="367"/>
      <c r="X801" s="367"/>
      <c r="Y801" s="367"/>
      <c r="Z801" s="367"/>
      <c r="AA801" s="367"/>
      <c r="AB801" s="367"/>
      <c r="AC801" s="367"/>
      <c r="AD801" s="367"/>
      <c r="AE801" s="367"/>
      <c r="AF801" s="367"/>
    </row>
    <row r="802" ht="15.75" customHeight="1">
      <c r="A802" s="359"/>
      <c r="B802" s="361"/>
      <c r="C802" s="361"/>
      <c r="D802" s="361"/>
      <c r="E802" s="367"/>
      <c r="F802" s="367"/>
      <c r="G802" s="367"/>
      <c r="H802" s="367"/>
      <c r="I802" s="367"/>
      <c r="J802" s="367"/>
      <c r="K802" s="367"/>
      <c r="L802" s="367"/>
      <c r="M802" s="367"/>
      <c r="N802" s="367"/>
      <c r="O802" s="367"/>
      <c r="P802" s="367"/>
      <c r="Q802" s="367"/>
      <c r="R802" s="367"/>
      <c r="S802" s="367"/>
      <c r="T802" s="367"/>
      <c r="U802" s="367"/>
      <c r="V802" s="367"/>
      <c r="W802" s="367"/>
      <c r="X802" s="367"/>
      <c r="Y802" s="367"/>
      <c r="Z802" s="367"/>
      <c r="AA802" s="367"/>
      <c r="AB802" s="367"/>
      <c r="AC802" s="367"/>
      <c r="AD802" s="367"/>
      <c r="AE802" s="367"/>
      <c r="AF802" s="367"/>
    </row>
    <row r="803" ht="15.75" customHeight="1">
      <c r="A803" s="359"/>
      <c r="B803" s="361"/>
      <c r="C803" s="361"/>
      <c r="D803" s="361"/>
      <c r="E803" s="367"/>
      <c r="F803" s="367"/>
      <c r="G803" s="367"/>
      <c r="H803" s="367"/>
      <c r="I803" s="367"/>
      <c r="J803" s="367"/>
      <c r="K803" s="367"/>
      <c r="L803" s="367"/>
      <c r="M803" s="367"/>
      <c r="N803" s="367"/>
      <c r="O803" s="367"/>
      <c r="P803" s="367"/>
      <c r="Q803" s="367"/>
      <c r="R803" s="367"/>
      <c r="S803" s="367"/>
      <c r="T803" s="367"/>
      <c r="U803" s="367"/>
      <c r="V803" s="367"/>
      <c r="W803" s="367"/>
      <c r="X803" s="367"/>
      <c r="Y803" s="367"/>
      <c r="Z803" s="367"/>
      <c r="AA803" s="367"/>
      <c r="AB803" s="367"/>
      <c r="AC803" s="367"/>
      <c r="AD803" s="367"/>
      <c r="AE803" s="367"/>
      <c r="AF803" s="367"/>
    </row>
    <row r="804" ht="15.75" customHeight="1">
      <c r="A804" s="359"/>
      <c r="B804" s="361"/>
      <c r="C804" s="361"/>
      <c r="D804" s="361"/>
      <c r="E804" s="367"/>
      <c r="F804" s="367"/>
      <c r="G804" s="367"/>
      <c r="H804" s="367"/>
      <c r="I804" s="367"/>
      <c r="J804" s="367"/>
      <c r="K804" s="367"/>
      <c r="L804" s="367"/>
      <c r="M804" s="367"/>
      <c r="N804" s="367"/>
      <c r="O804" s="367"/>
      <c r="P804" s="367"/>
      <c r="Q804" s="367"/>
      <c r="R804" s="367"/>
      <c r="S804" s="367"/>
      <c r="T804" s="367"/>
      <c r="U804" s="367"/>
      <c r="V804" s="367"/>
      <c r="W804" s="367"/>
      <c r="X804" s="367"/>
      <c r="Y804" s="367"/>
      <c r="Z804" s="367"/>
      <c r="AA804" s="367"/>
      <c r="AB804" s="367"/>
      <c r="AC804" s="367"/>
      <c r="AD804" s="367"/>
      <c r="AE804" s="367"/>
      <c r="AF804" s="367"/>
    </row>
    <row r="805" ht="15.75" customHeight="1">
      <c r="A805" s="359"/>
      <c r="B805" s="361"/>
      <c r="C805" s="361"/>
      <c r="D805" s="361"/>
      <c r="E805" s="367"/>
      <c r="F805" s="367"/>
      <c r="G805" s="367"/>
      <c r="H805" s="367"/>
      <c r="I805" s="367"/>
      <c r="J805" s="367"/>
      <c r="K805" s="367"/>
      <c r="L805" s="367"/>
      <c r="M805" s="367"/>
      <c r="N805" s="367"/>
      <c r="O805" s="367"/>
      <c r="P805" s="367"/>
      <c r="Q805" s="367"/>
      <c r="R805" s="367"/>
      <c r="S805" s="367"/>
      <c r="T805" s="367"/>
      <c r="U805" s="367"/>
      <c r="V805" s="367"/>
      <c r="W805" s="367"/>
      <c r="X805" s="367"/>
      <c r="Y805" s="367"/>
      <c r="Z805" s="367"/>
      <c r="AA805" s="367"/>
      <c r="AB805" s="367"/>
      <c r="AC805" s="367"/>
      <c r="AD805" s="367"/>
      <c r="AE805" s="367"/>
      <c r="AF805" s="367"/>
    </row>
    <row r="806" ht="15.75" customHeight="1">
      <c r="A806" s="359"/>
      <c r="B806" s="361"/>
      <c r="C806" s="361"/>
      <c r="D806" s="361"/>
      <c r="E806" s="367"/>
      <c r="F806" s="367"/>
      <c r="G806" s="367"/>
      <c r="H806" s="367"/>
      <c r="I806" s="367"/>
      <c r="J806" s="367"/>
      <c r="K806" s="367"/>
      <c r="L806" s="367"/>
      <c r="M806" s="367"/>
      <c r="N806" s="367"/>
      <c r="O806" s="367"/>
      <c r="P806" s="367"/>
      <c r="Q806" s="367"/>
      <c r="R806" s="367"/>
      <c r="S806" s="367"/>
      <c r="T806" s="367"/>
      <c r="U806" s="367"/>
      <c r="V806" s="367"/>
      <c r="W806" s="367"/>
      <c r="X806" s="367"/>
      <c r="Y806" s="367"/>
      <c r="Z806" s="367"/>
      <c r="AA806" s="367"/>
      <c r="AB806" s="367"/>
      <c r="AC806" s="367"/>
      <c r="AD806" s="367"/>
      <c r="AE806" s="367"/>
      <c r="AF806" s="367"/>
    </row>
    <row r="807" ht="15.75" customHeight="1">
      <c r="A807" s="359"/>
      <c r="B807" s="361"/>
      <c r="C807" s="361"/>
      <c r="D807" s="361"/>
      <c r="E807" s="367"/>
      <c r="F807" s="367"/>
      <c r="G807" s="367"/>
      <c r="H807" s="367"/>
      <c r="I807" s="367"/>
      <c r="J807" s="367"/>
      <c r="K807" s="367"/>
      <c r="L807" s="367"/>
      <c r="M807" s="367"/>
      <c r="N807" s="367"/>
      <c r="O807" s="367"/>
      <c r="P807" s="367"/>
      <c r="Q807" s="367"/>
      <c r="R807" s="367"/>
      <c r="S807" s="367"/>
      <c r="T807" s="367"/>
      <c r="U807" s="367"/>
      <c r="V807" s="367"/>
      <c r="W807" s="367"/>
      <c r="X807" s="367"/>
      <c r="Y807" s="367"/>
      <c r="Z807" s="367"/>
      <c r="AA807" s="367"/>
      <c r="AB807" s="367"/>
      <c r="AC807" s="367"/>
      <c r="AD807" s="367"/>
      <c r="AE807" s="367"/>
      <c r="AF807" s="367"/>
    </row>
    <row r="808" ht="15.75" customHeight="1">
      <c r="A808" s="359"/>
      <c r="B808" s="361"/>
      <c r="C808" s="361"/>
      <c r="D808" s="361"/>
      <c r="E808" s="367"/>
      <c r="F808" s="367"/>
      <c r="G808" s="367"/>
      <c r="H808" s="367"/>
      <c r="I808" s="367"/>
      <c r="J808" s="367"/>
      <c r="K808" s="367"/>
      <c r="L808" s="367"/>
      <c r="M808" s="367"/>
      <c r="N808" s="367"/>
      <c r="O808" s="367"/>
      <c r="P808" s="367"/>
      <c r="Q808" s="367"/>
      <c r="R808" s="367"/>
      <c r="S808" s="367"/>
      <c r="T808" s="367"/>
      <c r="U808" s="367"/>
      <c r="V808" s="367"/>
      <c r="W808" s="367"/>
      <c r="X808" s="367"/>
      <c r="Y808" s="367"/>
      <c r="Z808" s="367"/>
      <c r="AA808" s="367"/>
      <c r="AB808" s="367"/>
      <c r="AC808" s="367"/>
      <c r="AD808" s="367"/>
      <c r="AE808" s="367"/>
      <c r="AF808" s="367"/>
    </row>
    <row r="809" ht="15.75" customHeight="1">
      <c r="A809" s="359"/>
      <c r="B809" s="361"/>
      <c r="C809" s="361"/>
      <c r="D809" s="361"/>
      <c r="E809" s="367"/>
      <c r="F809" s="367"/>
      <c r="G809" s="367"/>
      <c r="H809" s="367"/>
      <c r="I809" s="367"/>
      <c r="J809" s="367"/>
      <c r="K809" s="367"/>
      <c r="L809" s="367"/>
      <c r="M809" s="367"/>
      <c r="N809" s="367"/>
      <c r="O809" s="367"/>
      <c r="P809" s="367"/>
      <c r="Q809" s="367"/>
      <c r="R809" s="367"/>
      <c r="S809" s="367"/>
      <c r="T809" s="367"/>
      <c r="U809" s="367"/>
      <c r="V809" s="367"/>
      <c r="W809" s="367"/>
      <c r="X809" s="367"/>
      <c r="Y809" s="367"/>
      <c r="Z809" s="367"/>
      <c r="AA809" s="367"/>
      <c r="AB809" s="367"/>
      <c r="AC809" s="367"/>
      <c r="AD809" s="367"/>
      <c r="AE809" s="367"/>
      <c r="AF809" s="367"/>
    </row>
    <row r="810" ht="15.75" customHeight="1">
      <c r="A810" s="359"/>
      <c r="B810" s="361"/>
      <c r="C810" s="361"/>
      <c r="D810" s="361"/>
      <c r="E810" s="367"/>
      <c r="F810" s="367"/>
      <c r="G810" s="367"/>
      <c r="H810" s="367"/>
      <c r="I810" s="367"/>
      <c r="J810" s="367"/>
      <c r="K810" s="367"/>
      <c r="L810" s="367"/>
      <c r="M810" s="367"/>
      <c r="N810" s="367"/>
      <c r="O810" s="367"/>
      <c r="P810" s="367"/>
      <c r="Q810" s="367"/>
      <c r="R810" s="367"/>
      <c r="S810" s="367"/>
      <c r="T810" s="367"/>
      <c r="U810" s="367"/>
      <c r="V810" s="367"/>
      <c r="W810" s="367"/>
      <c r="X810" s="367"/>
      <c r="Y810" s="367"/>
      <c r="Z810" s="367"/>
      <c r="AA810" s="367"/>
      <c r="AB810" s="367"/>
      <c r="AC810" s="367"/>
      <c r="AD810" s="367"/>
      <c r="AE810" s="367"/>
      <c r="AF810" s="367"/>
    </row>
    <row r="811" ht="15.75" customHeight="1">
      <c r="A811" s="359"/>
      <c r="B811" s="361"/>
      <c r="C811" s="361"/>
      <c r="D811" s="361"/>
      <c r="E811" s="367"/>
      <c r="F811" s="367"/>
      <c r="G811" s="367"/>
      <c r="H811" s="367"/>
      <c r="I811" s="367"/>
      <c r="J811" s="367"/>
      <c r="K811" s="367"/>
      <c r="L811" s="367"/>
      <c r="M811" s="367"/>
      <c r="N811" s="367"/>
      <c r="O811" s="367"/>
      <c r="P811" s="367"/>
      <c r="Q811" s="367"/>
      <c r="R811" s="367"/>
      <c r="S811" s="367"/>
      <c r="T811" s="367"/>
      <c r="U811" s="367"/>
      <c r="V811" s="367"/>
      <c r="W811" s="367"/>
      <c r="X811" s="367"/>
      <c r="Y811" s="367"/>
      <c r="Z811" s="367"/>
      <c r="AA811" s="367"/>
      <c r="AB811" s="367"/>
      <c r="AC811" s="367"/>
      <c r="AD811" s="367"/>
      <c r="AE811" s="367"/>
      <c r="AF811" s="367"/>
    </row>
    <row r="812" ht="15.75" customHeight="1">
      <c r="A812" s="359"/>
      <c r="B812" s="361"/>
      <c r="C812" s="361"/>
      <c r="D812" s="361"/>
      <c r="E812" s="367"/>
      <c r="F812" s="367"/>
      <c r="G812" s="367"/>
      <c r="H812" s="367"/>
      <c r="I812" s="367"/>
      <c r="J812" s="367"/>
      <c r="K812" s="367"/>
      <c r="L812" s="367"/>
      <c r="M812" s="367"/>
      <c r="N812" s="367"/>
      <c r="O812" s="367"/>
      <c r="P812" s="367"/>
      <c r="Q812" s="367"/>
      <c r="R812" s="367"/>
      <c r="S812" s="367"/>
      <c r="T812" s="367"/>
      <c r="U812" s="367"/>
      <c r="V812" s="367"/>
      <c r="W812" s="367"/>
      <c r="X812" s="367"/>
      <c r="Y812" s="367"/>
      <c r="Z812" s="367"/>
      <c r="AA812" s="367"/>
      <c r="AB812" s="367"/>
      <c r="AC812" s="367"/>
      <c r="AD812" s="367"/>
      <c r="AE812" s="367"/>
      <c r="AF812" s="367"/>
    </row>
    <row r="813" ht="15.75" customHeight="1">
      <c r="A813" s="359"/>
      <c r="B813" s="361"/>
      <c r="C813" s="361"/>
      <c r="D813" s="361"/>
      <c r="E813" s="367"/>
      <c r="F813" s="367"/>
      <c r="G813" s="367"/>
      <c r="H813" s="367"/>
      <c r="I813" s="367"/>
      <c r="J813" s="367"/>
      <c r="K813" s="367"/>
      <c r="L813" s="367"/>
      <c r="M813" s="367"/>
      <c r="N813" s="367"/>
      <c r="O813" s="367"/>
      <c r="P813" s="367"/>
      <c r="Q813" s="367"/>
      <c r="R813" s="367"/>
      <c r="S813" s="367"/>
      <c r="T813" s="367"/>
      <c r="U813" s="367"/>
      <c r="V813" s="367"/>
      <c r="W813" s="367"/>
      <c r="X813" s="367"/>
      <c r="Y813" s="367"/>
      <c r="Z813" s="367"/>
      <c r="AA813" s="367"/>
      <c r="AB813" s="367"/>
      <c r="AC813" s="367"/>
      <c r="AD813" s="367"/>
      <c r="AE813" s="367"/>
      <c r="AF813" s="367"/>
    </row>
    <row r="814" ht="15.75" customHeight="1">
      <c r="A814" s="359"/>
      <c r="B814" s="361"/>
      <c r="C814" s="361"/>
      <c r="D814" s="361"/>
      <c r="E814" s="367"/>
      <c r="F814" s="367"/>
      <c r="G814" s="367"/>
      <c r="H814" s="367"/>
      <c r="I814" s="367"/>
      <c r="J814" s="367"/>
      <c r="K814" s="367"/>
      <c r="L814" s="367"/>
      <c r="M814" s="367"/>
      <c r="N814" s="367"/>
      <c r="O814" s="367"/>
      <c r="P814" s="367"/>
      <c r="Q814" s="367"/>
      <c r="R814" s="367"/>
      <c r="S814" s="367"/>
      <c r="T814" s="367"/>
      <c r="U814" s="367"/>
      <c r="V814" s="367"/>
      <c r="W814" s="367"/>
      <c r="X814" s="367"/>
      <c r="Y814" s="367"/>
      <c r="Z814" s="367"/>
      <c r="AA814" s="367"/>
      <c r="AB814" s="367"/>
      <c r="AC814" s="367"/>
      <c r="AD814" s="367"/>
      <c r="AE814" s="367"/>
      <c r="AF814" s="367"/>
    </row>
    <row r="815" ht="15.75" customHeight="1">
      <c r="A815" s="359"/>
      <c r="B815" s="361"/>
      <c r="C815" s="361"/>
      <c r="D815" s="361"/>
      <c r="E815" s="367"/>
      <c r="F815" s="367"/>
      <c r="G815" s="367"/>
      <c r="H815" s="367"/>
      <c r="I815" s="367"/>
      <c r="J815" s="367"/>
      <c r="K815" s="367"/>
      <c r="L815" s="367"/>
      <c r="M815" s="367"/>
      <c r="N815" s="367"/>
      <c r="O815" s="367"/>
      <c r="P815" s="367"/>
      <c r="Q815" s="367"/>
      <c r="R815" s="367"/>
      <c r="S815" s="367"/>
      <c r="T815" s="367"/>
      <c r="U815" s="367"/>
      <c r="V815" s="367"/>
      <c r="W815" s="367"/>
      <c r="X815" s="367"/>
      <c r="Y815" s="367"/>
      <c r="Z815" s="367"/>
      <c r="AA815" s="367"/>
      <c r="AB815" s="367"/>
      <c r="AC815" s="367"/>
      <c r="AD815" s="367"/>
      <c r="AE815" s="367"/>
      <c r="AF815" s="367"/>
    </row>
    <row r="816" ht="15.75" customHeight="1">
      <c r="A816" s="359"/>
      <c r="B816" s="361"/>
      <c r="C816" s="361"/>
      <c r="D816" s="361"/>
      <c r="E816" s="367"/>
      <c r="F816" s="367"/>
      <c r="G816" s="367"/>
      <c r="H816" s="367"/>
      <c r="I816" s="367"/>
      <c r="J816" s="367"/>
      <c r="K816" s="367"/>
      <c r="L816" s="367"/>
      <c r="M816" s="367"/>
      <c r="N816" s="367"/>
      <c r="O816" s="367"/>
      <c r="P816" s="367"/>
      <c r="Q816" s="367"/>
      <c r="R816" s="367"/>
      <c r="S816" s="367"/>
      <c r="T816" s="367"/>
      <c r="U816" s="367"/>
      <c r="V816" s="367"/>
      <c r="W816" s="367"/>
      <c r="X816" s="367"/>
      <c r="Y816" s="367"/>
      <c r="Z816" s="367"/>
      <c r="AA816" s="367"/>
      <c r="AB816" s="367"/>
      <c r="AC816" s="367"/>
      <c r="AD816" s="367"/>
      <c r="AE816" s="367"/>
      <c r="AF816" s="367"/>
    </row>
    <row r="817" ht="15.75" customHeight="1">
      <c r="A817" s="359"/>
      <c r="B817" s="361"/>
      <c r="C817" s="361"/>
      <c r="D817" s="361"/>
      <c r="E817" s="367"/>
      <c r="F817" s="367"/>
      <c r="G817" s="367"/>
      <c r="H817" s="367"/>
      <c r="I817" s="367"/>
      <c r="J817" s="367"/>
      <c r="K817" s="367"/>
      <c r="L817" s="367"/>
      <c r="M817" s="367"/>
      <c r="N817" s="367"/>
      <c r="O817" s="367"/>
      <c r="P817" s="367"/>
      <c r="Q817" s="367"/>
      <c r="R817" s="367"/>
      <c r="S817" s="367"/>
      <c r="T817" s="367"/>
      <c r="U817" s="367"/>
      <c r="V817" s="367"/>
      <c r="W817" s="367"/>
      <c r="X817" s="367"/>
      <c r="Y817" s="367"/>
      <c r="Z817" s="367"/>
      <c r="AA817" s="367"/>
      <c r="AB817" s="367"/>
      <c r="AC817" s="367"/>
      <c r="AD817" s="367"/>
      <c r="AE817" s="367"/>
      <c r="AF817" s="367"/>
    </row>
    <row r="818" ht="15.75" customHeight="1">
      <c r="A818" s="359"/>
      <c r="B818" s="361"/>
      <c r="C818" s="361"/>
      <c r="D818" s="361"/>
      <c r="E818" s="367"/>
      <c r="F818" s="367"/>
      <c r="G818" s="367"/>
      <c r="H818" s="367"/>
      <c r="I818" s="367"/>
      <c r="J818" s="367"/>
      <c r="K818" s="367"/>
      <c r="L818" s="367"/>
      <c r="M818" s="367"/>
      <c r="N818" s="367"/>
      <c r="O818" s="367"/>
      <c r="P818" s="367"/>
      <c r="Q818" s="367"/>
      <c r="R818" s="367"/>
      <c r="S818" s="367"/>
      <c r="T818" s="367"/>
      <c r="U818" s="367"/>
      <c r="V818" s="367"/>
      <c r="W818" s="367"/>
      <c r="X818" s="367"/>
      <c r="Y818" s="367"/>
      <c r="Z818" s="367"/>
      <c r="AA818" s="367"/>
      <c r="AB818" s="367"/>
      <c r="AC818" s="367"/>
      <c r="AD818" s="367"/>
      <c r="AE818" s="367"/>
      <c r="AF818" s="367"/>
    </row>
    <row r="819" ht="15.75" customHeight="1">
      <c r="A819" s="359"/>
      <c r="B819" s="361"/>
      <c r="C819" s="361"/>
      <c r="D819" s="361"/>
      <c r="E819" s="367"/>
      <c r="F819" s="367"/>
      <c r="G819" s="367"/>
      <c r="H819" s="367"/>
      <c r="I819" s="367"/>
      <c r="J819" s="367"/>
      <c r="K819" s="367"/>
      <c r="L819" s="367"/>
      <c r="M819" s="367"/>
      <c r="N819" s="367"/>
      <c r="O819" s="367"/>
      <c r="P819" s="367"/>
      <c r="Q819" s="367"/>
      <c r="R819" s="367"/>
      <c r="S819" s="367"/>
      <c r="T819" s="367"/>
      <c r="U819" s="367"/>
      <c r="V819" s="367"/>
      <c r="W819" s="367"/>
      <c r="X819" s="367"/>
      <c r="Y819" s="367"/>
      <c r="Z819" s="367"/>
      <c r="AA819" s="367"/>
      <c r="AB819" s="367"/>
      <c r="AC819" s="367"/>
      <c r="AD819" s="367"/>
      <c r="AE819" s="367"/>
      <c r="AF819" s="367"/>
    </row>
    <row r="820" ht="15.75" customHeight="1">
      <c r="A820" s="359"/>
      <c r="B820" s="361"/>
      <c r="C820" s="361"/>
      <c r="D820" s="361"/>
      <c r="E820" s="367"/>
      <c r="F820" s="367"/>
      <c r="G820" s="367"/>
      <c r="H820" s="367"/>
      <c r="I820" s="367"/>
      <c r="J820" s="367"/>
      <c r="K820" s="367"/>
      <c r="L820" s="367"/>
      <c r="M820" s="367"/>
      <c r="N820" s="367"/>
      <c r="O820" s="367"/>
      <c r="P820" s="367"/>
      <c r="Q820" s="367"/>
      <c r="R820" s="367"/>
      <c r="S820" s="367"/>
      <c r="T820" s="367"/>
      <c r="U820" s="367"/>
      <c r="V820" s="367"/>
      <c r="W820" s="367"/>
      <c r="X820" s="367"/>
      <c r="Y820" s="367"/>
      <c r="Z820" s="367"/>
      <c r="AA820" s="367"/>
      <c r="AB820" s="367"/>
      <c r="AC820" s="367"/>
      <c r="AD820" s="367"/>
      <c r="AE820" s="367"/>
      <c r="AF820" s="367"/>
    </row>
    <row r="821" ht="15.75" customHeight="1">
      <c r="A821" s="359"/>
      <c r="B821" s="361"/>
      <c r="C821" s="361"/>
      <c r="D821" s="361"/>
      <c r="E821" s="367"/>
      <c r="F821" s="367"/>
      <c r="G821" s="367"/>
      <c r="H821" s="367"/>
      <c r="I821" s="367"/>
      <c r="J821" s="367"/>
      <c r="K821" s="367"/>
      <c r="L821" s="367"/>
      <c r="M821" s="367"/>
      <c r="N821" s="367"/>
      <c r="O821" s="367"/>
      <c r="P821" s="367"/>
      <c r="Q821" s="367"/>
      <c r="R821" s="367"/>
      <c r="S821" s="367"/>
      <c r="T821" s="367"/>
      <c r="U821" s="367"/>
      <c r="V821" s="367"/>
      <c r="W821" s="367"/>
      <c r="X821" s="367"/>
      <c r="Y821" s="367"/>
      <c r="Z821" s="367"/>
      <c r="AA821" s="367"/>
      <c r="AB821" s="367"/>
      <c r="AC821" s="367"/>
      <c r="AD821" s="367"/>
      <c r="AE821" s="367"/>
      <c r="AF821" s="367"/>
    </row>
    <row r="822" ht="15.75" customHeight="1">
      <c r="A822" s="359"/>
      <c r="B822" s="361"/>
      <c r="C822" s="361"/>
      <c r="D822" s="361"/>
      <c r="E822" s="367"/>
      <c r="F822" s="367"/>
      <c r="G822" s="367"/>
      <c r="H822" s="367"/>
      <c r="I822" s="367"/>
      <c r="J822" s="367"/>
      <c r="K822" s="367"/>
      <c r="L822" s="367"/>
      <c r="M822" s="367"/>
      <c r="N822" s="367"/>
      <c r="O822" s="367"/>
      <c r="P822" s="367"/>
      <c r="Q822" s="367"/>
      <c r="R822" s="367"/>
      <c r="S822" s="367"/>
      <c r="T822" s="367"/>
      <c r="U822" s="367"/>
      <c r="V822" s="367"/>
      <c r="W822" s="367"/>
      <c r="X822" s="367"/>
      <c r="Y822" s="367"/>
      <c r="Z822" s="367"/>
      <c r="AA822" s="367"/>
      <c r="AB822" s="367"/>
      <c r="AC822" s="367"/>
      <c r="AD822" s="367"/>
      <c r="AE822" s="367"/>
      <c r="AF822" s="367"/>
    </row>
    <row r="823" ht="15.75" customHeight="1">
      <c r="A823" s="359"/>
      <c r="B823" s="361"/>
      <c r="C823" s="361"/>
      <c r="D823" s="361"/>
      <c r="E823" s="367"/>
      <c r="F823" s="367"/>
      <c r="G823" s="367"/>
      <c r="H823" s="367"/>
      <c r="I823" s="367"/>
      <c r="J823" s="367"/>
      <c r="K823" s="367"/>
      <c r="L823" s="367"/>
      <c r="M823" s="367"/>
      <c r="N823" s="367"/>
      <c r="O823" s="367"/>
      <c r="P823" s="367"/>
      <c r="Q823" s="367"/>
      <c r="R823" s="367"/>
      <c r="S823" s="367"/>
      <c r="T823" s="367"/>
      <c r="U823" s="367"/>
      <c r="V823" s="367"/>
      <c r="W823" s="367"/>
      <c r="X823" s="367"/>
      <c r="Y823" s="367"/>
      <c r="Z823" s="367"/>
      <c r="AA823" s="367"/>
      <c r="AB823" s="367"/>
      <c r="AC823" s="367"/>
      <c r="AD823" s="367"/>
      <c r="AE823" s="367"/>
      <c r="AF823" s="367"/>
    </row>
    <row r="824" ht="15.75" customHeight="1">
      <c r="A824" s="359"/>
      <c r="B824" s="361"/>
      <c r="C824" s="361"/>
      <c r="D824" s="361"/>
      <c r="E824" s="367"/>
      <c r="F824" s="367"/>
      <c r="G824" s="367"/>
      <c r="H824" s="367"/>
      <c r="I824" s="367"/>
      <c r="J824" s="367"/>
      <c r="K824" s="367"/>
      <c r="L824" s="367"/>
      <c r="M824" s="367"/>
      <c r="N824" s="367"/>
      <c r="O824" s="367"/>
      <c r="P824" s="367"/>
      <c r="Q824" s="367"/>
      <c r="R824" s="367"/>
      <c r="S824" s="367"/>
      <c r="T824" s="367"/>
      <c r="U824" s="367"/>
      <c r="V824" s="367"/>
      <c r="W824" s="367"/>
      <c r="X824" s="367"/>
      <c r="Y824" s="367"/>
      <c r="Z824" s="367"/>
      <c r="AA824" s="367"/>
      <c r="AB824" s="367"/>
      <c r="AC824" s="367"/>
      <c r="AD824" s="367"/>
      <c r="AE824" s="367"/>
      <c r="AF824" s="367"/>
    </row>
    <row r="825" ht="15.75" customHeight="1">
      <c r="A825" s="359"/>
      <c r="B825" s="361"/>
      <c r="C825" s="361"/>
      <c r="D825" s="361"/>
      <c r="E825" s="367"/>
      <c r="F825" s="367"/>
      <c r="G825" s="367"/>
      <c r="H825" s="367"/>
      <c r="I825" s="367"/>
      <c r="J825" s="367"/>
      <c r="K825" s="367"/>
      <c r="L825" s="367"/>
      <c r="M825" s="367"/>
      <c r="N825" s="367"/>
      <c r="O825" s="367"/>
      <c r="P825" s="367"/>
      <c r="Q825" s="367"/>
      <c r="R825" s="367"/>
      <c r="S825" s="367"/>
      <c r="T825" s="367"/>
      <c r="U825" s="367"/>
      <c r="V825" s="367"/>
      <c r="W825" s="367"/>
      <c r="X825" s="367"/>
      <c r="Y825" s="367"/>
      <c r="Z825" s="367"/>
      <c r="AA825" s="367"/>
      <c r="AB825" s="367"/>
      <c r="AC825" s="367"/>
      <c r="AD825" s="367"/>
      <c r="AE825" s="367"/>
      <c r="AF825" s="367"/>
    </row>
    <row r="826" ht="15.75" customHeight="1">
      <c r="A826" s="359"/>
      <c r="B826" s="361"/>
      <c r="C826" s="361"/>
      <c r="D826" s="361"/>
      <c r="E826" s="367"/>
      <c r="F826" s="367"/>
      <c r="G826" s="367"/>
      <c r="H826" s="367"/>
      <c r="I826" s="367"/>
      <c r="J826" s="367"/>
      <c r="K826" s="367"/>
      <c r="L826" s="367"/>
      <c r="M826" s="367"/>
      <c r="N826" s="367"/>
      <c r="O826" s="367"/>
      <c r="P826" s="367"/>
      <c r="Q826" s="367"/>
      <c r="R826" s="367"/>
      <c r="S826" s="367"/>
      <c r="T826" s="367"/>
      <c r="U826" s="367"/>
      <c r="V826" s="367"/>
      <c r="W826" s="367"/>
      <c r="X826" s="367"/>
      <c r="Y826" s="367"/>
      <c r="Z826" s="367"/>
      <c r="AA826" s="367"/>
      <c r="AB826" s="367"/>
      <c r="AC826" s="367"/>
      <c r="AD826" s="367"/>
      <c r="AE826" s="367"/>
      <c r="AF826" s="367"/>
    </row>
    <row r="827" ht="15.75" customHeight="1">
      <c r="A827" s="359"/>
      <c r="B827" s="361"/>
      <c r="C827" s="361"/>
      <c r="D827" s="361"/>
      <c r="E827" s="367"/>
      <c r="F827" s="367"/>
      <c r="G827" s="367"/>
      <c r="H827" s="367"/>
      <c r="I827" s="367"/>
      <c r="J827" s="367"/>
      <c r="K827" s="367"/>
      <c r="L827" s="367"/>
      <c r="M827" s="367"/>
      <c r="N827" s="367"/>
      <c r="O827" s="367"/>
      <c r="P827" s="367"/>
      <c r="Q827" s="367"/>
      <c r="R827" s="367"/>
      <c r="S827" s="367"/>
      <c r="T827" s="367"/>
      <c r="U827" s="367"/>
      <c r="V827" s="367"/>
      <c r="W827" s="367"/>
      <c r="X827" s="367"/>
      <c r="Y827" s="367"/>
      <c r="Z827" s="367"/>
      <c r="AA827" s="367"/>
      <c r="AB827" s="367"/>
      <c r="AC827" s="367"/>
      <c r="AD827" s="367"/>
      <c r="AE827" s="367"/>
      <c r="AF827" s="367"/>
    </row>
    <row r="828" ht="15.75" customHeight="1">
      <c r="A828" s="359"/>
      <c r="B828" s="361"/>
      <c r="C828" s="361"/>
      <c r="D828" s="361"/>
      <c r="E828" s="367"/>
      <c r="F828" s="367"/>
      <c r="G828" s="367"/>
      <c r="H828" s="367"/>
      <c r="I828" s="367"/>
      <c r="J828" s="367"/>
      <c r="K828" s="367"/>
      <c r="L828" s="367"/>
      <c r="M828" s="367"/>
      <c r="N828" s="367"/>
      <c r="O828" s="367"/>
      <c r="P828" s="367"/>
      <c r="Q828" s="367"/>
      <c r="R828" s="367"/>
      <c r="S828" s="367"/>
      <c r="T828" s="367"/>
      <c r="U828" s="367"/>
      <c r="V828" s="367"/>
      <c r="W828" s="367"/>
      <c r="X828" s="367"/>
      <c r="Y828" s="367"/>
      <c r="Z828" s="367"/>
      <c r="AA828" s="367"/>
      <c r="AB828" s="367"/>
      <c r="AC828" s="367"/>
      <c r="AD828" s="367"/>
      <c r="AE828" s="367"/>
      <c r="AF828" s="367"/>
    </row>
    <row r="829" ht="15.75" customHeight="1">
      <c r="A829" s="359"/>
      <c r="B829" s="361"/>
      <c r="C829" s="361"/>
      <c r="D829" s="361"/>
      <c r="E829" s="367"/>
      <c r="F829" s="367"/>
      <c r="G829" s="367"/>
      <c r="H829" s="367"/>
      <c r="I829" s="367"/>
      <c r="J829" s="367"/>
      <c r="K829" s="367"/>
      <c r="L829" s="367"/>
      <c r="M829" s="367"/>
      <c r="N829" s="367"/>
      <c r="O829" s="367"/>
      <c r="P829" s="367"/>
      <c r="Q829" s="367"/>
      <c r="R829" s="367"/>
      <c r="S829" s="367"/>
      <c r="T829" s="367"/>
      <c r="U829" s="367"/>
      <c r="V829" s="367"/>
      <c r="W829" s="367"/>
      <c r="X829" s="367"/>
      <c r="Y829" s="367"/>
      <c r="Z829" s="367"/>
      <c r="AA829" s="367"/>
      <c r="AB829" s="367"/>
      <c r="AC829" s="367"/>
      <c r="AD829" s="367"/>
      <c r="AE829" s="367"/>
      <c r="AF829" s="367"/>
    </row>
    <row r="830" ht="15.75" customHeight="1">
      <c r="A830" s="359"/>
      <c r="B830" s="361"/>
      <c r="C830" s="361"/>
      <c r="D830" s="361"/>
      <c r="E830" s="367"/>
      <c r="F830" s="367"/>
      <c r="G830" s="367"/>
      <c r="H830" s="367"/>
      <c r="I830" s="367"/>
      <c r="J830" s="367"/>
      <c r="K830" s="367"/>
      <c r="L830" s="367"/>
      <c r="M830" s="367"/>
      <c r="N830" s="367"/>
      <c r="O830" s="367"/>
      <c r="P830" s="367"/>
      <c r="Q830" s="367"/>
      <c r="R830" s="367"/>
      <c r="S830" s="367"/>
      <c r="T830" s="367"/>
      <c r="U830" s="367"/>
      <c r="V830" s="367"/>
      <c r="W830" s="367"/>
      <c r="X830" s="367"/>
      <c r="Y830" s="367"/>
      <c r="Z830" s="367"/>
      <c r="AA830" s="367"/>
      <c r="AB830" s="367"/>
      <c r="AC830" s="367"/>
      <c r="AD830" s="367"/>
      <c r="AE830" s="367"/>
      <c r="AF830" s="367"/>
    </row>
    <row r="831" ht="15.75" customHeight="1">
      <c r="A831" s="359"/>
      <c r="B831" s="361"/>
      <c r="C831" s="361"/>
      <c r="D831" s="361"/>
      <c r="E831" s="367"/>
      <c r="F831" s="367"/>
      <c r="G831" s="367"/>
      <c r="H831" s="367"/>
      <c r="I831" s="367"/>
      <c r="J831" s="367"/>
      <c r="K831" s="367"/>
      <c r="L831" s="367"/>
      <c r="M831" s="367"/>
      <c r="N831" s="367"/>
      <c r="O831" s="367"/>
      <c r="P831" s="367"/>
      <c r="Q831" s="367"/>
      <c r="R831" s="367"/>
      <c r="S831" s="367"/>
      <c r="T831" s="367"/>
      <c r="U831" s="367"/>
      <c r="V831" s="367"/>
      <c r="W831" s="367"/>
      <c r="X831" s="367"/>
      <c r="Y831" s="367"/>
      <c r="Z831" s="367"/>
      <c r="AA831" s="367"/>
      <c r="AB831" s="367"/>
      <c r="AC831" s="367"/>
      <c r="AD831" s="367"/>
      <c r="AE831" s="367"/>
      <c r="AF831" s="367"/>
    </row>
    <row r="832" ht="15.75" customHeight="1">
      <c r="A832" s="359"/>
      <c r="B832" s="361"/>
      <c r="C832" s="361"/>
      <c r="D832" s="361"/>
      <c r="E832" s="367"/>
      <c r="F832" s="367"/>
      <c r="G832" s="367"/>
      <c r="H832" s="367"/>
      <c r="I832" s="367"/>
      <c r="J832" s="367"/>
      <c r="K832" s="367"/>
      <c r="L832" s="367"/>
      <c r="M832" s="367"/>
      <c r="N832" s="367"/>
      <c r="O832" s="367"/>
      <c r="P832" s="367"/>
      <c r="Q832" s="367"/>
      <c r="R832" s="367"/>
      <c r="S832" s="367"/>
      <c r="T832" s="367"/>
      <c r="U832" s="367"/>
      <c r="V832" s="367"/>
      <c r="W832" s="367"/>
      <c r="X832" s="367"/>
      <c r="Y832" s="367"/>
      <c r="Z832" s="367"/>
      <c r="AA832" s="367"/>
      <c r="AB832" s="367"/>
      <c r="AC832" s="367"/>
      <c r="AD832" s="367"/>
      <c r="AE832" s="367"/>
      <c r="AF832" s="367"/>
    </row>
    <row r="833" ht="15.75" customHeight="1">
      <c r="A833" s="359"/>
      <c r="B833" s="361"/>
      <c r="C833" s="361"/>
      <c r="D833" s="361"/>
      <c r="E833" s="367"/>
      <c r="F833" s="367"/>
      <c r="G833" s="367"/>
      <c r="H833" s="367"/>
      <c r="I833" s="367"/>
      <c r="J833" s="367"/>
      <c r="K833" s="367"/>
      <c r="L833" s="367"/>
      <c r="M833" s="367"/>
      <c r="N833" s="367"/>
      <c r="O833" s="367"/>
      <c r="P833" s="367"/>
      <c r="Q833" s="367"/>
      <c r="R833" s="367"/>
      <c r="S833" s="367"/>
      <c r="T833" s="367"/>
      <c r="U833" s="367"/>
      <c r="V833" s="367"/>
      <c r="W833" s="367"/>
      <c r="X833" s="367"/>
      <c r="Y833" s="367"/>
      <c r="Z833" s="367"/>
      <c r="AA833" s="367"/>
      <c r="AB833" s="367"/>
      <c r="AC833" s="367"/>
      <c r="AD833" s="367"/>
      <c r="AE833" s="367"/>
      <c r="AF833" s="367"/>
    </row>
    <row r="834" ht="15.75" customHeight="1">
      <c r="A834" s="359"/>
      <c r="B834" s="361"/>
      <c r="C834" s="361"/>
      <c r="D834" s="361"/>
      <c r="E834" s="367"/>
      <c r="F834" s="367"/>
      <c r="G834" s="367"/>
      <c r="H834" s="367"/>
      <c r="I834" s="367"/>
      <c r="J834" s="367"/>
      <c r="K834" s="367"/>
      <c r="L834" s="367"/>
      <c r="M834" s="367"/>
      <c r="N834" s="367"/>
      <c r="O834" s="367"/>
      <c r="P834" s="367"/>
      <c r="Q834" s="367"/>
      <c r="R834" s="367"/>
      <c r="S834" s="367"/>
      <c r="T834" s="367"/>
      <c r="U834" s="367"/>
      <c r="V834" s="367"/>
      <c r="W834" s="367"/>
      <c r="X834" s="367"/>
      <c r="Y834" s="367"/>
      <c r="Z834" s="367"/>
      <c r="AA834" s="367"/>
      <c r="AB834" s="367"/>
      <c r="AC834" s="367"/>
      <c r="AD834" s="367"/>
      <c r="AE834" s="367"/>
      <c r="AF834" s="367"/>
    </row>
    <row r="835" ht="15.75" customHeight="1">
      <c r="A835" s="359"/>
      <c r="B835" s="361"/>
      <c r="C835" s="361"/>
      <c r="D835" s="361"/>
      <c r="E835" s="367"/>
      <c r="F835" s="367"/>
      <c r="G835" s="367"/>
      <c r="H835" s="367"/>
      <c r="I835" s="367"/>
      <c r="J835" s="367"/>
      <c r="K835" s="367"/>
      <c r="L835" s="367"/>
      <c r="M835" s="367"/>
      <c r="N835" s="367"/>
      <c r="O835" s="367"/>
      <c r="P835" s="367"/>
      <c r="Q835" s="367"/>
      <c r="R835" s="367"/>
      <c r="S835" s="367"/>
      <c r="T835" s="367"/>
      <c r="U835" s="367"/>
      <c r="V835" s="367"/>
      <c r="W835" s="367"/>
      <c r="X835" s="367"/>
      <c r="Y835" s="367"/>
      <c r="Z835" s="367"/>
      <c r="AA835" s="367"/>
      <c r="AB835" s="367"/>
      <c r="AC835" s="367"/>
      <c r="AD835" s="367"/>
      <c r="AE835" s="367"/>
      <c r="AF835" s="367"/>
    </row>
    <row r="836" ht="15.75" customHeight="1">
      <c r="A836" s="359"/>
      <c r="B836" s="361"/>
      <c r="C836" s="361"/>
      <c r="D836" s="361"/>
      <c r="E836" s="367"/>
      <c r="F836" s="367"/>
      <c r="G836" s="367"/>
      <c r="H836" s="367"/>
      <c r="I836" s="367"/>
      <c r="J836" s="367"/>
      <c r="K836" s="367"/>
      <c r="L836" s="367"/>
      <c r="M836" s="367"/>
      <c r="N836" s="367"/>
      <c r="O836" s="367"/>
      <c r="P836" s="367"/>
      <c r="Q836" s="367"/>
      <c r="R836" s="367"/>
      <c r="S836" s="367"/>
      <c r="T836" s="367"/>
      <c r="U836" s="367"/>
      <c r="V836" s="367"/>
      <c r="W836" s="367"/>
      <c r="X836" s="367"/>
      <c r="Y836" s="367"/>
      <c r="Z836" s="367"/>
      <c r="AA836" s="367"/>
      <c r="AB836" s="367"/>
      <c r="AC836" s="367"/>
      <c r="AD836" s="367"/>
      <c r="AE836" s="367"/>
      <c r="AF836" s="367"/>
    </row>
    <row r="837" ht="15.75" customHeight="1">
      <c r="A837" s="359"/>
      <c r="B837" s="361"/>
      <c r="C837" s="361"/>
      <c r="D837" s="361"/>
      <c r="E837" s="367"/>
      <c r="F837" s="367"/>
      <c r="G837" s="367"/>
      <c r="H837" s="367"/>
      <c r="I837" s="367"/>
      <c r="J837" s="367"/>
      <c r="K837" s="367"/>
      <c r="L837" s="367"/>
      <c r="M837" s="367"/>
      <c r="N837" s="367"/>
      <c r="O837" s="367"/>
      <c r="P837" s="367"/>
      <c r="Q837" s="367"/>
      <c r="R837" s="367"/>
      <c r="S837" s="367"/>
      <c r="T837" s="367"/>
      <c r="U837" s="367"/>
      <c r="V837" s="367"/>
      <c r="W837" s="367"/>
      <c r="X837" s="367"/>
      <c r="Y837" s="367"/>
      <c r="Z837" s="367"/>
      <c r="AA837" s="367"/>
      <c r="AB837" s="367"/>
      <c r="AC837" s="367"/>
      <c r="AD837" s="367"/>
      <c r="AE837" s="367"/>
      <c r="AF837" s="367"/>
    </row>
    <row r="838" ht="15.75" customHeight="1">
      <c r="A838" s="359"/>
      <c r="B838" s="361"/>
      <c r="C838" s="361"/>
      <c r="D838" s="361"/>
      <c r="E838" s="367"/>
      <c r="F838" s="367"/>
      <c r="G838" s="367"/>
      <c r="H838" s="367"/>
      <c r="I838" s="367"/>
      <c r="J838" s="367"/>
      <c r="K838" s="367"/>
      <c r="L838" s="367"/>
      <c r="M838" s="367"/>
      <c r="N838" s="367"/>
      <c r="O838" s="367"/>
      <c r="P838" s="367"/>
      <c r="Q838" s="367"/>
      <c r="R838" s="367"/>
      <c r="S838" s="367"/>
      <c r="T838" s="367"/>
      <c r="U838" s="367"/>
      <c r="V838" s="367"/>
      <c r="W838" s="367"/>
      <c r="X838" s="367"/>
      <c r="Y838" s="367"/>
      <c r="Z838" s="367"/>
      <c r="AA838" s="367"/>
      <c r="AB838" s="367"/>
      <c r="AC838" s="367"/>
      <c r="AD838" s="367"/>
      <c r="AE838" s="367"/>
      <c r="AF838" s="367"/>
    </row>
    <row r="839" ht="15.75" customHeight="1">
      <c r="A839" s="359"/>
      <c r="B839" s="361"/>
      <c r="C839" s="361"/>
      <c r="D839" s="361"/>
      <c r="E839" s="367"/>
      <c r="F839" s="367"/>
      <c r="G839" s="367"/>
      <c r="H839" s="367"/>
      <c r="I839" s="367"/>
      <c r="J839" s="367"/>
      <c r="K839" s="367"/>
      <c r="L839" s="367"/>
      <c r="M839" s="367"/>
      <c r="N839" s="367"/>
      <c r="O839" s="367"/>
      <c r="P839" s="367"/>
      <c r="Q839" s="367"/>
      <c r="R839" s="367"/>
      <c r="S839" s="367"/>
      <c r="T839" s="367"/>
      <c r="U839" s="367"/>
      <c r="V839" s="367"/>
      <c r="W839" s="367"/>
      <c r="X839" s="367"/>
      <c r="Y839" s="367"/>
      <c r="Z839" s="367"/>
      <c r="AA839" s="367"/>
      <c r="AB839" s="367"/>
      <c r="AC839" s="367"/>
      <c r="AD839" s="367"/>
      <c r="AE839" s="367"/>
      <c r="AF839" s="367"/>
    </row>
    <row r="840" ht="15.75" customHeight="1">
      <c r="A840" s="359"/>
      <c r="B840" s="361"/>
      <c r="C840" s="361"/>
      <c r="D840" s="361"/>
      <c r="E840" s="367"/>
      <c r="F840" s="367"/>
      <c r="G840" s="367"/>
      <c r="H840" s="367"/>
      <c r="I840" s="367"/>
      <c r="J840" s="367"/>
      <c r="K840" s="367"/>
      <c r="L840" s="367"/>
      <c r="M840" s="367"/>
      <c r="N840" s="367"/>
      <c r="O840" s="367"/>
      <c r="P840" s="367"/>
      <c r="Q840" s="367"/>
      <c r="R840" s="367"/>
      <c r="S840" s="367"/>
      <c r="T840" s="367"/>
      <c r="U840" s="367"/>
      <c r="V840" s="367"/>
      <c r="W840" s="367"/>
      <c r="X840" s="367"/>
      <c r="Y840" s="367"/>
      <c r="Z840" s="367"/>
      <c r="AA840" s="367"/>
      <c r="AB840" s="367"/>
      <c r="AC840" s="367"/>
      <c r="AD840" s="367"/>
      <c r="AE840" s="367"/>
      <c r="AF840" s="367"/>
    </row>
    <row r="841" ht="15.75" customHeight="1">
      <c r="A841" s="359"/>
      <c r="B841" s="361"/>
      <c r="C841" s="361"/>
      <c r="D841" s="361"/>
      <c r="E841" s="367"/>
      <c r="F841" s="367"/>
      <c r="G841" s="367"/>
      <c r="H841" s="367"/>
      <c r="I841" s="367"/>
      <c r="J841" s="367"/>
      <c r="K841" s="367"/>
      <c r="L841" s="367"/>
      <c r="M841" s="367"/>
      <c r="N841" s="367"/>
      <c r="O841" s="367"/>
      <c r="P841" s="367"/>
      <c r="Q841" s="367"/>
      <c r="R841" s="367"/>
      <c r="S841" s="367"/>
      <c r="T841" s="367"/>
      <c r="U841" s="367"/>
      <c r="V841" s="367"/>
      <c r="W841" s="367"/>
      <c r="X841" s="367"/>
      <c r="Y841" s="367"/>
      <c r="Z841" s="367"/>
      <c r="AA841" s="367"/>
      <c r="AB841" s="367"/>
      <c r="AC841" s="367"/>
      <c r="AD841" s="367"/>
      <c r="AE841" s="367"/>
      <c r="AF841" s="367"/>
    </row>
    <row r="842" ht="15.75" customHeight="1">
      <c r="A842" s="359"/>
      <c r="B842" s="361"/>
      <c r="C842" s="361"/>
      <c r="D842" s="361"/>
      <c r="E842" s="367"/>
      <c r="F842" s="367"/>
      <c r="G842" s="367"/>
      <c r="H842" s="367"/>
      <c r="I842" s="367"/>
      <c r="J842" s="367"/>
      <c r="K842" s="367"/>
      <c r="L842" s="367"/>
      <c r="M842" s="367"/>
      <c r="N842" s="367"/>
      <c r="O842" s="367"/>
      <c r="P842" s="367"/>
      <c r="Q842" s="367"/>
      <c r="R842" s="367"/>
      <c r="S842" s="367"/>
      <c r="T842" s="367"/>
      <c r="U842" s="367"/>
      <c r="V842" s="367"/>
      <c r="W842" s="367"/>
      <c r="X842" s="367"/>
      <c r="Y842" s="367"/>
      <c r="Z842" s="367"/>
      <c r="AA842" s="367"/>
      <c r="AB842" s="367"/>
      <c r="AC842" s="367"/>
      <c r="AD842" s="367"/>
      <c r="AE842" s="367"/>
      <c r="AF842" s="367"/>
    </row>
    <row r="843" ht="15.75" customHeight="1">
      <c r="A843" s="359"/>
      <c r="B843" s="361"/>
      <c r="C843" s="361"/>
      <c r="D843" s="361"/>
      <c r="E843" s="367"/>
      <c r="F843" s="367"/>
      <c r="G843" s="367"/>
      <c r="H843" s="367"/>
      <c r="I843" s="367"/>
      <c r="J843" s="367"/>
      <c r="K843" s="367"/>
      <c r="L843" s="367"/>
      <c r="M843" s="367"/>
      <c r="N843" s="367"/>
      <c r="O843" s="367"/>
      <c r="P843" s="367"/>
      <c r="Q843" s="367"/>
      <c r="R843" s="367"/>
      <c r="S843" s="367"/>
      <c r="T843" s="367"/>
      <c r="U843" s="367"/>
      <c r="V843" s="367"/>
      <c r="W843" s="367"/>
      <c r="X843" s="367"/>
      <c r="Y843" s="367"/>
      <c r="Z843" s="367"/>
      <c r="AA843" s="367"/>
      <c r="AB843" s="367"/>
      <c r="AC843" s="367"/>
      <c r="AD843" s="367"/>
      <c r="AE843" s="367"/>
      <c r="AF843" s="367"/>
    </row>
    <row r="844" ht="15.75" customHeight="1">
      <c r="A844" s="359"/>
      <c r="B844" s="361"/>
      <c r="C844" s="361"/>
      <c r="D844" s="361"/>
      <c r="E844" s="367"/>
      <c r="F844" s="367"/>
      <c r="G844" s="367"/>
      <c r="H844" s="367"/>
      <c r="I844" s="367"/>
      <c r="J844" s="367"/>
      <c r="K844" s="367"/>
      <c r="L844" s="367"/>
      <c r="M844" s="367"/>
      <c r="N844" s="367"/>
      <c r="O844" s="367"/>
      <c r="P844" s="367"/>
      <c r="Q844" s="367"/>
      <c r="R844" s="367"/>
      <c r="S844" s="367"/>
      <c r="T844" s="367"/>
      <c r="U844" s="367"/>
      <c r="V844" s="367"/>
      <c r="W844" s="367"/>
      <c r="X844" s="367"/>
      <c r="Y844" s="367"/>
      <c r="Z844" s="367"/>
      <c r="AA844" s="367"/>
      <c r="AB844" s="367"/>
      <c r="AC844" s="367"/>
      <c r="AD844" s="367"/>
      <c r="AE844" s="367"/>
      <c r="AF844" s="367"/>
    </row>
    <row r="845" ht="15.75" customHeight="1">
      <c r="A845" s="359"/>
      <c r="B845" s="361"/>
      <c r="C845" s="361"/>
      <c r="D845" s="361"/>
      <c r="E845" s="367"/>
      <c r="F845" s="367"/>
      <c r="G845" s="367"/>
      <c r="H845" s="367"/>
      <c r="I845" s="367"/>
      <c r="J845" s="367"/>
      <c r="K845" s="367"/>
      <c r="L845" s="367"/>
      <c r="M845" s="367"/>
      <c r="N845" s="367"/>
      <c r="O845" s="367"/>
      <c r="P845" s="367"/>
      <c r="Q845" s="367"/>
      <c r="R845" s="367"/>
      <c r="S845" s="367"/>
      <c r="T845" s="367"/>
      <c r="U845" s="367"/>
      <c r="V845" s="367"/>
      <c r="W845" s="367"/>
      <c r="X845" s="367"/>
      <c r="Y845" s="367"/>
      <c r="Z845" s="367"/>
      <c r="AA845" s="367"/>
      <c r="AB845" s="367"/>
      <c r="AC845" s="367"/>
      <c r="AD845" s="367"/>
      <c r="AE845" s="367"/>
      <c r="AF845" s="367"/>
    </row>
    <row r="846" ht="15.75" customHeight="1">
      <c r="A846" s="359"/>
      <c r="B846" s="361"/>
      <c r="C846" s="361"/>
      <c r="D846" s="361"/>
      <c r="E846" s="367"/>
      <c r="F846" s="367"/>
      <c r="G846" s="367"/>
      <c r="H846" s="367"/>
      <c r="I846" s="367"/>
      <c r="J846" s="367"/>
      <c r="K846" s="367"/>
      <c r="L846" s="367"/>
      <c r="M846" s="367"/>
      <c r="N846" s="367"/>
      <c r="O846" s="367"/>
      <c r="P846" s="367"/>
      <c r="Q846" s="367"/>
      <c r="R846" s="367"/>
      <c r="S846" s="367"/>
      <c r="T846" s="367"/>
      <c r="U846" s="367"/>
      <c r="V846" s="367"/>
      <c r="W846" s="367"/>
      <c r="X846" s="367"/>
      <c r="Y846" s="367"/>
      <c r="Z846" s="367"/>
      <c r="AA846" s="367"/>
      <c r="AB846" s="367"/>
      <c r="AC846" s="367"/>
      <c r="AD846" s="367"/>
      <c r="AE846" s="367"/>
      <c r="AF846" s="367"/>
    </row>
    <row r="847" ht="15.75" customHeight="1">
      <c r="A847" s="359"/>
      <c r="B847" s="361"/>
      <c r="C847" s="361"/>
      <c r="D847" s="361"/>
      <c r="E847" s="367"/>
      <c r="F847" s="367"/>
      <c r="G847" s="367"/>
      <c r="H847" s="367"/>
      <c r="I847" s="367"/>
      <c r="J847" s="367"/>
      <c r="K847" s="367"/>
      <c r="L847" s="367"/>
      <c r="M847" s="367"/>
      <c r="N847" s="367"/>
      <c r="O847" s="367"/>
      <c r="P847" s="367"/>
      <c r="Q847" s="367"/>
      <c r="R847" s="367"/>
      <c r="S847" s="367"/>
      <c r="T847" s="367"/>
      <c r="U847" s="367"/>
      <c r="V847" s="367"/>
      <c r="W847" s="367"/>
      <c r="X847" s="367"/>
      <c r="Y847" s="367"/>
      <c r="Z847" s="367"/>
      <c r="AA847" s="367"/>
      <c r="AB847" s="367"/>
      <c r="AC847" s="367"/>
      <c r="AD847" s="367"/>
      <c r="AE847" s="367"/>
      <c r="AF847" s="367"/>
    </row>
    <row r="848" ht="15.75" customHeight="1">
      <c r="A848" s="359"/>
      <c r="B848" s="361"/>
      <c r="C848" s="361"/>
      <c r="D848" s="361"/>
      <c r="E848" s="367"/>
      <c r="F848" s="367"/>
      <c r="G848" s="367"/>
      <c r="H848" s="367"/>
      <c r="I848" s="367"/>
      <c r="J848" s="367"/>
      <c r="K848" s="367"/>
      <c r="L848" s="367"/>
      <c r="M848" s="367"/>
      <c r="N848" s="367"/>
      <c r="O848" s="367"/>
      <c r="P848" s="367"/>
      <c r="Q848" s="367"/>
      <c r="R848" s="367"/>
      <c r="S848" s="367"/>
      <c r="T848" s="367"/>
      <c r="U848" s="367"/>
      <c r="V848" s="367"/>
      <c r="W848" s="367"/>
      <c r="X848" s="367"/>
      <c r="Y848" s="367"/>
      <c r="Z848" s="367"/>
      <c r="AA848" s="367"/>
      <c r="AB848" s="367"/>
      <c r="AC848" s="367"/>
      <c r="AD848" s="367"/>
      <c r="AE848" s="367"/>
      <c r="AF848" s="367"/>
    </row>
    <row r="849" ht="15.75" customHeight="1">
      <c r="A849" s="359"/>
      <c r="B849" s="361"/>
      <c r="C849" s="361"/>
      <c r="D849" s="361"/>
      <c r="E849" s="367"/>
      <c r="F849" s="367"/>
      <c r="G849" s="367"/>
      <c r="H849" s="367"/>
      <c r="I849" s="367"/>
      <c r="J849" s="367"/>
      <c r="K849" s="367"/>
      <c r="L849" s="367"/>
      <c r="M849" s="367"/>
      <c r="N849" s="367"/>
      <c r="O849" s="367"/>
      <c r="P849" s="367"/>
      <c r="Q849" s="367"/>
      <c r="R849" s="367"/>
      <c r="S849" s="367"/>
      <c r="T849" s="367"/>
      <c r="U849" s="367"/>
      <c r="V849" s="367"/>
      <c r="W849" s="367"/>
      <c r="X849" s="367"/>
      <c r="Y849" s="367"/>
      <c r="Z849" s="367"/>
      <c r="AA849" s="367"/>
      <c r="AB849" s="367"/>
      <c r="AC849" s="367"/>
      <c r="AD849" s="367"/>
      <c r="AE849" s="367"/>
      <c r="AF849" s="367"/>
    </row>
    <row r="850" ht="15.75" customHeight="1">
      <c r="A850" s="359"/>
      <c r="B850" s="361"/>
      <c r="C850" s="361"/>
      <c r="D850" s="361"/>
      <c r="E850" s="367"/>
      <c r="F850" s="367"/>
      <c r="G850" s="367"/>
      <c r="H850" s="367"/>
      <c r="I850" s="367"/>
      <c r="J850" s="367"/>
      <c r="K850" s="367"/>
      <c r="L850" s="367"/>
      <c r="M850" s="367"/>
      <c r="N850" s="367"/>
      <c r="O850" s="367"/>
      <c r="P850" s="367"/>
      <c r="Q850" s="367"/>
      <c r="R850" s="367"/>
      <c r="S850" s="367"/>
      <c r="T850" s="367"/>
      <c r="U850" s="367"/>
      <c r="V850" s="367"/>
      <c r="W850" s="367"/>
      <c r="X850" s="367"/>
      <c r="Y850" s="367"/>
      <c r="Z850" s="367"/>
      <c r="AA850" s="367"/>
      <c r="AB850" s="367"/>
      <c r="AC850" s="367"/>
      <c r="AD850" s="367"/>
      <c r="AE850" s="367"/>
      <c r="AF850" s="367"/>
    </row>
    <row r="851" ht="15.75" customHeight="1">
      <c r="A851" s="359"/>
      <c r="B851" s="361"/>
      <c r="C851" s="361"/>
      <c r="D851" s="361"/>
      <c r="E851" s="367"/>
      <c r="F851" s="367"/>
      <c r="G851" s="367"/>
      <c r="H851" s="367"/>
      <c r="I851" s="367"/>
      <c r="J851" s="367"/>
      <c r="K851" s="367"/>
      <c r="L851" s="367"/>
      <c r="M851" s="367"/>
      <c r="N851" s="367"/>
      <c r="O851" s="367"/>
      <c r="P851" s="367"/>
      <c r="Q851" s="367"/>
      <c r="R851" s="367"/>
      <c r="S851" s="367"/>
      <c r="T851" s="367"/>
      <c r="U851" s="367"/>
      <c r="V851" s="367"/>
      <c r="W851" s="367"/>
      <c r="X851" s="367"/>
      <c r="Y851" s="367"/>
      <c r="Z851" s="367"/>
      <c r="AA851" s="367"/>
      <c r="AB851" s="367"/>
      <c r="AC851" s="367"/>
      <c r="AD851" s="367"/>
      <c r="AE851" s="367"/>
      <c r="AF851" s="367"/>
    </row>
    <row r="852" ht="15.75" customHeight="1">
      <c r="A852" s="359"/>
      <c r="B852" s="361"/>
      <c r="C852" s="361"/>
      <c r="D852" s="361"/>
      <c r="E852" s="367"/>
      <c r="F852" s="367"/>
      <c r="G852" s="367"/>
      <c r="H852" s="367"/>
      <c r="I852" s="367"/>
      <c r="J852" s="367"/>
      <c r="K852" s="367"/>
      <c r="L852" s="367"/>
      <c r="M852" s="367"/>
      <c r="N852" s="367"/>
      <c r="O852" s="367"/>
      <c r="P852" s="367"/>
      <c r="Q852" s="367"/>
      <c r="R852" s="367"/>
      <c r="S852" s="367"/>
      <c r="T852" s="367"/>
      <c r="U852" s="367"/>
      <c r="V852" s="367"/>
      <c r="W852" s="367"/>
      <c r="X852" s="367"/>
      <c r="Y852" s="367"/>
      <c r="Z852" s="367"/>
      <c r="AA852" s="367"/>
      <c r="AB852" s="367"/>
      <c r="AC852" s="367"/>
      <c r="AD852" s="367"/>
      <c r="AE852" s="367"/>
      <c r="AF852" s="367"/>
    </row>
    <row r="853" ht="15.75" customHeight="1">
      <c r="A853" s="359"/>
      <c r="B853" s="361"/>
      <c r="C853" s="361"/>
      <c r="D853" s="361"/>
      <c r="E853" s="367"/>
      <c r="F853" s="367"/>
      <c r="G853" s="367"/>
      <c r="H853" s="367"/>
      <c r="I853" s="367"/>
      <c r="J853" s="367"/>
      <c r="K853" s="367"/>
      <c r="L853" s="367"/>
      <c r="M853" s="367"/>
      <c r="N853" s="367"/>
      <c r="O853" s="367"/>
      <c r="P853" s="367"/>
      <c r="Q853" s="367"/>
      <c r="R853" s="367"/>
      <c r="S853" s="367"/>
      <c r="T853" s="367"/>
      <c r="U853" s="367"/>
      <c r="V853" s="367"/>
      <c r="W853" s="367"/>
      <c r="X853" s="367"/>
      <c r="Y853" s="367"/>
      <c r="Z853" s="367"/>
      <c r="AA853" s="367"/>
      <c r="AB853" s="367"/>
      <c r="AC853" s="367"/>
      <c r="AD853" s="367"/>
      <c r="AE853" s="367"/>
      <c r="AF853" s="367"/>
    </row>
    <row r="854" ht="15.75" customHeight="1">
      <c r="A854" s="359"/>
      <c r="B854" s="361"/>
      <c r="C854" s="361"/>
      <c r="D854" s="361"/>
      <c r="E854" s="367"/>
      <c r="F854" s="367"/>
      <c r="G854" s="367"/>
      <c r="H854" s="367"/>
      <c r="I854" s="367"/>
      <c r="J854" s="367"/>
      <c r="K854" s="367"/>
      <c r="L854" s="367"/>
      <c r="M854" s="367"/>
      <c r="N854" s="367"/>
      <c r="O854" s="367"/>
      <c r="P854" s="367"/>
      <c r="Q854" s="367"/>
      <c r="R854" s="367"/>
      <c r="S854" s="367"/>
      <c r="T854" s="367"/>
      <c r="U854" s="367"/>
      <c r="V854" s="367"/>
      <c r="W854" s="367"/>
      <c r="X854" s="367"/>
      <c r="Y854" s="367"/>
      <c r="Z854" s="367"/>
      <c r="AA854" s="367"/>
      <c r="AB854" s="367"/>
      <c r="AC854" s="367"/>
      <c r="AD854" s="367"/>
      <c r="AE854" s="367"/>
      <c r="AF854" s="367"/>
    </row>
    <row r="855" ht="15.75" customHeight="1">
      <c r="A855" s="359"/>
      <c r="B855" s="361"/>
      <c r="C855" s="361"/>
      <c r="D855" s="361"/>
      <c r="E855" s="367"/>
      <c r="F855" s="367"/>
      <c r="G855" s="367"/>
      <c r="H855" s="367"/>
      <c r="I855" s="367"/>
      <c r="J855" s="367"/>
      <c r="K855" s="367"/>
      <c r="L855" s="367"/>
      <c r="M855" s="367"/>
      <c r="N855" s="367"/>
      <c r="O855" s="367"/>
      <c r="P855" s="367"/>
      <c r="Q855" s="367"/>
      <c r="R855" s="367"/>
      <c r="S855" s="367"/>
      <c r="T855" s="367"/>
      <c r="U855" s="367"/>
      <c r="V855" s="367"/>
      <c r="W855" s="367"/>
      <c r="X855" s="367"/>
      <c r="Y855" s="367"/>
      <c r="Z855" s="367"/>
      <c r="AA855" s="367"/>
      <c r="AB855" s="367"/>
      <c r="AC855" s="367"/>
      <c r="AD855" s="367"/>
      <c r="AE855" s="367"/>
      <c r="AF855" s="367"/>
    </row>
    <row r="856" ht="15.75" customHeight="1">
      <c r="A856" s="359"/>
      <c r="B856" s="361"/>
      <c r="C856" s="361"/>
      <c r="D856" s="361"/>
      <c r="E856" s="367"/>
      <c r="F856" s="367"/>
      <c r="G856" s="367"/>
      <c r="H856" s="367"/>
      <c r="I856" s="367"/>
      <c r="J856" s="367"/>
      <c r="K856" s="367"/>
      <c r="L856" s="367"/>
      <c r="M856" s="367"/>
      <c r="N856" s="367"/>
      <c r="O856" s="367"/>
      <c r="P856" s="367"/>
      <c r="Q856" s="367"/>
      <c r="R856" s="367"/>
      <c r="S856" s="367"/>
      <c r="T856" s="367"/>
      <c r="U856" s="367"/>
      <c r="V856" s="367"/>
      <c r="W856" s="367"/>
      <c r="X856" s="367"/>
      <c r="Y856" s="367"/>
      <c r="Z856" s="367"/>
      <c r="AA856" s="367"/>
      <c r="AB856" s="367"/>
      <c r="AC856" s="367"/>
      <c r="AD856" s="367"/>
      <c r="AE856" s="367"/>
      <c r="AF856" s="367"/>
    </row>
    <row r="857" ht="15.75" customHeight="1">
      <c r="A857" s="359"/>
      <c r="B857" s="361"/>
      <c r="C857" s="361"/>
      <c r="D857" s="361"/>
      <c r="E857" s="367"/>
      <c r="F857" s="367"/>
      <c r="G857" s="367"/>
      <c r="H857" s="367"/>
      <c r="I857" s="367"/>
      <c r="J857" s="367"/>
      <c r="K857" s="367"/>
      <c r="L857" s="367"/>
      <c r="M857" s="367"/>
      <c r="N857" s="367"/>
      <c r="O857" s="367"/>
      <c r="P857" s="367"/>
      <c r="Q857" s="367"/>
      <c r="R857" s="367"/>
      <c r="S857" s="367"/>
      <c r="T857" s="367"/>
      <c r="U857" s="367"/>
      <c r="V857" s="367"/>
      <c r="W857" s="367"/>
      <c r="X857" s="367"/>
      <c r="Y857" s="367"/>
      <c r="Z857" s="367"/>
      <c r="AA857" s="367"/>
      <c r="AB857" s="367"/>
      <c r="AC857" s="367"/>
      <c r="AD857" s="367"/>
      <c r="AE857" s="367"/>
      <c r="AF857" s="367"/>
    </row>
    <row r="858" ht="15.75" customHeight="1">
      <c r="A858" s="359"/>
      <c r="B858" s="361"/>
      <c r="C858" s="361"/>
      <c r="D858" s="361"/>
      <c r="E858" s="367"/>
      <c r="F858" s="367"/>
      <c r="G858" s="367"/>
      <c r="H858" s="367"/>
      <c r="I858" s="367"/>
      <c r="J858" s="367"/>
      <c r="K858" s="367"/>
      <c r="L858" s="367"/>
      <c r="M858" s="367"/>
      <c r="N858" s="367"/>
      <c r="O858" s="367"/>
      <c r="P858" s="367"/>
      <c r="Q858" s="367"/>
      <c r="R858" s="367"/>
      <c r="S858" s="367"/>
      <c r="T858" s="367"/>
      <c r="U858" s="367"/>
      <c r="V858" s="367"/>
      <c r="W858" s="367"/>
      <c r="X858" s="367"/>
      <c r="Y858" s="367"/>
      <c r="Z858" s="367"/>
      <c r="AA858" s="367"/>
      <c r="AB858" s="367"/>
      <c r="AC858" s="367"/>
      <c r="AD858" s="367"/>
      <c r="AE858" s="367"/>
      <c r="AF858" s="367"/>
    </row>
    <row r="859" ht="15.75" customHeight="1">
      <c r="A859" s="359"/>
      <c r="B859" s="361"/>
      <c r="C859" s="361"/>
      <c r="D859" s="361"/>
      <c r="E859" s="367"/>
      <c r="F859" s="367"/>
      <c r="G859" s="367"/>
      <c r="H859" s="367"/>
      <c r="I859" s="367"/>
      <c r="J859" s="367"/>
      <c r="K859" s="367"/>
      <c r="L859" s="367"/>
      <c r="M859" s="367"/>
      <c r="N859" s="367"/>
      <c r="O859" s="367"/>
      <c r="P859" s="367"/>
      <c r="Q859" s="367"/>
      <c r="R859" s="367"/>
      <c r="S859" s="367"/>
      <c r="T859" s="367"/>
      <c r="U859" s="367"/>
      <c r="V859" s="367"/>
      <c r="W859" s="367"/>
      <c r="X859" s="367"/>
      <c r="Y859" s="367"/>
      <c r="Z859" s="367"/>
      <c r="AA859" s="367"/>
      <c r="AB859" s="367"/>
      <c r="AC859" s="367"/>
      <c r="AD859" s="367"/>
      <c r="AE859" s="367"/>
      <c r="AF859" s="367"/>
    </row>
    <row r="860" ht="15.75" customHeight="1">
      <c r="A860" s="359"/>
      <c r="B860" s="361"/>
      <c r="C860" s="361"/>
      <c r="D860" s="361"/>
      <c r="E860" s="367"/>
      <c r="F860" s="367"/>
      <c r="G860" s="367"/>
      <c r="H860" s="367"/>
      <c r="I860" s="367"/>
      <c r="J860" s="367"/>
      <c r="K860" s="367"/>
      <c r="L860" s="367"/>
      <c r="M860" s="367"/>
      <c r="N860" s="367"/>
      <c r="O860" s="367"/>
      <c r="P860" s="367"/>
      <c r="Q860" s="367"/>
      <c r="R860" s="367"/>
      <c r="S860" s="367"/>
      <c r="T860" s="367"/>
      <c r="U860" s="367"/>
      <c r="V860" s="367"/>
      <c r="W860" s="367"/>
      <c r="X860" s="367"/>
      <c r="Y860" s="367"/>
      <c r="Z860" s="367"/>
      <c r="AA860" s="367"/>
      <c r="AB860" s="367"/>
      <c r="AC860" s="367"/>
      <c r="AD860" s="367"/>
      <c r="AE860" s="367"/>
      <c r="AF860" s="367"/>
    </row>
    <row r="861" ht="15.75" customHeight="1">
      <c r="A861" s="359"/>
      <c r="B861" s="361"/>
      <c r="C861" s="361"/>
      <c r="D861" s="361"/>
      <c r="E861" s="367"/>
      <c r="F861" s="367"/>
      <c r="G861" s="367"/>
      <c r="H861" s="367"/>
      <c r="I861" s="367"/>
      <c r="J861" s="367"/>
      <c r="K861" s="367"/>
      <c r="L861" s="367"/>
      <c r="M861" s="367"/>
      <c r="N861" s="367"/>
      <c r="O861" s="367"/>
      <c r="P861" s="367"/>
      <c r="Q861" s="367"/>
      <c r="R861" s="367"/>
      <c r="S861" s="367"/>
      <c r="T861" s="367"/>
      <c r="U861" s="367"/>
      <c r="V861" s="367"/>
      <c r="W861" s="367"/>
      <c r="X861" s="367"/>
      <c r="Y861" s="367"/>
      <c r="Z861" s="367"/>
      <c r="AA861" s="367"/>
      <c r="AB861" s="367"/>
      <c r="AC861" s="367"/>
      <c r="AD861" s="367"/>
      <c r="AE861" s="367"/>
      <c r="AF861" s="367"/>
    </row>
    <row r="862" ht="15.75" customHeight="1">
      <c r="A862" s="359"/>
      <c r="B862" s="361"/>
      <c r="C862" s="361"/>
      <c r="D862" s="361"/>
      <c r="E862" s="367"/>
      <c r="F862" s="367"/>
      <c r="G862" s="367"/>
      <c r="H862" s="367"/>
      <c r="I862" s="367"/>
      <c r="J862" s="367"/>
      <c r="K862" s="367"/>
      <c r="L862" s="367"/>
      <c r="M862" s="367"/>
      <c r="N862" s="367"/>
      <c r="O862" s="367"/>
      <c r="P862" s="367"/>
      <c r="Q862" s="367"/>
      <c r="R862" s="367"/>
      <c r="S862" s="367"/>
      <c r="T862" s="367"/>
      <c r="U862" s="367"/>
      <c r="V862" s="367"/>
      <c r="W862" s="367"/>
      <c r="X862" s="367"/>
      <c r="Y862" s="367"/>
      <c r="Z862" s="367"/>
      <c r="AA862" s="367"/>
      <c r="AB862" s="367"/>
      <c r="AC862" s="367"/>
      <c r="AD862" s="367"/>
      <c r="AE862" s="367"/>
      <c r="AF862" s="367"/>
    </row>
    <row r="863" ht="15.75" customHeight="1">
      <c r="A863" s="359"/>
      <c r="B863" s="361"/>
      <c r="C863" s="361"/>
      <c r="D863" s="361"/>
      <c r="E863" s="367"/>
      <c r="F863" s="367"/>
      <c r="G863" s="367"/>
      <c r="H863" s="367"/>
      <c r="I863" s="367"/>
      <c r="J863" s="367"/>
      <c r="K863" s="367"/>
      <c r="L863" s="367"/>
      <c r="M863" s="367"/>
      <c r="N863" s="367"/>
      <c r="O863" s="367"/>
      <c r="P863" s="367"/>
      <c r="Q863" s="367"/>
      <c r="R863" s="367"/>
      <c r="S863" s="367"/>
      <c r="T863" s="367"/>
      <c r="U863" s="367"/>
      <c r="V863" s="367"/>
      <c r="W863" s="367"/>
      <c r="X863" s="367"/>
      <c r="Y863" s="367"/>
      <c r="Z863" s="367"/>
      <c r="AA863" s="367"/>
      <c r="AB863" s="367"/>
      <c r="AC863" s="367"/>
      <c r="AD863" s="367"/>
      <c r="AE863" s="367"/>
      <c r="AF863" s="367"/>
    </row>
    <row r="864" ht="15.75" customHeight="1">
      <c r="A864" s="359"/>
      <c r="B864" s="361"/>
      <c r="C864" s="361"/>
      <c r="D864" s="361"/>
      <c r="E864" s="367"/>
      <c r="F864" s="367"/>
      <c r="G864" s="367"/>
      <c r="H864" s="367"/>
      <c r="I864" s="367"/>
      <c r="J864" s="367"/>
      <c r="K864" s="367"/>
      <c r="L864" s="367"/>
      <c r="M864" s="367"/>
      <c r="N864" s="367"/>
      <c r="O864" s="367"/>
      <c r="P864" s="367"/>
      <c r="Q864" s="367"/>
      <c r="R864" s="367"/>
      <c r="S864" s="367"/>
      <c r="T864" s="367"/>
      <c r="U864" s="367"/>
      <c r="V864" s="367"/>
      <c r="W864" s="367"/>
      <c r="X864" s="367"/>
      <c r="Y864" s="367"/>
      <c r="Z864" s="367"/>
      <c r="AA864" s="367"/>
      <c r="AB864" s="367"/>
      <c r="AC864" s="367"/>
      <c r="AD864" s="367"/>
      <c r="AE864" s="367"/>
      <c r="AF864" s="367"/>
    </row>
    <row r="865" ht="15.75" customHeight="1">
      <c r="A865" s="359"/>
      <c r="B865" s="361"/>
      <c r="C865" s="361"/>
      <c r="D865" s="361"/>
      <c r="E865" s="367"/>
      <c r="F865" s="367"/>
      <c r="G865" s="367"/>
      <c r="H865" s="367"/>
      <c r="I865" s="367"/>
      <c r="J865" s="367"/>
      <c r="K865" s="367"/>
      <c r="L865" s="367"/>
      <c r="M865" s="367"/>
      <c r="N865" s="367"/>
      <c r="O865" s="367"/>
      <c r="P865" s="367"/>
      <c r="Q865" s="367"/>
      <c r="R865" s="367"/>
      <c r="S865" s="367"/>
      <c r="T865" s="367"/>
      <c r="U865" s="367"/>
      <c r="V865" s="367"/>
      <c r="W865" s="367"/>
      <c r="X865" s="367"/>
      <c r="Y865" s="367"/>
      <c r="Z865" s="367"/>
      <c r="AA865" s="367"/>
      <c r="AB865" s="367"/>
      <c r="AC865" s="367"/>
      <c r="AD865" s="367"/>
      <c r="AE865" s="367"/>
      <c r="AF865" s="367"/>
    </row>
    <row r="866" ht="15.75" customHeight="1">
      <c r="A866" s="359"/>
      <c r="B866" s="361"/>
      <c r="C866" s="361"/>
      <c r="D866" s="361"/>
      <c r="E866" s="367"/>
      <c r="F866" s="367"/>
      <c r="G866" s="367"/>
      <c r="H866" s="367"/>
      <c r="I866" s="367"/>
      <c r="J866" s="367"/>
      <c r="K866" s="367"/>
      <c r="L866" s="367"/>
      <c r="M866" s="367"/>
      <c r="N866" s="367"/>
      <c r="O866" s="367"/>
      <c r="P866" s="367"/>
      <c r="Q866" s="367"/>
      <c r="R866" s="367"/>
      <c r="S866" s="367"/>
      <c r="T866" s="367"/>
      <c r="U866" s="367"/>
      <c r="V866" s="367"/>
      <c r="W866" s="367"/>
      <c r="X866" s="367"/>
      <c r="Y866" s="367"/>
      <c r="Z866" s="367"/>
      <c r="AA866" s="367"/>
      <c r="AB866" s="367"/>
      <c r="AC866" s="367"/>
      <c r="AD866" s="367"/>
      <c r="AE866" s="367"/>
      <c r="AF866" s="367"/>
    </row>
    <row r="867" ht="15.75" customHeight="1">
      <c r="A867" s="359"/>
      <c r="B867" s="361"/>
      <c r="C867" s="361"/>
      <c r="D867" s="361"/>
      <c r="E867" s="367"/>
      <c r="F867" s="367"/>
      <c r="G867" s="367"/>
      <c r="H867" s="367"/>
      <c r="I867" s="367"/>
      <c r="J867" s="367"/>
      <c r="K867" s="367"/>
      <c r="L867" s="367"/>
      <c r="M867" s="367"/>
      <c r="N867" s="367"/>
      <c r="O867" s="367"/>
      <c r="P867" s="367"/>
      <c r="Q867" s="367"/>
      <c r="R867" s="367"/>
      <c r="S867" s="367"/>
      <c r="T867" s="367"/>
      <c r="U867" s="367"/>
      <c r="V867" s="367"/>
      <c r="W867" s="367"/>
      <c r="X867" s="367"/>
      <c r="Y867" s="367"/>
      <c r="Z867" s="367"/>
      <c r="AA867" s="367"/>
      <c r="AB867" s="367"/>
      <c r="AC867" s="367"/>
      <c r="AD867" s="367"/>
      <c r="AE867" s="367"/>
      <c r="AF867" s="367"/>
    </row>
    <row r="868" ht="15.75" customHeight="1">
      <c r="A868" s="359"/>
      <c r="B868" s="361"/>
      <c r="C868" s="361"/>
      <c r="D868" s="361"/>
      <c r="E868" s="367"/>
      <c r="F868" s="367"/>
      <c r="G868" s="367"/>
      <c r="H868" s="367"/>
      <c r="I868" s="367"/>
      <c r="J868" s="367"/>
      <c r="K868" s="367"/>
      <c r="L868" s="367"/>
      <c r="M868" s="367"/>
      <c r="N868" s="367"/>
      <c r="O868" s="367"/>
      <c r="P868" s="367"/>
      <c r="Q868" s="367"/>
      <c r="R868" s="367"/>
      <c r="S868" s="367"/>
      <c r="T868" s="367"/>
      <c r="U868" s="367"/>
      <c r="V868" s="367"/>
      <c r="W868" s="367"/>
      <c r="X868" s="367"/>
      <c r="Y868" s="367"/>
      <c r="Z868" s="367"/>
      <c r="AA868" s="367"/>
      <c r="AB868" s="367"/>
      <c r="AC868" s="367"/>
      <c r="AD868" s="367"/>
      <c r="AE868" s="367"/>
      <c r="AF868" s="367"/>
    </row>
    <row r="869" ht="15.75" customHeight="1">
      <c r="A869" s="359"/>
      <c r="B869" s="361"/>
      <c r="C869" s="361"/>
      <c r="D869" s="361"/>
      <c r="E869" s="367"/>
      <c r="F869" s="367"/>
      <c r="G869" s="367"/>
      <c r="H869" s="367"/>
      <c r="I869" s="367"/>
      <c r="J869" s="367"/>
      <c r="K869" s="367"/>
      <c r="L869" s="367"/>
      <c r="M869" s="367"/>
      <c r="N869" s="367"/>
      <c r="O869" s="367"/>
      <c r="P869" s="367"/>
      <c r="Q869" s="367"/>
      <c r="R869" s="367"/>
      <c r="S869" s="367"/>
      <c r="T869" s="367"/>
      <c r="U869" s="367"/>
      <c r="V869" s="367"/>
      <c r="W869" s="367"/>
      <c r="X869" s="367"/>
      <c r="Y869" s="367"/>
      <c r="Z869" s="367"/>
      <c r="AA869" s="367"/>
      <c r="AB869" s="367"/>
      <c r="AC869" s="367"/>
      <c r="AD869" s="367"/>
      <c r="AE869" s="367"/>
      <c r="AF869" s="367"/>
    </row>
    <row r="870" ht="15.75" customHeight="1">
      <c r="A870" s="359"/>
      <c r="B870" s="361"/>
      <c r="C870" s="361"/>
      <c r="D870" s="361"/>
      <c r="E870" s="367"/>
      <c r="F870" s="367"/>
      <c r="G870" s="367"/>
      <c r="H870" s="367"/>
      <c r="I870" s="367"/>
      <c r="J870" s="367"/>
      <c r="K870" s="367"/>
      <c r="L870" s="367"/>
      <c r="M870" s="367"/>
      <c r="N870" s="367"/>
      <c r="O870" s="367"/>
      <c r="P870" s="367"/>
      <c r="Q870" s="367"/>
      <c r="R870" s="367"/>
      <c r="S870" s="367"/>
      <c r="T870" s="367"/>
      <c r="U870" s="367"/>
      <c r="V870" s="367"/>
      <c r="W870" s="367"/>
      <c r="X870" s="367"/>
      <c r="Y870" s="367"/>
      <c r="Z870" s="367"/>
      <c r="AA870" s="367"/>
      <c r="AB870" s="367"/>
      <c r="AC870" s="367"/>
      <c r="AD870" s="367"/>
      <c r="AE870" s="367"/>
      <c r="AF870" s="367"/>
    </row>
    <row r="871" ht="15.75" customHeight="1">
      <c r="A871" s="359"/>
      <c r="B871" s="361"/>
      <c r="C871" s="361"/>
      <c r="D871" s="361"/>
      <c r="E871" s="367"/>
      <c r="F871" s="367"/>
      <c r="G871" s="367"/>
      <c r="H871" s="367"/>
      <c r="I871" s="367"/>
      <c r="J871" s="367"/>
      <c r="K871" s="367"/>
      <c r="L871" s="367"/>
      <c r="M871" s="367"/>
      <c r="N871" s="367"/>
      <c r="O871" s="367"/>
      <c r="P871" s="367"/>
      <c r="Q871" s="367"/>
      <c r="R871" s="367"/>
      <c r="S871" s="367"/>
      <c r="T871" s="367"/>
      <c r="U871" s="367"/>
      <c r="V871" s="367"/>
      <c r="W871" s="367"/>
      <c r="X871" s="367"/>
      <c r="Y871" s="367"/>
      <c r="Z871" s="367"/>
      <c r="AA871" s="367"/>
      <c r="AB871" s="367"/>
      <c r="AC871" s="367"/>
      <c r="AD871" s="367"/>
      <c r="AE871" s="367"/>
      <c r="AF871" s="367"/>
    </row>
    <row r="872" ht="15.75" customHeight="1">
      <c r="A872" s="359"/>
      <c r="B872" s="361"/>
      <c r="C872" s="361"/>
      <c r="D872" s="361"/>
      <c r="E872" s="367"/>
      <c r="F872" s="367"/>
      <c r="G872" s="367"/>
      <c r="H872" s="367"/>
      <c r="I872" s="367"/>
      <c r="J872" s="367"/>
      <c r="K872" s="367"/>
      <c r="L872" s="367"/>
      <c r="M872" s="367"/>
      <c r="N872" s="367"/>
      <c r="O872" s="367"/>
      <c r="P872" s="367"/>
      <c r="Q872" s="367"/>
      <c r="R872" s="367"/>
      <c r="S872" s="367"/>
      <c r="T872" s="367"/>
      <c r="U872" s="367"/>
      <c r="V872" s="367"/>
      <c r="W872" s="367"/>
      <c r="X872" s="367"/>
      <c r="Y872" s="367"/>
      <c r="Z872" s="367"/>
      <c r="AA872" s="367"/>
      <c r="AB872" s="367"/>
      <c r="AC872" s="367"/>
      <c r="AD872" s="367"/>
      <c r="AE872" s="367"/>
      <c r="AF872" s="367"/>
    </row>
    <row r="873" ht="15.75" customHeight="1">
      <c r="A873" s="359"/>
      <c r="B873" s="361"/>
      <c r="C873" s="361"/>
      <c r="D873" s="361"/>
      <c r="E873" s="367"/>
      <c r="F873" s="367"/>
      <c r="G873" s="367"/>
      <c r="H873" s="367"/>
      <c r="I873" s="367"/>
      <c r="J873" s="367"/>
      <c r="K873" s="367"/>
      <c r="L873" s="367"/>
      <c r="M873" s="367"/>
      <c r="N873" s="367"/>
      <c r="O873" s="367"/>
      <c r="P873" s="367"/>
      <c r="Q873" s="367"/>
      <c r="R873" s="367"/>
      <c r="S873" s="367"/>
      <c r="T873" s="367"/>
      <c r="U873" s="367"/>
      <c r="V873" s="367"/>
      <c r="W873" s="367"/>
      <c r="X873" s="367"/>
      <c r="Y873" s="367"/>
      <c r="Z873" s="367"/>
      <c r="AA873" s="367"/>
      <c r="AB873" s="367"/>
      <c r="AC873" s="367"/>
      <c r="AD873" s="367"/>
      <c r="AE873" s="367"/>
      <c r="AF873" s="367"/>
    </row>
    <row r="874" ht="15.75" customHeight="1">
      <c r="A874" s="359"/>
      <c r="B874" s="361"/>
      <c r="C874" s="361"/>
      <c r="D874" s="361"/>
      <c r="E874" s="367"/>
      <c r="F874" s="367"/>
      <c r="G874" s="367"/>
      <c r="H874" s="367"/>
      <c r="I874" s="367"/>
      <c r="J874" s="367"/>
      <c r="K874" s="367"/>
      <c r="L874" s="367"/>
      <c r="M874" s="367"/>
      <c r="N874" s="367"/>
      <c r="O874" s="367"/>
      <c r="P874" s="367"/>
      <c r="Q874" s="367"/>
      <c r="R874" s="367"/>
      <c r="S874" s="367"/>
      <c r="T874" s="367"/>
      <c r="U874" s="367"/>
      <c r="V874" s="367"/>
      <c r="W874" s="367"/>
      <c r="X874" s="367"/>
      <c r="Y874" s="367"/>
      <c r="Z874" s="367"/>
      <c r="AA874" s="367"/>
      <c r="AB874" s="367"/>
      <c r="AC874" s="367"/>
      <c r="AD874" s="367"/>
      <c r="AE874" s="367"/>
      <c r="AF874" s="367"/>
    </row>
    <row r="875" ht="15.75" customHeight="1">
      <c r="A875" s="359"/>
      <c r="B875" s="361"/>
      <c r="C875" s="361"/>
      <c r="D875" s="361"/>
      <c r="E875" s="367"/>
      <c r="F875" s="367"/>
      <c r="G875" s="367"/>
      <c r="H875" s="367"/>
      <c r="I875" s="367"/>
      <c r="J875" s="367"/>
      <c r="K875" s="367"/>
      <c r="L875" s="367"/>
      <c r="M875" s="367"/>
      <c r="N875" s="367"/>
      <c r="O875" s="367"/>
      <c r="P875" s="367"/>
      <c r="Q875" s="367"/>
      <c r="R875" s="367"/>
      <c r="S875" s="367"/>
      <c r="T875" s="367"/>
      <c r="U875" s="367"/>
      <c r="V875" s="367"/>
      <c r="W875" s="367"/>
      <c r="X875" s="367"/>
      <c r="Y875" s="367"/>
      <c r="Z875" s="367"/>
      <c r="AA875" s="367"/>
      <c r="AB875" s="367"/>
      <c r="AC875" s="367"/>
      <c r="AD875" s="367"/>
      <c r="AE875" s="367"/>
      <c r="AF875" s="367"/>
    </row>
    <row r="876" ht="15.75" customHeight="1">
      <c r="A876" s="359"/>
      <c r="B876" s="361"/>
      <c r="C876" s="361"/>
      <c r="D876" s="361"/>
      <c r="E876" s="367"/>
      <c r="F876" s="367"/>
      <c r="G876" s="367"/>
      <c r="H876" s="367"/>
      <c r="I876" s="367"/>
      <c r="J876" s="367"/>
      <c r="K876" s="367"/>
      <c r="L876" s="367"/>
      <c r="M876" s="367"/>
      <c r="N876" s="367"/>
      <c r="O876" s="367"/>
      <c r="P876" s="367"/>
      <c r="Q876" s="367"/>
      <c r="R876" s="367"/>
      <c r="S876" s="367"/>
      <c r="T876" s="367"/>
      <c r="U876" s="367"/>
      <c r="V876" s="367"/>
      <c r="W876" s="367"/>
      <c r="X876" s="367"/>
      <c r="Y876" s="367"/>
      <c r="Z876" s="367"/>
      <c r="AA876" s="367"/>
      <c r="AB876" s="367"/>
      <c r="AC876" s="367"/>
      <c r="AD876" s="367"/>
      <c r="AE876" s="367"/>
      <c r="AF876" s="367"/>
    </row>
    <row r="877" ht="15.75" customHeight="1">
      <c r="A877" s="359"/>
      <c r="B877" s="361"/>
      <c r="C877" s="361"/>
      <c r="D877" s="361"/>
      <c r="E877" s="367"/>
      <c r="F877" s="367"/>
      <c r="G877" s="367"/>
      <c r="H877" s="367"/>
      <c r="I877" s="367"/>
      <c r="J877" s="367"/>
      <c r="K877" s="367"/>
      <c r="L877" s="367"/>
      <c r="M877" s="367"/>
      <c r="N877" s="367"/>
      <c r="O877" s="367"/>
      <c r="P877" s="367"/>
      <c r="Q877" s="367"/>
      <c r="R877" s="367"/>
      <c r="S877" s="367"/>
      <c r="T877" s="367"/>
      <c r="U877" s="367"/>
      <c r="V877" s="367"/>
      <c r="W877" s="367"/>
      <c r="X877" s="367"/>
      <c r="Y877" s="367"/>
      <c r="Z877" s="367"/>
      <c r="AA877" s="367"/>
      <c r="AB877" s="367"/>
      <c r="AC877" s="367"/>
      <c r="AD877" s="367"/>
      <c r="AE877" s="367"/>
      <c r="AF877" s="367"/>
    </row>
    <row r="878" ht="15.75" customHeight="1">
      <c r="A878" s="359"/>
      <c r="B878" s="361"/>
      <c r="C878" s="361"/>
      <c r="D878" s="361"/>
      <c r="E878" s="367"/>
      <c r="F878" s="367"/>
      <c r="G878" s="367"/>
      <c r="H878" s="367"/>
      <c r="I878" s="367"/>
      <c r="J878" s="367"/>
      <c r="K878" s="367"/>
      <c r="L878" s="367"/>
      <c r="M878" s="367"/>
      <c r="N878" s="367"/>
      <c r="O878" s="367"/>
      <c r="P878" s="367"/>
      <c r="Q878" s="367"/>
      <c r="R878" s="367"/>
      <c r="S878" s="367"/>
      <c r="T878" s="367"/>
      <c r="U878" s="367"/>
      <c r="V878" s="367"/>
      <c r="W878" s="367"/>
      <c r="X878" s="367"/>
      <c r="Y878" s="367"/>
      <c r="Z878" s="367"/>
      <c r="AA878" s="367"/>
      <c r="AB878" s="367"/>
      <c r="AC878" s="367"/>
      <c r="AD878" s="367"/>
      <c r="AE878" s="367"/>
      <c r="AF878" s="367"/>
    </row>
    <row r="879" ht="15.75" customHeight="1">
      <c r="A879" s="359"/>
      <c r="B879" s="361"/>
      <c r="C879" s="361"/>
      <c r="D879" s="361"/>
      <c r="E879" s="367"/>
      <c r="F879" s="367"/>
      <c r="G879" s="367"/>
      <c r="H879" s="367"/>
      <c r="I879" s="367"/>
      <c r="J879" s="367"/>
      <c r="K879" s="367"/>
      <c r="L879" s="367"/>
      <c r="M879" s="367"/>
      <c r="N879" s="367"/>
      <c r="O879" s="367"/>
      <c r="P879" s="367"/>
      <c r="Q879" s="367"/>
      <c r="R879" s="367"/>
      <c r="S879" s="367"/>
      <c r="T879" s="367"/>
      <c r="U879" s="367"/>
      <c r="V879" s="367"/>
      <c r="W879" s="367"/>
      <c r="X879" s="367"/>
      <c r="Y879" s="367"/>
      <c r="Z879" s="367"/>
      <c r="AA879" s="367"/>
      <c r="AB879" s="367"/>
      <c r="AC879" s="367"/>
      <c r="AD879" s="367"/>
      <c r="AE879" s="367"/>
      <c r="AF879" s="367"/>
    </row>
    <row r="880" ht="15.75" customHeight="1">
      <c r="A880" s="359"/>
      <c r="B880" s="361"/>
      <c r="C880" s="361"/>
      <c r="D880" s="361"/>
      <c r="E880" s="367"/>
      <c r="F880" s="367"/>
      <c r="G880" s="367"/>
      <c r="H880" s="367"/>
      <c r="I880" s="367"/>
      <c r="J880" s="367"/>
      <c r="K880" s="367"/>
      <c r="L880" s="367"/>
      <c r="M880" s="367"/>
      <c r="N880" s="367"/>
      <c r="O880" s="367"/>
      <c r="P880" s="367"/>
      <c r="Q880" s="367"/>
      <c r="R880" s="367"/>
      <c r="S880" s="367"/>
      <c r="T880" s="367"/>
      <c r="U880" s="367"/>
      <c r="V880" s="367"/>
      <c r="W880" s="367"/>
      <c r="X880" s="367"/>
      <c r="Y880" s="367"/>
      <c r="Z880" s="367"/>
      <c r="AA880" s="367"/>
      <c r="AB880" s="367"/>
      <c r="AC880" s="367"/>
      <c r="AD880" s="367"/>
      <c r="AE880" s="367"/>
      <c r="AF880" s="367"/>
    </row>
    <row r="881" ht="15.75" customHeight="1">
      <c r="A881" s="359"/>
      <c r="B881" s="361"/>
      <c r="C881" s="361"/>
      <c r="D881" s="361"/>
      <c r="E881" s="367"/>
      <c r="F881" s="367"/>
      <c r="G881" s="367"/>
      <c r="H881" s="367"/>
      <c r="I881" s="367"/>
      <c r="J881" s="367"/>
      <c r="K881" s="367"/>
      <c r="L881" s="367"/>
      <c r="M881" s="367"/>
      <c r="N881" s="367"/>
      <c r="O881" s="367"/>
      <c r="P881" s="367"/>
      <c r="Q881" s="367"/>
      <c r="R881" s="367"/>
      <c r="S881" s="367"/>
      <c r="T881" s="367"/>
      <c r="U881" s="367"/>
      <c r="V881" s="367"/>
      <c r="W881" s="367"/>
      <c r="X881" s="367"/>
      <c r="Y881" s="367"/>
      <c r="Z881" s="367"/>
      <c r="AA881" s="367"/>
      <c r="AB881" s="367"/>
      <c r="AC881" s="367"/>
      <c r="AD881" s="367"/>
      <c r="AE881" s="367"/>
      <c r="AF881" s="367"/>
    </row>
    <row r="882" ht="15.75" customHeight="1">
      <c r="A882" s="359"/>
      <c r="B882" s="361"/>
      <c r="C882" s="361"/>
      <c r="D882" s="361"/>
      <c r="E882" s="367"/>
      <c r="F882" s="367"/>
      <c r="G882" s="367"/>
      <c r="H882" s="367"/>
      <c r="I882" s="367"/>
      <c r="J882" s="367"/>
      <c r="K882" s="367"/>
      <c r="L882" s="367"/>
      <c r="M882" s="367"/>
      <c r="N882" s="367"/>
      <c r="O882" s="367"/>
      <c r="P882" s="367"/>
      <c r="Q882" s="367"/>
      <c r="R882" s="367"/>
      <c r="S882" s="367"/>
      <c r="T882" s="367"/>
      <c r="U882" s="367"/>
      <c r="V882" s="367"/>
      <c r="W882" s="367"/>
      <c r="X882" s="367"/>
      <c r="Y882" s="367"/>
      <c r="Z882" s="367"/>
      <c r="AA882" s="367"/>
      <c r="AB882" s="367"/>
      <c r="AC882" s="367"/>
      <c r="AD882" s="367"/>
      <c r="AE882" s="367"/>
      <c r="AF882" s="367"/>
    </row>
    <row r="883" ht="15.75" customHeight="1">
      <c r="A883" s="359"/>
      <c r="B883" s="361"/>
      <c r="C883" s="361"/>
      <c r="D883" s="361"/>
      <c r="E883" s="367"/>
      <c r="F883" s="367"/>
      <c r="G883" s="367"/>
      <c r="H883" s="367"/>
      <c r="I883" s="367"/>
      <c r="J883" s="367"/>
      <c r="K883" s="367"/>
      <c r="L883" s="367"/>
      <c r="M883" s="367"/>
      <c r="N883" s="367"/>
      <c r="O883" s="367"/>
      <c r="P883" s="367"/>
      <c r="Q883" s="367"/>
      <c r="R883" s="367"/>
      <c r="S883" s="367"/>
      <c r="T883" s="367"/>
      <c r="U883" s="367"/>
      <c r="V883" s="367"/>
      <c r="W883" s="367"/>
      <c r="X883" s="367"/>
      <c r="Y883" s="367"/>
      <c r="Z883" s="367"/>
      <c r="AA883" s="367"/>
      <c r="AB883" s="367"/>
      <c r="AC883" s="367"/>
      <c r="AD883" s="367"/>
      <c r="AE883" s="367"/>
      <c r="AF883" s="367"/>
    </row>
    <row r="884" ht="15.75" customHeight="1">
      <c r="A884" s="359"/>
      <c r="B884" s="361"/>
      <c r="C884" s="361"/>
      <c r="D884" s="361"/>
      <c r="E884" s="367"/>
      <c r="F884" s="367"/>
      <c r="G884" s="367"/>
      <c r="H884" s="367"/>
      <c r="I884" s="367"/>
      <c r="J884" s="367"/>
      <c r="K884" s="367"/>
      <c r="L884" s="367"/>
      <c r="M884" s="367"/>
      <c r="N884" s="367"/>
      <c r="O884" s="367"/>
      <c r="P884" s="367"/>
      <c r="Q884" s="367"/>
      <c r="R884" s="367"/>
      <c r="S884" s="367"/>
      <c r="T884" s="367"/>
      <c r="U884" s="367"/>
      <c r="V884" s="367"/>
      <c r="W884" s="367"/>
      <c r="X884" s="367"/>
      <c r="Y884" s="367"/>
      <c r="Z884" s="367"/>
      <c r="AA884" s="367"/>
      <c r="AB884" s="367"/>
      <c r="AC884" s="367"/>
      <c r="AD884" s="367"/>
      <c r="AE884" s="367"/>
      <c r="AF884" s="367"/>
    </row>
    <row r="885" ht="15.75" customHeight="1">
      <c r="A885" s="359"/>
      <c r="B885" s="361"/>
      <c r="C885" s="361"/>
      <c r="D885" s="361"/>
      <c r="E885" s="367"/>
      <c r="F885" s="367"/>
      <c r="G885" s="367"/>
      <c r="H885" s="367"/>
      <c r="I885" s="367"/>
      <c r="J885" s="367"/>
      <c r="K885" s="367"/>
      <c r="L885" s="367"/>
      <c r="M885" s="367"/>
      <c r="N885" s="367"/>
      <c r="O885" s="367"/>
      <c r="P885" s="367"/>
      <c r="Q885" s="367"/>
      <c r="R885" s="367"/>
      <c r="S885" s="367"/>
      <c r="T885" s="367"/>
      <c r="U885" s="367"/>
      <c r="V885" s="367"/>
      <c r="W885" s="367"/>
      <c r="X885" s="367"/>
      <c r="Y885" s="367"/>
      <c r="Z885" s="367"/>
      <c r="AA885" s="367"/>
      <c r="AB885" s="367"/>
      <c r="AC885" s="367"/>
      <c r="AD885" s="367"/>
      <c r="AE885" s="367"/>
      <c r="AF885" s="367"/>
    </row>
    <row r="886" ht="15.75" customHeight="1">
      <c r="A886" s="359"/>
      <c r="B886" s="361"/>
      <c r="C886" s="361"/>
      <c r="D886" s="361"/>
      <c r="E886" s="367"/>
      <c r="F886" s="367"/>
      <c r="G886" s="367"/>
      <c r="H886" s="367"/>
      <c r="I886" s="367"/>
      <c r="J886" s="367"/>
      <c r="K886" s="367"/>
      <c r="L886" s="367"/>
      <c r="M886" s="367"/>
      <c r="N886" s="367"/>
      <c r="O886" s="367"/>
      <c r="P886" s="367"/>
      <c r="Q886" s="367"/>
      <c r="R886" s="367"/>
      <c r="S886" s="367"/>
      <c r="T886" s="367"/>
      <c r="U886" s="367"/>
      <c r="V886" s="367"/>
      <c r="W886" s="367"/>
      <c r="X886" s="367"/>
      <c r="Y886" s="367"/>
      <c r="Z886" s="367"/>
      <c r="AA886" s="367"/>
      <c r="AB886" s="367"/>
      <c r="AC886" s="367"/>
      <c r="AD886" s="367"/>
      <c r="AE886" s="367"/>
      <c r="AF886" s="367"/>
    </row>
    <row r="887" ht="15.75" customHeight="1">
      <c r="A887" s="359"/>
      <c r="B887" s="361"/>
      <c r="C887" s="361"/>
      <c r="D887" s="361"/>
      <c r="E887" s="367"/>
      <c r="F887" s="367"/>
      <c r="G887" s="367"/>
      <c r="H887" s="367"/>
      <c r="I887" s="367"/>
      <c r="J887" s="367"/>
      <c r="K887" s="367"/>
      <c r="L887" s="367"/>
      <c r="M887" s="367"/>
      <c r="N887" s="367"/>
      <c r="O887" s="367"/>
      <c r="P887" s="367"/>
      <c r="Q887" s="367"/>
      <c r="R887" s="367"/>
      <c r="S887" s="367"/>
      <c r="T887" s="367"/>
      <c r="U887" s="367"/>
      <c r="V887" s="367"/>
      <c r="W887" s="367"/>
      <c r="X887" s="367"/>
      <c r="Y887" s="367"/>
      <c r="Z887" s="367"/>
      <c r="AA887" s="367"/>
      <c r="AB887" s="367"/>
      <c r="AC887" s="367"/>
      <c r="AD887" s="367"/>
      <c r="AE887" s="367"/>
      <c r="AF887" s="367"/>
    </row>
    <row r="888" ht="15.75" customHeight="1">
      <c r="A888" s="359"/>
      <c r="B888" s="361"/>
      <c r="C888" s="361"/>
      <c r="D888" s="361"/>
      <c r="E888" s="367"/>
      <c r="F888" s="367"/>
      <c r="G888" s="367"/>
      <c r="H888" s="367"/>
      <c r="I888" s="367"/>
      <c r="J888" s="367"/>
      <c r="K888" s="367"/>
      <c r="L888" s="367"/>
      <c r="M888" s="367"/>
      <c r="N888" s="367"/>
      <c r="O888" s="367"/>
      <c r="P888" s="367"/>
      <c r="Q888" s="367"/>
      <c r="R888" s="367"/>
      <c r="S888" s="367"/>
      <c r="T888" s="367"/>
      <c r="U888" s="367"/>
      <c r="V888" s="367"/>
      <c r="W888" s="367"/>
      <c r="X888" s="367"/>
      <c r="Y888" s="367"/>
      <c r="Z888" s="367"/>
      <c r="AA888" s="367"/>
      <c r="AB888" s="367"/>
      <c r="AC888" s="367"/>
      <c r="AD888" s="367"/>
      <c r="AE888" s="367"/>
      <c r="AF888" s="367"/>
    </row>
    <row r="889" ht="15.75" customHeight="1">
      <c r="A889" s="359"/>
      <c r="B889" s="361"/>
      <c r="C889" s="361"/>
      <c r="D889" s="361"/>
      <c r="E889" s="367"/>
      <c r="F889" s="367"/>
      <c r="G889" s="367"/>
      <c r="H889" s="367"/>
      <c r="I889" s="367"/>
      <c r="J889" s="367"/>
      <c r="K889" s="367"/>
      <c r="L889" s="367"/>
      <c r="M889" s="367"/>
      <c r="N889" s="367"/>
      <c r="O889" s="367"/>
      <c r="P889" s="367"/>
      <c r="Q889" s="367"/>
      <c r="R889" s="367"/>
      <c r="S889" s="367"/>
      <c r="T889" s="367"/>
      <c r="U889" s="367"/>
      <c r="V889" s="367"/>
      <c r="W889" s="367"/>
      <c r="X889" s="367"/>
      <c r="Y889" s="367"/>
      <c r="Z889" s="367"/>
      <c r="AA889" s="367"/>
      <c r="AB889" s="367"/>
      <c r="AC889" s="367"/>
      <c r="AD889" s="367"/>
      <c r="AE889" s="367"/>
      <c r="AF889" s="367"/>
    </row>
    <row r="890" ht="15.75" customHeight="1">
      <c r="A890" s="359"/>
      <c r="B890" s="361"/>
      <c r="C890" s="361"/>
      <c r="D890" s="361"/>
      <c r="E890" s="367"/>
      <c r="F890" s="367"/>
      <c r="G890" s="367"/>
      <c r="H890" s="367"/>
      <c r="I890" s="367"/>
      <c r="J890" s="367"/>
      <c r="K890" s="367"/>
      <c r="L890" s="367"/>
      <c r="M890" s="367"/>
      <c r="N890" s="367"/>
      <c r="O890" s="367"/>
      <c r="P890" s="367"/>
      <c r="Q890" s="367"/>
      <c r="R890" s="367"/>
      <c r="S890" s="367"/>
      <c r="T890" s="367"/>
      <c r="U890" s="367"/>
      <c r="V890" s="367"/>
      <c r="W890" s="367"/>
      <c r="X890" s="367"/>
      <c r="Y890" s="367"/>
      <c r="Z890" s="367"/>
      <c r="AA890" s="367"/>
      <c r="AB890" s="367"/>
      <c r="AC890" s="367"/>
      <c r="AD890" s="367"/>
      <c r="AE890" s="367"/>
      <c r="AF890" s="367"/>
    </row>
    <row r="891" ht="15.75" customHeight="1">
      <c r="A891" s="359"/>
      <c r="B891" s="361"/>
      <c r="C891" s="361"/>
      <c r="D891" s="361"/>
      <c r="E891" s="367"/>
      <c r="F891" s="367"/>
      <c r="G891" s="367"/>
      <c r="H891" s="367"/>
      <c r="I891" s="367"/>
      <c r="J891" s="367"/>
      <c r="K891" s="367"/>
      <c r="L891" s="367"/>
      <c r="M891" s="367"/>
      <c r="N891" s="367"/>
      <c r="O891" s="367"/>
      <c r="P891" s="367"/>
      <c r="Q891" s="367"/>
      <c r="R891" s="367"/>
      <c r="S891" s="367"/>
      <c r="T891" s="367"/>
      <c r="U891" s="367"/>
      <c r="V891" s="367"/>
      <c r="W891" s="367"/>
      <c r="X891" s="367"/>
      <c r="Y891" s="367"/>
      <c r="Z891" s="367"/>
      <c r="AA891" s="367"/>
      <c r="AB891" s="367"/>
      <c r="AC891" s="367"/>
      <c r="AD891" s="367"/>
      <c r="AE891" s="367"/>
      <c r="AF891" s="367"/>
    </row>
    <row r="892" ht="15.75" customHeight="1">
      <c r="A892" s="359"/>
      <c r="B892" s="361"/>
      <c r="C892" s="361"/>
      <c r="D892" s="361"/>
      <c r="E892" s="367"/>
      <c r="F892" s="367"/>
      <c r="G892" s="367"/>
      <c r="H892" s="367"/>
      <c r="I892" s="367"/>
      <c r="J892" s="367"/>
      <c r="K892" s="367"/>
      <c r="L892" s="367"/>
      <c r="M892" s="367"/>
      <c r="N892" s="367"/>
      <c r="O892" s="367"/>
      <c r="P892" s="367"/>
      <c r="Q892" s="367"/>
      <c r="R892" s="367"/>
      <c r="S892" s="367"/>
      <c r="T892" s="367"/>
      <c r="U892" s="367"/>
      <c r="V892" s="367"/>
      <c r="W892" s="367"/>
      <c r="X892" s="367"/>
      <c r="Y892" s="367"/>
      <c r="Z892" s="367"/>
      <c r="AA892" s="367"/>
      <c r="AB892" s="367"/>
      <c r="AC892" s="367"/>
      <c r="AD892" s="367"/>
      <c r="AE892" s="367"/>
      <c r="AF892" s="367"/>
    </row>
    <row r="893" ht="15.75" customHeight="1">
      <c r="A893" s="359"/>
      <c r="B893" s="361"/>
      <c r="C893" s="361"/>
      <c r="D893" s="361"/>
      <c r="E893" s="367"/>
      <c r="F893" s="367"/>
      <c r="G893" s="367"/>
      <c r="H893" s="367"/>
      <c r="I893" s="367"/>
      <c r="J893" s="367"/>
      <c r="K893" s="367"/>
      <c r="L893" s="367"/>
      <c r="M893" s="367"/>
      <c r="N893" s="367"/>
      <c r="O893" s="367"/>
      <c r="P893" s="367"/>
      <c r="Q893" s="367"/>
      <c r="R893" s="367"/>
      <c r="S893" s="367"/>
      <c r="T893" s="367"/>
      <c r="U893" s="367"/>
      <c r="V893" s="367"/>
      <c r="W893" s="367"/>
      <c r="X893" s="367"/>
      <c r="Y893" s="367"/>
      <c r="Z893" s="367"/>
      <c r="AA893" s="367"/>
      <c r="AB893" s="367"/>
      <c r="AC893" s="367"/>
      <c r="AD893" s="367"/>
      <c r="AE893" s="367"/>
      <c r="AF893" s="367"/>
    </row>
    <row r="894" ht="15.75" customHeight="1">
      <c r="A894" s="359"/>
      <c r="B894" s="361"/>
      <c r="C894" s="361"/>
      <c r="D894" s="361"/>
      <c r="E894" s="367"/>
      <c r="F894" s="367"/>
      <c r="G894" s="367"/>
      <c r="H894" s="367"/>
      <c r="I894" s="367"/>
      <c r="J894" s="367"/>
      <c r="K894" s="367"/>
      <c r="L894" s="367"/>
      <c r="M894" s="367"/>
      <c r="N894" s="367"/>
      <c r="O894" s="367"/>
      <c r="P894" s="367"/>
      <c r="Q894" s="367"/>
      <c r="R894" s="367"/>
      <c r="S894" s="367"/>
      <c r="T894" s="367"/>
      <c r="U894" s="367"/>
      <c r="V894" s="367"/>
      <c r="W894" s="367"/>
      <c r="X894" s="367"/>
      <c r="Y894" s="367"/>
      <c r="Z894" s="367"/>
      <c r="AA894" s="367"/>
      <c r="AB894" s="367"/>
      <c r="AC894" s="367"/>
      <c r="AD894" s="367"/>
      <c r="AE894" s="367"/>
      <c r="AF894" s="367"/>
    </row>
    <row r="895" ht="15.75" customHeight="1">
      <c r="A895" s="359"/>
      <c r="B895" s="361"/>
      <c r="C895" s="361"/>
      <c r="D895" s="361"/>
      <c r="E895" s="367"/>
      <c r="F895" s="367"/>
      <c r="G895" s="367"/>
      <c r="H895" s="367"/>
      <c r="I895" s="367"/>
      <c r="J895" s="367"/>
      <c r="K895" s="367"/>
      <c r="L895" s="367"/>
      <c r="M895" s="367"/>
      <c r="N895" s="367"/>
      <c r="O895" s="367"/>
      <c r="P895" s="367"/>
      <c r="Q895" s="367"/>
      <c r="R895" s="367"/>
      <c r="S895" s="367"/>
      <c r="T895" s="367"/>
      <c r="U895" s="367"/>
      <c r="V895" s="367"/>
      <c r="W895" s="367"/>
      <c r="X895" s="367"/>
      <c r="Y895" s="367"/>
      <c r="Z895" s="367"/>
      <c r="AA895" s="367"/>
      <c r="AB895" s="367"/>
      <c r="AC895" s="367"/>
      <c r="AD895" s="367"/>
      <c r="AE895" s="367"/>
      <c r="AF895" s="367"/>
    </row>
    <row r="896" ht="15.75" customHeight="1">
      <c r="A896" s="359"/>
      <c r="B896" s="361"/>
      <c r="C896" s="361"/>
      <c r="D896" s="361"/>
      <c r="E896" s="367"/>
      <c r="F896" s="367"/>
      <c r="G896" s="367"/>
      <c r="H896" s="367"/>
      <c r="I896" s="367"/>
      <c r="J896" s="367"/>
      <c r="K896" s="367"/>
      <c r="L896" s="367"/>
      <c r="M896" s="367"/>
      <c r="N896" s="367"/>
      <c r="O896" s="367"/>
      <c r="P896" s="367"/>
      <c r="Q896" s="367"/>
      <c r="R896" s="367"/>
      <c r="S896" s="367"/>
      <c r="T896" s="367"/>
      <c r="U896" s="367"/>
      <c r="V896" s="367"/>
      <c r="W896" s="367"/>
      <c r="X896" s="367"/>
      <c r="Y896" s="367"/>
      <c r="Z896" s="367"/>
      <c r="AA896" s="367"/>
      <c r="AB896" s="367"/>
      <c r="AC896" s="367"/>
      <c r="AD896" s="367"/>
      <c r="AE896" s="367"/>
      <c r="AF896" s="367"/>
    </row>
    <row r="897" ht="15.75" customHeight="1">
      <c r="A897" s="359"/>
      <c r="B897" s="361"/>
      <c r="C897" s="361"/>
      <c r="D897" s="361"/>
      <c r="E897" s="367"/>
      <c r="F897" s="367"/>
      <c r="G897" s="367"/>
      <c r="H897" s="367"/>
      <c r="I897" s="367"/>
      <c r="J897" s="367"/>
      <c r="K897" s="367"/>
      <c r="L897" s="367"/>
      <c r="M897" s="367"/>
      <c r="N897" s="367"/>
      <c r="O897" s="367"/>
      <c r="P897" s="367"/>
      <c r="Q897" s="367"/>
      <c r="R897" s="367"/>
      <c r="S897" s="367"/>
      <c r="T897" s="367"/>
      <c r="U897" s="367"/>
      <c r="V897" s="367"/>
      <c r="W897" s="367"/>
      <c r="X897" s="367"/>
      <c r="Y897" s="367"/>
      <c r="Z897" s="367"/>
      <c r="AA897" s="367"/>
      <c r="AB897" s="367"/>
      <c r="AC897" s="367"/>
      <c r="AD897" s="367"/>
      <c r="AE897" s="367"/>
      <c r="AF897" s="367"/>
    </row>
    <row r="898" ht="15.75" customHeight="1">
      <c r="A898" s="359"/>
      <c r="B898" s="361"/>
      <c r="C898" s="361"/>
      <c r="D898" s="361"/>
      <c r="E898" s="367"/>
      <c r="F898" s="367"/>
      <c r="G898" s="367"/>
      <c r="H898" s="367"/>
      <c r="I898" s="367"/>
      <c r="J898" s="367"/>
      <c r="K898" s="367"/>
      <c r="L898" s="367"/>
      <c r="M898" s="367"/>
      <c r="N898" s="367"/>
      <c r="O898" s="367"/>
      <c r="P898" s="367"/>
      <c r="Q898" s="367"/>
      <c r="R898" s="367"/>
      <c r="S898" s="367"/>
      <c r="T898" s="367"/>
      <c r="U898" s="367"/>
      <c r="V898" s="367"/>
      <c r="W898" s="367"/>
      <c r="X898" s="367"/>
      <c r="Y898" s="367"/>
      <c r="Z898" s="367"/>
      <c r="AA898" s="367"/>
      <c r="AB898" s="367"/>
      <c r="AC898" s="367"/>
      <c r="AD898" s="367"/>
      <c r="AE898" s="367"/>
      <c r="AF898" s="367"/>
    </row>
    <row r="899" ht="15.75" customHeight="1">
      <c r="A899" s="359"/>
      <c r="B899" s="361"/>
      <c r="C899" s="361"/>
      <c r="D899" s="361"/>
      <c r="E899" s="367"/>
      <c r="F899" s="367"/>
      <c r="G899" s="367"/>
      <c r="H899" s="367"/>
      <c r="I899" s="367"/>
      <c r="J899" s="367"/>
      <c r="K899" s="367"/>
      <c r="L899" s="367"/>
      <c r="M899" s="367"/>
      <c r="N899" s="367"/>
      <c r="O899" s="367"/>
      <c r="P899" s="367"/>
      <c r="Q899" s="367"/>
      <c r="R899" s="367"/>
      <c r="S899" s="367"/>
      <c r="T899" s="367"/>
      <c r="U899" s="367"/>
      <c r="V899" s="367"/>
      <c r="W899" s="367"/>
      <c r="X899" s="367"/>
      <c r="Y899" s="367"/>
      <c r="Z899" s="367"/>
      <c r="AA899" s="367"/>
      <c r="AB899" s="367"/>
      <c r="AC899" s="367"/>
      <c r="AD899" s="367"/>
      <c r="AE899" s="367"/>
      <c r="AF899" s="367"/>
    </row>
    <row r="900" ht="15.75" customHeight="1">
      <c r="A900" s="359"/>
      <c r="B900" s="361"/>
      <c r="C900" s="361"/>
      <c r="D900" s="361"/>
      <c r="E900" s="367"/>
      <c r="F900" s="367"/>
      <c r="G900" s="367"/>
      <c r="H900" s="367"/>
      <c r="I900" s="367"/>
      <c r="J900" s="367"/>
      <c r="K900" s="367"/>
      <c r="L900" s="367"/>
      <c r="M900" s="367"/>
      <c r="N900" s="367"/>
      <c r="O900" s="367"/>
      <c r="P900" s="367"/>
      <c r="Q900" s="367"/>
      <c r="R900" s="367"/>
      <c r="S900" s="367"/>
      <c r="T900" s="367"/>
      <c r="U900" s="367"/>
      <c r="V900" s="367"/>
      <c r="W900" s="367"/>
      <c r="X900" s="367"/>
      <c r="Y900" s="367"/>
      <c r="Z900" s="367"/>
      <c r="AA900" s="367"/>
      <c r="AB900" s="367"/>
      <c r="AC900" s="367"/>
      <c r="AD900" s="367"/>
      <c r="AE900" s="367"/>
      <c r="AF900" s="367"/>
    </row>
    <row r="901" ht="15.75" customHeight="1">
      <c r="A901" s="359"/>
      <c r="B901" s="361"/>
      <c r="C901" s="361"/>
      <c r="D901" s="361"/>
      <c r="E901" s="367"/>
      <c r="F901" s="367"/>
      <c r="G901" s="367"/>
      <c r="H901" s="367"/>
      <c r="I901" s="367"/>
      <c r="J901" s="367"/>
      <c r="K901" s="367"/>
      <c r="L901" s="367"/>
      <c r="M901" s="367"/>
      <c r="N901" s="367"/>
      <c r="O901" s="367"/>
      <c r="P901" s="367"/>
      <c r="Q901" s="367"/>
      <c r="R901" s="367"/>
      <c r="S901" s="367"/>
      <c r="T901" s="367"/>
      <c r="U901" s="367"/>
      <c r="V901" s="367"/>
      <c r="W901" s="367"/>
      <c r="X901" s="367"/>
      <c r="Y901" s="367"/>
      <c r="Z901" s="367"/>
      <c r="AA901" s="367"/>
      <c r="AB901" s="367"/>
      <c r="AC901" s="367"/>
      <c r="AD901" s="367"/>
      <c r="AE901" s="367"/>
      <c r="AF901" s="367"/>
    </row>
    <row r="902" ht="15.75" customHeight="1">
      <c r="A902" s="359"/>
      <c r="B902" s="361"/>
      <c r="C902" s="361"/>
      <c r="D902" s="361"/>
      <c r="E902" s="367"/>
      <c r="F902" s="367"/>
      <c r="G902" s="367"/>
      <c r="H902" s="367"/>
      <c r="I902" s="367"/>
      <c r="J902" s="367"/>
      <c r="K902" s="367"/>
      <c r="L902" s="367"/>
      <c r="M902" s="367"/>
      <c r="N902" s="367"/>
      <c r="O902" s="367"/>
      <c r="P902" s="367"/>
      <c r="Q902" s="367"/>
      <c r="R902" s="367"/>
      <c r="S902" s="367"/>
      <c r="T902" s="367"/>
      <c r="U902" s="367"/>
      <c r="V902" s="367"/>
      <c r="W902" s="367"/>
      <c r="X902" s="367"/>
      <c r="Y902" s="367"/>
      <c r="Z902" s="367"/>
      <c r="AA902" s="367"/>
      <c r="AB902" s="367"/>
      <c r="AC902" s="367"/>
      <c r="AD902" s="367"/>
      <c r="AE902" s="367"/>
      <c r="AF902" s="367"/>
    </row>
    <row r="903" ht="15.75" customHeight="1">
      <c r="A903" s="359"/>
      <c r="B903" s="361"/>
      <c r="C903" s="361"/>
      <c r="D903" s="361"/>
      <c r="E903" s="367"/>
      <c r="F903" s="367"/>
      <c r="G903" s="367"/>
      <c r="H903" s="367"/>
      <c r="I903" s="367"/>
      <c r="J903" s="367"/>
      <c r="K903" s="367"/>
      <c r="L903" s="367"/>
      <c r="M903" s="367"/>
      <c r="N903" s="367"/>
      <c r="O903" s="367"/>
      <c r="P903" s="367"/>
      <c r="Q903" s="367"/>
      <c r="R903" s="367"/>
      <c r="S903" s="367"/>
      <c r="T903" s="367"/>
      <c r="U903" s="367"/>
      <c r="V903" s="367"/>
      <c r="W903" s="367"/>
      <c r="X903" s="367"/>
      <c r="Y903" s="367"/>
      <c r="Z903" s="367"/>
      <c r="AA903" s="367"/>
      <c r="AB903" s="367"/>
      <c r="AC903" s="367"/>
      <c r="AD903" s="367"/>
      <c r="AE903" s="367"/>
      <c r="AF903" s="367"/>
    </row>
    <row r="904" ht="15.75" customHeight="1">
      <c r="A904" s="359"/>
      <c r="B904" s="361"/>
      <c r="C904" s="361"/>
      <c r="D904" s="361"/>
      <c r="E904" s="367"/>
      <c r="F904" s="367"/>
      <c r="G904" s="367"/>
      <c r="H904" s="367"/>
      <c r="I904" s="367"/>
      <c r="J904" s="367"/>
      <c r="K904" s="367"/>
      <c r="L904" s="367"/>
      <c r="M904" s="367"/>
      <c r="N904" s="367"/>
      <c r="O904" s="367"/>
      <c r="P904" s="367"/>
      <c r="Q904" s="367"/>
      <c r="R904" s="367"/>
      <c r="S904" s="367"/>
      <c r="T904" s="367"/>
      <c r="U904" s="367"/>
      <c r="V904" s="367"/>
      <c r="W904" s="367"/>
      <c r="X904" s="367"/>
      <c r="Y904" s="367"/>
      <c r="Z904" s="367"/>
      <c r="AA904" s="367"/>
      <c r="AB904" s="367"/>
      <c r="AC904" s="367"/>
      <c r="AD904" s="367"/>
      <c r="AE904" s="367"/>
      <c r="AF904" s="367"/>
    </row>
    <row r="905" ht="15.75" customHeight="1">
      <c r="A905" s="359"/>
      <c r="B905" s="361"/>
      <c r="C905" s="361"/>
      <c r="D905" s="361"/>
      <c r="E905" s="367"/>
      <c r="F905" s="367"/>
      <c r="G905" s="367"/>
      <c r="H905" s="367"/>
      <c r="I905" s="367"/>
      <c r="J905" s="367"/>
      <c r="K905" s="367"/>
      <c r="L905" s="367"/>
      <c r="M905" s="367"/>
      <c r="N905" s="367"/>
      <c r="O905" s="367"/>
      <c r="P905" s="367"/>
      <c r="Q905" s="367"/>
      <c r="R905" s="367"/>
      <c r="S905" s="367"/>
      <c r="T905" s="367"/>
      <c r="U905" s="367"/>
      <c r="V905" s="367"/>
      <c r="W905" s="367"/>
      <c r="X905" s="367"/>
      <c r="Y905" s="367"/>
      <c r="Z905" s="367"/>
      <c r="AA905" s="367"/>
      <c r="AB905" s="367"/>
      <c r="AC905" s="367"/>
      <c r="AD905" s="367"/>
      <c r="AE905" s="367"/>
      <c r="AF905" s="367"/>
    </row>
    <row r="906" ht="15.75" customHeight="1">
      <c r="A906" s="359"/>
      <c r="B906" s="361"/>
      <c r="C906" s="361"/>
      <c r="D906" s="361"/>
      <c r="E906" s="367"/>
      <c r="F906" s="367"/>
      <c r="G906" s="367"/>
      <c r="H906" s="367"/>
      <c r="I906" s="367"/>
      <c r="J906" s="367"/>
      <c r="K906" s="367"/>
      <c r="L906" s="367"/>
      <c r="M906" s="367"/>
      <c r="N906" s="367"/>
      <c r="O906" s="367"/>
      <c r="P906" s="367"/>
      <c r="Q906" s="367"/>
      <c r="R906" s="367"/>
      <c r="S906" s="367"/>
      <c r="T906" s="367"/>
      <c r="U906" s="367"/>
      <c r="V906" s="367"/>
      <c r="W906" s="367"/>
      <c r="X906" s="367"/>
      <c r="Y906" s="367"/>
      <c r="Z906" s="367"/>
      <c r="AA906" s="367"/>
      <c r="AB906" s="367"/>
      <c r="AC906" s="367"/>
      <c r="AD906" s="367"/>
      <c r="AE906" s="367"/>
      <c r="AF906" s="367"/>
    </row>
    <row r="907" ht="15.75" customHeight="1">
      <c r="A907" s="359"/>
      <c r="B907" s="361"/>
      <c r="C907" s="361"/>
      <c r="D907" s="361"/>
      <c r="E907" s="367"/>
      <c r="F907" s="367"/>
      <c r="G907" s="367"/>
      <c r="H907" s="367"/>
      <c r="I907" s="367"/>
      <c r="J907" s="367"/>
      <c r="K907" s="367"/>
      <c r="L907" s="367"/>
      <c r="M907" s="367"/>
      <c r="N907" s="367"/>
      <c r="O907" s="367"/>
      <c r="P907" s="367"/>
      <c r="Q907" s="367"/>
      <c r="R907" s="367"/>
      <c r="S907" s="367"/>
      <c r="T907" s="367"/>
      <c r="U907" s="367"/>
      <c r="V907" s="367"/>
      <c r="W907" s="367"/>
      <c r="X907" s="367"/>
      <c r="Y907" s="367"/>
      <c r="Z907" s="367"/>
      <c r="AA907" s="367"/>
      <c r="AB907" s="367"/>
      <c r="AC907" s="367"/>
      <c r="AD907" s="367"/>
      <c r="AE907" s="367"/>
      <c r="AF907" s="367"/>
    </row>
    <row r="908" ht="15.75" customHeight="1">
      <c r="A908" s="359"/>
      <c r="B908" s="361"/>
      <c r="C908" s="361"/>
      <c r="D908" s="361"/>
      <c r="E908" s="367"/>
      <c r="F908" s="367"/>
      <c r="G908" s="367"/>
      <c r="H908" s="367"/>
      <c r="I908" s="367"/>
      <c r="J908" s="367"/>
      <c r="K908" s="367"/>
      <c r="L908" s="367"/>
      <c r="M908" s="367"/>
      <c r="N908" s="367"/>
      <c r="O908" s="367"/>
      <c r="P908" s="367"/>
      <c r="Q908" s="367"/>
      <c r="R908" s="367"/>
      <c r="S908" s="367"/>
      <c r="T908" s="367"/>
      <c r="U908" s="367"/>
      <c r="V908" s="367"/>
      <c r="W908" s="367"/>
      <c r="X908" s="367"/>
      <c r="Y908" s="367"/>
      <c r="Z908" s="367"/>
      <c r="AA908" s="367"/>
      <c r="AB908" s="367"/>
      <c r="AC908" s="367"/>
      <c r="AD908" s="367"/>
      <c r="AE908" s="367"/>
      <c r="AF908" s="367"/>
    </row>
    <row r="909" ht="15.75" customHeight="1">
      <c r="A909" s="359"/>
      <c r="B909" s="361"/>
      <c r="C909" s="361"/>
      <c r="D909" s="361"/>
      <c r="E909" s="367"/>
      <c r="F909" s="367"/>
      <c r="G909" s="367"/>
      <c r="H909" s="367"/>
      <c r="I909" s="367"/>
      <c r="J909" s="367"/>
      <c r="K909" s="367"/>
      <c r="L909" s="367"/>
      <c r="M909" s="367"/>
      <c r="N909" s="367"/>
      <c r="O909" s="367"/>
      <c r="P909" s="367"/>
      <c r="Q909" s="367"/>
      <c r="R909" s="367"/>
      <c r="S909" s="367"/>
      <c r="T909" s="367"/>
      <c r="U909" s="367"/>
      <c r="V909" s="367"/>
      <c r="W909" s="367"/>
      <c r="X909" s="367"/>
      <c r="Y909" s="367"/>
      <c r="Z909" s="367"/>
      <c r="AA909" s="367"/>
      <c r="AB909" s="367"/>
      <c r="AC909" s="367"/>
      <c r="AD909" s="367"/>
      <c r="AE909" s="367"/>
      <c r="AF909" s="367"/>
    </row>
    <row r="910" ht="15.75" customHeight="1">
      <c r="A910" s="359"/>
      <c r="B910" s="361"/>
      <c r="C910" s="361"/>
      <c r="D910" s="361"/>
      <c r="E910" s="367"/>
      <c r="F910" s="367"/>
      <c r="G910" s="367"/>
      <c r="H910" s="367"/>
      <c r="I910" s="367"/>
      <c r="J910" s="367"/>
      <c r="K910" s="367"/>
      <c r="L910" s="367"/>
      <c r="M910" s="367"/>
      <c r="N910" s="367"/>
      <c r="O910" s="367"/>
      <c r="P910" s="367"/>
      <c r="Q910" s="367"/>
      <c r="R910" s="367"/>
      <c r="S910" s="367"/>
      <c r="T910" s="367"/>
      <c r="U910" s="367"/>
      <c r="V910" s="367"/>
      <c r="W910" s="367"/>
      <c r="X910" s="367"/>
      <c r="Y910" s="367"/>
      <c r="Z910" s="367"/>
      <c r="AA910" s="367"/>
      <c r="AB910" s="367"/>
      <c r="AC910" s="367"/>
      <c r="AD910" s="367"/>
      <c r="AE910" s="367"/>
      <c r="AF910" s="367"/>
    </row>
    <row r="911" ht="15.75" customHeight="1">
      <c r="A911" s="359"/>
      <c r="B911" s="361"/>
      <c r="C911" s="361"/>
      <c r="D911" s="361"/>
      <c r="E911" s="367"/>
      <c r="F911" s="367"/>
      <c r="G911" s="367"/>
      <c r="H911" s="367"/>
      <c r="I911" s="367"/>
      <c r="J911" s="367"/>
      <c r="K911" s="367"/>
      <c r="L911" s="367"/>
      <c r="M911" s="367"/>
      <c r="N911" s="367"/>
      <c r="O911" s="367"/>
      <c r="P911" s="367"/>
      <c r="Q911" s="367"/>
      <c r="R911" s="367"/>
      <c r="S911" s="367"/>
      <c r="T911" s="367"/>
      <c r="U911" s="367"/>
      <c r="V911" s="367"/>
      <c r="W911" s="367"/>
      <c r="X911" s="367"/>
      <c r="Y911" s="367"/>
      <c r="Z911" s="367"/>
      <c r="AA911" s="367"/>
      <c r="AB911" s="367"/>
      <c r="AC911" s="367"/>
      <c r="AD911" s="367"/>
      <c r="AE911" s="367"/>
      <c r="AF911" s="367"/>
    </row>
    <row r="912" ht="15.75" customHeight="1">
      <c r="A912" s="359"/>
      <c r="B912" s="361"/>
      <c r="C912" s="361"/>
      <c r="D912" s="361"/>
      <c r="E912" s="367"/>
      <c r="F912" s="367"/>
      <c r="G912" s="367"/>
      <c r="H912" s="367"/>
      <c r="I912" s="367"/>
      <c r="J912" s="367"/>
      <c r="K912" s="367"/>
      <c r="L912" s="367"/>
      <c r="M912" s="367"/>
      <c r="N912" s="367"/>
      <c r="O912" s="367"/>
      <c r="P912" s="367"/>
      <c r="Q912" s="367"/>
      <c r="R912" s="367"/>
      <c r="S912" s="367"/>
      <c r="T912" s="367"/>
      <c r="U912" s="367"/>
      <c r="V912" s="367"/>
      <c r="W912" s="367"/>
      <c r="X912" s="367"/>
      <c r="Y912" s="367"/>
      <c r="Z912" s="367"/>
      <c r="AA912" s="367"/>
      <c r="AB912" s="367"/>
      <c r="AC912" s="367"/>
      <c r="AD912" s="367"/>
      <c r="AE912" s="367"/>
      <c r="AF912" s="367"/>
    </row>
    <row r="913" ht="15.75" customHeight="1">
      <c r="A913" s="359"/>
      <c r="B913" s="361"/>
      <c r="C913" s="361"/>
      <c r="D913" s="361"/>
      <c r="E913" s="367"/>
      <c r="F913" s="367"/>
      <c r="G913" s="367"/>
      <c r="H913" s="367"/>
      <c r="I913" s="367"/>
      <c r="J913" s="367"/>
      <c r="K913" s="367"/>
      <c r="L913" s="367"/>
      <c r="M913" s="367"/>
      <c r="N913" s="367"/>
      <c r="O913" s="367"/>
      <c r="P913" s="367"/>
      <c r="Q913" s="367"/>
      <c r="R913" s="367"/>
      <c r="S913" s="367"/>
      <c r="T913" s="367"/>
      <c r="U913" s="367"/>
      <c r="V913" s="367"/>
      <c r="W913" s="367"/>
      <c r="X913" s="367"/>
      <c r="Y913" s="367"/>
      <c r="Z913" s="367"/>
      <c r="AA913" s="367"/>
      <c r="AB913" s="367"/>
      <c r="AC913" s="367"/>
      <c r="AD913" s="367"/>
      <c r="AE913" s="367"/>
      <c r="AF913" s="367"/>
    </row>
    <row r="914" ht="15.75" customHeight="1">
      <c r="A914" s="359"/>
      <c r="B914" s="361"/>
      <c r="C914" s="361"/>
      <c r="D914" s="361"/>
      <c r="E914" s="367"/>
      <c r="F914" s="367"/>
      <c r="G914" s="367"/>
      <c r="H914" s="367"/>
      <c r="I914" s="367"/>
      <c r="J914" s="367"/>
      <c r="K914" s="367"/>
      <c r="L914" s="367"/>
      <c r="M914" s="367"/>
      <c r="N914" s="367"/>
      <c r="O914" s="367"/>
      <c r="P914" s="367"/>
      <c r="Q914" s="367"/>
      <c r="R914" s="367"/>
      <c r="S914" s="367"/>
      <c r="T914" s="367"/>
      <c r="U914" s="367"/>
      <c r="V914" s="367"/>
      <c r="W914" s="367"/>
      <c r="X914" s="367"/>
      <c r="Y914" s="367"/>
      <c r="Z914" s="367"/>
      <c r="AA914" s="367"/>
      <c r="AB914" s="367"/>
      <c r="AC914" s="367"/>
      <c r="AD914" s="367"/>
      <c r="AE914" s="367"/>
      <c r="AF914" s="367"/>
    </row>
    <row r="915" ht="15.75" customHeight="1">
      <c r="A915" s="359"/>
      <c r="B915" s="361"/>
      <c r="C915" s="361"/>
      <c r="D915" s="361"/>
      <c r="E915" s="367"/>
      <c r="F915" s="367"/>
      <c r="G915" s="367"/>
      <c r="H915" s="367"/>
      <c r="I915" s="367"/>
      <c r="J915" s="367"/>
      <c r="K915" s="367"/>
      <c r="L915" s="367"/>
      <c r="M915" s="367"/>
      <c r="N915" s="367"/>
      <c r="O915" s="367"/>
      <c r="P915" s="367"/>
      <c r="Q915" s="367"/>
      <c r="R915" s="367"/>
      <c r="S915" s="367"/>
      <c r="T915" s="367"/>
      <c r="U915" s="367"/>
      <c r="V915" s="367"/>
      <c r="W915" s="367"/>
      <c r="X915" s="367"/>
      <c r="Y915" s="367"/>
      <c r="Z915" s="367"/>
      <c r="AA915" s="367"/>
      <c r="AB915" s="367"/>
      <c r="AC915" s="367"/>
      <c r="AD915" s="367"/>
      <c r="AE915" s="367"/>
      <c r="AF915" s="367"/>
    </row>
    <row r="916" ht="15.75" customHeight="1">
      <c r="A916" s="359"/>
      <c r="B916" s="361"/>
      <c r="C916" s="361"/>
      <c r="D916" s="361"/>
      <c r="E916" s="367"/>
      <c r="F916" s="367"/>
      <c r="G916" s="367"/>
      <c r="H916" s="367"/>
      <c r="I916" s="367"/>
      <c r="J916" s="367"/>
      <c r="K916" s="367"/>
      <c r="L916" s="367"/>
      <c r="M916" s="367"/>
      <c r="N916" s="367"/>
      <c r="O916" s="367"/>
      <c r="P916" s="367"/>
      <c r="Q916" s="367"/>
      <c r="R916" s="367"/>
      <c r="S916" s="367"/>
      <c r="T916" s="367"/>
      <c r="U916" s="367"/>
      <c r="V916" s="367"/>
      <c r="W916" s="367"/>
      <c r="X916" s="367"/>
      <c r="Y916" s="367"/>
      <c r="Z916" s="367"/>
      <c r="AA916" s="367"/>
      <c r="AB916" s="367"/>
      <c r="AC916" s="367"/>
      <c r="AD916" s="367"/>
      <c r="AE916" s="367"/>
      <c r="AF916" s="367"/>
    </row>
    <row r="917" ht="15.75" customHeight="1">
      <c r="A917" s="359"/>
      <c r="B917" s="361"/>
      <c r="C917" s="361"/>
      <c r="D917" s="361"/>
      <c r="E917" s="367"/>
      <c r="F917" s="367"/>
      <c r="G917" s="367"/>
      <c r="H917" s="367"/>
      <c r="I917" s="367"/>
      <c r="J917" s="367"/>
      <c r="K917" s="367"/>
      <c r="L917" s="367"/>
      <c r="M917" s="367"/>
      <c r="N917" s="367"/>
      <c r="O917" s="367"/>
      <c r="P917" s="367"/>
      <c r="Q917" s="367"/>
      <c r="R917" s="367"/>
      <c r="S917" s="367"/>
      <c r="T917" s="367"/>
      <c r="U917" s="367"/>
      <c r="V917" s="367"/>
      <c r="W917" s="367"/>
      <c r="X917" s="367"/>
      <c r="Y917" s="367"/>
      <c r="Z917" s="367"/>
      <c r="AA917" s="367"/>
      <c r="AB917" s="367"/>
      <c r="AC917" s="367"/>
      <c r="AD917" s="367"/>
      <c r="AE917" s="367"/>
      <c r="AF917" s="367"/>
    </row>
    <row r="918" ht="15.75" customHeight="1">
      <c r="A918" s="359"/>
      <c r="B918" s="361"/>
      <c r="C918" s="361"/>
      <c r="D918" s="361"/>
      <c r="E918" s="367"/>
      <c r="F918" s="367"/>
      <c r="G918" s="367"/>
      <c r="H918" s="367"/>
      <c r="I918" s="367"/>
      <c r="J918" s="367"/>
      <c r="K918" s="367"/>
      <c r="L918" s="367"/>
      <c r="M918" s="367"/>
      <c r="N918" s="367"/>
      <c r="O918" s="367"/>
      <c r="P918" s="367"/>
      <c r="Q918" s="367"/>
      <c r="R918" s="367"/>
      <c r="S918" s="367"/>
      <c r="T918" s="367"/>
      <c r="U918" s="367"/>
      <c r="V918" s="367"/>
      <c r="W918" s="367"/>
      <c r="X918" s="367"/>
      <c r="Y918" s="367"/>
      <c r="Z918" s="367"/>
      <c r="AA918" s="367"/>
      <c r="AB918" s="367"/>
      <c r="AC918" s="367"/>
      <c r="AD918" s="367"/>
      <c r="AE918" s="367"/>
      <c r="AF918" s="367"/>
    </row>
    <row r="919" ht="15.75" customHeight="1">
      <c r="A919" s="359"/>
      <c r="B919" s="361"/>
      <c r="C919" s="361"/>
      <c r="D919" s="361"/>
      <c r="E919" s="367"/>
      <c r="F919" s="367"/>
      <c r="G919" s="367"/>
      <c r="H919" s="367"/>
      <c r="I919" s="367"/>
      <c r="J919" s="367"/>
      <c r="K919" s="367"/>
      <c r="L919" s="367"/>
      <c r="M919" s="367"/>
      <c r="N919" s="367"/>
      <c r="O919" s="367"/>
      <c r="P919" s="367"/>
      <c r="Q919" s="367"/>
      <c r="R919" s="367"/>
      <c r="S919" s="367"/>
      <c r="T919" s="367"/>
      <c r="U919" s="367"/>
      <c r="V919" s="367"/>
      <c r="W919" s="367"/>
      <c r="X919" s="367"/>
      <c r="Y919" s="367"/>
      <c r="Z919" s="367"/>
      <c r="AA919" s="367"/>
      <c r="AB919" s="367"/>
      <c r="AC919" s="367"/>
      <c r="AD919" s="367"/>
      <c r="AE919" s="367"/>
      <c r="AF919" s="367"/>
    </row>
    <row r="920" ht="15.75" customHeight="1">
      <c r="A920" s="359"/>
      <c r="B920" s="361"/>
      <c r="C920" s="361"/>
      <c r="D920" s="361"/>
      <c r="E920" s="367"/>
      <c r="F920" s="367"/>
      <c r="G920" s="367"/>
      <c r="H920" s="367"/>
      <c r="I920" s="367"/>
      <c r="J920" s="367"/>
      <c r="K920" s="367"/>
      <c r="L920" s="367"/>
      <c r="M920" s="367"/>
      <c r="N920" s="367"/>
      <c r="O920" s="367"/>
      <c r="P920" s="367"/>
      <c r="Q920" s="367"/>
      <c r="R920" s="367"/>
      <c r="S920" s="367"/>
      <c r="T920" s="367"/>
      <c r="U920" s="367"/>
      <c r="V920" s="367"/>
      <c r="W920" s="367"/>
      <c r="X920" s="367"/>
      <c r="Y920" s="367"/>
      <c r="Z920" s="367"/>
      <c r="AA920" s="367"/>
      <c r="AB920" s="367"/>
      <c r="AC920" s="367"/>
      <c r="AD920" s="367"/>
      <c r="AE920" s="367"/>
      <c r="AF920" s="367"/>
    </row>
    <row r="921" ht="15.75" customHeight="1">
      <c r="A921" s="359"/>
      <c r="B921" s="361"/>
      <c r="C921" s="361"/>
      <c r="D921" s="361"/>
      <c r="E921" s="367"/>
      <c r="F921" s="367"/>
      <c r="G921" s="367"/>
      <c r="H921" s="367"/>
      <c r="I921" s="367"/>
      <c r="J921" s="367"/>
      <c r="K921" s="367"/>
      <c r="L921" s="367"/>
      <c r="M921" s="367"/>
      <c r="N921" s="367"/>
      <c r="O921" s="367"/>
      <c r="P921" s="367"/>
      <c r="Q921" s="367"/>
      <c r="R921" s="367"/>
      <c r="S921" s="367"/>
      <c r="T921" s="367"/>
      <c r="U921" s="367"/>
      <c r="V921" s="367"/>
      <c r="W921" s="367"/>
      <c r="X921" s="367"/>
      <c r="Y921" s="367"/>
      <c r="Z921" s="367"/>
      <c r="AA921" s="367"/>
      <c r="AB921" s="367"/>
      <c r="AC921" s="367"/>
      <c r="AD921" s="367"/>
      <c r="AE921" s="367"/>
      <c r="AF921" s="367"/>
    </row>
    <row r="922" ht="15.75" customHeight="1">
      <c r="A922" s="359"/>
      <c r="B922" s="361"/>
      <c r="C922" s="361"/>
      <c r="D922" s="361"/>
      <c r="E922" s="367"/>
      <c r="F922" s="367"/>
      <c r="G922" s="367"/>
      <c r="H922" s="367"/>
      <c r="I922" s="367"/>
      <c r="J922" s="367"/>
      <c r="K922" s="367"/>
      <c r="L922" s="367"/>
      <c r="M922" s="367"/>
      <c r="N922" s="367"/>
      <c r="O922" s="367"/>
      <c r="P922" s="367"/>
      <c r="Q922" s="367"/>
      <c r="R922" s="367"/>
      <c r="S922" s="367"/>
      <c r="T922" s="367"/>
      <c r="U922" s="367"/>
      <c r="V922" s="367"/>
      <c r="W922" s="367"/>
      <c r="X922" s="367"/>
      <c r="Y922" s="367"/>
      <c r="Z922" s="367"/>
      <c r="AA922" s="367"/>
      <c r="AB922" s="367"/>
      <c r="AC922" s="367"/>
      <c r="AD922" s="367"/>
      <c r="AE922" s="367"/>
      <c r="AF922" s="367"/>
    </row>
    <row r="923" ht="15.75" customHeight="1">
      <c r="A923" s="359"/>
      <c r="B923" s="361"/>
      <c r="C923" s="361"/>
      <c r="D923" s="361"/>
      <c r="E923" s="367"/>
      <c r="F923" s="367"/>
      <c r="G923" s="367"/>
      <c r="H923" s="367"/>
      <c r="I923" s="367"/>
      <c r="J923" s="367"/>
      <c r="K923" s="367"/>
      <c r="L923" s="367"/>
      <c r="M923" s="367"/>
      <c r="N923" s="367"/>
      <c r="O923" s="367"/>
      <c r="P923" s="367"/>
      <c r="Q923" s="367"/>
      <c r="R923" s="367"/>
      <c r="S923" s="367"/>
      <c r="T923" s="367"/>
      <c r="U923" s="367"/>
      <c r="V923" s="367"/>
      <c r="W923" s="367"/>
      <c r="X923" s="367"/>
      <c r="Y923" s="367"/>
      <c r="Z923" s="367"/>
      <c r="AA923" s="367"/>
      <c r="AB923" s="367"/>
      <c r="AC923" s="367"/>
      <c r="AD923" s="367"/>
      <c r="AE923" s="367"/>
      <c r="AF923" s="367"/>
    </row>
    <row r="924" ht="15.75" customHeight="1">
      <c r="A924" s="359"/>
      <c r="B924" s="361"/>
      <c r="C924" s="361"/>
      <c r="D924" s="361"/>
      <c r="E924" s="367"/>
      <c r="F924" s="367"/>
      <c r="G924" s="367"/>
      <c r="H924" s="367"/>
      <c r="I924" s="367"/>
      <c r="J924" s="367"/>
      <c r="K924" s="367"/>
      <c r="L924" s="367"/>
      <c r="M924" s="367"/>
      <c r="N924" s="367"/>
      <c r="O924" s="367"/>
      <c r="P924" s="367"/>
      <c r="Q924" s="367"/>
      <c r="R924" s="367"/>
      <c r="S924" s="367"/>
      <c r="T924" s="367"/>
      <c r="U924" s="367"/>
      <c r="V924" s="367"/>
      <c r="W924" s="367"/>
      <c r="X924" s="367"/>
      <c r="Y924" s="367"/>
      <c r="Z924" s="367"/>
      <c r="AA924" s="367"/>
      <c r="AB924" s="367"/>
      <c r="AC924" s="367"/>
      <c r="AD924" s="367"/>
      <c r="AE924" s="367"/>
      <c r="AF924" s="367"/>
    </row>
    <row r="925" ht="15.75" customHeight="1">
      <c r="A925" s="359"/>
      <c r="B925" s="361"/>
      <c r="C925" s="361"/>
      <c r="D925" s="361"/>
      <c r="E925" s="367"/>
      <c r="F925" s="367"/>
      <c r="G925" s="367"/>
      <c r="H925" s="367"/>
      <c r="I925" s="367"/>
      <c r="J925" s="367"/>
      <c r="K925" s="367"/>
      <c r="L925" s="367"/>
      <c r="M925" s="367"/>
      <c r="N925" s="367"/>
      <c r="O925" s="367"/>
      <c r="P925" s="367"/>
      <c r="Q925" s="367"/>
      <c r="R925" s="367"/>
      <c r="S925" s="367"/>
      <c r="T925" s="367"/>
      <c r="U925" s="367"/>
      <c r="V925" s="367"/>
      <c r="W925" s="367"/>
      <c r="X925" s="367"/>
      <c r="Y925" s="367"/>
      <c r="Z925" s="367"/>
      <c r="AA925" s="367"/>
      <c r="AB925" s="367"/>
      <c r="AC925" s="367"/>
      <c r="AD925" s="367"/>
      <c r="AE925" s="367"/>
      <c r="AF925" s="367"/>
    </row>
    <row r="926" ht="15.75" customHeight="1">
      <c r="A926" s="359"/>
      <c r="B926" s="361"/>
      <c r="C926" s="361"/>
      <c r="D926" s="361"/>
      <c r="E926" s="367"/>
      <c r="F926" s="367"/>
      <c r="G926" s="367"/>
      <c r="H926" s="367"/>
      <c r="I926" s="367"/>
      <c r="J926" s="367"/>
      <c r="K926" s="367"/>
      <c r="L926" s="367"/>
      <c r="M926" s="367"/>
      <c r="N926" s="367"/>
      <c r="O926" s="367"/>
      <c r="P926" s="367"/>
      <c r="Q926" s="367"/>
      <c r="R926" s="367"/>
      <c r="S926" s="367"/>
      <c r="T926" s="367"/>
      <c r="U926" s="367"/>
      <c r="V926" s="367"/>
      <c r="W926" s="367"/>
      <c r="X926" s="367"/>
      <c r="Y926" s="367"/>
      <c r="Z926" s="367"/>
      <c r="AA926" s="367"/>
      <c r="AB926" s="367"/>
      <c r="AC926" s="367"/>
      <c r="AD926" s="367"/>
      <c r="AE926" s="367"/>
      <c r="AF926" s="367"/>
    </row>
    <row r="927" ht="15.75" customHeight="1">
      <c r="A927" s="359"/>
      <c r="B927" s="361"/>
      <c r="C927" s="361"/>
      <c r="D927" s="361"/>
      <c r="E927" s="367"/>
      <c r="F927" s="367"/>
      <c r="G927" s="367"/>
      <c r="H927" s="367"/>
      <c r="I927" s="367"/>
      <c r="J927" s="367"/>
      <c r="K927" s="367"/>
      <c r="L927" s="367"/>
      <c r="M927" s="367"/>
      <c r="N927" s="367"/>
      <c r="O927" s="367"/>
      <c r="P927" s="367"/>
      <c r="Q927" s="367"/>
      <c r="R927" s="367"/>
      <c r="S927" s="367"/>
      <c r="T927" s="367"/>
      <c r="U927" s="367"/>
      <c r="V927" s="367"/>
      <c r="W927" s="367"/>
      <c r="X927" s="367"/>
      <c r="Y927" s="367"/>
      <c r="Z927" s="367"/>
      <c r="AA927" s="367"/>
      <c r="AB927" s="367"/>
      <c r="AC927" s="367"/>
      <c r="AD927" s="367"/>
      <c r="AE927" s="367"/>
      <c r="AF927" s="367"/>
    </row>
    <row r="928" ht="15.75" customHeight="1">
      <c r="A928" s="359"/>
      <c r="B928" s="361"/>
      <c r="C928" s="361"/>
      <c r="D928" s="361"/>
      <c r="E928" s="367"/>
      <c r="F928" s="367"/>
      <c r="G928" s="367"/>
      <c r="H928" s="367"/>
      <c r="I928" s="367"/>
      <c r="J928" s="367"/>
      <c r="K928" s="367"/>
      <c r="L928" s="367"/>
      <c r="M928" s="367"/>
      <c r="N928" s="367"/>
      <c r="O928" s="367"/>
      <c r="P928" s="367"/>
      <c r="Q928" s="367"/>
      <c r="R928" s="367"/>
      <c r="S928" s="367"/>
      <c r="T928" s="367"/>
      <c r="U928" s="367"/>
      <c r="V928" s="367"/>
      <c r="W928" s="367"/>
      <c r="X928" s="367"/>
      <c r="Y928" s="367"/>
      <c r="Z928" s="367"/>
      <c r="AA928" s="367"/>
      <c r="AB928" s="367"/>
      <c r="AC928" s="367"/>
      <c r="AD928" s="367"/>
      <c r="AE928" s="367"/>
      <c r="AF928" s="367"/>
    </row>
    <row r="929" ht="15.75" customHeight="1">
      <c r="A929" s="359"/>
      <c r="B929" s="361"/>
      <c r="C929" s="361"/>
      <c r="D929" s="361"/>
      <c r="E929" s="367"/>
      <c r="F929" s="367"/>
      <c r="G929" s="367"/>
      <c r="H929" s="367"/>
      <c r="I929" s="367"/>
      <c r="J929" s="367"/>
      <c r="K929" s="367"/>
      <c r="L929" s="367"/>
      <c r="M929" s="367"/>
      <c r="N929" s="367"/>
      <c r="O929" s="367"/>
      <c r="P929" s="367"/>
      <c r="Q929" s="367"/>
      <c r="R929" s="367"/>
      <c r="S929" s="367"/>
      <c r="T929" s="367"/>
      <c r="U929" s="367"/>
      <c r="V929" s="367"/>
      <c r="W929" s="367"/>
      <c r="X929" s="367"/>
      <c r="Y929" s="367"/>
      <c r="Z929" s="367"/>
      <c r="AA929" s="367"/>
      <c r="AB929" s="367"/>
      <c r="AC929" s="367"/>
      <c r="AD929" s="367"/>
      <c r="AE929" s="367"/>
      <c r="AF929" s="367"/>
    </row>
    <row r="930" ht="15.75" customHeight="1">
      <c r="A930" s="359"/>
      <c r="B930" s="361"/>
      <c r="C930" s="361"/>
      <c r="D930" s="361"/>
      <c r="E930" s="367"/>
      <c r="F930" s="367"/>
      <c r="G930" s="367"/>
      <c r="H930" s="367"/>
      <c r="I930" s="367"/>
      <c r="J930" s="367"/>
      <c r="K930" s="367"/>
      <c r="L930" s="367"/>
      <c r="M930" s="367"/>
      <c r="N930" s="367"/>
      <c r="O930" s="367"/>
      <c r="P930" s="367"/>
      <c r="Q930" s="367"/>
      <c r="R930" s="367"/>
      <c r="S930" s="367"/>
      <c r="T930" s="367"/>
      <c r="U930" s="367"/>
      <c r="V930" s="367"/>
      <c r="W930" s="367"/>
      <c r="X930" s="367"/>
      <c r="Y930" s="367"/>
      <c r="Z930" s="367"/>
      <c r="AA930" s="367"/>
      <c r="AB930" s="367"/>
      <c r="AC930" s="367"/>
      <c r="AD930" s="367"/>
      <c r="AE930" s="367"/>
      <c r="AF930" s="367"/>
    </row>
    <row r="931" ht="15.75" customHeight="1">
      <c r="A931" s="359"/>
      <c r="B931" s="361"/>
      <c r="C931" s="361"/>
      <c r="D931" s="361"/>
      <c r="E931" s="367"/>
      <c r="F931" s="367"/>
      <c r="G931" s="367"/>
      <c r="H931" s="367"/>
      <c r="I931" s="367"/>
      <c r="J931" s="367"/>
      <c r="K931" s="367"/>
      <c r="L931" s="367"/>
      <c r="M931" s="367"/>
      <c r="N931" s="367"/>
      <c r="O931" s="367"/>
      <c r="P931" s="367"/>
      <c r="Q931" s="367"/>
      <c r="R931" s="367"/>
      <c r="S931" s="367"/>
      <c r="T931" s="367"/>
      <c r="U931" s="367"/>
      <c r="V931" s="367"/>
      <c r="W931" s="367"/>
      <c r="X931" s="367"/>
      <c r="Y931" s="367"/>
      <c r="Z931" s="367"/>
      <c r="AA931" s="367"/>
      <c r="AB931" s="367"/>
      <c r="AC931" s="367"/>
      <c r="AD931" s="367"/>
      <c r="AE931" s="367"/>
      <c r="AF931" s="367"/>
    </row>
    <row r="932" ht="15.75" customHeight="1">
      <c r="A932" s="359"/>
      <c r="B932" s="361"/>
      <c r="C932" s="361"/>
      <c r="D932" s="361"/>
      <c r="E932" s="367"/>
      <c r="F932" s="367"/>
      <c r="G932" s="367"/>
      <c r="H932" s="367"/>
      <c r="I932" s="367"/>
      <c r="J932" s="367"/>
      <c r="K932" s="367"/>
      <c r="L932" s="367"/>
      <c r="M932" s="367"/>
      <c r="N932" s="367"/>
      <c r="O932" s="367"/>
      <c r="P932" s="367"/>
      <c r="Q932" s="367"/>
      <c r="R932" s="367"/>
      <c r="S932" s="367"/>
      <c r="T932" s="367"/>
      <c r="U932" s="367"/>
      <c r="V932" s="367"/>
      <c r="W932" s="367"/>
      <c r="X932" s="367"/>
      <c r="Y932" s="367"/>
      <c r="Z932" s="367"/>
      <c r="AA932" s="367"/>
      <c r="AB932" s="367"/>
      <c r="AC932" s="367"/>
      <c r="AD932" s="367"/>
      <c r="AE932" s="367"/>
      <c r="AF932" s="367"/>
    </row>
    <row r="933" ht="15.75" customHeight="1">
      <c r="A933" s="359"/>
      <c r="B933" s="361"/>
      <c r="C933" s="361"/>
      <c r="D933" s="361"/>
      <c r="E933" s="367"/>
      <c r="F933" s="367"/>
      <c r="G933" s="367"/>
      <c r="H933" s="367"/>
      <c r="I933" s="367"/>
      <c r="J933" s="367"/>
      <c r="K933" s="367"/>
      <c r="L933" s="367"/>
      <c r="M933" s="367"/>
      <c r="N933" s="367"/>
      <c r="O933" s="367"/>
      <c r="P933" s="367"/>
      <c r="Q933" s="367"/>
      <c r="R933" s="367"/>
      <c r="S933" s="367"/>
      <c r="T933" s="367"/>
      <c r="U933" s="367"/>
      <c r="V933" s="367"/>
      <c r="W933" s="367"/>
      <c r="X933" s="367"/>
      <c r="Y933" s="367"/>
      <c r="Z933" s="367"/>
      <c r="AA933" s="367"/>
      <c r="AB933" s="367"/>
      <c r="AC933" s="367"/>
      <c r="AD933" s="367"/>
      <c r="AE933" s="367"/>
      <c r="AF933" s="367"/>
    </row>
    <row r="934" ht="15.75" customHeight="1">
      <c r="A934" s="359"/>
      <c r="B934" s="361"/>
      <c r="C934" s="361"/>
      <c r="D934" s="361"/>
      <c r="E934" s="367"/>
      <c r="F934" s="367"/>
      <c r="G934" s="367"/>
      <c r="H934" s="367"/>
      <c r="I934" s="367"/>
      <c r="J934" s="367"/>
      <c r="K934" s="367"/>
      <c r="L934" s="367"/>
      <c r="M934" s="367"/>
      <c r="N934" s="367"/>
      <c r="O934" s="367"/>
      <c r="P934" s="367"/>
      <c r="Q934" s="367"/>
      <c r="R934" s="367"/>
      <c r="S934" s="367"/>
      <c r="T934" s="367"/>
      <c r="U934" s="367"/>
      <c r="V934" s="367"/>
      <c r="W934" s="367"/>
      <c r="X934" s="367"/>
      <c r="Y934" s="367"/>
      <c r="Z934" s="367"/>
      <c r="AA934" s="367"/>
      <c r="AB934" s="367"/>
      <c r="AC934" s="367"/>
      <c r="AD934" s="367"/>
      <c r="AE934" s="367"/>
      <c r="AF934" s="367"/>
    </row>
    <row r="935" ht="15.75" customHeight="1">
      <c r="A935" s="359"/>
      <c r="B935" s="361"/>
      <c r="C935" s="361"/>
      <c r="D935" s="361"/>
      <c r="E935" s="367"/>
      <c r="F935" s="367"/>
      <c r="G935" s="367"/>
      <c r="H935" s="367"/>
      <c r="I935" s="367"/>
      <c r="J935" s="367"/>
      <c r="K935" s="367"/>
      <c r="L935" s="367"/>
      <c r="M935" s="367"/>
      <c r="N935" s="367"/>
      <c r="O935" s="367"/>
      <c r="P935" s="367"/>
      <c r="Q935" s="367"/>
      <c r="R935" s="367"/>
      <c r="S935" s="367"/>
      <c r="T935" s="367"/>
      <c r="U935" s="367"/>
      <c r="V935" s="367"/>
      <c r="W935" s="367"/>
      <c r="X935" s="367"/>
      <c r="Y935" s="367"/>
      <c r="Z935" s="367"/>
      <c r="AA935" s="367"/>
      <c r="AB935" s="367"/>
      <c r="AC935" s="367"/>
      <c r="AD935" s="367"/>
      <c r="AE935" s="367"/>
      <c r="AF935" s="367"/>
    </row>
    <row r="936" ht="15.75" customHeight="1">
      <c r="A936" s="359"/>
      <c r="B936" s="361"/>
      <c r="C936" s="361"/>
      <c r="D936" s="361"/>
      <c r="E936" s="367"/>
      <c r="F936" s="367"/>
      <c r="G936" s="367"/>
      <c r="H936" s="367"/>
      <c r="I936" s="367"/>
      <c r="J936" s="367"/>
      <c r="K936" s="367"/>
      <c r="L936" s="367"/>
      <c r="M936" s="367"/>
      <c r="N936" s="367"/>
      <c r="O936" s="367"/>
      <c r="P936" s="367"/>
      <c r="Q936" s="367"/>
      <c r="R936" s="367"/>
      <c r="S936" s="367"/>
      <c r="T936" s="367"/>
      <c r="U936" s="367"/>
      <c r="V936" s="367"/>
      <c r="W936" s="367"/>
      <c r="X936" s="367"/>
      <c r="Y936" s="367"/>
      <c r="Z936" s="367"/>
      <c r="AA936" s="367"/>
      <c r="AB936" s="367"/>
      <c r="AC936" s="367"/>
      <c r="AD936" s="367"/>
      <c r="AE936" s="367"/>
      <c r="AF936" s="367"/>
    </row>
    <row r="937" ht="15.75" customHeight="1">
      <c r="A937" s="359"/>
      <c r="B937" s="361"/>
      <c r="C937" s="361"/>
      <c r="D937" s="361"/>
      <c r="E937" s="367"/>
      <c r="F937" s="367"/>
      <c r="G937" s="367"/>
      <c r="H937" s="367"/>
      <c r="I937" s="367"/>
      <c r="J937" s="367"/>
      <c r="K937" s="367"/>
      <c r="L937" s="367"/>
      <c r="M937" s="367"/>
      <c r="N937" s="367"/>
      <c r="O937" s="367"/>
      <c r="P937" s="367"/>
      <c r="Q937" s="367"/>
      <c r="R937" s="367"/>
      <c r="S937" s="367"/>
      <c r="T937" s="367"/>
      <c r="U937" s="367"/>
      <c r="V937" s="367"/>
      <c r="W937" s="367"/>
      <c r="X937" s="367"/>
      <c r="Y937" s="367"/>
      <c r="Z937" s="367"/>
      <c r="AA937" s="367"/>
      <c r="AB937" s="367"/>
      <c r="AC937" s="367"/>
      <c r="AD937" s="367"/>
      <c r="AE937" s="367"/>
      <c r="AF937" s="367"/>
    </row>
    <row r="938" ht="15.75" customHeight="1">
      <c r="A938" s="359"/>
      <c r="B938" s="361"/>
      <c r="C938" s="361"/>
      <c r="D938" s="361"/>
      <c r="E938" s="367"/>
      <c r="F938" s="367"/>
      <c r="G938" s="367"/>
      <c r="H938" s="367"/>
      <c r="I938" s="367"/>
      <c r="J938" s="367"/>
      <c r="K938" s="367"/>
      <c r="L938" s="367"/>
      <c r="M938" s="367"/>
      <c r="N938" s="367"/>
      <c r="O938" s="367"/>
      <c r="P938" s="367"/>
      <c r="Q938" s="367"/>
      <c r="R938" s="367"/>
      <c r="S938" s="367"/>
      <c r="T938" s="367"/>
      <c r="U938" s="367"/>
      <c r="V938" s="367"/>
      <c r="W938" s="367"/>
      <c r="X938" s="367"/>
      <c r="Y938" s="367"/>
      <c r="Z938" s="367"/>
      <c r="AA938" s="367"/>
      <c r="AB938" s="367"/>
      <c r="AC938" s="367"/>
      <c r="AD938" s="367"/>
      <c r="AE938" s="367"/>
      <c r="AF938" s="367"/>
    </row>
    <row r="939" ht="15.75" customHeight="1">
      <c r="A939" s="359"/>
      <c r="B939" s="361"/>
      <c r="C939" s="361"/>
      <c r="D939" s="361"/>
      <c r="E939" s="367"/>
      <c r="F939" s="367"/>
      <c r="G939" s="367"/>
      <c r="H939" s="367"/>
      <c r="I939" s="367"/>
      <c r="J939" s="367"/>
      <c r="K939" s="367"/>
      <c r="L939" s="367"/>
      <c r="M939" s="367"/>
      <c r="N939" s="367"/>
      <c r="O939" s="367"/>
      <c r="P939" s="367"/>
      <c r="Q939" s="367"/>
      <c r="R939" s="367"/>
      <c r="S939" s="367"/>
      <c r="T939" s="367"/>
      <c r="U939" s="367"/>
      <c r="V939" s="367"/>
      <c r="W939" s="367"/>
      <c r="X939" s="367"/>
      <c r="Y939" s="367"/>
      <c r="Z939" s="367"/>
      <c r="AA939" s="367"/>
      <c r="AB939" s="367"/>
      <c r="AC939" s="367"/>
      <c r="AD939" s="367"/>
      <c r="AE939" s="367"/>
      <c r="AF939" s="367"/>
    </row>
    <row r="940" ht="15.75" customHeight="1">
      <c r="A940" s="359"/>
      <c r="B940" s="361"/>
      <c r="C940" s="361"/>
      <c r="D940" s="361"/>
      <c r="E940" s="367"/>
      <c r="F940" s="367"/>
      <c r="G940" s="367"/>
      <c r="H940" s="367"/>
      <c r="I940" s="367"/>
      <c r="J940" s="367"/>
      <c r="K940" s="367"/>
      <c r="L940" s="367"/>
      <c r="M940" s="367"/>
      <c r="N940" s="367"/>
      <c r="O940" s="367"/>
      <c r="P940" s="367"/>
      <c r="Q940" s="367"/>
      <c r="R940" s="367"/>
      <c r="S940" s="367"/>
      <c r="T940" s="367"/>
      <c r="U940" s="367"/>
      <c r="V940" s="367"/>
      <c r="W940" s="367"/>
      <c r="X940" s="367"/>
      <c r="Y940" s="367"/>
      <c r="Z940" s="367"/>
      <c r="AA940" s="367"/>
      <c r="AB940" s="367"/>
      <c r="AC940" s="367"/>
      <c r="AD940" s="367"/>
      <c r="AE940" s="367"/>
      <c r="AF940" s="367"/>
    </row>
    <row r="941" ht="15.75" customHeight="1">
      <c r="A941" s="359"/>
      <c r="B941" s="361"/>
      <c r="C941" s="361"/>
      <c r="D941" s="361"/>
      <c r="E941" s="367"/>
      <c r="F941" s="367"/>
      <c r="G941" s="367"/>
      <c r="H941" s="367"/>
      <c r="I941" s="367"/>
      <c r="J941" s="367"/>
      <c r="K941" s="367"/>
      <c r="L941" s="367"/>
      <c r="M941" s="367"/>
      <c r="N941" s="367"/>
      <c r="O941" s="367"/>
      <c r="P941" s="367"/>
      <c r="Q941" s="367"/>
      <c r="R941" s="367"/>
      <c r="S941" s="367"/>
      <c r="T941" s="367"/>
      <c r="U941" s="367"/>
      <c r="V941" s="367"/>
      <c r="W941" s="367"/>
      <c r="X941" s="367"/>
      <c r="Y941" s="367"/>
      <c r="Z941" s="367"/>
      <c r="AA941" s="367"/>
      <c r="AB941" s="367"/>
      <c r="AC941" s="367"/>
      <c r="AD941" s="367"/>
      <c r="AE941" s="367"/>
      <c r="AF941" s="367"/>
    </row>
    <row r="942" ht="15.75" customHeight="1">
      <c r="A942" s="359"/>
      <c r="B942" s="361"/>
      <c r="C942" s="361"/>
      <c r="D942" s="361"/>
      <c r="E942" s="367"/>
      <c r="F942" s="367"/>
      <c r="G942" s="367"/>
      <c r="H942" s="367"/>
      <c r="I942" s="367"/>
      <c r="J942" s="367"/>
      <c r="K942" s="367"/>
      <c r="L942" s="367"/>
      <c r="M942" s="367"/>
      <c r="N942" s="367"/>
      <c r="O942" s="367"/>
      <c r="P942" s="367"/>
      <c r="Q942" s="367"/>
      <c r="R942" s="367"/>
      <c r="S942" s="367"/>
      <c r="T942" s="367"/>
      <c r="U942" s="367"/>
      <c r="V942" s="367"/>
      <c r="W942" s="367"/>
      <c r="X942" s="367"/>
      <c r="Y942" s="367"/>
      <c r="Z942" s="367"/>
      <c r="AA942" s="367"/>
      <c r="AB942" s="367"/>
      <c r="AC942" s="367"/>
      <c r="AD942" s="367"/>
      <c r="AE942" s="367"/>
      <c r="AF942" s="367"/>
    </row>
    <row r="943" ht="15.75" customHeight="1">
      <c r="A943" s="359"/>
      <c r="B943" s="361"/>
      <c r="C943" s="361"/>
      <c r="D943" s="361"/>
      <c r="E943" s="367"/>
      <c r="F943" s="367"/>
      <c r="G943" s="367"/>
      <c r="H943" s="367"/>
      <c r="I943" s="367"/>
      <c r="J943" s="367"/>
      <c r="K943" s="367"/>
      <c r="L943" s="367"/>
      <c r="M943" s="367"/>
      <c r="N943" s="367"/>
      <c r="O943" s="367"/>
      <c r="P943" s="367"/>
      <c r="Q943" s="367"/>
      <c r="R943" s="367"/>
      <c r="S943" s="367"/>
      <c r="T943" s="367"/>
      <c r="U943" s="367"/>
      <c r="V943" s="367"/>
      <c r="W943" s="367"/>
      <c r="X943" s="367"/>
      <c r="Y943" s="367"/>
      <c r="Z943" s="367"/>
      <c r="AA943" s="367"/>
      <c r="AB943" s="367"/>
      <c r="AC943" s="367"/>
      <c r="AD943" s="367"/>
      <c r="AE943" s="367"/>
      <c r="AF943" s="367"/>
    </row>
    <row r="944" ht="15.75" customHeight="1">
      <c r="A944" s="359"/>
      <c r="B944" s="361"/>
      <c r="C944" s="361"/>
      <c r="D944" s="361"/>
      <c r="E944" s="367"/>
      <c r="F944" s="367"/>
      <c r="G944" s="367"/>
      <c r="H944" s="367"/>
      <c r="I944" s="367"/>
      <c r="J944" s="367"/>
      <c r="K944" s="367"/>
      <c r="L944" s="367"/>
      <c r="M944" s="367"/>
      <c r="N944" s="367"/>
      <c r="O944" s="367"/>
      <c r="P944" s="367"/>
      <c r="Q944" s="367"/>
      <c r="R944" s="367"/>
      <c r="S944" s="367"/>
      <c r="T944" s="367"/>
      <c r="U944" s="367"/>
      <c r="V944" s="367"/>
      <c r="W944" s="367"/>
      <c r="X944" s="367"/>
      <c r="Y944" s="367"/>
      <c r="Z944" s="367"/>
      <c r="AA944" s="367"/>
      <c r="AB944" s="367"/>
      <c r="AC944" s="367"/>
      <c r="AD944" s="367"/>
      <c r="AE944" s="367"/>
      <c r="AF944" s="367"/>
    </row>
    <row r="945" ht="15.75" customHeight="1">
      <c r="A945" s="359"/>
      <c r="B945" s="361"/>
      <c r="C945" s="361"/>
      <c r="D945" s="361"/>
      <c r="E945" s="367"/>
      <c r="F945" s="367"/>
      <c r="G945" s="367"/>
      <c r="H945" s="367"/>
      <c r="I945" s="367"/>
      <c r="J945" s="367"/>
      <c r="K945" s="367"/>
      <c r="L945" s="367"/>
      <c r="M945" s="367"/>
      <c r="N945" s="367"/>
      <c r="O945" s="367"/>
      <c r="P945" s="367"/>
      <c r="Q945" s="367"/>
      <c r="R945" s="367"/>
      <c r="S945" s="367"/>
      <c r="T945" s="367"/>
      <c r="U945" s="367"/>
      <c r="V945" s="367"/>
      <c r="W945" s="367"/>
      <c r="X945" s="367"/>
      <c r="Y945" s="367"/>
      <c r="Z945" s="367"/>
      <c r="AA945" s="367"/>
      <c r="AB945" s="367"/>
      <c r="AC945" s="367"/>
      <c r="AD945" s="367"/>
      <c r="AE945" s="367"/>
      <c r="AF945" s="367"/>
    </row>
    <row r="946" ht="15.75" customHeight="1">
      <c r="A946" s="359"/>
      <c r="B946" s="361"/>
      <c r="C946" s="361"/>
      <c r="D946" s="361"/>
      <c r="E946" s="367"/>
      <c r="F946" s="367"/>
      <c r="G946" s="367"/>
      <c r="H946" s="367"/>
      <c r="I946" s="367"/>
      <c r="J946" s="367"/>
      <c r="K946" s="367"/>
      <c r="L946" s="367"/>
      <c r="M946" s="367"/>
      <c r="N946" s="367"/>
      <c r="O946" s="367"/>
      <c r="P946" s="367"/>
      <c r="Q946" s="367"/>
      <c r="R946" s="367"/>
      <c r="S946" s="367"/>
      <c r="T946" s="367"/>
      <c r="U946" s="367"/>
      <c r="V946" s="367"/>
      <c r="W946" s="367"/>
      <c r="X946" s="367"/>
      <c r="Y946" s="367"/>
      <c r="Z946" s="367"/>
      <c r="AA946" s="367"/>
      <c r="AB946" s="367"/>
      <c r="AC946" s="367"/>
      <c r="AD946" s="367"/>
      <c r="AE946" s="367"/>
      <c r="AF946" s="367"/>
    </row>
    <row r="947" ht="15.75" customHeight="1">
      <c r="A947" s="359"/>
      <c r="B947" s="361"/>
      <c r="C947" s="361"/>
      <c r="D947" s="361"/>
      <c r="E947" s="367"/>
      <c r="F947" s="367"/>
      <c r="G947" s="367"/>
      <c r="H947" s="367"/>
      <c r="I947" s="367"/>
      <c r="J947" s="367"/>
      <c r="K947" s="367"/>
      <c r="L947" s="367"/>
      <c r="M947" s="367"/>
      <c r="N947" s="367"/>
      <c r="O947" s="367"/>
      <c r="P947" s="367"/>
      <c r="Q947" s="367"/>
      <c r="R947" s="367"/>
      <c r="S947" s="367"/>
      <c r="T947" s="367"/>
      <c r="U947" s="367"/>
      <c r="V947" s="367"/>
      <c r="W947" s="367"/>
      <c r="X947" s="367"/>
      <c r="Y947" s="367"/>
      <c r="Z947" s="367"/>
      <c r="AA947" s="367"/>
      <c r="AB947" s="367"/>
      <c r="AC947" s="367"/>
      <c r="AD947" s="367"/>
      <c r="AE947" s="367"/>
      <c r="AF947" s="367"/>
    </row>
    <row r="948" ht="15.75" customHeight="1">
      <c r="A948" s="359"/>
      <c r="B948" s="361"/>
      <c r="C948" s="361"/>
      <c r="D948" s="361"/>
      <c r="E948" s="367"/>
      <c r="F948" s="367"/>
      <c r="G948" s="367"/>
      <c r="H948" s="367"/>
      <c r="I948" s="367"/>
      <c r="J948" s="367"/>
      <c r="K948" s="367"/>
      <c r="L948" s="367"/>
      <c r="M948" s="367"/>
      <c r="N948" s="367"/>
      <c r="O948" s="367"/>
      <c r="P948" s="367"/>
      <c r="Q948" s="367"/>
      <c r="R948" s="367"/>
      <c r="S948" s="367"/>
      <c r="T948" s="367"/>
      <c r="U948" s="367"/>
      <c r="V948" s="367"/>
      <c r="W948" s="367"/>
      <c r="X948" s="367"/>
      <c r="Y948" s="367"/>
      <c r="Z948" s="367"/>
      <c r="AA948" s="367"/>
      <c r="AB948" s="367"/>
      <c r="AC948" s="367"/>
      <c r="AD948" s="367"/>
      <c r="AE948" s="367"/>
      <c r="AF948" s="367"/>
    </row>
    <row r="949" ht="15.75" customHeight="1">
      <c r="A949" s="359"/>
      <c r="B949" s="361"/>
      <c r="C949" s="361"/>
      <c r="D949" s="361"/>
      <c r="E949" s="367"/>
      <c r="F949" s="367"/>
      <c r="G949" s="367"/>
      <c r="H949" s="367"/>
      <c r="I949" s="367"/>
      <c r="J949" s="367"/>
      <c r="K949" s="367"/>
      <c r="L949" s="367"/>
      <c r="M949" s="367"/>
      <c r="N949" s="367"/>
      <c r="O949" s="367"/>
      <c r="P949" s="367"/>
      <c r="Q949" s="367"/>
      <c r="R949" s="367"/>
      <c r="S949" s="367"/>
      <c r="T949" s="367"/>
      <c r="U949" s="367"/>
      <c r="V949" s="367"/>
      <c r="W949" s="367"/>
      <c r="X949" s="367"/>
      <c r="Y949" s="367"/>
      <c r="Z949" s="367"/>
      <c r="AA949" s="367"/>
      <c r="AB949" s="367"/>
      <c r="AC949" s="367"/>
      <c r="AD949" s="367"/>
      <c r="AE949" s="367"/>
      <c r="AF949" s="367"/>
    </row>
    <row r="950" ht="15.75" customHeight="1">
      <c r="A950" s="359"/>
      <c r="B950" s="361"/>
      <c r="C950" s="361"/>
      <c r="D950" s="361"/>
      <c r="E950" s="367"/>
      <c r="F950" s="367"/>
      <c r="G950" s="367"/>
      <c r="H950" s="367"/>
      <c r="I950" s="367"/>
      <c r="J950" s="367"/>
      <c r="K950" s="367"/>
      <c r="L950" s="367"/>
      <c r="M950" s="367"/>
      <c r="N950" s="367"/>
      <c r="O950" s="367"/>
      <c r="P950" s="367"/>
      <c r="Q950" s="367"/>
      <c r="R950" s="367"/>
      <c r="S950" s="367"/>
      <c r="T950" s="367"/>
      <c r="U950" s="367"/>
      <c r="V950" s="367"/>
      <c r="W950" s="367"/>
      <c r="X950" s="367"/>
      <c r="Y950" s="367"/>
      <c r="Z950" s="367"/>
      <c r="AA950" s="367"/>
      <c r="AB950" s="367"/>
      <c r="AC950" s="367"/>
      <c r="AD950" s="367"/>
      <c r="AE950" s="367"/>
      <c r="AF950" s="367"/>
    </row>
    <row r="951" ht="15.75" customHeight="1">
      <c r="A951" s="359"/>
      <c r="B951" s="361"/>
      <c r="C951" s="361"/>
      <c r="D951" s="361"/>
      <c r="E951" s="367"/>
      <c r="F951" s="367"/>
      <c r="G951" s="367"/>
      <c r="H951" s="367"/>
      <c r="I951" s="367"/>
      <c r="J951" s="367"/>
      <c r="K951" s="367"/>
      <c r="L951" s="367"/>
      <c r="M951" s="367"/>
      <c r="N951" s="367"/>
      <c r="O951" s="367"/>
      <c r="P951" s="367"/>
      <c r="Q951" s="367"/>
      <c r="R951" s="367"/>
      <c r="S951" s="367"/>
      <c r="T951" s="367"/>
      <c r="U951" s="367"/>
      <c r="V951" s="367"/>
      <c r="W951" s="367"/>
      <c r="X951" s="367"/>
      <c r="Y951" s="367"/>
      <c r="Z951" s="367"/>
      <c r="AA951" s="367"/>
      <c r="AB951" s="367"/>
      <c r="AC951" s="367"/>
      <c r="AD951" s="367"/>
      <c r="AE951" s="367"/>
      <c r="AF951" s="367"/>
    </row>
    <row r="952" ht="15.75" customHeight="1">
      <c r="A952" s="359"/>
      <c r="B952" s="361"/>
      <c r="C952" s="361"/>
      <c r="D952" s="361"/>
      <c r="E952" s="367"/>
      <c r="F952" s="367"/>
      <c r="G952" s="367"/>
      <c r="H952" s="367"/>
      <c r="I952" s="367"/>
      <c r="J952" s="367"/>
      <c r="K952" s="367"/>
      <c r="L952" s="367"/>
      <c r="M952" s="367"/>
      <c r="N952" s="367"/>
      <c r="O952" s="367"/>
      <c r="P952" s="367"/>
      <c r="Q952" s="367"/>
      <c r="R952" s="367"/>
      <c r="S952" s="367"/>
      <c r="T952" s="367"/>
      <c r="U952" s="367"/>
      <c r="V952" s="367"/>
      <c r="W952" s="367"/>
      <c r="X952" s="367"/>
      <c r="Y952" s="367"/>
      <c r="Z952" s="367"/>
      <c r="AA952" s="367"/>
      <c r="AB952" s="367"/>
      <c r="AC952" s="367"/>
      <c r="AD952" s="367"/>
      <c r="AE952" s="367"/>
      <c r="AF952" s="367"/>
    </row>
    <row r="953" ht="15.75" customHeight="1">
      <c r="A953" s="359"/>
      <c r="B953" s="361"/>
      <c r="C953" s="361"/>
      <c r="D953" s="361"/>
      <c r="E953" s="367"/>
      <c r="F953" s="367"/>
      <c r="G953" s="367"/>
      <c r="H953" s="367"/>
      <c r="I953" s="367"/>
      <c r="J953" s="367"/>
      <c r="K953" s="367"/>
      <c r="L953" s="367"/>
      <c r="M953" s="367"/>
      <c r="N953" s="367"/>
      <c r="O953" s="367"/>
      <c r="P953" s="367"/>
      <c r="Q953" s="367"/>
      <c r="R953" s="367"/>
      <c r="S953" s="367"/>
      <c r="T953" s="367"/>
      <c r="U953" s="367"/>
      <c r="V953" s="367"/>
      <c r="W953" s="367"/>
      <c r="X953" s="367"/>
      <c r="Y953" s="367"/>
      <c r="Z953" s="367"/>
      <c r="AA953" s="367"/>
      <c r="AB953" s="367"/>
      <c r="AC953" s="367"/>
      <c r="AD953" s="367"/>
      <c r="AE953" s="367"/>
      <c r="AF953" s="367"/>
    </row>
    <row r="954" ht="15.75" customHeight="1">
      <c r="A954" s="359"/>
      <c r="B954" s="361"/>
      <c r="C954" s="361"/>
      <c r="D954" s="361"/>
      <c r="E954" s="367"/>
      <c r="F954" s="367"/>
      <c r="G954" s="367"/>
      <c r="H954" s="367"/>
      <c r="I954" s="367"/>
      <c r="J954" s="367"/>
      <c r="K954" s="367"/>
      <c r="L954" s="367"/>
      <c r="M954" s="367"/>
      <c r="N954" s="367"/>
      <c r="O954" s="367"/>
      <c r="P954" s="367"/>
      <c r="Q954" s="367"/>
      <c r="R954" s="367"/>
      <c r="S954" s="367"/>
      <c r="T954" s="367"/>
      <c r="U954" s="367"/>
      <c r="V954" s="367"/>
      <c r="W954" s="367"/>
      <c r="X954" s="367"/>
      <c r="Y954" s="367"/>
      <c r="Z954" s="367"/>
      <c r="AA954" s="367"/>
      <c r="AB954" s="367"/>
      <c r="AC954" s="367"/>
      <c r="AD954" s="367"/>
      <c r="AE954" s="367"/>
      <c r="AF954" s="367"/>
    </row>
    <row r="955" ht="15.75" customHeight="1">
      <c r="A955" s="359"/>
      <c r="B955" s="361"/>
      <c r="C955" s="361"/>
      <c r="D955" s="361"/>
      <c r="E955" s="367"/>
      <c r="F955" s="367"/>
      <c r="G955" s="367"/>
      <c r="H955" s="367"/>
      <c r="I955" s="367"/>
      <c r="J955" s="367"/>
      <c r="K955" s="367"/>
      <c r="L955" s="367"/>
      <c r="M955" s="367"/>
      <c r="N955" s="367"/>
      <c r="O955" s="367"/>
      <c r="P955" s="367"/>
      <c r="Q955" s="367"/>
      <c r="R955" s="367"/>
      <c r="S955" s="367"/>
      <c r="T955" s="367"/>
      <c r="U955" s="367"/>
      <c r="V955" s="367"/>
      <c r="W955" s="367"/>
      <c r="X955" s="367"/>
      <c r="Y955" s="367"/>
      <c r="Z955" s="367"/>
      <c r="AA955" s="367"/>
      <c r="AB955" s="367"/>
      <c r="AC955" s="367"/>
      <c r="AD955" s="367"/>
      <c r="AE955" s="367"/>
      <c r="AF955" s="367"/>
    </row>
    <row r="956" ht="15.75" customHeight="1">
      <c r="A956" s="359"/>
      <c r="B956" s="361"/>
      <c r="C956" s="361"/>
      <c r="D956" s="361"/>
      <c r="E956" s="367"/>
      <c r="F956" s="367"/>
      <c r="G956" s="367"/>
      <c r="H956" s="367"/>
      <c r="I956" s="367"/>
      <c r="J956" s="367"/>
      <c r="K956" s="367"/>
      <c r="L956" s="367"/>
      <c r="M956" s="367"/>
      <c r="N956" s="367"/>
      <c r="O956" s="367"/>
      <c r="P956" s="367"/>
      <c r="Q956" s="367"/>
      <c r="R956" s="367"/>
      <c r="S956" s="367"/>
      <c r="T956" s="367"/>
      <c r="U956" s="367"/>
      <c r="V956" s="367"/>
      <c r="W956" s="367"/>
      <c r="X956" s="367"/>
      <c r="Y956" s="367"/>
      <c r="Z956" s="367"/>
      <c r="AA956" s="367"/>
      <c r="AB956" s="367"/>
      <c r="AC956" s="367"/>
      <c r="AD956" s="367"/>
      <c r="AE956" s="367"/>
      <c r="AF956" s="367"/>
    </row>
    <row r="957" ht="15.75" customHeight="1">
      <c r="A957" s="359"/>
      <c r="B957" s="361"/>
      <c r="C957" s="361"/>
      <c r="D957" s="361"/>
      <c r="E957" s="367"/>
      <c r="F957" s="367"/>
      <c r="G957" s="367"/>
      <c r="H957" s="367"/>
      <c r="I957" s="367"/>
      <c r="J957" s="367"/>
      <c r="K957" s="367"/>
      <c r="L957" s="367"/>
      <c r="M957" s="367"/>
      <c r="N957" s="367"/>
      <c r="O957" s="367"/>
      <c r="P957" s="367"/>
      <c r="Q957" s="367"/>
      <c r="R957" s="367"/>
      <c r="S957" s="367"/>
      <c r="T957" s="367"/>
      <c r="U957" s="367"/>
      <c r="V957" s="367"/>
      <c r="W957" s="367"/>
      <c r="X957" s="367"/>
      <c r="Y957" s="367"/>
      <c r="Z957" s="367"/>
      <c r="AA957" s="367"/>
      <c r="AB957" s="367"/>
      <c r="AC957" s="367"/>
      <c r="AD957" s="367"/>
      <c r="AE957" s="367"/>
      <c r="AF957" s="367"/>
    </row>
    <row r="958" ht="15.75" customHeight="1">
      <c r="A958" s="359"/>
      <c r="B958" s="361"/>
      <c r="C958" s="361"/>
      <c r="D958" s="361"/>
      <c r="E958" s="367"/>
      <c r="F958" s="367"/>
      <c r="G958" s="367"/>
      <c r="H958" s="367"/>
      <c r="I958" s="367"/>
      <c r="J958" s="367"/>
      <c r="K958" s="367"/>
      <c r="L958" s="367"/>
      <c r="M958" s="367"/>
      <c r="N958" s="367"/>
      <c r="O958" s="367"/>
      <c r="P958" s="367"/>
      <c r="Q958" s="367"/>
      <c r="R958" s="367"/>
      <c r="S958" s="367"/>
      <c r="T958" s="367"/>
      <c r="U958" s="367"/>
      <c r="V958" s="367"/>
      <c r="W958" s="367"/>
      <c r="X958" s="367"/>
      <c r="Y958" s="367"/>
      <c r="Z958" s="367"/>
      <c r="AA958" s="367"/>
      <c r="AB958" s="367"/>
      <c r="AC958" s="367"/>
      <c r="AD958" s="367"/>
      <c r="AE958" s="367"/>
      <c r="AF958" s="367"/>
    </row>
    <row r="959" ht="15.75" customHeight="1">
      <c r="A959" s="359"/>
      <c r="B959" s="361"/>
      <c r="C959" s="361"/>
      <c r="D959" s="361"/>
      <c r="E959" s="367"/>
      <c r="F959" s="367"/>
      <c r="G959" s="367"/>
      <c r="H959" s="367"/>
      <c r="I959" s="367"/>
      <c r="J959" s="367"/>
      <c r="K959" s="367"/>
      <c r="L959" s="367"/>
      <c r="M959" s="367"/>
      <c r="N959" s="367"/>
      <c r="O959" s="367"/>
      <c r="P959" s="367"/>
      <c r="Q959" s="367"/>
      <c r="R959" s="367"/>
      <c r="S959" s="367"/>
      <c r="T959" s="367"/>
      <c r="U959" s="367"/>
      <c r="V959" s="367"/>
      <c r="W959" s="367"/>
      <c r="X959" s="367"/>
      <c r="Y959" s="367"/>
      <c r="Z959" s="367"/>
      <c r="AA959" s="367"/>
      <c r="AB959" s="367"/>
      <c r="AC959" s="367"/>
      <c r="AD959" s="367"/>
      <c r="AE959" s="367"/>
      <c r="AF959" s="367"/>
    </row>
    <row r="960" ht="15.75" customHeight="1">
      <c r="A960" s="359"/>
      <c r="B960" s="361"/>
      <c r="C960" s="361"/>
      <c r="D960" s="361"/>
      <c r="E960" s="367"/>
      <c r="F960" s="367"/>
      <c r="G960" s="367"/>
      <c r="H960" s="367"/>
      <c r="I960" s="367"/>
      <c r="J960" s="367"/>
      <c r="K960" s="367"/>
      <c r="L960" s="367"/>
      <c r="M960" s="367"/>
      <c r="N960" s="367"/>
      <c r="O960" s="367"/>
      <c r="P960" s="367"/>
      <c r="Q960" s="367"/>
      <c r="R960" s="367"/>
      <c r="S960" s="367"/>
      <c r="T960" s="367"/>
      <c r="U960" s="367"/>
      <c r="V960" s="367"/>
      <c r="W960" s="367"/>
      <c r="X960" s="367"/>
      <c r="Y960" s="367"/>
      <c r="Z960" s="367"/>
      <c r="AA960" s="367"/>
      <c r="AB960" s="367"/>
      <c r="AC960" s="367"/>
      <c r="AD960" s="367"/>
      <c r="AE960" s="367"/>
      <c r="AF960" s="367"/>
    </row>
    <row r="961" ht="15.75" customHeight="1">
      <c r="A961" s="359"/>
      <c r="B961" s="361"/>
      <c r="C961" s="361"/>
      <c r="D961" s="361"/>
      <c r="E961" s="367"/>
      <c r="F961" s="367"/>
      <c r="G961" s="367"/>
      <c r="H961" s="367"/>
      <c r="I961" s="367"/>
      <c r="J961" s="367"/>
      <c r="K961" s="367"/>
      <c r="L961" s="367"/>
      <c r="M961" s="367"/>
      <c r="N961" s="367"/>
      <c r="O961" s="367"/>
      <c r="P961" s="367"/>
      <c r="Q961" s="367"/>
      <c r="R961" s="367"/>
      <c r="S961" s="367"/>
      <c r="T961" s="367"/>
      <c r="U961" s="367"/>
      <c r="V961" s="367"/>
      <c r="W961" s="367"/>
      <c r="X961" s="367"/>
      <c r="Y961" s="367"/>
      <c r="Z961" s="367"/>
      <c r="AA961" s="367"/>
      <c r="AB961" s="367"/>
      <c r="AC961" s="367"/>
      <c r="AD961" s="367"/>
      <c r="AE961" s="367"/>
      <c r="AF961" s="367"/>
    </row>
    <row r="962" ht="15.75" customHeight="1">
      <c r="A962" s="359"/>
      <c r="B962" s="361"/>
      <c r="C962" s="361"/>
      <c r="D962" s="361"/>
      <c r="E962" s="367"/>
      <c r="F962" s="367"/>
      <c r="G962" s="367"/>
      <c r="H962" s="367"/>
      <c r="I962" s="367"/>
      <c r="J962" s="367"/>
      <c r="K962" s="367"/>
      <c r="L962" s="367"/>
      <c r="M962" s="367"/>
      <c r="N962" s="367"/>
      <c r="O962" s="367"/>
      <c r="P962" s="367"/>
      <c r="Q962" s="367"/>
      <c r="R962" s="367"/>
      <c r="S962" s="367"/>
      <c r="T962" s="367"/>
      <c r="U962" s="367"/>
      <c r="V962" s="367"/>
      <c r="W962" s="367"/>
      <c r="X962" s="367"/>
      <c r="Y962" s="367"/>
      <c r="Z962" s="367"/>
      <c r="AA962" s="367"/>
      <c r="AB962" s="367"/>
      <c r="AC962" s="367"/>
      <c r="AD962" s="367"/>
      <c r="AE962" s="367"/>
      <c r="AF962" s="367"/>
    </row>
    <row r="963" ht="15.75" customHeight="1">
      <c r="A963" s="359"/>
      <c r="B963" s="361"/>
      <c r="C963" s="361"/>
      <c r="D963" s="361"/>
      <c r="E963" s="367"/>
      <c r="F963" s="367"/>
      <c r="G963" s="367"/>
      <c r="H963" s="367"/>
      <c r="I963" s="367"/>
      <c r="J963" s="367"/>
      <c r="K963" s="367"/>
      <c r="L963" s="367"/>
      <c r="M963" s="367"/>
      <c r="N963" s="367"/>
      <c r="O963" s="367"/>
      <c r="P963" s="367"/>
      <c r="Q963" s="367"/>
      <c r="R963" s="367"/>
      <c r="S963" s="367"/>
      <c r="T963" s="367"/>
      <c r="U963" s="367"/>
      <c r="V963" s="367"/>
      <c r="W963" s="367"/>
      <c r="X963" s="367"/>
      <c r="Y963" s="367"/>
      <c r="Z963" s="367"/>
      <c r="AA963" s="367"/>
      <c r="AB963" s="367"/>
      <c r="AC963" s="367"/>
      <c r="AD963" s="367"/>
      <c r="AE963" s="367"/>
      <c r="AF963" s="367"/>
    </row>
    <row r="964" ht="15.75" customHeight="1">
      <c r="A964" s="359"/>
      <c r="B964" s="361"/>
      <c r="C964" s="361"/>
      <c r="D964" s="361"/>
      <c r="E964" s="367"/>
      <c r="F964" s="367"/>
      <c r="G964" s="367"/>
      <c r="H964" s="367"/>
      <c r="I964" s="367"/>
      <c r="J964" s="367"/>
      <c r="K964" s="367"/>
      <c r="L964" s="367"/>
      <c r="M964" s="367"/>
      <c r="N964" s="367"/>
      <c r="O964" s="367"/>
      <c r="P964" s="367"/>
      <c r="Q964" s="367"/>
      <c r="R964" s="367"/>
      <c r="S964" s="367"/>
      <c r="T964" s="367"/>
      <c r="U964" s="367"/>
      <c r="V964" s="367"/>
      <c r="W964" s="367"/>
      <c r="X964" s="367"/>
      <c r="Y964" s="367"/>
      <c r="Z964" s="367"/>
      <c r="AA964" s="367"/>
      <c r="AB964" s="367"/>
      <c r="AC964" s="367"/>
      <c r="AD964" s="367"/>
      <c r="AE964" s="367"/>
      <c r="AF964" s="367"/>
    </row>
    <row r="965" ht="15.75" customHeight="1">
      <c r="A965" s="359"/>
      <c r="B965" s="361"/>
      <c r="C965" s="361"/>
      <c r="D965" s="361"/>
      <c r="E965" s="367"/>
      <c r="F965" s="367"/>
      <c r="G965" s="367"/>
      <c r="H965" s="367"/>
      <c r="I965" s="367"/>
      <c r="J965" s="367"/>
      <c r="K965" s="367"/>
      <c r="L965" s="367"/>
      <c r="M965" s="367"/>
      <c r="N965" s="367"/>
      <c r="O965" s="367"/>
      <c r="P965" s="367"/>
      <c r="Q965" s="367"/>
      <c r="R965" s="367"/>
      <c r="S965" s="367"/>
      <c r="T965" s="367"/>
      <c r="U965" s="367"/>
      <c r="V965" s="367"/>
      <c r="W965" s="367"/>
      <c r="X965" s="367"/>
      <c r="Y965" s="367"/>
      <c r="Z965" s="367"/>
      <c r="AA965" s="367"/>
      <c r="AB965" s="367"/>
      <c r="AC965" s="367"/>
      <c r="AD965" s="367"/>
      <c r="AE965" s="367"/>
      <c r="AF965" s="367"/>
    </row>
    <row r="966" ht="15.75" customHeight="1">
      <c r="A966" s="359"/>
      <c r="B966" s="361"/>
      <c r="C966" s="361"/>
      <c r="D966" s="361"/>
      <c r="E966" s="367"/>
      <c r="F966" s="367"/>
      <c r="G966" s="367"/>
      <c r="H966" s="367"/>
      <c r="I966" s="367"/>
      <c r="J966" s="367"/>
      <c r="K966" s="367"/>
      <c r="L966" s="367"/>
      <c r="M966" s="367"/>
      <c r="N966" s="367"/>
      <c r="O966" s="367"/>
      <c r="P966" s="367"/>
      <c r="Q966" s="367"/>
      <c r="R966" s="367"/>
      <c r="S966" s="367"/>
      <c r="T966" s="367"/>
      <c r="U966" s="367"/>
      <c r="V966" s="367"/>
      <c r="W966" s="367"/>
      <c r="X966" s="367"/>
      <c r="Y966" s="367"/>
      <c r="Z966" s="367"/>
      <c r="AA966" s="367"/>
      <c r="AB966" s="367"/>
      <c r="AC966" s="367"/>
      <c r="AD966" s="367"/>
      <c r="AE966" s="367"/>
      <c r="AF966" s="367"/>
    </row>
    <row r="967" ht="15.75" customHeight="1">
      <c r="A967" s="359"/>
      <c r="B967" s="361"/>
      <c r="C967" s="361"/>
      <c r="D967" s="361"/>
      <c r="E967" s="367"/>
      <c r="F967" s="367"/>
      <c r="G967" s="367"/>
      <c r="H967" s="367"/>
      <c r="I967" s="367"/>
      <c r="J967" s="367"/>
      <c r="K967" s="367"/>
      <c r="L967" s="367"/>
      <c r="M967" s="367"/>
      <c r="N967" s="367"/>
      <c r="O967" s="367"/>
      <c r="P967" s="367"/>
      <c r="Q967" s="367"/>
      <c r="R967" s="367"/>
      <c r="S967" s="367"/>
      <c r="T967" s="367"/>
      <c r="U967" s="367"/>
      <c r="V967" s="367"/>
      <c r="W967" s="367"/>
      <c r="X967" s="367"/>
      <c r="Y967" s="367"/>
      <c r="Z967" s="367"/>
      <c r="AA967" s="367"/>
      <c r="AB967" s="367"/>
      <c r="AC967" s="367"/>
      <c r="AD967" s="367"/>
      <c r="AE967" s="367"/>
      <c r="AF967" s="367"/>
    </row>
    <row r="968" ht="15.75" customHeight="1">
      <c r="A968" s="359"/>
      <c r="B968" s="361"/>
      <c r="C968" s="361"/>
      <c r="D968" s="361"/>
      <c r="E968" s="367"/>
      <c r="F968" s="367"/>
      <c r="G968" s="367"/>
      <c r="H968" s="367"/>
      <c r="I968" s="367"/>
      <c r="J968" s="367"/>
      <c r="K968" s="367"/>
      <c r="L968" s="367"/>
      <c r="M968" s="367"/>
      <c r="N968" s="367"/>
      <c r="O968" s="367"/>
      <c r="P968" s="367"/>
      <c r="Q968" s="367"/>
      <c r="R968" s="367"/>
      <c r="S968" s="367"/>
      <c r="T968" s="367"/>
      <c r="U968" s="367"/>
      <c r="V968" s="367"/>
      <c r="W968" s="367"/>
      <c r="X968" s="367"/>
      <c r="Y968" s="367"/>
      <c r="Z968" s="367"/>
      <c r="AA968" s="367"/>
      <c r="AB968" s="367"/>
      <c r="AC968" s="367"/>
      <c r="AD968" s="367"/>
      <c r="AE968" s="367"/>
      <c r="AF968" s="367"/>
    </row>
    <row r="969" ht="15.75" customHeight="1">
      <c r="A969" s="359"/>
      <c r="B969" s="361"/>
      <c r="C969" s="361"/>
      <c r="D969" s="361"/>
      <c r="E969" s="367"/>
      <c r="F969" s="367"/>
      <c r="G969" s="367"/>
      <c r="H969" s="367"/>
      <c r="I969" s="367"/>
      <c r="J969" s="367"/>
      <c r="K969" s="367"/>
      <c r="L969" s="367"/>
      <c r="M969" s="367"/>
      <c r="N969" s="367"/>
      <c r="O969" s="367"/>
      <c r="P969" s="367"/>
      <c r="Q969" s="367"/>
      <c r="R969" s="367"/>
      <c r="S969" s="367"/>
      <c r="T969" s="367"/>
      <c r="U969" s="367"/>
      <c r="V969" s="367"/>
      <c r="W969" s="367"/>
      <c r="X969" s="367"/>
      <c r="Y969" s="367"/>
      <c r="Z969" s="367"/>
      <c r="AA969" s="367"/>
      <c r="AB969" s="367"/>
      <c r="AC969" s="367"/>
      <c r="AD969" s="367"/>
      <c r="AE969" s="367"/>
      <c r="AF969" s="367"/>
    </row>
    <row r="970" ht="15.75" customHeight="1">
      <c r="A970" s="359"/>
      <c r="B970" s="361"/>
      <c r="C970" s="361"/>
      <c r="D970" s="361"/>
      <c r="E970" s="367"/>
      <c r="F970" s="367"/>
      <c r="G970" s="367"/>
      <c r="H970" s="367"/>
      <c r="I970" s="367"/>
      <c r="J970" s="367"/>
      <c r="K970" s="367"/>
      <c r="L970" s="367"/>
      <c r="M970" s="367"/>
      <c r="N970" s="367"/>
      <c r="O970" s="367"/>
      <c r="P970" s="367"/>
      <c r="Q970" s="367"/>
      <c r="R970" s="367"/>
      <c r="S970" s="367"/>
      <c r="T970" s="367"/>
      <c r="U970" s="367"/>
      <c r="V970" s="367"/>
      <c r="W970" s="367"/>
      <c r="X970" s="367"/>
      <c r="Y970" s="367"/>
      <c r="Z970" s="367"/>
      <c r="AA970" s="367"/>
      <c r="AB970" s="367"/>
      <c r="AC970" s="367"/>
      <c r="AD970" s="367"/>
      <c r="AE970" s="367"/>
      <c r="AF970" s="367"/>
    </row>
    <row r="971" ht="15.75" customHeight="1">
      <c r="A971" s="359"/>
      <c r="B971" s="361"/>
      <c r="C971" s="361"/>
      <c r="D971" s="361"/>
      <c r="E971" s="367"/>
      <c r="F971" s="367"/>
      <c r="G971" s="367"/>
      <c r="H971" s="367"/>
      <c r="I971" s="367"/>
      <c r="J971" s="367"/>
      <c r="K971" s="367"/>
      <c r="L971" s="367"/>
      <c r="M971" s="367"/>
      <c r="N971" s="367"/>
      <c r="O971" s="367"/>
      <c r="P971" s="367"/>
      <c r="Q971" s="367"/>
      <c r="R971" s="367"/>
      <c r="S971" s="367"/>
      <c r="T971" s="367"/>
      <c r="U971" s="367"/>
      <c r="V971" s="367"/>
      <c r="W971" s="367"/>
      <c r="X971" s="367"/>
      <c r="Y971" s="367"/>
      <c r="Z971" s="367"/>
      <c r="AA971" s="367"/>
      <c r="AB971" s="367"/>
      <c r="AC971" s="367"/>
      <c r="AD971" s="367"/>
      <c r="AE971" s="367"/>
      <c r="AF971" s="367"/>
    </row>
    <row r="972" ht="15.75" customHeight="1">
      <c r="A972" s="359"/>
      <c r="B972" s="361"/>
      <c r="C972" s="361"/>
      <c r="D972" s="361"/>
      <c r="E972" s="367"/>
      <c r="F972" s="367"/>
      <c r="G972" s="367"/>
      <c r="H972" s="367"/>
      <c r="I972" s="367"/>
      <c r="J972" s="367"/>
      <c r="K972" s="367"/>
      <c r="L972" s="367"/>
      <c r="M972" s="367"/>
      <c r="N972" s="367"/>
      <c r="O972" s="367"/>
      <c r="P972" s="367"/>
      <c r="Q972" s="367"/>
      <c r="R972" s="367"/>
      <c r="S972" s="367"/>
      <c r="T972" s="367"/>
      <c r="U972" s="367"/>
      <c r="V972" s="367"/>
      <c r="W972" s="367"/>
      <c r="X972" s="367"/>
      <c r="Y972" s="367"/>
      <c r="Z972" s="367"/>
      <c r="AA972" s="367"/>
      <c r="AB972" s="367"/>
      <c r="AC972" s="367"/>
      <c r="AD972" s="367"/>
      <c r="AE972" s="367"/>
      <c r="AF972" s="367"/>
    </row>
    <row r="973" ht="15.75" customHeight="1">
      <c r="A973" s="359"/>
      <c r="B973" s="361"/>
      <c r="C973" s="361"/>
      <c r="D973" s="361"/>
      <c r="E973" s="367"/>
      <c r="F973" s="367"/>
      <c r="G973" s="367"/>
      <c r="H973" s="367"/>
      <c r="I973" s="367"/>
      <c r="J973" s="367"/>
      <c r="K973" s="367"/>
      <c r="L973" s="367"/>
      <c r="M973" s="367"/>
      <c r="N973" s="367"/>
      <c r="O973" s="367"/>
      <c r="P973" s="367"/>
      <c r="Q973" s="367"/>
      <c r="R973" s="367"/>
      <c r="S973" s="367"/>
      <c r="T973" s="367"/>
      <c r="U973" s="367"/>
      <c r="V973" s="367"/>
      <c r="W973" s="367"/>
      <c r="X973" s="367"/>
      <c r="Y973" s="367"/>
      <c r="Z973" s="367"/>
      <c r="AA973" s="367"/>
      <c r="AB973" s="367"/>
      <c r="AC973" s="367"/>
      <c r="AD973" s="367"/>
      <c r="AE973" s="367"/>
      <c r="AF973" s="367"/>
    </row>
    <row r="974" ht="15.75" customHeight="1">
      <c r="A974" s="359"/>
      <c r="B974" s="361"/>
      <c r="C974" s="361"/>
      <c r="D974" s="361"/>
      <c r="E974" s="367"/>
      <c r="F974" s="367"/>
      <c r="G974" s="367"/>
      <c r="H974" s="367"/>
      <c r="I974" s="367"/>
      <c r="J974" s="367"/>
      <c r="K974" s="367"/>
      <c r="L974" s="367"/>
      <c r="M974" s="367"/>
      <c r="N974" s="367"/>
      <c r="O974" s="367"/>
      <c r="P974" s="367"/>
      <c r="Q974" s="367"/>
      <c r="R974" s="367"/>
      <c r="S974" s="367"/>
      <c r="T974" s="367"/>
      <c r="U974" s="367"/>
      <c r="V974" s="367"/>
      <c r="W974" s="367"/>
      <c r="X974" s="367"/>
      <c r="Y974" s="367"/>
      <c r="Z974" s="367"/>
      <c r="AA974" s="367"/>
      <c r="AB974" s="367"/>
      <c r="AC974" s="367"/>
      <c r="AD974" s="367"/>
      <c r="AE974" s="367"/>
      <c r="AF974" s="367"/>
    </row>
    <row r="975" ht="15.75" customHeight="1">
      <c r="A975" s="359"/>
      <c r="B975" s="361"/>
      <c r="C975" s="361"/>
      <c r="D975" s="361"/>
      <c r="E975" s="367"/>
      <c r="F975" s="367"/>
      <c r="G975" s="367"/>
      <c r="H975" s="367"/>
      <c r="I975" s="367"/>
      <c r="J975" s="367"/>
      <c r="K975" s="367"/>
      <c r="L975" s="367"/>
      <c r="M975" s="367"/>
      <c r="N975" s="367"/>
      <c r="O975" s="367"/>
      <c r="P975" s="367"/>
      <c r="Q975" s="367"/>
      <c r="R975" s="367"/>
      <c r="S975" s="367"/>
      <c r="T975" s="367"/>
      <c r="U975" s="367"/>
      <c r="V975" s="367"/>
      <c r="W975" s="367"/>
      <c r="X975" s="367"/>
      <c r="Y975" s="367"/>
      <c r="Z975" s="367"/>
      <c r="AA975" s="367"/>
      <c r="AB975" s="367"/>
      <c r="AC975" s="367"/>
      <c r="AD975" s="367"/>
      <c r="AE975" s="367"/>
      <c r="AF975" s="367"/>
    </row>
    <row r="976" ht="15.75" customHeight="1">
      <c r="A976" s="359"/>
      <c r="B976" s="361"/>
      <c r="C976" s="361"/>
      <c r="D976" s="361"/>
      <c r="E976" s="367"/>
      <c r="F976" s="367"/>
      <c r="G976" s="367"/>
      <c r="H976" s="367"/>
      <c r="I976" s="367"/>
      <c r="J976" s="367"/>
      <c r="K976" s="367"/>
      <c r="L976" s="367"/>
      <c r="M976" s="367"/>
      <c r="N976" s="367"/>
      <c r="O976" s="367"/>
      <c r="P976" s="367"/>
      <c r="Q976" s="367"/>
      <c r="R976" s="367"/>
      <c r="S976" s="367"/>
      <c r="T976" s="367"/>
      <c r="U976" s="367"/>
      <c r="V976" s="367"/>
      <c r="W976" s="367"/>
      <c r="X976" s="367"/>
      <c r="Y976" s="367"/>
      <c r="Z976" s="367"/>
      <c r="AA976" s="367"/>
      <c r="AB976" s="367"/>
      <c r="AC976" s="367"/>
      <c r="AD976" s="367"/>
      <c r="AE976" s="367"/>
      <c r="AF976" s="367"/>
    </row>
    <row r="977" ht="15.75" customHeight="1">
      <c r="A977" s="359"/>
      <c r="B977" s="361"/>
      <c r="C977" s="361"/>
      <c r="D977" s="361"/>
      <c r="E977" s="367"/>
      <c r="F977" s="367"/>
      <c r="G977" s="367"/>
      <c r="H977" s="367"/>
      <c r="I977" s="367"/>
      <c r="J977" s="367"/>
      <c r="K977" s="367"/>
      <c r="L977" s="367"/>
      <c r="M977" s="367"/>
      <c r="N977" s="367"/>
      <c r="O977" s="367"/>
      <c r="P977" s="367"/>
      <c r="Q977" s="367"/>
      <c r="R977" s="367"/>
      <c r="S977" s="367"/>
      <c r="T977" s="367"/>
      <c r="U977" s="367"/>
      <c r="V977" s="367"/>
      <c r="W977" s="367"/>
      <c r="X977" s="367"/>
      <c r="Y977" s="367"/>
      <c r="Z977" s="367"/>
      <c r="AA977" s="367"/>
      <c r="AB977" s="367"/>
      <c r="AC977" s="367"/>
      <c r="AD977" s="367"/>
      <c r="AE977" s="367"/>
      <c r="AF977" s="367"/>
    </row>
    <row r="978" ht="15.75" customHeight="1">
      <c r="A978" s="359"/>
      <c r="B978" s="361"/>
      <c r="C978" s="361"/>
      <c r="D978" s="361"/>
      <c r="E978" s="367"/>
      <c r="F978" s="367"/>
      <c r="G978" s="367"/>
      <c r="H978" s="367"/>
      <c r="I978" s="367"/>
      <c r="J978" s="367"/>
      <c r="K978" s="367"/>
      <c r="L978" s="367"/>
      <c r="M978" s="367"/>
      <c r="N978" s="367"/>
      <c r="O978" s="367"/>
      <c r="P978" s="367"/>
      <c r="Q978" s="367"/>
      <c r="R978" s="367"/>
      <c r="S978" s="367"/>
      <c r="T978" s="367"/>
      <c r="U978" s="367"/>
      <c r="V978" s="367"/>
      <c r="W978" s="367"/>
      <c r="X978" s="367"/>
      <c r="Y978" s="367"/>
      <c r="Z978" s="367"/>
      <c r="AA978" s="367"/>
      <c r="AB978" s="367"/>
      <c r="AC978" s="367"/>
      <c r="AD978" s="367"/>
      <c r="AE978" s="367"/>
      <c r="AF978" s="367"/>
    </row>
    <row r="979" ht="15.75" customHeight="1">
      <c r="A979" s="359"/>
      <c r="B979" s="361"/>
      <c r="C979" s="361"/>
      <c r="D979" s="361"/>
      <c r="E979" s="367"/>
      <c r="F979" s="367"/>
      <c r="G979" s="367"/>
      <c r="H979" s="367"/>
      <c r="I979" s="367"/>
      <c r="J979" s="367"/>
      <c r="K979" s="367"/>
      <c r="L979" s="367"/>
      <c r="M979" s="367"/>
      <c r="N979" s="367"/>
      <c r="O979" s="367"/>
      <c r="P979" s="367"/>
      <c r="Q979" s="367"/>
      <c r="R979" s="367"/>
      <c r="S979" s="367"/>
      <c r="T979" s="367"/>
      <c r="U979" s="367"/>
      <c r="V979" s="367"/>
      <c r="W979" s="367"/>
      <c r="X979" s="367"/>
      <c r="Y979" s="367"/>
      <c r="Z979" s="367"/>
      <c r="AA979" s="367"/>
      <c r="AB979" s="367"/>
      <c r="AC979" s="367"/>
      <c r="AD979" s="367"/>
      <c r="AE979" s="367"/>
      <c r="AF979" s="367"/>
    </row>
    <row r="980" ht="15.75" customHeight="1">
      <c r="A980" s="359"/>
      <c r="B980" s="361"/>
      <c r="C980" s="361"/>
      <c r="D980" s="361"/>
      <c r="E980" s="367"/>
      <c r="F980" s="367"/>
      <c r="G980" s="367"/>
      <c r="H980" s="367"/>
      <c r="I980" s="367"/>
      <c r="J980" s="367"/>
      <c r="K980" s="367"/>
      <c r="L980" s="367"/>
      <c r="M980" s="367"/>
      <c r="N980" s="367"/>
      <c r="O980" s="367"/>
      <c r="P980" s="367"/>
      <c r="Q980" s="367"/>
      <c r="R980" s="367"/>
      <c r="S980" s="367"/>
      <c r="T980" s="367"/>
      <c r="U980" s="367"/>
      <c r="V980" s="367"/>
      <c r="W980" s="367"/>
      <c r="X980" s="367"/>
      <c r="Y980" s="367"/>
      <c r="Z980" s="367"/>
      <c r="AA980" s="367"/>
      <c r="AB980" s="367"/>
      <c r="AC980" s="367"/>
      <c r="AD980" s="367"/>
      <c r="AE980" s="367"/>
      <c r="AF980" s="367"/>
    </row>
    <row r="981" ht="15.75" customHeight="1">
      <c r="A981" s="359"/>
      <c r="B981" s="361"/>
      <c r="C981" s="361"/>
      <c r="D981" s="361"/>
      <c r="E981" s="367"/>
      <c r="F981" s="367"/>
      <c r="G981" s="367"/>
      <c r="H981" s="367"/>
      <c r="I981" s="367"/>
      <c r="J981" s="367"/>
      <c r="K981" s="367"/>
      <c r="L981" s="367"/>
      <c r="M981" s="367"/>
      <c r="N981" s="367"/>
      <c r="O981" s="367"/>
      <c r="P981" s="367"/>
      <c r="Q981" s="367"/>
      <c r="R981" s="367"/>
      <c r="S981" s="367"/>
      <c r="T981" s="367"/>
      <c r="U981" s="367"/>
      <c r="V981" s="367"/>
      <c r="W981" s="367"/>
      <c r="X981" s="367"/>
      <c r="Y981" s="367"/>
      <c r="Z981" s="367"/>
      <c r="AA981" s="367"/>
      <c r="AB981" s="367"/>
      <c r="AC981" s="367"/>
      <c r="AD981" s="367"/>
      <c r="AE981" s="367"/>
      <c r="AF981" s="367"/>
    </row>
    <row r="982" ht="15.75" customHeight="1">
      <c r="A982" s="359"/>
      <c r="B982" s="361"/>
      <c r="C982" s="361"/>
      <c r="D982" s="361"/>
      <c r="E982" s="367"/>
      <c r="F982" s="367"/>
      <c r="G982" s="367"/>
      <c r="H982" s="367"/>
      <c r="I982" s="367"/>
      <c r="J982" s="367"/>
      <c r="K982" s="367"/>
      <c r="L982" s="367"/>
      <c r="M982" s="367"/>
      <c r="N982" s="367"/>
      <c r="O982" s="367"/>
      <c r="P982" s="367"/>
      <c r="Q982" s="367"/>
      <c r="R982" s="367"/>
      <c r="S982" s="367"/>
      <c r="T982" s="367"/>
      <c r="U982" s="367"/>
      <c r="V982" s="367"/>
      <c r="W982" s="367"/>
      <c r="X982" s="367"/>
      <c r="Y982" s="367"/>
      <c r="Z982" s="367"/>
      <c r="AA982" s="367"/>
      <c r="AB982" s="367"/>
      <c r="AC982" s="367"/>
      <c r="AD982" s="367"/>
      <c r="AE982" s="367"/>
      <c r="AF982" s="367"/>
    </row>
    <row r="983" ht="15.75" customHeight="1">
      <c r="A983" s="359"/>
      <c r="B983" s="361"/>
      <c r="C983" s="361"/>
      <c r="D983" s="361"/>
      <c r="E983" s="367"/>
      <c r="F983" s="367"/>
      <c r="G983" s="367"/>
      <c r="H983" s="367"/>
      <c r="I983" s="367"/>
      <c r="J983" s="367"/>
      <c r="K983" s="367"/>
      <c r="L983" s="367"/>
      <c r="M983" s="367"/>
      <c r="N983" s="367"/>
      <c r="O983" s="367"/>
      <c r="P983" s="367"/>
      <c r="Q983" s="367"/>
      <c r="R983" s="367"/>
      <c r="S983" s="367"/>
      <c r="T983" s="367"/>
      <c r="U983" s="367"/>
      <c r="V983" s="367"/>
      <c r="W983" s="367"/>
      <c r="X983" s="367"/>
      <c r="Y983" s="367"/>
      <c r="Z983" s="367"/>
      <c r="AA983" s="367"/>
      <c r="AB983" s="367"/>
      <c r="AC983" s="367"/>
      <c r="AD983" s="367"/>
      <c r="AE983" s="367"/>
      <c r="AF983" s="367"/>
    </row>
    <row r="984" ht="15.75" customHeight="1">
      <c r="A984" s="359"/>
      <c r="B984" s="361"/>
      <c r="C984" s="361"/>
      <c r="D984" s="361"/>
      <c r="E984" s="367"/>
      <c r="F984" s="367"/>
      <c r="G984" s="367"/>
      <c r="H984" s="367"/>
      <c r="I984" s="367"/>
      <c r="J984" s="367"/>
      <c r="K984" s="367"/>
      <c r="L984" s="367"/>
      <c r="M984" s="367"/>
      <c r="N984" s="367"/>
      <c r="O984" s="367"/>
      <c r="P984" s="367"/>
      <c r="Q984" s="367"/>
      <c r="R984" s="367"/>
      <c r="S984" s="367"/>
      <c r="T984" s="367"/>
      <c r="U984" s="367"/>
      <c r="V984" s="367"/>
      <c r="W984" s="367"/>
      <c r="X984" s="367"/>
      <c r="Y984" s="367"/>
      <c r="Z984" s="367"/>
      <c r="AA984" s="367"/>
      <c r="AB984" s="367"/>
      <c r="AC984" s="367"/>
      <c r="AD984" s="367"/>
      <c r="AE984" s="367"/>
      <c r="AF984" s="367"/>
    </row>
    <row r="985" ht="15.75" customHeight="1">
      <c r="A985" s="359"/>
      <c r="B985" s="361"/>
      <c r="C985" s="361"/>
      <c r="D985" s="361"/>
      <c r="E985" s="367"/>
      <c r="F985" s="367"/>
      <c r="G985" s="367"/>
      <c r="H985" s="367"/>
      <c r="I985" s="367"/>
      <c r="J985" s="367"/>
      <c r="K985" s="367"/>
      <c r="L985" s="367"/>
      <c r="M985" s="367"/>
      <c r="N985" s="367"/>
      <c r="O985" s="367"/>
      <c r="P985" s="367"/>
      <c r="Q985" s="367"/>
      <c r="R985" s="367"/>
      <c r="S985" s="367"/>
      <c r="T985" s="367"/>
      <c r="U985" s="367"/>
      <c r="V985" s="367"/>
      <c r="W985" s="367"/>
      <c r="X985" s="367"/>
      <c r="Y985" s="367"/>
      <c r="Z985" s="367"/>
      <c r="AA985" s="367"/>
      <c r="AB985" s="367"/>
      <c r="AC985" s="367"/>
      <c r="AD985" s="367"/>
      <c r="AE985" s="367"/>
      <c r="AF985" s="367"/>
    </row>
    <row r="986" ht="15.75" customHeight="1">
      <c r="A986" s="359"/>
      <c r="B986" s="361"/>
      <c r="C986" s="361"/>
      <c r="D986" s="361"/>
      <c r="E986" s="367"/>
      <c r="F986" s="367"/>
      <c r="G986" s="367"/>
      <c r="H986" s="367"/>
      <c r="I986" s="367"/>
      <c r="J986" s="367"/>
      <c r="K986" s="367"/>
      <c r="L986" s="367"/>
      <c r="M986" s="367"/>
      <c r="N986" s="367"/>
      <c r="O986" s="367"/>
      <c r="P986" s="367"/>
      <c r="Q986" s="367"/>
      <c r="R986" s="367"/>
      <c r="S986" s="367"/>
      <c r="T986" s="367"/>
      <c r="U986" s="367"/>
      <c r="V986" s="367"/>
      <c r="W986" s="367"/>
      <c r="X986" s="367"/>
      <c r="Y986" s="367"/>
      <c r="Z986" s="367"/>
      <c r="AA986" s="367"/>
      <c r="AB986" s="367"/>
      <c r="AC986" s="367"/>
      <c r="AD986" s="367"/>
      <c r="AE986" s="367"/>
      <c r="AF986" s="367"/>
    </row>
    <row r="987" ht="15.75" customHeight="1">
      <c r="A987" s="359"/>
      <c r="B987" s="361"/>
      <c r="C987" s="361"/>
      <c r="D987" s="361"/>
      <c r="E987" s="367"/>
      <c r="F987" s="367"/>
      <c r="G987" s="367"/>
      <c r="H987" s="367"/>
      <c r="I987" s="367"/>
      <c r="J987" s="367"/>
      <c r="K987" s="367"/>
      <c r="L987" s="367"/>
      <c r="M987" s="367"/>
      <c r="N987" s="367"/>
      <c r="O987" s="367"/>
      <c r="P987" s="367"/>
      <c r="Q987" s="367"/>
      <c r="R987" s="367"/>
      <c r="S987" s="367"/>
      <c r="T987" s="367"/>
      <c r="U987" s="367"/>
      <c r="V987" s="367"/>
      <c r="W987" s="367"/>
      <c r="X987" s="367"/>
      <c r="Y987" s="367"/>
      <c r="Z987" s="367"/>
      <c r="AA987" s="367"/>
      <c r="AB987" s="367"/>
      <c r="AC987" s="367"/>
      <c r="AD987" s="367"/>
      <c r="AE987" s="367"/>
      <c r="AF987" s="367"/>
    </row>
    <row r="988" ht="15.75" customHeight="1">
      <c r="A988" s="359"/>
      <c r="B988" s="361"/>
      <c r="C988" s="361"/>
      <c r="D988" s="361"/>
      <c r="E988" s="367"/>
      <c r="F988" s="367"/>
      <c r="G988" s="367"/>
      <c r="H988" s="367"/>
      <c r="I988" s="367"/>
      <c r="J988" s="367"/>
      <c r="K988" s="367"/>
      <c r="L988" s="367"/>
      <c r="M988" s="367"/>
      <c r="N988" s="367"/>
      <c r="O988" s="367"/>
      <c r="P988" s="367"/>
      <c r="Q988" s="367"/>
      <c r="R988" s="367"/>
      <c r="S988" s="367"/>
      <c r="T988" s="367"/>
      <c r="U988" s="367"/>
      <c r="V988" s="367"/>
      <c r="W988" s="367"/>
      <c r="X988" s="367"/>
      <c r="Y988" s="367"/>
      <c r="Z988" s="367"/>
      <c r="AA988" s="367"/>
      <c r="AB988" s="367"/>
      <c r="AC988" s="367"/>
      <c r="AD988" s="367"/>
      <c r="AE988" s="367"/>
      <c r="AF988" s="367"/>
    </row>
    <row r="989" ht="15.75" customHeight="1">
      <c r="A989" s="359"/>
      <c r="B989" s="361"/>
      <c r="C989" s="361"/>
      <c r="D989" s="361"/>
      <c r="E989" s="367"/>
      <c r="F989" s="367"/>
      <c r="G989" s="367"/>
      <c r="H989" s="367"/>
      <c r="I989" s="367"/>
      <c r="J989" s="367"/>
      <c r="K989" s="367"/>
      <c r="L989" s="367"/>
      <c r="M989" s="367"/>
      <c r="N989" s="367"/>
      <c r="O989" s="367"/>
      <c r="P989" s="367"/>
      <c r="Q989" s="367"/>
      <c r="R989" s="367"/>
      <c r="S989" s="367"/>
      <c r="T989" s="367"/>
      <c r="U989" s="367"/>
      <c r="V989" s="367"/>
      <c r="W989" s="367"/>
      <c r="X989" s="367"/>
      <c r="Y989" s="367"/>
      <c r="Z989" s="367"/>
      <c r="AA989" s="367"/>
      <c r="AB989" s="367"/>
      <c r="AC989" s="367"/>
      <c r="AD989" s="367"/>
      <c r="AE989" s="367"/>
      <c r="AF989" s="367"/>
    </row>
    <row r="990" ht="15.75" customHeight="1">
      <c r="A990" s="359"/>
      <c r="B990" s="361"/>
      <c r="C990" s="361"/>
      <c r="D990" s="361"/>
      <c r="E990" s="367"/>
      <c r="F990" s="367"/>
      <c r="G990" s="367"/>
      <c r="H990" s="367"/>
      <c r="I990" s="367"/>
      <c r="J990" s="367"/>
      <c r="K990" s="367"/>
      <c r="L990" s="367"/>
      <c r="M990" s="367"/>
      <c r="N990" s="367"/>
      <c r="O990" s="367"/>
      <c r="P990" s="367"/>
      <c r="Q990" s="367"/>
      <c r="R990" s="367"/>
      <c r="S990" s="367"/>
      <c r="T990" s="367"/>
      <c r="U990" s="367"/>
      <c r="V990" s="367"/>
      <c r="W990" s="367"/>
      <c r="X990" s="367"/>
      <c r="Y990" s="367"/>
      <c r="Z990" s="367"/>
      <c r="AA990" s="367"/>
      <c r="AB990" s="367"/>
      <c r="AC990" s="367"/>
      <c r="AD990" s="367"/>
      <c r="AE990" s="367"/>
      <c r="AF990" s="367"/>
    </row>
    <row r="991" ht="15.75" customHeight="1">
      <c r="A991" s="359"/>
      <c r="B991" s="361"/>
      <c r="C991" s="361"/>
      <c r="D991" s="361"/>
      <c r="E991" s="367"/>
      <c r="F991" s="367"/>
      <c r="G991" s="367"/>
      <c r="H991" s="367"/>
      <c r="I991" s="367"/>
      <c r="J991" s="367"/>
      <c r="K991" s="367"/>
      <c r="L991" s="367"/>
      <c r="M991" s="367"/>
      <c r="N991" s="367"/>
      <c r="O991" s="367"/>
      <c r="P991" s="367"/>
      <c r="Q991" s="367"/>
      <c r="R991" s="367"/>
      <c r="S991" s="367"/>
      <c r="T991" s="367"/>
      <c r="U991" s="367"/>
      <c r="V991" s="367"/>
      <c r="W991" s="367"/>
      <c r="X991" s="367"/>
      <c r="Y991" s="367"/>
      <c r="Z991" s="367"/>
      <c r="AA991" s="367"/>
      <c r="AB991" s="367"/>
      <c r="AC991" s="367"/>
      <c r="AD991" s="367"/>
      <c r="AE991" s="367"/>
      <c r="AF991" s="367"/>
    </row>
    <row r="992" ht="15.75" customHeight="1">
      <c r="A992" s="359"/>
      <c r="B992" s="361"/>
      <c r="C992" s="361"/>
      <c r="D992" s="361"/>
      <c r="E992" s="367"/>
      <c r="F992" s="367"/>
      <c r="G992" s="367"/>
      <c r="H992" s="367"/>
      <c r="I992" s="367"/>
      <c r="J992" s="367"/>
      <c r="K992" s="367"/>
      <c r="L992" s="367"/>
      <c r="M992" s="367"/>
      <c r="N992" s="367"/>
      <c r="O992" s="367"/>
      <c r="P992" s="367"/>
      <c r="Q992" s="367"/>
      <c r="R992" s="367"/>
      <c r="S992" s="367"/>
      <c r="T992" s="367"/>
      <c r="U992" s="367"/>
      <c r="V992" s="367"/>
      <c r="W992" s="367"/>
      <c r="X992" s="367"/>
      <c r="Y992" s="367"/>
      <c r="Z992" s="367"/>
      <c r="AA992" s="367"/>
      <c r="AB992" s="367"/>
      <c r="AC992" s="367"/>
      <c r="AD992" s="367"/>
      <c r="AE992" s="367"/>
      <c r="AF992" s="367"/>
    </row>
    <row r="993" ht="15.75" customHeight="1">
      <c r="A993" s="359"/>
      <c r="B993" s="361"/>
      <c r="C993" s="361"/>
      <c r="D993" s="361"/>
      <c r="E993" s="367"/>
      <c r="F993" s="367"/>
      <c r="G993" s="367"/>
      <c r="H993" s="367"/>
      <c r="I993" s="367"/>
      <c r="J993" s="367"/>
      <c r="K993" s="367"/>
      <c r="L993" s="367"/>
      <c r="M993" s="367"/>
      <c r="N993" s="367"/>
      <c r="O993" s="367"/>
      <c r="P993" s="367"/>
      <c r="Q993" s="367"/>
      <c r="R993" s="367"/>
      <c r="S993" s="367"/>
      <c r="T993" s="367"/>
      <c r="U993" s="367"/>
      <c r="V993" s="367"/>
      <c r="W993" s="367"/>
      <c r="X993" s="367"/>
      <c r="Y993" s="367"/>
      <c r="Z993" s="367"/>
      <c r="AA993" s="367"/>
      <c r="AB993" s="367"/>
      <c r="AC993" s="367"/>
      <c r="AD993" s="367"/>
      <c r="AE993" s="367"/>
      <c r="AF993" s="367"/>
    </row>
    <row r="994" ht="15.75" customHeight="1">
      <c r="A994" s="359"/>
      <c r="B994" s="361"/>
      <c r="C994" s="361"/>
      <c r="D994" s="361"/>
      <c r="E994" s="367"/>
      <c r="F994" s="367"/>
      <c r="G994" s="367"/>
      <c r="H994" s="367"/>
      <c r="I994" s="367"/>
      <c r="J994" s="367"/>
      <c r="K994" s="367"/>
      <c r="L994" s="367"/>
      <c r="M994" s="367"/>
      <c r="N994" s="367"/>
      <c r="O994" s="367"/>
      <c r="P994" s="367"/>
      <c r="Q994" s="367"/>
      <c r="R994" s="367"/>
      <c r="S994" s="367"/>
      <c r="T994" s="367"/>
      <c r="U994" s="367"/>
      <c r="V994" s="367"/>
      <c r="W994" s="367"/>
      <c r="X994" s="367"/>
      <c r="Y994" s="367"/>
      <c r="Z994" s="367"/>
      <c r="AA994" s="367"/>
      <c r="AB994" s="367"/>
      <c r="AC994" s="367"/>
      <c r="AD994" s="367"/>
      <c r="AE994" s="367"/>
      <c r="AF994" s="367"/>
    </row>
    <row r="995" ht="15.75" customHeight="1">
      <c r="A995" s="359"/>
      <c r="B995" s="361"/>
      <c r="C995" s="361"/>
      <c r="D995" s="361"/>
      <c r="E995" s="367"/>
      <c r="F995" s="367"/>
      <c r="G995" s="367"/>
      <c r="H995" s="367"/>
      <c r="I995" s="367"/>
      <c r="J995" s="367"/>
      <c r="K995" s="367"/>
      <c r="L995" s="367"/>
      <c r="M995" s="367"/>
      <c r="N995" s="367"/>
      <c r="O995" s="367"/>
      <c r="P995" s="367"/>
      <c r="Q995" s="367"/>
      <c r="R995" s="367"/>
      <c r="S995" s="367"/>
      <c r="T995" s="367"/>
      <c r="U995" s="367"/>
      <c r="V995" s="367"/>
      <c r="W995" s="367"/>
      <c r="X995" s="367"/>
      <c r="Y995" s="367"/>
      <c r="Z995" s="367"/>
      <c r="AA995" s="367"/>
      <c r="AB995" s="367"/>
      <c r="AC995" s="367"/>
      <c r="AD995" s="367"/>
      <c r="AE995" s="367"/>
      <c r="AF995" s="367"/>
    </row>
    <row r="996" ht="15.75" customHeight="1">
      <c r="A996" s="359"/>
      <c r="B996" s="361"/>
      <c r="C996" s="361"/>
      <c r="D996" s="361"/>
      <c r="E996" s="367"/>
      <c r="F996" s="367"/>
      <c r="G996" s="367"/>
      <c r="H996" s="367"/>
      <c r="I996" s="367"/>
      <c r="J996" s="367"/>
      <c r="K996" s="367"/>
      <c r="L996" s="367"/>
      <c r="M996" s="367"/>
      <c r="N996" s="367"/>
      <c r="O996" s="367"/>
      <c r="P996" s="367"/>
      <c r="Q996" s="367"/>
      <c r="R996" s="367"/>
      <c r="S996" s="367"/>
      <c r="T996" s="367"/>
      <c r="U996" s="367"/>
      <c r="V996" s="367"/>
      <c r="W996" s="367"/>
      <c r="X996" s="367"/>
      <c r="Y996" s="367"/>
      <c r="Z996" s="367"/>
      <c r="AA996" s="367"/>
      <c r="AB996" s="367"/>
      <c r="AC996" s="367"/>
      <c r="AD996" s="367"/>
      <c r="AE996" s="367"/>
      <c r="AF996" s="367"/>
    </row>
    <row r="997" ht="15.75" customHeight="1">
      <c r="A997" s="359"/>
      <c r="B997" s="361"/>
      <c r="C997" s="361"/>
      <c r="D997" s="361"/>
      <c r="E997" s="367"/>
      <c r="F997" s="367"/>
      <c r="G997" s="367"/>
      <c r="H997" s="367"/>
      <c r="I997" s="367"/>
      <c r="J997" s="367"/>
      <c r="K997" s="367"/>
      <c r="L997" s="367"/>
      <c r="M997" s="367"/>
      <c r="N997" s="367"/>
      <c r="O997" s="367"/>
      <c r="P997" s="367"/>
      <c r="Q997" s="367"/>
      <c r="R997" s="367"/>
      <c r="S997" s="367"/>
      <c r="T997" s="367"/>
      <c r="U997" s="367"/>
      <c r="V997" s="367"/>
      <c r="W997" s="367"/>
      <c r="X997" s="367"/>
      <c r="Y997" s="367"/>
      <c r="Z997" s="367"/>
      <c r="AA997" s="367"/>
      <c r="AB997" s="367"/>
      <c r="AC997" s="367"/>
      <c r="AD997" s="367"/>
      <c r="AE997" s="367"/>
      <c r="AF997" s="367"/>
    </row>
    <row r="998" ht="15.75" customHeight="1">
      <c r="A998" s="359"/>
      <c r="B998" s="361"/>
      <c r="C998" s="361"/>
      <c r="D998" s="361"/>
      <c r="E998" s="367"/>
      <c r="F998" s="367"/>
      <c r="G998" s="367"/>
      <c r="H998" s="367"/>
      <c r="I998" s="367"/>
      <c r="J998" s="367"/>
      <c r="K998" s="367"/>
      <c r="L998" s="367"/>
      <c r="M998" s="367"/>
      <c r="N998" s="367"/>
      <c r="O998" s="367"/>
      <c r="P998" s="367"/>
      <c r="Q998" s="367"/>
      <c r="R998" s="367"/>
      <c r="S998" s="367"/>
      <c r="T998" s="367"/>
      <c r="U998" s="367"/>
      <c r="V998" s="367"/>
      <c r="W998" s="367"/>
      <c r="X998" s="367"/>
      <c r="Y998" s="367"/>
      <c r="Z998" s="367"/>
      <c r="AA998" s="367"/>
      <c r="AB998" s="367"/>
      <c r="AC998" s="367"/>
      <c r="AD998" s="367"/>
      <c r="AE998" s="367"/>
      <c r="AF998" s="367"/>
    </row>
    <row r="999" ht="15.75" customHeight="1">
      <c r="A999" s="359"/>
      <c r="B999" s="361"/>
      <c r="C999" s="361"/>
      <c r="D999" s="361"/>
      <c r="E999" s="367"/>
      <c r="F999" s="367"/>
      <c r="G999" s="367"/>
      <c r="H999" s="367"/>
      <c r="I999" s="367"/>
      <c r="J999" s="367"/>
      <c r="K999" s="367"/>
      <c r="L999" s="367"/>
      <c r="M999" s="367"/>
      <c r="N999" s="367"/>
      <c r="O999" s="367"/>
      <c r="P999" s="367"/>
      <c r="Q999" s="367"/>
      <c r="R999" s="367"/>
      <c r="S999" s="367"/>
      <c r="T999" s="367"/>
      <c r="U999" s="367"/>
      <c r="V999" s="367"/>
      <c r="W999" s="367"/>
      <c r="X999" s="367"/>
      <c r="Y999" s="367"/>
      <c r="Z999" s="367"/>
      <c r="AA999" s="367"/>
      <c r="AB999" s="367"/>
      <c r="AC999" s="367"/>
      <c r="AD999" s="367"/>
      <c r="AE999" s="367"/>
      <c r="AF999" s="367"/>
    </row>
    <row r="1000" ht="15.75" customHeight="1">
      <c r="A1000" s="359"/>
      <c r="B1000" s="361"/>
      <c r="C1000" s="361"/>
      <c r="D1000" s="361"/>
      <c r="E1000" s="367"/>
      <c r="F1000" s="367"/>
      <c r="G1000" s="367"/>
      <c r="H1000" s="367"/>
      <c r="I1000" s="367"/>
      <c r="J1000" s="367"/>
      <c r="K1000" s="367"/>
      <c r="L1000" s="367"/>
      <c r="M1000" s="367"/>
      <c r="N1000" s="367"/>
      <c r="O1000" s="367"/>
      <c r="P1000" s="367"/>
      <c r="Q1000" s="367"/>
      <c r="R1000" s="367"/>
      <c r="S1000" s="367"/>
      <c r="T1000" s="367"/>
      <c r="U1000" s="367"/>
      <c r="V1000" s="367"/>
      <c r="W1000" s="367"/>
      <c r="X1000" s="367"/>
      <c r="Y1000" s="367"/>
      <c r="Z1000" s="367"/>
      <c r="AA1000" s="367"/>
      <c r="AB1000" s="367"/>
      <c r="AC1000" s="367"/>
      <c r="AD1000" s="367"/>
      <c r="AE1000" s="367"/>
      <c r="AF1000" s="367"/>
    </row>
    <row r="1001" ht="15.75" customHeight="1">
      <c r="A1001" s="359"/>
      <c r="B1001" s="361"/>
      <c r="C1001" s="361"/>
      <c r="D1001" s="361"/>
      <c r="E1001" s="367"/>
      <c r="F1001" s="367"/>
      <c r="G1001" s="367"/>
      <c r="H1001" s="367"/>
      <c r="I1001" s="367"/>
      <c r="J1001" s="367"/>
      <c r="K1001" s="367"/>
      <c r="L1001" s="367"/>
      <c r="M1001" s="367"/>
      <c r="N1001" s="367"/>
      <c r="O1001" s="367"/>
      <c r="P1001" s="367"/>
      <c r="Q1001" s="367"/>
      <c r="R1001" s="367"/>
      <c r="S1001" s="367"/>
      <c r="T1001" s="367"/>
      <c r="U1001" s="367"/>
      <c r="V1001" s="367"/>
      <c r="W1001" s="367"/>
      <c r="X1001" s="367"/>
      <c r="Y1001" s="367"/>
      <c r="Z1001" s="367"/>
      <c r="AA1001" s="367"/>
      <c r="AB1001" s="367"/>
      <c r="AC1001" s="367"/>
      <c r="AD1001" s="367"/>
      <c r="AE1001" s="367"/>
      <c r="AF1001" s="367"/>
    </row>
    <row r="1002" ht="15.75" customHeight="1">
      <c r="A1002" s="359"/>
      <c r="B1002" s="361"/>
      <c r="C1002" s="361"/>
      <c r="D1002" s="361"/>
      <c r="E1002" s="367"/>
      <c r="F1002" s="367"/>
      <c r="G1002" s="367"/>
      <c r="H1002" s="367"/>
      <c r="I1002" s="367"/>
      <c r="J1002" s="367"/>
      <c r="K1002" s="367"/>
      <c r="L1002" s="367"/>
      <c r="M1002" s="367"/>
      <c r="N1002" s="367"/>
      <c r="O1002" s="367"/>
      <c r="P1002" s="367"/>
      <c r="Q1002" s="367"/>
      <c r="R1002" s="367"/>
      <c r="S1002" s="367"/>
      <c r="T1002" s="367"/>
      <c r="U1002" s="367"/>
      <c r="V1002" s="367"/>
      <c r="W1002" s="367"/>
      <c r="X1002" s="367"/>
      <c r="Y1002" s="367"/>
      <c r="Z1002" s="367"/>
      <c r="AA1002" s="367"/>
      <c r="AB1002" s="367"/>
      <c r="AC1002" s="367"/>
      <c r="AD1002" s="367"/>
      <c r="AE1002" s="367"/>
      <c r="AF1002" s="367"/>
    </row>
    <row r="1003" ht="15.75" customHeight="1">
      <c r="A1003" s="359"/>
      <c r="B1003" s="361"/>
      <c r="C1003" s="361"/>
      <c r="D1003" s="361"/>
      <c r="E1003" s="367"/>
      <c r="F1003" s="367"/>
      <c r="G1003" s="367"/>
      <c r="H1003" s="367"/>
      <c r="I1003" s="367"/>
      <c r="J1003" s="367"/>
      <c r="K1003" s="367"/>
      <c r="L1003" s="367"/>
      <c r="M1003" s="367"/>
      <c r="N1003" s="367"/>
      <c r="O1003" s="367"/>
      <c r="P1003" s="367"/>
      <c r="Q1003" s="367"/>
      <c r="R1003" s="367"/>
      <c r="S1003" s="367"/>
      <c r="T1003" s="367"/>
      <c r="U1003" s="367"/>
      <c r="V1003" s="367"/>
      <c r="W1003" s="367"/>
      <c r="X1003" s="367"/>
      <c r="Y1003" s="367"/>
      <c r="Z1003" s="367"/>
      <c r="AA1003" s="367"/>
      <c r="AB1003" s="367"/>
      <c r="AC1003" s="367"/>
      <c r="AD1003" s="367"/>
      <c r="AE1003" s="367"/>
      <c r="AF1003" s="367"/>
    </row>
    <row r="1004" ht="15.75" customHeight="1">
      <c r="A1004" s="359"/>
      <c r="B1004" s="361"/>
      <c r="C1004" s="361"/>
      <c r="D1004" s="361"/>
      <c r="E1004" s="367"/>
      <c r="F1004" s="367"/>
      <c r="G1004" s="367"/>
      <c r="H1004" s="367"/>
      <c r="I1004" s="367"/>
      <c r="J1004" s="367"/>
      <c r="K1004" s="367"/>
      <c r="L1004" s="367"/>
      <c r="M1004" s="367"/>
      <c r="N1004" s="367"/>
      <c r="O1004" s="367"/>
      <c r="P1004" s="367"/>
      <c r="Q1004" s="367"/>
      <c r="R1004" s="367"/>
      <c r="S1004" s="367"/>
      <c r="T1004" s="367"/>
      <c r="U1004" s="367"/>
      <c r="V1004" s="367"/>
      <c r="W1004" s="367"/>
      <c r="X1004" s="367"/>
      <c r="Y1004" s="367"/>
      <c r="Z1004" s="367"/>
      <c r="AA1004" s="367"/>
      <c r="AB1004" s="367"/>
      <c r="AC1004" s="367"/>
      <c r="AD1004" s="367"/>
      <c r="AE1004" s="367"/>
      <c r="AF1004" s="367"/>
    </row>
  </sheetData>
  <mergeCells count="8">
    <mergeCell ref="P7:R7"/>
    <mergeCell ref="D8:I8"/>
    <mergeCell ref="P8:R8"/>
    <mergeCell ref="D9:I10"/>
    <mergeCell ref="D11:I11"/>
    <mergeCell ref="D13:I13"/>
    <mergeCell ref="D14:I16"/>
    <mergeCell ref="D17:I17"/>
  </mergeCells>
  <conditionalFormatting sqref="D1:D6">
    <cfRule type="containsText" dxfId="2" priority="1" operator="containsText" text="squat">
      <formula>NOT(ISERROR(SEARCH(("squat"),(D1))))</formula>
    </cfRule>
  </conditionalFormatting>
  <conditionalFormatting sqref="D1:D6">
    <cfRule type="containsText" dxfId="3" priority="2" operator="containsText" text="bench press">
      <formula>NOT(ISERROR(SEARCH(("bench press"),(D1))))</formula>
    </cfRule>
  </conditionalFormatting>
  <conditionalFormatting sqref="D1:D6">
    <cfRule type="containsText" dxfId="4" priority="3" operator="containsText" text="deadlift">
      <formula>NOT(ISERROR(SEARCH(("deadlift"),(D1))))</formula>
    </cfRule>
  </conditionalFormatting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.0"/>
    <col customWidth="1" min="2" max="2" width="2.38"/>
    <col customWidth="1" min="3" max="3" width="1.0"/>
    <col customWidth="1" min="4" max="4" width="5.25"/>
    <col customWidth="1" min="5" max="14" width="9.0"/>
    <col customWidth="1" min="15" max="15" width="3.13"/>
    <col customWidth="1" min="16" max="16" width="10.75"/>
    <col customWidth="1" min="17" max="32" width="9.0"/>
  </cols>
  <sheetData>
    <row r="1" ht="5.2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3"/>
      <c r="L1" s="3"/>
      <c r="M1" s="3"/>
      <c r="N1" s="3"/>
      <c r="O1" s="3"/>
      <c r="P1" s="4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</row>
    <row r="2" ht="13.5" customHeight="1">
      <c r="A2" s="381"/>
      <c r="B2" s="6"/>
      <c r="C2" s="7"/>
      <c r="D2" s="7"/>
      <c r="E2" s="7"/>
      <c r="F2" s="7"/>
      <c r="G2" s="7"/>
      <c r="H2" s="7"/>
      <c r="I2" s="7"/>
      <c r="J2" s="7"/>
      <c r="K2" s="8"/>
      <c r="L2" s="8"/>
      <c r="M2" s="8"/>
      <c r="N2" s="8"/>
      <c r="O2" s="8"/>
      <c r="P2" s="9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1"/>
      <c r="AE2" s="11"/>
      <c r="AF2" s="11"/>
    </row>
    <row r="3" ht="5.25" customHeight="1">
      <c r="A3" s="26"/>
      <c r="B3" s="13"/>
      <c r="C3" s="12"/>
      <c r="D3" s="12"/>
      <c r="E3" s="12"/>
      <c r="F3" s="12"/>
      <c r="G3" s="12"/>
      <c r="H3" s="12"/>
      <c r="I3" s="12"/>
      <c r="J3" s="12"/>
      <c r="K3" s="3"/>
      <c r="L3" s="3"/>
      <c r="M3" s="3"/>
      <c r="N3" s="3"/>
      <c r="O3" s="3"/>
      <c r="P3" s="4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</row>
    <row r="4" ht="18.75" customHeight="1">
      <c r="A4" s="26"/>
      <c r="B4" s="13"/>
      <c r="C4" s="12"/>
      <c r="D4" s="14"/>
      <c r="E4" s="14"/>
      <c r="F4" s="14"/>
      <c r="G4" s="14"/>
      <c r="H4" s="14"/>
      <c r="I4" s="14"/>
      <c r="J4" s="14"/>
      <c r="K4" s="15"/>
      <c r="L4" s="15"/>
      <c r="M4" s="15"/>
      <c r="N4" s="15"/>
      <c r="O4" s="15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8"/>
      <c r="AE4" s="18"/>
      <c r="AF4" s="18"/>
    </row>
    <row r="5" ht="5.25" customHeight="1">
      <c r="A5" s="26"/>
      <c r="B5" s="13"/>
      <c r="C5" s="12"/>
      <c r="D5" s="12"/>
      <c r="E5" s="12"/>
      <c r="F5" s="19"/>
      <c r="G5" s="19"/>
      <c r="H5" s="19"/>
      <c r="I5" s="19"/>
      <c r="J5" s="12"/>
      <c r="K5" s="3"/>
      <c r="L5" s="3"/>
      <c r="M5" s="3"/>
      <c r="N5" s="3"/>
      <c r="O5" s="3"/>
      <c r="P5" s="4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</row>
    <row r="6" ht="22.5" customHeight="1">
      <c r="A6" s="26"/>
      <c r="B6" s="13"/>
      <c r="C6" s="12"/>
      <c r="D6" s="20"/>
      <c r="E6" s="20"/>
      <c r="F6" s="21"/>
      <c r="G6" s="21"/>
      <c r="H6" s="21"/>
      <c r="I6" s="21"/>
      <c r="J6" s="20"/>
      <c r="K6" s="22"/>
      <c r="L6" s="22"/>
      <c r="M6" s="22"/>
      <c r="N6" s="22"/>
      <c r="O6" s="22"/>
      <c r="P6" s="23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5"/>
      <c r="AE6" s="25"/>
      <c r="AF6" s="25"/>
    </row>
    <row r="7" ht="14.25" customHeight="1">
      <c r="A7" s="382"/>
      <c r="B7" s="383"/>
      <c r="C7" s="382"/>
      <c r="D7" s="382"/>
      <c r="E7" s="384"/>
      <c r="F7" s="384"/>
      <c r="G7" s="384"/>
      <c r="H7" s="384"/>
      <c r="I7" s="384"/>
      <c r="J7" s="384"/>
      <c r="K7" s="384"/>
      <c r="L7" s="384"/>
      <c r="M7" s="384"/>
      <c r="N7" s="384"/>
      <c r="O7" s="216"/>
      <c r="P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</row>
    <row r="8" ht="14.25" customHeight="1">
      <c r="A8" s="382"/>
      <c r="B8" s="383"/>
      <c r="C8" s="382"/>
      <c r="D8" s="386"/>
      <c r="E8" s="387">
        <v>1.0</v>
      </c>
      <c r="F8" s="387">
        <v>2.0</v>
      </c>
      <c r="G8" s="387">
        <v>3.0</v>
      </c>
      <c r="H8" s="387">
        <v>4.0</v>
      </c>
      <c r="I8" s="387">
        <v>5.0</v>
      </c>
      <c r="J8" s="387">
        <v>6.0</v>
      </c>
      <c r="K8" s="387">
        <v>7.0</v>
      </c>
      <c r="L8" s="387">
        <v>8.0</v>
      </c>
      <c r="M8" s="387">
        <v>9.0</v>
      </c>
      <c r="N8" s="387">
        <v>10.0</v>
      </c>
      <c r="O8" s="267"/>
      <c r="P8" s="385" t="s">
        <v>132</v>
      </c>
      <c r="S8" s="388"/>
      <c r="T8" s="388"/>
      <c r="U8" s="388"/>
      <c r="V8" s="388"/>
      <c r="W8" s="388"/>
      <c r="X8" s="388"/>
      <c r="Y8" s="388"/>
      <c r="Z8" s="388"/>
      <c r="AA8" s="388"/>
      <c r="AB8" s="388"/>
      <c r="AC8" s="388"/>
      <c r="AD8" s="388"/>
      <c r="AE8" s="388"/>
      <c r="AF8" s="388"/>
    </row>
    <row r="9" ht="14.25" customHeight="1">
      <c r="A9" s="384"/>
      <c r="B9" s="389"/>
      <c r="C9" s="384"/>
      <c r="D9" s="387">
        <v>10.0</v>
      </c>
      <c r="E9" s="390">
        <v>1.0</v>
      </c>
      <c r="F9" s="391">
        <v>0.9633333333333334</v>
      </c>
      <c r="G9" s="391">
        <v>0.9266666666666667</v>
      </c>
      <c r="H9" s="391">
        <v>0.89</v>
      </c>
      <c r="I9" s="391">
        <v>0.865</v>
      </c>
      <c r="J9" s="391">
        <v>0.84</v>
      </c>
      <c r="K9" s="391">
        <v>0.815</v>
      </c>
      <c r="L9" s="391">
        <v>0.79</v>
      </c>
      <c r="M9" s="391">
        <v>0.765</v>
      </c>
      <c r="N9" s="391">
        <v>0.74</v>
      </c>
      <c r="O9" s="392"/>
      <c r="P9" s="393" t="s">
        <v>133</v>
      </c>
      <c r="Q9" s="393" t="s">
        <v>134</v>
      </c>
      <c r="R9" s="393" t="s">
        <v>135</v>
      </c>
      <c r="S9" s="302"/>
      <c r="T9" s="302"/>
      <c r="U9" s="302"/>
      <c r="V9" s="302"/>
      <c r="W9" s="302"/>
      <c r="X9" s="302"/>
      <c r="Y9" s="302"/>
      <c r="Z9" s="302"/>
      <c r="AA9" s="302"/>
      <c r="AB9" s="302"/>
      <c r="AC9" s="302"/>
      <c r="AD9" s="302"/>
      <c r="AE9" s="302"/>
      <c r="AF9" s="302"/>
    </row>
    <row r="10" ht="14.25" customHeight="1">
      <c r="A10" s="384"/>
      <c r="B10" s="389"/>
      <c r="C10" s="384"/>
      <c r="D10" s="387">
        <v>9.5</v>
      </c>
      <c r="E10" s="394">
        <v>0.9816666666666667</v>
      </c>
      <c r="F10" s="395">
        <v>0.9450000000000001</v>
      </c>
      <c r="G10" s="395">
        <v>0.9083333333333334</v>
      </c>
      <c r="H10" s="395">
        <v>0.8775</v>
      </c>
      <c r="I10" s="395">
        <v>0.8525</v>
      </c>
      <c r="J10" s="395">
        <v>0.8274999999999999</v>
      </c>
      <c r="K10" s="395">
        <v>0.8025</v>
      </c>
      <c r="L10" s="395">
        <v>0.7775000000000001</v>
      </c>
      <c r="M10" s="395">
        <v>0.7525</v>
      </c>
      <c r="N10" s="395">
        <v>0.73375</v>
      </c>
      <c r="O10" s="396"/>
      <c r="P10" s="397">
        <v>248.0</v>
      </c>
      <c r="Q10" s="397">
        <v>4.0</v>
      </c>
      <c r="R10" s="397">
        <v>6.0</v>
      </c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</row>
    <row r="11" ht="14.25" customHeight="1">
      <c r="A11" s="384"/>
      <c r="B11" s="389"/>
      <c r="C11" s="384"/>
      <c r="D11" s="387">
        <v>9.0</v>
      </c>
      <c r="E11" s="394">
        <v>0.9633333333333334</v>
      </c>
      <c r="F11" s="395">
        <v>0.9266666666666667</v>
      </c>
      <c r="G11" s="395">
        <v>0.89</v>
      </c>
      <c r="H11" s="395">
        <v>0.865</v>
      </c>
      <c r="I11" s="395">
        <v>0.84</v>
      </c>
      <c r="J11" s="395">
        <v>0.815</v>
      </c>
      <c r="K11" s="395">
        <v>0.79</v>
      </c>
      <c r="L11" s="395">
        <v>0.765</v>
      </c>
      <c r="M11" s="395">
        <v>0.74</v>
      </c>
      <c r="N11" s="395">
        <v>0.7275</v>
      </c>
      <c r="O11" s="267"/>
      <c r="P11" s="398"/>
      <c r="Q11" s="398"/>
      <c r="R11" s="398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  <c r="AC11" s="156"/>
      <c r="AD11" s="156"/>
      <c r="AE11" s="156"/>
      <c r="AF11" s="156"/>
    </row>
    <row r="12" ht="14.25" customHeight="1">
      <c r="A12" s="384"/>
      <c r="B12" s="389"/>
      <c r="C12" s="384"/>
      <c r="D12" s="387">
        <v>8.5</v>
      </c>
      <c r="E12" s="399">
        <v>0.9450000000000001</v>
      </c>
      <c r="F12" s="400">
        <v>0.9083333333333334</v>
      </c>
      <c r="G12" s="400">
        <v>0.8775</v>
      </c>
      <c r="H12" s="400">
        <v>0.8525</v>
      </c>
      <c r="I12" s="400">
        <v>0.8274999999999999</v>
      </c>
      <c r="J12" s="400">
        <v>0.8025</v>
      </c>
      <c r="K12" s="400">
        <v>0.7775000000000001</v>
      </c>
      <c r="L12" s="400">
        <v>0.7525</v>
      </c>
      <c r="M12" s="400">
        <v>0.7275</v>
      </c>
      <c r="N12" s="400">
        <v>0.70875</v>
      </c>
      <c r="O12" s="267"/>
      <c r="P12" s="401" t="s">
        <v>136</v>
      </c>
      <c r="Q12" s="267"/>
      <c r="R12" s="267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</row>
    <row r="13" ht="14.25" customHeight="1">
      <c r="A13" s="384"/>
      <c r="B13" s="389"/>
      <c r="C13" s="384"/>
      <c r="D13" s="387">
        <v>8.0</v>
      </c>
      <c r="E13" s="399">
        <v>0.9266666666666667</v>
      </c>
      <c r="F13" s="400">
        <v>0.89</v>
      </c>
      <c r="G13" s="400">
        <v>0.865</v>
      </c>
      <c r="H13" s="400">
        <v>0.84</v>
      </c>
      <c r="I13" s="400">
        <v>0.815</v>
      </c>
      <c r="J13" s="400">
        <v>0.79</v>
      </c>
      <c r="K13" s="400">
        <v>0.765</v>
      </c>
      <c r="L13" s="400">
        <v>0.74</v>
      </c>
      <c r="M13" s="400">
        <v>0.715</v>
      </c>
      <c r="N13" s="400">
        <v>0.69</v>
      </c>
      <c r="O13" s="267"/>
      <c r="P13" s="402">
        <f>MROUND(P10/VLOOKUP(R10,D9:N18,Q10+1,FALSE),2.5)</f>
        <v>315</v>
      </c>
      <c r="Q13" s="267"/>
      <c r="R13" s="267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</row>
    <row r="14" ht="14.25" customHeight="1">
      <c r="A14" s="384"/>
      <c r="B14" s="389"/>
      <c r="C14" s="384"/>
      <c r="D14" s="387">
        <v>7.5</v>
      </c>
      <c r="E14" s="403">
        <v>0.9083333333333334</v>
      </c>
      <c r="F14" s="404">
        <v>0.8775</v>
      </c>
      <c r="G14" s="404">
        <v>0.8525</v>
      </c>
      <c r="H14" s="404">
        <v>0.8274999999999999</v>
      </c>
      <c r="I14" s="404">
        <v>0.8025</v>
      </c>
      <c r="J14" s="404">
        <v>0.7775000000000001</v>
      </c>
      <c r="K14" s="404">
        <v>0.7525</v>
      </c>
      <c r="L14" s="404">
        <v>0.7275</v>
      </c>
      <c r="M14" s="404">
        <v>0.7024999999999999</v>
      </c>
      <c r="N14" s="404">
        <v>0.6775</v>
      </c>
      <c r="O14" s="267"/>
      <c r="P14" s="267"/>
      <c r="Q14" s="267"/>
      <c r="R14" s="267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</row>
    <row r="15" ht="14.25" customHeight="1">
      <c r="A15" s="384"/>
      <c r="B15" s="389"/>
      <c r="C15" s="384"/>
      <c r="D15" s="387">
        <v>7.0</v>
      </c>
      <c r="E15" s="403">
        <v>0.89</v>
      </c>
      <c r="F15" s="404">
        <v>0.865</v>
      </c>
      <c r="G15" s="404">
        <v>0.84</v>
      </c>
      <c r="H15" s="404">
        <v>0.815</v>
      </c>
      <c r="I15" s="404">
        <v>0.79</v>
      </c>
      <c r="J15" s="404">
        <v>0.765</v>
      </c>
      <c r="K15" s="404">
        <v>0.74</v>
      </c>
      <c r="L15" s="404">
        <v>0.715</v>
      </c>
      <c r="M15" s="404">
        <v>0.69</v>
      </c>
      <c r="N15" s="404">
        <v>0.6649999999999999</v>
      </c>
      <c r="O15" s="267"/>
      <c r="P15" s="267"/>
      <c r="Q15" s="267"/>
      <c r="R15" s="267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</row>
    <row r="16" ht="14.25" customHeight="1">
      <c r="A16" s="384"/>
      <c r="B16" s="389"/>
      <c r="C16" s="384"/>
      <c r="D16" s="387">
        <v>6.5</v>
      </c>
      <c r="E16" s="405">
        <v>0.8775</v>
      </c>
      <c r="F16" s="406">
        <v>0.8525</v>
      </c>
      <c r="G16" s="406">
        <v>0.8274999999999999</v>
      </c>
      <c r="H16" s="406">
        <v>0.8025</v>
      </c>
      <c r="I16" s="406">
        <v>0.7775000000000001</v>
      </c>
      <c r="J16" s="406">
        <v>0.7525</v>
      </c>
      <c r="K16" s="406">
        <v>0.7275</v>
      </c>
      <c r="L16" s="406">
        <v>0.7024999999999999</v>
      </c>
      <c r="M16" s="406">
        <v>0.6775</v>
      </c>
      <c r="N16" s="406">
        <v>0.6524999999999999</v>
      </c>
      <c r="O16" s="267"/>
      <c r="P16" s="267"/>
      <c r="Q16" s="267"/>
      <c r="R16" s="267"/>
      <c r="S16" s="216"/>
      <c r="T16" s="216"/>
      <c r="U16" s="216"/>
      <c r="V16" s="216"/>
      <c r="W16" s="216"/>
      <c r="X16" s="216"/>
      <c r="Y16" s="216"/>
      <c r="Z16" s="216"/>
      <c r="AA16" s="216"/>
      <c r="AB16" s="216"/>
      <c r="AC16" s="216"/>
      <c r="AD16" s="216"/>
      <c r="AE16" s="216"/>
      <c r="AF16" s="216"/>
    </row>
    <row r="17" ht="14.25" customHeight="1">
      <c r="A17" s="384"/>
      <c r="B17" s="389"/>
      <c r="C17" s="384"/>
      <c r="D17" s="407">
        <v>6.0</v>
      </c>
      <c r="E17" s="408">
        <v>0.865</v>
      </c>
      <c r="F17" s="406">
        <v>0.84</v>
      </c>
      <c r="G17" s="406">
        <v>0.815</v>
      </c>
      <c r="H17" s="406">
        <v>0.79</v>
      </c>
      <c r="I17" s="406">
        <v>0.765</v>
      </c>
      <c r="J17" s="406">
        <v>0.74</v>
      </c>
      <c r="K17" s="406">
        <v>0.715</v>
      </c>
      <c r="L17" s="406">
        <v>0.69</v>
      </c>
      <c r="M17" s="406">
        <v>0.6649999999999999</v>
      </c>
      <c r="N17" s="406">
        <v>0.6399999999999999</v>
      </c>
      <c r="O17" s="267"/>
      <c r="P17" s="267"/>
      <c r="Q17" s="267"/>
      <c r="R17" s="267"/>
      <c r="S17" s="216"/>
      <c r="T17" s="216"/>
      <c r="U17" s="216"/>
      <c r="V17" s="216"/>
      <c r="W17" s="216"/>
      <c r="X17" s="216"/>
      <c r="Y17" s="216"/>
      <c r="Z17" s="216"/>
      <c r="AA17" s="216"/>
      <c r="AB17" s="216"/>
      <c r="AC17" s="216"/>
      <c r="AD17" s="216"/>
      <c r="AE17" s="216"/>
      <c r="AF17" s="216"/>
    </row>
    <row r="18" ht="14.25" customHeight="1">
      <c r="A18" s="384"/>
      <c r="B18" s="389"/>
      <c r="C18" s="384"/>
      <c r="D18" s="407">
        <v>5.5</v>
      </c>
      <c r="E18" s="409">
        <v>0.85</v>
      </c>
      <c r="F18" s="410">
        <f t="shared" ref="F18:N18" si="1">F17-0.02</f>
        <v>0.82</v>
      </c>
      <c r="G18" s="410">
        <f t="shared" si="1"/>
        <v>0.795</v>
      </c>
      <c r="H18" s="410">
        <f t="shared" si="1"/>
        <v>0.77</v>
      </c>
      <c r="I18" s="410">
        <f t="shared" si="1"/>
        <v>0.745</v>
      </c>
      <c r="J18" s="410">
        <f t="shared" si="1"/>
        <v>0.72</v>
      </c>
      <c r="K18" s="410">
        <f t="shared" si="1"/>
        <v>0.695</v>
      </c>
      <c r="L18" s="410">
        <f t="shared" si="1"/>
        <v>0.67</v>
      </c>
      <c r="M18" s="410">
        <f t="shared" si="1"/>
        <v>0.645</v>
      </c>
      <c r="N18" s="410">
        <f t="shared" si="1"/>
        <v>0.62</v>
      </c>
      <c r="O18" s="267"/>
      <c r="P18" s="267"/>
      <c r="Q18" s="267"/>
      <c r="R18" s="267"/>
      <c r="S18" s="216"/>
      <c r="T18" s="216"/>
      <c r="U18" s="216"/>
      <c r="V18" s="216"/>
      <c r="W18" s="216"/>
      <c r="X18" s="216"/>
      <c r="Y18" s="216"/>
      <c r="Z18" s="216"/>
      <c r="AA18" s="216"/>
      <c r="AB18" s="216"/>
      <c r="AC18" s="216"/>
      <c r="AD18" s="216"/>
      <c r="AE18" s="216"/>
      <c r="AF18" s="216"/>
    </row>
    <row r="19" ht="14.25" customHeight="1">
      <c r="A19" s="384"/>
      <c r="B19" s="389"/>
      <c r="C19" s="384"/>
      <c r="D19" s="407">
        <v>5.0</v>
      </c>
      <c r="E19" s="409">
        <v>0.83</v>
      </c>
      <c r="F19" s="410">
        <f t="shared" ref="F19:N19" si="2">F18-0.02</f>
        <v>0.8</v>
      </c>
      <c r="G19" s="410">
        <f t="shared" si="2"/>
        <v>0.775</v>
      </c>
      <c r="H19" s="410">
        <f t="shared" si="2"/>
        <v>0.75</v>
      </c>
      <c r="I19" s="410">
        <f t="shared" si="2"/>
        <v>0.725</v>
      </c>
      <c r="J19" s="410">
        <f t="shared" si="2"/>
        <v>0.7</v>
      </c>
      <c r="K19" s="410">
        <f t="shared" si="2"/>
        <v>0.675</v>
      </c>
      <c r="L19" s="410">
        <f t="shared" si="2"/>
        <v>0.65</v>
      </c>
      <c r="M19" s="410">
        <f t="shared" si="2"/>
        <v>0.625</v>
      </c>
      <c r="N19" s="410">
        <f t="shared" si="2"/>
        <v>0.6</v>
      </c>
      <c r="O19" s="267"/>
      <c r="P19" s="267"/>
      <c r="Q19" s="267"/>
      <c r="R19" s="267"/>
      <c r="S19" s="216"/>
      <c r="T19" s="216"/>
      <c r="U19" s="216"/>
      <c r="V19" s="216"/>
      <c r="W19" s="216"/>
      <c r="X19" s="216"/>
      <c r="Y19" s="216"/>
      <c r="Z19" s="216"/>
      <c r="AA19" s="216"/>
      <c r="AB19" s="216"/>
      <c r="AC19" s="216"/>
      <c r="AD19" s="216"/>
      <c r="AE19" s="216"/>
      <c r="AF19" s="216"/>
    </row>
    <row r="20" ht="14.25" customHeight="1">
      <c r="A20" s="216"/>
      <c r="B20" s="216"/>
      <c r="C20" s="216"/>
      <c r="D20" s="267"/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16"/>
      <c r="T20" s="216"/>
      <c r="U20" s="216"/>
      <c r="V20" s="216"/>
      <c r="W20" s="216"/>
      <c r="X20" s="216"/>
      <c r="Y20" s="216"/>
      <c r="Z20" s="216"/>
      <c r="AA20" s="216"/>
      <c r="AB20" s="216"/>
      <c r="AC20" s="216"/>
      <c r="AD20" s="216"/>
      <c r="AE20" s="216"/>
      <c r="AF20" s="216"/>
    </row>
    <row r="21" ht="14.25" customHeight="1">
      <c r="A21" s="216"/>
      <c r="B21" s="216"/>
      <c r="C21" s="216"/>
      <c r="D21" s="267"/>
      <c r="E21" s="267"/>
      <c r="F21" s="267"/>
      <c r="G21" s="267"/>
      <c r="H21" s="267"/>
      <c r="I21" s="411"/>
      <c r="J21" s="267"/>
      <c r="K21" s="267"/>
      <c r="L21" s="267"/>
      <c r="M21" s="267"/>
      <c r="N21" s="267"/>
      <c r="O21" s="267"/>
      <c r="P21" s="267"/>
      <c r="Q21" s="267"/>
      <c r="R21" s="267"/>
      <c r="S21" s="216"/>
      <c r="T21" s="216"/>
      <c r="U21" s="216"/>
      <c r="V21" s="216"/>
      <c r="W21" s="216"/>
      <c r="X21" s="216"/>
      <c r="Y21" s="216"/>
      <c r="Z21" s="216"/>
      <c r="AA21" s="216"/>
      <c r="AB21" s="216"/>
      <c r="AC21" s="216"/>
      <c r="AD21" s="216"/>
      <c r="AE21" s="216"/>
      <c r="AF21" s="216"/>
    </row>
    <row r="22" ht="14.25" customHeight="1">
      <c r="A22" s="216"/>
      <c r="B22" s="216"/>
      <c r="C22" s="216"/>
      <c r="D22" s="267"/>
      <c r="E22" s="267"/>
      <c r="F22" s="267"/>
      <c r="G22" s="267"/>
      <c r="H22" s="267"/>
      <c r="I22" s="267"/>
      <c r="J22" s="267"/>
      <c r="K22" s="267"/>
      <c r="L22" s="267"/>
      <c r="M22" s="267"/>
      <c r="N22" s="267"/>
      <c r="O22" s="267"/>
      <c r="P22" s="267"/>
      <c r="Q22" s="267"/>
      <c r="R22" s="267"/>
      <c r="S22" s="216"/>
      <c r="T22" s="216"/>
      <c r="U22" s="216"/>
      <c r="V22" s="216"/>
      <c r="W22" s="216"/>
      <c r="X22" s="216"/>
      <c r="Y22" s="216"/>
      <c r="Z22" s="216"/>
      <c r="AA22" s="216"/>
      <c r="AB22" s="216"/>
      <c r="AC22" s="216"/>
      <c r="AD22" s="216"/>
      <c r="AE22" s="216"/>
      <c r="AF22" s="216"/>
    </row>
    <row r="23" ht="14.25" customHeight="1">
      <c r="A23" s="216"/>
      <c r="B23" s="216"/>
      <c r="C23" s="216"/>
      <c r="D23" s="267"/>
      <c r="E23" s="267"/>
      <c r="F23" s="267"/>
      <c r="G23" s="267"/>
      <c r="H23" s="267"/>
      <c r="I23" s="267"/>
      <c r="J23" s="267"/>
      <c r="K23" s="267"/>
      <c r="L23" s="267"/>
      <c r="M23" s="267"/>
      <c r="N23" s="267"/>
      <c r="O23" s="267"/>
      <c r="P23" s="267"/>
      <c r="Q23" s="267"/>
      <c r="R23" s="267"/>
      <c r="S23" s="216"/>
      <c r="T23" s="216"/>
      <c r="U23" s="216"/>
      <c r="V23" s="216"/>
      <c r="W23" s="216"/>
      <c r="X23" s="216"/>
      <c r="Y23" s="216"/>
      <c r="Z23" s="216"/>
      <c r="AA23" s="216"/>
      <c r="AB23" s="216"/>
      <c r="AC23" s="216"/>
      <c r="AD23" s="216"/>
      <c r="AE23" s="216"/>
      <c r="AF23" s="216"/>
    </row>
    <row r="24" ht="14.25" customHeight="1">
      <c r="A24" s="216"/>
      <c r="B24" s="216"/>
      <c r="C24" s="216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267"/>
      <c r="S24" s="216"/>
      <c r="T24" s="216"/>
      <c r="U24" s="216"/>
      <c r="V24" s="216"/>
      <c r="W24" s="216"/>
      <c r="X24" s="216"/>
      <c r="Y24" s="216"/>
      <c r="Z24" s="216"/>
      <c r="AA24" s="216"/>
      <c r="AB24" s="216"/>
      <c r="AC24" s="216"/>
      <c r="AD24" s="216"/>
      <c r="AE24" s="216"/>
      <c r="AF24" s="216"/>
    </row>
    <row r="25" ht="14.25" customHeight="1">
      <c r="A25" s="216"/>
      <c r="B25" s="216"/>
      <c r="C25" s="216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7"/>
      <c r="S25" s="216"/>
      <c r="T25" s="216"/>
      <c r="U25" s="216"/>
      <c r="V25" s="216"/>
      <c r="W25" s="216"/>
      <c r="X25" s="216"/>
      <c r="Y25" s="216"/>
      <c r="Z25" s="216"/>
      <c r="AA25" s="216"/>
      <c r="AB25" s="216"/>
      <c r="AC25" s="216"/>
      <c r="AD25" s="216"/>
      <c r="AE25" s="216"/>
      <c r="AF25" s="216"/>
    </row>
    <row r="26" ht="14.25" customHeight="1">
      <c r="A26" s="216"/>
      <c r="B26" s="216"/>
      <c r="C26" s="216"/>
      <c r="D26" s="267"/>
      <c r="E26" s="267"/>
      <c r="F26" s="267"/>
      <c r="G26" s="267"/>
      <c r="H26" s="267"/>
      <c r="I26" s="267"/>
      <c r="J26" s="267"/>
      <c r="K26" s="267"/>
      <c r="L26" s="267"/>
      <c r="M26" s="267"/>
      <c r="N26" s="267"/>
      <c r="O26" s="267"/>
      <c r="P26" s="267"/>
      <c r="Q26" s="267"/>
      <c r="R26" s="267"/>
      <c r="S26" s="216"/>
      <c r="T26" s="216"/>
      <c r="U26" s="216"/>
      <c r="V26" s="216"/>
      <c r="W26" s="216"/>
      <c r="X26" s="216"/>
      <c r="Y26" s="216"/>
      <c r="Z26" s="216"/>
      <c r="AA26" s="216"/>
      <c r="AB26" s="216"/>
      <c r="AC26" s="216"/>
      <c r="AD26" s="216"/>
      <c r="AE26" s="216"/>
      <c r="AF26" s="216"/>
    </row>
    <row r="27" ht="14.25" customHeight="1">
      <c r="A27" s="216"/>
      <c r="B27" s="216"/>
      <c r="C27" s="216"/>
      <c r="D27" s="267"/>
      <c r="E27" s="267"/>
      <c r="F27" s="267"/>
      <c r="G27" s="267"/>
      <c r="H27" s="267"/>
      <c r="I27" s="267"/>
      <c r="J27" s="267"/>
      <c r="K27" s="267"/>
      <c r="L27" s="267"/>
      <c r="M27" s="267"/>
      <c r="N27" s="267"/>
      <c r="O27" s="267"/>
      <c r="P27" s="267"/>
      <c r="Q27" s="267"/>
      <c r="R27" s="267"/>
      <c r="S27" s="216"/>
      <c r="T27" s="216"/>
      <c r="U27" s="216"/>
      <c r="V27" s="216"/>
      <c r="W27" s="216"/>
      <c r="X27" s="216"/>
      <c r="Y27" s="216"/>
      <c r="Z27" s="216"/>
      <c r="AA27" s="216"/>
      <c r="AB27" s="216"/>
      <c r="AC27" s="216"/>
      <c r="AD27" s="216"/>
      <c r="AE27" s="216"/>
      <c r="AF27" s="216"/>
    </row>
    <row r="28" ht="14.25" customHeight="1">
      <c r="A28" s="216"/>
      <c r="B28" s="216"/>
      <c r="C28" s="216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16"/>
      <c r="T28" s="216"/>
      <c r="U28" s="216"/>
      <c r="V28" s="216"/>
      <c r="W28" s="216"/>
      <c r="X28" s="216"/>
      <c r="Y28" s="216"/>
      <c r="Z28" s="216"/>
      <c r="AA28" s="216"/>
      <c r="AB28" s="216"/>
      <c r="AC28" s="216"/>
      <c r="AD28" s="216"/>
      <c r="AE28" s="216"/>
      <c r="AF28" s="216"/>
    </row>
    <row r="29" ht="14.25" customHeight="1">
      <c r="A29" s="216"/>
      <c r="B29" s="216"/>
      <c r="C29" s="216"/>
      <c r="D29" s="267"/>
      <c r="E29" s="267"/>
      <c r="F29" s="267"/>
      <c r="G29" s="267"/>
      <c r="H29" s="267"/>
      <c r="I29" s="267"/>
      <c r="J29" s="267"/>
      <c r="K29" s="267"/>
      <c r="L29" s="267"/>
      <c r="M29" s="267"/>
      <c r="N29" s="267"/>
      <c r="O29" s="267"/>
      <c r="P29" s="267"/>
      <c r="Q29" s="267"/>
      <c r="R29" s="267"/>
      <c r="S29" s="216"/>
      <c r="T29" s="216"/>
      <c r="U29" s="216"/>
      <c r="V29" s="216"/>
      <c r="W29" s="216"/>
      <c r="X29" s="216"/>
      <c r="Y29" s="216"/>
      <c r="Z29" s="216"/>
      <c r="AA29" s="216"/>
      <c r="AB29" s="216"/>
      <c r="AC29" s="216"/>
      <c r="AD29" s="216"/>
      <c r="AE29" s="216"/>
      <c r="AF29" s="216"/>
    </row>
    <row r="30" ht="14.25" customHeight="1">
      <c r="A30" s="216"/>
      <c r="B30" s="216"/>
      <c r="C30" s="216"/>
      <c r="D30" s="267"/>
      <c r="E30" s="267"/>
      <c r="F30" s="267"/>
      <c r="G30" s="267"/>
      <c r="H30" s="267"/>
      <c r="I30" s="267"/>
      <c r="J30" s="267"/>
      <c r="K30" s="267"/>
      <c r="L30" s="267"/>
      <c r="M30" s="267"/>
      <c r="N30" s="267"/>
      <c r="O30" s="267"/>
      <c r="P30" s="267"/>
      <c r="Q30" s="267"/>
      <c r="R30" s="267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</row>
    <row r="31" ht="14.25" customHeight="1">
      <c r="A31" s="216"/>
      <c r="B31" s="216"/>
      <c r="C31" s="216"/>
      <c r="D31" s="267"/>
      <c r="E31" s="267"/>
      <c r="F31" s="267"/>
      <c r="G31" s="267"/>
      <c r="H31" s="267"/>
      <c r="I31" s="267"/>
      <c r="J31" s="267"/>
      <c r="K31" s="267"/>
      <c r="L31" s="267"/>
      <c r="M31" s="267"/>
      <c r="N31" s="267"/>
      <c r="O31" s="267"/>
      <c r="P31" s="267"/>
      <c r="Q31" s="267"/>
      <c r="R31" s="267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</row>
    <row r="32" ht="14.25" customHeight="1">
      <c r="A32" s="216"/>
      <c r="B32" s="216"/>
      <c r="C32" s="216"/>
      <c r="D32" s="267"/>
      <c r="E32" s="267"/>
      <c r="F32" s="267"/>
      <c r="G32" s="267"/>
      <c r="H32" s="267"/>
      <c r="I32" s="267"/>
      <c r="J32" s="267"/>
      <c r="K32" s="267"/>
      <c r="L32" s="267"/>
      <c r="M32" s="267"/>
      <c r="N32" s="267"/>
      <c r="O32" s="267"/>
      <c r="P32" s="267"/>
      <c r="Q32" s="267"/>
      <c r="R32" s="267"/>
      <c r="S32" s="216"/>
      <c r="T32" s="216"/>
      <c r="U32" s="216"/>
      <c r="V32" s="216"/>
      <c r="W32" s="216"/>
      <c r="X32" s="216"/>
      <c r="Y32" s="216"/>
      <c r="Z32" s="216"/>
      <c r="AA32" s="216"/>
      <c r="AB32" s="216"/>
      <c r="AC32" s="216"/>
      <c r="AD32" s="216"/>
      <c r="AE32" s="216"/>
      <c r="AF32" s="216"/>
    </row>
    <row r="33" ht="14.25" customHeight="1">
      <c r="A33" s="216"/>
      <c r="B33" s="216"/>
      <c r="C33" s="216"/>
      <c r="D33" s="267"/>
      <c r="E33" s="267"/>
      <c r="F33" s="267"/>
      <c r="G33" s="267"/>
      <c r="H33" s="267"/>
      <c r="I33" s="267"/>
      <c r="J33" s="267"/>
      <c r="K33" s="267"/>
      <c r="L33" s="267"/>
      <c r="M33" s="267"/>
      <c r="N33" s="267"/>
      <c r="O33" s="267"/>
      <c r="P33" s="267"/>
      <c r="Q33" s="267"/>
      <c r="R33" s="267"/>
      <c r="S33" s="216"/>
      <c r="T33" s="216"/>
      <c r="U33" s="216"/>
      <c r="V33" s="216"/>
      <c r="W33" s="216"/>
      <c r="X33" s="216"/>
      <c r="Y33" s="216"/>
      <c r="Z33" s="216"/>
      <c r="AA33" s="216"/>
      <c r="AB33" s="216"/>
      <c r="AC33" s="216"/>
      <c r="AD33" s="216"/>
      <c r="AE33" s="216"/>
      <c r="AF33" s="216"/>
    </row>
    <row r="34" ht="14.25" customHeight="1">
      <c r="A34" s="216"/>
      <c r="B34" s="216"/>
      <c r="C34" s="21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6"/>
      <c r="AE34" s="216"/>
      <c r="AF34" s="216"/>
    </row>
    <row r="35" ht="14.25" customHeight="1">
      <c r="A35" s="216"/>
      <c r="B35" s="216"/>
      <c r="C35" s="216"/>
      <c r="D35" s="267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16"/>
      <c r="T35" s="216"/>
      <c r="U35" s="216"/>
      <c r="V35" s="216"/>
      <c r="W35" s="216"/>
      <c r="X35" s="216"/>
      <c r="Y35" s="216"/>
      <c r="Z35" s="216"/>
      <c r="AA35" s="216"/>
      <c r="AB35" s="216"/>
      <c r="AC35" s="216"/>
      <c r="AD35" s="216"/>
      <c r="AE35" s="216"/>
      <c r="AF35" s="216"/>
    </row>
    <row r="36" ht="14.25" customHeight="1">
      <c r="A36" s="216"/>
      <c r="B36" s="216"/>
      <c r="C36" s="216"/>
      <c r="D36" s="267"/>
      <c r="E36" s="267"/>
      <c r="F36" s="267"/>
      <c r="G36" s="267"/>
      <c r="H36" s="267"/>
      <c r="I36" s="267"/>
      <c r="J36" s="267"/>
      <c r="K36" s="267"/>
      <c r="L36" s="267"/>
      <c r="M36" s="267"/>
      <c r="N36" s="267"/>
      <c r="O36" s="267"/>
      <c r="P36" s="267"/>
      <c r="Q36" s="267"/>
      <c r="R36" s="267"/>
      <c r="S36" s="216"/>
      <c r="T36" s="216"/>
      <c r="U36" s="216"/>
      <c r="V36" s="216"/>
      <c r="W36" s="216"/>
      <c r="X36" s="216"/>
      <c r="Y36" s="216"/>
      <c r="Z36" s="216"/>
      <c r="AA36" s="216"/>
      <c r="AB36" s="216"/>
      <c r="AC36" s="216"/>
      <c r="AD36" s="216"/>
      <c r="AE36" s="216"/>
      <c r="AF36" s="216"/>
    </row>
    <row r="37" ht="14.25" customHeight="1">
      <c r="A37" s="216"/>
      <c r="B37" s="216"/>
      <c r="C37" s="216"/>
      <c r="D37" s="267"/>
      <c r="E37" s="267"/>
      <c r="F37" s="267"/>
      <c r="G37" s="267"/>
      <c r="H37" s="267"/>
      <c r="I37" s="267"/>
      <c r="J37" s="267"/>
      <c r="K37" s="267"/>
      <c r="L37" s="267"/>
      <c r="M37" s="267"/>
      <c r="N37" s="267"/>
      <c r="O37" s="267"/>
      <c r="P37" s="267"/>
      <c r="Q37" s="267"/>
      <c r="R37" s="267"/>
      <c r="S37" s="216"/>
      <c r="T37" s="216"/>
      <c r="U37" s="216"/>
      <c r="V37" s="216"/>
      <c r="W37" s="216"/>
      <c r="X37" s="216"/>
      <c r="Y37" s="216"/>
      <c r="Z37" s="216"/>
      <c r="AA37" s="216"/>
      <c r="AB37" s="216"/>
      <c r="AC37" s="216"/>
      <c r="AD37" s="216"/>
      <c r="AE37" s="216"/>
      <c r="AF37" s="216"/>
    </row>
    <row r="38" ht="14.25" customHeight="1">
      <c r="A38" s="216"/>
      <c r="B38" s="216"/>
      <c r="C38" s="216"/>
      <c r="D38" s="267"/>
      <c r="E38" s="267"/>
      <c r="F38" s="267"/>
      <c r="G38" s="267"/>
      <c r="H38" s="267"/>
      <c r="I38" s="267"/>
      <c r="J38" s="267"/>
      <c r="K38" s="267"/>
      <c r="L38" s="267"/>
      <c r="M38" s="267"/>
      <c r="N38" s="267"/>
      <c r="O38" s="267"/>
      <c r="P38" s="267"/>
      <c r="Q38" s="267"/>
      <c r="R38" s="267"/>
      <c r="S38" s="216"/>
      <c r="T38" s="216"/>
      <c r="U38" s="216"/>
      <c r="V38" s="216"/>
      <c r="W38" s="216"/>
      <c r="X38" s="216"/>
      <c r="Y38" s="216"/>
      <c r="Z38" s="216"/>
      <c r="AA38" s="216"/>
      <c r="AB38" s="216"/>
      <c r="AC38" s="216"/>
      <c r="AD38" s="216"/>
      <c r="AE38" s="216"/>
      <c r="AF38" s="216"/>
    </row>
    <row r="39" ht="14.25" customHeight="1">
      <c r="A39" s="216"/>
      <c r="B39" s="216"/>
      <c r="C39" s="216"/>
      <c r="D39" s="267"/>
      <c r="E39" s="267"/>
      <c r="F39" s="267"/>
      <c r="G39" s="267"/>
      <c r="H39" s="267"/>
      <c r="I39" s="267"/>
      <c r="J39" s="267"/>
      <c r="K39" s="267"/>
      <c r="L39" s="267"/>
      <c r="M39" s="267"/>
      <c r="N39" s="267"/>
      <c r="O39" s="267"/>
      <c r="P39" s="267"/>
      <c r="Q39" s="267"/>
      <c r="R39" s="267"/>
      <c r="S39" s="216"/>
      <c r="T39" s="216"/>
      <c r="U39" s="216"/>
      <c r="V39" s="216"/>
      <c r="W39" s="216"/>
      <c r="X39" s="216"/>
      <c r="Y39" s="216"/>
      <c r="Z39" s="216"/>
      <c r="AA39" s="216"/>
      <c r="AB39" s="216"/>
      <c r="AC39" s="216"/>
      <c r="AD39" s="216"/>
      <c r="AE39" s="216"/>
      <c r="AF39" s="216"/>
    </row>
    <row r="40" ht="14.25" customHeight="1">
      <c r="A40" s="216"/>
      <c r="B40" s="216"/>
      <c r="C40" s="216"/>
      <c r="D40" s="267"/>
      <c r="E40" s="267"/>
      <c r="F40" s="267"/>
      <c r="G40" s="267"/>
      <c r="H40" s="267"/>
      <c r="I40" s="267"/>
      <c r="J40" s="267"/>
      <c r="K40" s="267"/>
      <c r="L40" s="267"/>
      <c r="M40" s="267"/>
      <c r="N40" s="267"/>
      <c r="O40" s="267"/>
      <c r="P40" s="267"/>
      <c r="Q40" s="267"/>
      <c r="R40" s="267"/>
      <c r="S40" s="216"/>
      <c r="T40" s="216"/>
      <c r="U40" s="216"/>
      <c r="V40" s="216"/>
      <c r="W40" s="216"/>
      <c r="X40" s="216"/>
      <c r="Y40" s="216"/>
      <c r="Z40" s="216"/>
      <c r="AA40" s="216"/>
      <c r="AB40" s="216"/>
      <c r="AC40" s="216"/>
      <c r="AD40" s="216"/>
      <c r="AE40" s="216"/>
      <c r="AF40" s="216"/>
    </row>
    <row r="41" ht="14.25" customHeight="1">
      <c r="A41" s="216"/>
      <c r="B41" s="216"/>
      <c r="C41" s="216"/>
      <c r="D41" s="267"/>
      <c r="E41" s="267"/>
      <c r="F41" s="267"/>
      <c r="G41" s="267"/>
      <c r="H41" s="267"/>
      <c r="I41" s="267"/>
      <c r="J41" s="267"/>
      <c r="K41" s="267"/>
      <c r="L41" s="267"/>
      <c r="M41" s="267"/>
      <c r="N41" s="267"/>
      <c r="O41" s="267"/>
      <c r="P41" s="267"/>
      <c r="Q41" s="267"/>
      <c r="R41" s="267"/>
      <c r="S41" s="216"/>
      <c r="T41" s="216"/>
      <c r="U41" s="216"/>
      <c r="V41" s="216"/>
      <c r="W41" s="216"/>
      <c r="X41" s="216"/>
      <c r="Y41" s="216"/>
      <c r="Z41" s="216"/>
      <c r="AA41" s="216"/>
      <c r="AB41" s="216"/>
      <c r="AC41" s="216"/>
      <c r="AD41" s="216"/>
      <c r="AE41" s="216"/>
      <c r="AF41" s="216"/>
    </row>
    <row r="42" ht="14.25" customHeight="1">
      <c r="A42" s="216"/>
      <c r="B42" s="216"/>
      <c r="C42" s="216"/>
      <c r="D42" s="267"/>
      <c r="E42" s="267"/>
      <c r="F42" s="267"/>
      <c r="G42" s="267"/>
      <c r="H42" s="267"/>
      <c r="I42" s="267"/>
      <c r="J42" s="267"/>
      <c r="K42" s="267"/>
      <c r="L42" s="267"/>
      <c r="M42" s="267"/>
      <c r="N42" s="267"/>
      <c r="O42" s="267"/>
      <c r="P42" s="267"/>
      <c r="Q42" s="267"/>
      <c r="R42" s="267"/>
      <c r="S42" s="216"/>
      <c r="T42" s="216"/>
      <c r="U42" s="216"/>
      <c r="V42" s="216"/>
      <c r="W42" s="216"/>
      <c r="X42" s="216"/>
      <c r="Y42" s="216"/>
      <c r="Z42" s="216"/>
      <c r="AA42" s="216"/>
      <c r="AB42" s="216"/>
      <c r="AC42" s="216"/>
      <c r="AD42" s="216"/>
      <c r="AE42" s="216"/>
      <c r="AF42" s="216"/>
    </row>
    <row r="43" ht="14.25" customHeight="1">
      <c r="A43" s="216"/>
      <c r="B43" s="216"/>
      <c r="C43" s="216"/>
      <c r="D43" s="267"/>
      <c r="E43" s="267"/>
      <c r="F43" s="267"/>
      <c r="G43" s="267"/>
      <c r="H43" s="267"/>
      <c r="I43" s="267"/>
      <c r="J43" s="267"/>
      <c r="K43" s="267"/>
      <c r="L43" s="267"/>
      <c r="M43" s="267"/>
      <c r="N43" s="267"/>
      <c r="O43" s="267"/>
      <c r="P43" s="267"/>
      <c r="Q43" s="267"/>
      <c r="R43" s="267"/>
      <c r="S43" s="216"/>
      <c r="T43" s="216"/>
      <c r="U43" s="216"/>
      <c r="V43" s="216"/>
      <c r="W43" s="216"/>
      <c r="X43" s="216"/>
      <c r="Y43" s="216"/>
      <c r="Z43" s="216"/>
      <c r="AA43" s="216"/>
      <c r="AB43" s="216"/>
      <c r="AC43" s="216"/>
      <c r="AD43" s="216"/>
      <c r="AE43" s="216"/>
      <c r="AF43" s="216"/>
    </row>
    <row r="44" ht="14.25" customHeight="1">
      <c r="A44" s="216"/>
      <c r="B44" s="216"/>
      <c r="C44" s="216"/>
      <c r="D44" s="267"/>
      <c r="E44" s="267"/>
      <c r="F44" s="267"/>
      <c r="G44" s="267"/>
      <c r="H44" s="267"/>
      <c r="I44" s="267"/>
      <c r="J44" s="267"/>
      <c r="K44" s="267"/>
      <c r="L44" s="267"/>
      <c r="M44" s="267"/>
      <c r="N44" s="267"/>
      <c r="O44" s="267"/>
      <c r="P44" s="267"/>
      <c r="Q44" s="267"/>
      <c r="R44" s="267"/>
      <c r="S44" s="216"/>
      <c r="T44" s="216"/>
      <c r="U44" s="216"/>
      <c r="V44" s="216"/>
      <c r="W44" s="216"/>
      <c r="X44" s="216"/>
      <c r="Y44" s="216"/>
      <c r="Z44" s="216"/>
      <c r="AA44" s="216"/>
      <c r="AB44" s="216"/>
      <c r="AC44" s="216"/>
      <c r="AD44" s="216"/>
      <c r="AE44" s="216"/>
      <c r="AF44" s="216"/>
    </row>
    <row r="45" ht="14.25" customHeight="1">
      <c r="A45" s="216"/>
      <c r="B45" s="216"/>
      <c r="C45" s="216"/>
      <c r="D45" s="267"/>
      <c r="E45" s="267"/>
      <c r="F45" s="267"/>
      <c r="G45" s="267"/>
      <c r="H45" s="267"/>
      <c r="I45" s="267"/>
      <c r="J45" s="267"/>
      <c r="K45" s="267"/>
      <c r="L45" s="267"/>
      <c r="M45" s="267"/>
      <c r="N45" s="267"/>
      <c r="O45" s="267"/>
      <c r="P45" s="267"/>
      <c r="Q45" s="267"/>
      <c r="R45" s="267"/>
      <c r="S45" s="216"/>
      <c r="T45" s="216"/>
      <c r="U45" s="216"/>
      <c r="V45" s="216"/>
      <c r="W45" s="216"/>
      <c r="X45" s="216"/>
      <c r="Y45" s="216"/>
      <c r="Z45" s="216"/>
      <c r="AA45" s="216"/>
      <c r="AB45" s="216"/>
      <c r="AC45" s="216"/>
      <c r="AD45" s="216"/>
      <c r="AE45" s="216"/>
      <c r="AF45" s="216"/>
    </row>
    <row r="46" ht="14.25" customHeight="1">
      <c r="A46" s="216"/>
      <c r="B46" s="216"/>
      <c r="C46" s="216"/>
      <c r="D46" s="267"/>
      <c r="E46" s="267"/>
      <c r="F46" s="267"/>
      <c r="G46" s="267"/>
      <c r="H46" s="267"/>
      <c r="I46" s="267"/>
      <c r="J46" s="267"/>
      <c r="K46" s="267"/>
      <c r="L46" s="267"/>
      <c r="M46" s="267"/>
      <c r="N46" s="267"/>
      <c r="O46" s="267"/>
      <c r="P46" s="267"/>
      <c r="Q46" s="267"/>
      <c r="R46" s="267"/>
      <c r="S46" s="216"/>
      <c r="T46" s="216"/>
      <c r="U46" s="216"/>
      <c r="V46" s="216"/>
      <c r="W46" s="216"/>
      <c r="X46" s="216"/>
      <c r="Y46" s="216"/>
      <c r="Z46" s="216"/>
      <c r="AA46" s="216"/>
      <c r="AB46" s="216"/>
      <c r="AC46" s="216"/>
      <c r="AD46" s="216"/>
      <c r="AE46" s="216"/>
      <c r="AF46" s="216"/>
    </row>
    <row r="47" ht="14.25" customHeight="1">
      <c r="A47" s="216"/>
      <c r="B47" s="216"/>
      <c r="C47" s="216"/>
      <c r="D47" s="267"/>
      <c r="E47" s="267"/>
      <c r="F47" s="267"/>
      <c r="G47" s="267"/>
      <c r="H47" s="267"/>
      <c r="I47" s="267"/>
      <c r="J47" s="267"/>
      <c r="K47" s="267"/>
      <c r="L47" s="267"/>
      <c r="M47" s="267"/>
      <c r="N47" s="267"/>
      <c r="O47" s="267"/>
      <c r="P47" s="267"/>
      <c r="Q47" s="267"/>
      <c r="R47" s="267"/>
      <c r="S47" s="216"/>
      <c r="T47" s="216"/>
      <c r="U47" s="216"/>
      <c r="V47" s="216"/>
      <c r="W47" s="216"/>
      <c r="X47" s="216"/>
      <c r="Y47" s="216"/>
      <c r="Z47" s="216"/>
      <c r="AA47" s="216"/>
      <c r="AB47" s="216"/>
      <c r="AC47" s="216"/>
      <c r="AD47" s="216"/>
      <c r="AE47" s="216"/>
      <c r="AF47" s="216"/>
    </row>
    <row r="48" ht="14.25" customHeight="1">
      <c r="A48" s="216"/>
      <c r="B48" s="216"/>
      <c r="C48" s="216"/>
      <c r="D48" s="267"/>
      <c r="E48" s="267"/>
      <c r="F48" s="267"/>
      <c r="G48" s="267"/>
      <c r="H48" s="267"/>
      <c r="I48" s="267"/>
      <c r="J48" s="267"/>
      <c r="K48" s="267"/>
      <c r="L48" s="267"/>
      <c r="M48" s="267"/>
      <c r="N48" s="267"/>
      <c r="O48" s="267"/>
      <c r="P48" s="267"/>
      <c r="Q48" s="267"/>
      <c r="R48" s="267"/>
      <c r="S48" s="216"/>
      <c r="T48" s="216"/>
      <c r="U48" s="216"/>
      <c r="V48" s="216"/>
      <c r="W48" s="216"/>
      <c r="X48" s="216"/>
      <c r="Y48" s="216"/>
      <c r="Z48" s="216"/>
      <c r="AA48" s="216"/>
      <c r="AB48" s="216"/>
      <c r="AC48" s="216"/>
      <c r="AD48" s="216"/>
      <c r="AE48" s="216"/>
      <c r="AF48" s="216"/>
    </row>
    <row r="49" ht="14.25" customHeight="1">
      <c r="A49" s="216"/>
      <c r="B49" s="216"/>
      <c r="C49" s="216"/>
      <c r="D49" s="267"/>
      <c r="E49" s="267"/>
      <c r="F49" s="267"/>
      <c r="G49" s="267"/>
      <c r="H49" s="267"/>
      <c r="I49" s="267"/>
      <c r="J49" s="267"/>
      <c r="K49" s="267"/>
      <c r="L49" s="267"/>
      <c r="M49" s="267"/>
      <c r="N49" s="267"/>
      <c r="O49" s="267"/>
      <c r="P49" s="267"/>
      <c r="Q49" s="267"/>
      <c r="R49" s="267"/>
      <c r="S49" s="216"/>
      <c r="T49" s="216"/>
      <c r="U49" s="216"/>
      <c r="V49" s="216"/>
      <c r="W49" s="216"/>
      <c r="X49" s="216"/>
      <c r="Y49" s="216"/>
      <c r="Z49" s="216"/>
      <c r="AA49" s="216"/>
      <c r="AB49" s="216"/>
      <c r="AC49" s="216"/>
      <c r="AD49" s="216"/>
      <c r="AE49" s="216"/>
      <c r="AF49" s="216"/>
    </row>
    <row r="50" ht="14.25" customHeight="1">
      <c r="A50" s="216"/>
      <c r="B50" s="216"/>
      <c r="C50" s="216"/>
      <c r="D50" s="267"/>
      <c r="E50" s="267"/>
      <c r="F50" s="267"/>
      <c r="G50" s="267"/>
      <c r="H50" s="267"/>
      <c r="I50" s="267"/>
      <c r="J50" s="267"/>
      <c r="K50" s="267"/>
      <c r="L50" s="267"/>
      <c r="M50" s="267"/>
      <c r="N50" s="267"/>
      <c r="O50" s="267"/>
      <c r="P50" s="267"/>
      <c r="Q50" s="267"/>
      <c r="R50" s="267"/>
      <c r="S50" s="216"/>
      <c r="T50" s="216"/>
      <c r="U50" s="216"/>
      <c r="V50" s="216"/>
      <c r="W50" s="216"/>
      <c r="X50" s="216"/>
      <c r="Y50" s="216"/>
      <c r="Z50" s="216"/>
      <c r="AA50" s="216"/>
      <c r="AB50" s="216"/>
      <c r="AC50" s="216"/>
      <c r="AD50" s="216"/>
      <c r="AE50" s="216"/>
      <c r="AF50" s="216"/>
    </row>
    <row r="51" ht="14.25" customHeight="1">
      <c r="A51" s="216"/>
      <c r="B51" s="216"/>
      <c r="C51" s="216"/>
      <c r="D51" s="267"/>
      <c r="E51" s="267"/>
      <c r="F51" s="267"/>
      <c r="G51" s="267"/>
      <c r="H51" s="267"/>
      <c r="I51" s="267"/>
      <c r="J51" s="267"/>
      <c r="K51" s="267"/>
      <c r="L51" s="267"/>
      <c r="M51" s="267"/>
      <c r="N51" s="267"/>
      <c r="O51" s="267"/>
      <c r="P51" s="267"/>
      <c r="Q51" s="267"/>
      <c r="R51" s="267"/>
      <c r="S51" s="216"/>
      <c r="T51" s="216"/>
      <c r="U51" s="216"/>
      <c r="V51" s="216"/>
      <c r="W51" s="216"/>
      <c r="X51" s="216"/>
      <c r="Y51" s="216"/>
      <c r="Z51" s="216"/>
      <c r="AA51" s="216"/>
      <c r="AB51" s="216"/>
      <c r="AC51" s="216"/>
      <c r="AD51" s="216"/>
      <c r="AE51" s="216"/>
      <c r="AF51" s="216"/>
    </row>
    <row r="52" ht="14.25" customHeight="1">
      <c r="A52" s="216"/>
      <c r="B52" s="216"/>
      <c r="C52" s="216"/>
      <c r="D52" s="267"/>
      <c r="E52" s="267"/>
      <c r="F52" s="267"/>
      <c r="G52" s="267"/>
      <c r="H52" s="267"/>
      <c r="I52" s="267"/>
      <c r="J52" s="267"/>
      <c r="K52" s="267"/>
      <c r="L52" s="267"/>
      <c r="M52" s="267"/>
      <c r="N52" s="267"/>
      <c r="O52" s="267"/>
      <c r="P52" s="267"/>
      <c r="Q52" s="267"/>
      <c r="R52" s="267"/>
      <c r="S52" s="216"/>
      <c r="T52" s="216"/>
      <c r="U52" s="216"/>
      <c r="V52" s="216"/>
      <c r="W52" s="216"/>
      <c r="X52" s="216"/>
      <c r="Y52" s="216"/>
      <c r="Z52" s="216"/>
      <c r="AA52" s="216"/>
      <c r="AB52" s="216"/>
      <c r="AC52" s="216"/>
      <c r="AD52" s="216"/>
      <c r="AE52" s="216"/>
      <c r="AF52" s="216"/>
    </row>
    <row r="53" ht="14.25" customHeight="1">
      <c r="A53" s="216"/>
      <c r="B53" s="216"/>
      <c r="C53" s="216"/>
      <c r="D53" s="267"/>
      <c r="E53" s="267"/>
      <c r="F53" s="267"/>
      <c r="G53" s="267"/>
      <c r="H53" s="267"/>
      <c r="I53" s="267"/>
      <c r="J53" s="267"/>
      <c r="K53" s="267"/>
      <c r="L53" s="267"/>
      <c r="M53" s="267"/>
      <c r="N53" s="267"/>
      <c r="O53" s="267"/>
      <c r="P53" s="267"/>
      <c r="Q53" s="267"/>
      <c r="R53" s="267"/>
      <c r="S53" s="216"/>
      <c r="T53" s="216"/>
      <c r="U53" s="216"/>
      <c r="V53" s="216"/>
      <c r="W53" s="216"/>
      <c r="X53" s="216"/>
      <c r="Y53" s="216"/>
      <c r="Z53" s="216"/>
      <c r="AA53" s="216"/>
      <c r="AB53" s="216"/>
      <c r="AC53" s="216"/>
      <c r="AD53" s="216"/>
      <c r="AE53" s="216"/>
      <c r="AF53" s="216"/>
    </row>
    <row r="54" ht="14.25" customHeight="1">
      <c r="A54" s="216"/>
      <c r="B54" s="216"/>
      <c r="C54" s="216"/>
      <c r="D54" s="267"/>
      <c r="E54" s="267"/>
      <c r="F54" s="267"/>
      <c r="G54" s="267"/>
      <c r="H54" s="267"/>
      <c r="I54" s="267"/>
      <c r="J54" s="267"/>
      <c r="K54" s="267"/>
      <c r="L54" s="267"/>
      <c r="M54" s="267"/>
      <c r="N54" s="267"/>
      <c r="O54" s="267"/>
      <c r="P54" s="267"/>
      <c r="Q54" s="267"/>
      <c r="R54" s="267"/>
      <c r="S54" s="216"/>
      <c r="T54" s="216"/>
      <c r="U54" s="216"/>
      <c r="V54" s="216"/>
      <c r="W54" s="216"/>
      <c r="X54" s="216"/>
      <c r="Y54" s="216"/>
      <c r="Z54" s="216"/>
      <c r="AA54" s="216"/>
      <c r="AB54" s="216"/>
      <c r="AC54" s="216"/>
      <c r="AD54" s="216"/>
      <c r="AE54" s="216"/>
      <c r="AF54" s="216"/>
    </row>
    <row r="55" ht="14.25" customHeight="1">
      <c r="A55" s="216"/>
      <c r="B55" s="216"/>
      <c r="C55" s="216"/>
      <c r="D55" s="267"/>
      <c r="E55" s="267"/>
      <c r="F55" s="267"/>
      <c r="G55" s="267"/>
      <c r="H55" s="267"/>
      <c r="I55" s="267"/>
      <c r="J55" s="267"/>
      <c r="K55" s="267"/>
      <c r="L55" s="267"/>
      <c r="M55" s="267"/>
      <c r="N55" s="267"/>
      <c r="O55" s="267"/>
      <c r="P55" s="267"/>
      <c r="Q55" s="267"/>
      <c r="R55" s="267"/>
      <c r="S55" s="216"/>
      <c r="T55" s="216"/>
      <c r="U55" s="216"/>
      <c r="V55" s="216"/>
      <c r="W55" s="216"/>
      <c r="X55" s="216"/>
      <c r="Y55" s="216"/>
      <c r="Z55" s="216"/>
      <c r="AA55" s="216"/>
      <c r="AB55" s="216"/>
      <c r="AC55" s="216"/>
      <c r="AD55" s="216"/>
      <c r="AE55" s="216"/>
      <c r="AF55" s="216"/>
    </row>
    <row r="56" ht="14.25" customHeight="1">
      <c r="A56" s="216"/>
      <c r="B56" s="216"/>
      <c r="C56" s="216"/>
      <c r="D56" s="267"/>
      <c r="E56" s="267"/>
      <c r="F56" s="267"/>
      <c r="G56" s="267"/>
      <c r="H56" s="267"/>
      <c r="I56" s="267"/>
      <c r="J56" s="267"/>
      <c r="K56" s="267"/>
      <c r="L56" s="267"/>
      <c r="M56" s="267"/>
      <c r="N56" s="267"/>
      <c r="O56" s="267"/>
      <c r="P56" s="267"/>
      <c r="Q56" s="267"/>
      <c r="R56" s="267"/>
      <c r="S56" s="216"/>
      <c r="T56" s="216"/>
      <c r="U56" s="216"/>
      <c r="V56" s="216"/>
      <c r="W56" s="216"/>
      <c r="X56" s="216"/>
      <c r="Y56" s="216"/>
      <c r="Z56" s="216"/>
      <c r="AA56" s="216"/>
      <c r="AB56" s="216"/>
      <c r="AC56" s="216"/>
      <c r="AD56" s="216"/>
      <c r="AE56" s="216"/>
      <c r="AF56" s="216"/>
    </row>
    <row r="57" ht="14.25" customHeight="1">
      <c r="A57" s="216"/>
      <c r="B57" s="216"/>
      <c r="C57" s="216"/>
      <c r="D57" s="267"/>
      <c r="E57" s="267"/>
      <c r="F57" s="267"/>
      <c r="G57" s="267"/>
      <c r="H57" s="267"/>
      <c r="I57" s="267"/>
      <c r="J57" s="267"/>
      <c r="K57" s="267"/>
      <c r="L57" s="267"/>
      <c r="M57" s="267"/>
      <c r="N57" s="267"/>
      <c r="O57" s="267"/>
      <c r="P57" s="267"/>
      <c r="Q57" s="267"/>
      <c r="R57" s="267"/>
      <c r="S57" s="216"/>
      <c r="T57" s="216"/>
      <c r="U57" s="216"/>
      <c r="V57" s="216"/>
      <c r="W57" s="216"/>
      <c r="X57" s="216"/>
      <c r="Y57" s="216"/>
      <c r="Z57" s="216"/>
      <c r="AA57" s="216"/>
      <c r="AB57" s="216"/>
      <c r="AC57" s="216"/>
      <c r="AD57" s="216"/>
      <c r="AE57" s="216"/>
      <c r="AF57" s="216"/>
    </row>
    <row r="58" ht="14.25" customHeight="1">
      <c r="A58" s="216"/>
      <c r="B58" s="216"/>
      <c r="C58" s="216"/>
      <c r="D58" s="267"/>
      <c r="E58" s="267"/>
      <c r="F58" s="267"/>
      <c r="G58" s="267"/>
      <c r="H58" s="267"/>
      <c r="I58" s="267"/>
      <c r="J58" s="267"/>
      <c r="K58" s="267"/>
      <c r="L58" s="267"/>
      <c r="M58" s="267"/>
      <c r="N58" s="267"/>
      <c r="O58" s="267"/>
      <c r="P58" s="267"/>
      <c r="Q58" s="267"/>
      <c r="R58" s="267"/>
      <c r="S58" s="216"/>
      <c r="T58" s="216"/>
      <c r="U58" s="216"/>
      <c r="V58" s="216"/>
      <c r="W58" s="216"/>
      <c r="X58" s="216"/>
      <c r="Y58" s="216"/>
      <c r="Z58" s="216"/>
      <c r="AA58" s="216"/>
      <c r="AB58" s="216"/>
      <c r="AC58" s="216"/>
      <c r="AD58" s="216"/>
      <c r="AE58" s="216"/>
      <c r="AF58" s="216"/>
    </row>
    <row r="59" ht="14.25" customHeight="1">
      <c r="A59" s="216"/>
      <c r="B59" s="216"/>
      <c r="C59" s="216"/>
      <c r="D59" s="267"/>
      <c r="E59" s="267"/>
      <c r="F59" s="267"/>
      <c r="G59" s="267"/>
      <c r="H59" s="267"/>
      <c r="I59" s="267"/>
      <c r="J59" s="267"/>
      <c r="K59" s="267"/>
      <c r="L59" s="267"/>
      <c r="M59" s="267"/>
      <c r="N59" s="267"/>
      <c r="O59" s="267"/>
      <c r="P59" s="267"/>
      <c r="Q59" s="267"/>
      <c r="R59" s="267"/>
      <c r="S59" s="216"/>
      <c r="T59" s="216"/>
      <c r="U59" s="216"/>
      <c r="V59" s="216"/>
      <c r="W59" s="216"/>
      <c r="X59" s="216"/>
      <c r="Y59" s="216"/>
      <c r="Z59" s="216"/>
      <c r="AA59" s="216"/>
      <c r="AB59" s="216"/>
      <c r="AC59" s="216"/>
      <c r="AD59" s="216"/>
      <c r="AE59" s="216"/>
      <c r="AF59" s="216"/>
    </row>
    <row r="60" ht="14.25" customHeight="1">
      <c r="A60" s="216"/>
      <c r="B60" s="216"/>
      <c r="C60" s="216"/>
      <c r="D60" s="267"/>
      <c r="E60" s="267"/>
      <c r="F60" s="267"/>
      <c r="G60" s="267"/>
      <c r="H60" s="267"/>
      <c r="I60" s="267"/>
      <c r="J60" s="267"/>
      <c r="K60" s="267"/>
      <c r="L60" s="267"/>
      <c r="M60" s="267"/>
      <c r="N60" s="267"/>
      <c r="O60" s="267"/>
      <c r="P60" s="267"/>
      <c r="Q60" s="267"/>
      <c r="R60" s="267"/>
      <c r="S60" s="216"/>
      <c r="T60" s="216"/>
      <c r="U60" s="216"/>
      <c r="V60" s="216"/>
      <c r="W60" s="216"/>
      <c r="X60" s="216"/>
      <c r="Y60" s="216"/>
      <c r="Z60" s="216"/>
      <c r="AA60" s="216"/>
      <c r="AB60" s="216"/>
      <c r="AC60" s="216"/>
      <c r="AD60" s="216"/>
      <c r="AE60" s="216"/>
      <c r="AF60" s="216"/>
    </row>
    <row r="61" ht="14.25" customHeight="1">
      <c r="A61" s="216"/>
      <c r="B61" s="216"/>
      <c r="C61" s="216"/>
      <c r="D61" s="267"/>
      <c r="E61" s="267"/>
      <c r="F61" s="267"/>
      <c r="G61" s="267"/>
      <c r="H61" s="267"/>
      <c r="I61" s="267"/>
      <c r="J61" s="267"/>
      <c r="K61" s="267"/>
      <c r="L61" s="267"/>
      <c r="M61" s="267"/>
      <c r="N61" s="267"/>
      <c r="O61" s="267"/>
      <c r="P61" s="267"/>
      <c r="Q61" s="267"/>
      <c r="R61" s="267"/>
      <c r="S61" s="216"/>
      <c r="T61" s="216"/>
      <c r="U61" s="216"/>
      <c r="V61" s="216"/>
      <c r="W61" s="216"/>
      <c r="X61" s="216"/>
      <c r="Y61" s="216"/>
      <c r="Z61" s="216"/>
      <c r="AA61" s="216"/>
      <c r="AB61" s="216"/>
      <c r="AC61" s="216"/>
      <c r="AD61" s="216"/>
      <c r="AE61" s="216"/>
      <c r="AF61" s="216"/>
    </row>
    <row r="62" ht="14.25" customHeight="1">
      <c r="A62" s="216"/>
      <c r="B62" s="216"/>
      <c r="C62" s="216"/>
      <c r="D62" s="267"/>
      <c r="E62" s="267"/>
      <c r="F62" s="267"/>
      <c r="G62" s="267"/>
      <c r="H62" s="267"/>
      <c r="I62" s="267"/>
      <c r="J62" s="267"/>
      <c r="K62" s="267"/>
      <c r="L62" s="267"/>
      <c r="M62" s="267"/>
      <c r="N62" s="267"/>
      <c r="O62" s="267"/>
      <c r="P62" s="267"/>
      <c r="Q62" s="267"/>
      <c r="R62" s="267"/>
      <c r="S62" s="216"/>
      <c r="T62" s="216"/>
      <c r="U62" s="216"/>
      <c r="V62" s="216"/>
      <c r="W62" s="216"/>
      <c r="X62" s="216"/>
      <c r="Y62" s="216"/>
      <c r="Z62" s="216"/>
      <c r="AA62" s="216"/>
      <c r="AB62" s="216"/>
      <c r="AC62" s="216"/>
      <c r="AD62" s="216"/>
      <c r="AE62" s="216"/>
      <c r="AF62" s="216"/>
    </row>
    <row r="63" ht="14.25" customHeight="1">
      <c r="A63" s="216"/>
      <c r="B63" s="216"/>
      <c r="C63" s="216"/>
      <c r="D63" s="267"/>
      <c r="E63" s="267"/>
      <c r="F63" s="267"/>
      <c r="G63" s="267"/>
      <c r="H63" s="267"/>
      <c r="I63" s="267"/>
      <c r="J63" s="267"/>
      <c r="K63" s="267"/>
      <c r="L63" s="267"/>
      <c r="M63" s="267"/>
      <c r="N63" s="267"/>
      <c r="O63" s="267"/>
      <c r="P63" s="267"/>
      <c r="Q63" s="267"/>
      <c r="R63" s="267"/>
      <c r="S63" s="216"/>
      <c r="T63" s="216"/>
      <c r="U63" s="216"/>
      <c r="V63" s="216"/>
      <c r="W63" s="216"/>
      <c r="X63" s="216"/>
      <c r="Y63" s="216"/>
      <c r="Z63" s="216"/>
      <c r="AA63" s="216"/>
      <c r="AB63" s="216"/>
      <c r="AC63" s="216"/>
      <c r="AD63" s="216"/>
      <c r="AE63" s="216"/>
      <c r="AF63" s="216"/>
    </row>
    <row r="64" ht="14.25" customHeight="1">
      <c r="A64" s="216"/>
      <c r="B64" s="216"/>
      <c r="C64" s="216"/>
      <c r="D64" s="267"/>
      <c r="E64" s="267"/>
      <c r="F64" s="267"/>
      <c r="G64" s="267"/>
      <c r="H64" s="267"/>
      <c r="I64" s="267"/>
      <c r="J64" s="267"/>
      <c r="K64" s="267"/>
      <c r="L64" s="267"/>
      <c r="M64" s="267"/>
      <c r="N64" s="267"/>
      <c r="O64" s="267"/>
      <c r="P64" s="267"/>
      <c r="Q64" s="267"/>
      <c r="R64" s="267"/>
      <c r="S64" s="216"/>
      <c r="T64" s="216"/>
      <c r="U64" s="216"/>
      <c r="V64" s="216"/>
      <c r="W64" s="216"/>
      <c r="X64" s="216"/>
      <c r="Y64" s="216"/>
      <c r="Z64" s="216"/>
      <c r="AA64" s="216"/>
      <c r="AB64" s="216"/>
      <c r="AC64" s="216"/>
      <c r="AD64" s="216"/>
      <c r="AE64" s="216"/>
      <c r="AF64" s="216"/>
    </row>
    <row r="65" ht="14.25" customHeight="1">
      <c r="A65" s="216"/>
      <c r="B65" s="216"/>
      <c r="C65" s="216"/>
      <c r="D65" s="267"/>
      <c r="E65" s="267"/>
      <c r="F65" s="267"/>
      <c r="G65" s="267"/>
      <c r="H65" s="267"/>
      <c r="I65" s="267"/>
      <c r="J65" s="267"/>
      <c r="K65" s="267"/>
      <c r="L65" s="267"/>
      <c r="M65" s="267"/>
      <c r="N65" s="267"/>
      <c r="O65" s="267"/>
      <c r="P65" s="267"/>
      <c r="Q65" s="267"/>
      <c r="R65" s="267"/>
      <c r="S65" s="216"/>
      <c r="T65" s="216"/>
      <c r="U65" s="216"/>
      <c r="V65" s="216"/>
      <c r="W65" s="216"/>
      <c r="X65" s="216"/>
      <c r="Y65" s="216"/>
      <c r="Z65" s="216"/>
      <c r="AA65" s="216"/>
      <c r="AB65" s="216"/>
      <c r="AC65" s="216"/>
      <c r="AD65" s="216"/>
      <c r="AE65" s="216"/>
      <c r="AF65" s="216"/>
    </row>
    <row r="66" ht="14.25" customHeight="1">
      <c r="A66" s="216"/>
      <c r="B66" s="216"/>
      <c r="C66" s="216"/>
      <c r="D66" s="267"/>
      <c r="E66" s="267"/>
      <c r="F66" s="267"/>
      <c r="G66" s="267"/>
      <c r="H66" s="267"/>
      <c r="I66" s="267"/>
      <c r="J66" s="267"/>
      <c r="K66" s="267"/>
      <c r="L66" s="267"/>
      <c r="M66" s="267"/>
      <c r="N66" s="267"/>
      <c r="O66" s="267"/>
      <c r="P66" s="267"/>
      <c r="Q66" s="267"/>
      <c r="R66" s="267"/>
      <c r="S66" s="216"/>
      <c r="T66" s="216"/>
      <c r="U66" s="216"/>
      <c r="V66" s="216"/>
      <c r="W66" s="216"/>
      <c r="X66" s="216"/>
      <c r="Y66" s="216"/>
      <c r="Z66" s="216"/>
      <c r="AA66" s="216"/>
      <c r="AB66" s="216"/>
      <c r="AC66" s="216"/>
      <c r="AD66" s="216"/>
      <c r="AE66" s="216"/>
      <c r="AF66" s="216"/>
    </row>
    <row r="67" ht="14.25" customHeight="1">
      <c r="A67" s="216"/>
      <c r="B67" s="216"/>
      <c r="C67" s="216"/>
      <c r="D67" s="267"/>
      <c r="E67" s="267"/>
      <c r="F67" s="267"/>
      <c r="G67" s="267"/>
      <c r="H67" s="267"/>
      <c r="I67" s="267"/>
      <c r="J67" s="267"/>
      <c r="K67" s="267"/>
      <c r="L67" s="267"/>
      <c r="M67" s="267"/>
      <c r="N67" s="267"/>
      <c r="O67" s="267"/>
      <c r="P67" s="267"/>
      <c r="Q67" s="267"/>
      <c r="R67" s="267"/>
      <c r="S67" s="216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</row>
    <row r="68" ht="14.25" customHeight="1">
      <c r="A68" s="216"/>
      <c r="B68" s="216"/>
      <c r="C68" s="216"/>
      <c r="D68" s="267"/>
      <c r="E68" s="267"/>
      <c r="F68" s="267"/>
      <c r="G68" s="267"/>
      <c r="H68" s="267"/>
      <c r="I68" s="267"/>
      <c r="J68" s="267"/>
      <c r="K68" s="267"/>
      <c r="L68" s="267"/>
      <c r="M68" s="267"/>
      <c r="N68" s="267"/>
      <c r="O68" s="267"/>
      <c r="P68" s="267"/>
      <c r="Q68" s="267"/>
      <c r="R68" s="267"/>
      <c r="S68" s="216"/>
      <c r="T68" s="216"/>
      <c r="U68" s="216"/>
      <c r="V68" s="216"/>
      <c r="W68" s="216"/>
      <c r="X68" s="216"/>
      <c r="Y68" s="216"/>
      <c r="Z68" s="216"/>
      <c r="AA68" s="216"/>
      <c r="AB68" s="216"/>
      <c r="AC68" s="216"/>
      <c r="AD68" s="216"/>
      <c r="AE68" s="216"/>
      <c r="AF68" s="216"/>
    </row>
    <row r="69" ht="14.25" customHeight="1">
      <c r="A69" s="216"/>
      <c r="B69" s="216"/>
      <c r="C69" s="216"/>
      <c r="D69" s="267"/>
      <c r="E69" s="267"/>
      <c r="F69" s="267"/>
      <c r="G69" s="267"/>
      <c r="H69" s="267"/>
      <c r="I69" s="267"/>
      <c r="J69" s="267"/>
      <c r="K69" s="267"/>
      <c r="L69" s="267"/>
      <c r="M69" s="267"/>
      <c r="N69" s="267"/>
      <c r="O69" s="267"/>
      <c r="P69" s="267"/>
      <c r="Q69" s="267"/>
      <c r="R69" s="267"/>
      <c r="S69" s="216"/>
      <c r="T69" s="216"/>
      <c r="U69" s="216"/>
      <c r="V69" s="216"/>
      <c r="W69" s="216"/>
      <c r="X69" s="216"/>
      <c r="Y69" s="216"/>
      <c r="Z69" s="216"/>
      <c r="AA69" s="216"/>
      <c r="AB69" s="216"/>
      <c r="AC69" s="216"/>
      <c r="AD69" s="216"/>
      <c r="AE69" s="216"/>
      <c r="AF69" s="216"/>
    </row>
    <row r="70" ht="14.25" customHeight="1">
      <c r="A70" s="216"/>
      <c r="B70" s="216"/>
      <c r="C70" s="216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16"/>
      <c r="T70" s="216"/>
      <c r="U70" s="216"/>
      <c r="V70" s="216"/>
      <c r="W70" s="216"/>
      <c r="X70" s="216"/>
      <c r="Y70" s="216"/>
      <c r="Z70" s="216"/>
      <c r="AA70" s="216"/>
      <c r="AB70" s="216"/>
      <c r="AC70" s="216"/>
      <c r="AD70" s="216"/>
      <c r="AE70" s="216"/>
      <c r="AF70" s="216"/>
    </row>
    <row r="71" ht="14.25" customHeight="1">
      <c r="A71" s="216"/>
      <c r="B71" s="216"/>
      <c r="C71" s="216"/>
      <c r="D71" s="267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16"/>
      <c r="T71" s="216"/>
      <c r="U71" s="216"/>
      <c r="V71" s="216"/>
      <c r="W71" s="216"/>
      <c r="X71" s="216"/>
      <c r="Y71" s="216"/>
      <c r="Z71" s="216"/>
      <c r="AA71" s="216"/>
      <c r="AB71" s="216"/>
      <c r="AC71" s="216"/>
      <c r="AD71" s="216"/>
      <c r="AE71" s="216"/>
      <c r="AF71" s="216"/>
    </row>
    <row r="72" ht="14.25" customHeight="1">
      <c r="A72" s="216"/>
      <c r="B72" s="216"/>
      <c r="C72" s="216"/>
      <c r="D72" s="267"/>
      <c r="E72" s="267"/>
      <c r="F72" s="267"/>
      <c r="G72" s="267"/>
      <c r="H72" s="267"/>
      <c r="I72" s="267"/>
      <c r="J72" s="267"/>
      <c r="K72" s="267"/>
      <c r="L72" s="267"/>
      <c r="M72" s="267"/>
      <c r="N72" s="267"/>
      <c r="O72" s="267"/>
      <c r="P72" s="267"/>
      <c r="Q72" s="267"/>
      <c r="R72" s="267"/>
      <c r="S72" s="216"/>
      <c r="T72" s="216"/>
      <c r="U72" s="216"/>
      <c r="V72" s="216"/>
      <c r="W72" s="216"/>
      <c r="X72" s="216"/>
      <c r="Y72" s="216"/>
      <c r="Z72" s="216"/>
      <c r="AA72" s="216"/>
      <c r="AB72" s="216"/>
      <c r="AC72" s="216"/>
      <c r="AD72" s="216"/>
      <c r="AE72" s="216"/>
      <c r="AF72" s="216"/>
    </row>
    <row r="73" ht="14.25" customHeight="1">
      <c r="A73" s="216"/>
      <c r="B73" s="216"/>
      <c r="C73" s="216"/>
      <c r="D73" s="267"/>
      <c r="E73" s="267"/>
      <c r="F73" s="267"/>
      <c r="G73" s="267"/>
      <c r="H73" s="267"/>
      <c r="I73" s="267"/>
      <c r="J73" s="267"/>
      <c r="K73" s="267"/>
      <c r="L73" s="267"/>
      <c r="M73" s="267"/>
      <c r="N73" s="267"/>
      <c r="O73" s="267"/>
      <c r="P73" s="267"/>
      <c r="Q73" s="267"/>
      <c r="R73" s="267"/>
      <c r="S73" s="216"/>
      <c r="T73" s="216"/>
      <c r="U73" s="216"/>
      <c r="V73" s="216"/>
      <c r="W73" s="216"/>
      <c r="X73" s="216"/>
      <c r="Y73" s="216"/>
      <c r="Z73" s="216"/>
      <c r="AA73" s="216"/>
      <c r="AB73" s="216"/>
      <c r="AC73" s="216"/>
      <c r="AD73" s="216"/>
      <c r="AE73" s="216"/>
      <c r="AF73" s="216"/>
    </row>
    <row r="74" ht="14.25" customHeight="1">
      <c r="A74" s="216"/>
      <c r="B74" s="216"/>
      <c r="C74" s="216"/>
      <c r="D74" s="267"/>
      <c r="E74" s="267"/>
      <c r="F74" s="267"/>
      <c r="G74" s="267"/>
      <c r="H74" s="267"/>
      <c r="I74" s="267"/>
      <c r="J74" s="267"/>
      <c r="K74" s="267"/>
      <c r="L74" s="267"/>
      <c r="M74" s="267"/>
      <c r="N74" s="267"/>
      <c r="O74" s="267"/>
      <c r="P74" s="267"/>
      <c r="Q74" s="267"/>
      <c r="R74" s="267"/>
      <c r="S74" s="216"/>
      <c r="T74" s="216"/>
      <c r="U74" s="216"/>
      <c r="V74" s="216"/>
      <c r="W74" s="216"/>
      <c r="X74" s="216"/>
      <c r="Y74" s="216"/>
      <c r="Z74" s="216"/>
      <c r="AA74" s="216"/>
      <c r="AB74" s="216"/>
      <c r="AC74" s="216"/>
      <c r="AD74" s="216"/>
      <c r="AE74" s="216"/>
      <c r="AF74" s="216"/>
    </row>
    <row r="75" ht="14.25" customHeight="1">
      <c r="A75" s="216"/>
      <c r="B75" s="216"/>
      <c r="C75" s="216"/>
      <c r="D75" s="267"/>
      <c r="E75" s="267"/>
      <c r="F75" s="267"/>
      <c r="G75" s="267"/>
      <c r="H75" s="267"/>
      <c r="I75" s="267"/>
      <c r="J75" s="267"/>
      <c r="K75" s="267"/>
      <c r="L75" s="267"/>
      <c r="M75" s="267"/>
      <c r="N75" s="267"/>
      <c r="O75" s="267"/>
      <c r="P75" s="267"/>
      <c r="Q75" s="267"/>
      <c r="R75" s="267"/>
      <c r="S75" s="21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</row>
    <row r="76" ht="14.25" customHeight="1">
      <c r="A76" s="216"/>
      <c r="B76" s="216"/>
      <c r="C76" s="216"/>
      <c r="D76" s="267"/>
      <c r="E76" s="267"/>
      <c r="F76" s="267"/>
      <c r="G76" s="267"/>
      <c r="H76" s="267"/>
      <c r="I76" s="267"/>
      <c r="J76" s="267"/>
      <c r="K76" s="267"/>
      <c r="L76" s="267"/>
      <c r="M76" s="267"/>
      <c r="N76" s="267"/>
      <c r="O76" s="267"/>
      <c r="P76" s="267"/>
      <c r="Q76" s="267"/>
      <c r="R76" s="267"/>
      <c r="S76" s="216"/>
      <c r="T76" s="216"/>
      <c r="U76" s="216"/>
      <c r="V76" s="216"/>
      <c r="W76" s="216"/>
      <c r="X76" s="216"/>
      <c r="Y76" s="216"/>
      <c r="Z76" s="216"/>
      <c r="AA76" s="216"/>
      <c r="AB76" s="216"/>
      <c r="AC76" s="216"/>
      <c r="AD76" s="216"/>
      <c r="AE76" s="216"/>
      <c r="AF76" s="216"/>
    </row>
    <row r="77" ht="14.25" customHeight="1">
      <c r="A77" s="216"/>
      <c r="B77" s="216"/>
      <c r="C77" s="216"/>
      <c r="D77" s="267"/>
      <c r="E77" s="267"/>
      <c r="F77" s="267"/>
      <c r="G77" s="267"/>
      <c r="H77" s="267"/>
      <c r="I77" s="267"/>
      <c r="J77" s="267"/>
      <c r="K77" s="267"/>
      <c r="L77" s="267"/>
      <c r="M77" s="267"/>
      <c r="N77" s="267"/>
      <c r="O77" s="267"/>
      <c r="P77" s="267"/>
      <c r="Q77" s="267"/>
      <c r="R77" s="267"/>
      <c r="S77" s="216"/>
      <c r="T77" s="216"/>
      <c r="U77" s="216"/>
      <c r="V77" s="216"/>
      <c r="W77" s="216"/>
      <c r="X77" s="216"/>
      <c r="Y77" s="216"/>
      <c r="Z77" s="216"/>
      <c r="AA77" s="216"/>
      <c r="AB77" s="216"/>
      <c r="AC77" s="216"/>
      <c r="AD77" s="216"/>
      <c r="AE77" s="216"/>
      <c r="AF77" s="216"/>
    </row>
    <row r="78" ht="14.25" customHeight="1">
      <c r="A78" s="216"/>
      <c r="B78" s="216"/>
      <c r="C78" s="216"/>
      <c r="D78" s="267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16"/>
      <c r="T78" s="216"/>
      <c r="U78" s="216"/>
      <c r="V78" s="216"/>
      <c r="W78" s="216"/>
      <c r="X78" s="216"/>
      <c r="Y78" s="216"/>
      <c r="Z78" s="216"/>
      <c r="AA78" s="216"/>
      <c r="AB78" s="216"/>
      <c r="AC78" s="216"/>
      <c r="AD78" s="216"/>
      <c r="AE78" s="216"/>
      <c r="AF78" s="216"/>
    </row>
    <row r="79" ht="14.25" customHeight="1">
      <c r="A79" s="216"/>
      <c r="B79" s="216"/>
      <c r="C79" s="216"/>
      <c r="D79" s="267"/>
      <c r="E79" s="267"/>
      <c r="F79" s="267"/>
      <c r="G79" s="267"/>
      <c r="H79" s="267"/>
      <c r="I79" s="267"/>
      <c r="J79" s="267"/>
      <c r="K79" s="267"/>
      <c r="L79" s="267"/>
      <c r="M79" s="267"/>
      <c r="N79" s="267"/>
      <c r="O79" s="267"/>
      <c r="P79" s="267"/>
      <c r="Q79" s="267"/>
      <c r="R79" s="267"/>
      <c r="S79" s="216"/>
      <c r="T79" s="216"/>
      <c r="U79" s="216"/>
      <c r="V79" s="216"/>
      <c r="W79" s="216"/>
      <c r="X79" s="216"/>
      <c r="Y79" s="216"/>
      <c r="Z79" s="216"/>
      <c r="AA79" s="216"/>
      <c r="AB79" s="216"/>
      <c r="AC79" s="216"/>
      <c r="AD79" s="216"/>
      <c r="AE79" s="216"/>
      <c r="AF79" s="216"/>
    </row>
    <row r="80" ht="14.25" customHeight="1">
      <c r="A80" s="216"/>
      <c r="B80" s="216"/>
      <c r="C80" s="216"/>
      <c r="D80" s="267"/>
      <c r="E80" s="267"/>
      <c r="F80" s="267"/>
      <c r="G80" s="267"/>
      <c r="H80" s="267"/>
      <c r="I80" s="267"/>
      <c r="J80" s="267"/>
      <c r="K80" s="267"/>
      <c r="L80" s="267"/>
      <c r="M80" s="267"/>
      <c r="N80" s="267"/>
      <c r="O80" s="267"/>
      <c r="P80" s="267"/>
      <c r="Q80" s="267"/>
      <c r="R80" s="267"/>
      <c r="S80" s="216"/>
      <c r="T80" s="216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</row>
    <row r="81" ht="14.25" customHeight="1">
      <c r="A81" s="216"/>
      <c r="B81" s="216"/>
      <c r="C81" s="216"/>
      <c r="D81" s="267"/>
      <c r="E81" s="267"/>
      <c r="F81" s="267"/>
      <c r="G81" s="267"/>
      <c r="H81" s="267"/>
      <c r="I81" s="267"/>
      <c r="J81" s="267"/>
      <c r="K81" s="267"/>
      <c r="L81" s="267"/>
      <c r="M81" s="267"/>
      <c r="N81" s="267"/>
      <c r="O81" s="267"/>
      <c r="P81" s="267"/>
      <c r="Q81" s="267"/>
      <c r="R81" s="267"/>
      <c r="S81" s="216"/>
      <c r="T81" s="216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</row>
    <row r="82" ht="14.25" customHeight="1">
      <c r="A82" s="216"/>
      <c r="B82" s="216"/>
      <c r="C82" s="216"/>
      <c r="D82" s="267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16"/>
      <c r="T82" s="216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</row>
    <row r="83" ht="14.25" customHeight="1">
      <c r="A83" s="216"/>
      <c r="B83" s="216"/>
      <c r="C83" s="216"/>
      <c r="D83" s="267"/>
      <c r="E83" s="267"/>
      <c r="F83" s="267"/>
      <c r="G83" s="267"/>
      <c r="H83" s="267"/>
      <c r="I83" s="267"/>
      <c r="J83" s="267"/>
      <c r="K83" s="267"/>
      <c r="L83" s="267"/>
      <c r="M83" s="267"/>
      <c r="N83" s="267"/>
      <c r="O83" s="267"/>
      <c r="P83" s="267"/>
      <c r="Q83" s="267"/>
      <c r="R83" s="267"/>
      <c r="S83" s="216"/>
      <c r="T83" s="216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</row>
    <row r="84" ht="14.25" customHeight="1">
      <c r="A84" s="216"/>
      <c r="B84" s="216"/>
      <c r="C84" s="216"/>
      <c r="D84" s="267"/>
      <c r="E84" s="267"/>
      <c r="F84" s="267"/>
      <c r="G84" s="267"/>
      <c r="H84" s="267"/>
      <c r="I84" s="267"/>
      <c r="J84" s="267"/>
      <c r="K84" s="267"/>
      <c r="L84" s="267"/>
      <c r="M84" s="267"/>
      <c r="N84" s="267"/>
      <c r="O84" s="267"/>
      <c r="P84" s="267"/>
      <c r="Q84" s="267"/>
      <c r="R84" s="267"/>
      <c r="S84" s="216"/>
      <c r="T84" s="216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</row>
    <row r="85" ht="14.25" customHeight="1">
      <c r="A85" s="216"/>
      <c r="B85" s="216"/>
      <c r="C85" s="216"/>
      <c r="D85" s="267"/>
      <c r="E85" s="267"/>
      <c r="F85" s="267"/>
      <c r="G85" s="267"/>
      <c r="H85" s="267"/>
      <c r="I85" s="267"/>
      <c r="J85" s="267"/>
      <c r="K85" s="267"/>
      <c r="L85" s="267"/>
      <c r="M85" s="267"/>
      <c r="N85" s="267"/>
      <c r="O85" s="267"/>
      <c r="P85" s="267"/>
      <c r="Q85" s="267"/>
      <c r="R85" s="267"/>
      <c r="S85" s="216"/>
      <c r="T85" s="216"/>
      <c r="U85" s="216"/>
      <c r="V85" s="216"/>
      <c r="W85" s="216"/>
      <c r="X85" s="216"/>
      <c r="Y85" s="216"/>
      <c r="Z85" s="216"/>
      <c r="AA85" s="216"/>
      <c r="AB85" s="216"/>
      <c r="AC85" s="216"/>
      <c r="AD85" s="216"/>
      <c r="AE85" s="216"/>
      <c r="AF85" s="216"/>
    </row>
    <row r="86" ht="14.25" customHeight="1">
      <c r="A86" s="216"/>
      <c r="B86" s="216"/>
      <c r="C86" s="216"/>
      <c r="D86" s="267"/>
      <c r="E86" s="267"/>
      <c r="F86" s="267"/>
      <c r="G86" s="267"/>
      <c r="H86" s="267"/>
      <c r="I86" s="267"/>
      <c r="J86" s="267"/>
      <c r="K86" s="267"/>
      <c r="L86" s="267"/>
      <c r="M86" s="267"/>
      <c r="N86" s="267"/>
      <c r="O86" s="267"/>
      <c r="P86" s="267"/>
      <c r="Q86" s="267"/>
      <c r="R86" s="267"/>
      <c r="S86" s="216"/>
      <c r="T86" s="216"/>
      <c r="U86" s="216"/>
      <c r="V86" s="216"/>
      <c r="W86" s="216"/>
      <c r="X86" s="216"/>
      <c r="Y86" s="216"/>
      <c r="Z86" s="216"/>
      <c r="AA86" s="216"/>
      <c r="AB86" s="216"/>
      <c r="AC86" s="216"/>
      <c r="AD86" s="216"/>
      <c r="AE86" s="216"/>
      <c r="AF86" s="216"/>
    </row>
    <row r="87" ht="14.25" customHeight="1">
      <c r="A87" s="216"/>
      <c r="B87" s="216"/>
      <c r="C87" s="216"/>
      <c r="D87" s="267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16"/>
      <c r="T87" s="216"/>
      <c r="U87" s="216"/>
      <c r="V87" s="216"/>
      <c r="W87" s="216"/>
      <c r="X87" s="216"/>
      <c r="Y87" s="216"/>
      <c r="Z87" s="216"/>
      <c r="AA87" s="216"/>
      <c r="AB87" s="216"/>
      <c r="AC87" s="216"/>
      <c r="AD87" s="216"/>
      <c r="AE87" s="216"/>
      <c r="AF87" s="216"/>
    </row>
    <row r="88" ht="14.25" customHeight="1">
      <c r="A88" s="216"/>
      <c r="B88" s="216"/>
      <c r="C88" s="216"/>
      <c r="D88" s="267"/>
      <c r="E88" s="267"/>
      <c r="F88" s="267"/>
      <c r="G88" s="267"/>
      <c r="H88" s="267"/>
      <c r="I88" s="267"/>
      <c r="J88" s="267"/>
      <c r="K88" s="267"/>
      <c r="L88" s="267"/>
      <c r="M88" s="267"/>
      <c r="N88" s="267"/>
      <c r="O88" s="267"/>
      <c r="P88" s="267"/>
      <c r="Q88" s="267"/>
      <c r="R88" s="267"/>
      <c r="S88" s="216"/>
      <c r="T88" s="216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</row>
    <row r="89" ht="14.25" customHeight="1">
      <c r="A89" s="216"/>
      <c r="B89" s="216"/>
      <c r="C89" s="216"/>
      <c r="D89" s="267"/>
      <c r="E89" s="267"/>
      <c r="F89" s="267"/>
      <c r="G89" s="267"/>
      <c r="H89" s="267"/>
      <c r="I89" s="267"/>
      <c r="J89" s="267"/>
      <c r="K89" s="267"/>
      <c r="L89" s="267"/>
      <c r="M89" s="267"/>
      <c r="N89" s="267"/>
      <c r="O89" s="267"/>
      <c r="P89" s="267"/>
      <c r="Q89" s="267"/>
      <c r="R89" s="267"/>
      <c r="S89" s="216"/>
      <c r="T89" s="216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</row>
    <row r="90" ht="14.25" customHeight="1">
      <c r="A90" s="216"/>
      <c r="B90" s="216"/>
      <c r="C90" s="216"/>
      <c r="D90" s="267"/>
      <c r="E90" s="267"/>
      <c r="F90" s="267"/>
      <c r="G90" s="267"/>
      <c r="H90" s="267"/>
      <c r="I90" s="267"/>
      <c r="J90" s="267"/>
      <c r="K90" s="267"/>
      <c r="L90" s="267"/>
      <c r="M90" s="267"/>
      <c r="N90" s="267"/>
      <c r="O90" s="267"/>
      <c r="P90" s="267"/>
      <c r="Q90" s="267"/>
      <c r="R90" s="267"/>
      <c r="S90" s="216"/>
      <c r="T90" s="216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</row>
    <row r="91" ht="14.25" customHeight="1">
      <c r="A91" s="216"/>
      <c r="B91" s="216"/>
      <c r="C91" s="216"/>
      <c r="D91" s="267"/>
      <c r="E91" s="267"/>
      <c r="F91" s="267"/>
      <c r="G91" s="267"/>
      <c r="H91" s="267"/>
      <c r="I91" s="267"/>
      <c r="J91" s="267"/>
      <c r="K91" s="267"/>
      <c r="L91" s="267"/>
      <c r="M91" s="267"/>
      <c r="N91" s="267"/>
      <c r="O91" s="267"/>
      <c r="P91" s="267"/>
      <c r="Q91" s="267"/>
      <c r="R91" s="267"/>
      <c r="S91" s="216"/>
      <c r="T91" s="216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</row>
    <row r="92" ht="14.25" customHeight="1">
      <c r="A92" s="216"/>
      <c r="B92" s="216"/>
      <c r="C92" s="216"/>
      <c r="D92" s="267"/>
      <c r="E92" s="267"/>
      <c r="F92" s="267"/>
      <c r="G92" s="267"/>
      <c r="H92" s="267"/>
      <c r="I92" s="267"/>
      <c r="J92" s="267"/>
      <c r="K92" s="267"/>
      <c r="L92" s="267"/>
      <c r="M92" s="267"/>
      <c r="N92" s="267"/>
      <c r="O92" s="267"/>
      <c r="P92" s="267"/>
      <c r="Q92" s="267"/>
      <c r="R92" s="267"/>
      <c r="S92" s="216"/>
      <c r="T92" s="216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</row>
    <row r="93" ht="14.25" customHeight="1">
      <c r="A93" s="216"/>
      <c r="B93" s="216"/>
      <c r="C93" s="216"/>
      <c r="D93" s="267"/>
      <c r="E93" s="267"/>
      <c r="F93" s="267"/>
      <c r="G93" s="267"/>
      <c r="H93" s="267"/>
      <c r="I93" s="267"/>
      <c r="J93" s="267"/>
      <c r="K93" s="267"/>
      <c r="L93" s="267"/>
      <c r="M93" s="267"/>
      <c r="N93" s="267"/>
      <c r="O93" s="267"/>
      <c r="P93" s="267"/>
      <c r="Q93" s="267"/>
      <c r="R93" s="267"/>
      <c r="S93" s="216"/>
      <c r="T93" s="216"/>
      <c r="U93" s="216"/>
      <c r="V93" s="216"/>
      <c r="W93" s="216"/>
      <c r="X93" s="216"/>
      <c r="Y93" s="216"/>
      <c r="Z93" s="216"/>
      <c r="AA93" s="216"/>
      <c r="AB93" s="216"/>
      <c r="AC93" s="216"/>
      <c r="AD93" s="216"/>
      <c r="AE93" s="216"/>
      <c r="AF93" s="216"/>
    </row>
    <row r="94" ht="14.25" customHeight="1">
      <c r="A94" s="216"/>
      <c r="B94" s="216"/>
      <c r="C94" s="216"/>
      <c r="D94" s="267"/>
      <c r="E94" s="267"/>
      <c r="F94" s="267"/>
      <c r="G94" s="267"/>
      <c r="H94" s="267"/>
      <c r="I94" s="267"/>
      <c r="J94" s="267"/>
      <c r="K94" s="267"/>
      <c r="L94" s="267"/>
      <c r="M94" s="267"/>
      <c r="N94" s="267"/>
      <c r="O94" s="267"/>
      <c r="P94" s="267"/>
      <c r="Q94" s="267"/>
      <c r="R94" s="267"/>
      <c r="S94" s="216"/>
      <c r="T94" s="216"/>
      <c r="U94" s="216"/>
      <c r="V94" s="216"/>
      <c r="W94" s="216"/>
      <c r="X94" s="216"/>
      <c r="Y94" s="216"/>
      <c r="Z94" s="216"/>
      <c r="AA94" s="216"/>
      <c r="AB94" s="216"/>
      <c r="AC94" s="216"/>
      <c r="AD94" s="216"/>
      <c r="AE94" s="216"/>
      <c r="AF94" s="216"/>
    </row>
    <row r="95" ht="14.25" customHeight="1">
      <c r="A95" s="216"/>
      <c r="B95" s="216"/>
      <c r="C95" s="216"/>
      <c r="D95" s="267"/>
      <c r="E95" s="267"/>
      <c r="F95" s="267"/>
      <c r="G95" s="267"/>
      <c r="H95" s="267"/>
      <c r="I95" s="267"/>
      <c r="J95" s="267"/>
      <c r="K95" s="267"/>
      <c r="L95" s="267"/>
      <c r="M95" s="267"/>
      <c r="N95" s="267"/>
      <c r="O95" s="267"/>
      <c r="P95" s="267"/>
      <c r="Q95" s="267"/>
      <c r="R95" s="267"/>
      <c r="S95" s="216"/>
      <c r="T95" s="216"/>
      <c r="U95" s="216"/>
      <c r="V95" s="216"/>
      <c r="W95" s="216"/>
      <c r="X95" s="216"/>
      <c r="Y95" s="216"/>
      <c r="Z95" s="216"/>
      <c r="AA95" s="216"/>
      <c r="AB95" s="216"/>
      <c r="AC95" s="216"/>
      <c r="AD95" s="216"/>
      <c r="AE95" s="216"/>
      <c r="AF95" s="216"/>
    </row>
    <row r="96" ht="14.25" customHeight="1">
      <c r="A96" s="216"/>
      <c r="B96" s="216"/>
      <c r="C96" s="216"/>
      <c r="D96" s="267"/>
      <c r="E96" s="267"/>
      <c r="F96" s="267"/>
      <c r="G96" s="267"/>
      <c r="H96" s="267"/>
      <c r="I96" s="267"/>
      <c r="J96" s="267"/>
      <c r="K96" s="267"/>
      <c r="L96" s="267"/>
      <c r="M96" s="267"/>
      <c r="N96" s="267"/>
      <c r="O96" s="267"/>
      <c r="P96" s="267"/>
      <c r="Q96" s="267"/>
      <c r="R96" s="267"/>
      <c r="S96" s="216"/>
      <c r="T96" s="216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</row>
    <row r="97" ht="14.25" customHeight="1">
      <c r="A97" s="216"/>
      <c r="B97" s="216"/>
      <c r="C97" s="216"/>
      <c r="D97" s="267"/>
      <c r="E97" s="267"/>
      <c r="F97" s="267"/>
      <c r="G97" s="267"/>
      <c r="H97" s="267"/>
      <c r="I97" s="267"/>
      <c r="J97" s="267"/>
      <c r="K97" s="267"/>
      <c r="L97" s="267"/>
      <c r="M97" s="267"/>
      <c r="N97" s="267"/>
      <c r="O97" s="267"/>
      <c r="P97" s="267"/>
      <c r="Q97" s="267"/>
      <c r="R97" s="267"/>
      <c r="S97" s="216"/>
      <c r="T97" s="216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</row>
    <row r="98" ht="14.25" customHeight="1">
      <c r="A98" s="216"/>
      <c r="B98" s="216"/>
      <c r="C98" s="216"/>
      <c r="D98" s="267"/>
      <c r="E98" s="267"/>
      <c r="F98" s="267"/>
      <c r="G98" s="267"/>
      <c r="H98" s="267"/>
      <c r="I98" s="267"/>
      <c r="J98" s="267"/>
      <c r="K98" s="267"/>
      <c r="L98" s="267"/>
      <c r="M98" s="267"/>
      <c r="N98" s="267"/>
      <c r="O98" s="267"/>
      <c r="P98" s="267"/>
      <c r="Q98" s="267"/>
      <c r="R98" s="267"/>
      <c r="S98" s="216"/>
      <c r="T98" s="216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</row>
    <row r="99" ht="14.25" customHeight="1">
      <c r="A99" s="216"/>
      <c r="B99" s="216"/>
      <c r="C99" s="216"/>
      <c r="D99" s="267"/>
      <c r="E99" s="267"/>
      <c r="F99" s="267"/>
      <c r="G99" s="267"/>
      <c r="H99" s="267"/>
      <c r="I99" s="267"/>
      <c r="J99" s="267"/>
      <c r="K99" s="267"/>
      <c r="L99" s="267"/>
      <c r="M99" s="267"/>
      <c r="N99" s="267"/>
      <c r="O99" s="267"/>
      <c r="P99" s="267"/>
      <c r="Q99" s="267"/>
      <c r="R99" s="267"/>
      <c r="S99" s="216"/>
      <c r="T99" s="216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</row>
    <row r="100" ht="14.25" customHeight="1">
      <c r="A100" s="216"/>
      <c r="B100" s="216"/>
      <c r="C100" s="216"/>
      <c r="D100" s="267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16"/>
      <c r="T100" s="216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</row>
    <row r="101" ht="14.25" customHeight="1">
      <c r="A101" s="216"/>
      <c r="B101" s="216"/>
      <c r="C101" s="216"/>
      <c r="D101" s="267"/>
      <c r="E101" s="267"/>
      <c r="F101" s="267"/>
      <c r="G101" s="267"/>
      <c r="H101" s="267"/>
      <c r="I101" s="267"/>
      <c r="J101" s="267"/>
      <c r="K101" s="267"/>
      <c r="L101" s="267"/>
      <c r="M101" s="267"/>
      <c r="N101" s="267"/>
      <c r="O101" s="267"/>
      <c r="P101" s="267"/>
      <c r="Q101" s="267"/>
      <c r="R101" s="267"/>
      <c r="S101" s="216"/>
      <c r="T101" s="216"/>
      <c r="U101" s="216"/>
      <c r="V101" s="216"/>
      <c r="W101" s="216"/>
      <c r="X101" s="216"/>
      <c r="Y101" s="216"/>
      <c r="Z101" s="216"/>
      <c r="AA101" s="216"/>
      <c r="AB101" s="216"/>
      <c r="AC101" s="216"/>
      <c r="AD101" s="216"/>
      <c r="AE101" s="216"/>
      <c r="AF101" s="216"/>
    </row>
    <row r="102" ht="14.25" customHeight="1">
      <c r="A102" s="216"/>
      <c r="B102" s="216"/>
      <c r="C102" s="216"/>
      <c r="D102" s="267"/>
      <c r="E102" s="267"/>
      <c r="F102" s="267"/>
      <c r="G102" s="267"/>
      <c r="H102" s="267"/>
      <c r="I102" s="267"/>
      <c r="J102" s="267"/>
      <c r="K102" s="267"/>
      <c r="L102" s="267"/>
      <c r="M102" s="267"/>
      <c r="N102" s="267"/>
      <c r="O102" s="267"/>
      <c r="P102" s="267"/>
      <c r="Q102" s="267"/>
      <c r="R102" s="267"/>
      <c r="S102" s="216"/>
      <c r="T102" s="216"/>
      <c r="U102" s="216"/>
      <c r="V102" s="216"/>
      <c r="W102" s="216"/>
      <c r="X102" s="216"/>
      <c r="Y102" s="216"/>
      <c r="Z102" s="216"/>
      <c r="AA102" s="216"/>
      <c r="AB102" s="216"/>
      <c r="AC102" s="216"/>
      <c r="AD102" s="216"/>
      <c r="AE102" s="216"/>
      <c r="AF102" s="216"/>
    </row>
    <row r="103" ht="14.25" customHeight="1">
      <c r="A103" s="216"/>
      <c r="B103" s="216"/>
      <c r="C103" s="216"/>
      <c r="D103" s="267"/>
      <c r="E103" s="267"/>
      <c r="F103" s="267"/>
      <c r="G103" s="267"/>
      <c r="H103" s="267"/>
      <c r="I103" s="267"/>
      <c r="J103" s="267"/>
      <c r="K103" s="267"/>
      <c r="L103" s="267"/>
      <c r="M103" s="267"/>
      <c r="N103" s="267"/>
      <c r="O103" s="267"/>
      <c r="P103" s="267"/>
      <c r="Q103" s="267"/>
      <c r="R103" s="267"/>
      <c r="S103" s="216"/>
      <c r="T103" s="216"/>
      <c r="U103" s="216"/>
      <c r="V103" s="216"/>
      <c r="W103" s="216"/>
      <c r="X103" s="216"/>
      <c r="Y103" s="216"/>
      <c r="Z103" s="216"/>
      <c r="AA103" s="216"/>
      <c r="AB103" s="216"/>
      <c r="AC103" s="216"/>
      <c r="AD103" s="216"/>
      <c r="AE103" s="216"/>
      <c r="AF103" s="216"/>
    </row>
    <row r="104" ht="14.25" customHeight="1">
      <c r="A104" s="216"/>
      <c r="B104" s="216"/>
      <c r="C104" s="216"/>
      <c r="D104" s="267"/>
      <c r="E104" s="267"/>
      <c r="F104" s="267"/>
      <c r="G104" s="267"/>
      <c r="H104" s="267"/>
      <c r="I104" s="267"/>
      <c r="J104" s="267"/>
      <c r="K104" s="267"/>
      <c r="L104" s="267"/>
      <c r="M104" s="267"/>
      <c r="N104" s="267"/>
      <c r="O104" s="267"/>
      <c r="P104" s="267"/>
      <c r="Q104" s="267"/>
      <c r="R104" s="267"/>
      <c r="S104" s="216"/>
      <c r="T104" s="216"/>
      <c r="U104" s="216"/>
      <c r="V104" s="216"/>
      <c r="W104" s="216"/>
      <c r="X104" s="216"/>
      <c r="Y104" s="216"/>
      <c r="Z104" s="216"/>
      <c r="AA104" s="216"/>
      <c r="AB104" s="216"/>
      <c r="AC104" s="216"/>
      <c r="AD104" s="216"/>
      <c r="AE104" s="216"/>
      <c r="AF104" s="216"/>
    </row>
    <row r="105" ht="14.25" customHeight="1">
      <c r="A105" s="216"/>
      <c r="B105" s="216"/>
      <c r="C105" s="216"/>
      <c r="D105" s="267"/>
      <c r="E105" s="267"/>
      <c r="F105" s="267"/>
      <c r="G105" s="267"/>
      <c r="H105" s="267"/>
      <c r="I105" s="267"/>
      <c r="J105" s="267"/>
      <c r="K105" s="267"/>
      <c r="L105" s="267"/>
      <c r="M105" s="267"/>
      <c r="N105" s="267"/>
      <c r="O105" s="267"/>
      <c r="P105" s="267"/>
      <c r="Q105" s="267"/>
      <c r="R105" s="267"/>
      <c r="S105" s="216"/>
      <c r="T105" s="216"/>
      <c r="U105" s="216"/>
      <c r="V105" s="216"/>
      <c r="W105" s="216"/>
      <c r="X105" s="216"/>
      <c r="Y105" s="216"/>
      <c r="Z105" s="216"/>
      <c r="AA105" s="216"/>
      <c r="AB105" s="216"/>
      <c r="AC105" s="216"/>
      <c r="AD105" s="216"/>
      <c r="AE105" s="216"/>
      <c r="AF105" s="216"/>
    </row>
    <row r="106" ht="14.25" customHeight="1">
      <c r="A106" s="216"/>
      <c r="B106" s="216"/>
      <c r="C106" s="216"/>
      <c r="D106" s="267"/>
      <c r="E106" s="267"/>
      <c r="F106" s="267"/>
      <c r="G106" s="267"/>
      <c r="H106" s="267"/>
      <c r="I106" s="267"/>
      <c r="J106" s="267"/>
      <c r="K106" s="267"/>
      <c r="L106" s="267"/>
      <c r="M106" s="267"/>
      <c r="N106" s="267"/>
      <c r="O106" s="267"/>
      <c r="P106" s="267"/>
      <c r="Q106" s="267"/>
      <c r="R106" s="267"/>
      <c r="S106" s="216"/>
      <c r="T106" s="216"/>
      <c r="U106" s="216"/>
      <c r="V106" s="216"/>
      <c r="W106" s="216"/>
      <c r="X106" s="216"/>
      <c r="Y106" s="216"/>
      <c r="Z106" s="216"/>
      <c r="AA106" s="216"/>
      <c r="AB106" s="216"/>
      <c r="AC106" s="216"/>
      <c r="AD106" s="216"/>
      <c r="AE106" s="216"/>
      <c r="AF106" s="216"/>
    </row>
    <row r="107" ht="14.25" customHeight="1">
      <c r="A107" s="216"/>
      <c r="B107" s="216"/>
      <c r="C107" s="216"/>
      <c r="D107" s="267"/>
      <c r="E107" s="267"/>
      <c r="F107" s="267"/>
      <c r="G107" s="267"/>
      <c r="H107" s="267"/>
      <c r="I107" s="267"/>
      <c r="J107" s="267"/>
      <c r="K107" s="267"/>
      <c r="L107" s="267"/>
      <c r="M107" s="267"/>
      <c r="N107" s="267"/>
      <c r="O107" s="267"/>
      <c r="P107" s="267"/>
      <c r="Q107" s="267"/>
      <c r="R107" s="267"/>
      <c r="S107" s="216"/>
      <c r="T107" s="216"/>
      <c r="U107" s="216"/>
      <c r="V107" s="216"/>
      <c r="W107" s="216"/>
      <c r="X107" s="216"/>
      <c r="Y107" s="216"/>
      <c r="Z107" s="216"/>
      <c r="AA107" s="216"/>
      <c r="AB107" s="216"/>
      <c r="AC107" s="216"/>
      <c r="AD107" s="216"/>
      <c r="AE107" s="216"/>
      <c r="AF107" s="216"/>
    </row>
    <row r="108" ht="15.75" customHeight="1">
      <c r="A108" s="216"/>
      <c r="B108" s="216"/>
      <c r="C108" s="216"/>
      <c r="D108" s="267"/>
      <c r="E108" s="267"/>
      <c r="F108" s="267"/>
      <c r="G108" s="392"/>
      <c r="H108" s="267"/>
      <c r="I108" s="392"/>
      <c r="J108" s="392"/>
      <c r="K108" s="392"/>
      <c r="L108" s="392"/>
      <c r="M108" s="392"/>
      <c r="N108" s="392"/>
      <c r="O108" s="392"/>
      <c r="P108" s="392"/>
      <c r="Q108" s="392"/>
      <c r="R108" s="392"/>
      <c r="S108" s="392"/>
      <c r="T108" s="392"/>
      <c r="U108" s="392"/>
      <c r="V108" s="392"/>
      <c r="W108" s="392"/>
      <c r="X108" s="392"/>
      <c r="Y108" s="392"/>
      <c r="Z108" s="392"/>
      <c r="AA108" s="392"/>
      <c r="AB108" s="392"/>
      <c r="AC108" s="392"/>
      <c r="AD108" s="392"/>
      <c r="AE108" s="392"/>
      <c r="AF108" s="392"/>
    </row>
    <row r="109" ht="15.75" customHeight="1">
      <c r="A109" s="216"/>
      <c r="B109" s="216"/>
      <c r="C109" s="216"/>
      <c r="D109" s="267"/>
      <c r="E109" s="392"/>
      <c r="F109" s="267"/>
      <c r="G109" s="392"/>
      <c r="H109" s="267"/>
      <c r="I109" s="392"/>
      <c r="J109" s="392"/>
      <c r="K109" s="392"/>
      <c r="L109" s="392"/>
      <c r="M109" s="392"/>
      <c r="N109" s="392"/>
      <c r="O109" s="392"/>
      <c r="P109" s="392"/>
      <c r="Q109" s="392"/>
      <c r="R109" s="392"/>
      <c r="S109" s="392"/>
      <c r="T109" s="392"/>
      <c r="U109" s="392"/>
      <c r="V109" s="392"/>
      <c r="W109" s="392"/>
      <c r="X109" s="392"/>
      <c r="Y109" s="392"/>
      <c r="Z109" s="392"/>
      <c r="AA109" s="392"/>
      <c r="AB109" s="392"/>
      <c r="AC109" s="392"/>
      <c r="AD109" s="392"/>
      <c r="AE109" s="392"/>
      <c r="AF109" s="392"/>
    </row>
    <row r="110" ht="15.75" customHeight="1">
      <c r="A110" s="216"/>
      <c r="B110" s="216"/>
      <c r="C110" s="216"/>
      <c r="D110" s="267"/>
      <c r="E110" s="392"/>
      <c r="F110" s="267"/>
      <c r="G110" s="392"/>
      <c r="H110" s="267"/>
      <c r="I110" s="392"/>
      <c r="J110" s="392"/>
      <c r="K110" s="392"/>
      <c r="L110" s="392"/>
      <c r="M110" s="392"/>
      <c r="N110" s="392"/>
      <c r="O110" s="392"/>
      <c r="P110" s="392"/>
      <c r="Q110" s="392"/>
      <c r="R110" s="392"/>
      <c r="S110" s="392"/>
      <c r="T110" s="392"/>
      <c r="U110" s="392"/>
      <c r="V110" s="392"/>
      <c r="W110" s="392"/>
      <c r="X110" s="392"/>
      <c r="Y110" s="392"/>
      <c r="Z110" s="392"/>
      <c r="AA110" s="392"/>
      <c r="AB110" s="392"/>
      <c r="AC110" s="392"/>
      <c r="AD110" s="392"/>
      <c r="AE110" s="392"/>
      <c r="AF110" s="392"/>
    </row>
    <row r="111" ht="15.75" customHeight="1">
      <c r="A111" s="216"/>
      <c r="B111" s="216"/>
      <c r="C111" s="216"/>
      <c r="D111" s="267"/>
      <c r="E111" s="392"/>
      <c r="F111" s="267"/>
      <c r="G111" s="392"/>
      <c r="H111" s="267"/>
      <c r="I111" s="392"/>
      <c r="J111" s="392"/>
      <c r="K111" s="392"/>
      <c r="L111" s="392"/>
      <c r="M111" s="392"/>
      <c r="N111" s="392"/>
      <c r="O111" s="392"/>
      <c r="P111" s="392"/>
      <c r="Q111" s="392"/>
      <c r="R111" s="392"/>
      <c r="S111" s="392"/>
      <c r="T111" s="392"/>
      <c r="U111" s="392"/>
      <c r="V111" s="392"/>
      <c r="W111" s="392"/>
      <c r="X111" s="392"/>
      <c r="Y111" s="392"/>
      <c r="Z111" s="392"/>
      <c r="AA111" s="392"/>
      <c r="AB111" s="392"/>
      <c r="AC111" s="392"/>
      <c r="AD111" s="392"/>
      <c r="AE111" s="392"/>
      <c r="AF111" s="392"/>
    </row>
    <row r="112" ht="15.75" customHeight="1">
      <c r="A112" s="216"/>
      <c r="B112" s="216"/>
      <c r="C112" s="216"/>
      <c r="D112" s="267"/>
      <c r="E112" s="392"/>
      <c r="F112" s="267"/>
      <c r="G112" s="392"/>
      <c r="H112" s="267"/>
      <c r="I112" s="392"/>
      <c r="J112" s="392"/>
      <c r="K112" s="392"/>
      <c r="L112" s="392"/>
      <c r="M112" s="392"/>
      <c r="N112" s="392"/>
      <c r="O112" s="392"/>
      <c r="P112" s="392"/>
      <c r="Q112" s="392"/>
      <c r="R112" s="392"/>
      <c r="S112" s="392"/>
      <c r="T112" s="392"/>
      <c r="U112" s="392"/>
      <c r="V112" s="392"/>
      <c r="W112" s="392"/>
      <c r="X112" s="392"/>
      <c r="Y112" s="392"/>
      <c r="Z112" s="392"/>
      <c r="AA112" s="392"/>
      <c r="AB112" s="392"/>
      <c r="AC112" s="392"/>
      <c r="AD112" s="392"/>
      <c r="AE112" s="392"/>
      <c r="AF112" s="392"/>
    </row>
    <row r="113" ht="15.75" customHeight="1">
      <c r="A113" s="216"/>
      <c r="B113" s="216"/>
      <c r="C113" s="216"/>
      <c r="D113" s="267"/>
      <c r="E113" s="392"/>
      <c r="F113" s="267"/>
      <c r="G113" s="392"/>
      <c r="H113" s="267"/>
      <c r="I113" s="392"/>
      <c r="J113" s="392"/>
      <c r="K113" s="392"/>
      <c r="L113" s="392"/>
      <c r="M113" s="392"/>
      <c r="N113" s="392"/>
      <c r="O113" s="392"/>
      <c r="P113" s="392"/>
      <c r="Q113" s="392"/>
      <c r="R113" s="392"/>
      <c r="S113" s="392"/>
      <c r="T113" s="392"/>
      <c r="U113" s="392"/>
      <c r="V113" s="392"/>
      <c r="W113" s="392"/>
      <c r="X113" s="392"/>
      <c r="Y113" s="392"/>
      <c r="Z113" s="392"/>
      <c r="AA113" s="392"/>
      <c r="AB113" s="392"/>
      <c r="AC113" s="392"/>
      <c r="AD113" s="392"/>
      <c r="AE113" s="392"/>
      <c r="AF113" s="392"/>
    </row>
    <row r="114" ht="15.75" customHeight="1">
      <c r="A114" s="216"/>
      <c r="B114" s="216"/>
      <c r="C114" s="216"/>
      <c r="D114" s="267"/>
      <c r="E114" s="392"/>
      <c r="F114" s="267"/>
      <c r="G114" s="392"/>
      <c r="H114" s="267"/>
      <c r="I114" s="392"/>
      <c r="J114" s="392"/>
      <c r="K114" s="392"/>
      <c r="L114" s="392"/>
      <c r="M114" s="392"/>
      <c r="N114" s="392"/>
      <c r="O114" s="392"/>
      <c r="P114" s="392"/>
      <c r="Q114" s="392"/>
      <c r="R114" s="392"/>
      <c r="S114" s="392"/>
      <c r="T114" s="392"/>
      <c r="U114" s="392"/>
      <c r="V114" s="392"/>
      <c r="W114" s="392"/>
      <c r="X114" s="392"/>
      <c r="Y114" s="392"/>
      <c r="Z114" s="392"/>
      <c r="AA114" s="392"/>
      <c r="AB114" s="392"/>
      <c r="AC114" s="392"/>
      <c r="AD114" s="392"/>
      <c r="AE114" s="392"/>
      <c r="AF114" s="392"/>
    </row>
    <row r="115" ht="15.75" customHeight="1">
      <c r="A115" s="216"/>
      <c r="B115" s="216"/>
      <c r="C115" s="216"/>
      <c r="D115" s="267"/>
      <c r="E115" s="392"/>
      <c r="F115" s="267"/>
      <c r="G115" s="392"/>
      <c r="H115" s="267"/>
      <c r="I115" s="392"/>
      <c r="J115" s="392"/>
      <c r="K115" s="392"/>
      <c r="L115" s="392"/>
      <c r="M115" s="392"/>
      <c r="N115" s="392"/>
      <c r="O115" s="392"/>
      <c r="P115" s="392"/>
      <c r="Q115" s="392"/>
      <c r="R115" s="392"/>
      <c r="S115" s="392"/>
      <c r="T115" s="392"/>
      <c r="U115" s="392"/>
      <c r="V115" s="392"/>
      <c r="W115" s="392"/>
      <c r="X115" s="392"/>
      <c r="Y115" s="392"/>
      <c r="Z115" s="392"/>
      <c r="AA115" s="392"/>
      <c r="AB115" s="392"/>
      <c r="AC115" s="392"/>
      <c r="AD115" s="392"/>
      <c r="AE115" s="392"/>
      <c r="AF115" s="392"/>
    </row>
    <row r="116" ht="15.75" customHeight="1">
      <c r="A116" s="216"/>
      <c r="B116" s="216"/>
      <c r="C116" s="216"/>
      <c r="D116" s="267"/>
      <c r="E116" s="392"/>
      <c r="F116" s="267"/>
      <c r="G116" s="392"/>
      <c r="H116" s="267"/>
      <c r="I116" s="392"/>
      <c r="J116" s="392"/>
      <c r="K116" s="392"/>
      <c r="L116" s="392"/>
      <c r="M116" s="392"/>
      <c r="N116" s="392"/>
      <c r="O116" s="392"/>
      <c r="P116" s="392"/>
      <c r="Q116" s="392"/>
      <c r="R116" s="392"/>
      <c r="S116" s="392"/>
      <c r="T116" s="392"/>
      <c r="U116" s="392"/>
      <c r="V116" s="392"/>
      <c r="W116" s="392"/>
      <c r="X116" s="392"/>
      <c r="Y116" s="392"/>
      <c r="Z116" s="392"/>
      <c r="AA116" s="392"/>
      <c r="AB116" s="392"/>
      <c r="AC116" s="392"/>
      <c r="AD116" s="392"/>
      <c r="AE116" s="392"/>
      <c r="AF116" s="392"/>
    </row>
    <row r="117" ht="15.75" customHeight="1">
      <c r="A117" s="216"/>
      <c r="B117" s="216"/>
      <c r="C117" s="216"/>
      <c r="D117" s="267"/>
      <c r="E117" s="392"/>
      <c r="F117" s="267"/>
      <c r="G117" s="392"/>
      <c r="H117" s="267"/>
      <c r="I117" s="392"/>
      <c r="J117" s="392"/>
      <c r="K117" s="392"/>
      <c r="L117" s="392"/>
      <c r="M117" s="392"/>
      <c r="N117" s="392"/>
      <c r="O117" s="392"/>
      <c r="P117" s="392"/>
      <c r="Q117" s="392"/>
      <c r="R117" s="392"/>
      <c r="S117" s="392"/>
      <c r="T117" s="392"/>
      <c r="U117" s="392"/>
      <c r="V117" s="392"/>
      <c r="W117" s="392"/>
      <c r="X117" s="392"/>
      <c r="Y117" s="392"/>
      <c r="Z117" s="392"/>
      <c r="AA117" s="392"/>
      <c r="AB117" s="392"/>
      <c r="AC117" s="392"/>
      <c r="AD117" s="392"/>
      <c r="AE117" s="392"/>
      <c r="AF117" s="392"/>
    </row>
    <row r="118" ht="15.75" customHeight="1">
      <c r="A118" s="216"/>
      <c r="B118" s="216"/>
      <c r="C118" s="216"/>
      <c r="D118" s="267"/>
      <c r="E118" s="392"/>
      <c r="F118" s="267"/>
      <c r="G118" s="392"/>
      <c r="H118" s="267"/>
      <c r="I118" s="392"/>
      <c r="J118" s="392"/>
      <c r="K118" s="392"/>
      <c r="L118" s="392"/>
      <c r="M118" s="392"/>
      <c r="N118" s="392"/>
      <c r="O118" s="392"/>
      <c r="P118" s="392"/>
      <c r="Q118" s="392"/>
      <c r="R118" s="392"/>
      <c r="S118" s="392"/>
      <c r="T118" s="392"/>
      <c r="U118" s="392"/>
      <c r="V118" s="392"/>
      <c r="W118" s="392"/>
      <c r="X118" s="392"/>
      <c r="Y118" s="392"/>
      <c r="Z118" s="392"/>
      <c r="AA118" s="392"/>
      <c r="AB118" s="392"/>
      <c r="AC118" s="392"/>
      <c r="AD118" s="392"/>
      <c r="AE118" s="392"/>
      <c r="AF118" s="392"/>
    </row>
    <row r="119" ht="15.75" customHeight="1">
      <c r="A119" s="216"/>
      <c r="B119" s="216"/>
      <c r="C119" s="216"/>
      <c r="D119" s="267"/>
      <c r="E119" s="392"/>
      <c r="F119" s="267"/>
      <c r="G119" s="392"/>
      <c r="H119" s="267"/>
      <c r="I119" s="392"/>
      <c r="J119" s="392"/>
      <c r="K119" s="392"/>
      <c r="L119" s="392"/>
      <c r="M119" s="392"/>
      <c r="N119" s="392"/>
      <c r="O119" s="392"/>
      <c r="P119" s="392"/>
      <c r="Q119" s="392"/>
      <c r="R119" s="392"/>
      <c r="S119" s="392"/>
      <c r="T119" s="392"/>
      <c r="U119" s="392"/>
      <c r="V119" s="392"/>
      <c r="W119" s="392"/>
      <c r="X119" s="392"/>
      <c r="Y119" s="392"/>
      <c r="Z119" s="392"/>
      <c r="AA119" s="392"/>
      <c r="AB119" s="392"/>
      <c r="AC119" s="392"/>
      <c r="AD119" s="392"/>
      <c r="AE119" s="392"/>
      <c r="AF119" s="392"/>
    </row>
    <row r="120" ht="15.75" customHeight="1">
      <c r="A120" s="216"/>
      <c r="B120" s="216"/>
      <c r="C120" s="216"/>
      <c r="D120" s="267"/>
      <c r="E120" s="392"/>
      <c r="F120" s="267"/>
      <c r="G120" s="392"/>
      <c r="H120" s="267"/>
      <c r="I120" s="392"/>
      <c r="J120" s="392"/>
      <c r="K120" s="392"/>
      <c r="L120" s="392"/>
      <c r="M120" s="392"/>
      <c r="N120" s="392"/>
      <c r="O120" s="392"/>
      <c r="P120" s="392"/>
      <c r="Q120" s="392"/>
      <c r="R120" s="392"/>
      <c r="S120" s="392"/>
      <c r="T120" s="392"/>
      <c r="U120" s="392"/>
      <c r="V120" s="392"/>
      <c r="W120" s="392"/>
      <c r="X120" s="392"/>
      <c r="Y120" s="392"/>
      <c r="Z120" s="392"/>
      <c r="AA120" s="392"/>
      <c r="AB120" s="392"/>
      <c r="AC120" s="392"/>
      <c r="AD120" s="392"/>
      <c r="AE120" s="392"/>
      <c r="AF120" s="392"/>
    </row>
    <row r="121" ht="15.75" customHeight="1">
      <c r="A121" s="216"/>
      <c r="B121" s="216"/>
      <c r="C121" s="216"/>
      <c r="D121" s="267"/>
      <c r="E121" s="392"/>
      <c r="F121" s="267"/>
      <c r="G121" s="392"/>
      <c r="H121" s="267"/>
      <c r="I121" s="392"/>
      <c r="J121" s="392"/>
      <c r="K121" s="392"/>
      <c r="L121" s="392"/>
      <c r="M121" s="392"/>
      <c r="N121" s="392"/>
      <c r="O121" s="392"/>
      <c r="P121" s="392"/>
      <c r="Q121" s="392"/>
      <c r="R121" s="392"/>
      <c r="S121" s="392"/>
      <c r="T121" s="392"/>
      <c r="U121" s="392"/>
      <c r="V121" s="392"/>
      <c r="W121" s="392"/>
      <c r="X121" s="392"/>
      <c r="Y121" s="392"/>
      <c r="Z121" s="392"/>
      <c r="AA121" s="392"/>
      <c r="AB121" s="392"/>
      <c r="AC121" s="392"/>
      <c r="AD121" s="392"/>
      <c r="AE121" s="392"/>
      <c r="AF121" s="392"/>
    </row>
    <row r="122" ht="15.75" customHeight="1">
      <c r="A122" s="216"/>
      <c r="B122" s="216"/>
      <c r="C122" s="216"/>
      <c r="D122" s="267"/>
      <c r="E122" s="392"/>
      <c r="F122" s="267"/>
      <c r="G122" s="392"/>
      <c r="H122" s="267"/>
      <c r="I122" s="392"/>
      <c r="J122" s="392"/>
      <c r="K122" s="392"/>
      <c r="L122" s="392"/>
      <c r="M122" s="392"/>
      <c r="N122" s="392"/>
      <c r="O122" s="392"/>
      <c r="P122" s="392"/>
      <c r="Q122" s="392"/>
      <c r="R122" s="392"/>
      <c r="S122" s="392"/>
      <c r="T122" s="392"/>
      <c r="U122" s="392"/>
      <c r="V122" s="392"/>
      <c r="W122" s="392"/>
      <c r="X122" s="392"/>
      <c r="Y122" s="392"/>
      <c r="Z122" s="392"/>
      <c r="AA122" s="392"/>
      <c r="AB122" s="392"/>
      <c r="AC122" s="392"/>
      <c r="AD122" s="392"/>
      <c r="AE122" s="392"/>
      <c r="AF122" s="392"/>
    </row>
    <row r="123" ht="15.75" customHeight="1">
      <c r="A123" s="216"/>
      <c r="B123" s="216"/>
      <c r="C123" s="216"/>
      <c r="D123" s="267"/>
      <c r="E123" s="392"/>
      <c r="F123" s="267"/>
      <c r="G123" s="392"/>
      <c r="H123" s="267"/>
      <c r="I123" s="392"/>
      <c r="J123" s="392"/>
      <c r="K123" s="392"/>
      <c r="L123" s="392"/>
      <c r="M123" s="392"/>
      <c r="N123" s="392"/>
      <c r="O123" s="392"/>
      <c r="P123" s="392"/>
      <c r="Q123" s="392"/>
      <c r="R123" s="392"/>
      <c r="S123" s="392"/>
      <c r="T123" s="392"/>
      <c r="U123" s="392"/>
      <c r="V123" s="392"/>
      <c r="W123" s="392"/>
      <c r="X123" s="392"/>
      <c r="Y123" s="392"/>
      <c r="Z123" s="392"/>
      <c r="AA123" s="392"/>
      <c r="AB123" s="392"/>
      <c r="AC123" s="392"/>
      <c r="AD123" s="392"/>
      <c r="AE123" s="392"/>
      <c r="AF123" s="392"/>
    </row>
    <row r="124" ht="15.75" customHeight="1">
      <c r="A124" s="216"/>
      <c r="B124" s="216"/>
      <c r="C124" s="216"/>
      <c r="D124" s="267"/>
      <c r="E124" s="392"/>
      <c r="F124" s="267"/>
      <c r="G124" s="392"/>
      <c r="H124" s="267"/>
      <c r="I124" s="392"/>
      <c r="J124" s="392"/>
      <c r="K124" s="392"/>
      <c r="L124" s="392"/>
      <c r="M124" s="392"/>
      <c r="N124" s="392"/>
      <c r="O124" s="392"/>
      <c r="P124" s="392"/>
      <c r="Q124" s="392"/>
      <c r="R124" s="392"/>
      <c r="S124" s="392"/>
      <c r="T124" s="392"/>
      <c r="U124" s="392"/>
      <c r="V124" s="392"/>
      <c r="W124" s="392"/>
      <c r="X124" s="392"/>
      <c r="Y124" s="392"/>
      <c r="Z124" s="392"/>
      <c r="AA124" s="392"/>
      <c r="AB124" s="392"/>
      <c r="AC124" s="392"/>
      <c r="AD124" s="392"/>
      <c r="AE124" s="392"/>
      <c r="AF124" s="392"/>
    </row>
    <row r="125" ht="15.75" customHeight="1">
      <c r="A125" s="216"/>
      <c r="B125" s="216"/>
      <c r="C125" s="216"/>
      <c r="D125" s="267"/>
      <c r="E125" s="392"/>
      <c r="F125" s="267"/>
      <c r="G125" s="392"/>
      <c r="H125" s="267"/>
      <c r="I125" s="392"/>
      <c r="J125" s="392"/>
      <c r="K125" s="392"/>
      <c r="L125" s="392"/>
      <c r="M125" s="392"/>
      <c r="N125" s="392"/>
      <c r="O125" s="392"/>
      <c r="P125" s="392"/>
      <c r="Q125" s="392"/>
      <c r="R125" s="392"/>
      <c r="S125" s="392"/>
      <c r="T125" s="392"/>
      <c r="U125" s="392"/>
      <c r="V125" s="392"/>
      <c r="W125" s="392"/>
      <c r="X125" s="392"/>
      <c r="Y125" s="392"/>
      <c r="Z125" s="392"/>
      <c r="AA125" s="392"/>
      <c r="AB125" s="392"/>
      <c r="AC125" s="392"/>
      <c r="AD125" s="392"/>
      <c r="AE125" s="392"/>
      <c r="AF125" s="392"/>
    </row>
    <row r="126" ht="15.75" customHeight="1">
      <c r="A126" s="216"/>
      <c r="B126" s="216"/>
      <c r="C126" s="216"/>
      <c r="D126" s="267"/>
      <c r="E126" s="392"/>
      <c r="F126" s="267"/>
      <c r="G126" s="392"/>
      <c r="H126" s="267"/>
      <c r="I126" s="392"/>
      <c r="J126" s="392"/>
      <c r="K126" s="392"/>
      <c r="L126" s="392"/>
      <c r="M126" s="392"/>
      <c r="N126" s="392"/>
      <c r="O126" s="392"/>
      <c r="P126" s="392"/>
      <c r="Q126" s="392"/>
      <c r="R126" s="392"/>
      <c r="S126" s="392"/>
      <c r="T126" s="392"/>
      <c r="U126" s="392"/>
      <c r="V126" s="392"/>
      <c r="W126" s="392"/>
      <c r="X126" s="392"/>
      <c r="Y126" s="392"/>
      <c r="Z126" s="392"/>
      <c r="AA126" s="392"/>
      <c r="AB126" s="392"/>
      <c r="AC126" s="392"/>
      <c r="AD126" s="392"/>
      <c r="AE126" s="392"/>
      <c r="AF126" s="392"/>
    </row>
    <row r="127" ht="15.75" customHeight="1">
      <c r="A127" s="216"/>
      <c r="B127" s="216"/>
      <c r="C127" s="216"/>
      <c r="D127" s="267"/>
      <c r="E127" s="392"/>
      <c r="F127" s="267"/>
      <c r="G127" s="392"/>
      <c r="H127" s="267"/>
      <c r="I127" s="392"/>
      <c r="J127" s="392"/>
      <c r="K127" s="392"/>
      <c r="L127" s="392"/>
      <c r="M127" s="392"/>
      <c r="N127" s="392"/>
      <c r="O127" s="392"/>
      <c r="P127" s="392"/>
      <c r="Q127" s="392"/>
      <c r="R127" s="392"/>
      <c r="S127" s="392"/>
      <c r="T127" s="392"/>
      <c r="U127" s="392"/>
      <c r="V127" s="392"/>
      <c r="W127" s="392"/>
      <c r="X127" s="392"/>
      <c r="Y127" s="392"/>
      <c r="Z127" s="392"/>
      <c r="AA127" s="392"/>
      <c r="AB127" s="392"/>
      <c r="AC127" s="392"/>
      <c r="AD127" s="392"/>
      <c r="AE127" s="392"/>
      <c r="AF127" s="392"/>
    </row>
    <row r="128" ht="15.75" customHeight="1">
      <c r="A128" s="216"/>
      <c r="B128" s="216"/>
      <c r="C128" s="216"/>
      <c r="D128" s="267"/>
      <c r="E128" s="392"/>
      <c r="F128" s="267"/>
      <c r="G128" s="392"/>
      <c r="H128" s="267"/>
      <c r="I128" s="392"/>
      <c r="J128" s="392"/>
      <c r="K128" s="392"/>
      <c r="L128" s="392"/>
      <c r="M128" s="392"/>
      <c r="N128" s="392"/>
      <c r="O128" s="392"/>
      <c r="P128" s="392"/>
      <c r="Q128" s="392"/>
      <c r="R128" s="392"/>
      <c r="S128" s="392"/>
      <c r="T128" s="392"/>
      <c r="U128" s="392"/>
      <c r="V128" s="392"/>
      <c r="W128" s="392"/>
      <c r="X128" s="392"/>
      <c r="Y128" s="392"/>
      <c r="Z128" s="392"/>
      <c r="AA128" s="392"/>
      <c r="AB128" s="392"/>
      <c r="AC128" s="392"/>
      <c r="AD128" s="392"/>
      <c r="AE128" s="392"/>
      <c r="AF128" s="392"/>
    </row>
    <row r="129" ht="15.75" customHeight="1">
      <c r="A129" s="216"/>
      <c r="B129" s="216"/>
      <c r="C129" s="216"/>
      <c r="D129" s="267"/>
      <c r="E129" s="392"/>
      <c r="F129" s="267"/>
      <c r="G129" s="392"/>
      <c r="H129" s="267"/>
      <c r="I129" s="392"/>
      <c r="J129" s="392"/>
      <c r="K129" s="392"/>
      <c r="L129" s="392"/>
      <c r="M129" s="392"/>
      <c r="N129" s="392"/>
      <c r="O129" s="392"/>
      <c r="P129" s="392"/>
      <c r="Q129" s="392"/>
      <c r="R129" s="392"/>
      <c r="S129" s="392"/>
      <c r="T129" s="392"/>
      <c r="U129" s="392"/>
      <c r="V129" s="392"/>
      <c r="W129" s="392"/>
      <c r="X129" s="392"/>
      <c r="Y129" s="392"/>
      <c r="Z129" s="392"/>
      <c r="AA129" s="392"/>
      <c r="AB129" s="392"/>
      <c r="AC129" s="392"/>
      <c r="AD129" s="392"/>
      <c r="AE129" s="392"/>
      <c r="AF129" s="392"/>
    </row>
    <row r="130" ht="15.75" customHeight="1">
      <c r="A130" s="216"/>
      <c r="B130" s="216"/>
      <c r="C130" s="216"/>
      <c r="D130" s="267"/>
      <c r="E130" s="392"/>
      <c r="F130" s="267"/>
      <c r="G130" s="392"/>
      <c r="H130" s="267"/>
      <c r="I130" s="392"/>
      <c r="J130" s="392"/>
      <c r="K130" s="392"/>
      <c r="L130" s="392"/>
      <c r="M130" s="392"/>
      <c r="N130" s="392"/>
      <c r="O130" s="392"/>
      <c r="P130" s="392"/>
      <c r="Q130" s="392"/>
      <c r="R130" s="392"/>
      <c r="S130" s="392"/>
      <c r="T130" s="392"/>
      <c r="U130" s="392"/>
      <c r="V130" s="392"/>
      <c r="W130" s="392"/>
      <c r="X130" s="392"/>
      <c r="Y130" s="392"/>
      <c r="Z130" s="392"/>
      <c r="AA130" s="392"/>
      <c r="AB130" s="392"/>
      <c r="AC130" s="392"/>
      <c r="AD130" s="392"/>
      <c r="AE130" s="392"/>
      <c r="AF130" s="392"/>
    </row>
    <row r="131" ht="15.75" customHeight="1">
      <c r="A131" s="216"/>
      <c r="B131" s="216"/>
      <c r="C131" s="216"/>
      <c r="D131" s="267"/>
      <c r="E131" s="392"/>
      <c r="F131" s="267"/>
      <c r="G131" s="392"/>
      <c r="H131" s="267"/>
      <c r="I131" s="392"/>
      <c r="J131" s="392"/>
      <c r="K131" s="392"/>
      <c r="L131" s="392"/>
      <c r="M131" s="392"/>
      <c r="N131" s="392"/>
      <c r="O131" s="392"/>
      <c r="P131" s="392"/>
      <c r="Q131" s="392"/>
      <c r="R131" s="392"/>
      <c r="S131" s="392"/>
      <c r="T131" s="392"/>
      <c r="U131" s="392"/>
      <c r="V131" s="392"/>
      <c r="W131" s="392"/>
      <c r="X131" s="392"/>
      <c r="Y131" s="392"/>
      <c r="Z131" s="392"/>
      <c r="AA131" s="392"/>
      <c r="AB131" s="392"/>
      <c r="AC131" s="392"/>
      <c r="AD131" s="392"/>
      <c r="AE131" s="392"/>
      <c r="AF131" s="392"/>
    </row>
    <row r="132" ht="15.75" customHeight="1">
      <c r="A132" s="216"/>
      <c r="B132" s="216"/>
      <c r="C132" s="216"/>
      <c r="D132" s="267"/>
      <c r="E132" s="392"/>
      <c r="F132" s="267"/>
      <c r="G132" s="392"/>
      <c r="H132" s="267"/>
      <c r="I132" s="392"/>
      <c r="J132" s="392"/>
      <c r="K132" s="392"/>
      <c r="L132" s="392"/>
      <c r="M132" s="392"/>
      <c r="N132" s="392"/>
      <c r="O132" s="392"/>
      <c r="P132" s="392"/>
      <c r="Q132" s="392"/>
      <c r="R132" s="392"/>
      <c r="S132" s="392"/>
      <c r="T132" s="392"/>
      <c r="U132" s="392"/>
      <c r="V132" s="392"/>
      <c r="W132" s="392"/>
      <c r="X132" s="392"/>
      <c r="Y132" s="392"/>
      <c r="Z132" s="392"/>
      <c r="AA132" s="392"/>
      <c r="AB132" s="392"/>
      <c r="AC132" s="392"/>
      <c r="AD132" s="392"/>
      <c r="AE132" s="392"/>
      <c r="AF132" s="392"/>
    </row>
    <row r="133" ht="15.75" customHeight="1">
      <c r="A133" s="216"/>
      <c r="B133" s="216"/>
      <c r="C133" s="216"/>
      <c r="D133" s="267"/>
      <c r="E133" s="392"/>
      <c r="F133" s="267"/>
      <c r="G133" s="392"/>
      <c r="H133" s="267"/>
      <c r="I133" s="392"/>
      <c r="J133" s="392"/>
      <c r="K133" s="392"/>
      <c r="L133" s="392"/>
      <c r="M133" s="392"/>
      <c r="N133" s="392"/>
      <c r="O133" s="392"/>
      <c r="P133" s="392"/>
      <c r="Q133" s="392"/>
      <c r="R133" s="392"/>
      <c r="S133" s="392"/>
      <c r="T133" s="392"/>
      <c r="U133" s="392"/>
      <c r="V133" s="392"/>
      <c r="W133" s="392"/>
      <c r="X133" s="392"/>
      <c r="Y133" s="392"/>
      <c r="Z133" s="392"/>
      <c r="AA133" s="392"/>
      <c r="AB133" s="392"/>
      <c r="AC133" s="392"/>
      <c r="AD133" s="392"/>
      <c r="AE133" s="392"/>
      <c r="AF133" s="392"/>
    </row>
    <row r="134" ht="15.75" customHeight="1">
      <c r="A134" s="216"/>
      <c r="B134" s="216"/>
      <c r="C134" s="216"/>
      <c r="D134" s="267"/>
      <c r="E134" s="392"/>
      <c r="F134" s="267"/>
      <c r="G134" s="392"/>
      <c r="H134" s="267"/>
      <c r="I134" s="392"/>
      <c r="J134" s="392"/>
      <c r="K134" s="392"/>
      <c r="L134" s="392"/>
      <c r="M134" s="392"/>
      <c r="N134" s="392"/>
      <c r="O134" s="392"/>
      <c r="P134" s="392"/>
      <c r="Q134" s="392"/>
      <c r="R134" s="392"/>
      <c r="S134" s="392"/>
      <c r="T134" s="392"/>
      <c r="U134" s="392"/>
      <c r="V134" s="392"/>
      <c r="W134" s="392"/>
      <c r="X134" s="392"/>
      <c r="Y134" s="392"/>
      <c r="Z134" s="392"/>
      <c r="AA134" s="392"/>
      <c r="AB134" s="392"/>
      <c r="AC134" s="392"/>
      <c r="AD134" s="392"/>
      <c r="AE134" s="392"/>
      <c r="AF134" s="392"/>
    </row>
    <row r="135" ht="15.75" customHeight="1">
      <c r="A135" s="216"/>
      <c r="B135" s="216"/>
      <c r="C135" s="216"/>
      <c r="D135" s="267"/>
      <c r="E135" s="392"/>
      <c r="F135" s="267"/>
      <c r="G135" s="392"/>
      <c r="H135" s="267"/>
      <c r="I135" s="392"/>
      <c r="J135" s="392"/>
      <c r="K135" s="392"/>
      <c r="L135" s="392"/>
      <c r="M135" s="392"/>
      <c r="N135" s="392"/>
      <c r="O135" s="392"/>
      <c r="P135" s="392"/>
      <c r="Q135" s="392"/>
      <c r="R135" s="392"/>
      <c r="S135" s="392"/>
      <c r="T135" s="392"/>
      <c r="U135" s="392"/>
      <c r="V135" s="392"/>
      <c r="W135" s="392"/>
      <c r="X135" s="392"/>
      <c r="Y135" s="392"/>
      <c r="Z135" s="392"/>
      <c r="AA135" s="392"/>
      <c r="AB135" s="392"/>
      <c r="AC135" s="392"/>
      <c r="AD135" s="392"/>
      <c r="AE135" s="392"/>
      <c r="AF135" s="392"/>
    </row>
    <row r="136" ht="15.75" customHeight="1">
      <c r="A136" s="216"/>
      <c r="B136" s="216"/>
      <c r="C136" s="216"/>
      <c r="D136" s="267"/>
      <c r="E136" s="392"/>
      <c r="F136" s="267"/>
      <c r="G136" s="392"/>
      <c r="H136" s="267"/>
      <c r="I136" s="392"/>
      <c r="J136" s="392"/>
      <c r="K136" s="392"/>
      <c r="L136" s="392"/>
      <c r="M136" s="392"/>
      <c r="N136" s="392"/>
      <c r="O136" s="392"/>
      <c r="P136" s="392"/>
      <c r="Q136" s="392"/>
      <c r="R136" s="392"/>
      <c r="S136" s="392"/>
      <c r="T136" s="392"/>
      <c r="U136" s="392"/>
      <c r="V136" s="392"/>
      <c r="W136" s="392"/>
      <c r="X136" s="392"/>
      <c r="Y136" s="392"/>
      <c r="Z136" s="392"/>
      <c r="AA136" s="392"/>
      <c r="AB136" s="392"/>
      <c r="AC136" s="392"/>
      <c r="AD136" s="392"/>
      <c r="AE136" s="392"/>
      <c r="AF136" s="392"/>
    </row>
    <row r="137" ht="15.75" customHeight="1">
      <c r="A137" s="216"/>
      <c r="B137" s="216"/>
      <c r="C137" s="216"/>
      <c r="D137" s="267"/>
      <c r="E137" s="392"/>
      <c r="F137" s="267"/>
      <c r="G137" s="392"/>
      <c r="H137" s="267"/>
      <c r="I137" s="392"/>
      <c r="J137" s="392"/>
      <c r="K137" s="392"/>
      <c r="L137" s="392"/>
      <c r="M137" s="392"/>
      <c r="N137" s="392"/>
      <c r="O137" s="392"/>
      <c r="P137" s="392"/>
      <c r="Q137" s="392"/>
      <c r="R137" s="392"/>
      <c r="S137" s="392"/>
      <c r="T137" s="392"/>
      <c r="U137" s="392"/>
      <c r="V137" s="392"/>
      <c r="W137" s="392"/>
      <c r="X137" s="392"/>
      <c r="Y137" s="392"/>
      <c r="Z137" s="392"/>
      <c r="AA137" s="392"/>
      <c r="AB137" s="392"/>
      <c r="AC137" s="392"/>
      <c r="AD137" s="392"/>
      <c r="AE137" s="392"/>
      <c r="AF137" s="392"/>
    </row>
    <row r="138" ht="15.75" customHeight="1">
      <c r="A138" s="216"/>
      <c r="B138" s="216"/>
      <c r="C138" s="216"/>
      <c r="D138" s="267"/>
      <c r="E138" s="392"/>
      <c r="F138" s="267"/>
      <c r="G138" s="392"/>
      <c r="H138" s="267"/>
      <c r="I138" s="392"/>
      <c r="J138" s="392"/>
      <c r="K138" s="392"/>
      <c r="L138" s="392"/>
      <c r="M138" s="392"/>
      <c r="N138" s="392"/>
      <c r="O138" s="392"/>
      <c r="P138" s="392"/>
      <c r="Q138" s="392"/>
      <c r="R138" s="392"/>
      <c r="S138" s="392"/>
      <c r="T138" s="392"/>
      <c r="U138" s="392"/>
      <c r="V138" s="392"/>
      <c r="W138" s="392"/>
      <c r="X138" s="392"/>
      <c r="Y138" s="392"/>
      <c r="Z138" s="392"/>
      <c r="AA138" s="392"/>
      <c r="AB138" s="392"/>
      <c r="AC138" s="392"/>
      <c r="AD138" s="392"/>
      <c r="AE138" s="392"/>
      <c r="AF138" s="392"/>
    </row>
    <row r="139" ht="15.75" customHeight="1">
      <c r="A139" s="216"/>
      <c r="B139" s="216"/>
      <c r="C139" s="216"/>
      <c r="D139" s="267"/>
      <c r="E139" s="392"/>
      <c r="F139" s="267"/>
      <c r="G139" s="392"/>
      <c r="H139" s="267"/>
      <c r="I139" s="392"/>
      <c r="J139" s="392"/>
      <c r="K139" s="392"/>
      <c r="L139" s="392"/>
      <c r="M139" s="392"/>
      <c r="N139" s="392"/>
      <c r="O139" s="392"/>
      <c r="P139" s="392"/>
      <c r="Q139" s="392"/>
      <c r="R139" s="392"/>
      <c r="S139" s="392"/>
      <c r="T139" s="392"/>
      <c r="U139" s="392"/>
      <c r="V139" s="392"/>
      <c r="W139" s="392"/>
      <c r="X139" s="392"/>
      <c r="Y139" s="392"/>
      <c r="Z139" s="392"/>
      <c r="AA139" s="392"/>
      <c r="AB139" s="392"/>
      <c r="AC139" s="392"/>
      <c r="AD139" s="392"/>
      <c r="AE139" s="392"/>
      <c r="AF139" s="392"/>
    </row>
    <row r="140" ht="15.75" customHeight="1">
      <c r="A140" s="216"/>
      <c r="B140" s="216"/>
      <c r="C140" s="216"/>
      <c r="D140" s="267"/>
      <c r="E140" s="392"/>
      <c r="F140" s="267"/>
      <c r="G140" s="392"/>
      <c r="H140" s="267"/>
      <c r="I140" s="392"/>
      <c r="J140" s="392"/>
      <c r="K140" s="392"/>
      <c r="L140" s="392"/>
      <c r="M140" s="392"/>
      <c r="N140" s="392"/>
      <c r="O140" s="392"/>
      <c r="P140" s="392"/>
      <c r="Q140" s="392"/>
      <c r="R140" s="392"/>
      <c r="S140" s="392"/>
      <c r="T140" s="392"/>
      <c r="U140" s="392"/>
      <c r="V140" s="392"/>
      <c r="W140" s="392"/>
      <c r="X140" s="392"/>
      <c r="Y140" s="392"/>
      <c r="Z140" s="392"/>
      <c r="AA140" s="392"/>
      <c r="AB140" s="392"/>
      <c r="AC140" s="392"/>
      <c r="AD140" s="392"/>
      <c r="AE140" s="392"/>
      <c r="AF140" s="392"/>
    </row>
    <row r="141" ht="15.75" customHeight="1">
      <c r="A141" s="216"/>
      <c r="B141" s="216"/>
      <c r="C141" s="216"/>
      <c r="D141" s="267"/>
      <c r="E141" s="392"/>
      <c r="F141" s="267"/>
      <c r="G141" s="392"/>
      <c r="H141" s="267"/>
      <c r="I141" s="392"/>
      <c r="J141" s="392"/>
      <c r="K141" s="392"/>
      <c r="L141" s="392"/>
      <c r="M141" s="392"/>
      <c r="N141" s="392"/>
      <c r="O141" s="392"/>
      <c r="P141" s="392"/>
      <c r="Q141" s="392"/>
      <c r="R141" s="392"/>
      <c r="S141" s="392"/>
      <c r="T141" s="392"/>
      <c r="U141" s="392"/>
      <c r="V141" s="392"/>
      <c r="W141" s="392"/>
      <c r="X141" s="392"/>
      <c r="Y141" s="392"/>
      <c r="Z141" s="392"/>
      <c r="AA141" s="392"/>
      <c r="AB141" s="392"/>
      <c r="AC141" s="392"/>
      <c r="AD141" s="392"/>
      <c r="AE141" s="392"/>
      <c r="AF141" s="392"/>
    </row>
    <row r="142" ht="15.75" customHeight="1">
      <c r="A142" s="216"/>
      <c r="B142" s="216"/>
      <c r="C142" s="216"/>
      <c r="D142" s="267"/>
      <c r="E142" s="392"/>
      <c r="F142" s="267"/>
      <c r="G142" s="392"/>
      <c r="H142" s="267"/>
      <c r="I142" s="392"/>
      <c r="J142" s="392"/>
      <c r="K142" s="392"/>
      <c r="L142" s="392"/>
      <c r="M142" s="392"/>
      <c r="N142" s="392"/>
      <c r="O142" s="392"/>
      <c r="P142" s="392"/>
      <c r="Q142" s="392"/>
      <c r="R142" s="392"/>
      <c r="S142" s="392"/>
      <c r="T142" s="392"/>
      <c r="U142" s="392"/>
      <c r="V142" s="392"/>
      <c r="W142" s="392"/>
      <c r="X142" s="392"/>
      <c r="Y142" s="392"/>
      <c r="Z142" s="392"/>
      <c r="AA142" s="392"/>
      <c r="AB142" s="392"/>
      <c r="AC142" s="392"/>
      <c r="AD142" s="392"/>
      <c r="AE142" s="392"/>
      <c r="AF142" s="392"/>
    </row>
    <row r="143" ht="15.75" customHeight="1">
      <c r="A143" s="216"/>
      <c r="B143" s="216"/>
      <c r="C143" s="216"/>
      <c r="D143" s="267"/>
      <c r="E143" s="392"/>
      <c r="F143" s="267"/>
      <c r="G143" s="392"/>
      <c r="H143" s="267"/>
      <c r="I143" s="392"/>
      <c r="J143" s="392"/>
      <c r="K143" s="392"/>
      <c r="L143" s="392"/>
      <c r="M143" s="392"/>
      <c r="N143" s="392"/>
      <c r="O143" s="392"/>
      <c r="P143" s="392"/>
      <c r="Q143" s="392"/>
      <c r="R143" s="392"/>
      <c r="S143" s="392"/>
      <c r="T143" s="392"/>
      <c r="U143" s="392"/>
      <c r="V143" s="392"/>
      <c r="W143" s="392"/>
      <c r="X143" s="392"/>
      <c r="Y143" s="392"/>
      <c r="Z143" s="392"/>
      <c r="AA143" s="392"/>
      <c r="AB143" s="392"/>
      <c r="AC143" s="392"/>
      <c r="AD143" s="392"/>
      <c r="AE143" s="392"/>
      <c r="AF143" s="392"/>
    </row>
    <row r="144" ht="15.75" customHeight="1">
      <c r="A144" s="216"/>
      <c r="B144" s="216"/>
      <c r="C144" s="216"/>
      <c r="D144" s="267"/>
      <c r="E144" s="392"/>
      <c r="F144" s="267"/>
      <c r="G144" s="392"/>
      <c r="H144" s="267"/>
      <c r="I144" s="392"/>
      <c r="J144" s="392"/>
      <c r="K144" s="392"/>
      <c r="L144" s="392"/>
      <c r="M144" s="392"/>
      <c r="N144" s="392"/>
      <c r="O144" s="392"/>
      <c r="P144" s="392"/>
      <c r="Q144" s="392"/>
      <c r="R144" s="392"/>
      <c r="S144" s="392"/>
      <c r="T144" s="392"/>
      <c r="U144" s="392"/>
      <c r="V144" s="392"/>
      <c r="W144" s="392"/>
      <c r="X144" s="392"/>
      <c r="Y144" s="392"/>
      <c r="Z144" s="392"/>
      <c r="AA144" s="392"/>
      <c r="AB144" s="392"/>
      <c r="AC144" s="392"/>
      <c r="AD144" s="392"/>
      <c r="AE144" s="392"/>
      <c r="AF144" s="392"/>
    </row>
    <row r="145" ht="15.75" customHeight="1">
      <c r="A145" s="216"/>
      <c r="B145" s="216"/>
      <c r="C145" s="216"/>
      <c r="D145" s="267"/>
      <c r="E145" s="392"/>
      <c r="F145" s="267"/>
      <c r="G145" s="392"/>
      <c r="H145" s="267"/>
      <c r="I145" s="392"/>
      <c r="J145" s="392"/>
      <c r="K145" s="392"/>
      <c r="L145" s="392"/>
      <c r="M145" s="392"/>
      <c r="N145" s="392"/>
      <c r="O145" s="392"/>
      <c r="P145" s="392"/>
      <c r="Q145" s="392"/>
      <c r="R145" s="392"/>
      <c r="S145" s="392"/>
      <c r="T145" s="392"/>
      <c r="U145" s="392"/>
      <c r="V145" s="392"/>
      <c r="W145" s="392"/>
      <c r="X145" s="392"/>
      <c r="Y145" s="392"/>
      <c r="Z145" s="392"/>
      <c r="AA145" s="392"/>
      <c r="AB145" s="392"/>
      <c r="AC145" s="392"/>
      <c r="AD145" s="392"/>
      <c r="AE145" s="392"/>
      <c r="AF145" s="392"/>
    </row>
    <row r="146" ht="15.75" customHeight="1">
      <c r="A146" s="216"/>
      <c r="B146" s="216"/>
      <c r="C146" s="216"/>
      <c r="D146" s="267"/>
      <c r="E146" s="392"/>
      <c r="F146" s="267"/>
      <c r="G146" s="392"/>
      <c r="H146" s="267"/>
      <c r="I146" s="392"/>
      <c r="J146" s="392"/>
      <c r="K146" s="392"/>
      <c r="L146" s="392"/>
      <c r="M146" s="392"/>
      <c r="N146" s="392"/>
      <c r="O146" s="392"/>
      <c r="P146" s="392"/>
      <c r="Q146" s="392"/>
      <c r="R146" s="392"/>
      <c r="S146" s="392"/>
      <c r="T146" s="392"/>
      <c r="U146" s="392"/>
      <c r="V146" s="392"/>
      <c r="W146" s="392"/>
      <c r="X146" s="392"/>
      <c r="Y146" s="392"/>
      <c r="Z146" s="392"/>
      <c r="AA146" s="392"/>
      <c r="AB146" s="392"/>
      <c r="AC146" s="392"/>
      <c r="AD146" s="392"/>
      <c r="AE146" s="392"/>
      <c r="AF146" s="392"/>
    </row>
    <row r="147" ht="15.75" customHeight="1">
      <c r="A147" s="216"/>
      <c r="B147" s="216"/>
      <c r="C147" s="216"/>
      <c r="D147" s="267"/>
      <c r="E147" s="392"/>
      <c r="F147" s="267"/>
      <c r="G147" s="392"/>
      <c r="H147" s="267"/>
      <c r="I147" s="392"/>
      <c r="J147" s="392"/>
      <c r="K147" s="392"/>
      <c r="L147" s="392"/>
      <c r="M147" s="392"/>
      <c r="N147" s="392"/>
      <c r="O147" s="392"/>
      <c r="P147" s="392"/>
      <c r="Q147" s="392"/>
      <c r="R147" s="392"/>
      <c r="S147" s="392"/>
      <c r="T147" s="392"/>
      <c r="U147" s="392"/>
      <c r="V147" s="392"/>
      <c r="W147" s="392"/>
      <c r="X147" s="392"/>
      <c r="Y147" s="392"/>
      <c r="Z147" s="392"/>
      <c r="AA147" s="392"/>
      <c r="AB147" s="392"/>
      <c r="AC147" s="392"/>
      <c r="AD147" s="392"/>
      <c r="AE147" s="392"/>
      <c r="AF147" s="392"/>
    </row>
    <row r="148" ht="15.75" customHeight="1">
      <c r="A148" s="216"/>
      <c r="B148" s="216"/>
      <c r="C148" s="216"/>
      <c r="D148" s="267"/>
      <c r="E148" s="392"/>
      <c r="F148" s="267"/>
      <c r="G148" s="392"/>
      <c r="H148" s="267"/>
      <c r="I148" s="392"/>
      <c r="J148" s="392"/>
      <c r="K148" s="392"/>
      <c r="L148" s="392"/>
      <c r="M148" s="392"/>
      <c r="N148" s="392"/>
      <c r="O148" s="392"/>
      <c r="P148" s="392"/>
      <c r="Q148" s="392"/>
      <c r="R148" s="392"/>
      <c r="S148" s="392"/>
      <c r="T148" s="392"/>
      <c r="U148" s="392"/>
      <c r="V148" s="392"/>
      <c r="W148" s="392"/>
      <c r="X148" s="392"/>
      <c r="Y148" s="392"/>
      <c r="Z148" s="392"/>
      <c r="AA148" s="392"/>
      <c r="AB148" s="392"/>
      <c r="AC148" s="392"/>
      <c r="AD148" s="392"/>
      <c r="AE148" s="392"/>
      <c r="AF148" s="392"/>
    </row>
    <row r="149" ht="15.75" customHeight="1">
      <c r="A149" s="216"/>
      <c r="B149" s="216"/>
      <c r="C149" s="216"/>
      <c r="D149" s="267"/>
      <c r="E149" s="392"/>
      <c r="F149" s="267"/>
      <c r="G149" s="392"/>
      <c r="H149" s="267"/>
      <c r="I149" s="392"/>
      <c r="J149" s="392"/>
      <c r="K149" s="392"/>
      <c r="L149" s="392"/>
      <c r="M149" s="392"/>
      <c r="N149" s="392"/>
      <c r="O149" s="392"/>
      <c r="P149" s="392"/>
      <c r="Q149" s="392"/>
      <c r="R149" s="392"/>
      <c r="S149" s="392"/>
      <c r="T149" s="392"/>
      <c r="U149" s="392"/>
      <c r="V149" s="392"/>
      <c r="W149" s="392"/>
      <c r="X149" s="392"/>
      <c r="Y149" s="392"/>
      <c r="Z149" s="392"/>
      <c r="AA149" s="392"/>
      <c r="AB149" s="392"/>
      <c r="AC149" s="392"/>
      <c r="AD149" s="392"/>
      <c r="AE149" s="392"/>
      <c r="AF149" s="392"/>
    </row>
    <row r="150" ht="15.75" customHeight="1">
      <c r="A150" s="216"/>
      <c r="B150" s="216"/>
      <c r="C150" s="216"/>
      <c r="D150" s="267"/>
      <c r="E150" s="392"/>
      <c r="F150" s="267"/>
      <c r="G150" s="392"/>
      <c r="H150" s="267"/>
      <c r="I150" s="392"/>
      <c r="J150" s="392"/>
      <c r="K150" s="392"/>
      <c r="L150" s="392"/>
      <c r="M150" s="392"/>
      <c r="N150" s="392"/>
      <c r="O150" s="392"/>
      <c r="P150" s="392"/>
      <c r="Q150" s="392"/>
      <c r="R150" s="392"/>
      <c r="S150" s="392"/>
      <c r="T150" s="392"/>
      <c r="U150" s="392"/>
      <c r="V150" s="392"/>
      <c r="W150" s="392"/>
      <c r="X150" s="392"/>
      <c r="Y150" s="392"/>
      <c r="Z150" s="392"/>
      <c r="AA150" s="392"/>
      <c r="AB150" s="392"/>
      <c r="AC150" s="392"/>
      <c r="AD150" s="392"/>
      <c r="AE150" s="392"/>
      <c r="AF150" s="392"/>
    </row>
    <row r="151" ht="15.75" customHeight="1">
      <c r="A151" s="216"/>
      <c r="B151" s="216"/>
      <c r="C151" s="216"/>
      <c r="D151" s="267"/>
      <c r="E151" s="392"/>
      <c r="F151" s="267"/>
      <c r="G151" s="392"/>
      <c r="H151" s="267"/>
      <c r="I151" s="392"/>
      <c r="J151" s="392"/>
      <c r="K151" s="392"/>
      <c r="L151" s="392"/>
      <c r="M151" s="392"/>
      <c r="N151" s="392"/>
      <c r="O151" s="392"/>
      <c r="P151" s="392"/>
      <c r="Q151" s="392"/>
      <c r="R151" s="392"/>
      <c r="S151" s="392"/>
      <c r="T151" s="392"/>
      <c r="U151" s="392"/>
      <c r="V151" s="392"/>
      <c r="W151" s="392"/>
      <c r="X151" s="392"/>
      <c r="Y151" s="392"/>
      <c r="Z151" s="392"/>
      <c r="AA151" s="392"/>
      <c r="AB151" s="392"/>
      <c r="AC151" s="392"/>
      <c r="AD151" s="392"/>
      <c r="AE151" s="392"/>
      <c r="AF151" s="392"/>
    </row>
    <row r="152" ht="15.75" customHeight="1">
      <c r="A152" s="216"/>
      <c r="B152" s="216"/>
      <c r="C152" s="216"/>
      <c r="D152" s="267"/>
      <c r="E152" s="392"/>
      <c r="F152" s="267"/>
      <c r="G152" s="392"/>
      <c r="H152" s="267"/>
      <c r="I152" s="392"/>
      <c r="J152" s="392"/>
      <c r="K152" s="392"/>
      <c r="L152" s="392"/>
      <c r="M152" s="392"/>
      <c r="N152" s="392"/>
      <c r="O152" s="392"/>
      <c r="P152" s="392"/>
      <c r="Q152" s="392"/>
      <c r="R152" s="392"/>
      <c r="S152" s="392"/>
      <c r="T152" s="392"/>
      <c r="U152" s="392"/>
      <c r="V152" s="392"/>
      <c r="W152" s="392"/>
      <c r="X152" s="392"/>
      <c r="Y152" s="392"/>
      <c r="Z152" s="392"/>
      <c r="AA152" s="392"/>
      <c r="AB152" s="392"/>
      <c r="AC152" s="392"/>
      <c r="AD152" s="392"/>
      <c r="AE152" s="392"/>
      <c r="AF152" s="392"/>
    </row>
    <row r="153" ht="15.75" customHeight="1">
      <c r="A153" s="216"/>
      <c r="B153" s="156"/>
      <c r="C153" s="156"/>
      <c r="D153" s="156"/>
      <c r="E153" s="392"/>
      <c r="F153" s="392"/>
      <c r="G153" s="392"/>
      <c r="H153" s="392"/>
      <c r="I153" s="392"/>
      <c r="J153" s="392"/>
      <c r="K153" s="392"/>
      <c r="L153" s="392"/>
      <c r="M153" s="392"/>
      <c r="N153" s="392"/>
      <c r="O153" s="392"/>
      <c r="P153" s="392"/>
      <c r="Q153" s="392"/>
      <c r="R153" s="392"/>
      <c r="S153" s="392"/>
      <c r="T153" s="392"/>
      <c r="U153" s="392"/>
      <c r="V153" s="392"/>
      <c r="W153" s="392"/>
      <c r="X153" s="392"/>
      <c r="Y153" s="392"/>
      <c r="Z153" s="392"/>
      <c r="AA153" s="392"/>
      <c r="AB153" s="392"/>
      <c r="AC153" s="392"/>
      <c r="AD153" s="392"/>
      <c r="AE153" s="392"/>
      <c r="AF153" s="392"/>
    </row>
    <row r="154" ht="15.75" customHeight="1">
      <c r="A154" s="216"/>
      <c r="B154" s="156"/>
      <c r="C154" s="156"/>
      <c r="D154" s="156"/>
      <c r="E154" s="392"/>
      <c r="F154" s="392"/>
      <c r="G154" s="392"/>
      <c r="H154" s="392"/>
      <c r="I154" s="392"/>
      <c r="J154" s="392"/>
      <c r="K154" s="392"/>
      <c r="L154" s="392"/>
      <c r="M154" s="392"/>
      <c r="N154" s="392"/>
      <c r="O154" s="392"/>
      <c r="P154" s="392"/>
      <c r="Q154" s="392"/>
      <c r="R154" s="392"/>
      <c r="S154" s="392"/>
      <c r="T154" s="392"/>
      <c r="U154" s="392"/>
      <c r="V154" s="392"/>
      <c r="W154" s="392"/>
      <c r="X154" s="392"/>
      <c r="Y154" s="392"/>
      <c r="Z154" s="392"/>
      <c r="AA154" s="392"/>
      <c r="AB154" s="392"/>
      <c r="AC154" s="392"/>
      <c r="AD154" s="392"/>
      <c r="AE154" s="392"/>
      <c r="AF154" s="392"/>
    </row>
    <row r="155" ht="15.75" customHeight="1">
      <c r="A155" s="216"/>
      <c r="B155" s="156"/>
      <c r="C155" s="156"/>
      <c r="D155" s="156"/>
      <c r="E155" s="392"/>
      <c r="F155" s="392"/>
      <c r="G155" s="392"/>
      <c r="H155" s="392"/>
      <c r="I155" s="392"/>
      <c r="J155" s="392"/>
      <c r="K155" s="392"/>
      <c r="L155" s="392"/>
      <c r="M155" s="392"/>
      <c r="N155" s="392"/>
      <c r="O155" s="392"/>
      <c r="P155" s="392"/>
      <c r="Q155" s="392"/>
      <c r="R155" s="392"/>
      <c r="S155" s="392"/>
      <c r="T155" s="392"/>
      <c r="U155" s="392"/>
      <c r="V155" s="392"/>
      <c r="W155" s="392"/>
      <c r="X155" s="392"/>
      <c r="Y155" s="392"/>
      <c r="Z155" s="392"/>
      <c r="AA155" s="392"/>
      <c r="AB155" s="392"/>
      <c r="AC155" s="392"/>
      <c r="AD155" s="392"/>
      <c r="AE155" s="392"/>
      <c r="AF155" s="392"/>
    </row>
    <row r="156" ht="15.75" customHeight="1">
      <c r="A156" s="216"/>
      <c r="B156" s="156"/>
      <c r="C156" s="156"/>
      <c r="D156" s="156"/>
      <c r="E156" s="392"/>
      <c r="F156" s="392"/>
      <c r="G156" s="392"/>
      <c r="H156" s="392"/>
      <c r="I156" s="392"/>
      <c r="J156" s="392"/>
      <c r="K156" s="392"/>
      <c r="L156" s="392"/>
      <c r="M156" s="392"/>
      <c r="N156" s="392"/>
      <c r="O156" s="392"/>
      <c r="P156" s="392"/>
      <c r="Q156" s="392"/>
      <c r="R156" s="392"/>
      <c r="S156" s="392"/>
      <c r="T156" s="392"/>
      <c r="U156" s="392"/>
      <c r="V156" s="392"/>
      <c r="W156" s="392"/>
      <c r="X156" s="392"/>
      <c r="Y156" s="392"/>
      <c r="Z156" s="392"/>
      <c r="AA156" s="392"/>
      <c r="AB156" s="392"/>
      <c r="AC156" s="392"/>
      <c r="AD156" s="392"/>
      <c r="AE156" s="392"/>
      <c r="AF156" s="392"/>
    </row>
    <row r="157" ht="15.75" customHeight="1">
      <c r="A157" s="216"/>
      <c r="B157" s="156"/>
      <c r="C157" s="156"/>
      <c r="D157" s="156"/>
      <c r="E157" s="392"/>
      <c r="F157" s="392"/>
      <c r="G157" s="392"/>
      <c r="H157" s="392"/>
      <c r="I157" s="392"/>
      <c r="J157" s="392"/>
      <c r="K157" s="392"/>
      <c r="L157" s="392"/>
      <c r="M157" s="392"/>
      <c r="N157" s="392"/>
      <c r="O157" s="392"/>
      <c r="P157" s="392"/>
      <c r="Q157" s="392"/>
      <c r="R157" s="392"/>
      <c r="S157" s="392"/>
      <c r="T157" s="392"/>
      <c r="U157" s="392"/>
      <c r="V157" s="392"/>
      <c r="W157" s="392"/>
      <c r="X157" s="392"/>
      <c r="Y157" s="392"/>
      <c r="Z157" s="392"/>
      <c r="AA157" s="392"/>
      <c r="AB157" s="392"/>
      <c r="AC157" s="392"/>
      <c r="AD157" s="392"/>
      <c r="AE157" s="392"/>
      <c r="AF157" s="392"/>
    </row>
    <row r="158" ht="15.75" customHeight="1">
      <c r="A158" s="216"/>
      <c r="B158" s="156"/>
      <c r="C158" s="156"/>
      <c r="D158" s="156"/>
      <c r="E158" s="392"/>
      <c r="F158" s="392"/>
      <c r="G158" s="392"/>
      <c r="H158" s="392"/>
      <c r="I158" s="392"/>
      <c r="J158" s="392"/>
      <c r="K158" s="392"/>
      <c r="L158" s="392"/>
      <c r="M158" s="392"/>
      <c r="N158" s="392"/>
      <c r="O158" s="392"/>
      <c r="P158" s="392"/>
      <c r="Q158" s="392"/>
      <c r="R158" s="392"/>
      <c r="S158" s="392"/>
      <c r="T158" s="392"/>
      <c r="U158" s="392"/>
      <c r="V158" s="392"/>
      <c r="W158" s="392"/>
      <c r="X158" s="392"/>
      <c r="Y158" s="392"/>
      <c r="Z158" s="392"/>
      <c r="AA158" s="392"/>
      <c r="AB158" s="392"/>
      <c r="AC158" s="392"/>
      <c r="AD158" s="392"/>
      <c r="AE158" s="392"/>
      <c r="AF158" s="392"/>
    </row>
    <row r="159" ht="15.75" customHeight="1">
      <c r="A159" s="216"/>
      <c r="B159" s="156"/>
      <c r="C159" s="156"/>
      <c r="D159" s="156"/>
      <c r="E159" s="392"/>
      <c r="F159" s="392"/>
      <c r="G159" s="392"/>
      <c r="H159" s="392"/>
      <c r="I159" s="392"/>
      <c r="J159" s="392"/>
      <c r="K159" s="392"/>
      <c r="L159" s="392"/>
      <c r="M159" s="392"/>
      <c r="N159" s="392"/>
      <c r="O159" s="392"/>
      <c r="P159" s="392"/>
      <c r="Q159" s="392"/>
      <c r="R159" s="392"/>
      <c r="S159" s="392"/>
      <c r="T159" s="392"/>
      <c r="U159" s="392"/>
      <c r="V159" s="392"/>
      <c r="W159" s="392"/>
      <c r="X159" s="392"/>
      <c r="Y159" s="392"/>
      <c r="Z159" s="392"/>
      <c r="AA159" s="392"/>
      <c r="AB159" s="392"/>
      <c r="AC159" s="392"/>
      <c r="AD159" s="392"/>
      <c r="AE159" s="392"/>
      <c r="AF159" s="392"/>
    </row>
    <row r="160" ht="15.75" customHeight="1">
      <c r="A160" s="216"/>
      <c r="B160" s="156"/>
      <c r="C160" s="156"/>
      <c r="D160" s="156"/>
      <c r="E160" s="392"/>
      <c r="F160" s="392"/>
      <c r="G160" s="392"/>
      <c r="H160" s="392"/>
      <c r="I160" s="392"/>
      <c r="J160" s="392"/>
      <c r="K160" s="392"/>
      <c r="L160" s="392"/>
      <c r="M160" s="392"/>
      <c r="N160" s="392"/>
      <c r="O160" s="392"/>
      <c r="P160" s="392"/>
      <c r="Q160" s="392"/>
      <c r="R160" s="392"/>
      <c r="S160" s="392"/>
      <c r="T160" s="392"/>
      <c r="U160" s="392"/>
      <c r="V160" s="392"/>
      <c r="W160" s="392"/>
      <c r="X160" s="392"/>
      <c r="Y160" s="392"/>
      <c r="Z160" s="392"/>
      <c r="AA160" s="392"/>
      <c r="AB160" s="392"/>
      <c r="AC160" s="392"/>
      <c r="AD160" s="392"/>
      <c r="AE160" s="392"/>
      <c r="AF160" s="392"/>
    </row>
    <row r="161" ht="15.75" customHeight="1">
      <c r="A161" s="216"/>
      <c r="B161" s="156"/>
      <c r="C161" s="156"/>
      <c r="D161" s="156"/>
      <c r="E161" s="392"/>
      <c r="F161" s="392"/>
      <c r="G161" s="392"/>
      <c r="H161" s="392"/>
      <c r="I161" s="392"/>
      <c r="J161" s="392"/>
      <c r="K161" s="392"/>
      <c r="L161" s="392"/>
      <c r="M161" s="392"/>
      <c r="N161" s="392"/>
      <c r="O161" s="392"/>
      <c r="P161" s="392"/>
      <c r="Q161" s="392"/>
      <c r="R161" s="392"/>
      <c r="S161" s="392"/>
      <c r="T161" s="392"/>
      <c r="U161" s="392"/>
      <c r="V161" s="392"/>
      <c r="W161" s="392"/>
      <c r="X161" s="392"/>
      <c r="Y161" s="392"/>
      <c r="Z161" s="392"/>
      <c r="AA161" s="392"/>
      <c r="AB161" s="392"/>
      <c r="AC161" s="392"/>
      <c r="AD161" s="392"/>
      <c r="AE161" s="392"/>
      <c r="AF161" s="392"/>
    </row>
    <row r="162" ht="15.75" customHeight="1">
      <c r="A162" s="216"/>
      <c r="B162" s="156"/>
      <c r="C162" s="156"/>
      <c r="D162" s="156"/>
      <c r="E162" s="392"/>
      <c r="F162" s="392"/>
      <c r="G162" s="392"/>
      <c r="H162" s="392"/>
      <c r="I162" s="392"/>
      <c r="J162" s="392"/>
      <c r="K162" s="392"/>
      <c r="L162" s="392"/>
      <c r="M162" s="392"/>
      <c r="N162" s="392"/>
      <c r="O162" s="392"/>
      <c r="P162" s="392"/>
      <c r="Q162" s="392"/>
      <c r="R162" s="392"/>
      <c r="S162" s="392"/>
      <c r="T162" s="392"/>
      <c r="U162" s="392"/>
      <c r="V162" s="392"/>
      <c r="W162" s="392"/>
      <c r="X162" s="392"/>
      <c r="Y162" s="392"/>
      <c r="Z162" s="392"/>
      <c r="AA162" s="392"/>
      <c r="AB162" s="392"/>
      <c r="AC162" s="392"/>
      <c r="AD162" s="392"/>
      <c r="AE162" s="392"/>
      <c r="AF162" s="392"/>
    </row>
    <row r="163" ht="15.75" customHeight="1">
      <c r="A163" s="216"/>
      <c r="B163" s="156"/>
      <c r="C163" s="156"/>
      <c r="D163" s="156"/>
      <c r="E163" s="392"/>
      <c r="F163" s="392"/>
      <c r="G163" s="392"/>
      <c r="H163" s="392"/>
      <c r="I163" s="392"/>
      <c r="J163" s="392"/>
      <c r="K163" s="392"/>
      <c r="L163" s="392"/>
      <c r="M163" s="392"/>
      <c r="N163" s="392"/>
      <c r="O163" s="392"/>
      <c r="P163" s="392"/>
      <c r="Q163" s="392"/>
      <c r="R163" s="392"/>
      <c r="S163" s="392"/>
      <c r="T163" s="392"/>
      <c r="U163" s="392"/>
      <c r="V163" s="392"/>
      <c r="W163" s="392"/>
      <c r="X163" s="392"/>
      <c r="Y163" s="392"/>
      <c r="Z163" s="392"/>
      <c r="AA163" s="392"/>
      <c r="AB163" s="392"/>
      <c r="AC163" s="392"/>
      <c r="AD163" s="392"/>
      <c r="AE163" s="392"/>
      <c r="AF163" s="392"/>
    </row>
    <row r="164" ht="15.75" customHeight="1">
      <c r="A164" s="216"/>
      <c r="B164" s="156"/>
      <c r="C164" s="156"/>
      <c r="D164" s="156"/>
      <c r="E164" s="392"/>
      <c r="F164" s="392"/>
      <c r="G164" s="392"/>
      <c r="H164" s="392"/>
      <c r="I164" s="392"/>
      <c r="J164" s="392"/>
      <c r="K164" s="392"/>
      <c r="L164" s="392"/>
      <c r="M164" s="392"/>
      <c r="N164" s="392"/>
      <c r="O164" s="392"/>
      <c r="P164" s="392"/>
      <c r="Q164" s="392"/>
      <c r="R164" s="392"/>
      <c r="S164" s="392"/>
      <c r="T164" s="392"/>
      <c r="U164" s="392"/>
      <c r="V164" s="392"/>
      <c r="W164" s="392"/>
      <c r="X164" s="392"/>
      <c r="Y164" s="392"/>
      <c r="Z164" s="392"/>
      <c r="AA164" s="392"/>
      <c r="AB164" s="392"/>
      <c r="AC164" s="392"/>
      <c r="AD164" s="392"/>
      <c r="AE164" s="392"/>
      <c r="AF164" s="392"/>
    </row>
    <row r="165" ht="15.75" customHeight="1">
      <c r="A165" s="216"/>
      <c r="B165" s="156"/>
      <c r="C165" s="156"/>
      <c r="D165" s="156"/>
      <c r="E165" s="392"/>
      <c r="F165" s="392"/>
      <c r="G165" s="392"/>
      <c r="H165" s="392"/>
      <c r="I165" s="392"/>
      <c r="J165" s="392"/>
      <c r="K165" s="392"/>
      <c r="L165" s="392"/>
      <c r="M165" s="392"/>
      <c r="N165" s="392"/>
      <c r="O165" s="392"/>
      <c r="P165" s="392"/>
      <c r="Q165" s="392"/>
      <c r="R165" s="392"/>
      <c r="S165" s="392"/>
      <c r="T165" s="392"/>
      <c r="U165" s="392"/>
      <c r="V165" s="392"/>
      <c r="W165" s="392"/>
      <c r="X165" s="392"/>
      <c r="Y165" s="392"/>
      <c r="Z165" s="392"/>
      <c r="AA165" s="392"/>
      <c r="AB165" s="392"/>
      <c r="AC165" s="392"/>
      <c r="AD165" s="392"/>
      <c r="AE165" s="392"/>
      <c r="AF165" s="392"/>
    </row>
    <row r="166" ht="15.75" customHeight="1">
      <c r="A166" s="216"/>
      <c r="B166" s="156"/>
      <c r="C166" s="156"/>
      <c r="D166" s="156"/>
      <c r="E166" s="392"/>
      <c r="F166" s="392"/>
      <c r="G166" s="392"/>
      <c r="H166" s="392"/>
      <c r="I166" s="392"/>
      <c r="J166" s="392"/>
      <c r="K166" s="392"/>
      <c r="L166" s="392"/>
      <c r="M166" s="392"/>
      <c r="N166" s="392"/>
      <c r="O166" s="392"/>
      <c r="P166" s="392"/>
      <c r="Q166" s="392"/>
      <c r="R166" s="392"/>
      <c r="S166" s="392"/>
      <c r="T166" s="392"/>
      <c r="U166" s="392"/>
      <c r="V166" s="392"/>
      <c r="W166" s="392"/>
      <c r="X166" s="392"/>
      <c r="Y166" s="392"/>
      <c r="Z166" s="392"/>
      <c r="AA166" s="392"/>
      <c r="AB166" s="392"/>
      <c r="AC166" s="392"/>
      <c r="AD166" s="392"/>
      <c r="AE166" s="392"/>
      <c r="AF166" s="392"/>
    </row>
    <row r="167" ht="15.75" customHeight="1">
      <c r="A167" s="216"/>
      <c r="B167" s="156"/>
      <c r="C167" s="156"/>
      <c r="D167" s="156"/>
      <c r="E167" s="392"/>
      <c r="F167" s="392"/>
      <c r="G167" s="392"/>
      <c r="H167" s="392"/>
      <c r="I167" s="392"/>
      <c r="J167" s="392"/>
      <c r="K167" s="392"/>
      <c r="L167" s="392"/>
      <c r="M167" s="392"/>
      <c r="N167" s="392"/>
      <c r="O167" s="392"/>
      <c r="P167" s="392"/>
      <c r="Q167" s="392"/>
      <c r="R167" s="392"/>
      <c r="S167" s="392"/>
      <c r="T167" s="392"/>
      <c r="U167" s="392"/>
      <c r="V167" s="392"/>
      <c r="W167" s="392"/>
      <c r="X167" s="392"/>
      <c r="Y167" s="392"/>
      <c r="Z167" s="392"/>
      <c r="AA167" s="392"/>
      <c r="AB167" s="392"/>
      <c r="AC167" s="392"/>
      <c r="AD167" s="392"/>
      <c r="AE167" s="392"/>
      <c r="AF167" s="392"/>
    </row>
    <row r="168" ht="15.75" customHeight="1">
      <c r="A168" s="216"/>
      <c r="B168" s="156"/>
      <c r="C168" s="156"/>
      <c r="D168" s="156"/>
      <c r="E168" s="392"/>
      <c r="F168" s="392"/>
      <c r="G168" s="392"/>
      <c r="H168" s="392"/>
      <c r="I168" s="392"/>
      <c r="J168" s="392"/>
      <c r="K168" s="392"/>
      <c r="L168" s="392"/>
      <c r="M168" s="392"/>
      <c r="N168" s="392"/>
      <c r="O168" s="392"/>
      <c r="P168" s="392"/>
      <c r="Q168" s="392"/>
      <c r="R168" s="392"/>
      <c r="S168" s="392"/>
      <c r="T168" s="392"/>
      <c r="U168" s="392"/>
      <c r="V168" s="392"/>
      <c r="W168" s="392"/>
      <c r="X168" s="392"/>
      <c r="Y168" s="392"/>
      <c r="Z168" s="392"/>
      <c r="AA168" s="392"/>
      <c r="AB168" s="392"/>
      <c r="AC168" s="392"/>
      <c r="AD168" s="392"/>
      <c r="AE168" s="392"/>
      <c r="AF168" s="392"/>
    </row>
    <row r="169" ht="15.75" customHeight="1">
      <c r="A169" s="216"/>
      <c r="B169" s="156"/>
      <c r="C169" s="156"/>
      <c r="D169" s="156"/>
      <c r="E169" s="392"/>
      <c r="F169" s="392"/>
      <c r="G169" s="392"/>
      <c r="H169" s="392"/>
      <c r="I169" s="392"/>
      <c r="J169" s="392"/>
      <c r="K169" s="392"/>
      <c r="L169" s="392"/>
      <c r="M169" s="392"/>
      <c r="N169" s="392"/>
      <c r="O169" s="392"/>
      <c r="P169" s="392"/>
      <c r="Q169" s="392"/>
      <c r="R169" s="392"/>
      <c r="S169" s="392"/>
      <c r="T169" s="392"/>
      <c r="U169" s="392"/>
      <c r="V169" s="392"/>
      <c r="W169" s="392"/>
      <c r="X169" s="392"/>
      <c r="Y169" s="392"/>
      <c r="Z169" s="392"/>
      <c r="AA169" s="392"/>
      <c r="AB169" s="392"/>
      <c r="AC169" s="392"/>
      <c r="AD169" s="392"/>
      <c r="AE169" s="392"/>
      <c r="AF169" s="392"/>
    </row>
    <row r="170" ht="15.75" customHeight="1">
      <c r="A170" s="216"/>
      <c r="B170" s="156"/>
      <c r="C170" s="156"/>
      <c r="D170" s="156"/>
      <c r="E170" s="392"/>
      <c r="F170" s="392"/>
      <c r="G170" s="392"/>
      <c r="H170" s="392"/>
      <c r="I170" s="392"/>
      <c r="J170" s="392"/>
      <c r="K170" s="392"/>
      <c r="L170" s="392"/>
      <c r="M170" s="392"/>
      <c r="N170" s="392"/>
      <c r="O170" s="392"/>
      <c r="P170" s="392"/>
      <c r="Q170" s="392"/>
      <c r="R170" s="392"/>
      <c r="S170" s="392"/>
      <c r="T170" s="392"/>
      <c r="U170" s="392"/>
      <c r="V170" s="392"/>
      <c r="W170" s="392"/>
      <c r="X170" s="392"/>
      <c r="Y170" s="392"/>
      <c r="Z170" s="392"/>
      <c r="AA170" s="392"/>
      <c r="AB170" s="392"/>
      <c r="AC170" s="392"/>
      <c r="AD170" s="392"/>
      <c r="AE170" s="392"/>
      <c r="AF170" s="392"/>
    </row>
    <row r="171" ht="15.75" customHeight="1">
      <c r="A171" s="216"/>
      <c r="B171" s="156"/>
      <c r="C171" s="156"/>
      <c r="D171" s="156"/>
      <c r="E171" s="392"/>
      <c r="F171" s="392"/>
      <c r="G171" s="392"/>
      <c r="H171" s="392"/>
      <c r="I171" s="392"/>
      <c r="J171" s="392"/>
      <c r="K171" s="392"/>
      <c r="L171" s="392"/>
      <c r="M171" s="392"/>
      <c r="N171" s="392"/>
      <c r="O171" s="392"/>
      <c r="P171" s="392"/>
      <c r="Q171" s="392"/>
      <c r="R171" s="392"/>
      <c r="S171" s="392"/>
      <c r="T171" s="392"/>
      <c r="U171" s="392"/>
      <c r="V171" s="392"/>
      <c r="W171" s="392"/>
      <c r="X171" s="392"/>
      <c r="Y171" s="392"/>
      <c r="Z171" s="392"/>
      <c r="AA171" s="392"/>
      <c r="AB171" s="392"/>
      <c r="AC171" s="392"/>
      <c r="AD171" s="392"/>
      <c r="AE171" s="392"/>
      <c r="AF171" s="392"/>
    </row>
    <row r="172" ht="15.75" customHeight="1">
      <c r="A172" s="216"/>
      <c r="B172" s="156"/>
      <c r="C172" s="156"/>
      <c r="D172" s="156"/>
      <c r="E172" s="392"/>
      <c r="F172" s="392"/>
      <c r="G172" s="392"/>
      <c r="H172" s="392"/>
      <c r="I172" s="392"/>
      <c r="J172" s="392"/>
      <c r="K172" s="392"/>
      <c r="L172" s="392"/>
      <c r="M172" s="392"/>
      <c r="N172" s="392"/>
      <c r="O172" s="392"/>
      <c r="P172" s="392"/>
      <c r="Q172" s="392"/>
      <c r="R172" s="392"/>
      <c r="S172" s="392"/>
      <c r="T172" s="392"/>
      <c r="U172" s="392"/>
      <c r="V172" s="392"/>
      <c r="W172" s="392"/>
      <c r="X172" s="392"/>
      <c r="Y172" s="392"/>
      <c r="Z172" s="392"/>
      <c r="AA172" s="392"/>
      <c r="AB172" s="392"/>
      <c r="AC172" s="392"/>
      <c r="AD172" s="392"/>
      <c r="AE172" s="392"/>
      <c r="AF172" s="392"/>
    </row>
    <row r="173" ht="15.75" customHeight="1">
      <c r="A173" s="216"/>
      <c r="B173" s="156"/>
      <c r="C173" s="156"/>
      <c r="D173" s="156"/>
      <c r="E173" s="392"/>
      <c r="F173" s="392"/>
      <c r="G173" s="392"/>
      <c r="H173" s="392"/>
      <c r="I173" s="392"/>
      <c r="J173" s="392"/>
      <c r="K173" s="392"/>
      <c r="L173" s="392"/>
      <c r="M173" s="392"/>
      <c r="N173" s="392"/>
      <c r="O173" s="392"/>
      <c r="P173" s="392"/>
      <c r="Q173" s="392"/>
      <c r="R173" s="392"/>
      <c r="S173" s="392"/>
      <c r="T173" s="392"/>
      <c r="U173" s="392"/>
      <c r="V173" s="392"/>
      <c r="W173" s="392"/>
      <c r="X173" s="392"/>
      <c r="Y173" s="392"/>
      <c r="Z173" s="392"/>
      <c r="AA173" s="392"/>
      <c r="AB173" s="392"/>
      <c r="AC173" s="392"/>
      <c r="AD173" s="392"/>
      <c r="AE173" s="392"/>
      <c r="AF173" s="392"/>
    </row>
    <row r="174" ht="15.75" customHeight="1">
      <c r="A174" s="216"/>
      <c r="B174" s="156"/>
      <c r="C174" s="156"/>
      <c r="D174" s="156"/>
      <c r="E174" s="392"/>
      <c r="F174" s="392"/>
      <c r="G174" s="392"/>
      <c r="H174" s="392"/>
      <c r="I174" s="392"/>
      <c r="J174" s="392"/>
      <c r="K174" s="392"/>
      <c r="L174" s="392"/>
      <c r="M174" s="392"/>
      <c r="N174" s="392"/>
      <c r="O174" s="392"/>
      <c r="P174" s="392"/>
      <c r="Q174" s="392"/>
      <c r="R174" s="392"/>
      <c r="S174" s="392"/>
      <c r="T174" s="392"/>
      <c r="U174" s="392"/>
      <c r="V174" s="392"/>
      <c r="W174" s="392"/>
      <c r="X174" s="392"/>
      <c r="Y174" s="392"/>
      <c r="Z174" s="392"/>
      <c r="AA174" s="392"/>
      <c r="AB174" s="392"/>
      <c r="AC174" s="392"/>
      <c r="AD174" s="392"/>
      <c r="AE174" s="392"/>
      <c r="AF174" s="392"/>
    </row>
    <row r="175" ht="15.75" customHeight="1">
      <c r="A175" s="216"/>
      <c r="B175" s="156"/>
      <c r="C175" s="156"/>
      <c r="D175" s="156"/>
      <c r="E175" s="392"/>
      <c r="F175" s="392"/>
      <c r="G175" s="392"/>
      <c r="H175" s="392"/>
      <c r="I175" s="392"/>
      <c r="J175" s="392"/>
      <c r="K175" s="392"/>
      <c r="L175" s="392"/>
      <c r="M175" s="392"/>
      <c r="N175" s="392"/>
      <c r="O175" s="392"/>
      <c r="P175" s="392"/>
      <c r="Q175" s="392"/>
      <c r="R175" s="392"/>
      <c r="S175" s="392"/>
      <c r="T175" s="392"/>
      <c r="U175" s="392"/>
      <c r="V175" s="392"/>
      <c r="W175" s="392"/>
      <c r="X175" s="392"/>
      <c r="Y175" s="392"/>
      <c r="Z175" s="392"/>
      <c r="AA175" s="392"/>
      <c r="AB175" s="392"/>
      <c r="AC175" s="392"/>
      <c r="AD175" s="392"/>
      <c r="AE175" s="392"/>
      <c r="AF175" s="392"/>
    </row>
    <row r="176" ht="15.75" customHeight="1">
      <c r="A176" s="216"/>
      <c r="B176" s="156"/>
      <c r="C176" s="156"/>
      <c r="D176" s="156"/>
      <c r="E176" s="392"/>
      <c r="F176" s="392"/>
      <c r="G176" s="392"/>
      <c r="H176" s="392"/>
      <c r="I176" s="392"/>
      <c r="J176" s="392"/>
      <c r="K176" s="392"/>
      <c r="L176" s="392"/>
      <c r="M176" s="392"/>
      <c r="N176" s="392"/>
      <c r="O176" s="392"/>
      <c r="P176" s="392"/>
      <c r="Q176" s="392"/>
      <c r="R176" s="392"/>
      <c r="S176" s="392"/>
      <c r="T176" s="392"/>
      <c r="U176" s="392"/>
      <c r="V176" s="392"/>
      <c r="W176" s="392"/>
      <c r="X176" s="392"/>
      <c r="Y176" s="392"/>
      <c r="Z176" s="392"/>
      <c r="AA176" s="392"/>
      <c r="AB176" s="392"/>
      <c r="AC176" s="392"/>
      <c r="AD176" s="392"/>
      <c r="AE176" s="392"/>
      <c r="AF176" s="392"/>
    </row>
    <row r="177" ht="15.75" customHeight="1">
      <c r="A177" s="216"/>
      <c r="B177" s="156"/>
      <c r="C177" s="156"/>
      <c r="D177" s="156"/>
      <c r="E177" s="392"/>
      <c r="F177" s="392"/>
      <c r="G177" s="392"/>
      <c r="H177" s="392"/>
      <c r="I177" s="392"/>
      <c r="J177" s="392"/>
      <c r="K177" s="392"/>
      <c r="L177" s="392"/>
      <c r="M177" s="392"/>
      <c r="N177" s="392"/>
      <c r="O177" s="392"/>
      <c r="P177" s="392"/>
      <c r="Q177" s="392"/>
      <c r="R177" s="392"/>
      <c r="S177" s="392"/>
      <c r="T177" s="392"/>
      <c r="U177" s="392"/>
      <c r="V177" s="392"/>
      <c r="W177" s="392"/>
      <c r="X177" s="392"/>
      <c r="Y177" s="392"/>
      <c r="Z177" s="392"/>
      <c r="AA177" s="392"/>
      <c r="AB177" s="392"/>
      <c r="AC177" s="392"/>
      <c r="AD177" s="392"/>
      <c r="AE177" s="392"/>
      <c r="AF177" s="392"/>
    </row>
    <row r="178" ht="15.75" customHeight="1">
      <c r="A178" s="216"/>
      <c r="B178" s="156"/>
      <c r="C178" s="156"/>
      <c r="D178" s="156"/>
      <c r="E178" s="392"/>
      <c r="F178" s="392"/>
      <c r="G178" s="392"/>
      <c r="H178" s="392"/>
      <c r="I178" s="392"/>
      <c r="J178" s="392"/>
      <c r="K178" s="392"/>
      <c r="L178" s="392"/>
      <c r="M178" s="392"/>
      <c r="N178" s="392"/>
      <c r="O178" s="392"/>
      <c r="P178" s="392"/>
      <c r="Q178" s="392"/>
      <c r="R178" s="392"/>
      <c r="S178" s="392"/>
      <c r="T178" s="392"/>
      <c r="U178" s="392"/>
      <c r="V178" s="392"/>
      <c r="W178" s="392"/>
      <c r="X178" s="392"/>
      <c r="Y178" s="392"/>
      <c r="Z178" s="392"/>
      <c r="AA178" s="392"/>
      <c r="AB178" s="392"/>
      <c r="AC178" s="392"/>
      <c r="AD178" s="392"/>
      <c r="AE178" s="392"/>
      <c r="AF178" s="392"/>
    </row>
    <row r="179" ht="15.75" customHeight="1">
      <c r="A179" s="216"/>
      <c r="B179" s="156"/>
      <c r="C179" s="156"/>
      <c r="D179" s="156"/>
      <c r="E179" s="392"/>
      <c r="F179" s="392"/>
      <c r="G179" s="392"/>
      <c r="H179" s="392"/>
      <c r="I179" s="392"/>
      <c r="J179" s="392"/>
      <c r="K179" s="392"/>
      <c r="L179" s="392"/>
      <c r="M179" s="392"/>
      <c r="N179" s="392"/>
      <c r="O179" s="392"/>
      <c r="P179" s="392"/>
      <c r="Q179" s="392"/>
      <c r="R179" s="392"/>
      <c r="S179" s="392"/>
      <c r="T179" s="392"/>
      <c r="U179" s="392"/>
      <c r="V179" s="392"/>
      <c r="W179" s="392"/>
      <c r="X179" s="392"/>
      <c r="Y179" s="392"/>
      <c r="Z179" s="392"/>
      <c r="AA179" s="392"/>
      <c r="AB179" s="392"/>
      <c r="AC179" s="392"/>
      <c r="AD179" s="392"/>
      <c r="AE179" s="392"/>
      <c r="AF179" s="392"/>
    </row>
    <row r="180" ht="15.75" customHeight="1">
      <c r="A180" s="216"/>
      <c r="B180" s="156"/>
      <c r="C180" s="156"/>
      <c r="D180" s="156"/>
      <c r="E180" s="392"/>
      <c r="F180" s="392"/>
      <c r="G180" s="392"/>
      <c r="H180" s="392"/>
      <c r="I180" s="392"/>
      <c r="J180" s="392"/>
      <c r="K180" s="392"/>
      <c r="L180" s="392"/>
      <c r="M180" s="392"/>
      <c r="N180" s="392"/>
      <c r="O180" s="392"/>
      <c r="P180" s="392"/>
      <c r="Q180" s="392"/>
      <c r="R180" s="392"/>
      <c r="S180" s="392"/>
      <c r="T180" s="392"/>
      <c r="U180" s="392"/>
      <c r="V180" s="392"/>
      <c r="W180" s="392"/>
      <c r="X180" s="392"/>
      <c r="Y180" s="392"/>
      <c r="Z180" s="392"/>
      <c r="AA180" s="392"/>
      <c r="AB180" s="392"/>
      <c r="AC180" s="392"/>
      <c r="AD180" s="392"/>
      <c r="AE180" s="392"/>
      <c r="AF180" s="392"/>
    </row>
    <row r="181" ht="15.75" customHeight="1">
      <c r="A181" s="216"/>
      <c r="B181" s="156"/>
      <c r="C181" s="156"/>
      <c r="D181" s="156"/>
      <c r="E181" s="392"/>
      <c r="F181" s="392"/>
      <c r="G181" s="392"/>
      <c r="H181" s="392"/>
      <c r="I181" s="392"/>
      <c r="J181" s="392"/>
      <c r="K181" s="392"/>
      <c r="L181" s="392"/>
      <c r="M181" s="392"/>
      <c r="N181" s="392"/>
      <c r="O181" s="392"/>
      <c r="P181" s="392"/>
      <c r="Q181" s="392"/>
      <c r="R181" s="392"/>
      <c r="S181" s="392"/>
      <c r="T181" s="392"/>
      <c r="U181" s="392"/>
      <c r="V181" s="392"/>
      <c r="W181" s="392"/>
      <c r="X181" s="392"/>
      <c r="Y181" s="392"/>
      <c r="Z181" s="392"/>
      <c r="AA181" s="392"/>
      <c r="AB181" s="392"/>
      <c r="AC181" s="392"/>
      <c r="AD181" s="392"/>
      <c r="AE181" s="392"/>
      <c r="AF181" s="392"/>
    </row>
    <row r="182" ht="15.75" customHeight="1">
      <c r="A182" s="216"/>
      <c r="B182" s="156"/>
      <c r="C182" s="156"/>
      <c r="D182" s="156"/>
      <c r="E182" s="392"/>
      <c r="F182" s="392"/>
      <c r="G182" s="392"/>
      <c r="H182" s="392"/>
      <c r="I182" s="392"/>
      <c r="J182" s="392"/>
      <c r="K182" s="392"/>
      <c r="L182" s="392"/>
      <c r="M182" s="392"/>
      <c r="N182" s="392"/>
      <c r="O182" s="392"/>
      <c r="P182" s="392"/>
      <c r="Q182" s="392"/>
      <c r="R182" s="392"/>
      <c r="S182" s="392"/>
      <c r="T182" s="392"/>
      <c r="U182" s="392"/>
      <c r="V182" s="392"/>
      <c r="W182" s="392"/>
      <c r="X182" s="392"/>
      <c r="Y182" s="392"/>
      <c r="Z182" s="392"/>
      <c r="AA182" s="392"/>
      <c r="AB182" s="392"/>
      <c r="AC182" s="392"/>
      <c r="AD182" s="392"/>
      <c r="AE182" s="392"/>
      <c r="AF182" s="392"/>
    </row>
    <row r="183" ht="15.75" customHeight="1">
      <c r="A183" s="216"/>
      <c r="B183" s="156"/>
      <c r="C183" s="156"/>
      <c r="D183" s="156"/>
      <c r="E183" s="392"/>
      <c r="F183" s="392"/>
      <c r="G183" s="392"/>
      <c r="H183" s="392"/>
      <c r="I183" s="392"/>
      <c r="J183" s="392"/>
      <c r="K183" s="392"/>
      <c r="L183" s="392"/>
      <c r="M183" s="392"/>
      <c r="N183" s="392"/>
      <c r="O183" s="392"/>
      <c r="P183" s="392"/>
      <c r="Q183" s="392"/>
      <c r="R183" s="392"/>
      <c r="S183" s="392"/>
      <c r="T183" s="392"/>
      <c r="U183" s="392"/>
      <c r="V183" s="392"/>
      <c r="W183" s="392"/>
      <c r="X183" s="392"/>
      <c r="Y183" s="392"/>
      <c r="Z183" s="392"/>
      <c r="AA183" s="392"/>
      <c r="AB183" s="392"/>
      <c r="AC183" s="392"/>
      <c r="AD183" s="392"/>
      <c r="AE183" s="392"/>
      <c r="AF183" s="392"/>
    </row>
    <row r="184" ht="15.75" customHeight="1">
      <c r="A184" s="216"/>
      <c r="B184" s="156"/>
      <c r="C184" s="156"/>
      <c r="D184" s="156"/>
      <c r="E184" s="392"/>
      <c r="F184" s="392"/>
      <c r="G184" s="392"/>
      <c r="H184" s="392"/>
      <c r="I184" s="392"/>
      <c r="J184" s="392"/>
      <c r="K184" s="392"/>
      <c r="L184" s="392"/>
      <c r="M184" s="392"/>
      <c r="N184" s="392"/>
      <c r="O184" s="392"/>
      <c r="P184" s="392"/>
      <c r="Q184" s="392"/>
      <c r="R184" s="392"/>
      <c r="S184" s="392"/>
      <c r="T184" s="392"/>
      <c r="U184" s="392"/>
      <c r="V184" s="392"/>
      <c r="W184" s="392"/>
      <c r="X184" s="392"/>
      <c r="Y184" s="392"/>
      <c r="Z184" s="392"/>
      <c r="AA184" s="392"/>
      <c r="AB184" s="392"/>
      <c r="AC184" s="392"/>
      <c r="AD184" s="392"/>
      <c r="AE184" s="392"/>
      <c r="AF184" s="392"/>
    </row>
    <row r="185" ht="15.75" customHeight="1">
      <c r="A185" s="216"/>
      <c r="B185" s="156"/>
      <c r="C185" s="156"/>
      <c r="D185" s="156"/>
      <c r="E185" s="392"/>
      <c r="F185" s="392"/>
      <c r="G185" s="392"/>
      <c r="H185" s="392"/>
      <c r="I185" s="392"/>
      <c r="J185" s="392"/>
      <c r="K185" s="392"/>
      <c r="L185" s="392"/>
      <c r="M185" s="392"/>
      <c r="N185" s="392"/>
      <c r="O185" s="392"/>
      <c r="P185" s="392"/>
      <c r="Q185" s="392"/>
      <c r="R185" s="392"/>
      <c r="S185" s="392"/>
      <c r="T185" s="392"/>
      <c r="U185" s="392"/>
      <c r="V185" s="392"/>
      <c r="W185" s="392"/>
      <c r="X185" s="392"/>
      <c r="Y185" s="392"/>
      <c r="Z185" s="392"/>
      <c r="AA185" s="392"/>
      <c r="AB185" s="392"/>
      <c r="AC185" s="392"/>
      <c r="AD185" s="392"/>
      <c r="AE185" s="392"/>
      <c r="AF185" s="392"/>
    </row>
    <row r="186" ht="15.75" customHeight="1">
      <c r="A186" s="216"/>
      <c r="B186" s="156"/>
      <c r="C186" s="156"/>
      <c r="D186" s="156"/>
      <c r="E186" s="392"/>
      <c r="F186" s="392"/>
      <c r="G186" s="392"/>
      <c r="H186" s="392"/>
      <c r="I186" s="392"/>
      <c r="J186" s="392"/>
      <c r="K186" s="392"/>
      <c r="L186" s="392"/>
      <c r="M186" s="392"/>
      <c r="N186" s="392"/>
      <c r="O186" s="392"/>
      <c r="P186" s="392"/>
      <c r="Q186" s="392"/>
      <c r="R186" s="392"/>
      <c r="S186" s="392"/>
      <c r="T186" s="392"/>
      <c r="U186" s="392"/>
      <c r="V186" s="392"/>
      <c r="W186" s="392"/>
      <c r="X186" s="392"/>
      <c r="Y186" s="392"/>
      <c r="Z186" s="392"/>
      <c r="AA186" s="392"/>
      <c r="AB186" s="392"/>
      <c r="AC186" s="392"/>
      <c r="AD186" s="392"/>
      <c r="AE186" s="392"/>
      <c r="AF186" s="392"/>
    </row>
    <row r="187" ht="15.75" customHeight="1">
      <c r="A187" s="216"/>
      <c r="B187" s="156"/>
      <c r="C187" s="156"/>
      <c r="D187" s="156"/>
      <c r="E187" s="392"/>
      <c r="F187" s="392"/>
      <c r="G187" s="392"/>
      <c r="H187" s="392"/>
      <c r="I187" s="392"/>
      <c r="J187" s="392"/>
      <c r="K187" s="392"/>
      <c r="L187" s="392"/>
      <c r="M187" s="392"/>
      <c r="N187" s="392"/>
      <c r="O187" s="392"/>
      <c r="P187" s="392"/>
      <c r="Q187" s="392"/>
      <c r="R187" s="392"/>
      <c r="S187" s="392"/>
      <c r="T187" s="392"/>
      <c r="U187" s="392"/>
      <c r="V187" s="392"/>
      <c r="W187" s="392"/>
      <c r="X187" s="392"/>
      <c r="Y187" s="392"/>
      <c r="Z187" s="392"/>
      <c r="AA187" s="392"/>
      <c r="AB187" s="392"/>
      <c r="AC187" s="392"/>
      <c r="AD187" s="392"/>
      <c r="AE187" s="392"/>
      <c r="AF187" s="392"/>
    </row>
    <row r="188" ht="15.75" customHeight="1">
      <c r="A188" s="216"/>
      <c r="B188" s="156"/>
      <c r="C188" s="156"/>
      <c r="D188" s="156"/>
      <c r="E188" s="392"/>
      <c r="F188" s="392"/>
      <c r="G188" s="392"/>
      <c r="H188" s="392"/>
      <c r="I188" s="392"/>
      <c r="J188" s="392"/>
      <c r="K188" s="392"/>
      <c r="L188" s="392"/>
      <c r="M188" s="392"/>
      <c r="N188" s="392"/>
      <c r="O188" s="392"/>
      <c r="P188" s="392"/>
      <c r="Q188" s="392"/>
      <c r="R188" s="392"/>
      <c r="S188" s="392"/>
      <c r="T188" s="392"/>
      <c r="U188" s="392"/>
      <c r="V188" s="392"/>
      <c r="W188" s="392"/>
      <c r="X188" s="392"/>
      <c r="Y188" s="392"/>
      <c r="Z188" s="392"/>
      <c r="AA188" s="392"/>
      <c r="AB188" s="392"/>
      <c r="AC188" s="392"/>
      <c r="AD188" s="392"/>
      <c r="AE188" s="392"/>
      <c r="AF188" s="392"/>
    </row>
    <row r="189" ht="15.75" customHeight="1">
      <c r="A189" s="216"/>
      <c r="B189" s="156"/>
      <c r="C189" s="156"/>
      <c r="D189" s="156"/>
      <c r="E189" s="392"/>
      <c r="F189" s="392"/>
      <c r="G189" s="392"/>
      <c r="H189" s="392"/>
      <c r="I189" s="392"/>
      <c r="J189" s="392"/>
      <c r="K189" s="392"/>
      <c r="L189" s="392"/>
      <c r="M189" s="392"/>
      <c r="N189" s="392"/>
      <c r="O189" s="392"/>
      <c r="P189" s="392"/>
      <c r="Q189" s="392"/>
      <c r="R189" s="392"/>
      <c r="S189" s="392"/>
      <c r="T189" s="392"/>
      <c r="U189" s="392"/>
      <c r="V189" s="392"/>
      <c r="W189" s="392"/>
      <c r="X189" s="392"/>
      <c r="Y189" s="392"/>
      <c r="Z189" s="392"/>
      <c r="AA189" s="392"/>
      <c r="AB189" s="392"/>
      <c r="AC189" s="392"/>
      <c r="AD189" s="392"/>
      <c r="AE189" s="392"/>
      <c r="AF189" s="392"/>
    </row>
    <row r="190" ht="15.75" customHeight="1">
      <c r="A190" s="216"/>
      <c r="B190" s="156"/>
      <c r="C190" s="156"/>
      <c r="D190" s="156"/>
      <c r="E190" s="392"/>
      <c r="F190" s="392"/>
      <c r="G190" s="392"/>
      <c r="H190" s="392"/>
      <c r="I190" s="392"/>
      <c r="J190" s="392"/>
      <c r="K190" s="392"/>
      <c r="L190" s="392"/>
      <c r="M190" s="392"/>
      <c r="N190" s="392"/>
      <c r="O190" s="392"/>
      <c r="P190" s="392"/>
      <c r="Q190" s="392"/>
      <c r="R190" s="392"/>
      <c r="S190" s="392"/>
      <c r="T190" s="392"/>
      <c r="U190" s="392"/>
      <c r="V190" s="392"/>
      <c r="W190" s="392"/>
      <c r="X190" s="392"/>
      <c r="Y190" s="392"/>
      <c r="Z190" s="392"/>
      <c r="AA190" s="392"/>
      <c r="AB190" s="392"/>
      <c r="AC190" s="392"/>
      <c r="AD190" s="392"/>
      <c r="AE190" s="392"/>
      <c r="AF190" s="392"/>
    </row>
    <row r="191" ht="15.75" customHeight="1">
      <c r="A191" s="216"/>
      <c r="B191" s="156"/>
      <c r="C191" s="156"/>
      <c r="D191" s="156"/>
      <c r="E191" s="392"/>
      <c r="F191" s="392"/>
      <c r="G191" s="392"/>
      <c r="H191" s="392"/>
      <c r="I191" s="392"/>
      <c r="J191" s="392"/>
      <c r="K191" s="392"/>
      <c r="L191" s="392"/>
      <c r="M191" s="392"/>
      <c r="N191" s="392"/>
      <c r="O191" s="392"/>
      <c r="P191" s="392"/>
      <c r="Q191" s="392"/>
      <c r="R191" s="392"/>
      <c r="S191" s="392"/>
      <c r="T191" s="392"/>
      <c r="U191" s="392"/>
      <c r="V191" s="392"/>
      <c r="W191" s="392"/>
      <c r="X191" s="392"/>
      <c r="Y191" s="392"/>
      <c r="Z191" s="392"/>
      <c r="AA191" s="392"/>
      <c r="AB191" s="392"/>
      <c r="AC191" s="392"/>
      <c r="AD191" s="392"/>
      <c r="AE191" s="392"/>
      <c r="AF191" s="392"/>
    </row>
    <row r="192" ht="15.75" customHeight="1">
      <c r="A192" s="216"/>
      <c r="B192" s="156"/>
      <c r="C192" s="156"/>
      <c r="D192" s="156"/>
      <c r="E192" s="392"/>
      <c r="F192" s="392"/>
      <c r="G192" s="392"/>
      <c r="H192" s="392"/>
      <c r="I192" s="392"/>
      <c r="J192" s="392"/>
      <c r="K192" s="392"/>
      <c r="L192" s="392"/>
      <c r="M192" s="392"/>
      <c r="N192" s="392"/>
      <c r="O192" s="392"/>
      <c r="P192" s="392"/>
      <c r="Q192" s="392"/>
      <c r="R192" s="392"/>
      <c r="S192" s="392"/>
      <c r="T192" s="392"/>
      <c r="U192" s="392"/>
      <c r="V192" s="392"/>
      <c r="W192" s="392"/>
      <c r="X192" s="392"/>
      <c r="Y192" s="392"/>
      <c r="Z192" s="392"/>
      <c r="AA192" s="392"/>
      <c r="AB192" s="392"/>
      <c r="AC192" s="392"/>
      <c r="AD192" s="392"/>
      <c r="AE192" s="392"/>
      <c r="AF192" s="392"/>
    </row>
    <row r="193" ht="15.75" customHeight="1">
      <c r="A193" s="216"/>
      <c r="B193" s="156"/>
      <c r="C193" s="156"/>
      <c r="D193" s="156"/>
      <c r="E193" s="392"/>
      <c r="F193" s="392"/>
      <c r="G193" s="392"/>
      <c r="H193" s="392"/>
      <c r="I193" s="392"/>
      <c r="J193" s="392"/>
      <c r="K193" s="392"/>
      <c r="L193" s="392"/>
      <c r="M193" s="392"/>
      <c r="N193" s="392"/>
      <c r="O193" s="392"/>
      <c r="P193" s="392"/>
      <c r="Q193" s="392"/>
      <c r="R193" s="392"/>
      <c r="S193" s="392"/>
      <c r="T193" s="392"/>
      <c r="U193" s="392"/>
      <c r="V193" s="392"/>
      <c r="W193" s="392"/>
      <c r="X193" s="392"/>
      <c r="Y193" s="392"/>
      <c r="Z193" s="392"/>
      <c r="AA193" s="392"/>
      <c r="AB193" s="392"/>
      <c r="AC193" s="392"/>
      <c r="AD193" s="392"/>
      <c r="AE193" s="392"/>
      <c r="AF193" s="392"/>
    </row>
    <row r="194" ht="15.75" customHeight="1">
      <c r="A194" s="216"/>
      <c r="B194" s="156"/>
      <c r="C194" s="156"/>
      <c r="D194" s="156"/>
      <c r="E194" s="392"/>
      <c r="F194" s="392"/>
      <c r="G194" s="392"/>
      <c r="H194" s="392"/>
      <c r="I194" s="392"/>
      <c r="J194" s="392"/>
      <c r="K194" s="392"/>
      <c r="L194" s="392"/>
      <c r="M194" s="392"/>
      <c r="N194" s="392"/>
      <c r="O194" s="392"/>
      <c r="P194" s="392"/>
      <c r="Q194" s="392"/>
      <c r="R194" s="392"/>
      <c r="S194" s="392"/>
      <c r="T194" s="392"/>
      <c r="U194" s="392"/>
      <c r="V194" s="392"/>
      <c r="W194" s="392"/>
      <c r="X194" s="392"/>
      <c r="Y194" s="392"/>
      <c r="Z194" s="392"/>
      <c r="AA194" s="392"/>
      <c r="AB194" s="392"/>
      <c r="AC194" s="392"/>
      <c r="AD194" s="392"/>
      <c r="AE194" s="392"/>
      <c r="AF194" s="392"/>
    </row>
    <row r="195" ht="15.75" customHeight="1">
      <c r="A195" s="216"/>
      <c r="B195" s="156"/>
      <c r="C195" s="156"/>
      <c r="D195" s="156"/>
      <c r="E195" s="392"/>
      <c r="F195" s="392"/>
      <c r="G195" s="392"/>
      <c r="H195" s="392"/>
      <c r="I195" s="392"/>
      <c r="J195" s="392"/>
      <c r="K195" s="392"/>
      <c r="L195" s="392"/>
      <c r="M195" s="392"/>
      <c r="N195" s="392"/>
      <c r="O195" s="392"/>
      <c r="P195" s="392"/>
      <c r="Q195" s="392"/>
      <c r="R195" s="392"/>
      <c r="S195" s="392"/>
      <c r="T195" s="392"/>
      <c r="U195" s="392"/>
      <c r="V195" s="392"/>
      <c r="W195" s="392"/>
      <c r="X195" s="392"/>
      <c r="Y195" s="392"/>
      <c r="Z195" s="392"/>
      <c r="AA195" s="392"/>
      <c r="AB195" s="392"/>
      <c r="AC195" s="392"/>
      <c r="AD195" s="392"/>
      <c r="AE195" s="392"/>
      <c r="AF195" s="392"/>
    </row>
    <row r="196" ht="15.75" customHeight="1">
      <c r="A196" s="216"/>
      <c r="B196" s="156"/>
      <c r="C196" s="156"/>
      <c r="D196" s="156"/>
      <c r="E196" s="392"/>
      <c r="F196" s="392"/>
      <c r="G196" s="392"/>
      <c r="H196" s="392"/>
      <c r="I196" s="392"/>
      <c r="J196" s="392"/>
      <c r="K196" s="392"/>
      <c r="L196" s="392"/>
      <c r="M196" s="392"/>
      <c r="N196" s="392"/>
      <c r="O196" s="392"/>
      <c r="P196" s="392"/>
      <c r="Q196" s="392"/>
      <c r="R196" s="392"/>
      <c r="S196" s="392"/>
      <c r="T196" s="392"/>
      <c r="U196" s="392"/>
      <c r="V196" s="392"/>
      <c r="W196" s="392"/>
      <c r="X196" s="392"/>
      <c r="Y196" s="392"/>
      <c r="Z196" s="392"/>
      <c r="AA196" s="392"/>
      <c r="AB196" s="392"/>
      <c r="AC196" s="392"/>
      <c r="AD196" s="392"/>
      <c r="AE196" s="392"/>
      <c r="AF196" s="392"/>
    </row>
    <row r="197" ht="15.75" customHeight="1">
      <c r="A197" s="216"/>
      <c r="B197" s="156"/>
      <c r="C197" s="156"/>
      <c r="D197" s="156"/>
      <c r="E197" s="392"/>
      <c r="F197" s="392"/>
      <c r="G197" s="392"/>
      <c r="H197" s="392"/>
      <c r="I197" s="392"/>
      <c r="J197" s="392"/>
      <c r="K197" s="392"/>
      <c r="L197" s="392"/>
      <c r="M197" s="392"/>
      <c r="N197" s="392"/>
      <c r="O197" s="392"/>
      <c r="P197" s="392"/>
      <c r="Q197" s="392"/>
      <c r="R197" s="392"/>
      <c r="S197" s="392"/>
      <c r="T197" s="392"/>
      <c r="U197" s="392"/>
      <c r="V197" s="392"/>
      <c r="W197" s="392"/>
      <c r="X197" s="392"/>
      <c r="Y197" s="392"/>
      <c r="Z197" s="392"/>
      <c r="AA197" s="392"/>
      <c r="AB197" s="392"/>
      <c r="AC197" s="392"/>
      <c r="AD197" s="392"/>
      <c r="AE197" s="392"/>
      <c r="AF197" s="392"/>
    </row>
    <row r="198" ht="15.75" customHeight="1">
      <c r="A198" s="216"/>
      <c r="B198" s="156"/>
      <c r="C198" s="156"/>
      <c r="D198" s="156"/>
      <c r="E198" s="392"/>
      <c r="F198" s="392"/>
      <c r="G198" s="392"/>
      <c r="H198" s="392"/>
      <c r="I198" s="392"/>
      <c r="J198" s="392"/>
      <c r="K198" s="392"/>
      <c r="L198" s="392"/>
      <c r="M198" s="392"/>
      <c r="N198" s="392"/>
      <c r="O198" s="392"/>
      <c r="P198" s="392"/>
      <c r="Q198" s="392"/>
      <c r="R198" s="392"/>
      <c r="S198" s="392"/>
      <c r="T198" s="392"/>
      <c r="U198" s="392"/>
      <c r="V198" s="392"/>
      <c r="W198" s="392"/>
      <c r="X198" s="392"/>
      <c r="Y198" s="392"/>
      <c r="Z198" s="392"/>
      <c r="AA198" s="392"/>
      <c r="AB198" s="392"/>
      <c r="AC198" s="392"/>
      <c r="AD198" s="392"/>
      <c r="AE198" s="392"/>
      <c r="AF198" s="392"/>
    </row>
    <row r="199" ht="15.75" customHeight="1">
      <c r="A199" s="216"/>
      <c r="B199" s="156"/>
      <c r="C199" s="156"/>
      <c r="D199" s="156"/>
      <c r="E199" s="392"/>
      <c r="F199" s="392"/>
      <c r="G199" s="392"/>
      <c r="H199" s="392"/>
      <c r="I199" s="392"/>
      <c r="J199" s="392"/>
      <c r="K199" s="392"/>
      <c r="L199" s="392"/>
      <c r="M199" s="392"/>
      <c r="N199" s="392"/>
      <c r="O199" s="392"/>
      <c r="P199" s="392"/>
      <c r="Q199" s="392"/>
      <c r="R199" s="392"/>
      <c r="S199" s="392"/>
      <c r="T199" s="392"/>
      <c r="U199" s="392"/>
      <c r="V199" s="392"/>
      <c r="W199" s="392"/>
      <c r="X199" s="392"/>
      <c r="Y199" s="392"/>
      <c r="Z199" s="392"/>
      <c r="AA199" s="392"/>
      <c r="AB199" s="392"/>
      <c r="AC199" s="392"/>
      <c r="AD199" s="392"/>
      <c r="AE199" s="392"/>
      <c r="AF199" s="392"/>
    </row>
    <row r="200" ht="15.75" customHeight="1">
      <c r="A200" s="216"/>
      <c r="B200" s="156"/>
      <c r="C200" s="156"/>
      <c r="D200" s="156"/>
      <c r="E200" s="392"/>
      <c r="F200" s="392"/>
      <c r="G200" s="392"/>
      <c r="H200" s="392"/>
      <c r="I200" s="392"/>
      <c r="J200" s="392"/>
      <c r="K200" s="392"/>
      <c r="L200" s="392"/>
      <c r="M200" s="392"/>
      <c r="N200" s="392"/>
      <c r="O200" s="392"/>
      <c r="P200" s="392"/>
      <c r="Q200" s="392"/>
      <c r="R200" s="392"/>
      <c r="S200" s="392"/>
      <c r="T200" s="392"/>
      <c r="U200" s="392"/>
      <c r="V200" s="392"/>
      <c r="W200" s="392"/>
      <c r="X200" s="392"/>
      <c r="Y200" s="392"/>
      <c r="Z200" s="392"/>
      <c r="AA200" s="392"/>
      <c r="AB200" s="392"/>
      <c r="AC200" s="392"/>
      <c r="AD200" s="392"/>
      <c r="AE200" s="392"/>
      <c r="AF200" s="392"/>
    </row>
    <row r="201" ht="15.75" customHeight="1">
      <c r="A201" s="216"/>
      <c r="B201" s="156"/>
      <c r="C201" s="156"/>
      <c r="D201" s="156"/>
      <c r="E201" s="392"/>
      <c r="F201" s="392"/>
      <c r="G201" s="392"/>
      <c r="H201" s="392"/>
      <c r="I201" s="392"/>
      <c r="J201" s="392"/>
      <c r="K201" s="392"/>
      <c r="L201" s="392"/>
      <c r="M201" s="392"/>
      <c r="N201" s="392"/>
      <c r="O201" s="392"/>
      <c r="P201" s="392"/>
      <c r="Q201" s="392"/>
      <c r="R201" s="392"/>
      <c r="S201" s="392"/>
      <c r="T201" s="392"/>
      <c r="U201" s="392"/>
      <c r="V201" s="392"/>
      <c r="W201" s="392"/>
      <c r="X201" s="392"/>
      <c r="Y201" s="392"/>
      <c r="Z201" s="392"/>
      <c r="AA201" s="392"/>
      <c r="AB201" s="392"/>
      <c r="AC201" s="392"/>
      <c r="AD201" s="392"/>
      <c r="AE201" s="392"/>
      <c r="AF201" s="392"/>
    </row>
    <row r="202" ht="15.75" customHeight="1">
      <c r="A202" s="216"/>
      <c r="B202" s="156"/>
      <c r="C202" s="156"/>
      <c r="D202" s="156"/>
      <c r="E202" s="392"/>
      <c r="F202" s="392"/>
      <c r="G202" s="392"/>
      <c r="H202" s="392"/>
      <c r="I202" s="392"/>
      <c r="J202" s="392"/>
      <c r="K202" s="392"/>
      <c r="L202" s="392"/>
      <c r="M202" s="392"/>
      <c r="N202" s="392"/>
      <c r="O202" s="392"/>
      <c r="P202" s="392"/>
      <c r="Q202" s="392"/>
      <c r="R202" s="392"/>
      <c r="S202" s="392"/>
      <c r="T202" s="392"/>
      <c r="U202" s="392"/>
      <c r="V202" s="392"/>
      <c r="W202" s="392"/>
      <c r="X202" s="392"/>
      <c r="Y202" s="392"/>
      <c r="Z202" s="392"/>
      <c r="AA202" s="392"/>
      <c r="AB202" s="392"/>
      <c r="AC202" s="392"/>
      <c r="AD202" s="392"/>
      <c r="AE202" s="392"/>
      <c r="AF202" s="392"/>
    </row>
    <row r="203" ht="15.75" customHeight="1">
      <c r="A203" s="216"/>
      <c r="B203" s="156"/>
      <c r="C203" s="156"/>
      <c r="D203" s="156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2"/>
      <c r="T203" s="392"/>
      <c r="U203" s="392"/>
      <c r="V203" s="392"/>
      <c r="W203" s="392"/>
      <c r="X203" s="392"/>
      <c r="Y203" s="392"/>
      <c r="Z203" s="392"/>
      <c r="AA203" s="392"/>
      <c r="AB203" s="392"/>
      <c r="AC203" s="392"/>
      <c r="AD203" s="392"/>
      <c r="AE203" s="392"/>
      <c r="AF203" s="392"/>
    </row>
    <row r="204" ht="15.75" customHeight="1">
      <c r="A204" s="216"/>
      <c r="B204" s="156"/>
      <c r="C204" s="156"/>
      <c r="D204" s="156"/>
      <c r="E204" s="392"/>
      <c r="F204" s="392"/>
      <c r="G204" s="392"/>
      <c r="H204" s="392"/>
      <c r="I204" s="392"/>
      <c r="J204" s="392"/>
      <c r="K204" s="392"/>
      <c r="L204" s="392"/>
      <c r="M204" s="392"/>
      <c r="N204" s="392"/>
      <c r="O204" s="392"/>
      <c r="P204" s="392"/>
      <c r="Q204" s="392"/>
      <c r="R204" s="392"/>
      <c r="S204" s="392"/>
      <c r="T204" s="392"/>
      <c r="U204" s="392"/>
      <c r="V204" s="392"/>
      <c r="W204" s="392"/>
      <c r="X204" s="392"/>
      <c r="Y204" s="392"/>
      <c r="Z204" s="392"/>
      <c r="AA204" s="392"/>
      <c r="AB204" s="392"/>
      <c r="AC204" s="392"/>
      <c r="AD204" s="392"/>
      <c r="AE204" s="392"/>
      <c r="AF204" s="392"/>
    </row>
    <row r="205" ht="15.75" customHeight="1">
      <c r="A205" s="216"/>
      <c r="B205" s="156"/>
      <c r="C205" s="156"/>
      <c r="D205" s="156"/>
      <c r="E205" s="392"/>
      <c r="F205" s="392"/>
      <c r="G205" s="392"/>
      <c r="H205" s="392"/>
      <c r="I205" s="392"/>
      <c r="J205" s="392"/>
      <c r="K205" s="392"/>
      <c r="L205" s="392"/>
      <c r="M205" s="392"/>
      <c r="N205" s="392"/>
      <c r="O205" s="392"/>
      <c r="P205" s="392"/>
      <c r="Q205" s="392"/>
      <c r="R205" s="392"/>
      <c r="S205" s="392"/>
      <c r="T205" s="392"/>
      <c r="U205" s="392"/>
      <c r="V205" s="392"/>
      <c r="W205" s="392"/>
      <c r="X205" s="392"/>
      <c r="Y205" s="392"/>
      <c r="Z205" s="392"/>
      <c r="AA205" s="392"/>
      <c r="AB205" s="392"/>
      <c r="AC205" s="392"/>
      <c r="AD205" s="392"/>
      <c r="AE205" s="392"/>
      <c r="AF205" s="392"/>
    </row>
    <row r="206" ht="15.75" customHeight="1">
      <c r="A206" s="216"/>
      <c r="B206" s="156"/>
      <c r="C206" s="156"/>
      <c r="D206" s="156"/>
      <c r="E206" s="392"/>
      <c r="F206" s="392"/>
      <c r="G206" s="392"/>
      <c r="H206" s="392"/>
      <c r="I206" s="392"/>
      <c r="J206" s="392"/>
      <c r="K206" s="392"/>
      <c r="L206" s="392"/>
      <c r="M206" s="392"/>
      <c r="N206" s="392"/>
      <c r="O206" s="392"/>
      <c r="P206" s="392"/>
      <c r="Q206" s="392"/>
      <c r="R206" s="392"/>
      <c r="S206" s="392"/>
      <c r="T206" s="392"/>
      <c r="U206" s="392"/>
      <c r="V206" s="392"/>
      <c r="W206" s="392"/>
      <c r="X206" s="392"/>
      <c r="Y206" s="392"/>
      <c r="Z206" s="392"/>
      <c r="AA206" s="392"/>
      <c r="AB206" s="392"/>
      <c r="AC206" s="392"/>
      <c r="AD206" s="392"/>
      <c r="AE206" s="392"/>
      <c r="AF206" s="392"/>
    </row>
    <row r="207" ht="15.75" customHeight="1">
      <c r="A207" s="216"/>
      <c r="B207" s="156"/>
      <c r="C207" s="156"/>
      <c r="D207" s="156"/>
      <c r="E207" s="392"/>
      <c r="F207" s="392"/>
      <c r="G207" s="392"/>
      <c r="H207" s="392"/>
      <c r="I207" s="392"/>
      <c r="J207" s="392"/>
      <c r="K207" s="392"/>
      <c r="L207" s="392"/>
      <c r="M207" s="392"/>
      <c r="N207" s="392"/>
      <c r="O207" s="392"/>
      <c r="P207" s="392"/>
      <c r="Q207" s="392"/>
      <c r="R207" s="392"/>
      <c r="S207" s="392"/>
      <c r="T207" s="392"/>
      <c r="U207" s="392"/>
      <c r="V207" s="392"/>
      <c r="W207" s="392"/>
      <c r="X207" s="392"/>
      <c r="Y207" s="392"/>
      <c r="Z207" s="392"/>
      <c r="AA207" s="392"/>
      <c r="AB207" s="392"/>
      <c r="AC207" s="392"/>
      <c r="AD207" s="392"/>
      <c r="AE207" s="392"/>
      <c r="AF207" s="392"/>
    </row>
    <row r="208" ht="15.75" customHeight="1">
      <c r="A208" s="216"/>
      <c r="B208" s="156"/>
      <c r="C208" s="156"/>
      <c r="D208" s="156"/>
      <c r="E208" s="392"/>
      <c r="F208" s="392"/>
      <c r="G208" s="392"/>
      <c r="H208" s="392"/>
      <c r="I208" s="392"/>
      <c r="J208" s="392"/>
      <c r="K208" s="392"/>
      <c r="L208" s="392"/>
      <c r="M208" s="392"/>
      <c r="N208" s="392"/>
      <c r="O208" s="392"/>
      <c r="P208" s="392"/>
      <c r="Q208" s="392"/>
      <c r="R208" s="392"/>
      <c r="S208" s="392"/>
      <c r="T208" s="392"/>
      <c r="U208" s="392"/>
      <c r="V208" s="392"/>
      <c r="W208" s="392"/>
      <c r="X208" s="392"/>
      <c r="Y208" s="392"/>
      <c r="Z208" s="392"/>
      <c r="AA208" s="392"/>
      <c r="AB208" s="392"/>
      <c r="AC208" s="392"/>
      <c r="AD208" s="392"/>
      <c r="AE208" s="392"/>
      <c r="AF208" s="392"/>
    </row>
    <row r="209" ht="15.75" customHeight="1">
      <c r="A209" s="216"/>
      <c r="B209" s="156"/>
      <c r="C209" s="156"/>
      <c r="D209" s="156"/>
      <c r="E209" s="392"/>
      <c r="F209" s="392"/>
      <c r="G209" s="392"/>
      <c r="H209" s="392"/>
      <c r="I209" s="392"/>
      <c r="J209" s="392"/>
      <c r="K209" s="392"/>
      <c r="L209" s="392"/>
      <c r="M209" s="392"/>
      <c r="N209" s="392"/>
      <c r="O209" s="392"/>
      <c r="P209" s="392"/>
      <c r="Q209" s="392"/>
      <c r="R209" s="392"/>
      <c r="S209" s="392"/>
      <c r="T209" s="392"/>
      <c r="U209" s="392"/>
      <c r="V209" s="392"/>
      <c r="W209" s="392"/>
      <c r="X209" s="392"/>
      <c r="Y209" s="392"/>
      <c r="Z209" s="392"/>
      <c r="AA209" s="392"/>
      <c r="AB209" s="392"/>
      <c r="AC209" s="392"/>
      <c r="AD209" s="392"/>
      <c r="AE209" s="392"/>
      <c r="AF209" s="392"/>
    </row>
    <row r="210" ht="15.75" customHeight="1">
      <c r="A210" s="216"/>
      <c r="B210" s="156"/>
      <c r="C210" s="156"/>
      <c r="D210" s="156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2"/>
      <c r="T210" s="392"/>
      <c r="U210" s="392"/>
      <c r="V210" s="392"/>
      <c r="W210" s="392"/>
      <c r="X210" s="392"/>
      <c r="Y210" s="392"/>
      <c r="Z210" s="392"/>
      <c r="AA210" s="392"/>
      <c r="AB210" s="392"/>
      <c r="AC210" s="392"/>
      <c r="AD210" s="392"/>
      <c r="AE210" s="392"/>
      <c r="AF210" s="392"/>
    </row>
    <row r="211" ht="15.75" customHeight="1">
      <c r="A211" s="216"/>
      <c r="B211" s="156"/>
      <c r="C211" s="156"/>
      <c r="D211" s="156"/>
      <c r="E211" s="392"/>
      <c r="F211" s="392"/>
      <c r="G211" s="392"/>
      <c r="H211" s="392"/>
      <c r="I211" s="392"/>
      <c r="J211" s="392"/>
      <c r="K211" s="392"/>
      <c r="L211" s="392"/>
      <c r="M211" s="392"/>
      <c r="N211" s="392"/>
      <c r="O211" s="392"/>
      <c r="P211" s="392"/>
      <c r="Q211" s="392"/>
      <c r="R211" s="392"/>
      <c r="S211" s="392"/>
      <c r="T211" s="392"/>
      <c r="U211" s="392"/>
      <c r="V211" s="392"/>
      <c r="W211" s="392"/>
      <c r="X211" s="392"/>
      <c r="Y211" s="392"/>
      <c r="Z211" s="392"/>
      <c r="AA211" s="392"/>
      <c r="AB211" s="392"/>
      <c r="AC211" s="392"/>
      <c r="AD211" s="392"/>
      <c r="AE211" s="392"/>
      <c r="AF211" s="392"/>
    </row>
    <row r="212" ht="15.75" customHeight="1">
      <c r="A212" s="216"/>
      <c r="B212" s="156"/>
      <c r="C212" s="156"/>
      <c r="D212" s="156"/>
      <c r="E212" s="392"/>
      <c r="F212" s="392"/>
      <c r="G212" s="392"/>
      <c r="H212" s="392"/>
      <c r="I212" s="392"/>
      <c r="J212" s="392"/>
      <c r="K212" s="392"/>
      <c r="L212" s="392"/>
      <c r="M212" s="392"/>
      <c r="N212" s="392"/>
      <c r="O212" s="392"/>
      <c r="P212" s="392"/>
      <c r="Q212" s="392"/>
      <c r="R212" s="392"/>
      <c r="S212" s="392"/>
      <c r="T212" s="392"/>
      <c r="U212" s="392"/>
      <c r="V212" s="392"/>
      <c r="W212" s="392"/>
      <c r="X212" s="392"/>
      <c r="Y212" s="392"/>
      <c r="Z212" s="392"/>
      <c r="AA212" s="392"/>
      <c r="AB212" s="392"/>
      <c r="AC212" s="392"/>
      <c r="AD212" s="392"/>
      <c r="AE212" s="392"/>
      <c r="AF212" s="392"/>
    </row>
    <row r="213" ht="15.75" customHeight="1">
      <c r="A213" s="216"/>
      <c r="B213" s="156"/>
      <c r="C213" s="156"/>
      <c r="D213" s="156"/>
      <c r="E213" s="392"/>
      <c r="F213" s="392"/>
      <c r="G213" s="392"/>
      <c r="H213" s="392"/>
      <c r="I213" s="392"/>
      <c r="J213" s="392"/>
      <c r="K213" s="392"/>
      <c r="L213" s="392"/>
      <c r="M213" s="392"/>
      <c r="N213" s="392"/>
      <c r="O213" s="392"/>
      <c r="P213" s="392"/>
      <c r="Q213" s="392"/>
      <c r="R213" s="392"/>
      <c r="S213" s="392"/>
      <c r="T213" s="392"/>
      <c r="U213" s="392"/>
      <c r="V213" s="392"/>
      <c r="W213" s="392"/>
      <c r="X213" s="392"/>
      <c r="Y213" s="392"/>
      <c r="Z213" s="392"/>
      <c r="AA213" s="392"/>
      <c r="AB213" s="392"/>
      <c r="AC213" s="392"/>
      <c r="AD213" s="392"/>
      <c r="AE213" s="392"/>
      <c r="AF213" s="392"/>
    </row>
    <row r="214" ht="15.75" customHeight="1">
      <c r="A214" s="216"/>
      <c r="B214" s="156"/>
      <c r="C214" s="156"/>
      <c r="D214" s="156"/>
      <c r="E214" s="392"/>
      <c r="F214" s="392"/>
      <c r="G214" s="392"/>
      <c r="H214" s="392"/>
      <c r="I214" s="392"/>
      <c r="J214" s="392"/>
      <c r="K214" s="392"/>
      <c r="L214" s="392"/>
      <c r="M214" s="392"/>
      <c r="N214" s="392"/>
      <c r="O214" s="392"/>
      <c r="P214" s="392"/>
      <c r="Q214" s="392"/>
      <c r="R214" s="392"/>
      <c r="S214" s="392"/>
      <c r="T214" s="392"/>
      <c r="U214" s="392"/>
      <c r="V214" s="392"/>
      <c r="W214" s="392"/>
      <c r="X214" s="392"/>
      <c r="Y214" s="392"/>
      <c r="Z214" s="392"/>
      <c r="AA214" s="392"/>
      <c r="AB214" s="392"/>
      <c r="AC214" s="392"/>
      <c r="AD214" s="392"/>
      <c r="AE214" s="392"/>
      <c r="AF214" s="392"/>
    </row>
    <row r="215" ht="15.75" customHeight="1">
      <c r="A215" s="216"/>
      <c r="B215" s="156"/>
      <c r="C215" s="156"/>
      <c r="D215" s="156"/>
      <c r="E215" s="392"/>
      <c r="F215" s="392"/>
      <c r="G215" s="392"/>
      <c r="H215" s="392"/>
      <c r="I215" s="392"/>
      <c r="J215" s="392"/>
      <c r="K215" s="392"/>
      <c r="L215" s="392"/>
      <c r="M215" s="392"/>
      <c r="N215" s="392"/>
      <c r="O215" s="392"/>
      <c r="P215" s="392"/>
      <c r="Q215" s="392"/>
      <c r="R215" s="392"/>
      <c r="S215" s="392"/>
      <c r="T215" s="392"/>
      <c r="U215" s="392"/>
      <c r="V215" s="392"/>
      <c r="W215" s="392"/>
      <c r="X215" s="392"/>
      <c r="Y215" s="392"/>
      <c r="Z215" s="392"/>
      <c r="AA215" s="392"/>
      <c r="AB215" s="392"/>
      <c r="AC215" s="392"/>
      <c r="AD215" s="392"/>
      <c r="AE215" s="392"/>
      <c r="AF215" s="392"/>
    </row>
    <row r="216" ht="15.75" customHeight="1">
      <c r="A216" s="216"/>
      <c r="B216" s="156"/>
      <c r="C216" s="156"/>
      <c r="D216" s="156"/>
      <c r="E216" s="392"/>
      <c r="F216" s="392"/>
      <c r="G216" s="392"/>
      <c r="H216" s="392"/>
      <c r="I216" s="392"/>
      <c r="J216" s="392"/>
      <c r="K216" s="392"/>
      <c r="L216" s="392"/>
      <c r="M216" s="392"/>
      <c r="N216" s="392"/>
      <c r="O216" s="392"/>
      <c r="P216" s="392"/>
      <c r="Q216" s="392"/>
      <c r="R216" s="392"/>
      <c r="S216" s="392"/>
      <c r="T216" s="392"/>
      <c r="U216" s="392"/>
      <c r="V216" s="392"/>
      <c r="W216" s="392"/>
      <c r="X216" s="392"/>
      <c r="Y216" s="392"/>
      <c r="Z216" s="392"/>
      <c r="AA216" s="392"/>
      <c r="AB216" s="392"/>
      <c r="AC216" s="392"/>
      <c r="AD216" s="392"/>
      <c r="AE216" s="392"/>
      <c r="AF216" s="392"/>
    </row>
    <row r="217" ht="15.75" customHeight="1">
      <c r="A217" s="216"/>
      <c r="B217" s="156"/>
      <c r="C217" s="156"/>
      <c r="D217" s="156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2"/>
      <c r="T217" s="392"/>
      <c r="U217" s="392"/>
      <c r="V217" s="392"/>
      <c r="W217" s="392"/>
      <c r="X217" s="392"/>
      <c r="Y217" s="392"/>
      <c r="Z217" s="392"/>
      <c r="AA217" s="392"/>
      <c r="AB217" s="392"/>
      <c r="AC217" s="392"/>
      <c r="AD217" s="392"/>
      <c r="AE217" s="392"/>
      <c r="AF217" s="392"/>
    </row>
    <row r="218" ht="15.75" customHeight="1">
      <c r="A218" s="216"/>
      <c r="B218" s="156"/>
      <c r="C218" s="156"/>
      <c r="D218" s="156"/>
      <c r="E218" s="392"/>
      <c r="F218" s="392"/>
      <c r="G218" s="392"/>
      <c r="H218" s="392"/>
      <c r="I218" s="392"/>
      <c r="J218" s="392"/>
      <c r="K218" s="392"/>
      <c r="L218" s="392"/>
      <c r="M218" s="392"/>
      <c r="N218" s="392"/>
      <c r="O218" s="392"/>
      <c r="P218" s="392"/>
      <c r="Q218" s="392"/>
      <c r="R218" s="392"/>
      <c r="S218" s="392"/>
      <c r="T218" s="392"/>
      <c r="U218" s="392"/>
      <c r="V218" s="392"/>
      <c r="W218" s="392"/>
      <c r="X218" s="392"/>
      <c r="Y218" s="392"/>
      <c r="Z218" s="392"/>
      <c r="AA218" s="392"/>
      <c r="AB218" s="392"/>
      <c r="AC218" s="392"/>
      <c r="AD218" s="392"/>
      <c r="AE218" s="392"/>
      <c r="AF218" s="392"/>
    </row>
    <row r="219" ht="15.75" customHeight="1">
      <c r="A219" s="216"/>
      <c r="B219" s="156"/>
      <c r="C219" s="156"/>
      <c r="D219" s="156"/>
      <c r="E219" s="392"/>
      <c r="F219" s="392"/>
      <c r="G219" s="392"/>
      <c r="H219" s="392"/>
      <c r="I219" s="392"/>
      <c r="J219" s="392"/>
      <c r="K219" s="392"/>
      <c r="L219" s="392"/>
      <c r="M219" s="392"/>
      <c r="N219" s="392"/>
      <c r="O219" s="392"/>
      <c r="P219" s="392"/>
      <c r="Q219" s="392"/>
      <c r="R219" s="392"/>
      <c r="S219" s="392"/>
      <c r="T219" s="392"/>
      <c r="U219" s="392"/>
      <c r="V219" s="392"/>
      <c r="W219" s="392"/>
      <c r="X219" s="392"/>
      <c r="Y219" s="392"/>
      <c r="Z219" s="392"/>
      <c r="AA219" s="392"/>
      <c r="AB219" s="392"/>
      <c r="AC219" s="392"/>
      <c r="AD219" s="392"/>
      <c r="AE219" s="392"/>
      <c r="AF219" s="392"/>
    </row>
    <row r="220" ht="15.75" customHeight="1">
      <c r="A220" s="216"/>
      <c r="B220" s="156"/>
      <c r="C220" s="156"/>
      <c r="D220" s="156"/>
      <c r="E220" s="392"/>
      <c r="F220" s="392"/>
      <c r="G220" s="392"/>
      <c r="H220" s="392"/>
      <c r="I220" s="392"/>
      <c r="J220" s="392"/>
      <c r="K220" s="392"/>
      <c r="L220" s="392"/>
      <c r="M220" s="392"/>
      <c r="N220" s="392"/>
      <c r="O220" s="392"/>
      <c r="P220" s="392"/>
      <c r="Q220" s="392"/>
      <c r="R220" s="392"/>
      <c r="S220" s="392"/>
      <c r="T220" s="392"/>
      <c r="U220" s="392"/>
      <c r="V220" s="392"/>
      <c r="W220" s="392"/>
      <c r="X220" s="392"/>
      <c r="Y220" s="392"/>
      <c r="Z220" s="392"/>
      <c r="AA220" s="392"/>
      <c r="AB220" s="392"/>
      <c r="AC220" s="392"/>
      <c r="AD220" s="392"/>
      <c r="AE220" s="392"/>
      <c r="AF220" s="392"/>
    </row>
    <row r="221" ht="15.75" customHeight="1">
      <c r="A221" s="216"/>
      <c r="B221" s="156"/>
      <c r="C221" s="156"/>
      <c r="D221" s="156"/>
      <c r="E221" s="392"/>
      <c r="F221" s="392"/>
      <c r="G221" s="392"/>
      <c r="H221" s="392"/>
      <c r="I221" s="392"/>
      <c r="J221" s="392"/>
      <c r="K221" s="392"/>
      <c r="L221" s="392"/>
      <c r="M221" s="392"/>
      <c r="N221" s="392"/>
      <c r="O221" s="392"/>
      <c r="P221" s="392"/>
      <c r="Q221" s="392"/>
      <c r="R221" s="392"/>
      <c r="S221" s="392"/>
      <c r="T221" s="392"/>
      <c r="U221" s="392"/>
      <c r="V221" s="392"/>
      <c r="W221" s="392"/>
      <c r="X221" s="392"/>
      <c r="Y221" s="392"/>
      <c r="Z221" s="392"/>
      <c r="AA221" s="392"/>
      <c r="AB221" s="392"/>
      <c r="AC221" s="392"/>
      <c r="AD221" s="392"/>
      <c r="AE221" s="392"/>
      <c r="AF221" s="392"/>
    </row>
    <row r="222" ht="15.75" customHeight="1">
      <c r="A222" s="216"/>
      <c r="B222" s="156"/>
      <c r="C222" s="156"/>
      <c r="D222" s="156"/>
      <c r="E222" s="392"/>
      <c r="F222" s="392"/>
      <c r="G222" s="392"/>
      <c r="H222" s="392"/>
      <c r="I222" s="392"/>
      <c r="J222" s="392"/>
      <c r="K222" s="392"/>
      <c r="L222" s="392"/>
      <c r="M222" s="392"/>
      <c r="N222" s="392"/>
      <c r="O222" s="392"/>
      <c r="P222" s="392"/>
      <c r="Q222" s="392"/>
      <c r="R222" s="392"/>
      <c r="S222" s="392"/>
      <c r="T222" s="392"/>
      <c r="U222" s="392"/>
      <c r="V222" s="392"/>
      <c r="W222" s="392"/>
      <c r="X222" s="392"/>
      <c r="Y222" s="392"/>
      <c r="Z222" s="392"/>
      <c r="AA222" s="392"/>
      <c r="AB222" s="392"/>
      <c r="AC222" s="392"/>
      <c r="AD222" s="392"/>
      <c r="AE222" s="392"/>
      <c r="AF222" s="392"/>
    </row>
    <row r="223" ht="15.75" customHeight="1">
      <c r="A223" s="216"/>
      <c r="B223" s="156"/>
      <c r="C223" s="156"/>
      <c r="D223" s="156"/>
      <c r="E223" s="392"/>
      <c r="F223" s="392"/>
      <c r="G223" s="392"/>
      <c r="H223" s="392"/>
      <c r="I223" s="392"/>
      <c r="J223" s="392"/>
      <c r="K223" s="392"/>
      <c r="L223" s="392"/>
      <c r="M223" s="392"/>
      <c r="N223" s="392"/>
      <c r="O223" s="392"/>
      <c r="P223" s="392"/>
      <c r="Q223" s="392"/>
      <c r="R223" s="392"/>
      <c r="S223" s="392"/>
      <c r="T223" s="392"/>
      <c r="U223" s="392"/>
      <c r="V223" s="392"/>
      <c r="W223" s="392"/>
      <c r="X223" s="392"/>
      <c r="Y223" s="392"/>
      <c r="Z223" s="392"/>
      <c r="AA223" s="392"/>
      <c r="AB223" s="392"/>
      <c r="AC223" s="392"/>
      <c r="AD223" s="392"/>
      <c r="AE223" s="392"/>
      <c r="AF223" s="392"/>
    </row>
    <row r="224" ht="15.75" customHeight="1">
      <c r="A224" s="216"/>
      <c r="B224" s="156"/>
      <c r="C224" s="156"/>
      <c r="D224" s="156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2"/>
      <c r="T224" s="392"/>
      <c r="U224" s="392"/>
      <c r="V224" s="392"/>
      <c r="W224" s="392"/>
      <c r="X224" s="392"/>
      <c r="Y224" s="392"/>
      <c r="Z224" s="392"/>
      <c r="AA224" s="392"/>
      <c r="AB224" s="392"/>
      <c r="AC224" s="392"/>
      <c r="AD224" s="392"/>
      <c r="AE224" s="392"/>
      <c r="AF224" s="392"/>
    </row>
    <row r="225" ht="15.75" customHeight="1">
      <c r="A225" s="216"/>
      <c r="B225" s="156"/>
      <c r="C225" s="156"/>
      <c r="D225" s="156"/>
      <c r="E225" s="392"/>
      <c r="F225" s="392"/>
      <c r="G225" s="392"/>
      <c r="H225" s="392"/>
      <c r="I225" s="392"/>
      <c r="J225" s="392"/>
      <c r="K225" s="392"/>
      <c r="L225" s="392"/>
      <c r="M225" s="392"/>
      <c r="N225" s="392"/>
      <c r="O225" s="392"/>
      <c r="P225" s="392"/>
      <c r="Q225" s="392"/>
      <c r="R225" s="392"/>
      <c r="S225" s="392"/>
      <c r="T225" s="392"/>
      <c r="U225" s="392"/>
      <c r="V225" s="392"/>
      <c r="W225" s="392"/>
      <c r="X225" s="392"/>
      <c r="Y225" s="392"/>
      <c r="Z225" s="392"/>
      <c r="AA225" s="392"/>
      <c r="AB225" s="392"/>
      <c r="AC225" s="392"/>
      <c r="AD225" s="392"/>
      <c r="AE225" s="392"/>
      <c r="AF225" s="392"/>
    </row>
    <row r="226" ht="15.75" customHeight="1">
      <c r="A226" s="216"/>
      <c r="B226" s="156"/>
      <c r="C226" s="156"/>
      <c r="D226" s="156"/>
      <c r="E226" s="392"/>
      <c r="F226" s="392"/>
      <c r="G226" s="392"/>
      <c r="H226" s="392"/>
      <c r="I226" s="392"/>
      <c r="J226" s="392"/>
      <c r="K226" s="392"/>
      <c r="L226" s="392"/>
      <c r="M226" s="392"/>
      <c r="N226" s="392"/>
      <c r="O226" s="392"/>
      <c r="P226" s="392"/>
      <c r="Q226" s="392"/>
      <c r="R226" s="392"/>
      <c r="S226" s="392"/>
      <c r="T226" s="392"/>
      <c r="U226" s="392"/>
      <c r="V226" s="392"/>
      <c r="W226" s="392"/>
      <c r="X226" s="392"/>
      <c r="Y226" s="392"/>
      <c r="Z226" s="392"/>
      <c r="AA226" s="392"/>
      <c r="AB226" s="392"/>
      <c r="AC226" s="392"/>
      <c r="AD226" s="392"/>
      <c r="AE226" s="392"/>
      <c r="AF226" s="392"/>
    </row>
    <row r="227" ht="15.75" customHeight="1">
      <c r="A227" s="216"/>
      <c r="B227" s="156"/>
      <c r="C227" s="156"/>
      <c r="D227" s="156"/>
      <c r="E227" s="392"/>
      <c r="F227" s="392"/>
      <c r="G227" s="392"/>
      <c r="H227" s="392"/>
      <c r="I227" s="392"/>
      <c r="J227" s="392"/>
      <c r="K227" s="392"/>
      <c r="L227" s="392"/>
      <c r="M227" s="392"/>
      <c r="N227" s="392"/>
      <c r="O227" s="392"/>
      <c r="P227" s="392"/>
      <c r="Q227" s="392"/>
      <c r="R227" s="392"/>
      <c r="S227" s="392"/>
      <c r="T227" s="392"/>
      <c r="U227" s="392"/>
      <c r="V227" s="392"/>
      <c r="W227" s="392"/>
      <c r="X227" s="392"/>
      <c r="Y227" s="392"/>
      <c r="Z227" s="392"/>
      <c r="AA227" s="392"/>
      <c r="AB227" s="392"/>
      <c r="AC227" s="392"/>
      <c r="AD227" s="392"/>
      <c r="AE227" s="392"/>
      <c r="AF227" s="392"/>
    </row>
    <row r="228" ht="15.75" customHeight="1">
      <c r="A228" s="216"/>
      <c r="B228" s="156"/>
      <c r="C228" s="156"/>
      <c r="D228" s="156"/>
      <c r="E228" s="392"/>
      <c r="F228" s="392"/>
      <c r="G228" s="392"/>
      <c r="H228" s="392"/>
      <c r="I228" s="392"/>
      <c r="J228" s="392"/>
      <c r="K228" s="392"/>
      <c r="L228" s="392"/>
      <c r="M228" s="392"/>
      <c r="N228" s="392"/>
      <c r="O228" s="392"/>
      <c r="P228" s="392"/>
      <c r="Q228" s="392"/>
      <c r="R228" s="392"/>
      <c r="S228" s="392"/>
      <c r="T228" s="392"/>
      <c r="U228" s="392"/>
      <c r="V228" s="392"/>
      <c r="W228" s="392"/>
      <c r="X228" s="392"/>
      <c r="Y228" s="392"/>
      <c r="Z228" s="392"/>
      <c r="AA228" s="392"/>
      <c r="AB228" s="392"/>
      <c r="AC228" s="392"/>
      <c r="AD228" s="392"/>
      <c r="AE228" s="392"/>
      <c r="AF228" s="392"/>
    </row>
    <row r="229" ht="15.75" customHeight="1">
      <c r="A229" s="216"/>
      <c r="B229" s="156"/>
      <c r="C229" s="156"/>
      <c r="D229" s="156"/>
      <c r="E229" s="392"/>
      <c r="F229" s="392"/>
      <c r="G229" s="392"/>
      <c r="H229" s="392"/>
      <c r="I229" s="392"/>
      <c r="J229" s="392"/>
      <c r="K229" s="392"/>
      <c r="L229" s="392"/>
      <c r="M229" s="392"/>
      <c r="N229" s="392"/>
      <c r="O229" s="392"/>
      <c r="P229" s="392"/>
      <c r="Q229" s="392"/>
      <c r="R229" s="392"/>
      <c r="S229" s="392"/>
      <c r="T229" s="392"/>
      <c r="U229" s="392"/>
      <c r="V229" s="392"/>
      <c r="W229" s="392"/>
      <c r="X229" s="392"/>
      <c r="Y229" s="392"/>
      <c r="Z229" s="392"/>
      <c r="AA229" s="392"/>
      <c r="AB229" s="392"/>
      <c r="AC229" s="392"/>
      <c r="AD229" s="392"/>
      <c r="AE229" s="392"/>
      <c r="AF229" s="392"/>
    </row>
    <row r="230" ht="15.75" customHeight="1">
      <c r="A230" s="216"/>
      <c r="B230" s="156"/>
      <c r="C230" s="156"/>
      <c r="D230" s="156"/>
      <c r="E230" s="392"/>
      <c r="F230" s="392"/>
      <c r="G230" s="392"/>
      <c r="H230" s="392"/>
      <c r="I230" s="392"/>
      <c r="J230" s="392"/>
      <c r="K230" s="392"/>
      <c r="L230" s="392"/>
      <c r="M230" s="392"/>
      <c r="N230" s="392"/>
      <c r="O230" s="392"/>
      <c r="P230" s="392"/>
      <c r="Q230" s="392"/>
      <c r="R230" s="392"/>
      <c r="S230" s="392"/>
      <c r="T230" s="392"/>
      <c r="U230" s="392"/>
      <c r="V230" s="392"/>
      <c r="W230" s="392"/>
      <c r="X230" s="392"/>
      <c r="Y230" s="392"/>
      <c r="Z230" s="392"/>
      <c r="AA230" s="392"/>
      <c r="AB230" s="392"/>
      <c r="AC230" s="392"/>
      <c r="AD230" s="392"/>
      <c r="AE230" s="392"/>
      <c r="AF230" s="392"/>
    </row>
    <row r="231" ht="15.75" customHeight="1">
      <c r="A231" s="216"/>
      <c r="B231" s="156"/>
      <c r="C231" s="156"/>
      <c r="D231" s="156"/>
      <c r="E231" s="392"/>
      <c r="F231" s="392"/>
      <c r="G231" s="392"/>
      <c r="H231" s="392"/>
      <c r="I231" s="392"/>
      <c r="J231" s="392"/>
      <c r="K231" s="392"/>
      <c r="L231" s="392"/>
      <c r="M231" s="392"/>
      <c r="N231" s="392"/>
      <c r="O231" s="392"/>
      <c r="P231" s="392"/>
      <c r="Q231" s="392"/>
      <c r="R231" s="392"/>
      <c r="S231" s="392"/>
      <c r="T231" s="392"/>
      <c r="U231" s="392"/>
      <c r="V231" s="392"/>
      <c r="W231" s="392"/>
      <c r="X231" s="392"/>
      <c r="Y231" s="392"/>
      <c r="Z231" s="392"/>
      <c r="AA231" s="392"/>
      <c r="AB231" s="392"/>
      <c r="AC231" s="392"/>
      <c r="AD231" s="392"/>
      <c r="AE231" s="392"/>
      <c r="AF231" s="392"/>
    </row>
    <row r="232" ht="15.75" customHeight="1">
      <c r="A232" s="216"/>
      <c r="B232" s="156"/>
      <c r="C232" s="156"/>
      <c r="D232" s="156"/>
      <c r="E232" s="392"/>
      <c r="F232" s="392"/>
      <c r="G232" s="392"/>
      <c r="H232" s="392"/>
      <c r="I232" s="392"/>
      <c r="J232" s="392"/>
      <c r="K232" s="392"/>
      <c r="L232" s="392"/>
      <c r="M232" s="392"/>
      <c r="N232" s="392"/>
      <c r="O232" s="392"/>
      <c r="P232" s="392"/>
      <c r="Q232" s="392"/>
      <c r="R232" s="392"/>
      <c r="S232" s="392"/>
      <c r="T232" s="392"/>
      <c r="U232" s="392"/>
      <c r="V232" s="392"/>
      <c r="W232" s="392"/>
      <c r="X232" s="392"/>
      <c r="Y232" s="392"/>
      <c r="Z232" s="392"/>
      <c r="AA232" s="392"/>
      <c r="AB232" s="392"/>
      <c r="AC232" s="392"/>
      <c r="AD232" s="392"/>
      <c r="AE232" s="392"/>
      <c r="AF232" s="392"/>
    </row>
    <row r="233" ht="15.75" customHeight="1">
      <c r="A233" s="216"/>
      <c r="B233" s="156"/>
      <c r="C233" s="156"/>
      <c r="D233" s="156"/>
      <c r="E233" s="392"/>
      <c r="F233" s="392"/>
      <c r="G233" s="392"/>
      <c r="H233" s="392"/>
      <c r="I233" s="392"/>
      <c r="J233" s="392"/>
      <c r="K233" s="392"/>
      <c r="L233" s="392"/>
      <c r="M233" s="392"/>
      <c r="N233" s="392"/>
      <c r="O233" s="392"/>
      <c r="P233" s="392"/>
      <c r="Q233" s="392"/>
      <c r="R233" s="392"/>
      <c r="S233" s="392"/>
      <c r="T233" s="392"/>
      <c r="U233" s="392"/>
      <c r="V233" s="392"/>
      <c r="W233" s="392"/>
      <c r="X233" s="392"/>
      <c r="Y233" s="392"/>
      <c r="Z233" s="392"/>
      <c r="AA233" s="392"/>
      <c r="AB233" s="392"/>
      <c r="AC233" s="392"/>
      <c r="AD233" s="392"/>
      <c r="AE233" s="392"/>
      <c r="AF233" s="392"/>
    </row>
    <row r="234" ht="15.75" customHeight="1">
      <c r="A234" s="216"/>
      <c r="B234" s="156"/>
      <c r="C234" s="156"/>
      <c r="D234" s="156"/>
      <c r="E234" s="392"/>
      <c r="F234" s="392"/>
      <c r="G234" s="392"/>
      <c r="H234" s="392"/>
      <c r="I234" s="392"/>
      <c r="J234" s="392"/>
      <c r="K234" s="392"/>
      <c r="L234" s="392"/>
      <c r="M234" s="392"/>
      <c r="N234" s="392"/>
      <c r="O234" s="392"/>
      <c r="P234" s="392"/>
      <c r="Q234" s="392"/>
      <c r="R234" s="392"/>
      <c r="S234" s="392"/>
      <c r="T234" s="392"/>
      <c r="U234" s="392"/>
      <c r="V234" s="392"/>
      <c r="W234" s="392"/>
      <c r="X234" s="392"/>
      <c r="Y234" s="392"/>
      <c r="Z234" s="392"/>
      <c r="AA234" s="392"/>
      <c r="AB234" s="392"/>
      <c r="AC234" s="392"/>
      <c r="AD234" s="392"/>
      <c r="AE234" s="392"/>
      <c r="AF234" s="392"/>
    </row>
    <row r="235" ht="15.75" customHeight="1">
      <c r="A235" s="216"/>
      <c r="B235" s="156"/>
      <c r="C235" s="156"/>
      <c r="D235" s="156"/>
      <c r="E235" s="392"/>
      <c r="F235" s="392"/>
      <c r="G235" s="392"/>
      <c r="H235" s="392"/>
      <c r="I235" s="392"/>
      <c r="J235" s="392"/>
      <c r="K235" s="392"/>
      <c r="L235" s="392"/>
      <c r="M235" s="392"/>
      <c r="N235" s="392"/>
      <c r="O235" s="392"/>
      <c r="P235" s="392"/>
      <c r="Q235" s="392"/>
      <c r="R235" s="392"/>
      <c r="S235" s="392"/>
      <c r="T235" s="392"/>
      <c r="U235" s="392"/>
      <c r="V235" s="392"/>
      <c r="W235" s="392"/>
      <c r="X235" s="392"/>
      <c r="Y235" s="392"/>
      <c r="Z235" s="392"/>
      <c r="AA235" s="392"/>
      <c r="AB235" s="392"/>
      <c r="AC235" s="392"/>
      <c r="AD235" s="392"/>
      <c r="AE235" s="392"/>
      <c r="AF235" s="392"/>
    </row>
    <row r="236" ht="15.75" customHeight="1">
      <c r="A236" s="216"/>
      <c r="B236" s="156"/>
      <c r="C236" s="156"/>
      <c r="D236" s="156"/>
      <c r="E236" s="392"/>
      <c r="F236" s="392"/>
      <c r="G236" s="392"/>
      <c r="H236" s="392"/>
      <c r="I236" s="392"/>
      <c r="J236" s="392"/>
      <c r="K236" s="392"/>
      <c r="L236" s="392"/>
      <c r="M236" s="392"/>
      <c r="N236" s="392"/>
      <c r="O236" s="392"/>
      <c r="P236" s="392"/>
      <c r="Q236" s="392"/>
      <c r="R236" s="392"/>
      <c r="S236" s="392"/>
      <c r="T236" s="392"/>
      <c r="U236" s="392"/>
      <c r="V236" s="392"/>
      <c r="W236" s="392"/>
      <c r="X236" s="392"/>
      <c r="Y236" s="392"/>
      <c r="Z236" s="392"/>
      <c r="AA236" s="392"/>
      <c r="AB236" s="392"/>
      <c r="AC236" s="392"/>
      <c r="AD236" s="392"/>
      <c r="AE236" s="392"/>
      <c r="AF236" s="392"/>
    </row>
    <row r="237" ht="15.75" customHeight="1">
      <c r="A237" s="216"/>
      <c r="B237" s="156"/>
      <c r="C237" s="156"/>
      <c r="D237" s="156"/>
      <c r="E237" s="392"/>
      <c r="F237" s="392"/>
      <c r="G237" s="392"/>
      <c r="H237" s="392"/>
      <c r="I237" s="392"/>
      <c r="J237" s="392"/>
      <c r="K237" s="392"/>
      <c r="L237" s="392"/>
      <c r="M237" s="392"/>
      <c r="N237" s="392"/>
      <c r="O237" s="392"/>
      <c r="P237" s="392"/>
      <c r="Q237" s="392"/>
      <c r="R237" s="392"/>
      <c r="S237" s="392"/>
      <c r="T237" s="392"/>
      <c r="U237" s="392"/>
      <c r="V237" s="392"/>
      <c r="W237" s="392"/>
      <c r="X237" s="392"/>
      <c r="Y237" s="392"/>
      <c r="Z237" s="392"/>
      <c r="AA237" s="392"/>
      <c r="AB237" s="392"/>
      <c r="AC237" s="392"/>
      <c r="AD237" s="392"/>
      <c r="AE237" s="392"/>
      <c r="AF237" s="392"/>
    </row>
    <row r="238" ht="15.75" customHeight="1">
      <c r="A238" s="216"/>
      <c r="B238" s="156"/>
      <c r="C238" s="156"/>
      <c r="D238" s="156"/>
      <c r="E238" s="392"/>
      <c r="F238" s="392"/>
      <c r="G238" s="392"/>
      <c r="H238" s="392"/>
      <c r="I238" s="392"/>
      <c r="J238" s="392"/>
      <c r="K238" s="392"/>
      <c r="L238" s="392"/>
      <c r="M238" s="392"/>
      <c r="N238" s="392"/>
      <c r="O238" s="392"/>
      <c r="P238" s="392"/>
      <c r="Q238" s="392"/>
      <c r="R238" s="392"/>
      <c r="S238" s="392"/>
      <c r="T238" s="392"/>
      <c r="U238" s="392"/>
      <c r="V238" s="392"/>
      <c r="W238" s="392"/>
      <c r="X238" s="392"/>
      <c r="Y238" s="392"/>
      <c r="Z238" s="392"/>
      <c r="AA238" s="392"/>
      <c r="AB238" s="392"/>
      <c r="AC238" s="392"/>
      <c r="AD238" s="392"/>
      <c r="AE238" s="392"/>
      <c r="AF238" s="392"/>
    </row>
    <row r="239" ht="15.75" customHeight="1">
      <c r="A239" s="216"/>
      <c r="B239" s="156"/>
      <c r="C239" s="156"/>
      <c r="D239" s="156"/>
      <c r="E239" s="392"/>
      <c r="F239" s="392"/>
      <c r="G239" s="392"/>
      <c r="H239" s="392"/>
      <c r="I239" s="392"/>
      <c r="J239" s="392"/>
      <c r="K239" s="392"/>
      <c r="L239" s="392"/>
      <c r="M239" s="392"/>
      <c r="N239" s="392"/>
      <c r="O239" s="392"/>
      <c r="P239" s="392"/>
      <c r="Q239" s="392"/>
      <c r="R239" s="392"/>
      <c r="S239" s="392"/>
      <c r="T239" s="392"/>
      <c r="U239" s="392"/>
      <c r="V239" s="392"/>
      <c r="W239" s="392"/>
      <c r="X239" s="392"/>
      <c r="Y239" s="392"/>
      <c r="Z239" s="392"/>
      <c r="AA239" s="392"/>
      <c r="AB239" s="392"/>
      <c r="AC239" s="392"/>
      <c r="AD239" s="392"/>
      <c r="AE239" s="392"/>
      <c r="AF239" s="392"/>
    </row>
    <row r="240" ht="15.75" customHeight="1">
      <c r="A240" s="216"/>
      <c r="B240" s="156"/>
      <c r="C240" s="156"/>
      <c r="D240" s="156"/>
      <c r="E240" s="392"/>
      <c r="F240" s="392"/>
      <c r="G240" s="392"/>
      <c r="H240" s="392"/>
      <c r="I240" s="392"/>
      <c r="J240" s="392"/>
      <c r="K240" s="392"/>
      <c r="L240" s="392"/>
      <c r="M240" s="392"/>
      <c r="N240" s="392"/>
      <c r="O240" s="392"/>
      <c r="P240" s="392"/>
      <c r="Q240" s="392"/>
      <c r="R240" s="392"/>
      <c r="S240" s="392"/>
      <c r="T240" s="392"/>
      <c r="U240" s="392"/>
      <c r="V240" s="392"/>
      <c r="W240" s="392"/>
      <c r="X240" s="392"/>
      <c r="Y240" s="392"/>
      <c r="Z240" s="392"/>
      <c r="AA240" s="392"/>
      <c r="AB240" s="392"/>
      <c r="AC240" s="392"/>
      <c r="AD240" s="392"/>
      <c r="AE240" s="392"/>
      <c r="AF240" s="392"/>
    </row>
    <row r="241" ht="15.75" customHeight="1">
      <c r="A241" s="216"/>
      <c r="B241" s="156"/>
      <c r="C241" s="156"/>
      <c r="D241" s="156"/>
      <c r="E241" s="392"/>
      <c r="F241" s="392"/>
      <c r="G241" s="392"/>
      <c r="H241" s="392"/>
      <c r="I241" s="392"/>
      <c r="J241" s="392"/>
      <c r="K241" s="392"/>
      <c r="L241" s="392"/>
      <c r="M241" s="392"/>
      <c r="N241" s="392"/>
      <c r="O241" s="392"/>
      <c r="P241" s="392"/>
      <c r="Q241" s="392"/>
      <c r="R241" s="392"/>
      <c r="S241" s="392"/>
      <c r="T241" s="392"/>
      <c r="U241" s="392"/>
      <c r="V241" s="392"/>
      <c r="W241" s="392"/>
      <c r="X241" s="392"/>
      <c r="Y241" s="392"/>
      <c r="Z241" s="392"/>
      <c r="AA241" s="392"/>
      <c r="AB241" s="392"/>
      <c r="AC241" s="392"/>
      <c r="AD241" s="392"/>
      <c r="AE241" s="392"/>
      <c r="AF241" s="392"/>
    </row>
    <row r="242" ht="15.75" customHeight="1">
      <c r="A242" s="216"/>
      <c r="B242" s="156"/>
      <c r="C242" s="156"/>
      <c r="D242" s="156"/>
      <c r="E242" s="392"/>
      <c r="F242" s="392"/>
      <c r="G242" s="392"/>
      <c r="H242" s="392"/>
      <c r="I242" s="392"/>
      <c r="J242" s="392"/>
      <c r="K242" s="392"/>
      <c r="L242" s="392"/>
      <c r="M242" s="392"/>
      <c r="N242" s="392"/>
      <c r="O242" s="392"/>
      <c r="P242" s="392"/>
      <c r="Q242" s="392"/>
      <c r="R242" s="392"/>
      <c r="S242" s="392"/>
      <c r="T242" s="392"/>
      <c r="U242" s="392"/>
      <c r="V242" s="392"/>
      <c r="W242" s="392"/>
      <c r="X242" s="392"/>
      <c r="Y242" s="392"/>
      <c r="Z242" s="392"/>
      <c r="AA242" s="392"/>
      <c r="AB242" s="392"/>
      <c r="AC242" s="392"/>
      <c r="AD242" s="392"/>
      <c r="AE242" s="392"/>
      <c r="AF242" s="392"/>
    </row>
    <row r="243" ht="15.75" customHeight="1">
      <c r="A243" s="216"/>
      <c r="B243" s="156"/>
      <c r="C243" s="156"/>
      <c r="D243" s="156"/>
      <c r="E243" s="392"/>
      <c r="F243" s="392"/>
      <c r="G243" s="392"/>
      <c r="H243" s="392"/>
      <c r="I243" s="392"/>
      <c r="J243" s="392"/>
      <c r="K243" s="392"/>
      <c r="L243" s="392"/>
      <c r="M243" s="392"/>
      <c r="N243" s="392"/>
      <c r="O243" s="392"/>
      <c r="P243" s="392"/>
      <c r="Q243" s="392"/>
      <c r="R243" s="392"/>
      <c r="S243" s="392"/>
      <c r="T243" s="392"/>
      <c r="U243" s="392"/>
      <c r="V243" s="392"/>
      <c r="W243" s="392"/>
      <c r="X243" s="392"/>
      <c r="Y243" s="392"/>
      <c r="Z243" s="392"/>
      <c r="AA243" s="392"/>
      <c r="AB243" s="392"/>
      <c r="AC243" s="392"/>
      <c r="AD243" s="392"/>
      <c r="AE243" s="392"/>
      <c r="AF243" s="392"/>
    </row>
    <row r="244" ht="15.75" customHeight="1">
      <c r="A244" s="216"/>
      <c r="B244" s="156"/>
      <c r="C244" s="156"/>
      <c r="D244" s="156"/>
      <c r="E244" s="392"/>
      <c r="F244" s="392"/>
      <c r="G244" s="392"/>
      <c r="H244" s="392"/>
      <c r="I244" s="392"/>
      <c r="J244" s="392"/>
      <c r="K244" s="392"/>
      <c r="L244" s="392"/>
      <c r="M244" s="392"/>
      <c r="N244" s="392"/>
      <c r="O244" s="392"/>
      <c r="P244" s="392"/>
      <c r="Q244" s="392"/>
      <c r="R244" s="392"/>
      <c r="S244" s="392"/>
      <c r="T244" s="392"/>
      <c r="U244" s="392"/>
      <c r="V244" s="392"/>
      <c r="W244" s="392"/>
      <c r="X244" s="392"/>
      <c r="Y244" s="392"/>
      <c r="Z244" s="392"/>
      <c r="AA244" s="392"/>
      <c r="AB244" s="392"/>
      <c r="AC244" s="392"/>
      <c r="AD244" s="392"/>
      <c r="AE244" s="392"/>
      <c r="AF244" s="392"/>
    </row>
    <row r="245" ht="15.75" customHeight="1">
      <c r="A245" s="216"/>
      <c r="B245" s="156"/>
      <c r="C245" s="156"/>
      <c r="D245" s="156"/>
      <c r="E245" s="392"/>
      <c r="F245" s="392"/>
      <c r="G245" s="392"/>
      <c r="H245" s="392"/>
      <c r="I245" s="392"/>
      <c r="J245" s="392"/>
      <c r="K245" s="392"/>
      <c r="L245" s="392"/>
      <c r="M245" s="392"/>
      <c r="N245" s="392"/>
      <c r="O245" s="392"/>
      <c r="P245" s="392"/>
      <c r="Q245" s="392"/>
      <c r="R245" s="392"/>
      <c r="S245" s="392"/>
      <c r="T245" s="392"/>
      <c r="U245" s="392"/>
      <c r="V245" s="392"/>
      <c r="W245" s="392"/>
      <c r="X245" s="392"/>
      <c r="Y245" s="392"/>
      <c r="Z245" s="392"/>
      <c r="AA245" s="392"/>
      <c r="AB245" s="392"/>
      <c r="AC245" s="392"/>
      <c r="AD245" s="392"/>
      <c r="AE245" s="392"/>
      <c r="AF245" s="392"/>
    </row>
    <row r="246" ht="15.75" customHeight="1">
      <c r="A246" s="216"/>
      <c r="B246" s="156"/>
      <c r="C246" s="156"/>
      <c r="D246" s="156"/>
      <c r="E246" s="392"/>
      <c r="F246" s="392"/>
      <c r="G246" s="392"/>
      <c r="H246" s="392"/>
      <c r="I246" s="392"/>
      <c r="J246" s="392"/>
      <c r="K246" s="392"/>
      <c r="L246" s="392"/>
      <c r="M246" s="392"/>
      <c r="N246" s="392"/>
      <c r="O246" s="392"/>
      <c r="P246" s="392"/>
      <c r="Q246" s="392"/>
      <c r="R246" s="392"/>
      <c r="S246" s="392"/>
      <c r="T246" s="392"/>
      <c r="U246" s="392"/>
      <c r="V246" s="392"/>
      <c r="W246" s="392"/>
      <c r="X246" s="392"/>
      <c r="Y246" s="392"/>
      <c r="Z246" s="392"/>
      <c r="AA246" s="392"/>
      <c r="AB246" s="392"/>
      <c r="AC246" s="392"/>
      <c r="AD246" s="392"/>
      <c r="AE246" s="392"/>
      <c r="AF246" s="392"/>
    </row>
    <row r="247" ht="15.75" customHeight="1">
      <c r="A247" s="216"/>
      <c r="B247" s="156"/>
      <c r="C247" s="156"/>
      <c r="D247" s="156"/>
      <c r="E247" s="392"/>
      <c r="F247" s="392"/>
      <c r="G247" s="392"/>
      <c r="H247" s="392"/>
      <c r="I247" s="392"/>
      <c r="J247" s="392"/>
      <c r="K247" s="392"/>
      <c r="L247" s="392"/>
      <c r="M247" s="392"/>
      <c r="N247" s="392"/>
      <c r="O247" s="392"/>
      <c r="P247" s="392"/>
      <c r="Q247" s="392"/>
      <c r="R247" s="392"/>
      <c r="S247" s="392"/>
      <c r="T247" s="392"/>
      <c r="U247" s="392"/>
      <c r="V247" s="392"/>
      <c r="W247" s="392"/>
      <c r="X247" s="392"/>
      <c r="Y247" s="392"/>
      <c r="Z247" s="392"/>
      <c r="AA247" s="392"/>
      <c r="AB247" s="392"/>
      <c r="AC247" s="392"/>
      <c r="AD247" s="392"/>
      <c r="AE247" s="392"/>
      <c r="AF247" s="392"/>
    </row>
    <row r="248" ht="15.75" customHeight="1">
      <c r="A248" s="216"/>
      <c r="B248" s="156"/>
      <c r="C248" s="156"/>
      <c r="D248" s="156"/>
      <c r="E248" s="392"/>
      <c r="F248" s="392"/>
      <c r="G248" s="392"/>
      <c r="H248" s="392"/>
      <c r="I248" s="392"/>
      <c r="J248" s="392"/>
      <c r="K248" s="392"/>
      <c r="L248" s="392"/>
      <c r="M248" s="392"/>
      <c r="N248" s="392"/>
      <c r="O248" s="392"/>
      <c r="P248" s="392"/>
      <c r="Q248" s="392"/>
      <c r="R248" s="392"/>
      <c r="S248" s="392"/>
      <c r="T248" s="392"/>
      <c r="U248" s="392"/>
      <c r="V248" s="392"/>
      <c r="W248" s="392"/>
      <c r="X248" s="392"/>
      <c r="Y248" s="392"/>
      <c r="Z248" s="392"/>
      <c r="AA248" s="392"/>
      <c r="AB248" s="392"/>
      <c r="AC248" s="392"/>
      <c r="AD248" s="392"/>
      <c r="AE248" s="392"/>
      <c r="AF248" s="392"/>
    </row>
    <row r="249" ht="15.75" customHeight="1">
      <c r="A249" s="216"/>
      <c r="B249" s="156"/>
      <c r="C249" s="156"/>
      <c r="D249" s="156"/>
      <c r="E249" s="392"/>
      <c r="F249" s="392"/>
      <c r="G249" s="392"/>
      <c r="H249" s="392"/>
      <c r="I249" s="392"/>
      <c r="J249" s="392"/>
      <c r="K249" s="392"/>
      <c r="L249" s="392"/>
      <c r="M249" s="392"/>
      <c r="N249" s="392"/>
      <c r="O249" s="392"/>
      <c r="P249" s="392"/>
      <c r="Q249" s="392"/>
      <c r="R249" s="392"/>
      <c r="S249" s="392"/>
      <c r="T249" s="392"/>
      <c r="U249" s="392"/>
      <c r="V249" s="392"/>
      <c r="W249" s="392"/>
      <c r="X249" s="392"/>
      <c r="Y249" s="392"/>
      <c r="Z249" s="392"/>
      <c r="AA249" s="392"/>
      <c r="AB249" s="392"/>
      <c r="AC249" s="392"/>
      <c r="AD249" s="392"/>
      <c r="AE249" s="392"/>
      <c r="AF249" s="392"/>
    </row>
    <row r="250" ht="15.75" customHeight="1">
      <c r="A250" s="216"/>
      <c r="B250" s="156"/>
      <c r="C250" s="156"/>
      <c r="D250" s="156"/>
      <c r="E250" s="392"/>
      <c r="F250" s="392"/>
      <c r="G250" s="392"/>
      <c r="H250" s="392"/>
      <c r="I250" s="392"/>
      <c r="J250" s="392"/>
      <c r="K250" s="392"/>
      <c r="L250" s="392"/>
      <c r="M250" s="392"/>
      <c r="N250" s="392"/>
      <c r="O250" s="392"/>
      <c r="P250" s="392"/>
      <c r="Q250" s="392"/>
      <c r="R250" s="392"/>
      <c r="S250" s="392"/>
      <c r="T250" s="392"/>
      <c r="U250" s="392"/>
      <c r="V250" s="392"/>
      <c r="W250" s="392"/>
      <c r="X250" s="392"/>
      <c r="Y250" s="392"/>
      <c r="Z250" s="392"/>
      <c r="AA250" s="392"/>
      <c r="AB250" s="392"/>
      <c r="AC250" s="392"/>
      <c r="AD250" s="392"/>
      <c r="AE250" s="392"/>
      <c r="AF250" s="392"/>
    </row>
    <row r="251" ht="15.75" customHeight="1">
      <c r="A251" s="216"/>
      <c r="B251" s="156"/>
      <c r="C251" s="156"/>
      <c r="D251" s="156"/>
      <c r="E251" s="392"/>
      <c r="F251" s="392"/>
      <c r="G251" s="392"/>
      <c r="H251" s="392"/>
      <c r="I251" s="392"/>
      <c r="J251" s="392"/>
      <c r="K251" s="392"/>
      <c r="L251" s="392"/>
      <c r="M251" s="392"/>
      <c r="N251" s="392"/>
      <c r="O251" s="392"/>
      <c r="P251" s="392"/>
      <c r="Q251" s="392"/>
      <c r="R251" s="392"/>
      <c r="S251" s="392"/>
      <c r="T251" s="392"/>
      <c r="U251" s="392"/>
      <c r="V251" s="392"/>
      <c r="W251" s="392"/>
      <c r="X251" s="392"/>
      <c r="Y251" s="392"/>
      <c r="Z251" s="392"/>
      <c r="AA251" s="392"/>
      <c r="AB251" s="392"/>
      <c r="AC251" s="392"/>
      <c r="AD251" s="392"/>
      <c r="AE251" s="392"/>
      <c r="AF251" s="392"/>
    </row>
    <row r="252" ht="15.75" customHeight="1">
      <c r="A252" s="216"/>
      <c r="B252" s="156"/>
      <c r="C252" s="156"/>
      <c r="D252" s="156"/>
      <c r="E252" s="392"/>
      <c r="F252" s="392"/>
      <c r="G252" s="392"/>
      <c r="H252" s="392"/>
      <c r="I252" s="392"/>
      <c r="J252" s="392"/>
      <c r="K252" s="392"/>
      <c r="L252" s="392"/>
      <c r="M252" s="392"/>
      <c r="N252" s="392"/>
      <c r="O252" s="392"/>
      <c r="P252" s="392"/>
      <c r="Q252" s="392"/>
      <c r="R252" s="392"/>
      <c r="S252" s="392"/>
      <c r="T252" s="392"/>
      <c r="U252" s="392"/>
      <c r="V252" s="392"/>
      <c r="W252" s="392"/>
      <c r="X252" s="392"/>
      <c r="Y252" s="392"/>
      <c r="Z252" s="392"/>
      <c r="AA252" s="392"/>
      <c r="AB252" s="392"/>
      <c r="AC252" s="392"/>
      <c r="AD252" s="392"/>
      <c r="AE252" s="392"/>
      <c r="AF252" s="392"/>
    </row>
    <row r="253" ht="15.75" customHeight="1">
      <c r="A253" s="216"/>
      <c r="B253" s="156"/>
      <c r="C253" s="156"/>
      <c r="D253" s="156"/>
      <c r="E253" s="392"/>
      <c r="F253" s="392"/>
      <c r="G253" s="392"/>
      <c r="H253" s="392"/>
      <c r="I253" s="392"/>
      <c r="J253" s="392"/>
      <c r="K253" s="392"/>
      <c r="L253" s="392"/>
      <c r="M253" s="392"/>
      <c r="N253" s="392"/>
      <c r="O253" s="392"/>
      <c r="P253" s="392"/>
      <c r="Q253" s="392"/>
      <c r="R253" s="392"/>
      <c r="S253" s="392"/>
      <c r="T253" s="392"/>
      <c r="U253" s="392"/>
      <c r="V253" s="392"/>
      <c r="W253" s="392"/>
      <c r="X253" s="392"/>
      <c r="Y253" s="392"/>
      <c r="Z253" s="392"/>
      <c r="AA253" s="392"/>
      <c r="AB253" s="392"/>
      <c r="AC253" s="392"/>
      <c r="AD253" s="392"/>
      <c r="AE253" s="392"/>
      <c r="AF253" s="392"/>
    </row>
    <row r="254" ht="15.75" customHeight="1">
      <c r="A254" s="216"/>
      <c r="B254" s="156"/>
      <c r="C254" s="156"/>
      <c r="D254" s="156"/>
      <c r="E254" s="392"/>
      <c r="F254" s="392"/>
      <c r="G254" s="392"/>
      <c r="H254" s="392"/>
      <c r="I254" s="392"/>
      <c r="J254" s="392"/>
      <c r="K254" s="392"/>
      <c r="L254" s="392"/>
      <c r="M254" s="392"/>
      <c r="N254" s="392"/>
      <c r="O254" s="392"/>
      <c r="P254" s="392"/>
      <c r="Q254" s="392"/>
      <c r="R254" s="392"/>
      <c r="S254" s="392"/>
      <c r="T254" s="392"/>
      <c r="U254" s="392"/>
      <c r="V254" s="392"/>
      <c r="W254" s="392"/>
      <c r="X254" s="392"/>
      <c r="Y254" s="392"/>
      <c r="Z254" s="392"/>
      <c r="AA254" s="392"/>
      <c r="AB254" s="392"/>
      <c r="AC254" s="392"/>
      <c r="AD254" s="392"/>
      <c r="AE254" s="392"/>
      <c r="AF254" s="392"/>
    </row>
    <row r="255" ht="15.75" customHeight="1">
      <c r="A255" s="216"/>
      <c r="B255" s="156"/>
      <c r="C255" s="156"/>
      <c r="D255" s="156"/>
      <c r="E255" s="392"/>
      <c r="F255" s="392"/>
      <c r="G255" s="392"/>
      <c r="H255" s="392"/>
      <c r="I255" s="392"/>
      <c r="J255" s="392"/>
      <c r="K255" s="392"/>
      <c r="L255" s="392"/>
      <c r="M255" s="392"/>
      <c r="N255" s="392"/>
      <c r="O255" s="392"/>
      <c r="P255" s="392"/>
      <c r="Q255" s="392"/>
      <c r="R255" s="392"/>
      <c r="S255" s="392"/>
      <c r="T255" s="392"/>
      <c r="U255" s="392"/>
      <c r="V255" s="392"/>
      <c r="W255" s="392"/>
      <c r="X255" s="392"/>
      <c r="Y255" s="392"/>
      <c r="Z255" s="392"/>
      <c r="AA255" s="392"/>
      <c r="AB255" s="392"/>
      <c r="AC255" s="392"/>
      <c r="AD255" s="392"/>
      <c r="AE255" s="392"/>
      <c r="AF255" s="392"/>
    </row>
    <row r="256" ht="15.75" customHeight="1">
      <c r="A256" s="216"/>
      <c r="B256" s="156"/>
      <c r="C256" s="156"/>
      <c r="D256" s="156"/>
      <c r="E256" s="392"/>
      <c r="F256" s="392"/>
      <c r="G256" s="392"/>
      <c r="H256" s="392"/>
      <c r="I256" s="392"/>
      <c r="J256" s="392"/>
      <c r="K256" s="392"/>
      <c r="L256" s="392"/>
      <c r="M256" s="392"/>
      <c r="N256" s="392"/>
      <c r="O256" s="392"/>
      <c r="P256" s="392"/>
      <c r="Q256" s="392"/>
      <c r="R256" s="392"/>
      <c r="S256" s="392"/>
      <c r="T256" s="392"/>
      <c r="U256" s="392"/>
      <c r="V256" s="392"/>
      <c r="W256" s="392"/>
      <c r="X256" s="392"/>
      <c r="Y256" s="392"/>
      <c r="Z256" s="392"/>
      <c r="AA256" s="392"/>
      <c r="AB256" s="392"/>
      <c r="AC256" s="392"/>
      <c r="AD256" s="392"/>
      <c r="AE256" s="392"/>
      <c r="AF256" s="392"/>
    </row>
    <row r="257" ht="15.75" customHeight="1">
      <c r="A257" s="216"/>
      <c r="B257" s="156"/>
      <c r="C257" s="156"/>
      <c r="D257" s="156"/>
      <c r="E257" s="392"/>
      <c r="F257" s="392"/>
      <c r="G257" s="392"/>
      <c r="H257" s="392"/>
      <c r="I257" s="392"/>
      <c r="J257" s="392"/>
      <c r="K257" s="392"/>
      <c r="L257" s="392"/>
      <c r="M257" s="392"/>
      <c r="N257" s="392"/>
      <c r="O257" s="392"/>
      <c r="P257" s="392"/>
      <c r="Q257" s="392"/>
      <c r="R257" s="392"/>
      <c r="S257" s="392"/>
      <c r="T257" s="392"/>
      <c r="U257" s="392"/>
      <c r="V257" s="392"/>
      <c r="W257" s="392"/>
      <c r="X257" s="392"/>
      <c r="Y257" s="392"/>
      <c r="Z257" s="392"/>
      <c r="AA257" s="392"/>
      <c r="AB257" s="392"/>
      <c r="AC257" s="392"/>
      <c r="AD257" s="392"/>
      <c r="AE257" s="392"/>
      <c r="AF257" s="392"/>
    </row>
    <row r="258" ht="15.75" customHeight="1">
      <c r="A258" s="216"/>
      <c r="B258" s="156"/>
      <c r="C258" s="156"/>
      <c r="D258" s="156"/>
      <c r="E258" s="392"/>
      <c r="F258" s="392"/>
      <c r="G258" s="392"/>
      <c r="H258" s="392"/>
      <c r="I258" s="392"/>
      <c r="J258" s="392"/>
      <c r="K258" s="392"/>
      <c r="L258" s="392"/>
      <c r="M258" s="392"/>
      <c r="N258" s="392"/>
      <c r="O258" s="392"/>
      <c r="P258" s="392"/>
      <c r="Q258" s="392"/>
      <c r="R258" s="392"/>
      <c r="S258" s="392"/>
      <c r="T258" s="392"/>
      <c r="U258" s="392"/>
      <c r="V258" s="392"/>
      <c r="W258" s="392"/>
      <c r="X258" s="392"/>
      <c r="Y258" s="392"/>
      <c r="Z258" s="392"/>
      <c r="AA258" s="392"/>
      <c r="AB258" s="392"/>
      <c r="AC258" s="392"/>
      <c r="AD258" s="392"/>
      <c r="AE258" s="392"/>
      <c r="AF258" s="392"/>
    </row>
    <row r="259" ht="15.75" customHeight="1">
      <c r="A259" s="216"/>
      <c r="B259" s="156"/>
      <c r="C259" s="156"/>
      <c r="D259" s="156"/>
      <c r="E259" s="392"/>
      <c r="F259" s="392"/>
      <c r="G259" s="392"/>
      <c r="H259" s="392"/>
      <c r="I259" s="392"/>
      <c r="J259" s="392"/>
      <c r="K259" s="392"/>
      <c r="L259" s="392"/>
      <c r="M259" s="392"/>
      <c r="N259" s="392"/>
      <c r="O259" s="392"/>
      <c r="P259" s="392"/>
      <c r="Q259" s="392"/>
      <c r="R259" s="392"/>
      <c r="S259" s="392"/>
      <c r="T259" s="392"/>
      <c r="U259" s="392"/>
      <c r="V259" s="392"/>
      <c r="W259" s="392"/>
      <c r="X259" s="392"/>
      <c r="Y259" s="392"/>
      <c r="Z259" s="392"/>
      <c r="AA259" s="392"/>
      <c r="AB259" s="392"/>
      <c r="AC259" s="392"/>
      <c r="AD259" s="392"/>
      <c r="AE259" s="392"/>
      <c r="AF259" s="392"/>
    </row>
    <row r="260" ht="15.75" customHeight="1">
      <c r="A260" s="216"/>
      <c r="B260" s="156"/>
      <c r="C260" s="156"/>
      <c r="D260" s="156"/>
      <c r="E260" s="392"/>
      <c r="F260" s="392"/>
      <c r="G260" s="392"/>
      <c r="H260" s="392"/>
      <c r="I260" s="392"/>
      <c r="J260" s="392"/>
      <c r="K260" s="392"/>
      <c r="L260" s="392"/>
      <c r="M260" s="392"/>
      <c r="N260" s="392"/>
      <c r="O260" s="392"/>
      <c r="P260" s="392"/>
      <c r="Q260" s="392"/>
      <c r="R260" s="392"/>
      <c r="S260" s="392"/>
      <c r="T260" s="392"/>
      <c r="U260" s="392"/>
      <c r="V260" s="392"/>
      <c r="W260" s="392"/>
      <c r="X260" s="392"/>
      <c r="Y260" s="392"/>
      <c r="Z260" s="392"/>
      <c r="AA260" s="392"/>
      <c r="AB260" s="392"/>
      <c r="AC260" s="392"/>
      <c r="AD260" s="392"/>
      <c r="AE260" s="392"/>
      <c r="AF260" s="392"/>
    </row>
    <row r="261" ht="15.75" customHeight="1">
      <c r="A261" s="216"/>
      <c r="B261" s="156"/>
      <c r="C261" s="156"/>
      <c r="D261" s="156"/>
      <c r="E261" s="392"/>
      <c r="F261" s="392"/>
      <c r="G261" s="392"/>
      <c r="H261" s="392"/>
      <c r="I261" s="392"/>
      <c r="J261" s="392"/>
      <c r="K261" s="392"/>
      <c r="L261" s="392"/>
      <c r="M261" s="392"/>
      <c r="N261" s="392"/>
      <c r="O261" s="392"/>
      <c r="P261" s="392"/>
      <c r="Q261" s="392"/>
      <c r="R261" s="392"/>
      <c r="S261" s="392"/>
      <c r="T261" s="392"/>
      <c r="U261" s="392"/>
      <c r="V261" s="392"/>
      <c r="W261" s="392"/>
      <c r="X261" s="392"/>
      <c r="Y261" s="392"/>
      <c r="Z261" s="392"/>
      <c r="AA261" s="392"/>
      <c r="AB261" s="392"/>
      <c r="AC261" s="392"/>
      <c r="AD261" s="392"/>
      <c r="AE261" s="392"/>
      <c r="AF261" s="392"/>
    </row>
    <row r="262" ht="15.75" customHeight="1">
      <c r="A262" s="216"/>
      <c r="B262" s="156"/>
      <c r="C262" s="156"/>
      <c r="D262" s="156"/>
      <c r="E262" s="392"/>
      <c r="F262" s="392"/>
      <c r="G262" s="392"/>
      <c r="H262" s="392"/>
      <c r="I262" s="392"/>
      <c r="J262" s="392"/>
      <c r="K262" s="392"/>
      <c r="L262" s="392"/>
      <c r="M262" s="392"/>
      <c r="N262" s="392"/>
      <c r="O262" s="392"/>
      <c r="P262" s="392"/>
      <c r="Q262" s="392"/>
      <c r="R262" s="392"/>
      <c r="S262" s="392"/>
      <c r="T262" s="392"/>
      <c r="U262" s="392"/>
      <c r="V262" s="392"/>
      <c r="W262" s="392"/>
      <c r="X262" s="392"/>
      <c r="Y262" s="392"/>
      <c r="Z262" s="392"/>
      <c r="AA262" s="392"/>
      <c r="AB262" s="392"/>
      <c r="AC262" s="392"/>
      <c r="AD262" s="392"/>
      <c r="AE262" s="392"/>
      <c r="AF262" s="392"/>
    </row>
    <row r="263" ht="15.75" customHeight="1">
      <c r="A263" s="216"/>
      <c r="B263" s="156"/>
      <c r="C263" s="156"/>
      <c r="D263" s="156"/>
      <c r="E263" s="392"/>
      <c r="F263" s="392"/>
      <c r="G263" s="392"/>
      <c r="H263" s="392"/>
      <c r="I263" s="392"/>
      <c r="J263" s="392"/>
      <c r="K263" s="392"/>
      <c r="L263" s="392"/>
      <c r="M263" s="392"/>
      <c r="N263" s="392"/>
      <c r="O263" s="392"/>
      <c r="P263" s="392"/>
      <c r="Q263" s="392"/>
      <c r="R263" s="392"/>
      <c r="S263" s="392"/>
      <c r="T263" s="392"/>
      <c r="U263" s="392"/>
      <c r="V263" s="392"/>
      <c r="W263" s="392"/>
      <c r="X263" s="392"/>
      <c r="Y263" s="392"/>
      <c r="Z263" s="392"/>
      <c r="AA263" s="392"/>
      <c r="AB263" s="392"/>
      <c r="AC263" s="392"/>
      <c r="AD263" s="392"/>
      <c r="AE263" s="392"/>
      <c r="AF263" s="392"/>
    </row>
    <row r="264" ht="15.75" customHeight="1">
      <c r="A264" s="216"/>
      <c r="B264" s="156"/>
      <c r="C264" s="156"/>
      <c r="D264" s="156"/>
      <c r="E264" s="392"/>
      <c r="F264" s="392"/>
      <c r="G264" s="392"/>
      <c r="H264" s="392"/>
      <c r="I264" s="392"/>
      <c r="J264" s="392"/>
      <c r="K264" s="392"/>
      <c r="L264" s="392"/>
      <c r="M264" s="392"/>
      <c r="N264" s="392"/>
      <c r="O264" s="392"/>
      <c r="P264" s="392"/>
      <c r="Q264" s="392"/>
      <c r="R264" s="392"/>
      <c r="S264" s="392"/>
      <c r="T264" s="392"/>
      <c r="U264" s="392"/>
      <c r="V264" s="392"/>
      <c r="W264" s="392"/>
      <c r="X264" s="392"/>
      <c r="Y264" s="392"/>
      <c r="Z264" s="392"/>
      <c r="AA264" s="392"/>
      <c r="AB264" s="392"/>
      <c r="AC264" s="392"/>
      <c r="AD264" s="392"/>
      <c r="AE264" s="392"/>
      <c r="AF264" s="392"/>
    </row>
    <row r="265" ht="15.75" customHeight="1">
      <c r="A265" s="216"/>
      <c r="B265" s="156"/>
      <c r="C265" s="156"/>
      <c r="D265" s="156"/>
      <c r="E265" s="392"/>
      <c r="F265" s="392"/>
      <c r="G265" s="392"/>
      <c r="H265" s="392"/>
      <c r="I265" s="392"/>
      <c r="J265" s="392"/>
      <c r="K265" s="392"/>
      <c r="L265" s="392"/>
      <c r="M265" s="392"/>
      <c r="N265" s="392"/>
      <c r="O265" s="392"/>
      <c r="P265" s="392"/>
      <c r="Q265" s="392"/>
      <c r="R265" s="392"/>
      <c r="S265" s="392"/>
      <c r="T265" s="392"/>
      <c r="U265" s="392"/>
      <c r="V265" s="392"/>
      <c r="W265" s="392"/>
      <c r="X265" s="392"/>
      <c r="Y265" s="392"/>
      <c r="Z265" s="392"/>
      <c r="AA265" s="392"/>
      <c r="AB265" s="392"/>
      <c r="AC265" s="392"/>
      <c r="AD265" s="392"/>
      <c r="AE265" s="392"/>
      <c r="AF265" s="392"/>
    </row>
    <row r="266" ht="15.75" customHeight="1">
      <c r="A266" s="216"/>
      <c r="B266" s="156"/>
      <c r="C266" s="156"/>
      <c r="D266" s="156"/>
      <c r="E266" s="392"/>
      <c r="F266" s="392"/>
      <c r="G266" s="392"/>
      <c r="H266" s="392"/>
      <c r="I266" s="392"/>
      <c r="J266" s="392"/>
      <c r="K266" s="392"/>
      <c r="L266" s="392"/>
      <c r="M266" s="392"/>
      <c r="N266" s="392"/>
      <c r="O266" s="392"/>
      <c r="P266" s="392"/>
      <c r="Q266" s="392"/>
      <c r="R266" s="392"/>
      <c r="S266" s="392"/>
      <c r="T266" s="392"/>
      <c r="U266" s="392"/>
      <c r="V266" s="392"/>
      <c r="W266" s="392"/>
      <c r="X266" s="392"/>
      <c r="Y266" s="392"/>
      <c r="Z266" s="392"/>
      <c r="AA266" s="392"/>
      <c r="AB266" s="392"/>
      <c r="AC266" s="392"/>
      <c r="AD266" s="392"/>
      <c r="AE266" s="392"/>
      <c r="AF266" s="392"/>
    </row>
    <row r="267" ht="15.75" customHeight="1">
      <c r="A267" s="216"/>
      <c r="B267" s="156"/>
      <c r="C267" s="156"/>
      <c r="D267" s="156"/>
      <c r="E267" s="392"/>
      <c r="F267" s="392"/>
      <c r="G267" s="392"/>
      <c r="H267" s="392"/>
      <c r="I267" s="392"/>
      <c r="J267" s="392"/>
      <c r="K267" s="392"/>
      <c r="L267" s="392"/>
      <c r="M267" s="392"/>
      <c r="N267" s="392"/>
      <c r="O267" s="392"/>
      <c r="P267" s="392"/>
      <c r="Q267" s="392"/>
      <c r="R267" s="392"/>
      <c r="S267" s="392"/>
      <c r="T267" s="392"/>
      <c r="U267" s="392"/>
      <c r="V267" s="392"/>
      <c r="W267" s="392"/>
      <c r="X267" s="392"/>
      <c r="Y267" s="392"/>
      <c r="Z267" s="392"/>
      <c r="AA267" s="392"/>
      <c r="AB267" s="392"/>
      <c r="AC267" s="392"/>
      <c r="AD267" s="392"/>
      <c r="AE267" s="392"/>
      <c r="AF267" s="392"/>
    </row>
    <row r="268" ht="15.75" customHeight="1">
      <c r="A268" s="216"/>
      <c r="B268" s="156"/>
      <c r="C268" s="156"/>
      <c r="D268" s="156"/>
      <c r="E268" s="392"/>
      <c r="F268" s="392"/>
      <c r="G268" s="392"/>
      <c r="H268" s="392"/>
      <c r="I268" s="392"/>
      <c r="J268" s="392"/>
      <c r="K268" s="392"/>
      <c r="L268" s="392"/>
      <c r="M268" s="392"/>
      <c r="N268" s="392"/>
      <c r="O268" s="392"/>
      <c r="P268" s="392"/>
      <c r="Q268" s="392"/>
      <c r="R268" s="392"/>
      <c r="S268" s="392"/>
      <c r="T268" s="392"/>
      <c r="U268" s="392"/>
      <c r="V268" s="392"/>
      <c r="W268" s="392"/>
      <c r="X268" s="392"/>
      <c r="Y268" s="392"/>
      <c r="Z268" s="392"/>
      <c r="AA268" s="392"/>
      <c r="AB268" s="392"/>
      <c r="AC268" s="392"/>
      <c r="AD268" s="392"/>
      <c r="AE268" s="392"/>
      <c r="AF268" s="392"/>
    </row>
    <row r="269" ht="15.75" customHeight="1">
      <c r="A269" s="216"/>
      <c r="B269" s="156"/>
      <c r="C269" s="156"/>
      <c r="D269" s="156"/>
      <c r="E269" s="392"/>
      <c r="F269" s="392"/>
      <c r="G269" s="392"/>
      <c r="H269" s="392"/>
      <c r="I269" s="392"/>
      <c r="J269" s="392"/>
      <c r="K269" s="392"/>
      <c r="L269" s="392"/>
      <c r="M269" s="392"/>
      <c r="N269" s="392"/>
      <c r="O269" s="392"/>
      <c r="P269" s="392"/>
      <c r="Q269" s="392"/>
      <c r="R269" s="392"/>
      <c r="S269" s="392"/>
      <c r="T269" s="392"/>
      <c r="U269" s="392"/>
      <c r="V269" s="392"/>
      <c r="W269" s="392"/>
      <c r="X269" s="392"/>
      <c r="Y269" s="392"/>
      <c r="Z269" s="392"/>
      <c r="AA269" s="392"/>
      <c r="AB269" s="392"/>
      <c r="AC269" s="392"/>
      <c r="AD269" s="392"/>
      <c r="AE269" s="392"/>
      <c r="AF269" s="392"/>
    </row>
    <row r="270" ht="15.75" customHeight="1">
      <c r="A270" s="216"/>
      <c r="B270" s="156"/>
      <c r="C270" s="156"/>
      <c r="D270" s="156"/>
      <c r="E270" s="392"/>
      <c r="F270" s="392"/>
      <c r="G270" s="392"/>
      <c r="H270" s="392"/>
      <c r="I270" s="392"/>
      <c r="J270" s="392"/>
      <c r="K270" s="392"/>
      <c r="L270" s="392"/>
      <c r="M270" s="392"/>
      <c r="N270" s="392"/>
      <c r="O270" s="392"/>
      <c r="P270" s="392"/>
      <c r="Q270" s="392"/>
      <c r="R270" s="392"/>
      <c r="S270" s="392"/>
      <c r="T270" s="392"/>
      <c r="U270" s="392"/>
      <c r="V270" s="392"/>
      <c r="W270" s="392"/>
      <c r="X270" s="392"/>
      <c r="Y270" s="392"/>
      <c r="Z270" s="392"/>
      <c r="AA270" s="392"/>
      <c r="AB270" s="392"/>
      <c r="AC270" s="392"/>
      <c r="AD270" s="392"/>
      <c r="AE270" s="392"/>
      <c r="AF270" s="392"/>
    </row>
    <row r="271" ht="15.75" customHeight="1">
      <c r="A271" s="216"/>
      <c r="B271" s="156"/>
      <c r="C271" s="156"/>
      <c r="D271" s="156"/>
      <c r="E271" s="392"/>
      <c r="F271" s="392"/>
      <c r="G271" s="392"/>
      <c r="H271" s="392"/>
      <c r="I271" s="392"/>
      <c r="J271" s="392"/>
      <c r="K271" s="392"/>
      <c r="L271" s="392"/>
      <c r="M271" s="392"/>
      <c r="N271" s="392"/>
      <c r="O271" s="392"/>
      <c r="P271" s="392"/>
      <c r="Q271" s="392"/>
      <c r="R271" s="392"/>
      <c r="S271" s="392"/>
      <c r="T271" s="392"/>
      <c r="U271" s="392"/>
      <c r="V271" s="392"/>
      <c r="W271" s="392"/>
      <c r="X271" s="392"/>
      <c r="Y271" s="392"/>
      <c r="Z271" s="392"/>
      <c r="AA271" s="392"/>
      <c r="AB271" s="392"/>
      <c r="AC271" s="392"/>
      <c r="AD271" s="392"/>
      <c r="AE271" s="392"/>
      <c r="AF271" s="392"/>
    </row>
    <row r="272" ht="15.75" customHeight="1">
      <c r="A272" s="216"/>
      <c r="B272" s="156"/>
      <c r="C272" s="156"/>
      <c r="D272" s="156"/>
      <c r="E272" s="392"/>
      <c r="F272" s="392"/>
      <c r="G272" s="392"/>
      <c r="H272" s="392"/>
      <c r="I272" s="392"/>
      <c r="J272" s="392"/>
      <c r="K272" s="392"/>
      <c r="L272" s="392"/>
      <c r="M272" s="392"/>
      <c r="N272" s="392"/>
      <c r="O272" s="392"/>
      <c r="P272" s="392"/>
      <c r="Q272" s="392"/>
      <c r="R272" s="392"/>
      <c r="S272" s="392"/>
      <c r="T272" s="392"/>
      <c r="U272" s="392"/>
      <c r="V272" s="392"/>
      <c r="W272" s="392"/>
      <c r="X272" s="392"/>
      <c r="Y272" s="392"/>
      <c r="Z272" s="392"/>
      <c r="AA272" s="392"/>
      <c r="AB272" s="392"/>
      <c r="AC272" s="392"/>
      <c r="AD272" s="392"/>
      <c r="AE272" s="392"/>
      <c r="AF272" s="392"/>
    </row>
    <row r="273" ht="15.75" customHeight="1">
      <c r="A273" s="216"/>
      <c r="B273" s="156"/>
      <c r="C273" s="156"/>
      <c r="D273" s="156"/>
      <c r="E273" s="392"/>
      <c r="F273" s="392"/>
      <c r="G273" s="392"/>
      <c r="H273" s="392"/>
      <c r="I273" s="392"/>
      <c r="J273" s="392"/>
      <c r="K273" s="392"/>
      <c r="L273" s="392"/>
      <c r="M273" s="392"/>
      <c r="N273" s="392"/>
      <c r="O273" s="392"/>
      <c r="P273" s="392"/>
      <c r="Q273" s="392"/>
      <c r="R273" s="392"/>
      <c r="S273" s="392"/>
      <c r="T273" s="392"/>
      <c r="U273" s="392"/>
      <c r="V273" s="392"/>
      <c r="W273" s="392"/>
      <c r="X273" s="392"/>
      <c r="Y273" s="392"/>
      <c r="Z273" s="392"/>
      <c r="AA273" s="392"/>
      <c r="AB273" s="392"/>
      <c r="AC273" s="392"/>
      <c r="AD273" s="392"/>
      <c r="AE273" s="392"/>
      <c r="AF273" s="392"/>
    </row>
    <row r="274" ht="15.75" customHeight="1">
      <c r="A274" s="216"/>
      <c r="B274" s="156"/>
      <c r="C274" s="156"/>
      <c r="D274" s="156"/>
      <c r="E274" s="392"/>
      <c r="F274" s="392"/>
      <c r="G274" s="392"/>
      <c r="H274" s="392"/>
      <c r="I274" s="392"/>
      <c r="J274" s="392"/>
      <c r="K274" s="392"/>
      <c r="L274" s="392"/>
      <c r="M274" s="392"/>
      <c r="N274" s="392"/>
      <c r="O274" s="392"/>
      <c r="P274" s="392"/>
      <c r="Q274" s="392"/>
      <c r="R274" s="392"/>
      <c r="S274" s="392"/>
      <c r="T274" s="392"/>
      <c r="U274" s="392"/>
      <c r="V274" s="392"/>
      <c r="W274" s="392"/>
      <c r="X274" s="392"/>
      <c r="Y274" s="392"/>
      <c r="Z274" s="392"/>
      <c r="AA274" s="392"/>
      <c r="AB274" s="392"/>
      <c r="AC274" s="392"/>
      <c r="AD274" s="392"/>
      <c r="AE274" s="392"/>
      <c r="AF274" s="392"/>
    </row>
    <row r="275" ht="15.75" customHeight="1">
      <c r="A275" s="216"/>
      <c r="B275" s="156"/>
      <c r="C275" s="156"/>
      <c r="D275" s="156"/>
      <c r="E275" s="392"/>
      <c r="F275" s="392"/>
      <c r="G275" s="392"/>
      <c r="H275" s="392"/>
      <c r="I275" s="392"/>
      <c r="J275" s="392"/>
      <c r="K275" s="392"/>
      <c r="L275" s="392"/>
      <c r="M275" s="392"/>
      <c r="N275" s="392"/>
      <c r="O275" s="392"/>
      <c r="P275" s="392"/>
      <c r="Q275" s="392"/>
      <c r="R275" s="392"/>
      <c r="S275" s="392"/>
      <c r="T275" s="392"/>
      <c r="U275" s="392"/>
      <c r="V275" s="392"/>
      <c r="W275" s="392"/>
      <c r="X275" s="392"/>
      <c r="Y275" s="392"/>
      <c r="Z275" s="392"/>
      <c r="AA275" s="392"/>
      <c r="AB275" s="392"/>
      <c r="AC275" s="392"/>
      <c r="AD275" s="392"/>
      <c r="AE275" s="392"/>
      <c r="AF275" s="392"/>
    </row>
    <row r="276" ht="15.75" customHeight="1">
      <c r="A276" s="216"/>
      <c r="B276" s="156"/>
      <c r="C276" s="156"/>
      <c r="D276" s="156"/>
      <c r="E276" s="392"/>
      <c r="F276" s="392"/>
      <c r="G276" s="392"/>
      <c r="H276" s="392"/>
      <c r="I276" s="392"/>
      <c r="J276" s="392"/>
      <c r="K276" s="392"/>
      <c r="L276" s="392"/>
      <c r="M276" s="392"/>
      <c r="N276" s="392"/>
      <c r="O276" s="392"/>
      <c r="P276" s="392"/>
      <c r="Q276" s="392"/>
      <c r="R276" s="392"/>
      <c r="S276" s="392"/>
      <c r="T276" s="392"/>
      <c r="U276" s="392"/>
      <c r="V276" s="392"/>
      <c r="W276" s="392"/>
      <c r="X276" s="392"/>
      <c r="Y276" s="392"/>
      <c r="Z276" s="392"/>
      <c r="AA276" s="392"/>
      <c r="AB276" s="392"/>
      <c r="AC276" s="392"/>
      <c r="AD276" s="392"/>
      <c r="AE276" s="392"/>
      <c r="AF276" s="392"/>
    </row>
    <row r="277" ht="15.75" customHeight="1">
      <c r="A277" s="216"/>
      <c r="B277" s="156"/>
      <c r="C277" s="156"/>
      <c r="D277" s="156"/>
      <c r="E277" s="392"/>
      <c r="F277" s="392"/>
      <c r="G277" s="392"/>
      <c r="H277" s="392"/>
      <c r="I277" s="392"/>
      <c r="J277" s="392"/>
      <c r="K277" s="392"/>
      <c r="L277" s="392"/>
      <c r="M277" s="392"/>
      <c r="N277" s="392"/>
      <c r="O277" s="392"/>
      <c r="P277" s="392"/>
      <c r="Q277" s="392"/>
      <c r="R277" s="392"/>
      <c r="S277" s="392"/>
      <c r="T277" s="392"/>
      <c r="U277" s="392"/>
      <c r="V277" s="392"/>
      <c r="W277" s="392"/>
      <c r="X277" s="392"/>
      <c r="Y277" s="392"/>
      <c r="Z277" s="392"/>
      <c r="AA277" s="392"/>
      <c r="AB277" s="392"/>
      <c r="AC277" s="392"/>
      <c r="AD277" s="392"/>
      <c r="AE277" s="392"/>
      <c r="AF277" s="392"/>
    </row>
    <row r="278" ht="15.75" customHeight="1">
      <c r="A278" s="216"/>
      <c r="B278" s="156"/>
      <c r="C278" s="156"/>
      <c r="D278" s="156"/>
      <c r="E278" s="392"/>
      <c r="F278" s="392"/>
      <c r="G278" s="392"/>
      <c r="H278" s="392"/>
      <c r="I278" s="392"/>
      <c r="J278" s="392"/>
      <c r="K278" s="392"/>
      <c r="L278" s="392"/>
      <c r="M278" s="392"/>
      <c r="N278" s="392"/>
      <c r="O278" s="392"/>
      <c r="P278" s="392"/>
      <c r="Q278" s="392"/>
      <c r="R278" s="392"/>
      <c r="S278" s="392"/>
      <c r="T278" s="392"/>
      <c r="U278" s="392"/>
      <c r="V278" s="392"/>
      <c r="W278" s="392"/>
      <c r="X278" s="392"/>
      <c r="Y278" s="392"/>
      <c r="Z278" s="392"/>
      <c r="AA278" s="392"/>
      <c r="AB278" s="392"/>
      <c r="AC278" s="392"/>
      <c r="AD278" s="392"/>
      <c r="AE278" s="392"/>
      <c r="AF278" s="392"/>
    </row>
    <row r="279" ht="15.75" customHeight="1">
      <c r="A279" s="216"/>
      <c r="B279" s="156"/>
      <c r="C279" s="156"/>
      <c r="D279" s="156"/>
      <c r="E279" s="392"/>
      <c r="F279" s="392"/>
      <c r="G279" s="392"/>
      <c r="H279" s="392"/>
      <c r="I279" s="392"/>
      <c r="J279" s="392"/>
      <c r="K279" s="392"/>
      <c r="L279" s="392"/>
      <c r="M279" s="392"/>
      <c r="N279" s="392"/>
      <c r="O279" s="392"/>
      <c r="P279" s="392"/>
      <c r="Q279" s="392"/>
      <c r="R279" s="392"/>
      <c r="S279" s="392"/>
      <c r="T279" s="392"/>
      <c r="U279" s="392"/>
      <c r="V279" s="392"/>
      <c r="W279" s="392"/>
      <c r="X279" s="392"/>
      <c r="Y279" s="392"/>
      <c r="Z279" s="392"/>
      <c r="AA279" s="392"/>
      <c r="AB279" s="392"/>
      <c r="AC279" s="392"/>
      <c r="AD279" s="392"/>
      <c r="AE279" s="392"/>
      <c r="AF279" s="392"/>
    </row>
    <row r="280" ht="15.75" customHeight="1">
      <c r="A280" s="216"/>
      <c r="B280" s="156"/>
      <c r="C280" s="156"/>
      <c r="D280" s="156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392"/>
      <c r="Q280" s="392"/>
      <c r="R280" s="392"/>
      <c r="S280" s="392"/>
      <c r="T280" s="392"/>
      <c r="U280" s="392"/>
      <c r="V280" s="392"/>
      <c r="W280" s="392"/>
      <c r="X280" s="392"/>
      <c r="Y280" s="392"/>
      <c r="Z280" s="392"/>
      <c r="AA280" s="392"/>
      <c r="AB280" s="392"/>
      <c r="AC280" s="392"/>
      <c r="AD280" s="392"/>
      <c r="AE280" s="392"/>
      <c r="AF280" s="392"/>
    </row>
    <row r="281" ht="15.75" customHeight="1">
      <c r="A281" s="216"/>
      <c r="B281" s="156"/>
      <c r="C281" s="156"/>
      <c r="D281" s="156"/>
      <c r="E281" s="392"/>
      <c r="F281" s="392"/>
      <c r="G281" s="392"/>
      <c r="H281" s="392"/>
      <c r="I281" s="392"/>
      <c r="J281" s="392"/>
      <c r="K281" s="392"/>
      <c r="L281" s="392"/>
      <c r="M281" s="392"/>
      <c r="N281" s="392"/>
      <c r="O281" s="392"/>
      <c r="P281" s="392"/>
      <c r="Q281" s="392"/>
      <c r="R281" s="392"/>
      <c r="S281" s="392"/>
      <c r="T281" s="392"/>
      <c r="U281" s="392"/>
      <c r="V281" s="392"/>
      <c r="W281" s="392"/>
      <c r="X281" s="392"/>
      <c r="Y281" s="392"/>
      <c r="Z281" s="392"/>
      <c r="AA281" s="392"/>
      <c r="AB281" s="392"/>
      <c r="AC281" s="392"/>
      <c r="AD281" s="392"/>
      <c r="AE281" s="392"/>
      <c r="AF281" s="392"/>
    </row>
    <row r="282" ht="15.75" customHeight="1">
      <c r="A282" s="216"/>
      <c r="B282" s="156"/>
      <c r="C282" s="156"/>
      <c r="D282" s="156"/>
      <c r="E282" s="392"/>
      <c r="F282" s="392"/>
      <c r="G282" s="392"/>
      <c r="H282" s="392"/>
      <c r="I282" s="392"/>
      <c r="J282" s="392"/>
      <c r="K282" s="392"/>
      <c r="L282" s="392"/>
      <c r="M282" s="392"/>
      <c r="N282" s="392"/>
      <c r="O282" s="392"/>
      <c r="P282" s="392"/>
      <c r="Q282" s="392"/>
      <c r="R282" s="392"/>
      <c r="S282" s="392"/>
      <c r="T282" s="392"/>
      <c r="U282" s="392"/>
      <c r="V282" s="392"/>
      <c r="W282" s="392"/>
      <c r="X282" s="392"/>
      <c r="Y282" s="392"/>
      <c r="Z282" s="392"/>
      <c r="AA282" s="392"/>
      <c r="AB282" s="392"/>
      <c r="AC282" s="392"/>
      <c r="AD282" s="392"/>
      <c r="AE282" s="392"/>
      <c r="AF282" s="392"/>
    </row>
    <row r="283" ht="15.75" customHeight="1">
      <c r="A283" s="216"/>
      <c r="B283" s="156"/>
      <c r="C283" s="156"/>
      <c r="D283" s="156"/>
      <c r="E283" s="392"/>
      <c r="F283" s="392"/>
      <c r="G283" s="392"/>
      <c r="H283" s="392"/>
      <c r="I283" s="392"/>
      <c r="J283" s="392"/>
      <c r="K283" s="392"/>
      <c r="L283" s="392"/>
      <c r="M283" s="392"/>
      <c r="N283" s="392"/>
      <c r="O283" s="392"/>
      <c r="P283" s="392"/>
      <c r="Q283" s="392"/>
      <c r="R283" s="392"/>
      <c r="S283" s="392"/>
      <c r="T283" s="392"/>
      <c r="U283" s="392"/>
      <c r="V283" s="392"/>
      <c r="W283" s="392"/>
      <c r="X283" s="392"/>
      <c r="Y283" s="392"/>
      <c r="Z283" s="392"/>
      <c r="AA283" s="392"/>
      <c r="AB283" s="392"/>
      <c r="AC283" s="392"/>
      <c r="AD283" s="392"/>
      <c r="AE283" s="392"/>
      <c r="AF283" s="392"/>
    </row>
    <row r="284" ht="15.75" customHeight="1">
      <c r="A284" s="216"/>
      <c r="B284" s="156"/>
      <c r="C284" s="156"/>
      <c r="D284" s="156"/>
      <c r="E284" s="392"/>
      <c r="F284" s="392"/>
      <c r="G284" s="392"/>
      <c r="H284" s="392"/>
      <c r="I284" s="392"/>
      <c r="J284" s="392"/>
      <c r="K284" s="392"/>
      <c r="L284" s="392"/>
      <c r="M284" s="392"/>
      <c r="N284" s="392"/>
      <c r="O284" s="392"/>
      <c r="P284" s="392"/>
      <c r="Q284" s="392"/>
      <c r="R284" s="392"/>
      <c r="S284" s="392"/>
      <c r="T284" s="392"/>
      <c r="U284" s="392"/>
      <c r="V284" s="392"/>
      <c r="W284" s="392"/>
      <c r="X284" s="392"/>
      <c r="Y284" s="392"/>
      <c r="Z284" s="392"/>
      <c r="AA284" s="392"/>
      <c r="AB284" s="392"/>
      <c r="AC284" s="392"/>
      <c r="AD284" s="392"/>
      <c r="AE284" s="392"/>
      <c r="AF284" s="392"/>
    </row>
    <row r="285" ht="15.75" customHeight="1">
      <c r="A285" s="216"/>
      <c r="B285" s="156"/>
      <c r="C285" s="156"/>
      <c r="D285" s="156"/>
      <c r="E285" s="392"/>
      <c r="F285" s="392"/>
      <c r="G285" s="392"/>
      <c r="H285" s="392"/>
      <c r="I285" s="392"/>
      <c r="J285" s="392"/>
      <c r="K285" s="392"/>
      <c r="L285" s="392"/>
      <c r="M285" s="392"/>
      <c r="N285" s="392"/>
      <c r="O285" s="392"/>
      <c r="P285" s="392"/>
      <c r="Q285" s="392"/>
      <c r="R285" s="392"/>
      <c r="S285" s="392"/>
      <c r="T285" s="392"/>
      <c r="U285" s="392"/>
      <c r="V285" s="392"/>
      <c r="W285" s="392"/>
      <c r="X285" s="392"/>
      <c r="Y285" s="392"/>
      <c r="Z285" s="392"/>
      <c r="AA285" s="392"/>
      <c r="AB285" s="392"/>
      <c r="AC285" s="392"/>
      <c r="AD285" s="392"/>
      <c r="AE285" s="392"/>
      <c r="AF285" s="392"/>
    </row>
    <row r="286" ht="15.75" customHeight="1">
      <c r="A286" s="216"/>
      <c r="B286" s="156"/>
      <c r="C286" s="156"/>
      <c r="D286" s="156"/>
      <c r="E286" s="392"/>
      <c r="F286" s="392"/>
      <c r="G286" s="392"/>
      <c r="H286" s="392"/>
      <c r="I286" s="392"/>
      <c r="J286" s="392"/>
      <c r="K286" s="392"/>
      <c r="L286" s="392"/>
      <c r="M286" s="392"/>
      <c r="N286" s="392"/>
      <c r="O286" s="392"/>
      <c r="P286" s="392"/>
      <c r="Q286" s="392"/>
      <c r="R286" s="392"/>
      <c r="S286" s="392"/>
      <c r="T286" s="392"/>
      <c r="U286" s="392"/>
      <c r="V286" s="392"/>
      <c r="W286" s="392"/>
      <c r="X286" s="392"/>
      <c r="Y286" s="392"/>
      <c r="Z286" s="392"/>
      <c r="AA286" s="392"/>
      <c r="AB286" s="392"/>
      <c r="AC286" s="392"/>
      <c r="AD286" s="392"/>
      <c r="AE286" s="392"/>
      <c r="AF286" s="392"/>
    </row>
    <row r="287" ht="15.75" customHeight="1">
      <c r="A287" s="216"/>
      <c r="B287" s="156"/>
      <c r="C287" s="156"/>
      <c r="D287" s="156"/>
      <c r="E287" s="392"/>
      <c r="F287" s="392"/>
      <c r="G287" s="392"/>
      <c r="H287" s="392"/>
      <c r="I287" s="392"/>
      <c r="J287" s="392"/>
      <c r="K287" s="392"/>
      <c r="L287" s="392"/>
      <c r="M287" s="392"/>
      <c r="N287" s="392"/>
      <c r="O287" s="392"/>
      <c r="P287" s="392"/>
      <c r="Q287" s="392"/>
      <c r="R287" s="392"/>
      <c r="S287" s="392"/>
      <c r="T287" s="392"/>
      <c r="U287" s="392"/>
      <c r="V287" s="392"/>
      <c r="W287" s="392"/>
      <c r="X287" s="392"/>
      <c r="Y287" s="392"/>
      <c r="Z287" s="392"/>
      <c r="AA287" s="392"/>
      <c r="AB287" s="392"/>
      <c r="AC287" s="392"/>
      <c r="AD287" s="392"/>
      <c r="AE287" s="392"/>
      <c r="AF287" s="392"/>
    </row>
    <row r="288" ht="15.75" customHeight="1">
      <c r="A288" s="216"/>
      <c r="B288" s="156"/>
      <c r="C288" s="156"/>
      <c r="D288" s="156"/>
      <c r="E288" s="392"/>
      <c r="F288" s="392"/>
      <c r="G288" s="392"/>
      <c r="H288" s="392"/>
      <c r="I288" s="392"/>
      <c r="J288" s="392"/>
      <c r="K288" s="392"/>
      <c r="L288" s="392"/>
      <c r="M288" s="392"/>
      <c r="N288" s="392"/>
      <c r="O288" s="392"/>
      <c r="P288" s="392"/>
      <c r="Q288" s="392"/>
      <c r="R288" s="392"/>
      <c r="S288" s="392"/>
      <c r="T288" s="392"/>
      <c r="U288" s="392"/>
      <c r="V288" s="392"/>
      <c r="W288" s="392"/>
      <c r="X288" s="392"/>
      <c r="Y288" s="392"/>
      <c r="Z288" s="392"/>
      <c r="AA288" s="392"/>
      <c r="AB288" s="392"/>
      <c r="AC288" s="392"/>
      <c r="AD288" s="392"/>
      <c r="AE288" s="392"/>
      <c r="AF288" s="392"/>
    </row>
    <row r="289" ht="15.75" customHeight="1">
      <c r="A289" s="216"/>
      <c r="B289" s="156"/>
      <c r="C289" s="156"/>
      <c r="D289" s="156"/>
      <c r="E289" s="392"/>
      <c r="F289" s="392"/>
      <c r="G289" s="392"/>
      <c r="H289" s="392"/>
      <c r="I289" s="392"/>
      <c r="J289" s="392"/>
      <c r="K289" s="392"/>
      <c r="L289" s="392"/>
      <c r="M289" s="392"/>
      <c r="N289" s="392"/>
      <c r="O289" s="392"/>
      <c r="P289" s="392"/>
      <c r="Q289" s="392"/>
      <c r="R289" s="392"/>
      <c r="S289" s="392"/>
      <c r="T289" s="392"/>
      <c r="U289" s="392"/>
      <c r="V289" s="392"/>
      <c r="W289" s="392"/>
      <c r="X289" s="392"/>
      <c r="Y289" s="392"/>
      <c r="Z289" s="392"/>
      <c r="AA289" s="392"/>
      <c r="AB289" s="392"/>
      <c r="AC289" s="392"/>
      <c r="AD289" s="392"/>
      <c r="AE289" s="392"/>
      <c r="AF289" s="392"/>
    </row>
    <row r="290" ht="15.75" customHeight="1">
      <c r="A290" s="216"/>
      <c r="B290" s="156"/>
      <c r="C290" s="156"/>
      <c r="D290" s="156"/>
      <c r="E290" s="392"/>
      <c r="F290" s="392"/>
      <c r="G290" s="392"/>
      <c r="H290" s="392"/>
      <c r="I290" s="392"/>
      <c r="J290" s="392"/>
      <c r="K290" s="392"/>
      <c r="L290" s="392"/>
      <c r="M290" s="392"/>
      <c r="N290" s="392"/>
      <c r="O290" s="392"/>
      <c r="P290" s="392"/>
      <c r="Q290" s="392"/>
      <c r="R290" s="392"/>
      <c r="S290" s="392"/>
      <c r="T290" s="392"/>
      <c r="U290" s="392"/>
      <c r="V290" s="392"/>
      <c r="W290" s="392"/>
      <c r="X290" s="392"/>
      <c r="Y290" s="392"/>
      <c r="Z290" s="392"/>
      <c r="AA290" s="392"/>
      <c r="AB290" s="392"/>
      <c r="AC290" s="392"/>
      <c r="AD290" s="392"/>
      <c r="AE290" s="392"/>
      <c r="AF290" s="392"/>
    </row>
    <row r="291" ht="15.75" customHeight="1">
      <c r="A291" s="216"/>
      <c r="B291" s="156"/>
      <c r="C291" s="156"/>
      <c r="D291" s="156"/>
      <c r="E291" s="392"/>
      <c r="F291" s="392"/>
      <c r="G291" s="392"/>
      <c r="H291" s="392"/>
      <c r="I291" s="392"/>
      <c r="J291" s="392"/>
      <c r="K291" s="392"/>
      <c r="L291" s="392"/>
      <c r="M291" s="392"/>
      <c r="N291" s="392"/>
      <c r="O291" s="392"/>
      <c r="P291" s="392"/>
      <c r="Q291" s="392"/>
      <c r="R291" s="392"/>
      <c r="S291" s="392"/>
      <c r="T291" s="392"/>
      <c r="U291" s="392"/>
      <c r="V291" s="392"/>
      <c r="W291" s="392"/>
      <c r="X291" s="392"/>
      <c r="Y291" s="392"/>
      <c r="Z291" s="392"/>
      <c r="AA291" s="392"/>
      <c r="AB291" s="392"/>
      <c r="AC291" s="392"/>
      <c r="AD291" s="392"/>
      <c r="AE291" s="392"/>
      <c r="AF291" s="392"/>
    </row>
    <row r="292" ht="15.75" customHeight="1">
      <c r="A292" s="216"/>
      <c r="B292" s="156"/>
      <c r="C292" s="156"/>
      <c r="D292" s="156"/>
      <c r="E292" s="392"/>
      <c r="F292" s="392"/>
      <c r="G292" s="392"/>
      <c r="H292" s="392"/>
      <c r="I292" s="392"/>
      <c r="J292" s="392"/>
      <c r="K292" s="392"/>
      <c r="L292" s="392"/>
      <c r="M292" s="392"/>
      <c r="N292" s="392"/>
      <c r="O292" s="392"/>
      <c r="P292" s="392"/>
      <c r="Q292" s="392"/>
      <c r="R292" s="392"/>
      <c r="S292" s="392"/>
      <c r="T292" s="392"/>
      <c r="U292" s="392"/>
      <c r="V292" s="392"/>
      <c r="W292" s="392"/>
      <c r="X292" s="392"/>
      <c r="Y292" s="392"/>
      <c r="Z292" s="392"/>
      <c r="AA292" s="392"/>
      <c r="AB292" s="392"/>
      <c r="AC292" s="392"/>
      <c r="AD292" s="392"/>
      <c r="AE292" s="392"/>
      <c r="AF292" s="392"/>
    </row>
    <row r="293" ht="15.75" customHeight="1">
      <c r="A293" s="216"/>
      <c r="B293" s="156"/>
      <c r="C293" s="156"/>
      <c r="D293" s="156"/>
      <c r="E293" s="392"/>
      <c r="F293" s="392"/>
      <c r="G293" s="392"/>
      <c r="H293" s="392"/>
      <c r="I293" s="392"/>
      <c r="J293" s="392"/>
      <c r="K293" s="392"/>
      <c r="L293" s="392"/>
      <c r="M293" s="392"/>
      <c r="N293" s="392"/>
      <c r="O293" s="392"/>
      <c r="P293" s="392"/>
      <c r="Q293" s="392"/>
      <c r="R293" s="392"/>
      <c r="S293" s="392"/>
      <c r="T293" s="392"/>
      <c r="U293" s="392"/>
      <c r="V293" s="392"/>
      <c r="W293" s="392"/>
      <c r="X293" s="392"/>
      <c r="Y293" s="392"/>
      <c r="Z293" s="392"/>
      <c r="AA293" s="392"/>
      <c r="AB293" s="392"/>
      <c r="AC293" s="392"/>
      <c r="AD293" s="392"/>
      <c r="AE293" s="392"/>
      <c r="AF293" s="392"/>
    </row>
    <row r="294" ht="15.75" customHeight="1">
      <c r="A294" s="216"/>
      <c r="B294" s="156"/>
      <c r="C294" s="156"/>
      <c r="D294" s="156"/>
      <c r="E294" s="392"/>
      <c r="F294" s="392"/>
      <c r="G294" s="392"/>
      <c r="H294" s="392"/>
      <c r="I294" s="392"/>
      <c r="J294" s="392"/>
      <c r="K294" s="392"/>
      <c r="L294" s="392"/>
      <c r="M294" s="392"/>
      <c r="N294" s="392"/>
      <c r="O294" s="392"/>
      <c r="P294" s="392"/>
      <c r="Q294" s="392"/>
      <c r="R294" s="392"/>
      <c r="S294" s="392"/>
      <c r="T294" s="392"/>
      <c r="U294" s="392"/>
      <c r="V294" s="392"/>
      <c r="W294" s="392"/>
      <c r="X294" s="392"/>
      <c r="Y294" s="392"/>
      <c r="Z294" s="392"/>
      <c r="AA294" s="392"/>
      <c r="AB294" s="392"/>
      <c r="AC294" s="392"/>
      <c r="AD294" s="392"/>
      <c r="AE294" s="392"/>
      <c r="AF294" s="392"/>
    </row>
    <row r="295" ht="15.75" customHeight="1">
      <c r="A295" s="216"/>
      <c r="B295" s="156"/>
      <c r="C295" s="156"/>
      <c r="D295" s="156"/>
      <c r="E295" s="392"/>
      <c r="F295" s="392"/>
      <c r="G295" s="392"/>
      <c r="H295" s="392"/>
      <c r="I295" s="392"/>
      <c r="J295" s="392"/>
      <c r="K295" s="392"/>
      <c r="L295" s="392"/>
      <c r="M295" s="392"/>
      <c r="N295" s="392"/>
      <c r="O295" s="392"/>
      <c r="P295" s="392"/>
      <c r="Q295" s="392"/>
      <c r="R295" s="392"/>
      <c r="S295" s="392"/>
      <c r="T295" s="392"/>
      <c r="U295" s="392"/>
      <c r="V295" s="392"/>
      <c r="W295" s="392"/>
      <c r="X295" s="392"/>
      <c r="Y295" s="392"/>
      <c r="Z295" s="392"/>
      <c r="AA295" s="392"/>
      <c r="AB295" s="392"/>
      <c r="AC295" s="392"/>
      <c r="AD295" s="392"/>
      <c r="AE295" s="392"/>
      <c r="AF295" s="392"/>
    </row>
    <row r="296" ht="15.75" customHeight="1">
      <c r="A296" s="216"/>
      <c r="B296" s="156"/>
      <c r="C296" s="156"/>
      <c r="D296" s="156"/>
      <c r="E296" s="392"/>
      <c r="F296" s="392"/>
      <c r="G296" s="392"/>
      <c r="H296" s="392"/>
      <c r="I296" s="392"/>
      <c r="J296" s="392"/>
      <c r="K296" s="392"/>
      <c r="L296" s="392"/>
      <c r="M296" s="392"/>
      <c r="N296" s="392"/>
      <c r="O296" s="392"/>
      <c r="P296" s="392"/>
      <c r="Q296" s="392"/>
      <c r="R296" s="392"/>
      <c r="S296" s="392"/>
      <c r="T296" s="392"/>
      <c r="U296" s="392"/>
      <c r="V296" s="392"/>
      <c r="W296" s="392"/>
      <c r="X296" s="392"/>
      <c r="Y296" s="392"/>
      <c r="Z296" s="392"/>
      <c r="AA296" s="392"/>
      <c r="AB296" s="392"/>
      <c r="AC296" s="392"/>
      <c r="AD296" s="392"/>
      <c r="AE296" s="392"/>
      <c r="AF296" s="392"/>
    </row>
    <row r="297" ht="15.75" customHeight="1">
      <c r="A297" s="216"/>
      <c r="B297" s="156"/>
      <c r="C297" s="156"/>
      <c r="D297" s="156"/>
      <c r="E297" s="392"/>
      <c r="F297" s="392"/>
      <c r="G297" s="392"/>
      <c r="H297" s="392"/>
      <c r="I297" s="392"/>
      <c r="J297" s="392"/>
      <c r="K297" s="392"/>
      <c r="L297" s="392"/>
      <c r="M297" s="392"/>
      <c r="N297" s="392"/>
      <c r="O297" s="392"/>
      <c r="P297" s="392"/>
      <c r="Q297" s="392"/>
      <c r="R297" s="392"/>
      <c r="S297" s="392"/>
      <c r="T297" s="392"/>
      <c r="U297" s="392"/>
      <c r="V297" s="392"/>
      <c r="W297" s="392"/>
      <c r="X297" s="392"/>
      <c r="Y297" s="392"/>
      <c r="Z297" s="392"/>
      <c r="AA297" s="392"/>
      <c r="AB297" s="392"/>
      <c r="AC297" s="392"/>
      <c r="AD297" s="392"/>
      <c r="AE297" s="392"/>
      <c r="AF297" s="392"/>
    </row>
    <row r="298" ht="15.75" customHeight="1">
      <c r="A298" s="216"/>
      <c r="B298" s="156"/>
      <c r="C298" s="156"/>
      <c r="D298" s="156"/>
      <c r="E298" s="392"/>
      <c r="F298" s="392"/>
      <c r="G298" s="392"/>
      <c r="H298" s="392"/>
      <c r="I298" s="392"/>
      <c r="J298" s="392"/>
      <c r="K298" s="392"/>
      <c r="L298" s="392"/>
      <c r="M298" s="392"/>
      <c r="N298" s="392"/>
      <c r="O298" s="392"/>
      <c r="P298" s="392"/>
      <c r="Q298" s="392"/>
      <c r="R298" s="392"/>
      <c r="S298" s="392"/>
      <c r="T298" s="392"/>
      <c r="U298" s="392"/>
      <c r="V298" s="392"/>
      <c r="W298" s="392"/>
      <c r="X298" s="392"/>
      <c r="Y298" s="392"/>
      <c r="Z298" s="392"/>
      <c r="AA298" s="392"/>
      <c r="AB298" s="392"/>
      <c r="AC298" s="392"/>
      <c r="AD298" s="392"/>
      <c r="AE298" s="392"/>
      <c r="AF298" s="392"/>
    </row>
    <row r="299" ht="15.75" customHeight="1">
      <c r="A299" s="216"/>
      <c r="B299" s="156"/>
      <c r="C299" s="156"/>
      <c r="D299" s="156"/>
      <c r="E299" s="392"/>
      <c r="F299" s="392"/>
      <c r="G299" s="392"/>
      <c r="H299" s="392"/>
      <c r="I299" s="392"/>
      <c r="J299" s="392"/>
      <c r="K299" s="392"/>
      <c r="L299" s="392"/>
      <c r="M299" s="392"/>
      <c r="N299" s="392"/>
      <c r="O299" s="392"/>
      <c r="P299" s="392"/>
      <c r="Q299" s="392"/>
      <c r="R299" s="392"/>
      <c r="S299" s="392"/>
      <c r="T299" s="392"/>
      <c r="U299" s="392"/>
      <c r="V299" s="392"/>
      <c r="W299" s="392"/>
      <c r="X299" s="392"/>
      <c r="Y299" s="392"/>
      <c r="Z299" s="392"/>
      <c r="AA299" s="392"/>
      <c r="AB299" s="392"/>
      <c r="AC299" s="392"/>
      <c r="AD299" s="392"/>
      <c r="AE299" s="392"/>
      <c r="AF299" s="392"/>
    </row>
    <row r="300" ht="15.75" customHeight="1">
      <c r="A300" s="216"/>
      <c r="B300" s="156"/>
      <c r="C300" s="156"/>
      <c r="D300" s="156"/>
      <c r="E300" s="392"/>
      <c r="F300" s="392"/>
      <c r="G300" s="392"/>
      <c r="H300" s="392"/>
      <c r="I300" s="392"/>
      <c r="J300" s="392"/>
      <c r="K300" s="392"/>
      <c r="L300" s="392"/>
      <c r="M300" s="392"/>
      <c r="N300" s="392"/>
      <c r="O300" s="392"/>
      <c r="P300" s="392"/>
      <c r="Q300" s="392"/>
      <c r="R300" s="392"/>
      <c r="S300" s="392"/>
      <c r="T300" s="392"/>
      <c r="U300" s="392"/>
      <c r="V300" s="392"/>
      <c r="W300" s="392"/>
      <c r="X300" s="392"/>
      <c r="Y300" s="392"/>
      <c r="Z300" s="392"/>
      <c r="AA300" s="392"/>
      <c r="AB300" s="392"/>
      <c r="AC300" s="392"/>
      <c r="AD300" s="392"/>
      <c r="AE300" s="392"/>
      <c r="AF300" s="392"/>
    </row>
    <row r="301" ht="15.75" customHeight="1">
      <c r="A301" s="216"/>
      <c r="B301" s="156"/>
      <c r="C301" s="156"/>
      <c r="D301" s="156"/>
      <c r="E301" s="392"/>
      <c r="F301" s="392"/>
      <c r="G301" s="392"/>
      <c r="H301" s="392"/>
      <c r="I301" s="392"/>
      <c r="J301" s="392"/>
      <c r="K301" s="392"/>
      <c r="L301" s="392"/>
      <c r="M301" s="392"/>
      <c r="N301" s="392"/>
      <c r="O301" s="392"/>
      <c r="P301" s="392"/>
      <c r="Q301" s="392"/>
      <c r="R301" s="392"/>
      <c r="S301" s="392"/>
      <c r="T301" s="392"/>
      <c r="U301" s="392"/>
      <c r="V301" s="392"/>
      <c r="W301" s="392"/>
      <c r="X301" s="392"/>
      <c r="Y301" s="392"/>
      <c r="Z301" s="392"/>
      <c r="AA301" s="392"/>
      <c r="AB301" s="392"/>
      <c r="AC301" s="392"/>
      <c r="AD301" s="392"/>
      <c r="AE301" s="392"/>
      <c r="AF301" s="392"/>
    </row>
    <row r="302" ht="15.75" customHeight="1">
      <c r="A302" s="216"/>
      <c r="B302" s="156"/>
      <c r="C302" s="156"/>
      <c r="D302" s="156"/>
      <c r="E302" s="392"/>
      <c r="F302" s="392"/>
      <c r="G302" s="392"/>
      <c r="H302" s="392"/>
      <c r="I302" s="392"/>
      <c r="J302" s="392"/>
      <c r="K302" s="392"/>
      <c r="L302" s="392"/>
      <c r="M302" s="392"/>
      <c r="N302" s="392"/>
      <c r="O302" s="392"/>
      <c r="P302" s="392"/>
      <c r="Q302" s="392"/>
      <c r="R302" s="392"/>
      <c r="S302" s="392"/>
      <c r="T302" s="392"/>
      <c r="U302" s="392"/>
      <c r="V302" s="392"/>
      <c r="W302" s="392"/>
      <c r="X302" s="392"/>
      <c r="Y302" s="392"/>
      <c r="Z302" s="392"/>
      <c r="AA302" s="392"/>
      <c r="AB302" s="392"/>
      <c r="AC302" s="392"/>
      <c r="AD302" s="392"/>
      <c r="AE302" s="392"/>
      <c r="AF302" s="392"/>
    </row>
    <row r="303" ht="15.75" customHeight="1">
      <c r="A303" s="216"/>
      <c r="B303" s="156"/>
      <c r="C303" s="156"/>
      <c r="D303" s="156"/>
      <c r="E303" s="392"/>
      <c r="F303" s="392"/>
      <c r="G303" s="392"/>
      <c r="H303" s="392"/>
      <c r="I303" s="392"/>
      <c r="J303" s="392"/>
      <c r="K303" s="392"/>
      <c r="L303" s="392"/>
      <c r="M303" s="392"/>
      <c r="N303" s="392"/>
      <c r="O303" s="392"/>
      <c r="P303" s="392"/>
      <c r="Q303" s="392"/>
      <c r="R303" s="392"/>
      <c r="S303" s="392"/>
      <c r="T303" s="392"/>
      <c r="U303" s="392"/>
      <c r="V303" s="392"/>
      <c r="W303" s="392"/>
      <c r="X303" s="392"/>
      <c r="Y303" s="392"/>
      <c r="Z303" s="392"/>
      <c r="AA303" s="392"/>
      <c r="AB303" s="392"/>
      <c r="AC303" s="392"/>
      <c r="AD303" s="392"/>
      <c r="AE303" s="392"/>
      <c r="AF303" s="392"/>
    </row>
    <row r="304" ht="15.75" customHeight="1">
      <c r="A304" s="216"/>
      <c r="B304" s="156"/>
      <c r="C304" s="156"/>
      <c r="D304" s="156"/>
      <c r="E304" s="392"/>
      <c r="F304" s="392"/>
      <c r="G304" s="392"/>
      <c r="H304" s="392"/>
      <c r="I304" s="392"/>
      <c r="J304" s="392"/>
      <c r="K304" s="392"/>
      <c r="L304" s="392"/>
      <c r="M304" s="392"/>
      <c r="N304" s="392"/>
      <c r="O304" s="392"/>
      <c r="P304" s="392"/>
      <c r="Q304" s="392"/>
      <c r="R304" s="392"/>
      <c r="S304" s="392"/>
      <c r="T304" s="392"/>
      <c r="U304" s="392"/>
      <c r="V304" s="392"/>
      <c r="W304" s="392"/>
      <c r="X304" s="392"/>
      <c r="Y304" s="392"/>
      <c r="Z304" s="392"/>
      <c r="AA304" s="392"/>
      <c r="AB304" s="392"/>
      <c r="AC304" s="392"/>
      <c r="AD304" s="392"/>
      <c r="AE304" s="392"/>
      <c r="AF304" s="392"/>
    </row>
    <row r="305" ht="15.75" customHeight="1">
      <c r="A305" s="216"/>
      <c r="B305" s="156"/>
      <c r="C305" s="156"/>
      <c r="D305" s="156"/>
      <c r="E305" s="392"/>
      <c r="F305" s="392"/>
      <c r="G305" s="392"/>
      <c r="H305" s="392"/>
      <c r="I305" s="392"/>
      <c r="J305" s="392"/>
      <c r="K305" s="392"/>
      <c r="L305" s="392"/>
      <c r="M305" s="392"/>
      <c r="N305" s="392"/>
      <c r="O305" s="392"/>
      <c r="P305" s="392"/>
      <c r="Q305" s="392"/>
      <c r="R305" s="392"/>
      <c r="S305" s="392"/>
      <c r="T305" s="392"/>
      <c r="U305" s="392"/>
      <c r="V305" s="392"/>
      <c r="W305" s="392"/>
      <c r="X305" s="392"/>
      <c r="Y305" s="392"/>
      <c r="Z305" s="392"/>
      <c r="AA305" s="392"/>
      <c r="AB305" s="392"/>
      <c r="AC305" s="392"/>
      <c r="AD305" s="392"/>
      <c r="AE305" s="392"/>
      <c r="AF305" s="392"/>
    </row>
    <row r="306" ht="15.75" customHeight="1">
      <c r="A306" s="216"/>
      <c r="B306" s="156"/>
      <c r="C306" s="156"/>
      <c r="D306" s="156"/>
      <c r="E306" s="392"/>
      <c r="F306" s="392"/>
      <c r="G306" s="392"/>
      <c r="H306" s="392"/>
      <c r="I306" s="392"/>
      <c r="J306" s="392"/>
      <c r="K306" s="392"/>
      <c r="L306" s="392"/>
      <c r="M306" s="392"/>
      <c r="N306" s="392"/>
      <c r="O306" s="392"/>
      <c r="P306" s="392"/>
      <c r="Q306" s="392"/>
      <c r="R306" s="392"/>
      <c r="S306" s="392"/>
      <c r="T306" s="392"/>
      <c r="U306" s="392"/>
      <c r="V306" s="392"/>
      <c r="W306" s="392"/>
      <c r="X306" s="392"/>
      <c r="Y306" s="392"/>
      <c r="Z306" s="392"/>
      <c r="AA306" s="392"/>
      <c r="AB306" s="392"/>
      <c r="AC306" s="392"/>
      <c r="AD306" s="392"/>
      <c r="AE306" s="392"/>
      <c r="AF306" s="392"/>
    </row>
    <row r="307" ht="15.75" customHeight="1">
      <c r="A307" s="216"/>
      <c r="B307" s="156"/>
      <c r="C307" s="156"/>
      <c r="D307" s="156"/>
      <c r="E307" s="392"/>
      <c r="F307" s="392"/>
      <c r="G307" s="392"/>
      <c r="H307" s="392"/>
      <c r="I307" s="392"/>
      <c r="J307" s="392"/>
      <c r="K307" s="392"/>
      <c r="L307" s="392"/>
      <c r="M307" s="392"/>
      <c r="N307" s="392"/>
      <c r="O307" s="392"/>
      <c r="P307" s="392"/>
      <c r="Q307" s="392"/>
      <c r="R307" s="392"/>
      <c r="S307" s="392"/>
      <c r="T307" s="392"/>
      <c r="U307" s="392"/>
      <c r="V307" s="392"/>
      <c r="W307" s="392"/>
      <c r="X307" s="392"/>
      <c r="Y307" s="392"/>
      <c r="Z307" s="392"/>
      <c r="AA307" s="392"/>
      <c r="AB307" s="392"/>
      <c r="AC307" s="392"/>
      <c r="AD307" s="392"/>
      <c r="AE307" s="392"/>
      <c r="AF307" s="392"/>
    </row>
    <row r="308" ht="15.75" customHeight="1">
      <c r="A308" s="216"/>
      <c r="B308" s="156"/>
      <c r="C308" s="156"/>
      <c r="D308" s="156"/>
      <c r="E308" s="392"/>
      <c r="F308" s="392"/>
      <c r="G308" s="392"/>
      <c r="H308" s="392"/>
      <c r="I308" s="392"/>
      <c r="J308" s="392"/>
      <c r="K308" s="392"/>
      <c r="L308" s="392"/>
      <c r="M308" s="392"/>
      <c r="N308" s="392"/>
      <c r="O308" s="392"/>
      <c r="P308" s="392"/>
      <c r="Q308" s="392"/>
      <c r="R308" s="392"/>
      <c r="S308" s="392"/>
      <c r="T308" s="392"/>
      <c r="U308" s="392"/>
      <c r="V308" s="392"/>
      <c r="W308" s="392"/>
      <c r="X308" s="392"/>
      <c r="Y308" s="392"/>
      <c r="Z308" s="392"/>
      <c r="AA308" s="392"/>
      <c r="AB308" s="392"/>
      <c r="AC308" s="392"/>
      <c r="AD308" s="392"/>
      <c r="AE308" s="392"/>
      <c r="AF308" s="392"/>
    </row>
    <row r="309" ht="15.75" customHeight="1">
      <c r="A309" s="216"/>
      <c r="B309" s="156"/>
      <c r="C309" s="156"/>
      <c r="D309" s="156"/>
      <c r="E309" s="392"/>
      <c r="F309" s="392"/>
      <c r="G309" s="392"/>
      <c r="H309" s="392"/>
      <c r="I309" s="392"/>
      <c r="J309" s="392"/>
      <c r="K309" s="392"/>
      <c r="L309" s="392"/>
      <c r="M309" s="392"/>
      <c r="N309" s="392"/>
      <c r="O309" s="392"/>
      <c r="P309" s="392"/>
      <c r="Q309" s="392"/>
      <c r="R309" s="392"/>
      <c r="S309" s="392"/>
      <c r="T309" s="392"/>
      <c r="U309" s="392"/>
      <c r="V309" s="392"/>
      <c r="W309" s="392"/>
      <c r="X309" s="392"/>
      <c r="Y309" s="392"/>
      <c r="Z309" s="392"/>
      <c r="AA309" s="392"/>
      <c r="AB309" s="392"/>
      <c r="AC309" s="392"/>
      <c r="AD309" s="392"/>
      <c r="AE309" s="392"/>
      <c r="AF309" s="392"/>
    </row>
    <row r="310" ht="15.75" customHeight="1">
      <c r="A310" s="216"/>
      <c r="B310" s="156"/>
      <c r="C310" s="156"/>
      <c r="D310" s="156"/>
      <c r="E310" s="392"/>
      <c r="F310" s="392"/>
      <c r="G310" s="392"/>
      <c r="H310" s="392"/>
      <c r="I310" s="392"/>
      <c r="J310" s="392"/>
      <c r="K310" s="392"/>
      <c r="L310" s="392"/>
      <c r="M310" s="392"/>
      <c r="N310" s="392"/>
      <c r="O310" s="392"/>
      <c r="P310" s="392"/>
      <c r="Q310" s="392"/>
      <c r="R310" s="392"/>
      <c r="S310" s="392"/>
      <c r="T310" s="392"/>
      <c r="U310" s="392"/>
      <c r="V310" s="392"/>
      <c r="W310" s="392"/>
      <c r="X310" s="392"/>
      <c r="Y310" s="392"/>
      <c r="Z310" s="392"/>
      <c r="AA310" s="392"/>
      <c r="AB310" s="392"/>
      <c r="AC310" s="392"/>
      <c r="AD310" s="392"/>
      <c r="AE310" s="392"/>
      <c r="AF310" s="392"/>
    </row>
    <row r="311" ht="15.75" customHeight="1">
      <c r="A311" s="216"/>
      <c r="B311" s="156"/>
      <c r="C311" s="156"/>
      <c r="D311" s="156"/>
      <c r="E311" s="392"/>
      <c r="F311" s="392"/>
      <c r="G311" s="392"/>
      <c r="H311" s="392"/>
      <c r="I311" s="392"/>
      <c r="J311" s="392"/>
      <c r="K311" s="392"/>
      <c r="L311" s="392"/>
      <c r="M311" s="392"/>
      <c r="N311" s="392"/>
      <c r="O311" s="392"/>
      <c r="P311" s="392"/>
      <c r="Q311" s="392"/>
      <c r="R311" s="392"/>
      <c r="S311" s="392"/>
      <c r="T311" s="392"/>
      <c r="U311" s="392"/>
      <c r="V311" s="392"/>
      <c r="W311" s="392"/>
      <c r="X311" s="392"/>
      <c r="Y311" s="392"/>
      <c r="Z311" s="392"/>
      <c r="AA311" s="392"/>
      <c r="AB311" s="392"/>
      <c r="AC311" s="392"/>
      <c r="AD311" s="392"/>
      <c r="AE311" s="392"/>
      <c r="AF311" s="392"/>
    </row>
    <row r="312" ht="15.75" customHeight="1">
      <c r="A312" s="216"/>
      <c r="B312" s="156"/>
      <c r="C312" s="156"/>
      <c r="D312" s="156"/>
      <c r="E312" s="392"/>
      <c r="F312" s="392"/>
      <c r="G312" s="392"/>
      <c r="H312" s="392"/>
      <c r="I312" s="392"/>
      <c r="J312" s="392"/>
      <c r="K312" s="392"/>
      <c r="L312" s="392"/>
      <c r="M312" s="392"/>
      <c r="N312" s="392"/>
      <c r="O312" s="392"/>
      <c r="P312" s="392"/>
      <c r="Q312" s="392"/>
      <c r="R312" s="392"/>
      <c r="S312" s="392"/>
      <c r="T312" s="392"/>
      <c r="U312" s="392"/>
      <c r="V312" s="392"/>
      <c r="W312" s="392"/>
      <c r="X312" s="392"/>
      <c r="Y312" s="392"/>
      <c r="Z312" s="392"/>
      <c r="AA312" s="392"/>
      <c r="AB312" s="392"/>
      <c r="AC312" s="392"/>
      <c r="AD312" s="392"/>
      <c r="AE312" s="392"/>
      <c r="AF312" s="392"/>
    </row>
    <row r="313" ht="15.75" customHeight="1">
      <c r="A313" s="216"/>
      <c r="B313" s="156"/>
      <c r="C313" s="156"/>
      <c r="D313" s="156"/>
      <c r="E313" s="392"/>
      <c r="F313" s="392"/>
      <c r="G313" s="392"/>
      <c r="H313" s="392"/>
      <c r="I313" s="392"/>
      <c r="J313" s="392"/>
      <c r="K313" s="392"/>
      <c r="L313" s="392"/>
      <c r="M313" s="392"/>
      <c r="N313" s="392"/>
      <c r="O313" s="392"/>
      <c r="P313" s="392"/>
      <c r="Q313" s="392"/>
      <c r="R313" s="392"/>
      <c r="S313" s="392"/>
      <c r="T313" s="392"/>
      <c r="U313" s="392"/>
      <c r="V313" s="392"/>
      <c r="W313" s="392"/>
      <c r="X313" s="392"/>
      <c r="Y313" s="392"/>
      <c r="Z313" s="392"/>
      <c r="AA313" s="392"/>
      <c r="AB313" s="392"/>
      <c r="AC313" s="392"/>
      <c r="AD313" s="392"/>
      <c r="AE313" s="392"/>
      <c r="AF313" s="392"/>
    </row>
    <row r="314" ht="15.75" customHeight="1">
      <c r="A314" s="216"/>
      <c r="B314" s="156"/>
      <c r="C314" s="156"/>
      <c r="D314" s="156"/>
      <c r="E314" s="392"/>
      <c r="F314" s="392"/>
      <c r="G314" s="392"/>
      <c r="H314" s="392"/>
      <c r="I314" s="392"/>
      <c r="J314" s="392"/>
      <c r="K314" s="392"/>
      <c r="L314" s="392"/>
      <c r="M314" s="392"/>
      <c r="N314" s="392"/>
      <c r="O314" s="392"/>
      <c r="P314" s="392"/>
      <c r="Q314" s="392"/>
      <c r="R314" s="392"/>
      <c r="S314" s="392"/>
      <c r="T314" s="392"/>
      <c r="U314" s="392"/>
      <c r="V314" s="392"/>
      <c r="W314" s="392"/>
      <c r="X314" s="392"/>
      <c r="Y314" s="392"/>
      <c r="Z314" s="392"/>
      <c r="AA314" s="392"/>
      <c r="AB314" s="392"/>
      <c r="AC314" s="392"/>
      <c r="AD314" s="392"/>
      <c r="AE314" s="392"/>
      <c r="AF314" s="392"/>
    </row>
    <row r="315" ht="15.75" customHeight="1">
      <c r="A315" s="216"/>
      <c r="B315" s="156"/>
      <c r="C315" s="156"/>
      <c r="D315" s="156"/>
      <c r="E315" s="392"/>
      <c r="F315" s="392"/>
      <c r="G315" s="392"/>
      <c r="H315" s="392"/>
      <c r="I315" s="392"/>
      <c r="J315" s="392"/>
      <c r="K315" s="392"/>
      <c r="L315" s="392"/>
      <c r="M315" s="392"/>
      <c r="N315" s="392"/>
      <c r="O315" s="392"/>
      <c r="P315" s="392"/>
      <c r="Q315" s="392"/>
      <c r="R315" s="392"/>
      <c r="S315" s="392"/>
      <c r="T315" s="392"/>
      <c r="U315" s="392"/>
      <c r="V315" s="392"/>
      <c r="W315" s="392"/>
      <c r="X315" s="392"/>
      <c r="Y315" s="392"/>
      <c r="Z315" s="392"/>
      <c r="AA315" s="392"/>
      <c r="AB315" s="392"/>
      <c r="AC315" s="392"/>
      <c r="AD315" s="392"/>
      <c r="AE315" s="392"/>
      <c r="AF315" s="392"/>
    </row>
    <row r="316" ht="15.75" customHeight="1">
      <c r="A316" s="216"/>
      <c r="B316" s="156"/>
      <c r="C316" s="156"/>
      <c r="D316" s="156"/>
      <c r="E316" s="392"/>
      <c r="F316" s="392"/>
      <c r="G316" s="392"/>
      <c r="H316" s="392"/>
      <c r="I316" s="392"/>
      <c r="J316" s="392"/>
      <c r="K316" s="392"/>
      <c r="L316" s="392"/>
      <c r="M316" s="392"/>
      <c r="N316" s="392"/>
      <c r="O316" s="392"/>
      <c r="P316" s="392"/>
      <c r="Q316" s="392"/>
      <c r="R316" s="392"/>
      <c r="S316" s="392"/>
      <c r="T316" s="392"/>
      <c r="U316" s="392"/>
      <c r="V316" s="392"/>
      <c r="W316" s="392"/>
      <c r="X316" s="392"/>
      <c r="Y316" s="392"/>
      <c r="Z316" s="392"/>
      <c r="AA316" s="392"/>
      <c r="AB316" s="392"/>
      <c r="AC316" s="392"/>
      <c r="AD316" s="392"/>
      <c r="AE316" s="392"/>
      <c r="AF316" s="392"/>
    </row>
    <row r="317" ht="15.75" customHeight="1">
      <c r="A317" s="216"/>
      <c r="B317" s="156"/>
      <c r="C317" s="156"/>
      <c r="D317" s="156"/>
      <c r="E317" s="392"/>
      <c r="F317" s="392"/>
      <c r="G317" s="392"/>
      <c r="H317" s="392"/>
      <c r="I317" s="392"/>
      <c r="J317" s="392"/>
      <c r="K317" s="392"/>
      <c r="L317" s="392"/>
      <c r="M317" s="392"/>
      <c r="N317" s="392"/>
      <c r="O317" s="392"/>
      <c r="P317" s="392"/>
      <c r="Q317" s="392"/>
      <c r="R317" s="392"/>
      <c r="S317" s="392"/>
      <c r="T317" s="392"/>
      <c r="U317" s="392"/>
      <c r="V317" s="392"/>
      <c r="W317" s="392"/>
      <c r="X317" s="392"/>
      <c r="Y317" s="392"/>
      <c r="Z317" s="392"/>
      <c r="AA317" s="392"/>
      <c r="AB317" s="392"/>
      <c r="AC317" s="392"/>
      <c r="AD317" s="392"/>
      <c r="AE317" s="392"/>
      <c r="AF317" s="392"/>
    </row>
    <row r="318" ht="15.75" customHeight="1">
      <c r="A318" s="216"/>
      <c r="B318" s="156"/>
      <c r="C318" s="156"/>
      <c r="D318" s="156"/>
      <c r="E318" s="392"/>
      <c r="F318" s="392"/>
      <c r="G318" s="392"/>
      <c r="H318" s="392"/>
      <c r="I318" s="392"/>
      <c r="J318" s="392"/>
      <c r="K318" s="392"/>
      <c r="L318" s="392"/>
      <c r="M318" s="392"/>
      <c r="N318" s="392"/>
      <c r="O318" s="392"/>
      <c r="P318" s="392"/>
      <c r="Q318" s="392"/>
      <c r="R318" s="392"/>
      <c r="S318" s="392"/>
      <c r="T318" s="392"/>
      <c r="U318" s="392"/>
      <c r="V318" s="392"/>
      <c r="W318" s="392"/>
      <c r="X318" s="392"/>
      <c r="Y318" s="392"/>
      <c r="Z318" s="392"/>
      <c r="AA318" s="392"/>
      <c r="AB318" s="392"/>
      <c r="AC318" s="392"/>
      <c r="AD318" s="392"/>
      <c r="AE318" s="392"/>
      <c r="AF318" s="392"/>
    </row>
    <row r="319" ht="15.75" customHeight="1">
      <c r="A319" s="216"/>
      <c r="B319" s="156"/>
      <c r="C319" s="156"/>
      <c r="D319" s="156"/>
      <c r="E319" s="392"/>
      <c r="F319" s="392"/>
      <c r="G319" s="392"/>
      <c r="H319" s="392"/>
      <c r="I319" s="392"/>
      <c r="J319" s="392"/>
      <c r="K319" s="392"/>
      <c r="L319" s="392"/>
      <c r="M319" s="392"/>
      <c r="N319" s="392"/>
      <c r="O319" s="392"/>
      <c r="P319" s="392"/>
      <c r="Q319" s="392"/>
      <c r="R319" s="392"/>
      <c r="S319" s="392"/>
      <c r="T319" s="392"/>
      <c r="U319" s="392"/>
      <c r="V319" s="392"/>
      <c r="W319" s="392"/>
      <c r="X319" s="392"/>
      <c r="Y319" s="392"/>
      <c r="Z319" s="392"/>
      <c r="AA319" s="392"/>
      <c r="AB319" s="392"/>
      <c r="AC319" s="392"/>
      <c r="AD319" s="392"/>
      <c r="AE319" s="392"/>
      <c r="AF319" s="392"/>
    </row>
    <row r="320" ht="15.75" customHeight="1">
      <c r="A320" s="216"/>
      <c r="B320" s="156"/>
      <c r="C320" s="156"/>
      <c r="D320" s="156"/>
      <c r="E320" s="392"/>
      <c r="F320" s="392"/>
      <c r="G320" s="392"/>
      <c r="H320" s="392"/>
      <c r="I320" s="392"/>
      <c r="J320" s="392"/>
      <c r="K320" s="392"/>
      <c r="L320" s="392"/>
      <c r="M320" s="392"/>
      <c r="N320" s="392"/>
      <c r="O320" s="392"/>
      <c r="P320" s="392"/>
      <c r="Q320" s="392"/>
      <c r="R320" s="392"/>
      <c r="S320" s="392"/>
      <c r="T320" s="392"/>
      <c r="U320" s="392"/>
      <c r="V320" s="392"/>
      <c r="W320" s="392"/>
      <c r="X320" s="392"/>
      <c r="Y320" s="392"/>
      <c r="Z320" s="392"/>
      <c r="AA320" s="392"/>
      <c r="AB320" s="392"/>
      <c r="AC320" s="392"/>
      <c r="AD320" s="392"/>
      <c r="AE320" s="392"/>
      <c r="AF320" s="392"/>
    </row>
    <row r="321" ht="15.75" customHeight="1">
      <c r="A321" s="216"/>
      <c r="B321" s="156"/>
      <c r="C321" s="156"/>
      <c r="D321" s="156"/>
      <c r="E321" s="392"/>
      <c r="F321" s="392"/>
      <c r="G321" s="392"/>
      <c r="H321" s="392"/>
      <c r="I321" s="392"/>
      <c r="J321" s="392"/>
      <c r="K321" s="392"/>
      <c r="L321" s="392"/>
      <c r="M321" s="392"/>
      <c r="N321" s="392"/>
      <c r="O321" s="392"/>
      <c r="P321" s="392"/>
      <c r="Q321" s="392"/>
      <c r="R321" s="392"/>
      <c r="S321" s="392"/>
      <c r="T321" s="392"/>
      <c r="U321" s="392"/>
      <c r="V321" s="392"/>
      <c r="W321" s="392"/>
      <c r="X321" s="392"/>
      <c r="Y321" s="392"/>
      <c r="Z321" s="392"/>
      <c r="AA321" s="392"/>
      <c r="AB321" s="392"/>
      <c r="AC321" s="392"/>
      <c r="AD321" s="392"/>
      <c r="AE321" s="392"/>
      <c r="AF321" s="392"/>
    </row>
    <row r="322" ht="15.75" customHeight="1">
      <c r="A322" s="216"/>
      <c r="B322" s="156"/>
      <c r="C322" s="156"/>
      <c r="D322" s="156"/>
      <c r="E322" s="392"/>
      <c r="F322" s="392"/>
      <c r="G322" s="392"/>
      <c r="H322" s="392"/>
      <c r="I322" s="392"/>
      <c r="J322" s="392"/>
      <c r="K322" s="392"/>
      <c r="L322" s="392"/>
      <c r="M322" s="392"/>
      <c r="N322" s="392"/>
      <c r="O322" s="392"/>
      <c r="P322" s="392"/>
      <c r="Q322" s="392"/>
      <c r="R322" s="392"/>
      <c r="S322" s="392"/>
      <c r="T322" s="392"/>
      <c r="U322" s="392"/>
      <c r="V322" s="392"/>
      <c r="W322" s="392"/>
      <c r="X322" s="392"/>
      <c r="Y322" s="392"/>
      <c r="Z322" s="392"/>
      <c r="AA322" s="392"/>
      <c r="AB322" s="392"/>
      <c r="AC322" s="392"/>
      <c r="AD322" s="392"/>
      <c r="AE322" s="392"/>
      <c r="AF322" s="392"/>
    </row>
    <row r="323" ht="15.75" customHeight="1">
      <c r="A323" s="216"/>
      <c r="B323" s="156"/>
      <c r="C323" s="156"/>
      <c r="D323" s="156"/>
      <c r="E323" s="392"/>
      <c r="F323" s="392"/>
      <c r="G323" s="392"/>
      <c r="H323" s="392"/>
      <c r="I323" s="392"/>
      <c r="J323" s="392"/>
      <c r="K323" s="392"/>
      <c r="L323" s="392"/>
      <c r="M323" s="392"/>
      <c r="N323" s="392"/>
      <c r="O323" s="392"/>
      <c r="P323" s="392"/>
      <c r="Q323" s="392"/>
      <c r="R323" s="392"/>
      <c r="S323" s="392"/>
      <c r="T323" s="392"/>
      <c r="U323" s="392"/>
      <c r="V323" s="392"/>
      <c r="W323" s="392"/>
      <c r="X323" s="392"/>
      <c r="Y323" s="392"/>
      <c r="Z323" s="392"/>
      <c r="AA323" s="392"/>
      <c r="AB323" s="392"/>
      <c r="AC323" s="392"/>
      <c r="AD323" s="392"/>
      <c r="AE323" s="392"/>
      <c r="AF323" s="392"/>
    </row>
    <row r="324" ht="15.75" customHeight="1">
      <c r="A324" s="216"/>
      <c r="B324" s="156"/>
      <c r="C324" s="156"/>
      <c r="D324" s="156"/>
      <c r="E324" s="392"/>
      <c r="F324" s="392"/>
      <c r="G324" s="392"/>
      <c r="H324" s="392"/>
      <c r="I324" s="392"/>
      <c r="J324" s="392"/>
      <c r="K324" s="392"/>
      <c r="L324" s="392"/>
      <c r="M324" s="392"/>
      <c r="N324" s="392"/>
      <c r="O324" s="392"/>
      <c r="P324" s="392"/>
      <c r="Q324" s="392"/>
      <c r="R324" s="392"/>
      <c r="S324" s="392"/>
      <c r="T324" s="392"/>
      <c r="U324" s="392"/>
      <c r="V324" s="392"/>
      <c r="W324" s="392"/>
      <c r="X324" s="392"/>
      <c r="Y324" s="392"/>
      <c r="Z324" s="392"/>
      <c r="AA324" s="392"/>
      <c r="AB324" s="392"/>
      <c r="AC324" s="392"/>
      <c r="AD324" s="392"/>
      <c r="AE324" s="392"/>
      <c r="AF324" s="392"/>
    </row>
    <row r="325" ht="15.75" customHeight="1">
      <c r="A325" s="216"/>
      <c r="B325" s="156"/>
      <c r="C325" s="156"/>
      <c r="D325" s="156"/>
      <c r="E325" s="392"/>
      <c r="F325" s="392"/>
      <c r="G325" s="392"/>
      <c r="H325" s="392"/>
      <c r="I325" s="392"/>
      <c r="J325" s="392"/>
      <c r="K325" s="392"/>
      <c r="L325" s="392"/>
      <c r="M325" s="392"/>
      <c r="N325" s="392"/>
      <c r="O325" s="392"/>
      <c r="P325" s="392"/>
      <c r="Q325" s="392"/>
      <c r="R325" s="392"/>
      <c r="S325" s="392"/>
      <c r="T325" s="392"/>
      <c r="U325" s="392"/>
      <c r="V325" s="392"/>
      <c r="W325" s="392"/>
      <c r="X325" s="392"/>
      <c r="Y325" s="392"/>
      <c r="Z325" s="392"/>
      <c r="AA325" s="392"/>
      <c r="AB325" s="392"/>
      <c r="AC325" s="392"/>
      <c r="AD325" s="392"/>
      <c r="AE325" s="392"/>
      <c r="AF325" s="392"/>
    </row>
    <row r="326" ht="15.75" customHeight="1">
      <c r="A326" s="216"/>
      <c r="B326" s="156"/>
      <c r="C326" s="156"/>
      <c r="D326" s="156"/>
      <c r="E326" s="392"/>
      <c r="F326" s="392"/>
      <c r="G326" s="392"/>
      <c r="H326" s="392"/>
      <c r="I326" s="392"/>
      <c r="J326" s="392"/>
      <c r="K326" s="392"/>
      <c r="L326" s="392"/>
      <c r="M326" s="392"/>
      <c r="N326" s="392"/>
      <c r="O326" s="392"/>
      <c r="P326" s="392"/>
      <c r="Q326" s="392"/>
      <c r="R326" s="392"/>
      <c r="S326" s="392"/>
      <c r="T326" s="392"/>
      <c r="U326" s="392"/>
      <c r="V326" s="392"/>
      <c r="W326" s="392"/>
      <c r="X326" s="392"/>
      <c r="Y326" s="392"/>
      <c r="Z326" s="392"/>
      <c r="AA326" s="392"/>
      <c r="AB326" s="392"/>
      <c r="AC326" s="392"/>
      <c r="AD326" s="392"/>
      <c r="AE326" s="392"/>
      <c r="AF326" s="392"/>
    </row>
    <row r="327" ht="15.75" customHeight="1">
      <c r="A327" s="216"/>
      <c r="B327" s="156"/>
      <c r="C327" s="156"/>
      <c r="D327" s="156"/>
      <c r="E327" s="392"/>
      <c r="F327" s="392"/>
      <c r="G327" s="392"/>
      <c r="H327" s="392"/>
      <c r="I327" s="392"/>
      <c r="J327" s="392"/>
      <c r="K327" s="392"/>
      <c r="L327" s="392"/>
      <c r="M327" s="392"/>
      <c r="N327" s="392"/>
      <c r="O327" s="392"/>
      <c r="P327" s="392"/>
      <c r="Q327" s="392"/>
      <c r="R327" s="392"/>
      <c r="S327" s="392"/>
      <c r="T327" s="392"/>
      <c r="U327" s="392"/>
      <c r="V327" s="392"/>
      <c r="W327" s="392"/>
      <c r="X327" s="392"/>
      <c r="Y327" s="392"/>
      <c r="Z327" s="392"/>
      <c r="AA327" s="392"/>
      <c r="AB327" s="392"/>
      <c r="AC327" s="392"/>
      <c r="AD327" s="392"/>
      <c r="AE327" s="392"/>
      <c r="AF327" s="392"/>
    </row>
    <row r="328" ht="15.75" customHeight="1">
      <c r="A328" s="216"/>
      <c r="B328" s="156"/>
      <c r="C328" s="156"/>
      <c r="D328" s="156"/>
      <c r="E328" s="392"/>
      <c r="F328" s="392"/>
      <c r="G328" s="392"/>
      <c r="H328" s="392"/>
      <c r="I328" s="392"/>
      <c r="J328" s="392"/>
      <c r="K328" s="392"/>
      <c r="L328" s="392"/>
      <c r="M328" s="392"/>
      <c r="N328" s="392"/>
      <c r="O328" s="392"/>
      <c r="P328" s="392"/>
      <c r="Q328" s="392"/>
      <c r="R328" s="392"/>
      <c r="S328" s="392"/>
      <c r="T328" s="392"/>
      <c r="U328" s="392"/>
      <c r="V328" s="392"/>
      <c r="W328" s="392"/>
      <c r="X328" s="392"/>
      <c r="Y328" s="392"/>
      <c r="Z328" s="392"/>
      <c r="AA328" s="392"/>
      <c r="AB328" s="392"/>
      <c r="AC328" s="392"/>
      <c r="AD328" s="392"/>
      <c r="AE328" s="392"/>
      <c r="AF328" s="392"/>
    </row>
    <row r="329" ht="15.75" customHeight="1">
      <c r="A329" s="216"/>
      <c r="B329" s="156"/>
      <c r="C329" s="156"/>
      <c r="D329" s="156"/>
      <c r="E329" s="392"/>
      <c r="F329" s="392"/>
      <c r="G329" s="392"/>
      <c r="H329" s="392"/>
      <c r="I329" s="392"/>
      <c r="J329" s="392"/>
      <c r="K329" s="392"/>
      <c r="L329" s="392"/>
      <c r="M329" s="392"/>
      <c r="N329" s="392"/>
      <c r="O329" s="392"/>
      <c r="P329" s="392"/>
      <c r="Q329" s="392"/>
      <c r="R329" s="392"/>
      <c r="S329" s="392"/>
      <c r="T329" s="392"/>
      <c r="U329" s="392"/>
      <c r="V329" s="392"/>
      <c r="W329" s="392"/>
      <c r="X329" s="392"/>
      <c r="Y329" s="392"/>
      <c r="Z329" s="392"/>
      <c r="AA329" s="392"/>
      <c r="AB329" s="392"/>
      <c r="AC329" s="392"/>
      <c r="AD329" s="392"/>
      <c r="AE329" s="392"/>
      <c r="AF329" s="392"/>
    </row>
    <row r="330" ht="15.75" customHeight="1">
      <c r="A330" s="216"/>
      <c r="B330" s="156"/>
      <c r="C330" s="156"/>
      <c r="D330" s="156"/>
      <c r="E330" s="392"/>
      <c r="F330" s="392"/>
      <c r="G330" s="392"/>
      <c r="H330" s="392"/>
      <c r="I330" s="392"/>
      <c r="J330" s="392"/>
      <c r="K330" s="392"/>
      <c r="L330" s="392"/>
      <c r="M330" s="392"/>
      <c r="N330" s="392"/>
      <c r="O330" s="392"/>
      <c r="P330" s="392"/>
      <c r="Q330" s="392"/>
      <c r="R330" s="392"/>
      <c r="S330" s="392"/>
      <c r="T330" s="392"/>
      <c r="U330" s="392"/>
      <c r="V330" s="392"/>
      <c r="W330" s="392"/>
      <c r="X330" s="392"/>
      <c r="Y330" s="392"/>
      <c r="Z330" s="392"/>
      <c r="AA330" s="392"/>
      <c r="AB330" s="392"/>
      <c r="AC330" s="392"/>
      <c r="AD330" s="392"/>
      <c r="AE330" s="392"/>
      <c r="AF330" s="392"/>
    </row>
    <row r="331" ht="15.75" customHeight="1">
      <c r="A331" s="216"/>
      <c r="B331" s="156"/>
      <c r="C331" s="156"/>
      <c r="D331" s="156"/>
      <c r="E331" s="392"/>
      <c r="F331" s="392"/>
      <c r="G331" s="392"/>
      <c r="H331" s="392"/>
      <c r="I331" s="392"/>
      <c r="J331" s="392"/>
      <c r="K331" s="392"/>
      <c r="L331" s="392"/>
      <c r="M331" s="392"/>
      <c r="N331" s="392"/>
      <c r="O331" s="392"/>
      <c r="P331" s="392"/>
      <c r="Q331" s="392"/>
      <c r="R331" s="392"/>
      <c r="S331" s="392"/>
      <c r="T331" s="392"/>
      <c r="U331" s="392"/>
      <c r="V331" s="392"/>
      <c r="W331" s="392"/>
      <c r="X331" s="392"/>
      <c r="Y331" s="392"/>
      <c r="Z331" s="392"/>
      <c r="AA331" s="392"/>
      <c r="AB331" s="392"/>
      <c r="AC331" s="392"/>
      <c r="AD331" s="392"/>
      <c r="AE331" s="392"/>
      <c r="AF331" s="392"/>
    </row>
    <row r="332" ht="15.75" customHeight="1">
      <c r="A332" s="216"/>
      <c r="B332" s="156"/>
      <c r="C332" s="156"/>
      <c r="D332" s="156"/>
      <c r="E332" s="392"/>
      <c r="F332" s="392"/>
      <c r="G332" s="392"/>
      <c r="H332" s="392"/>
      <c r="I332" s="392"/>
      <c r="J332" s="392"/>
      <c r="K332" s="392"/>
      <c r="L332" s="392"/>
      <c r="M332" s="392"/>
      <c r="N332" s="392"/>
      <c r="O332" s="392"/>
      <c r="P332" s="392"/>
      <c r="Q332" s="392"/>
      <c r="R332" s="392"/>
      <c r="S332" s="392"/>
      <c r="T332" s="392"/>
      <c r="U332" s="392"/>
      <c r="V332" s="392"/>
      <c r="W332" s="392"/>
      <c r="X332" s="392"/>
      <c r="Y332" s="392"/>
      <c r="Z332" s="392"/>
      <c r="AA332" s="392"/>
      <c r="AB332" s="392"/>
      <c r="AC332" s="392"/>
      <c r="AD332" s="392"/>
      <c r="AE332" s="392"/>
      <c r="AF332" s="392"/>
    </row>
    <row r="333" ht="15.75" customHeight="1">
      <c r="A333" s="216"/>
      <c r="B333" s="156"/>
      <c r="C333" s="156"/>
      <c r="D333" s="156"/>
      <c r="E333" s="392"/>
      <c r="F333" s="392"/>
      <c r="G333" s="392"/>
      <c r="H333" s="392"/>
      <c r="I333" s="392"/>
      <c r="J333" s="392"/>
      <c r="K333" s="392"/>
      <c r="L333" s="392"/>
      <c r="M333" s="392"/>
      <c r="N333" s="392"/>
      <c r="O333" s="392"/>
      <c r="P333" s="392"/>
      <c r="Q333" s="392"/>
      <c r="R333" s="392"/>
      <c r="S333" s="392"/>
      <c r="T333" s="392"/>
      <c r="U333" s="392"/>
      <c r="V333" s="392"/>
      <c r="W333" s="392"/>
      <c r="X333" s="392"/>
      <c r="Y333" s="392"/>
      <c r="Z333" s="392"/>
      <c r="AA333" s="392"/>
      <c r="AB333" s="392"/>
      <c r="AC333" s="392"/>
      <c r="AD333" s="392"/>
      <c r="AE333" s="392"/>
      <c r="AF333" s="392"/>
    </row>
    <row r="334" ht="15.75" customHeight="1">
      <c r="A334" s="216"/>
      <c r="B334" s="156"/>
      <c r="C334" s="156"/>
      <c r="D334" s="156"/>
      <c r="E334" s="392"/>
      <c r="F334" s="392"/>
      <c r="G334" s="392"/>
      <c r="H334" s="392"/>
      <c r="I334" s="392"/>
      <c r="J334" s="392"/>
      <c r="K334" s="392"/>
      <c r="L334" s="392"/>
      <c r="M334" s="392"/>
      <c r="N334" s="392"/>
      <c r="O334" s="392"/>
      <c r="P334" s="392"/>
      <c r="Q334" s="392"/>
      <c r="R334" s="392"/>
      <c r="S334" s="392"/>
      <c r="T334" s="392"/>
      <c r="U334" s="392"/>
      <c r="V334" s="392"/>
      <c r="W334" s="392"/>
      <c r="X334" s="392"/>
      <c r="Y334" s="392"/>
      <c r="Z334" s="392"/>
      <c r="AA334" s="392"/>
      <c r="AB334" s="392"/>
      <c r="AC334" s="392"/>
      <c r="AD334" s="392"/>
      <c r="AE334" s="392"/>
      <c r="AF334" s="392"/>
    </row>
    <row r="335" ht="15.75" customHeight="1">
      <c r="A335" s="216"/>
      <c r="B335" s="156"/>
      <c r="C335" s="156"/>
      <c r="D335" s="156"/>
      <c r="E335" s="392"/>
      <c r="F335" s="392"/>
      <c r="G335" s="392"/>
      <c r="H335" s="392"/>
      <c r="I335" s="392"/>
      <c r="J335" s="392"/>
      <c r="K335" s="392"/>
      <c r="L335" s="392"/>
      <c r="M335" s="392"/>
      <c r="N335" s="392"/>
      <c r="O335" s="392"/>
      <c r="P335" s="392"/>
      <c r="Q335" s="392"/>
      <c r="R335" s="392"/>
      <c r="S335" s="392"/>
      <c r="T335" s="392"/>
      <c r="U335" s="392"/>
      <c r="V335" s="392"/>
      <c r="W335" s="392"/>
      <c r="X335" s="392"/>
      <c r="Y335" s="392"/>
      <c r="Z335" s="392"/>
      <c r="AA335" s="392"/>
      <c r="AB335" s="392"/>
      <c r="AC335" s="392"/>
      <c r="AD335" s="392"/>
      <c r="AE335" s="392"/>
      <c r="AF335" s="392"/>
    </row>
    <row r="336" ht="15.75" customHeight="1">
      <c r="A336" s="216"/>
      <c r="B336" s="156"/>
      <c r="C336" s="156"/>
      <c r="D336" s="156"/>
      <c r="E336" s="392"/>
      <c r="F336" s="392"/>
      <c r="G336" s="392"/>
      <c r="H336" s="392"/>
      <c r="I336" s="392"/>
      <c r="J336" s="392"/>
      <c r="K336" s="392"/>
      <c r="L336" s="392"/>
      <c r="M336" s="392"/>
      <c r="N336" s="392"/>
      <c r="O336" s="392"/>
      <c r="P336" s="392"/>
      <c r="Q336" s="392"/>
      <c r="R336" s="392"/>
      <c r="S336" s="392"/>
      <c r="T336" s="392"/>
      <c r="U336" s="392"/>
      <c r="V336" s="392"/>
      <c r="W336" s="392"/>
      <c r="X336" s="392"/>
      <c r="Y336" s="392"/>
      <c r="Z336" s="392"/>
      <c r="AA336" s="392"/>
      <c r="AB336" s="392"/>
      <c r="AC336" s="392"/>
      <c r="AD336" s="392"/>
      <c r="AE336" s="392"/>
      <c r="AF336" s="392"/>
    </row>
    <row r="337" ht="15.75" customHeight="1">
      <c r="A337" s="216"/>
      <c r="B337" s="156"/>
      <c r="C337" s="156"/>
      <c r="D337" s="156"/>
      <c r="E337" s="392"/>
      <c r="F337" s="392"/>
      <c r="G337" s="392"/>
      <c r="H337" s="392"/>
      <c r="I337" s="392"/>
      <c r="J337" s="392"/>
      <c r="K337" s="392"/>
      <c r="L337" s="392"/>
      <c r="M337" s="392"/>
      <c r="N337" s="392"/>
      <c r="O337" s="392"/>
      <c r="P337" s="392"/>
      <c r="Q337" s="392"/>
      <c r="R337" s="392"/>
      <c r="S337" s="392"/>
      <c r="T337" s="392"/>
      <c r="U337" s="392"/>
      <c r="V337" s="392"/>
      <c r="W337" s="392"/>
      <c r="X337" s="392"/>
      <c r="Y337" s="392"/>
      <c r="Z337" s="392"/>
      <c r="AA337" s="392"/>
      <c r="AB337" s="392"/>
      <c r="AC337" s="392"/>
      <c r="AD337" s="392"/>
      <c r="AE337" s="392"/>
      <c r="AF337" s="392"/>
    </row>
    <row r="338" ht="15.75" customHeight="1">
      <c r="A338" s="216"/>
      <c r="B338" s="156"/>
      <c r="C338" s="156"/>
      <c r="D338" s="156"/>
      <c r="E338" s="392"/>
      <c r="F338" s="392"/>
      <c r="G338" s="392"/>
      <c r="H338" s="392"/>
      <c r="I338" s="392"/>
      <c r="J338" s="392"/>
      <c r="K338" s="392"/>
      <c r="L338" s="392"/>
      <c r="M338" s="392"/>
      <c r="N338" s="392"/>
      <c r="O338" s="392"/>
      <c r="P338" s="392"/>
      <c r="Q338" s="392"/>
      <c r="R338" s="392"/>
      <c r="S338" s="392"/>
      <c r="T338" s="392"/>
      <c r="U338" s="392"/>
      <c r="V338" s="392"/>
      <c r="W338" s="392"/>
      <c r="X338" s="392"/>
      <c r="Y338" s="392"/>
      <c r="Z338" s="392"/>
      <c r="AA338" s="392"/>
      <c r="AB338" s="392"/>
      <c r="AC338" s="392"/>
      <c r="AD338" s="392"/>
      <c r="AE338" s="392"/>
      <c r="AF338" s="392"/>
    </row>
    <row r="339" ht="15.75" customHeight="1">
      <c r="A339" s="216"/>
      <c r="B339" s="156"/>
      <c r="C339" s="156"/>
      <c r="D339" s="156"/>
      <c r="E339" s="392"/>
      <c r="F339" s="392"/>
      <c r="G339" s="392"/>
      <c r="H339" s="392"/>
      <c r="I339" s="392"/>
      <c r="J339" s="392"/>
      <c r="K339" s="392"/>
      <c r="L339" s="392"/>
      <c r="M339" s="392"/>
      <c r="N339" s="392"/>
      <c r="O339" s="392"/>
      <c r="P339" s="392"/>
      <c r="Q339" s="392"/>
      <c r="R339" s="392"/>
      <c r="S339" s="392"/>
      <c r="T339" s="392"/>
      <c r="U339" s="392"/>
      <c r="V339" s="392"/>
      <c r="W339" s="392"/>
      <c r="X339" s="392"/>
      <c r="Y339" s="392"/>
      <c r="Z339" s="392"/>
      <c r="AA339" s="392"/>
      <c r="AB339" s="392"/>
      <c r="AC339" s="392"/>
      <c r="AD339" s="392"/>
      <c r="AE339" s="392"/>
      <c r="AF339" s="392"/>
    </row>
    <row r="340" ht="15.75" customHeight="1">
      <c r="A340" s="216"/>
      <c r="B340" s="156"/>
      <c r="C340" s="156"/>
      <c r="D340" s="156"/>
      <c r="E340" s="392"/>
      <c r="F340" s="392"/>
      <c r="G340" s="392"/>
      <c r="H340" s="392"/>
      <c r="I340" s="392"/>
      <c r="J340" s="392"/>
      <c r="K340" s="392"/>
      <c r="L340" s="392"/>
      <c r="M340" s="392"/>
      <c r="N340" s="392"/>
      <c r="O340" s="392"/>
      <c r="P340" s="392"/>
      <c r="Q340" s="392"/>
      <c r="R340" s="392"/>
      <c r="S340" s="392"/>
      <c r="T340" s="392"/>
      <c r="U340" s="392"/>
      <c r="V340" s="392"/>
      <c r="W340" s="392"/>
      <c r="X340" s="392"/>
      <c r="Y340" s="392"/>
      <c r="Z340" s="392"/>
      <c r="AA340" s="392"/>
      <c r="AB340" s="392"/>
      <c r="AC340" s="392"/>
      <c r="AD340" s="392"/>
      <c r="AE340" s="392"/>
      <c r="AF340" s="392"/>
    </row>
    <row r="341" ht="15.75" customHeight="1">
      <c r="A341" s="216"/>
      <c r="B341" s="156"/>
      <c r="C341" s="156"/>
      <c r="D341" s="156"/>
      <c r="E341" s="392"/>
      <c r="F341" s="392"/>
      <c r="G341" s="392"/>
      <c r="H341" s="392"/>
      <c r="I341" s="392"/>
      <c r="J341" s="392"/>
      <c r="K341" s="392"/>
      <c r="L341" s="392"/>
      <c r="M341" s="392"/>
      <c r="N341" s="392"/>
      <c r="O341" s="392"/>
      <c r="P341" s="392"/>
      <c r="Q341" s="392"/>
      <c r="R341" s="392"/>
      <c r="S341" s="392"/>
      <c r="T341" s="392"/>
      <c r="U341" s="392"/>
      <c r="V341" s="392"/>
      <c r="W341" s="392"/>
      <c r="X341" s="392"/>
      <c r="Y341" s="392"/>
      <c r="Z341" s="392"/>
      <c r="AA341" s="392"/>
      <c r="AB341" s="392"/>
      <c r="AC341" s="392"/>
      <c r="AD341" s="392"/>
      <c r="AE341" s="392"/>
      <c r="AF341" s="392"/>
    </row>
    <row r="342" ht="15.75" customHeight="1">
      <c r="A342" s="216"/>
      <c r="B342" s="156"/>
      <c r="C342" s="156"/>
      <c r="D342" s="156"/>
      <c r="E342" s="392"/>
      <c r="F342" s="392"/>
      <c r="G342" s="392"/>
      <c r="H342" s="392"/>
      <c r="I342" s="392"/>
      <c r="J342" s="392"/>
      <c r="K342" s="392"/>
      <c r="L342" s="392"/>
      <c r="M342" s="392"/>
      <c r="N342" s="392"/>
      <c r="O342" s="392"/>
      <c r="P342" s="392"/>
      <c r="Q342" s="392"/>
      <c r="R342" s="392"/>
      <c r="S342" s="392"/>
      <c r="T342" s="392"/>
      <c r="U342" s="392"/>
      <c r="V342" s="392"/>
      <c r="W342" s="392"/>
      <c r="X342" s="392"/>
      <c r="Y342" s="392"/>
      <c r="Z342" s="392"/>
      <c r="AA342" s="392"/>
      <c r="AB342" s="392"/>
      <c r="AC342" s="392"/>
      <c r="AD342" s="392"/>
      <c r="AE342" s="392"/>
      <c r="AF342" s="392"/>
    </row>
    <row r="343" ht="15.75" customHeight="1">
      <c r="A343" s="216"/>
      <c r="B343" s="156"/>
      <c r="C343" s="156"/>
      <c r="D343" s="156"/>
      <c r="E343" s="392"/>
      <c r="F343" s="392"/>
      <c r="G343" s="392"/>
      <c r="H343" s="392"/>
      <c r="I343" s="392"/>
      <c r="J343" s="392"/>
      <c r="K343" s="392"/>
      <c r="L343" s="392"/>
      <c r="M343" s="392"/>
      <c r="N343" s="392"/>
      <c r="O343" s="392"/>
      <c r="P343" s="392"/>
      <c r="Q343" s="392"/>
      <c r="R343" s="392"/>
      <c r="S343" s="392"/>
      <c r="T343" s="392"/>
      <c r="U343" s="392"/>
      <c r="V343" s="392"/>
      <c r="W343" s="392"/>
      <c r="X343" s="392"/>
      <c r="Y343" s="392"/>
      <c r="Z343" s="392"/>
      <c r="AA343" s="392"/>
      <c r="AB343" s="392"/>
      <c r="AC343" s="392"/>
      <c r="AD343" s="392"/>
      <c r="AE343" s="392"/>
      <c r="AF343" s="392"/>
    </row>
    <row r="344" ht="15.75" customHeight="1">
      <c r="A344" s="216"/>
      <c r="B344" s="156"/>
      <c r="C344" s="156"/>
      <c r="D344" s="156"/>
      <c r="E344" s="392"/>
      <c r="F344" s="392"/>
      <c r="G344" s="392"/>
      <c r="H344" s="392"/>
      <c r="I344" s="392"/>
      <c r="J344" s="392"/>
      <c r="K344" s="392"/>
      <c r="L344" s="392"/>
      <c r="M344" s="392"/>
      <c r="N344" s="392"/>
      <c r="O344" s="392"/>
      <c r="P344" s="392"/>
      <c r="Q344" s="392"/>
      <c r="R344" s="392"/>
      <c r="S344" s="392"/>
      <c r="T344" s="392"/>
      <c r="U344" s="392"/>
      <c r="V344" s="392"/>
      <c r="W344" s="392"/>
      <c r="X344" s="392"/>
      <c r="Y344" s="392"/>
      <c r="Z344" s="392"/>
      <c r="AA344" s="392"/>
      <c r="AB344" s="392"/>
      <c r="AC344" s="392"/>
      <c r="AD344" s="392"/>
      <c r="AE344" s="392"/>
      <c r="AF344" s="392"/>
    </row>
    <row r="345" ht="15.75" customHeight="1">
      <c r="A345" s="216"/>
      <c r="B345" s="156"/>
      <c r="C345" s="156"/>
      <c r="D345" s="156"/>
      <c r="E345" s="392"/>
      <c r="F345" s="392"/>
      <c r="G345" s="392"/>
      <c r="H345" s="392"/>
      <c r="I345" s="392"/>
      <c r="J345" s="392"/>
      <c r="K345" s="392"/>
      <c r="L345" s="392"/>
      <c r="M345" s="392"/>
      <c r="N345" s="392"/>
      <c r="O345" s="392"/>
      <c r="P345" s="392"/>
      <c r="Q345" s="392"/>
      <c r="R345" s="392"/>
      <c r="S345" s="392"/>
      <c r="T345" s="392"/>
      <c r="U345" s="392"/>
      <c r="V345" s="392"/>
      <c r="W345" s="392"/>
      <c r="X345" s="392"/>
      <c r="Y345" s="392"/>
      <c r="Z345" s="392"/>
      <c r="AA345" s="392"/>
      <c r="AB345" s="392"/>
      <c r="AC345" s="392"/>
      <c r="AD345" s="392"/>
      <c r="AE345" s="392"/>
      <c r="AF345" s="392"/>
    </row>
    <row r="346" ht="15.75" customHeight="1">
      <c r="A346" s="216"/>
      <c r="B346" s="156"/>
      <c r="C346" s="156"/>
      <c r="D346" s="156"/>
      <c r="E346" s="392"/>
      <c r="F346" s="392"/>
      <c r="G346" s="392"/>
      <c r="H346" s="392"/>
      <c r="I346" s="392"/>
      <c r="J346" s="392"/>
      <c r="K346" s="392"/>
      <c r="L346" s="392"/>
      <c r="M346" s="392"/>
      <c r="N346" s="392"/>
      <c r="O346" s="392"/>
      <c r="P346" s="392"/>
      <c r="Q346" s="392"/>
      <c r="R346" s="392"/>
      <c r="S346" s="392"/>
      <c r="T346" s="392"/>
      <c r="U346" s="392"/>
      <c r="V346" s="392"/>
      <c r="W346" s="392"/>
      <c r="X346" s="392"/>
      <c r="Y346" s="392"/>
      <c r="Z346" s="392"/>
      <c r="AA346" s="392"/>
      <c r="AB346" s="392"/>
      <c r="AC346" s="392"/>
      <c r="AD346" s="392"/>
      <c r="AE346" s="392"/>
      <c r="AF346" s="392"/>
    </row>
    <row r="347" ht="15.75" customHeight="1">
      <c r="A347" s="216"/>
      <c r="B347" s="156"/>
      <c r="C347" s="156"/>
      <c r="D347" s="156"/>
      <c r="E347" s="392"/>
      <c r="F347" s="392"/>
      <c r="G347" s="392"/>
      <c r="H347" s="392"/>
      <c r="I347" s="392"/>
      <c r="J347" s="392"/>
      <c r="K347" s="392"/>
      <c r="L347" s="392"/>
      <c r="M347" s="392"/>
      <c r="N347" s="392"/>
      <c r="O347" s="392"/>
      <c r="P347" s="392"/>
      <c r="Q347" s="392"/>
      <c r="R347" s="392"/>
      <c r="S347" s="392"/>
      <c r="T347" s="392"/>
      <c r="U347" s="392"/>
      <c r="V347" s="392"/>
      <c r="W347" s="392"/>
      <c r="X347" s="392"/>
      <c r="Y347" s="392"/>
      <c r="Z347" s="392"/>
      <c r="AA347" s="392"/>
      <c r="AB347" s="392"/>
      <c r="AC347" s="392"/>
      <c r="AD347" s="392"/>
      <c r="AE347" s="392"/>
      <c r="AF347" s="392"/>
    </row>
    <row r="348" ht="15.75" customHeight="1">
      <c r="A348" s="216"/>
      <c r="B348" s="156"/>
      <c r="C348" s="156"/>
      <c r="D348" s="156"/>
      <c r="E348" s="392"/>
      <c r="F348" s="392"/>
      <c r="G348" s="392"/>
      <c r="H348" s="392"/>
      <c r="I348" s="392"/>
      <c r="J348" s="392"/>
      <c r="K348" s="392"/>
      <c r="L348" s="392"/>
      <c r="M348" s="392"/>
      <c r="N348" s="392"/>
      <c r="O348" s="392"/>
      <c r="P348" s="392"/>
      <c r="Q348" s="392"/>
      <c r="R348" s="392"/>
      <c r="S348" s="392"/>
      <c r="T348" s="392"/>
      <c r="U348" s="392"/>
      <c r="V348" s="392"/>
      <c r="W348" s="392"/>
      <c r="X348" s="392"/>
      <c r="Y348" s="392"/>
      <c r="Z348" s="392"/>
      <c r="AA348" s="392"/>
      <c r="AB348" s="392"/>
      <c r="AC348" s="392"/>
      <c r="AD348" s="392"/>
      <c r="AE348" s="392"/>
      <c r="AF348" s="392"/>
    </row>
    <row r="349" ht="15.75" customHeight="1">
      <c r="A349" s="216"/>
      <c r="B349" s="156"/>
      <c r="C349" s="156"/>
      <c r="D349" s="156"/>
      <c r="E349" s="392"/>
      <c r="F349" s="392"/>
      <c r="G349" s="392"/>
      <c r="H349" s="392"/>
      <c r="I349" s="392"/>
      <c r="J349" s="392"/>
      <c r="K349" s="392"/>
      <c r="L349" s="392"/>
      <c r="M349" s="392"/>
      <c r="N349" s="392"/>
      <c r="O349" s="392"/>
      <c r="P349" s="392"/>
      <c r="Q349" s="392"/>
      <c r="R349" s="392"/>
      <c r="S349" s="392"/>
      <c r="T349" s="392"/>
      <c r="U349" s="392"/>
      <c r="V349" s="392"/>
      <c r="W349" s="392"/>
      <c r="X349" s="392"/>
      <c r="Y349" s="392"/>
      <c r="Z349" s="392"/>
      <c r="AA349" s="392"/>
      <c r="AB349" s="392"/>
      <c r="AC349" s="392"/>
      <c r="AD349" s="392"/>
      <c r="AE349" s="392"/>
      <c r="AF349" s="392"/>
    </row>
    <row r="350" ht="15.75" customHeight="1">
      <c r="A350" s="216"/>
      <c r="B350" s="156"/>
      <c r="C350" s="156"/>
      <c r="D350" s="156"/>
      <c r="E350" s="392"/>
      <c r="F350" s="392"/>
      <c r="G350" s="392"/>
      <c r="H350" s="392"/>
      <c r="I350" s="392"/>
      <c r="J350" s="392"/>
      <c r="K350" s="392"/>
      <c r="L350" s="392"/>
      <c r="M350" s="392"/>
      <c r="N350" s="392"/>
      <c r="O350" s="392"/>
      <c r="P350" s="392"/>
      <c r="Q350" s="392"/>
      <c r="R350" s="392"/>
      <c r="S350" s="392"/>
      <c r="T350" s="392"/>
      <c r="U350" s="392"/>
      <c r="V350" s="392"/>
      <c r="W350" s="392"/>
      <c r="X350" s="392"/>
      <c r="Y350" s="392"/>
      <c r="Z350" s="392"/>
      <c r="AA350" s="392"/>
      <c r="AB350" s="392"/>
      <c r="AC350" s="392"/>
      <c r="AD350" s="392"/>
      <c r="AE350" s="392"/>
      <c r="AF350" s="392"/>
    </row>
    <row r="351" ht="15.75" customHeight="1">
      <c r="A351" s="216"/>
      <c r="B351" s="156"/>
      <c r="C351" s="156"/>
      <c r="D351" s="156"/>
      <c r="E351" s="392"/>
      <c r="F351" s="392"/>
      <c r="G351" s="392"/>
      <c r="H351" s="392"/>
      <c r="I351" s="392"/>
      <c r="J351" s="392"/>
      <c r="K351" s="392"/>
      <c r="L351" s="392"/>
      <c r="M351" s="392"/>
      <c r="N351" s="392"/>
      <c r="O351" s="392"/>
      <c r="P351" s="392"/>
      <c r="Q351" s="392"/>
      <c r="R351" s="392"/>
      <c r="S351" s="392"/>
      <c r="T351" s="392"/>
      <c r="U351" s="392"/>
      <c r="V351" s="392"/>
      <c r="W351" s="392"/>
      <c r="X351" s="392"/>
      <c r="Y351" s="392"/>
      <c r="Z351" s="392"/>
      <c r="AA351" s="392"/>
      <c r="AB351" s="392"/>
      <c r="AC351" s="392"/>
      <c r="AD351" s="392"/>
      <c r="AE351" s="392"/>
      <c r="AF351" s="392"/>
    </row>
    <row r="352" ht="15.75" customHeight="1">
      <c r="A352" s="216"/>
      <c r="B352" s="156"/>
      <c r="C352" s="156"/>
      <c r="D352" s="156"/>
      <c r="E352" s="392"/>
      <c r="F352" s="392"/>
      <c r="G352" s="392"/>
      <c r="H352" s="392"/>
      <c r="I352" s="392"/>
      <c r="J352" s="392"/>
      <c r="K352" s="392"/>
      <c r="L352" s="392"/>
      <c r="M352" s="392"/>
      <c r="N352" s="392"/>
      <c r="O352" s="392"/>
      <c r="P352" s="392"/>
      <c r="Q352" s="392"/>
      <c r="R352" s="392"/>
      <c r="S352" s="392"/>
      <c r="T352" s="392"/>
      <c r="U352" s="392"/>
      <c r="V352" s="392"/>
      <c r="W352" s="392"/>
      <c r="X352" s="392"/>
      <c r="Y352" s="392"/>
      <c r="Z352" s="392"/>
      <c r="AA352" s="392"/>
      <c r="AB352" s="392"/>
      <c r="AC352" s="392"/>
      <c r="AD352" s="392"/>
      <c r="AE352" s="392"/>
      <c r="AF352" s="392"/>
    </row>
    <row r="353" ht="15.75" customHeight="1">
      <c r="A353" s="216"/>
      <c r="B353" s="156"/>
      <c r="C353" s="156"/>
      <c r="D353" s="156"/>
      <c r="E353" s="392"/>
      <c r="F353" s="392"/>
      <c r="G353" s="392"/>
      <c r="H353" s="392"/>
      <c r="I353" s="392"/>
      <c r="J353" s="392"/>
      <c r="K353" s="392"/>
      <c r="L353" s="392"/>
      <c r="M353" s="392"/>
      <c r="N353" s="392"/>
      <c r="O353" s="392"/>
      <c r="P353" s="392"/>
      <c r="Q353" s="392"/>
      <c r="R353" s="392"/>
      <c r="S353" s="392"/>
      <c r="T353" s="392"/>
      <c r="U353" s="392"/>
      <c r="V353" s="392"/>
      <c r="W353" s="392"/>
      <c r="X353" s="392"/>
      <c r="Y353" s="392"/>
      <c r="Z353" s="392"/>
      <c r="AA353" s="392"/>
      <c r="AB353" s="392"/>
      <c r="AC353" s="392"/>
      <c r="AD353" s="392"/>
      <c r="AE353" s="392"/>
      <c r="AF353" s="392"/>
    </row>
    <row r="354" ht="15.75" customHeight="1">
      <c r="A354" s="216"/>
      <c r="B354" s="156"/>
      <c r="C354" s="156"/>
      <c r="D354" s="156"/>
      <c r="E354" s="392"/>
      <c r="F354" s="392"/>
      <c r="G354" s="392"/>
      <c r="H354" s="392"/>
      <c r="I354" s="392"/>
      <c r="J354" s="392"/>
      <c r="K354" s="392"/>
      <c r="L354" s="392"/>
      <c r="M354" s="392"/>
      <c r="N354" s="392"/>
      <c r="O354" s="392"/>
      <c r="P354" s="392"/>
      <c r="Q354" s="392"/>
      <c r="R354" s="392"/>
      <c r="S354" s="392"/>
      <c r="T354" s="392"/>
      <c r="U354" s="392"/>
      <c r="V354" s="392"/>
      <c r="W354" s="392"/>
      <c r="X354" s="392"/>
      <c r="Y354" s="392"/>
      <c r="Z354" s="392"/>
      <c r="AA354" s="392"/>
      <c r="AB354" s="392"/>
      <c r="AC354" s="392"/>
      <c r="AD354" s="392"/>
      <c r="AE354" s="392"/>
      <c r="AF354" s="392"/>
    </row>
    <row r="355" ht="15.75" customHeight="1">
      <c r="A355" s="216"/>
      <c r="B355" s="156"/>
      <c r="C355" s="156"/>
      <c r="D355" s="156"/>
      <c r="E355" s="392"/>
      <c r="F355" s="392"/>
      <c r="G355" s="392"/>
      <c r="H355" s="392"/>
      <c r="I355" s="392"/>
      <c r="J355" s="392"/>
      <c r="K355" s="392"/>
      <c r="L355" s="392"/>
      <c r="M355" s="392"/>
      <c r="N355" s="392"/>
      <c r="O355" s="392"/>
      <c r="P355" s="392"/>
      <c r="Q355" s="392"/>
      <c r="R355" s="392"/>
      <c r="S355" s="392"/>
      <c r="T355" s="392"/>
      <c r="U355" s="392"/>
      <c r="V355" s="392"/>
      <c r="W355" s="392"/>
      <c r="X355" s="392"/>
      <c r="Y355" s="392"/>
      <c r="Z355" s="392"/>
      <c r="AA355" s="392"/>
      <c r="AB355" s="392"/>
      <c r="AC355" s="392"/>
      <c r="AD355" s="392"/>
      <c r="AE355" s="392"/>
      <c r="AF355" s="392"/>
    </row>
    <row r="356" ht="15.75" customHeight="1">
      <c r="A356" s="216"/>
      <c r="B356" s="156"/>
      <c r="C356" s="156"/>
      <c r="D356" s="156"/>
      <c r="E356" s="392"/>
      <c r="F356" s="392"/>
      <c r="G356" s="392"/>
      <c r="H356" s="392"/>
      <c r="I356" s="392"/>
      <c r="J356" s="392"/>
      <c r="K356" s="392"/>
      <c r="L356" s="392"/>
      <c r="M356" s="392"/>
      <c r="N356" s="392"/>
      <c r="O356" s="392"/>
      <c r="P356" s="392"/>
      <c r="Q356" s="392"/>
      <c r="R356" s="392"/>
      <c r="S356" s="392"/>
      <c r="T356" s="392"/>
      <c r="U356" s="392"/>
      <c r="V356" s="392"/>
      <c r="W356" s="392"/>
      <c r="X356" s="392"/>
      <c r="Y356" s="392"/>
      <c r="Z356" s="392"/>
      <c r="AA356" s="392"/>
      <c r="AB356" s="392"/>
      <c r="AC356" s="392"/>
      <c r="AD356" s="392"/>
      <c r="AE356" s="392"/>
      <c r="AF356" s="392"/>
    </row>
    <row r="357" ht="15.75" customHeight="1">
      <c r="A357" s="216"/>
      <c r="B357" s="156"/>
      <c r="C357" s="156"/>
      <c r="D357" s="156"/>
      <c r="E357" s="392"/>
      <c r="F357" s="392"/>
      <c r="G357" s="392"/>
      <c r="H357" s="392"/>
      <c r="I357" s="392"/>
      <c r="J357" s="392"/>
      <c r="K357" s="392"/>
      <c r="L357" s="392"/>
      <c r="M357" s="392"/>
      <c r="N357" s="392"/>
      <c r="O357" s="392"/>
      <c r="P357" s="392"/>
      <c r="Q357" s="392"/>
      <c r="R357" s="392"/>
      <c r="S357" s="392"/>
      <c r="T357" s="392"/>
      <c r="U357" s="392"/>
      <c r="V357" s="392"/>
      <c r="W357" s="392"/>
      <c r="X357" s="392"/>
      <c r="Y357" s="392"/>
      <c r="Z357" s="392"/>
      <c r="AA357" s="392"/>
      <c r="AB357" s="392"/>
      <c r="AC357" s="392"/>
      <c r="AD357" s="392"/>
      <c r="AE357" s="392"/>
      <c r="AF357" s="392"/>
    </row>
    <row r="358" ht="15.75" customHeight="1">
      <c r="A358" s="216"/>
      <c r="B358" s="156"/>
      <c r="C358" s="156"/>
      <c r="D358" s="156"/>
      <c r="E358" s="392"/>
      <c r="F358" s="392"/>
      <c r="G358" s="392"/>
      <c r="H358" s="392"/>
      <c r="I358" s="392"/>
      <c r="J358" s="392"/>
      <c r="K358" s="392"/>
      <c r="L358" s="392"/>
      <c r="M358" s="392"/>
      <c r="N358" s="392"/>
      <c r="O358" s="392"/>
      <c r="P358" s="392"/>
      <c r="Q358" s="392"/>
      <c r="R358" s="392"/>
      <c r="S358" s="392"/>
      <c r="T358" s="392"/>
      <c r="U358" s="392"/>
      <c r="V358" s="392"/>
      <c r="W358" s="392"/>
      <c r="X358" s="392"/>
      <c r="Y358" s="392"/>
      <c r="Z358" s="392"/>
      <c r="AA358" s="392"/>
      <c r="AB358" s="392"/>
      <c r="AC358" s="392"/>
      <c r="AD358" s="392"/>
      <c r="AE358" s="392"/>
      <c r="AF358" s="392"/>
    </row>
    <row r="359" ht="15.75" customHeight="1">
      <c r="A359" s="216"/>
      <c r="B359" s="156"/>
      <c r="C359" s="156"/>
      <c r="D359" s="156"/>
      <c r="E359" s="392"/>
      <c r="F359" s="392"/>
      <c r="G359" s="392"/>
      <c r="H359" s="392"/>
      <c r="I359" s="392"/>
      <c r="J359" s="392"/>
      <c r="K359" s="392"/>
      <c r="L359" s="392"/>
      <c r="M359" s="392"/>
      <c r="N359" s="392"/>
      <c r="O359" s="392"/>
      <c r="P359" s="392"/>
      <c r="Q359" s="392"/>
      <c r="R359" s="392"/>
      <c r="S359" s="392"/>
      <c r="T359" s="392"/>
      <c r="U359" s="392"/>
      <c r="V359" s="392"/>
      <c r="W359" s="392"/>
      <c r="X359" s="392"/>
      <c r="Y359" s="392"/>
      <c r="Z359" s="392"/>
      <c r="AA359" s="392"/>
      <c r="AB359" s="392"/>
      <c r="AC359" s="392"/>
      <c r="AD359" s="392"/>
      <c r="AE359" s="392"/>
      <c r="AF359" s="392"/>
    </row>
    <row r="360" ht="15.75" customHeight="1">
      <c r="A360" s="216"/>
      <c r="B360" s="156"/>
      <c r="C360" s="156"/>
      <c r="D360" s="156"/>
      <c r="E360" s="392"/>
      <c r="F360" s="392"/>
      <c r="G360" s="392"/>
      <c r="H360" s="392"/>
      <c r="I360" s="392"/>
      <c r="J360" s="392"/>
      <c r="K360" s="392"/>
      <c r="L360" s="392"/>
      <c r="M360" s="392"/>
      <c r="N360" s="392"/>
      <c r="O360" s="392"/>
      <c r="P360" s="392"/>
      <c r="Q360" s="392"/>
      <c r="R360" s="392"/>
      <c r="S360" s="392"/>
      <c r="T360" s="392"/>
      <c r="U360" s="392"/>
      <c r="V360" s="392"/>
      <c r="W360" s="392"/>
      <c r="X360" s="392"/>
      <c r="Y360" s="392"/>
      <c r="Z360" s="392"/>
      <c r="AA360" s="392"/>
      <c r="AB360" s="392"/>
      <c r="AC360" s="392"/>
      <c r="AD360" s="392"/>
      <c r="AE360" s="392"/>
      <c r="AF360" s="392"/>
    </row>
    <row r="361" ht="15.75" customHeight="1">
      <c r="A361" s="216"/>
      <c r="B361" s="156"/>
      <c r="C361" s="156"/>
      <c r="D361" s="156"/>
      <c r="E361" s="392"/>
      <c r="F361" s="392"/>
      <c r="G361" s="392"/>
      <c r="H361" s="392"/>
      <c r="I361" s="392"/>
      <c r="J361" s="392"/>
      <c r="K361" s="392"/>
      <c r="L361" s="392"/>
      <c r="M361" s="392"/>
      <c r="N361" s="392"/>
      <c r="O361" s="392"/>
      <c r="P361" s="392"/>
      <c r="Q361" s="392"/>
      <c r="R361" s="392"/>
      <c r="S361" s="392"/>
      <c r="T361" s="392"/>
      <c r="U361" s="392"/>
      <c r="V361" s="392"/>
      <c r="W361" s="392"/>
      <c r="X361" s="392"/>
      <c r="Y361" s="392"/>
      <c r="Z361" s="392"/>
      <c r="AA361" s="392"/>
      <c r="AB361" s="392"/>
      <c r="AC361" s="392"/>
      <c r="AD361" s="392"/>
      <c r="AE361" s="392"/>
      <c r="AF361" s="392"/>
    </row>
    <row r="362" ht="15.75" customHeight="1">
      <c r="A362" s="216"/>
      <c r="B362" s="156"/>
      <c r="C362" s="156"/>
      <c r="D362" s="156"/>
      <c r="E362" s="392"/>
      <c r="F362" s="392"/>
      <c r="G362" s="392"/>
      <c r="H362" s="392"/>
      <c r="I362" s="392"/>
      <c r="J362" s="392"/>
      <c r="K362" s="392"/>
      <c r="L362" s="392"/>
      <c r="M362" s="392"/>
      <c r="N362" s="392"/>
      <c r="O362" s="392"/>
      <c r="P362" s="392"/>
      <c r="Q362" s="392"/>
      <c r="R362" s="392"/>
      <c r="S362" s="392"/>
      <c r="T362" s="392"/>
      <c r="U362" s="392"/>
      <c r="V362" s="392"/>
      <c r="W362" s="392"/>
      <c r="X362" s="392"/>
      <c r="Y362" s="392"/>
      <c r="Z362" s="392"/>
      <c r="AA362" s="392"/>
      <c r="AB362" s="392"/>
      <c r="AC362" s="392"/>
      <c r="AD362" s="392"/>
      <c r="AE362" s="392"/>
      <c r="AF362" s="392"/>
    </row>
    <row r="363" ht="15.75" customHeight="1">
      <c r="A363" s="216"/>
      <c r="B363" s="156"/>
      <c r="C363" s="156"/>
      <c r="D363" s="156"/>
      <c r="E363" s="392"/>
      <c r="F363" s="392"/>
      <c r="G363" s="392"/>
      <c r="H363" s="392"/>
      <c r="I363" s="392"/>
      <c r="J363" s="392"/>
      <c r="K363" s="392"/>
      <c r="L363" s="392"/>
      <c r="M363" s="392"/>
      <c r="N363" s="392"/>
      <c r="O363" s="392"/>
      <c r="P363" s="392"/>
      <c r="Q363" s="392"/>
      <c r="R363" s="392"/>
      <c r="S363" s="392"/>
      <c r="T363" s="392"/>
      <c r="U363" s="392"/>
      <c r="V363" s="392"/>
      <c r="W363" s="392"/>
      <c r="X363" s="392"/>
      <c r="Y363" s="392"/>
      <c r="Z363" s="392"/>
      <c r="AA363" s="392"/>
      <c r="AB363" s="392"/>
      <c r="AC363" s="392"/>
      <c r="AD363" s="392"/>
      <c r="AE363" s="392"/>
      <c r="AF363" s="392"/>
    </row>
    <row r="364" ht="15.75" customHeight="1">
      <c r="A364" s="216"/>
      <c r="B364" s="156"/>
      <c r="C364" s="156"/>
      <c r="D364" s="156"/>
      <c r="E364" s="392"/>
      <c r="F364" s="392"/>
      <c r="G364" s="392"/>
      <c r="H364" s="392"/>
      <c r="I364" s="392"/>
      <c r="J364" s="392"/>
      <c r="K364" s="392"/>
      <c r="L364" s="392"/>
      <c r="M364" s="392"/>
      <c r="N364" s="392"/>
      <c r="O364" s="392"/>
      <c r="P364" s="392"/>
      <c r="Q364" s="392"/>
      <c r="R364" s="392"/>
      <c r="S364" s="392"/>
      <c r="T364" s="392"/>
      <c r="U364" s="392"/>
      <c r="V364" s="392"/>
      <c r="W364" s="392"/>
      <c r="X364" s="392"/>
      <c r="Y364" s="392"/>
      <c r="Z364" s="392"/>
      <c r="AA364" s="392"/>
      <c r="AB364" s="392"/>
      <c r="AC364" s="392"/>
      <c r="AD364" s="392"/>
      <c r="AE364" s="392"/>
      <c r="AF364" s="392"/>
    </row>
    <row r="365" ht="15.75" customHeight="1">
      <c r="A365" s="216"/>
      <c r="B365" s="156"/>
      <c r="C365" s="156"/>
      <c r="D365" s="156"/>
      <c r="E365" s="392"/>
      <c r="F365" s="392"/>
      <c r="G365" s="392"/>
      <c r="H365" s="392"/>
      <c r="I365" s="392"/>
      <c r="J365" s="392"/>
      <c r="K365" s="392"/>
      <c r="L365" s="392"/>
      <c r="M365" s="392"/>
      <c r="N365" s="392"/>
      <c r="O365" s="392"/>
      <c r="P365" s="392"/>
      <c r="Q365" s="392"/>
      <c r="R365" s="392"/>
      <c r="S365" s="392"/>
      <c r="T365" s="392"/>
      <c r="U365" s="392"/>
      <c r="V365" s="392"/>
      <c r="W365" s="392"/>
      <c r="X365" s="392"/>
      <c r="Y365" s="392"/>
      <c r="Z365" s="392"/>
      <c r="AA365" s="392"/>
      <c r="AB365" s="392"/>
      <c r="AC365" s="392"/>
      <c r="AD365" s="392"/>
      <c r="AE365" s="392"/>
      <c r="AF365" s="392"/>
    </row>
    <row r="366" ht="15.75" customHeight="1">
      <c r="A366" s="216"/>
      <c r="B366" s="156"/>
      <c r="C366" s="156"/>
      <c r="D366" s="156"/>
      <c r="E366" s="392"/>
      <c r="F366" s="392"/>
      <c r="G366" s="392"/>
      <c r="H366" s="392"/>
      <c r="I366" s="392"/>
      <c r="J366" s="392"/>
      <c r="K366" s="392"/>
      <c r="L366" s="392"/>
      <c r="M366" s="392"/>
      <c r="N366" s="392"/>
      <c r="O366" s="392"/>
      <c r="P366" s="392"/>
      <c r="Q366" s="392"/>
      <c r="R366" s="392"/>
      <c r="S366" s="392"/>
      <c r="T366" s="392"/>
      <c r="U366" s="392"/>
      <c r="V366" s="392"/>
      <c r="W366" s="392"/>
      <c r="X366" s="392"/>
      <c r="Y366" s="392"/>
      <c r="Z366" s="392"/>
      <c r="AA366" s="392"/>
      <c r="AB366" s="392"/>
      <c r="AC366" s="392"/>
      <c r="AD366" s="392"/>
      <c r="AE366" s="392"/>
      <c r="AF366" s="392"/>
    </row>
    <row r="367" ht="15.75" customHeight="1">
      <c r="A367" s="216"/>
      <c r="B367" s="156"/>
      <c r="C367" s="156"/>
      <c r="D367" s="156"/>
      <c r="E367" s="392"/>
      <c r="F367" s="392"/>
      <c r="G367" s="392"/>
      <c r="H367" s="392"/>
      <c r="I367" s="392"/>
      <c r="J367" s="392"/>
      <c r="K367" s="392"/>
      <c r="L367" s="392"/>
      <c r="M367" s="392"/>
      <c r="N367" s="392"/>
      <c r="O367" s="392"/>
      <c r="P367" s="392"/>
      <c r="Q367" s="392"/>
      <c r="R367" s="392"/>
      <c r="S367" s="392"/>
      <c r="T367" s="392"/>
      <c r="U367" s="392"/>
      <c r="V367" s="392"/>
      <c r="W367" s="392"/>
      <c r="X367" s="392"/>
      <c r="Y367" s="392"/>
      <c r="Z367" s="392"/>
      <c r="AA367" s="392"/>
      <c r="AB367" s="392"/>
      <c r="AC367" s="392"/>
      <c r="AD367" s="392"/>
      <c r="AE367" s="392"/>
      <c r="AF367" s="392"/>
    </row>
    <row r="368" ht="15.75" customHeight="1">
      <c r="A368" s="216"/>
      <c r="B368" s="156"/>
      <c r="C368" s="156"/>
      <c r="D368" s="156"/>
      <c r="E368" s="392"/>
      <c r="F368" s="392"/>
      <c r="G368" s="392"/>
      <c r="H368" s="392"/>
      <c r="I368" s="392"/>
      <c r="J368" s="392"/>
      <c r="K368" s="392"/>
      <c r="L368" s="392"/>
      <c r="M368" s="392"/>
      <c r="N368" s="392"/>
      <c r="O368" s="392"/>
      <c r="P368" s="392"/>
      <c r="Q368" s="392"/>
      <c r="R368" s="392"/>
      <c r="S368" s="392"/>
      <c r="T368" s="392"/>
      <c r="U368" s="392"/>
      <c r="V368" s="392"/>
      <c r="W368" s="392"/>
      <c r="X368" s="392"/>
      <c r="Y368" s="392"/>
      <c r="Z368" s="392"/>
      <c r="AA368" s="392"/>
      <c r="AB368" s="392"/>
      <c r="AC368" s="392"/>
      <c r="AD368" s="392"/>
      <c r="AE368" s="392"/>
      <c r="AF368" s="392"/>
    </row>
    <row r="369" ht="15.75" customHeight="1">
      <c r="A369" s="216"/>
      <c r="B369" s="156"/>
      <c r="C369" s="156"/>
      <c r="D369" s="156"/>
      <c r="E369" s="392"/>
      <c r="F369" s="392"/>
      <c r="G369" s="392"/>
      <c r="H369" s="392"/>
      <c r="I369" s="392"/>
      <c r="J369" s="392"/>
      <c r="K369" s="392"/>
      <c r="L369" s="392"/>
      <c r="M369" s="392"/>
      <c r="N369" s="392"/>
      <c r="O369" s="392"/>
      <c r="P369" s="392"/>
      <c r="Q369" s="392"/>
      <c r="R369" s="392"/>
      <c r="S369" s="392"/>
      <c r="T369" s="392"/>
      <c r="U369" s="392"/>
      <c r="V369" s="392"/>
      <c r="W369" s="392"/>
      <c r="X369" s="392"/>
      <c r="Y369" s="392"/>
      <c r="Z369" s="392"/>
      <c r="AA369" s="392"/>
      <c r="AB369" s="392"/>
      <c r="AC369" s="392"/>
      <c r="AD369" s="392"/>
      <c r="AE369" s="392"/>
      <c r="AF369" s="392"/>
    </row>
    <row r="370" ht="15.75" customHeight="1">
      <c r="A370" s="216"/>
      <c r="B370" s="156"/>
      <c r="C370" s="156"/>
      <c r="D370" s="156"/>
      <c r="E370" s="392"/>
      <c r="F370" s="392"/>
      <c r="G370" s="392"/>
      <c r="H370" s="392"/>
      <c r="I370" s="392"/>
      <c r="J370" s="392"/>
      <c r="K370" s="392"/>
      <c r="L370" s="392"/>
      <c r="M370" s="392"/>
      <c r="N370" s="392"/>
      <c r="O370" s="392"/>
      <c r="P370" s="392"/>
      <c r="Q370" s="392"/>
      <c r="R370" s="392"/>
      <c r="S370" s="392"/>
      <c r="T370" s="392"/>
      <c r="U370" s="392"/>
      <c r="V370" s="392"/>
      <c r="W370" s="392"/>
      <c r="X370" s="392"/>
      <c r="Y370" s="392"/>
      <c r="Z370" s="392"/>
      <c r="AA370" s="392"/>
      <c r="AB370" s="392"/>
      <c r="AC370" s="392"/>
      <c r="AD370" s="392"/>
      <c r="AE370" s="392"/>
      <c r="AF370" s="392"/>
    </row>
    <row r="371" ht="15.75" customHeight="1">
      <c r="A371" s="216"/>
      <c r="B371" s="156"/>
      <c r="C371" s="156"/>
      <c r="D371" s="156"/>
      <c r="E371" s="392"/>
      <c r="F371" s="392"/>
      <c r="G371" s="392"/>
      <c r="H371" s="392"/>
      <c r="I371" s="392"/>
      <c r="J371" s="392"/>
      <c r="K371" s="392"/>
      <c r="L371" s="392"/>
      <c r="M371" s="392"/>
      <c r="N371" s="392"/>
      <c r="O371" s="392"/>
      <c r="P371" s="392"/>
      <c r="Q371" s="392"/>
      <c r="R371" s="392"/>
      <c r="S371" s="392"/>
      <c r="T371" s="392"/>
      <c r="U371" s="392"/>
      <c r="V371" s="392"/>
      <c r="W371" s="392"/>
      <c r="X371" s="392"/>
      <c r="Y371" s="392"/>
      <c r="Z371" s="392"/>
      <c r="AA371" s="392"/>
      <c r="AB371" s="392"/>
      <c r="AC371" s="392"/>
      <c r="AD371" s="392"/>
      <c r="AE371" s="392"/>
      <c r="AF371" s="392"/>
    </row>
    <row r="372" ht="15.75" customHeight="1">
      <c r="A372" s="216"/>
      <c r="B372" s="156"/>
      <c r="C372" s="156"/>
      <c r="D372" s="156"/>
      <c r="E372" s="392"/>
      <c r="F372" s="392"/>
      <c r="G372" s="392"/>
      <c r="H372" s="392"/>
      <c r="I372" s="392"/>
      <c r="J372" s="392"/>
      <c r="K372" s="392"/>
      <c r="L372" s="392"/>
      <c r="M372" s="392"/>
      <c r="N372" s="392"/>
      <c r="O372" s="392"/>
      <c r="P372" s="392"/>
      <c r="Q372" s="392"/>
      <c r="R372" s="392"/>
      <c r="S372" s="392"/>
      <c r="T372" s="392"/>
      <c r="U372" s="392"/>
      <c r="V372" s="392"/>
      <c r="W372" s="392"/>
      <c r="X372" s="392"/>
      <c r="Y372" s="392"/>
      <c r="Z372" s="392"/>
      <c r="AA372" s="392"/>
      <c r="AB372" s="392"/>
      <c r="AC372" s="392"/>
      <c r="AD372" s="392"/>
      <c r="AE372" s="392"/>
      <c r="AF372" s="392"/>
    </row>
    <row r="373" ht="15.75" customHeight="1">
      <c r="A373" s="216"/>
      <c r="B373" s="156"/>
      <c r="C373" s="156"/>
      <c r="D373" s="156"/>
      <c r="E373" s="392"/>
      <c r="F373" s="392"/>
      <c r="G373" s="392"/>
      <c r="H373" s="392"/>
      <c r="I373" s="392"/>
      <c r="J373" s="392"/>
      <c r="K373" s="392"/>
      <c r="L373" s="392"/>
      <c r="M373" s="392"/>
      <c r="N373" s="392"/>
      <c r="O373" s="392"/>
      <c r="P373" s="392"/>
      <c r="Q373" s="392"/>
      <c r="R373" s="392"/>
      <c r="S373" s="392"/>
      <c r="T373" s="392"/>
      <c r="U373" s="392"/>
      <c r="V373" s="392"/>
      <c r="W373" s="392"/>
      <c r="X373" s="392"/>
      <c r="Y373" s="392"/>
      <c r="Z373" s="392"/>
      <c r="AA373" s="392"/>
      <c r="AB373" s="392"/>
      <c r="AC373" s="392"/>
      <c r="AD373" s="392"/>
      <c r="AE373" s="392"/>
      <c r="AF373" s="392"/>
    </row>
    <row r="374" ht="15.75" customHeight="1">
      <c r="A374" s="216"/>
      <c r="B374" s="156"/>
      <c r="C374" s="156"/>
      <c r="D374" s="156"/>
      <c r="E374" s="392"/>
      <c r="F374" s="392"/>
      <c r="G374" s="392"/>
      <c r="H374" s="392"/>
      <c r="I374" s="392"/>
      <c r="J374" s="392"/>
      <c r="K374" s="392"/>
      <c r="L374" s="392"/>
      <c r="M374" s="392"/>
      <c r="N374" s="392"/>
      <c r="O374" s="392"/>
      <c r="P374" s="392"/>
      <c r="Q374" s="392"/>
      <c r="R374" s="392"/>
      <c r="S374" s="392"/>
      <c r="T374" s="392"/>
      <c r="U374" s="392"/>
      <c r="V374" s="392"/>
      <c r="W374" s="392"/>
      <c r="X374" s="392"/>
      <c r="Y374" s="392"/>
      <c r="Z374" s="392"/>
      <c r="AA374" s="392"/>
      <c r="AB374" s="392"/>
      <c r="AC374" s="392"/>
      <c r="AD374" s="392"/>
      <c r="AE374" s="392"/>
      <c r="AF374" s="392"/>
    </row>
    <row r="375" ht="15.75" customHeight="1">
      <c r="A375" s="216"/>
      <c r="B375" s="156"/>
      <c r="C375" s="156"/>
      <c r="D375" s="156"/>
      <c r="E375" s="392"/>
      <c r="F375" s="392"/>
      <c r="G375" s="392"/>
      <c r="H375" s="392"/>
      <c r="I375" s="392"/>
      <c r="J375" s="392"/>
      <c r="K375" s="392"/>
      <c r="L375" s="392"/>
      <c r="M375" s="392"/>
      <c r="N375" s="392"/>
      <c r="O375" s="392"/>
      <c r="P375" s="392"/>
      <c r="Q375" s="392"/>
      <c r="R375" s="392"/>
      <c r="S375" s="392"/>
      <c r="T375" s="392"/>
      <c r="U375" s="392"/>
      <c r="V375" s="392"/>
      <c r="W375" s="392"/>
      <c r="X375" s="392"/>
      <c r="Y375" s="392"/>
      <c r="Z375" s="392"/>
      <c r="AA375" s="392"/>
      <c r="AB375" s="392"/>
      <c r="AC375" s="392"/>
      <c r="AD375" s="392"/>
      <c r="AE375" s="392"/>
      <c r="AF375" s="392"/>
    </row>
    <row r="376" ht="15.75" customHeight="1">
      <c r="A376" s="216"/>
      <c r="B376" s="156"/>
      <c r="C376" s="156"/>
      <c r="D376" s="156"/>
      <c r="E376" s="392"/>
      <c r="F376" s="392"/>
      <c r="G376" s="392"/>
      <c r="H376" s="392"/>
      <c r="I376" s="392"/>
      <c r="J376" s="392"/>
      <c r="K376" s="392"/>
      <c r="L376" s="392"/>
      <c r="M376" s="392"/>
      <c r="N376" s="392"/>
      <c r="O376" s="392"/>
      <c r="P376" s="392"/>
      <c r="Q376" s="392"/>
      <c r="R376" s="392"/>
      <c r="S376" s="392"/>
      <c r="T376" s="392"/>
      <c r="U376" s="392"/>
      <c r="V376" s="392"/>
      <c r="W376" s="392"/>
      <c r="X376" s="392"/>
      <c r="Y376" s="392"/>
      <c r="Z376" s="392"/>
      <c r="AA376" s="392"/>
      <c r="AB376" s="392"/>
      <c r="AC376" s="392"/>
      <c r="AD376" s="392"/>
      <c r="AE376" s="392"/>
      <c r="AF376" s="392"/>
    </row>
    <row r="377" ht="15.75" customHeight="1">
      <c r="A377" s="216"/>
      <c r="B377" s="156"/>
      <c r="C377" s="156"/>
      <c r="D377" s="156"/>
      <c r="E377" s="392"/>
      <c r="F377" s="392"/>
      <c r="G377" s="392"/>
      <c r="H377" s="392"/>
      <c r="I377" s="392"/>
      <c r="J377" s="392"/>
      <c r="K377" s="392"/>
      <c r="L377" s="392"/>
      <c r="M377" s="392"/>
      <c r="N377" s="392"/>
      <c r="O377" s="392"/>
      <c r="P377" s="392"/>
      <c r="Q377" s="392"/>
      <c r="R377" s="392"/>
      <c r="S377" s="392"/>
      <c r="T377" s="392"/>
      <c r="U377" s="392"/>
      <c r="V377" s="392"/>
      <c r="W377" s="392"/>
      <c r="X377" s="392"/>
      <c r="Y377" s="392"/>
      <c r="Z377" s="392"/>
      <c r="AA377" s="392"/>
      <c r="AB377" s="392"/>
      <c r="AC377" s="392"/>
      <c r="AD377" s="392"/>
      <c r="AE377" s="392"/>
      <c r="AF377" s="392"/>
    </row>
    <row r="378" ht="15.75" customHeight="1">
      <c r="A378" s="216"/>
      <c r="B378" s="156"/>
      <c r="C378" s="156"/>
      <c r="D378" s="156"/>
      <c r="E378" s="392"/>
      <c r="F378" s="392"/>
      <c r="G378" s="392"/>
      <c r="H378" s="392"/>
      <c r="I378" s="392"/>
      <c r="J378" s="392"/>
      <c r="K378" s="392"/>
      <c r="L378" s="392"/>
      <c r="M378" s="392"/>
      <c r="N378" s="392"/>
      <c r="O378" s="392"/>
      <c r="P378" s="392"/>
      <c r="Q378" s="392"/>
      <c r="R378" s="392"/>
      <c r="S378" s="392"/>
      <c r="T378" s="392"/>
      <c r="U378" s="392"/>
      <c r="V378" s="392"/>
      <c r="W378" s="392"/>
      <c r="X378" s="392"/>
      <c r="Y378" s="392"/>
      <c r="Z378" s="392"/>
      <c r="AA378" s="392"/>
      <c r="AB378" s="392"/>
      <c r="AC378" s="392"/>
      <c r="AD378" s="392"/>
      <c r="AE378" s="392"/>
      <c r="AF378" s="392"/>
    </row>
    <row r="379" ht="15.75" customHeight="1">
      <c r="A379" s="216"/>
      <c r="B379" s="156"/>
      <c r="C379" s="156"/>
      <c r="D379" s="156"/>
      <c r="E379" s="392"/>
      <c r="F379" s="392"/>
      <c r="G379" s="392"/>
      <c r="H379" s="392"/>
      <c r="I379" s="392"/>
      <c r="J379" s="392"/>
      <c r="K379" s="392"/>
      <c r="L379" s="392"/>
      <c r="M379" s="392"/>
      <c r="N379" s="392"/>
      <c r="O379" s="392"/>
      <c r="P379" s="392"/>
      <c r="Q379" s="392"/>
      <c r="R379" s="392"/>
      <c r="S379" s="392"/>
      <c r="T379" s="392"/>
      <c r="U379" s="392"/>
      <c r="V379" s="392"/>
      <c r="W379" s="392"/>
      <c r="X379" s="392"/>
      <c r="Y379" s="392"/>
      <c r="Z379" s="392"/>
      <c r="AA379" s="392"/>
      <c r="AB379" s="392"/>
      <c r="AC379" s="392"/>
      <c r="AD379" s="392"/>
      <c r="AE379" s="392"/>
      <c r="AF379" s="392"/>
    </row>
    <row r="380" ht="15.75" customHeight="1">
      <c r="A380" s="216"/>
      <c r="B380" s="156"/>
      <c r="C380" s="156"/>
      <c r="D380" s="156"/>
      <c r="E380" s="392"/>
      <c r="F380" s="392"/>
      <c r="G380" s="392"/>
      <c r="H380" s="392"/>
      <c r="I380" s="392"/>
      <c r="J380" s="392"/>
      <c r="K380" s="392"/>
      <c r="L380" s="392"/>
      <c r="M380" s="392"/>
      <c r="N380" s="392"/>
      <c r="O380" s="392"/>
      <c r="P380" s="392"/>
      <c r="Q380" s="392"/>
      <c r="R380" s="392"/>
      <c r="S380" s="392"/>
      <c r="T380" s="392"/>
      <c r="U380" s="392"/>
      <c r="V380" s="392"/>
      <c r="W380" s="392"/>
      <c r="X380" s="392"/>
      <c r="Y380" s="392"/>
      <c r="Z380" s="392"/>
      <c r="AA380" s="392"/>
      <c r="AB380" s="392"/>
      <c r="AC380" s="392"/>
      <c r="AD380" s="392"/>
      <c r="AE380" s="392"/>
      <c r="AF380" s="392"/>
    </row>
    <row r="381" ht="15.75" customHeight="1">
      <c r="A381" s="216"/>
      <c r="B381" s="156"/>
      <c r="C381" s="156"/>
      <c r="D381" s="156"/>
      <c r="E381" s="392"/>
      <c r="F381" s="392"/>
      <c r="G381" s="392"/>
      <c r="H381" s="392"/>
      <c r="I381" s="392"/>
      <c r="J381" s="392"/>
      <c r="K381" s="392"/>
      <c r="L381" s="392"/>
      <c r="M381" s="392"/>
      <c r="N381" s="392"/>
      <c r="O381" s="392"/>
      <c r="P381" s="392"/>
      <c r="Q381" s="392"/>
      <c r="R381" s="392"/>
      <c r="S381" s="392"/>
      <c r="T381" s="392"/>
      <c r="U381" s="392"/>
      <c r="V381" s="392"/>
      <c r="W381" s="392"/>
      <c r="X381" s="392"/>
      <c r="Y381" s="392"/>
      <c r="Z381" s="392"/>
      <c r="AA381" s="392"/>
      <c r="AB381" s="392"/>
      <c r="AC381" s="392"/>
      <c r="AD381" s="392"/>
      <c r="AE381" s="392"/>
      <c r="AF381" s="392"/>
    </row>
    <row r="382" ht="15.75" customHeight="1">
      <c r="A382" s="216"/>
      <c r="B382" s="156"/>
      <c r="C382" s="156"/>
      <c r="D382" s="156"/>
      <c r="E382" s="392"/>
      <c r="F382" s="392"/>
      <c r="G382" s="392"/>
      <c r="H382" s="392"/>
      <c r="I382" s="392"/>
      <c r="J382" s="392"/>
      <c r="K382" s="392"/>
      <c r="L382" s="392"/>
      <c r="M382" s="392"/>
      <c r="N382" s="392"/>
      <c r="O382" s="392"/>
      <c r="P382" s="392"/>
      <c r="Q382" s="392"/>
      <c r="R382" s="392"/>
      <c r="S382" s="392"/>
      <c r="T382" s="392"/>
      <c r="U382" s="392"/>
      <c r="V382" s="392"/>
      <c r="W382" s="392"/>
      <c r="X382" s="392"/>
      <c r="Y382" s="392"/>
      <c r="Z382" s="392"/>
      <c r="AA382" s="392"/>
      <c r="AB382" s="392"/>
      <c r="AC382" s="392"/>
      <c r="AD382" s="392"/>
      <c r="AE382" s="392"/>
      <c r="AF382" s="392"/>
    </row>
    <row r="383" ht="15.75" customHeight="1">
      <c r="A383" s="216"/>
      <c r="B383" s="156"/>
      <c r="C383" s="156"/>
      <c r="D383" s="156"/>
      <c r="E383" s="392"/>
      <c r="F383" s="392"/>
      <c r="G383" s="392"/>
      <c r="H383" s="392"/>
      <c r="I383" s="392"/>
      <c r="J383" s="392"/>
      <c r="K383" s="392"/>
      <c r="L383" s="392"/>
      <c r="M383" s="392"/>
      <c r="N383" s="392"/>
      <c r="O383" s="392"/>
      <c r="P383" s="392"/>
      <c r="Q383" s="392"/>
      <c r="R383" s="392"/>
      <c r="S383" s="392"/>
      <c r="T383" s="392"/>
      <c r="U383" s="392"/>
      <c r="V383" s="392"/>
      <c r="W383" s="392"/>
      <c r="X383" s="392"/>
      <c r="Y383" s="392"/>
      <c r="Z383" s="392"/>
      <c r="AA383" s="392"/>
      <c r="AB383" s="392"/>
      <c r="AC383" s="392"/>
      <c r="AD383" s="392"/>
      <c r="AE383" s="392"/>
      <c r="AF383" s="392"/>
    </row>
    <row r="384" ht="15.75" customHeight="1">
      <c r="A384" s="216"/>
      <c r="B384" s="156"/>
      <c r="C384" s="156"/>
      <c r="D384" s="156"/>
      <c r="E384" s="392"/>
      <c r="F384" s="392"/>
      <c r="G384" s="392"/>
      <c r="H384" s="392"/>
      <c r="I384" s="392"/>
      <c r="J384" s="392"/>
      <c r="K384" s="392"/>
      <c r="L384" s="392"/>
      <c r="M384" s="392"/>
      <c r="N384" s="392"/>
      <c r="O384" s="392"/>
      <c r="P384" s="392"/>
      <c r="Q384" s="392"/>
      <c r="R384" s="392"/>
      <c r="S384" s="392"/>
      <c r="T384" s="392"/>
      <c r="U384" s="392"/>
      <c r="V384" s="392"/>
      <c r="W384" s="392"/>
      <c r="X384" s="392"/>
      <c r="Y384" s="392"/>
      <c r="Z384" s="392"/>
      <c r="AA384" s="392"/>
      <c r="AB384" s="392"/>
      <c r="AC384" s="392"/>
      <c r="AD384" s="392"/>
      <c r="AE384" s="392"/>
      <c r="AF384" s="392"/>
    </row>
    <row r="385" ht="15.75" customHeight="1">
      <c r="A385" s="216"/>
      <c r="B385" s="156"/>
      <c r="C385" s="156"/>
      <c r="D385" s="156"/>
      <c r="E385" s="392"/>
      <c r="F385" s="392"/>
      <c r="G385" s="392"/>
      <c r="H385" s="392"/>
      <c r="I385" s="392"/>
      <c r="J385" s="392"/>
      <c r="K385" s="392"/>
      <c r="L385" s="392"/>
      <c r="M385" s="392"/>
      <c r="N385" s="392"/>
      <c r="O385" s="392"/>
      <c r="P385" s="392"/>
      <c r="Q385" s="392"/>
      <c r="R385" s="392"/>
      <c r="S385" s="392"/>
      <c r="T385" s="392"/>
      <c r="U385" s="392"/>
      <c r="V385" s="392"/>
      <c r="W385" s="392"/>
      <c r="X385" s="392"/>
      <c r="Y385" s="392"/>
      <c r="Z385" s="392"/>
      <c r="AA385" s="392"/>
      <c r="AB385" s="392"/>
      <c r="AC385" s="392"/>
      <c r="AD385" s="392"/>
      <c r="AE385" s="392"/>
      <c r="AF385" s="392"/>
    </row>
    <row r="386" ht="15.75" customHeight="1">
      <c r="A386" s="216"/>
      <c r="B386" s="156"/>
      <c r="C386" s="156"/>
      <c r="D386" s="156"/>
      <c r="E386" s="392"/>
      <c r="F386" s="392"/>
      <c r="G386" s="392"/>
      <c r="H386" s="392"/>
      <c r="I386" s="392"/>
      <c r="J386" s="392"/>
      <c r="K386" s="392"/>
      <c r="L386" s="392"/>
      <c r="M386" s="392"/>
      <c r="N386" s="392"/>
      <c r="O386" s="392"/>
      <c r="P386" s="392"/>
      <c r="Q386" s="392"/>
      <c r="R386" s="392"/>
      <c r="S386" s="392"/>
      <c r="T386" s="392"/>
      <c r="U386" s="392"/>
      <c r="V386" s="392"/>
      <c r="W386" s="392"/>
      <c r="X386" s="392"/>
      <c r="Y386" s="392"/>
      <c r="Z386" s="392"/>
      <c r="AA386" s="392"/>
      <c r="AB386" s="392"/>
      <c r="AC386" s="392"/>
      <c r="AD386" s="392"/>
      <c r="AE386" s="392"/>
      <c r="AF386" s="392"/>
    </row>
    <row r="387" ht="15.75" customHeight="1">
      <c r="A387" s="216"/>
      <c r="B387" s="156"/>
      <c r="C387" s="156"/>
      <c r="D387" s="156"/>
      <c r="E387" s="392"/>
      <c r="F387" s="392"/>
      <c r="G387" s="392"/>
      <c r="H387" s="392"/>
      <c r="I387" s="392"/>
      <c r="J387" s="392"/>
      <c r="K387" s="392"/>
      <c r="L387" s="392"/>
      <c r="M387" s="392"/>
      <c r="N387" s="392"/>
      <c r="O387" s="392"/>
      <c r="P387" s="392"/>
      <c r="Q387" s="392"/>
      <c r="R387" s="392"/>
      <c r="S387" s="392"/>
      <c r="T387" s="392"/>
      <c r="U387" s="392"/>
      <c r="V387" s="392"/>
      <c r="W387" s="392"/>
      <c r="X387" s="392"/>
      <c r="Y387" s="392"/>
      <c r="Z387" s="392"/>
      <c r="AA387" s="392"/>
      <c r="AB387" s="392"/>
      <c r="AC387" s="392"/>
      <c r="AD387" s="392"/>
      <c r="AE387" s="392"/>
      <c r="AF387" s="392"/>
    </row>
    <row r="388" ht="15.75" customHeight="1">
      <c r="A388" s="216"/>
      <c r="B388" s="156"/>
      <c r="C388" s="156"/>
      <c r="D388" s="156"/>
      <c r="E388" s="392"/>
      <c r="F388" s="392"/>
      <c r="G388" s="392"/>
      <c r="H388" s="392"/>
      <c r="I388" s="392"/>
      <c r="J388" s="392"/>
      <c r="K388" s="392"/>
      <c r="L388" s="392"/>
      <c r="M388" s="392"/>
      <c r="N388" s="392"/>
      <c r="O388" s="392"/>
      <c r="P388" s="392"/>
      <c r="Q388" s="392"/>
      <c r="R388" s="392"/>
      <c r="S388" s="392"/>
      <c r="T388" s="392"/>
      <c r="U388" s="392"/>
      <c r="V388" s="392"/>
      <c r="W388" s="392"/>
      <c r="X388" s="392"/>
      <c r="Y388" s="392"/>
      <c r="Z388" s="392"/>
      <c r="AA388" s="392"/>
      <c r="AB388" s="392"/>
      <c r="AC388" s="392"/>
      <c r="AD388" s="392"/>
      <c r="AE388" s="392"/>
      <c r="AF388" s="392"/>
    </row>
    <row r="389" ht="15.75" customHeight="1">
      <c r="A389" s="216"/>
      <c r="B389" s="156"/>
      <c r="C389" s="156"/>
      <c r="D389" s="156"/>
      <c r="E389" s="392"/>
      <c r="F389" s="392"/>
      <c r="G389" s="392"/>
      <c r="H389" s="392"/>
      <c r="I389" s="392"/>
      <c r="J389" s="392"/>
      <c r="K389" s="392"/>
      <c r="L389" s="392"/>
      <c r="M389" s="392"/>
      <c r="N389" s="392"/>
      <c r="O389" s="392"/>
      <c r="P389" s="392"/>
      <c r="Q389" s="392"/>
      <c r="R389" s="392"/>
      <c r="S389" s="392"/>
      <c r="T389" s="392"/>
      <c r="U389" s="392"/>
      <c r="V389" s="392"/>
      <c r="W389" s="392"/>
      <c r="X389" s="392"/>
      <c r="Y389" s="392"/>
      <c r="Z389" s="392"/>
      <c r="AA389" s="392"/>
      <c r="AB389" s="392"/>
      <c r="AC389" s="392"/>
      <c r="AD389" s="392"/>
      <c r="AE389" s="392"/>
      <c r="AF389" s="392"/>
    </row>
    <row r="390" ht="15.75" customHeight="1">
      <c r="A390" s="216"/>
      <c r="B390" s="156"/>
      <c r="C390" s="156"/>
      <c r="D390" s="156"/>
      <c r="E390" s="392"/>
      <c r="F390" s="392"/>
      <c r="G390" s="392"/>
      <c r="H390" s="392"/>
      <c r="I390" s="392"/>
      <c r="J390" s="392"/>
      <c r="K390" s="392"/>
      <c r="L390" s="392"/>
      <c r="M390" s="392"/>
      <c r="N390" s="392"/>
      <c r="O390" s="392"/>
      <c r="P390" s="392"/>
      <c r="Q390" s="392"/>
      <c r="R390" s="392"/>
      <c r="S390" s="392"/>
      <c r="T390" s="392"/>
      <c r="U390" s="392"/>
      <c r="V390" s="392"/>
      <c r="W390" s="392"/>
      <c r="X390" s="392"/>
      <c r="Y390" s="392"/>
      <c r="Z390" s="392"/>
      <c r="AA390" s="392"/>
      <c r="AB390" s="392"/>
      <c r="AC390" s="392"/>
      <c r="AD390" s="392"/>
      <c r="AE390" s="392"/>
      <c r="AF390" s="392"/>
    </row>
    <row r="391" ht="15.75" customHeight="1">
      <c r="A391" s="216"/>
      <c r="B391" s="156"/>
      <c r="C391" s="156"/>
      <c r="D391" s="156"/>
      <c r="E391" s="392"/>
      <c r="F391" s="392"/>
      <c r="G391" s="392"/>
      <c r="H391" s="392"/>
      <c r="I391" s="392"/>
      <c r="J391" s="392"/>
      <c r="K391" s="392"/>
      <c r="L391" s="392"/>
      <c r="M391" s="392"/>
      <c r="N391" s="392"/>
      <c r="O391" s="392"/>
      <c r="P391" s="392"/>
      <c r="Q391" s="392"/>
      <c r="R391" s="392"/>
      <c r="S391" s="392"/>
      <c r="T391" s="392"/>
      <c r="U391" s="392"/>
      <c r="V391" s="392"/>
      <c r="W391" s="392"/>
      <c r="X391" s="392"/>
      <c r="Y391" s="392"/>
      <c r="Z391" s="392"/>
      <c r="AA391" s="392"/>
      <c r="AB391" s="392"/>
      <c r="AC391" s="392"/>
      <c r="AD391" s="392"/>
      <c r="AE391" s="392"/>
      <c r="AF391" s="392"/>
    </row>
    <row r="392" ht="15.75" customHeight="1">
      <c r="A392" s="216"/>
      <c r="B392" s="156"/>
      <c r="C392" s="156"/>
      <c r="D392" s="156"/>
      <c r="E392" s="392"/>
      <c r="F392" s="392"/>
      <c r="G392" s="392"/>
      <c r="H392" s="392"/>
      <c r="I392" s="392"/>
      <c r="J392" s="392"/>
      <c r="K392" s="392"/>
      <c r="L392" s="392"/>
      <c r="M392" s="392"/>
      <c r="N392" s="392"/>
      <c r="O392" s="392"/>
      <c r="P392" s="392"/>
      <c r="Q392" s="392"/>
      <c r="R392" s="392"/>
      <c r="S392" s="392"/>
      <c r="T392" s="392"/>
      <c r="U392" s="392"/>
      <c r="V392" s="392"/>
      <c r="W392" s="392"/>
      <c r="X392" s="392"/>
      <c r="Y392" s="392"/>
      <c r="Z392" s="392"/>
      <c r="AA392" s="392"/>
      <c r="AB392" s="392"/>
      <c r="AC392" s="392"/>
      <c r="AD392" s="392"/>
      <c r="AE392" s="392"/>
      <c r="AF392" s="392"/>
    </row>
    <row r="393" ht="15.75" customHeight="1">
      <c r="A393" s="216"/>
      <c r="B393" s="156"/>
      <c r="C393" s="156"/>
      <c r="D393" s="156"/>
      <c r="E393" s="392"/>
      <c r="F393" s="392"/>
      <c r="G393" s="392"/>
      <c r="H393" s="392"/>
      <c r="I393" s="392"/>
      <c r="J393" s="392"/>
      <c r="K393" s="392"/>
      <c r="L393" s="392"/>
      <c r="M393" s="392"/>
      <c r="N393" s="392"/>
      <c r="O393" s="392"/>
      <c r="P393" s="392"/>
      <c r="Q393" s="392"/>
      <c r="R393" s="392"/>
      <c r="S393" s="392"/>
      <c r="T393" s="392"/>
      <c r="U393" s="392"/>
      <c r="V393" s="392"/>
      <c r="W393" s="392"/>
      <c r="X393" s="392"/>
      <c r="Y393" s="392"/>
      <c r="Z393" s="392"/>
      <c r="AA393" s="392"/>
      <c r="AB393" s="392"/>
      <c r="AC393" s="392"/>
      <c r="AD393" s="392"/>
      <c r="AE393" s="392"/>
      <c r="AF393" s="392"/>
    </row>
    <row r="394" ht="15.75" customHeight="1">
      <c r="A394" s="216"/>
      <c r="B394" s="156"/>
      <c r="C394" s="156"/>
      <c r="D394" s="156"/>
      <c r="E394" s="392"/>
      <c r="F394" s="392"/>
      <c r="G394" s="392"/>
      <c r="H394" s="392"/>
      <c r="I394" s="392"/>
      <c r="J394" s="392"/>
      <c r="K394" s="392"/>
      <c r="L394" s="392"/>
      <c r="M394" s="392"/>
      <c r="N394" s="392"/>
      <c r="O394" s="392"/>
      <c r="P394" s="392"/>
      <c r="Q394" s="392"/>
      <c r="R394" s="392"/>
      <c r="S394" s="392"/>
      <c r="T394" s="392"/>
      <c r="U394" s="392"/>
      <c r="V394" s="392"/>
      <c r="W394" s="392"/>
      <c r="X394" s="392"/>
      <c r="Y394" s="392"/>
      <c r="Z394" s="392"/>
      <c r="AA394" s="392"/>
      <c r="AB394" s="392"/>
      <c r="AC394" s="392"/>
      <c r="AD394" s="392"/>
      <c r="AE394" s="392"/>
      <c r="AF394" s="392"/>
    </row>
    <row r="395" ht="15.75" customHeight="1">
      <c r="A395" s="216"/>
      <c r="B395" s="156"/>
      <c r="C395" s="156"/>
      <c r="D395" s="156"/>
      <c r="E395" s="392"/>
      <c r="F395" s="392"/>
      <c r="G395" s="392"/>
      <c r="H395" s="392"/>
      <c r="I395" s="392"/>
      <c r="J395" s="392"/>
      <c r="K395" s="392"/>
      <c r="L395" s="392"/>
      <c r="M395" s="392"/>
      <c r="N395" s="392"/>
      <c r="O395" s="392"/>
      <c r="P395" s="392"/>
      <c r="Q395" s="392"/>
      <c r="R395" s="392"/>
      <c r="S395" s="392"/>
      <c r="T395" s="392"/>
      <c r="U395" s="392"/>
      <c r="V395" s="392"/>
      <c r="W395" s="392"/>
      <c r="X395" s="392"/>
      <c r="Y395" s="392"/>
      <c r="Z395" s="392"/>
      <c r="AA395" s="392"/>
      <c r="AB395" s="392"/>
      <c r="AC395" s="392"/>
      <c r="AD395" s="392"/>
      <c r="AE395" s="392"/>
      <c r="AF395" s="392"/>
    </row>
    <row r="396" ht="15.75" customHeight="1">
      <c r="A396" s="216"/>
      <c r="B396" s="156"/>
      <c r="C396" s="156"/>
      <c r="D396" s="156"/>
      <c r="E396" s="392"/>
      <c r="F396" s="392"/>
      <c r="G396" s="392"/>
      <c r="H396" s="392"/>
      <c r="I396" s="392"/>
      <c r="J396" s="392"/>
      <c r="K396" s="392"/>
      <c r="L396" s="392"/>
      <c r="M396" s="392"/>
      <c r="N396" s="392"/>
      <c r="O396" s="392"/>
      <c r="P396" s="392"/>
      <c r="Q396" s="392"/>
      <c r="R396" s="392"/>
      <c r="S396" s="392"/>
      <c r="T396" s="392"/>
      <c r="U396" s="392"/>
      <c r="V396" s="392"/>
      <c r="W396" s="392"/>
      <c r="X396" s="392"/>
      <c r="Y396" s="392"/>
      <c r="Z396" s="392"/>
      <c r="AA396" s="392"/>
      <c r="AB396" s="392"/>
      <c r="AC396" s="392"/>
      <c r="AD396" s="392"/>
      <c r="AE396" s="392"/>
      <c r="AF396" s="392"/>
    </row>
    <row r="397" ht="15.75" customHeight="1">
      <c r="A397" s="216"/>
      <c r="B397" s="156"/>
      <c r="C397" s="156"/>
      <c r="D397" s="156"/>
      <c r="E397" s="392"/>
      <c r="F397" s="392"/>
      <c r="G397" s="392"/>
      <c r="H397" s="392"/>
      <c r="I397" s="392"/>
      <c r="J397" s="392"/>
      <c r="K397" s="392"/>
      <c r="L397" s="392"/>
      <c r="M397" s="392"/>
      <c r="N397" s="392"/>
      <c r="O397" s="392"/>
      <c r="P397" s="392"/>
      <c r="Q397" s="392"/>
      <c r="R397" s="392"/>
      <c r="S397" s="392"/>
      <c r="T397" s="392"/>
      <c r="U397" s="392"/>
      <c r="V397" s="392"/>
      <c r="W397" s="392"/>
      <c r="X397" s="392"/>
      <c r="Y397" s="392"/>
      <c r="Z397" s="392"/>
      <c r="AA397" s="392"/>
      <c r="AB397" s="392"/>
      <c r="AC397" s="392"/>
      <c r="AD397" s="392"/>
      <c r="AE397" s="392"/>
      <c r="AF397" s="392"/>
    </row>
    <row r="398" ht="15.75" customHeight="1">
      <c r="A398" s="216"/>
      <c r="B398" s="156"/>
      <c r="C398" s="156"/>
      <c r="D398" s="156"/>
      <c r="E398" s="392"/>
      <c r="F398" s="392"/>
      <c r="G398" s="392"/>
      <c r="H398" s="392"/>
      <c r="I398" s="392"/>
      <c r="J398" s="392"/>
      <c r="K398" s="392"/>
      <c r="L398" s="392"/>
      <c r="M398" s="392"/>
      <c r="N398" s="392"/>
      <c r="O398" s="392"/>
      <c r="P398" s="392"/>
      <c r="Q398" s="392"/>
      <c r="R398" s="392"/>
      <c r="S398" s="392"/>
      <c r="T398" s="392"/>
      <c r="U398" s="392"/>
      <c r="V398" s="392"/>
      <c r="W398" s="392"/>
      <c r="X398" s="392"/>
      <c r="Y398" s="392"/>
      <c r="Z398" s="392"/>
      <c r="AA398" s="392"/>
      <c r="AB398" s="392"/>
      <c r="AC398" s="392"/>
      <c r="AD398" s="392"/>
      <c r="AE398" s="392"/>
      <c r="AF398" s="392"/>
    </row>
    <row r="399" ht="15.75" customHeight="1">
      <c r="A399" s="216"/>
      <c r="B399" s="156"/>
      <c r="C399" s="156"/>
      <c r="D399" s="156"/>
      <c r="E399" s="392"/>
      <c r="F399" s="392"/>
      <c r="G399" s="392"/>
      <c r="H399" s="392"/>
      <c r="I399" s="392"/>
      <c r="J399" s="392"/>
      <c r="K399" s="392"/>
      <c r="L399" s="392"/>
      <c r="M399" s="392"/>
      <c r="N399" s="392"/>
      <c r="O399" s="392"/>
      <c r="P399" s="392"/>
      <c r="Q399" s="392"/>
      <c r="R399" s="392"/>
      <c r="S399" s="392"/>
      <c r="T399" s="392"/>
      <c r="U399" s="392"/>
      <c r="V399" s="392"/>
      <c r="W399" s="392"/>
      <c r="X399" s="392"/>
      <c r="Y399" s="392"/>
      <c r="Z399" s="392"/>
      <c r="AA399" s="392"/>
      <c r="AB399" s="392"/>
      <c r="AC399" s="392"/>
      <c r="AD399" s="392"/>
      <c r="AE399" s="392"/>
      <c r="AF399" s="392"/>
    </row>
    <row r="400" ht="15.75" customHeight="1">
      <c r="A400" s="216"/>
      <c r="B400" s="156"/>
      <c r="C400" s="156"/>
      <c r="D400" s="156"/>
      <c r="E400" s="392"/>
      <c r="F400" s="392"/>
      <c r="G400" s="392"/>
      <c r="H400" s="392"/>
      <c r="I400" s="392"/>
      <c r="J400" s="392"/>
      <c r="K400" s="392"/>
      <c r="L400" s="392"/>
      <c r="M400" s="392"/>
      <c r="N400" s="392"/>
      <c r="O400" s="392"/>
      <c r="P400" s="392"/>
      <c r="Q400" s="392"/>
      <c r="R400" s="392"/>
      <c r="S400" s="392"/>
      <c r="T400" s="392"/>
      <c r="U400" s="392"/>
      <c r="V400" s="392"/>
      <c r="W400" s="392"/>
      <c r="X400" s="392"/>
      <c r="Y400" s="392"/>
      <c r="Z400" s="392"/>
      <c r="AA400" s="392"/>
      <c r="AB400" s="392"/>
      <c r="AC400" s="392"/>
      <c r="AD400" s="392"/>
      <c r="AE400" s="392"/>
      <c r="AF400" s="392"/>
    </row>
    <row r="401" ht="15.75" customHeight="1">
      <c r="A401" s="216"/>
      <c r="B401" s="156"/>
      <c r="C401" s="156"/>
      <c r="D401" s="156"/>
      <c r="E401" s="392"/>
      <c r="F401" s="392"/>
      <c r="G401" s="392"/>
      <c r="H401" s="392"/>
      <c r="I401" s="392"/>
      <c r="J401" s="392"/>
      <c r="K401" s="392"/>
      <c r="L401" s="392"/>
      <c r="M401" s="392"/>
      <c r="N401" s="392"/>
      <c r="O401" s="392"/>
      <c r="P401" s="392"/>
      <c r="Q401" s="392"/>
      <c r="R401" s="392"/>
      <c r="S401" s="392"/>
      <c r="T401" s="392"/>
      <c r="U401" s="392"/>
      <c r="V401" s="392"/>
      <c r="W401" s="392"/>
      <c r="X401" s="392"/>
      <c r="Y401" s="392"/>
      <c r="Z401" s="392"/>
      <c r="AA401" s="392"/>
      <c r="AB401" s="392"/>
      <c r="AC401" s="392"/>
      <c r="AD401" s="392"/>
      <c r="AE401" s="392"/>
      <c r="AF401" s="392"/>
    </row>
    <row r="402" ht="15.75" customHeight="1">
      <c r="A402" s="216"/>
      <c r="B402" s="156"/>
      <c r="C402" s="156"/>
      <c r="D402" s="156"/>
      <c r="E402" s="392"/>
      <c r="F402" s="392"/>
      <c r="G402" s="392"/>
      <c r="H402" s="392"/>
      <c r="I402" s="392"/>
      <c r="J402" s="392"/>
      <c r="K402" s="392"/>
      <c r="L402" s="392"/>
      <c r="M402" s="392"/>
      <c r="N402" s="392"/>
      <c r="O402" s="392"/>
      <c r="P402" s="392"/>
      <c r="Q402" s="392"/>
      <c r="R402" s="392"/>
      <c r="S402" s="392"/>
      <c r="T402" s="392"/>
      <c r="U402" s="392"/>
      <c r="V402" s="392"/>
      <c r="W402" s="392"/>
      <c r="X402" s="392"/>
      <c r="Y402" s="392"/>
      <c r="Z402" s="392"/>
      <c r="AA402" s="392"/>
      <c r="AB402" s="392"/>
      <c r="AC402" s="392"/>
      <c r="AD402" s="392"/>
      <c r="AE402" s="392"/>
      <c r="AF402" s="392"/>
    </row>
    <row r="403" ht="15.75" customHeight="1">
      <c r="A403" s="216"/>
      <c r="B403" s="156"/>
      <c r="C403" s="156"/>
      <c r="D403" s="156"/>
      <c r="E403" s="392"/>
      <c r="F403" s="392"/>
      <c r="G403" s="392"/>
      <c r="H403" s="392"/>
      <c r="I403" s="392"/>
      <c r="J403" s="392"/>
      <c r="K403" s="392"/>
      <c r="L403" s="392"/>
      <c r="M403" s="392"/>
      <c r="N403" s="392"/>
      <c r="O403" s="392"/>
      <c r="P403" s="392"/>
      <c r="Q403" s="392"/>
      <c r="R403" s="392"/>
      <c r="S403" s="392"/>
      <c r="T403" s="392"/>
      <c r="U403" s="392"/>
      <c r="V403" s="392"/>
      <c r="W403" s="392"/>
      <c r="X403" s="392"/>
      <c r="Y403" s="392"/>
      <c r="Z403" s="392"/>
      <c r="AA403" s="392"/>
      <c r="AB403" s="392"/>
      <c r="AC403" s="392"/>
      <c r="AD403" s="392"/>
      <c r="AE403" s="392"/>
      <c r="AF403" s="392"/>
    </row>
    <row r="404" ht="15.75" customHeight="1">
      <c r="A404" s="216"/>
      <c r="B404" s="156"/>
      <c r="C404" s="156"/>
      <c r="D404" s="156"/>
      <c r="E404" s="392"/>
      <c r="F404" s="392"/>
      <c r="G404" s="392"/>
      <c r="H404" s="392"/>
      <c r="I404" s="392"/>
      <c r="J404" s="392"/>
      <c r="K404" s="392"/>
      <c r="L404" s="392"/>
      <c r="M404" s="392"/>
      <c r="N404" s="392"/>
      <c r="O404" s="392"/>
      <c r="P404" s="392"/>
      <c r="Q404" s="392"/>
      <c r="R404" s="392"/>
      <c r="S404" s="392"/>
      <c r="T404" s="392"/>
      <c r="U404" s="392"/>
      <c r="V404" s="392"/>
      <c r="W404" s="392"/>
      <c r="X404" s="392"/>
      <c r="Y404" s="392"/>
      <c r="Z404" s="392"/>
      <c r="AA404" s="392"/>
      <c r="AB404" s="392"/>
      <c r="AC404" s="392"/>
      <c r="AD404" s="392"/>
      <c r="AE404" s="392"/>
      <c r="AF404" s="392"/>
    </row>
    <row r="405" ht="15.75" customHeight="1">
      <c r="A405" s="216"/>
      <c r="B405" s="156"/>
      <c r="C405" s="156"/>
      <c r="D405" s="156"/>
      <c r="E405" s="392"/>
      <c r="F405" s="392"/>
      <c r="G405" s="392"/>
      <c r="H405" s="392"/>
      <c r="I405" s="392"/>
      <c r="J405" s="392"/>
      <c r="K405" s="392"/>
      <c r="L405" s="392"/>
      <c r="M405" s="392"/>
      <c r="N405" s="392"/>
      <c r="O405" s="392"/>
      <c r="P405" s="392"/>
      <c r="Q405" s="392"/>
      <c r="R405" s="392"/>
      <c r="S405" s="392"/>
      <c r="T405" s="392"/>
      <c r="U405" s="392"/>
      <c r="V405" s="392"/>
      <c r="W405" s="392"/>
      <c r="X405" s="392"/>
      <c r="Y405" s="392"/>
      <c r="Z405" s="392"/>
      <c r="AA405" s="392"/>
      <c r="AB405" s="392"/>
      <c r="AC405" s="392"/>
      <c r="AD405" s="392"/>
      <c r="AE405" s="392"/>
      <c r="AF405" s="392"/>
    </row>
    <row r="406" ht="15.75" customHeight="1">
      <c r="A406" s="216"/>
      <c r="B406" s="156"/>
      <c r="C406" s="156"/>
      <c r="D406" s="156"/>
      <c r="E406" s="392"/>
      <c r="F406" s="392"/>
      <c r="G406" s="392"/>
      <c r="H406" s="392"/>
      <c r="I406" s="392"/>
      <c r="J406" s="392"/>
      <c r="K406" s="392"/>
      <c r="L406" s="392"/>
      <c r="M406" s="392"/>
      <c r="N406" s="392"/>
      <c r="O406" s="392"/>
      <c r="P406" s="392"/>
      <c r="Q406" s="392"/>
      <c r="R406" s="392"/>
      <c r="S406" s="392"/>
      <c r="T406" s="392"/>
      <c r="U406" s="392"/>
      <c r="V406" s="392"/>
      <c r="W406" s="392"/>
      <c r="X406" s="392"/>
      <c r="Y406" s="392"/>
      <c r="Z406" s="392"/>
      <c r="AA406" s="392"/>
      <c r="AB406" s="392"/>
      <c r="AC406" s="392"/>
      <c r="AD406" s="392"/>
      <c r="AE406" s="392"/>
      <c r="AF406" s="392"/>
    </row>
    <row r="407" ht="15.75" customHeight="1">
      <c r="A407" s="216"/>
      <c r="B407" s="156"/>
      <c r="C407" s="156"/>
      <c r="D407" s="156"/>
      <c r="E407" s="392"/>
      <c r="F407" s="392"/>
      <c r="G407" s="392"/>
      <c r="H407" s="392"/>
      <c r="I407" s="392"/>
      <c r="J407" s="392"/>
      <c r="K407" s="392"/>
      <c r="L407" s="392"/>
      <c r="M407" s="392"/>
      <c r="N407" s="392"/>
      <c r="O407" s="392"/>
      <c r="P407" s="392"/>
      <c r="Q407" s="392"/>
      <c r="R407" s="392"/>
      <c r="S407" s="392"/>
      <c r="T407" s="392"/>
      <c r="U407" s="392"/>
      <c r="V407" s="392"/>
      <c r="W407" s="392"/>
      <c r="X407" s="392"/>
      <c r="Y407" s="392"/>
      <c r="Z407" s="392"/>
      <c r="AA407" s="392"/>
      <c r="AB407" s="392"/>
      <c r="AC407" s="392"/>
      <c r="AD407" s="392"/>
      <c r="AE407" s="392"/>
      <c r="AF407" s="392"/>
    </row>
    <row r="408" ht="15.75" customHeight="1">
      <c r="A408" s="216"/>
      <c r="B408" s="156"/>
      <c r="C408" s="156"/>
      <c r="D408" s="156"/>
      <c r="E408" s="392"/>
      <c r="F408" s="392"/>
      <c r="G408" s="392"/>
      <c r="H408" s="392"/>
      <c r="I408" s="392"/>
      <c r="J408" s="392"/>
      <c r="K408" s="392"/>
      <c r="L408" s="392"/>
      <c r="M408" s="392"/>
      <c r="N408" s="392"/>
      <c r="O408" s="392"/>
      <c r="P408" s="392"/>
      <c r="Q408" s="392"/>
      <c r="R408" s="392"/>
      <c r="S408" s="392"/>
      <c r="T408" s="392"/>
      <c r="U408" s="392"/>
      <c r="V408" s="392"/>
      <c r="W408" s="392"/>
      <c r="X408" s="392"/>
      <c r="Y408" s="392"/>
      <c r="Z408" s="392"/>
      <c r="AA408" s="392"/>
      <c r="AB408" s="392"/>
      <c r="AC408" s="392"/>
      <c r="AD408" s="392"/>
      <c r="AE408" s="392"/>
      <c r="AF408" s="392"/>
    </row>
    <row r="409" ht="15.75" customHeight="1">
      <c r="A409" s="216"/>
      <c r="B409" s="156"/>
      <c r="C409" s="156"/>
      <c r="D409" s="156"/>
      <c r="E409" s="392"/>
      <c r="F409" s="392"/>
      <c r="G409" s="392"/>
      <c r="H409" s="392"/>
      <c r="I409" s="392"/>
      <c r="J409" s="392"/>
      <c r="K409" s="392"/>
      <c r="L409" s="392"/>
      <c r="M409" s="392"/>
      <c r="N409" s="392"/>
      <c r="O409" s="392"/>
      <c r="P409" s="392"/>
      <c r="Q409" s="392"/>
      <c r="R409" s="392"/>
      <c r="S409" s="392"/>
      <c r="T409" s="392"/>
      <c r="U409" s="392"/>
      <c r="V409" s="392"/>
      <c r="W409" s="392"/>
      <c r="X409" s="392"/>
      <c r="Y409" s="392"/>
      <c r="Z409" s="392"/>
      <c r="AA409" s="392"/>
      <c r="AB409" s="392"/>
      <c r="AC409" s="392"/>
      <c r="AD409" s="392"/>
      <c r="AE409" s="392"/>
      <c r="AF409" s="392"/>
    </row>
    <row r="410" ht="15.75" customHeight="1">
      <c r="A410" s="216"/>
      <c r="B410" s="156"/>
      <c r="C410" s="156"/>
      <c r="D410" s="156"/>
      <c r="E410" s="392"/>
      <c r="F410" s="392"/>
      <c r="G410" s="392"/>
      <c r="H410" s="392"/>
      <c r="I410" s="392"/>
      <c r="J410" s="392"/>
      <c r="K410" s="392"/>
      <c r="L410" s="392"/>
      <c r="M410" s="392"/>
      <c r="N410" s="392"/>
      <c r="O410" s="392"/>
      <c r="P410" s="392"/>
      <c r="Q410" s="392"/>
      <c r="R410" s="392"/>
      <c r="S410" s="392"/>
      <c r="T410" s="392"/>
      <c r="U410" s="392"/>
      <c r="V410" s="392"/>
      <c r="W410" s="392"/>
      <c r="X410" s="392"/>
      <c r="Y410" s="392"/>
      <c r="Z410" s="392"/>
      <c r="AA410" s="392"/>
      <c r="AB410" s="392"/>
      <c r="AC410" s="392"/>
      <c r="AD410" s="392"/>
      <c r="AE410" s="392"/>
      <c r="AF410" s="392"/>
    </row>
    <row r="411" ht="15.75" customHeight="1">
      <c r="A411" s="216"/>
      <c r="B411" s="156"/>
      <c r="C411" s="156"/>
      <c r="D411" s="156"/>
      <c r="E411" s="392"/>
      <c r="F411" s="392"/>
      <c r="G411" s="392"/>
      <c r="H411" s="392"/>
      <c r="I411" s="392"/>
      <c r="J411" s="392"/>
      <c r="K411" s="392"/>
      <c r="L411" s="392"/>
      <c r="M411" s="392"/>
      <c r="N411" s="392"/>
      <c r="O411" s="392"/>
      <c r="P411" s="392"/>
      <c r="Q411" s="392"/>
      <c r="R411" s="392"/>
      <c r="S411" s="392"/>
      <c r="T411" s="392"/>
      <c r="U411" s="392"/>
      <c r="V411" s="392"/>
      <c r="W411" s="392"/>
      <c r="X411" s="392"/>
      <c r="Y411" s="392"/>
      <c r="Z411" s="392"/>
      <c r="AA411" s="392"/>
      <c r="AB411" s="392"/>
      <c r="AC411" s="392"/>
      <c r="AD411" s="392"/>
      <c r="AE411" s="392"/>
      <c r="AF411" s="392"/>
    </row>
    <row r="412" ht="15.75" customHeight="1">
      <c r="A412" s="216"/>
      <c r="B412" s="156"/>
      <c r="C412" s="156"/>
      <c r="D412" s="156"/>
      <c r="E412" s="392"/>
      <c r="F412" s="392"/>
      <c r="G412" s="392"/>
      <c r="H412" s="392"/>
      <c r="I412" s="392"/>
      <c r="J412" s="392"/>
      <c r="K412" s="392"/>
      <c r="L412" s="392"/>
      <c r="M412" s="392"/>
      <c r="N412" s="392"/>
      <c r="O412" s="392"/>
      <c r="P412" s="392"/>
      <c r="Q412" s="392"/>
      <c r="R412" s="392"/>
      <c r="S412" s="392"/>
      <c r="T412" s="392"/>
      <c r="U412" s="392"/>
      <c r="V412" s="392"/>
      <c r="W412" s="392"/>
      <c r="X412" s="392"/>
      <c r="Y412" s="392"/>
      <c r="Z412" s="392"/>
      <c r="AA412" s="392"/>
      <c r="AB412" s="392"/>
      <c r="AC412" s="392"/>
      <c r="AD412" s="392"/>
      <c r="AE412" s="392"/>
      <c r="AF412" s="392"/>
    </row>
    <row r="413" ht="15.75" customHeight="1">
      <c r="A413" s="216"/>
      <c r="B413" s="156"/>
      <c r="C413" s="156"/>
      <c r="D413" s="156"/>
      <c r="E413" s="392"/>
      <c r="F413" s="392"/>
      <c r="G413" s="392"/>
      <c r="H413" s="392"/>
      <c r="I413" s="392"/>
      <c r="J413" s="392"/>
      <c r="K413" s="392"/>
      <c r="L413" s="392"/>
      <c r="M413" s="392"/>
      <c r="N413" s="392"/>
      <c r="O413" s="392"/>
      <c r="P413" s="392"/>
      <c r="Q413" s="392"/>
      <c r="R413" s="392"/>
      <c r="S413" s="392"/>
      <c r="T413" s="392"/>
      <c r="U413" s="392"/>
      <c r="V413" s="392"/>
      <c r="W413" s="392"/>
      <c r="X413" s="392"/>
      <c r="Y413" s="392"/>
      <c r="Z413" s="392"/>
      <c r="AA413" s="392"/>
      <c r="AB413" s="392"/>
      <c r="AC413" s="392"/>
      <c r="AD413" s="392"/>
      <c r="AE413" s="392"/>
      <c r="AF413" s="392"/>
    </row>
    <row r="414" ht="15.75" customHeight="1">
      <c r="A414" s="216"/>
      <c r="B414" s="156"/>
      <c r="C414" s="156"/>
      <c r="D414" s="156"/>
      <c r="E414" s="392"/>
      <c r="F414" s="392"/>
      <c r="G414" s="392"/>
      <c r="H414" s="392"/>
      <c r="I414" s="392"/>
      <c r="J414" s="392"/>
      <c r="K414" s="392"/>
      <c r="L414" s="392"/>
      <c r="M414" s="392"/>
      <c r="N414" s="392"/>
      <c r="O414" s="392"/>
      <c r="P414" s="392"/>
      <c r="Q414" s="392"/>
      <c r="R414" s="392"/>
      <c r="S414" s="392"/>
      <c r="T414" s="392"/>
      <c r="U414" s="392"/>
      <c r="V414" s="392"/>
      <c r="W414" s="392"/>
      <c r="X414" s="392"/>
      <c r="Y414" s="392"/>
      <c r="Z414" s="392"/>
      <c r="AA414" s="392"/>
      <c r="AB414" s="392"/>
      <c r="AC414" s="392"/>
      <c r="AD414" s="392"/>
      <c r="AE414" s="392"/>
      <c r="AF414" s="392"/>
    </row>
    <row r="415" ht="15.75" customHeight="1">
      <c r="A415" s="216"/>
      <c r="B415" s="156"/>
      <c r="C415" s="156"/>
      <c r="D415" s="156"/>
      <c r="E415" s="392"/>
      <c r="F415" s="392"/>
      <c r="G415" s="392"/>
      <c r="H415" s="392"/>
      <c r="I415" s="392"/>
      <c r="J415" s="392"/>
      <c r="K415" s="392"/>
      <c r="L415" s="392"/>
      <c r="M415" s="392"/>
      <c r="N415" s="392"/>
      <c r="O415" s="392"/>
      <c r="P415" s="392"/>
      <c r="Q415" s="392"/>
      <c r="R415" s="392"/>
      <c r="S415" s="392"/>
      <c r="T415" s="392"/>
      <c r="U415" s="392"/>
      <c r="V415" s="392"/>
      <c r="W415" s="392"/>
      <c r="X415" s="392"/>
      <c r="Y415" s="392"/>
      <c r="Z415" s="392"/>
      <c r="AA415" s="392"/>
      <c r="AB415" s="392"/>
      <c r="AC415" s="392"/>
      <c r="AD415" s="392"/>
      <c r="AE415" s="392"/>
      <c r="AF415" s="392"/>
    </row>
    <row r="416" ht="15.75" customHeight="1">
      <c r="A416" s="216"/>
      <c r="B416" s="156"/>
      <c r="C416" s="156"/>
      <c r="D416" s="156"/>
      <c r="E416" s="392"/>
      <c r="F416" s="392"/>
      <c r="G416" s="392"/>
      <c r="H416" s="392"/>
      <c r="I416" s="392"/>
      <c r="J416" s="392"/>
      <c r="K416" s="392"/>
      <c r="L416" s="392"/>
      <c r="M416" s="392"/>
      <c r="N416" s="392"/>
      <c r="O416" s="392"/>
      <c r="P416" s="392"/>
      <c r="Q416" s="392"/>
      <c r="R416" s="392"/>
      <c r="S416" s="392"/>
      <c r="T416" s="392"/>
      <c r="U416" s="392"/>
      <c r="V416" s="392"/>
      <c r="W416" s="392"/>
      <c r="X416" s="392"/>
      <c r="Y416" s="392"/>
      <c r="Z416" s="392"/>
      <c r="AA416" s="392"/>
      <c r="AB416" s="392"/>
      <c r="AC416" s="392"/>
      <c r="AD416" s="392"/>
      <c r="AE416" s="392"/>
      <c r="AF416" s="392"/>
    </row>
    <row r="417" ht="15.75" customHeight="1">
      <c r="A417" s="216"/>
      <c r="B417" s="156"/>
      <c r="C417" s="156"/>
      <c r="D417" s="156"/>
      <c r="E417" s="392"/>
      <c r="F417" s="392"/>
      <c r="G417" s="392"/>
      <c r="H417" s="392"/>
      <c r="I417" s="392"/>
      <c r="J417" s="392"/>
      <c r="K417" s="392"/>
      <c r="L417" s="392"/>
      <c r="M417" s="392"/>
      <c r="N417" s="392"/>
      <c r="O417" s="392"/>
      <c r="P417" s="392"/>
      <c r="Q417" s="392"/>
      <c r="R417" s="392"/>
      <c r="S417" s="392"/>
      <c r="T417" s="392"/>
      <c r="U417" s="392"/>
      <c r="V417" s="392"/>
      <c r="W417" s="392"/>
      <c r="X417" s="392"/>
      <c r="Y417" s="392"/>
      <c r="Z417" s="392"/>
      <c r="AA417" s="392"/>
      <c r="AB417" s="392"/>
      <c r="AC417" s="392"/>
      <c r="AD417" s="392"/>
      <c r="AE417" s="392"/>
      <c r="AF417" s="392"/>
    </row>
    <row r="418" ht="15.75" customHeight="1">
      <c r="A418" s="216"/>
      <c r="B418" s="156"/>
      <c r="C418" s="156"/>
      <c r="D418" s="156"/>
      <c r="E418" s="392"/>
      <c r="F418" s="392"/>
      <c r="G418" s="392"/>
      <c r="H418" s="392"/>
      <c r="I418" s="392"/>
      <c r="J418" s="392"/>
      <c r="K418" s="392"/>
      <c r="L418" s="392"/>
      <c r="M418" s="392"/>
      <c r="N418" s="392"/>
      <c r="O418" s="392"/>
      <c r="P418" s="392"/>
      <c r="Q418" s="392"/>
      <c r="R418" s="392"/>
      <c r="S418" s="392"/>
      <c r="T418" s="392"/>
      <c r="U418" s="392"/>
      <c r="V418" s="392"/>
      <c r="W418" s="392"/>
      <c r="X418" s="392"/>
      <c r="Y418" s="392"/>
      <c r="Z418" s="392"/>
      <c r="AA418" s="392"/>
      <c r="AB418" s="392"/>
      <c r="AC418" s="392"/>
      <c r="AD418" s="392"/>
      <c r="AE418" s="392"/>
      <c r="AF418" s="392"/>
    </row>
    <row r="419" ht="15.75" customHeight="1">
      <c r="A419" s="216"/>
      <c r="B419" s="156"/>
      <c r="C419" s="156"/>
      <c r="D419" s="156"/>
      <c r="E419" s="392"/>
      <c r="F419" s="392"/>
      <c r="G419" s="392"/>
      <c r="H419" s="392"/>
      <c r="I419" s="392"/>
      <c r="J419" s="392"/>
      <c r="K419" s="392"/>
      <c r="L419" s="392"/>
      <c r="M419" s="392"/>
      <c r="N419" s="392"/>
      <c r="O419" s="392"/>
      <c r="P419" s="392"/>
      <c r="Q419" s="392"/>
      <c r="R419" s="392"/>
      <c r="S419" s="392"/>
      <c r="T419" s="392"/>
      <c r="U419" s="392"/>
      <c r="V419" s="392"/>
      <c r="W419" s="392"/>
      <c r="X419" s="392"/>
      <c r="Y419" s="392"/>
      <c r="Z419" s="392"/>
      <c r="AA419" s="392"/>
      <c r="AB419" s="392"/>
      <c r="AC419" s="392"/>
      <c r="AD419" s="392"/>
      <c r="AE419" s="392"/>
      <c r="AF419" s="392"/>
    </row>
    <row r="420" ht="15.75" customHeight="1">
      <c r="A420" s="216"/>
      <c r="B420" s="156"/>
      <c r="C420" s="156"/>
      <c r="D420" s="156"/>
      <c r="E420" s="392"/>
      <c r="F420" s="392"/>
      <c r="G420" s="392"/>
      <c r="H420" s="392"/>
      <c r="I420" s="392"/>
      <c r="J420" s="392"/>
      <c r="K420" s="392"/>
      <c r="L420" s="392"/>
      <c r="M420" s="392"/>
      <c r="N420" s="392"/>
      <c r="O420" s="392"/>
      <c r="P420" s="392"/>
      <c r="Q420" s="392"/>
      <c r="R420" s="392"/>
      <c r="S420" s="392"/>
      <c r="T420" s="392"/>
      <c r="U420" s="392"/>
      <c r="V420" s="392"/>
      <c r="W420" s="392"/>
      <c r="X420" s="392"/>
      <c r="Y420" s="392"/>
      <c r="Z420" s="392"/>
      <c r="AA420" s="392"/>
      <c r="AB420" s="392"/>
      <c r="AC420" s="392"/>
      <c r="AD420" s="392"/>
      <c r="AE420" s="392"/>
      <c r="AF420" s="392"/>
    </row>
    <row r="421" ht="15.75" customHeight="1">
      <c r="A421" s="216"/>
      <c r="B421" s="156"/>
      <c r="C421" s="156"/>
      <c r="D421" s="156"/>
      <c r="E421" s="392"/>
      <c r="F421" s="392"/>
      <c r="G421" s="392"/>
      <c r="H421" s="392"/>
      <c r="I421" s="392"/>
      <c r="J421" s="392"/>
      <c r="K421" s="392"/>
      <c r="L421" s="392"/>
      <c r="M421" s="392"/>
      <c r="N421" s="392"/>
      <c r="O421" s="392"/>
      <c r="P421" s="392"/>
      <c r="Q421" s="392"/>
      <c r="R421" s="392"/>
      <c r="S421" s="392"/>
      <c r="T421" s="392"/>
      <c r="U421" s="392"/>
      <c r="V421" s="392"/>
      <c r="W421" s="392"/>
      <c r="X421" s="392"/>
      <c r="Y421" s="392"/>
      <c r="Z421" s="392"/>
      <c r="AA421" s="392"/>
      <c r="AB421" s="392"/>
      <c r="AC421" s="392"/>
      <c r="AD421" s="392"/>
      <c r="AE421" s="392"/>
      <c r="AF421" s="392"/>
    </row>
    <row r="422" ht="15.75" customHeight="1">
      <c r="A422" s="216"/>
      <c r="B422" s="156"/>
      <c r="C422" s="156"/>
      <c r="D422" s="156"/>
      <c r="E422" s="392"/>
      <c r="F422" s="392"/>
      <c r="G422" s="392"/>
      <c r="H422" s="392"/>
      <c r="I422" s="392"/>
      <c r="J422" s="392"/>
      <c r="K422" s="392"/>
      <c r="L422" s="392"/>
      <c r="M422" s="392"/>
      <c r="N422" s="392"/>
      <c r="O422" s="392"/>
      <c r="P422" s="392"/>
      <c r="Q422" s="392"/>
      <c r="R422" s="392"/>
      <c r="S422" s="392"/>
      <c r="T422" s="392"/>
      <c r="U422" s="392"/>
      <c r="V422" s="392"/>
      <c r="W422" s="392"/>
      <c r="X422" s="392"/>
      <c r="Y422" s="392"/>
      <c r="Z422" s="392"/>
      <c r="AA422" s="392"/>
      <c r="AB422" s="392"/>
      <c r="AC422" s="392"/>
      <c r="AD422" s="392"/>
      <c r="AE422" s="392"/>
      <c r="AF422" s="392"/>
    </row>
    <row r="423" ht="15.75" customHeight="1">
      <c r="A423" s="216"/>
      <c r="B423" s="156"/>
      <c r="C423" s="156"/>
      <c r="D423" s="156"/>
      <c r="E423" s="392"/>
      <c r="F423" s="392"/>
      <c r="G423" s="392"/>
      <c r="H423" s="392"/>
      <c r="I423" s="392"/>
      <c r="J423" s="392"/>
      <c r="K423" s="392"/>
      <c r="L423" s="392"/>
      <c r="M423" s="392"/>
      <c r="N423" s="392"/>
      <c r="O423" s="392"/>
      <c r="P423" s="392"/>
      <c r="Q423" s="392"/>
      <c r="R423" s="392"/>
      <c r="S423" s="392"/>
      <c r="T423" s="392"/>
      <c r="U423" s="392"/>
      <c r="V423" s="392"/>
      <c r="W423" s="392"/>
      <c r="X423" s="392"/>
      <c r="Y423" s="392"/>
      <c r="Z423" s="392"/>
      <c r="AA423" s="392"/>
      <c r="AB423" s="392"/>
      <c r="AC423" s="392"/>
      <c r="AD423" s="392"/>
      <c r="AE423" s="392"/>
      <c r="AF423" s="392"/>
    </row>
    <row r="424" ht="15.75" customHeight="1">
      <c r="A424" s="216"/>
      <c r="B424" s="156"/>
      <c r="C424" s="156"/>
      <c r="D424" s="156"/>
      <c r="E424" s="392"/>
      <c r="F424" s="392"/>
      <c r="G424" s="392"/>
      <c r="H424" s="392"/>
      <c r="I424" s="392"/>
      <c r="J424" s="392"/>
      <c r="K424" s="392"/>
      <c r="L424" s="392"/>
      <c r="M424" s="392"/>
      <c r="N424" s="392"/>
      <c r="O424" s="392"/>
      <c r="P424" s="392"/>
      <c r="Q424" s="392"/>
      <c r="R424" s="392"/>
      <c r="S424" s="392"/>
      <c r="T424" s="392"/>
      <c r="U424" s="392"/>
      <c r="V424" s="392"/>
      <c r="W424" s="392"/>
      <c r="X424" s="392"/>
      <c r="Y424" s="392"/>
      <c r="Z424" s="392"/>
      <c r="AA424" s="392"/>
      <c r="AB424" s="392"/>
      <c r="AC424" s="392"/>
      <c r="AD424" s="392"/>
      <c r="AE424" s="392"/>
      <c r="AF424" s="392"/>
    </row>
    <row r="425" ht="15.75" customHeight="1">
      <c r="A425" s="216"/>
      <c r="B425" s="156"/>
      <c r="C425" s="156"/>
      <c r="D425" s="156"/>
      <c r="E425" s="392"/>
      <c r="F425" s="392"/>
      <c r="G425" s="392"/>
      <c r="H425" s="392"/>
      <c r="I425" s="392"/>
      <c r="J425" s="392"/>
      <c r="K425" s="392"/>
      <c r="L425" s="392"/>
      <c r="M425" s="392"/>
      <c r="N425" s="392"/>
      <c r="O425" s="392"/>
      <c r="P425" s="392"/>
      <c r="Q425" s="392"/>
      <c r="R425" s="392"/>
      <c r="S425" s="392"/>
      <c r="T425" s="392"/>
      <c r="U425" s="392"/>
      <c r="V425" s="392"/>
      <c r="W425" s="392"/>
      <c r="X425" s="392"/>
      <c r="Y425" s="392"/>
      <c r="Z425" s="392"/>
      <c r="AA425" s="392"/>
      <c r="AB425" s="392"/>
      <c r="AC425" s="392"/>
      <c r="AD425" s="392"/>
      <c r="AE425" s="392"/>
      <c r="AF425" s="392"/>
    </row>
    <row r="426" ht="15.75" customHeight="1">
      <c r="A426" s="216"/>
      <c r="B426" s="156"/>
      <c r="C426" s="156"/>
      <c r="D426" s="156"/>
      <c r="E426" s="392"/>
      <c r="F426" s="392"/>
      <c r="G426" s="392"/>
      <c r="H426" s="392"/>
      <c r="I426" s="392"/>
      <c r="J426" s="392"/>
      <c r="K426" s="392"/>
      <c r="L426" s="392"/>
      <c r="M426" s="392"/>
      <c r="N426" s="392"/>
      <c r="O426" s="392"/>
      <c r="P426" s="392"/>
      <c r="Q426" s="392"/>
      <c r="R426" s="392"/>
      <c r="S426" s="392"/>
      <c r="T426" s="392"/>
      <c r="U426" s="392"/>
      <c r="V426" s="392"/>
      <c r="W426" s="392"/>
      <c r="X426" s="392"/>
      <c r="Y426" s="392"/>
      <c r="Z426" s="392"/>
      <c r="AA426" s="392"/>
      <c r="AB426" s="392"/>
      <c r="AC426" s="392"/>
      <c r="AD426" s="392"/>
      <c r="AE426" s="392"/>
      <c r="AF426" s="392"/>
    </row>
    <row r="427" ht="15.75" customHeight="1">
      <c r="A427" s="216"/>
      <c r="B427" s="156"/>
      <c r="C427" s="156"/>
      <c r="D427" s="156"/>
      <c r="E427" s="392"/>
      <c r="F427" s="392"/>
      <c r="G427" s="392"/>
      <c r="H427" s="392"/>
      <c r="I427" s="392"/>
      <c r="J427" s="392"/>
      <c r="K427" s="392"/>
      <c r="L427" s="392"/>
      <c r="M427" s="392"/>
      <c r="N427" s="392"/>
      <c r="O427" s="392"/>
      <c r="P427" s="392"/>
      <c r="Q427" s="392"/>
      <c r="R427" s="392"/>
      <c r="S427" s="392"/>
      <c r="T427" s="392"/>
      <c r="U427" s="392"/>
      <c r="V427" s="392"/>
      <c r="W427" s="392"/>
      <c r="X427" s="392"/>
      <c r="Y427" s="392"/>
      <c r="Z427" s="392"/>
      <c r="AA427" s="392"/>
      <c r="AB427" s="392"/>
      <c r="AC427" s="392"/>
      <c r="AD427" s="392"/>
      <c r="AE427" s="392"/>
      <c r="AF427" s="392"/>
    </row>
    <row r="428" ht="15.75" customHeight="1">
      <c r="A428" s="216"/>
      <c r="B428" s="156"/>
      <c r="C428" s="156"/>
      <c r="D428" s="156"/>
      <c r="E428" s="392"/>
      <c r="F428" s="392"/>
      <c r="G428" s="392"/>
      <c r="H428" s="392"/>
      <c r="I428" s="392"/>
      <c r="J428" s="392"/>
      <c r="K428" s="392"/>
      <c r="L428" s="392"/>
      <c r="M428" s="392"/>
      <c r="N428" s="392"/>
      <c r="O428" s="392"/>
      <c r="P428" s="392"/>
      <c r="Q428" s="392"/>
      <c r="R428" s="392"/>
      <c r="S428" s="392"/>
      <c r="T428" s="392"/>
      <c r="U428" s="392"/>
      <c r="V428" s="392"/>
      <c r="W428" s="392"/>
      <c r="X428" s="392"/>
      <c r="Y428" s="392"/>
      <c r="Z428" s="392"/>
      <c r="AA428" s="392"/>
      <c r="AB428" s="392"/>
      <c r="AC428" s="392"/>
      <c r="AD428" s="392"/>
      <c r="AE428" s="392"/>
      <c r="AF428" s="392"/>
    </row>
    <row r="429" ht="15.75" customHeight="1">
      <c r="A429" s="216"/>
      <c r="B429" s="156"/>
      <c r="C429" s="156"/>
      <c r="D429" s="156"/>
      <c r="E429" s="392"/>
      <c r="F429" s="392"/>
      <c r="G429" s="392"/>
      <c r="H429" s="392"/>
      <c r="I429" s="392"/>
      <c r="J429" s="392"/>
      <c r="K429" s="392"/>
      <c r="L429" s="392"/>
      <c r="M429" s="392"/>
      <c r="N429" s="392"/>
      <c r="O429" s="392"/>
      <c r="P429" s="392"/>
      <c r="Q429" s="392"/>
      <c r="R429" s="392"/>
      <c r="S429" s="392"/>
      <c r="T429" s="392"/>
      <c r="U429" s="392"/>
      <c r="V429" s="392"/>
      <c r="W429" s="392"/>
      <c r="X429" s="392"/>
      <c r="Y429" s="392"/>
      <c r="Z429" s="392"/>
      <c r="AA429" s="392"/>
      <c r="AB429" s="392"/>
      <c r="AC429" s="392"/>
      <c r="AD429" s="392"/>
      <c r="AE429" s="392"/>
      <c r="AF429" s="392"/>
    </row>
    <row r="430" ht="15.75" customHeight="1">
      <c r="A430" s="216"/>
      <c r="B430" s="156"/>
      <c r="C430" s="156"/>
      <c r="D430" s="156"/>
      <c r="E430" s="392"/>
      <c r="F430" s="392"/>
      <c r="G430" s="392"/>
      <c r="H430" s="392"/>
      <c r="I430" s="392"/>
      <c r="J430" s="392"/>
      <c r="K430" s="392"/>
      <c r="L430" s="392"/>
      <c r="M430" s="392"/>
      <c r="N430" s="392"/>
      <c r="O430" s="392"/>
      <c r="P430" s="392"/>
      <c r="Q430" s="392"/>
      <c r="R430" s="392"/>
      <c r="S430" s="392"/>
      <c r="T430" s="392"/>
      <c r="U430" s="392"/>
      <c r="V430" s="392"/>
      <c r="W430" s="392"/>
      <c r="X430" s="392"/>
      <c r="Y430" s="392"/>
      <c r="Z430" s="392"/>
      <c r="AA430" s="392"/>
      <c r="AB430" s="392"/>
      <c r="AC430" s="392"/>
      <c r="AD430" s="392"/>
      <c r="AE430" s="392"/>
      <c r="AF430" s="392"/>
    </row>
    <row r="431" ht="15.75" customHeight="1">
      <c r="A431" s="216"/>
      <c r="B431" s="156"/>
      <c r="C431" s="156"/>
      <c r="D431" s="156"/>
      <c r="E431" s="392"/>
      <c r="F431" s="392"/>
      <c r="G431" s="392"/>
      <c r="H431" s="392"/>
      <c r="I431" s="392"/>
      <c r="J431" s="392"/>
      <c r="K431" s="392"/>
      <c r="L431" s="392"/>
      <c r="M431" s="392"/>
      <c r="N431" s="392"/>
      <c r="O431" s="392"/>
      <c r="P431" s="392"/>
      <c r="Q431" s="392"/>
      <c r="R431" s="392"/>
      <c r="S431" s="392"/>
      <c r="T431" s="392"/>
      <c r="U431" s="392"/>
      <c r="V431" s="392"/>
      <c r="W431" s="392"/>
      <c r="X431" s="392"/>
      <c r="Y431" s="392"/>
      <c r="Z431" s="392"/>
      <c r="AA431" s="392"/>
      <c r="AB431" s="392"/>
      <c r="AC431" s="392"/>
      <c r="AD431" s="392"/>
      <c r="AE431" s="392"/>
      <c r="AF431" s="392"/>
    </row>
    <row r="432" ht="15.75" customHeight="1">
      <c r="A432" s="216"/>
      <c r="B432" s="156"/>
      <c r="C432" s="156"/>
      <c r="D432" s="156"/>
      <c r="E432" s="392"/>
      <c r="F432" s="392"/>
      <c r="G432" s="392"/>
      <c r="H432" s="392"/>
      <c r="I432" s="392"/>
      <c r="J432" s="392"/>
      <c r="K432" s="392"/>
      <c r="L432" s="392"/>
      <c r="M432" s="392"/>
      <c r="N432" s="392"/>
      <c r="O432" s="392"/>
      <c r="P432" s="392"/>
      <c r="Q432" s="392"/>
      <c r="R432" s="392"/>
      <c r="S432" s="392"/>
      <c r="T432" s="392"/>
      <c r="U432" s="392"/>
      <c r="V432" s="392"/>
      <c r="W432" s="392"/>
      <c r="X432" s="392"/>
      <c r="Y432" s="392"/>
      <c r="Z432" s="392"/>
      <c r="AA432" s="392"/>
      <c r="AB432" s="392"/>
      <c r="AC432" s="392"/>
      <c r="AD432" s="392"/>
      <c r="AE432" s="392"/>
      <c r="AF432" s="392"/>
    </row>
    <row r="433" ht="15.75" customHeight="1">
      <c r="A433" s="216"/>
      <c r="B433" s="156"/>
      <c r="C433" s="156"/>
      <c r="D433" s="156"/>
      <c r="E433" s="392"/>
      <c r="F433" s="392"/>
      <c r="G433" s="392"/>
      <c r="H433" s="392"/>
      <c r="I433" s="392"/>
      <c r="J433" s="392"/>
      <c r="K433" s="392"/>
      <c r="L433" s="392"/>
      <c r="M433" s="392"/>
      <c r="N433" s="392"/>
      <c r="O433" s="392"/>
      <c r="P433" s="392"/>
      <c r="Q433" s="392"/>
      <c r="R433" s="392"/>
      <c r="S433" s="392"/>
      <c r="T433" s="392"/>
      <c r="U433" s="392"/>
      <c r="V433" s="392"/>
      <c r="W433" s="392"/>
      <c r="X433" s="392"/>
      <c r="Y433" s="392"/>
      <c r="Z433" s="392"/>
      <c r="AA433" s="392"/>
      <c r="AB433" s="392"/>
      <c r="AC433" s="392"/>
      <c r="AD433" s="392"/>
      <c r="AE433" s="392"/>
      <c r="AF433" s="392"/>
    </row>
    <row r="434" ht="15.75" customHeight="1">
      <c r="A434" s="216"/>
      <c r="B434" s="156"/>
      <c r="C434" s="156"/>
      <c r="D434" s="156"/>
      <c r="E434" s="392"/>
      <c r="F434" s="392"/>
      <c r="G434" s="392"/>
      <c r="H434" s="392"/>
      <c r="I434" s="392"/>
      <c r="J434" s="392"/>
      <c r="K434" s="392"/>
      <c r="L434" s="392"/>
      <c r="M434" s="392"/>
      <c r="N434" s="392"/>
      <c r="O434" s="392"/>
      <c r="P434" s="392"/>
      <c r="Q434" s="392"/>
      <c r="R434" s="392"/>
      <c r="S434" s="392"/>
      <c r="T434" s="392"/>
      <c r="U434" s="392"/>
      <c r="V434" s="392"/>
      <c r="W434" s="392"/>
      <c r="X434" s="392"/>
      <c r="Y434" s="392"/>
      <c r="Z434" s="392"/>
      <c r="AA434" s="392"/>
      <c r="AB434" s="392"/>
      <c r="AC434" s="392"/>
      <c r="AD434" s="392"/>
      <c r="AE434" s="392"/>
      <c r="AF434" s="392"/>
    </row>
    <row r="435" ht="15.75" customHeight="1">
      <c r="A435" s="216"/>
      <c r="B435" s="156"/>
      <c r="C435" s="156"/>
      <c r="D435" s="156"/>
      <c r="E435" s="392"/>
      <c r="F435" s="392"/>
      <c r="G435" s="392"/>
      <c r="H435" s="392"/>
      <c r="I435" s="392"/>
      <c r="J435" s="392"/>
      <c r="K435" s="392"/>
      <c r="L435" s="392"/>
      <c r="M435" s="392"/>
      <c r="N435" s="392"/>
      <c r="O435" s="392"/>
      <c r="P435" s="392"/>
      <c r="Q435" s="392"/>
      <c r="R435" s="392"/>
      <c r="S435" s="392"/>
      <c r="T435" s="392"/>
      <c r="U435" s="392"/>
      <c r="V435" s="392"/>
      <c r="W435" s="392"/>
      <c r="X435" s="392"/>
      <c r="Y435" s="392"/>
      <c r="Z435" s="392"/>
      <c r="AA435" s="392"/>
      <c r="AB435" s="392"/>
      <c r="AC435" s="392"/>
      <c r="AD435" s="392"/>
      <c r="AE435" s="392"/>
      <c r="AF435" s="392"/>
    </row>
    <row r="436" ht="15.75" customHeight="1">
      <c r="A436" s="216"/>
      <c r="B436" s="156"/>
      <c r="C436" s="156"/>
      <c r="D436" s="156"/>
      <c r="E436" s="392"/>
      <c r="F436" s="392"/>
      <c r="G436" s="392"/>
      <c r="H436" s="392"/>
      <c r="I436" s="392"/>
      <c r="J436" s="392"/>
      <c r="K436" s="392"/>
      <c r="L436" s="392"/>
      <c r="M436" s="392"/>
      <c r="N436" s="392"/>
      <c r="O436" s="392"/>
      <c r="P436" s="392"/>
      <c r="Q436" s="392"/>
      <c r="R436" s="392"/>
      <c r="S436" s="392"/>
      <c r="T436" s="392"/>
      <c r="U436" s="392"/>
      <c r="V436" s="392"/>
      <c r="W436" s="392"/>
      <c r="X436" s="392"/>
      <c r="Y436" s="392"/>
      <c r="Z436" s="392"/>
      <c r="AA436" s="392"/>
      <c r="AB436" s="392"/>
      <c r="AC436" s="392"/>
      <c r="AD436" s="392"/>
      <c r="AE436" s="392"/>
      <c r="AF436" s="392"/>
    </row>
    <row r="437" ht="15.75" customHeight="1">
      <c r="A437" s="216"/>
      <c r="B437" s="156"/>
      <c r="C437" s="156"/>
      <c r="D437" s="156"/>
      <c r="E437" s="392"/>
      <c r="F437" s="392"/>
      <c r="G437" s="392"/>
      <c r="H437" s="392"/>
      <c r="I437" s="392"/>
      <c r="J437" s="392"/>
      <c r="K437" s="392"/>
      <c r="L437" s="392"/>
      <c r="M437" s="392"/>
      <c r="N437" s="392"/>
      <c r="O437" s="392"/>
      <c r="P437" s="392"/>
      <c r="Q437" s="392"/>
      <c r="R437" s="392"/>
      <c r="S437" s="392"/>
      <c r="T437" s="392"/>
      <c r="U437" s="392"/>
      <c r="V437" s="392"/>
      <c r="W437" s="392"/>
      <c r="X437" s="392"/>
      <c r="Y437" s="392"/>
      <c r="Z437" s="392"/>
      <c r="AA437" s="392"/>
      <c r="AB437" s="392"/>
      <c r="AC437" s="392"/>
      <c r="AD437" s="392"/>
      <c r="AE437" s="392"/>
      <c r="AF437" s="392"/>
    </row>
    <row r="438" ht="15.75" customHeight="1">
      <c r="A438" s="216"/>
      <c r="B438" s="156"/>
      <c r="C438" s="156"/>
      <c r="D438" s="156"/>
      <c r="E438" s="392"/>
      <c r="F438" s="392"/>
      <c r="G438" s="392"/>
      <c r="H438" s="392"/>
      <c r="I438" s="392"/>
      <c r="J438" s="392"/>
      <c r="K438" s="392"/>
      <c r="L438" s="392"/>
      <c r="M438" s="392"/>
      <c r="N438" s="392"/>
      <c r="O438" s="392"/>
      <c r="P438" s="392"/>
      <c r="Q438" s="392"/>
      <c r="R438" s="392"/>
      <c r="S438" s="392"/>
      <c r="T438" s="392"/>
      <c r="U438" s="392"/>
      <c r="V438" s="392"/>
      <c r="W438" s="392"/>
      <c r="X438" s="392"/>
      <c r="Y438" s="392"/>
      <c r="Z438" s="392"/>
      <c r="AA438" s="392"/>
      <c r="AB438" s="392"/>
      <c r="AC438" s="392"/>
      <c r="AD438" s="392"/>
      <c r="AE438" s="392"/>
      <c r="AF438" s="392"/>
    </row>
    <row r="439" ht="15.75" customHeight="1">
      <c r="A439" s="216"/>
      <c r="B439" s="156"/>
      <c r="C439" s="156"/>
      <c r="D439" s="156"/>
      <c r="E439" s="392"/>
      <c r="F439" s="392"/>
      <c r="G439" s="392"/>
      <c r="H439" s="392"/>
      <c r="I439" s="392"/>
      <c r="J439" s="392"/>
      <c r="K439" s="392"/>
      <c r="L439" s="392"/>
      <c r="M439" s="392"/>
      <c r="N439" s="392"/>
      <c r="O439" s="392"/>
      <c r="P439" s="392"/>
      <c r="Q439" s="392"/>
      <c r="R439" s="392"/>
      <c r="S439" s="392"/>
      <c r="T439" s="392"/>
      <c r="U439" s="392"/>
      <c r="V439" s="392"/>
      <c r="W439" s="392"/>
      <c r="X439" s="392"/>
      <c r="Y439" s="392"/>
      <c r="Z439" s="392"/>
      <c r="AA439" s="392"/>
      <c r="AB439" s="392"/>
      <c r="AC439" s="392"/>
      <c r="AD439" s="392"/>
      <c r="AE439" s="392"/>
      <c r="AF439" s="392"/>
    </row>
    <row r="440" ht="15.75" customHeight="1">
      <c r="A440" s="216"/>
      <c r="B440" s="156"/>
      <c r="C440" s="156"/>
      <c r="D440" s="156"/>
      <c r="E440" s="392"/>
      <c r="F440" s="392"/>
      <c r="G440" s="392"/>
      <c r="H440" s="392"/>
      <c r="I440" s="392"/>
      <c r="J440" s="392"/>
      <c r="K440" s="392"/>
      <c r="L440" s="392"/>
      <c r="M440" s="392"/>
      <c r="N440" s="392"/>
      <c r="O440" s="392"/>
      <c r="P440" s="392"/>
      <c r="Q440" s="392"/>
      <c r="R440" s="392"/>
      <c r="S440" s="392"/>
      <c r="T440" s="392"/>
      <c r="U440" s="392"/>
      <c r="V440" s="392"/>
      <c r="W440" s="392"/>
      <c r="X440" s="392"/>
      <c r="Y440" s="392"/>
      <c r="Z440" s="392"/>
      <c r="AA440" s="392"/>
      <c r="AB440" s="392"/>
      <c r="AC440" s="392"/>
      <c r="AD440" s="392"/>
      <c r="AE440" s="392"/>
      <c r="AF440" s="392"/>
    </row>
    <row r="441" ht="15.75" customHeight="1">
      <c r="A441" s="216"/>
      <c r="B441" s="156"/>
      <c r="C441" s="156"/>
      <c r="D441" s="156"/>
      <c r="E441" s="392"/>
      <c r="F441" s="392"/>
      <c r="G441" s="392"/>
      <c r="H441" s="392"/>
      <c r="I441" s="392"/>
      <c r="J441" s="392"/>
      <c r="K441" s="392"/>
      <c r="L441" s="392"/>
      <c r="M441" s="392"/>
      <c r="N441" s="392"/>
      <c r="O441" s="392"/>
      <c r="P441" s="392"/>
      <c r="Q441" s="392"/>
      <c r="R441" s="392"/>
      <c r="S441" s="392"/>
      <c r="T441" s="392"/>
      <c r="U441" s="392"/>
      <c r="V441" s="392"/>
      <c r="W441" s="392"/>
      <c r="X441" s="392"/>
      <c r="Y441" s="392"/>
      <c r="Z441" s="392"/>
      <c r="AA441" s="392"/>
      <c r="AB441" s="392"/>
      <c r="AC441" s="392"/>
      <c r="AD441" s="392"/>
      <c r="AE441" s="392"/>
      <c r="AF441" s="392"/>
    </row>
    <row r="442" ht="15.75" customHeight="1">
      <c r="A442" s="216"/>
      <c r="B442" s="156"/>
      <c r="C442" s="156"/>
      <c r="D442" s="156"/>
      <c r="E442" s="392"/>
      <c r="F442" s="392"/>
      <c r="G442" s="392"/>
      <c r="H442" s="392"/>
      <c r="I442" s="392"/>
      <c r="J442" s="392"/>
      <c r="K442" s="392"/>
      <c r="L442" s="392"/>
      <c r="M442" s="392"/>
      <c r="N442" s="392"/>
      <c r="O442" s="392"/>
      <c r="P442" s="392"/>
      <c r="Q442" s="392"/>
      <c r="R442" s="392"/>
      <c r="S442" s="392"/>
      <c r="T442" s="392"/>
      <c r="U442" s="392"/>
      <c r="V442" s="392"/>
      <c r="W442" s="392"/>
      <c r="X442" s="392"/>
      <c r="Y442" s="392"/>
      <c r="Z442" s="392"/>
      <c r="AA442" s="392"/>
      <c r="AB442" s="392"/>
      <c r="AC442" s="392"/>
      <c r="AD442" s="392"/>
      <c r="AE442" s="392"/>
      <c r="AF442" s="392"/>
    </row>
    <row r="443" ht="15.75" customHeight="1">
      <c r="A443" s="216"/>
      <c r="B443" s="156"/>
      <c r="C443" s="156"/>
      <c r="D443" s="156"/>
      <c r="E443" s="392"/>
      <c r="F443" s="392"/>
      <c r="G443" s="392"/>
      <c r="H443" s="392"/>
      <c r="I443" s="392"/>
      <c r="J443" s="392"/>
      <c r="K443" s="392"/>
      <c r="L443" s="392"/>
      <c r="M443" s="392"/>
      <c r="N443" s="392"/>
      <c r="O443" s="392"/>
      <c r="P443" s="392"/>
      <c r="Q443" s="392"/>
      <c r="R443" s="392"/>
      <c r="S443" s="392"/>
      <c r="T443" s="392"/>
      <c r="U443" s="392"/>
      <c r="V443" s="392"/>
      <c r="W443" s="392"/>
      <c r="X443" s="392"/>
      <c r="Y443" s="392"/>
      <c r="Z443" s="392"/>
      <c r="AA443" s="392"/>
      <c r="AB443" s="392"/>
      <c r="AC443" s="392"/>
      <c r="AD443" s="392"/>
      <c r="AE443" s="392"/>
      <c r="AF443" s="392"/>
    </row>
    <row r="444" ht="15.75" customHeight="1">
      <c r="A444" s="216"/>
      <c r="B444" s="156"/>
      <c r="C444" s="156"/>
      <c r="D444" s="156"/>
      <c r="E444" s="392"/>
      <c r="F444" s="392"/>
      <c r="G444" s="392"/>
      <c r="H444" s="392"/>
      <c r="I444" s="392"/>
      <c r="J444" s="392"/>
      <c r="K444" s="392"/>
      <c r="L444" s="392"/>
      <c r="M444" s="392"/>
      <c r="N444" s="392"/>
      <c r="O444" s="392"/>
      <c r="P444" s="392"/>
      <c r="Q444" s="392"/>
      <c r="R444" s="392"/>
      <c r="S444" s="392"/>
      <c r="T444" s="392"/>
      <c r="U444" s="392"/>
      <c r="V444" s="392"/>
      <c r="W444" s="392"/>
      <c r="X444" s="392"/>
      <c r="Y444" s="392"/>
      <c r="Z444" s="392"/>
      <c r="AA444" s="392"/>
      <c r="AB444" s="392"/>
      <c r="AC444" s="392"/>
      <c r="AD444" s="392"/>
      <c r="AE444" s="392"/>
      <c r="AF444" s="392"/>
    </row>
    <row r="445" ht="15.75" customHeight="1">
      <c r="A445" s="216"/>
      <c r="B445" s="156"/>
      <c r="C445" s="156"/>
      <c r="D445" s="156"/>
      <c r="E445" s="392"/>
      <c r="F445" s="392"/>
      <c r="G445" s="392"/>
      <c r="H445" s="392"/>
      <c r="I445" s="392"/>
      <c r="J445" s="392"/>
      <c r="K445" s="392"/>
      <c r="L445" s="392"/>
      <c r="M445" s="392"/>
      <c r="N445" s="392"/>
      <c r="O445" s="392"/>
      <c r="P445" s="392"/>
      <c r="Q445" s="392"/>
      <c r="R445" s="392"/>
      <c r="S445" s="392"/>
      <c r="T445" s="392"/>
      <c r="U445" s="392"/>
      <c r="V445" s="392"/>
      <c r="W445" s="392"/>
      <c r="X445" s="392"/>
      <c r="Y445" s="392"/>
      <c r="Z445" s="392"/>
      <c r="AA445" s="392"/>
      <c r="AB445" s="392"/>
      <c r="AC445" s="392"/>
      <c r="AD445" s="392"/>
      <c r="AE445" s="392"/>
      <c r="AF445" s="392"/>
    </row>
    <row r="446" ht="15.75" customHeight="1">
      <c r="A446" s="216"/>
      <c r="B446" s="156"/>
      <c r="C446" s="156"/>
      <c r="D446" s="156"/>
      <c r="E446" s="392"/>
      <c r="F446" s="392"/>
      <c r="G446" s="392"/>
      <c r="H446" s="392"/>
      <c r="I446" s="392"/>
      <c r="J446" s="392"/>
      <c r="K446" s="392"/>
      <c r="L446" s="392"/>
      <c r="M446" s="392"/>
      <c r="N446" s="392"/>
      <c r="O446" s="392"/>
      <c r="P446" s="392"/>
      <c r="Q446" s="392"/>
      <c r="R446" s="392"/>
      <c r="S446" s="392"/>
      <c r="T446" s="392"/>
      <c r="U446" s="392"/>
      <c r="V446" s="392"/>
      <c r="W446" s="392"/>
      <c r="X446" s="392"/>
      <c r="Y446" s="392"/>
      <c r="Z446" s="392"/>
      <c r="AA446" s="392"/>
      <c r="AB446" s="392"/>
      <c r="AC446" s="392"/>
      <c r="AD446" s="392"/>
      <c r="AE446" s="392"/>
      <c r="AF446" s="392"/>
    </row>
    <row r="447" ht="15.75" customHeight="1">
      <c r="A447" s="216"/>
      <c r="B447" s="156"/>
      <c r="C447" s="156"/>
      <c r="D447" s="156"/>
      <c r="E447" s="392"/>
      <c r="F447" s="392"/>
      <c r="G447" s="392"/>
      <c r="H447" s="392"/>
      <c r="I447" s="392"/>
      <c r="J447" s="392"/>
      <c r="K447" s="392"/>
      <c r="L447" s="392"/>
      <c r="M447" s="392"/>
      <c r="N447" s="392"/>
      <c r="O447" s="392"/>
      <c r="P447" s="392"/>
      <c r="Q447" s="392"/>
      <c r="R447" s="392"/>
      <c r="S447" s="392"/>
      <c r="T447" s="392"/>
      <c r="U447" s="392"/>
      <c r="V447" s="392"/>
      <c r="W447" s="392"/>
      <c r="X447" s="392"/>
      <c r="Y447" s="392"/>
      <c r="Z447" s="392"/>
      <c r="AA447" s="392"/>
      <c r="AB447" s="392"/>
      <c r="AC447" s="392"/>
      <c r="AD447" s="392"/>
      <c r="AE447" s="392"/>
      <c r="AF447" s="392"/>
    </row>
    <row r="448" ht="15.75" customHeight="1">
      <c r="A448" s="216"/>
      <c r="B448" s="156"/>
      <c r="C448" s="156"/>
      <c r="D448" s="156"/>
      <c r="E448" s="392"/>
      <c r="F448" s="392"/>
      <c r="G448" s="392"/>
      <c r="H448" s="392"/>
      <c r="I448" s="392"/>
      <c r="J448" s="392"/>
      <c r="K448" s="392"/>
      <c r="L448" s="392"/>
      <c r="M448" s="392"/>
      <c r="N448" s="392"/>
      <c r="O448" s="392"/>
      <c r="P448" s="392"/>
      <c r="Q448" s="392"/>
      <c r="R448" s="392"/>
      <c r="S448" s="392"/>
      <c r="T448" s="392"/>
      <c r="U448" s="392"/>
      <c r="V448" s="392"/>
      <c r="W448" s="392"/>
      <c r="X448" s="392"/>
      <c r="Y448" s="392"/>
      <c r="Z448" s="392"/>
      <c r="AA448" s="392"/>
      <c r="AB448" s="392"/>
      <c r="AC448" s="392"/>
      <c r="AD448" s="392"/>
      <c r="AE448" s="392"/>
      <c r="AF448" s="392"/>
    </row>
    <row r="449" ht="15.75" customHeight="1">
      <c r="A449" s="216"/>
      <c r="B449" s="156"/>
      <c r="C449" s="156"/>
      <c r="D449" s="156"/>
      <c r="E449" s="392"/>
      <c r="F449" s="392"/>
      <c r="G449" s="392"/>
      <c r="H449" s="392"/>
      <c r="I449" s="392"/>
      <c r="J449" s="392"/>
      <c r="K449" s="392"/>
      <c r="L449" s="392"/>
      <c r="M449" s="392"/>
      <c r="N449" s="392"/>
      <c r="O449" s="392"/>
      <c r="P449" s="392"/>
      <c r="Q449" s="392"/>
      <c r="R449" s="392"/>
      <c r="S449" s="392"/>
      <c r="T449" s="392"/>
      <c r="U449" s="392"/>
      <c r="V449" s="392"/>
      <c r="W449" s="392"/>
      <c r="X449" s="392"/>
      <c r="Y449" s="392"/>
      <c r="Z449" s="392"/>
      <c r="AA449" s="392"/>
      <c r="AB449" s="392"/>
      <c r="AC449" s="392"/>
      <c r="AD449" s="392"/>
      <c r="AE449" s="392"/>
      <c r="AF449" s="392"/>
    </row>
    <row r="450" ht="15.75" customHeight="1">
      <c r="A450" s="216"/>
      <c r="B450" s="156"/>
      <c r="C450" s="156"/>
      <c r="D450" s="156"/>
      <c r="E450" s="392"/>
      <c r="F450" s="392"/>
      <c r="G450" s="392"/>
      <c r="H450" s="392"/>
      <c r="I450" s="392"/>
      <c r="J450" s="392"/>
      <c r="K450" s="392"/>
      <c r="L450" s="392"/>
      <c r="M450" s="392"/>
      <c r="N450" s="392"/>
      <c r="O450" s="392"/>
      <c r="P450" s="392"/>
      <c r="Q450" s="392"/>
      <c r="R450" s="392"/>
      <c r="S450" s="392"/>
      <c r="T450" s="392"/>
      <c r="U450" s="392"/>
      <c r="V450" s="392"/>
      <c r="W450" s="392"/>
      <c r="X450" s="392"/>
      <c r="Y450" s="392"/>
      <c r="Z450" s="392"/>
      <c r="AA450" s="392"/>
      <c r="AB450" s="392"/>
      <c r="AC450" s="392"/>
      <c r="AD450" s="392"/>
      <c r="AE450" s="392"/>
      <c r="AF450" s="392"/>
    </row>
    <row r="451" ht="15.75" customHeight="1">
      <c r="A451" s="216"/>
      <c r="B451" s="156"/>
      <c r="C451" s="156"/>
      <c r="D451" s="156"/>
      <c r="E451" s="392"/>
      <c r="F451" s="392"/>
      <c r="G451" s="392"/>
      <c r="H451" s="392"/>
      <c r="I451" s="392"/>
      <c r="J451" s="392"/>
      <c r="K451" s="392"/>
      <c r="L451" s="392"/>
      <c r="M451" s="392"/>
      <c r="N451" s="392"/>
      <c r="O451" s="392"/>
      <c r="P451" s="392"/>
      <c r="Q451" s="392"/>
      <c r="R451" s="392"/>
      <c r="S451" s="392"/>
      <c r="T451" s="392"/>
      <c r="U451" s="392"/>
      <c r="V451" s="392"/>
      <c r="W451" s="392"/>
      <c r="X451" s="392"/>
      <c r="Y451" s="392"/>
      <c r="Z451" s="392"/>
      <c r="AA451" s="392"/>
      <c r="AB451" s="392"/>
      <c r="AC451" s="392"/>
      <c r="AD451" s="392"/>
      <c r="AE451" s="392"/>
      <c r="AF451" s="392"/>
    </row>
    <row r="452" ht="15.75" customHeight="1">
      <c r="A452" s="216"/>
      <c r="B452" s="156"/>
      <c r="C452" s="156"/>
      <c r="D452" s="156"/>
      <c r="E452" s="392"/>
      <c r="F452" s="392"/>
      <c r="G452" s="392"/>
      <c r="H452" s="392"/>
      <c r="I452" s="392"/>
      <c r="J452" s="392"/>
      <c r="K452" s="392"/>
      <c r="L452" s="392"/>
      <c r="M452" s="392"/>
      <c r="N452" s="392"/>
      <c r="O452" s="392"/>
      <c r="P452" s="392"/>
      <c r="Q452" s="392"/>
      <c r="R452" s="392"/>
      <c r="S452" s="392"/>
      <c r="T452" s="392"/>
      <c r="U452" s="392"/>
      <c r="V452" s="392"/>
      <c r="W452" s="392"/>
      <c r="X452" s="392"/>
      <c r="Y452" s="392"/>
      <c r="Z452" s="392"/>
      <c r="AA452" s="392"/>
      <c r="AB452" s="392"/>
      <c r="AC452" s="392"/>
      <c r="AD452" s="392"/>
      <c r="AE452" s="392"/>
      <c r="AF452" s="392"/>
    </row>
    <row r="453" ht="15.75" customHeight="1">
      <c r="A453" s="216"/>
      <c r="B453" s="156"/>
      <c r="C453" s="156"/>
      <c r="D453" s="156"/>
      <c r="E453" s="392"/>
      <c r="F453" s="392"/>
      <c r="G453" s="392"/>
      <c r="H453" s="392"/>
      <c r="I453" s="392"/>
      <c r="J453" s="392"/>
      <c r="K453" s="392"/>
      <c r="L453" s="392"/>
      <c r="M453" s="392"/>
      <c r="N453" s="392"/>
      <c r="O453" s="392"/>
      <c r="P453" s="392"/>
      <c r="Q453" s="392"/>
      <c r="R453" s="392"/>
      <c r="S453" s="392"/>
      <c r="T453" s="392"/>
      <c r="U453" s="392"/>
      <c r="V453" s="392"/>
      <c r="W453" s="392"/>
      <c r="X453" s="392"/>
      <c r="Y453" s="392"/>
      <c r="Z453" s="392"/>
      <c r="AA453" s="392"/>
      <c r="AB453" s="392"/>
      <c r="AC453" s="392"/>
      <c r="AD453" s="392"/>
      <c r="AE453" s="392"/>
      <c r="AF453" s="392"/>
    </row>
    <row r="454" ht="15.75" customHeight="1">
      <c r="A454" s="216"/>
      <c r="B454" s="156"/>
      <c r="C454" s="156"/>
      <c r="D454" s="156"/>
      <c r="E454" s="392"/>
      <c r="F454" s="392"/>
      <c r="G454" s="392"/>
      <c r="H454" s="392"/>
      <c r="I454" s="392"/>
      <c r="J454" s="392"/>
      <c r="K454" s="392"/>
      <c r="L454" s="392"/>
      <c r="M454" s="392"/>
      <c r="N454" s="392"/>
      <c r="O454" s="392"/>
      <c r="P454" s="392"/>
      <c r="Q454" s="392"/>
      <c r="R454" s="392"/>
      <c r="S454" s="392"/>
      <c r="T454" s="392"/>
      <c r="U454" s="392"/>
      <c r="V454" s="392"/>
      <c r="W454" s="392"/>
      <c r="X454" s="392"/>
      <c r="Y454" s="392"/>
      <c r="Z454" s="392"/>
      <c r="AA454" s="392"/>
      <c r="AB454" s="392"/>
      <c r="AC454" s="392"/>
      <c r="AD454" s="392"/>
      <c r="AE454" s="392"/>
      <c r="AF454" s="392"/>
    </row>
    <row r="455" ht="15.75" customHeight="1">
      <c r="A455" s="216"/>
      <c r="B455" s="156"/>
      <c r="C455" s="156"/>
      <c r="D455" s="156"/>
      <c r="E455" s="392"/>
      <c r="F455" s="392"/>
      <c r="G455" s="392"/>
      <c r="H455" s="392"/>
      <c r="I455" s="392"/>
      <c r="J455" s="392"/>
      <c r="K455" s="392"/>
      <c r="L455" s="392"/>
      <c r="M455" s="392"/>
      <c r="N455" s="392"/>
      <c r="O455" s="392"/>
      <c r="P455" s="392"/>
      <c r="Q455" s="392"/>
      <c r="R455" s="392"/>
      <c r="S455" s="392"/>
      <c r="T455" s="392"/>
      <c r="U455" s="392"/>
      <c r="V455" s="392"/>
      <c r="W455" s="392"/>
      <c r="X455" s="392"/>
      <c r="Y455" s="392"/>
      <c r="Z455" s="392"/>
      <c r="AA455" s="392"/>
      <c r="AB455" s="392"/>
      <c r="AC455" s="392"/>
      <c r="AD455" s="392"/>
      <c r="AE455" s="392"/>
      <c r="AF455" s="392"/>
    </row>
    <row r="456" ht="15.75" customHeight="1">
      <c r="A456" s="216"/>
      <c r="B456" s="156"/>
      <c r="C456" s="156"/>
      <c r="D456" s="156"/>
      <c r="E456" s="392"/>
      <c r="F456" s="392"/>
      <c r="G456" s="392"/>
      <c r="H456" s="392"/>
      <c r="I456" s="392"/>
      <c r="J456" s="392"/>
      <c r="K456" s="392"/>
      <c r="L456" s="392"/>
      <c r="M456" s="392"/>
      <c r="N456" s="392"/>
      <c r="O456" s="392"/>
      <c r="P456" s="392"/>
      <c r="Q456" s="392"/>
      <c r="R456" s="392"/>
      <c r="S456" s="392"/>
      <c r="T456" s="392"/>
      <c r="U456" s="392"/>
      <c r="V456" s="392"/>
      <c r="W456" s="392"/>
      <c r="X456" s="392"/>
      <c r="Y456" s="392"/>
      <c r="Z456" s="392"/>
      <c r="AA456" s="392"/>
      <c r="AB456" s="392"/>
      <c r="AC456" s="392"/>
      <c r="AD456" s="392"/>
      <c r="AE456" s="392"/>
      <c r="AF456" s="392"/>
    </row>
    <row r="457" ht="15.75" customHeight="1">
      <c r="A457" s="216"/>
      <c r="B457" s="156"/>
      <c r="C457" s="156"/>
      <c r="D457" s="156"/>
      <c r="E457" s="392"/>
      <c r="F457" s="392"/>
      <c r="G457" s="392"/>
      <c r="H457" s="392"/>
      <c r="I457" s="392"/>
      <c r="J457" s="392"/>
      <c r="K457" s="392"/>
      <c r="L457" s="392"/>
      <c r="M457" s="392"/>
      <c r="N457" s="392"/>
      <c r="O457" s="392"/>
      <c r="P457" s="392"/>
      <c r="Q457" s="392"/>
      <c r="R457" s="392"/>
      <c r="S457" s="392"/>
      <c r="T457" s="392"/>
      <c r="U457" s="392"/>
      <c r="V457" s="392"/>
      <c r="W457" s="392"/>
      <c r="X457" s="392"/>
      <c r="Y457" s="392"/>
      <c r="Z457" s="392"/>
      <c r="AA457" s="392"/>
      <c r="AB457" s="392"/>
      <c r="AC457" s="392"/>
      <c r="AD457" s="392"/>
      <c r="AE457" s="392"/>
      <c r="AF457" s="392"/>
    </row>
    <row r="458" ht="15.75" customHeight="1">
      <c r="A458" s="216"/>
      <c r="B458" s="156"/>
      <c r="C458" s="156"/>
      <c r="D458" s="156"/>
      <c r="E458" s="392"/>
      <c r="F458" s="392"/>
      <c r="G458" s="392"/>
      <c r="H458" s="392"/>
      <c r="I458" s="392"/>
      <c r="J458" s="392"/>
      <c r="K458" s="392"/>
      <c r="L458" s="392"/>
      <c r="M458" s="392"/>
      <c r="N458" s="392"/>
      <c r="O458" s="392"/>
      <c r="P458" s="392"/>
      <c r="Q458" s="392"/>
      <c r="R458" s="392"/>
      <c r="S458" s="392"/>
      <c r="T458" s="392"/>
      <c r="U458" s="392"/>
      <c r="V458" s="392"/>
      <c r="W458" s="392"/>
      <c r="X458" s="392"/>
      <c r="Y458" s="392"/>
      <c r="Z458" s="392"/>
      <c r="AA458" s="392"/>
      <c r="AB458" s="392"/>
      <c r="AC458" s="392"/>
      <c r="AD458" s="392"/>
      <c r="AE458" s="392"/>
      <c r="AF458" s="392"/>
    </row>
    <row r="459" ht="15.75" customHeight="1">
      <c r="A459" s="216"/>
      <c r="B459" s="156"/>
      <c r="C459" s="156"/>
      <c r="D459" s="156"/>
      <c r="E459" s="392"/>
      <c r="F459" s="392"/>
      <c r="G459" s="392"/>
      <c r="H459" s="392"/>
      <c r="I459" s="392"/>
      <c r="J459" s="392"/>
      <c r="K459" s="392"/>
      <c r="L459" s="392"/>
      <c r="M459" s="392"/>
      <c r="N459" s="392"/>
      <c r="O459" s="392"/>
      <c r="P459" s="392"/>
      <c r="Q459" s="392"/>
      <c r="R459" s="392"/>
      <c r="S459" s="392"/>
      <c r="T459" s="392"/>
      <c r="U459" s="392"/>
      <c r="V459" s="392"/>
      <c r="W459" s="392"/>
      <c r="X459" s="392"/>
      <c r="Y459" s="392"/>
      <c r="Z459" s="392"/>
      <c r="AA459" s="392"/>
      <c r="AB459" s="392"/>
      <c r="AC459" s="392"/>
      <c r="AD459" s="392"/>
      <c r="AE459" s="392"/>
      <c r="AF459" s="392"/>
    </row>
    <row r="460" ht="15.75" customHeight="1">
      <c r="A460" s="216"/>
      <c r="B460" s="156"/>
      <c r="C460" s="156"/>
      <c r="D460" s="156"/>
      <c r="E460" s="392"/>
      <c r="F460" s="392"/>
      <c r="G460" s="392"/>
      <c r="H460" s="392"/>
      <c r="I460" s="392"/>
      <c r="J460" s="392"/>
      <c r="K460" s="392"/>
      <c r="L460" s="392"/>
      <c r="M460" s="392"/>
      <c r="N460" s="392"/>
      <c r="O460" s="392"/>
      <c r="P460" s="392"/>
      <c r="Q460" s="392"/>
      <c r="R460" s="392"/>
      <c r="S460" s="392"/>
      <c r="T460" s="392"/>
      <c r="U460" s="392"/>
      <c r="V460" s="392"/>
      <c r="W460" s="392"/>
      <c r="X460" s="392"/>
      <c r="Y460" s="392"/>
      <c r="Z460" s="392"/>
      <c r="AA460" s="392"/>
      <c r="AB460" s="392"/>
      <c r="AC460" s="392"/>
      <c r="AD460" s="392"/>
      <c r="AE460" s="392"/>
      <c r="AF460" s="392"/>
    </row>
    <row r="461" ht="15.75" customHeight="1">
      <c r="A461" s="216"/>
      <c r="B461" s="156"/>
      <c r="C461" s="156"/>
      <c r="D461" s="156"/>
      <c r="E461" s="392"/>
      <c r="F461" s="392"/>
      <c r="G461" s="392"/>
      <c r="H461" s="392"/>
      <c r="I461" s="392"/>
      <c r="J461" s="392"/>
      <c r="K461" s="392"/>
      <c r="L461" s="392"/>
      <c r="M461" s="392"/>
      <c r="N461" s="392"/>
      <c r="O461" s="392"/>
      <c r="P461" s="392"/>
      <c r="Q461" s="392"/>
      <c r="R461" s="392"/>
      <c r="S461" s="392"/>
      <c r="T461" s="392"/>
      <c r="U461" s="392"/>
      <c r="V461" s="392"/>
      <c r="W461" s="392"/>
      <c r="X461" s="392"/>
      <c r="Y461" s="392"/>
      <c r="Z461" s="392"/>
      <c r="AA461" s="392"/>
      <c r="AB461" s="392"/>
      <c r="AC461" s="392"/>
      <c r="AD461" s="392"/>
      <c r="AE461" s="392"/>
      <c r="AF461" s="392"/>
    </row>
    <row r="462" ht="15.75" customHeight="1">
      <c r="A462" s="216"/>
      <c r="B462" s="156"/>
      <c r="C462" s="156"/>
      <c r="D462" s="156"/>
      <c r="E462" s="392"/>
      <c r="F462" s="392"/>
      <c r="G462" s="392"/>
      <c r="H462" s="392"/>
      <c r="I462" s="392"/>
      <c r="J462" s="392"/>
      <c r="K462" s="392"/>
      <c r="L462" s="392"/>
      <c r="M462" s="392"/>
      <c r="N462" s="392"/>
      <c r="O462" s="392"/>
      <c r="P462" s="392"/>
      <c r="Q462" s="392"/>
      <c r="R462" s="392"/>
      <c r="S462" s="392"/>
      <c r="T462" s="392"/>
      <c r="U462" s="392"/>
      <c r="V462" s="392"/>
      <c r="W462" s="392"/>
      <c r="X462" s="392"/>
      <c r="Y462" s="392"/>
      <c r="Z462" s="392"/>
      <c r="AA462" s="392"/>
      <c r="AB462" s="392"/>
      <c r="AC462" s="392"/>
      <c r="AD462" s="392"/>
      <c r="AE462" s="392"/>
      <c r="AF462" s="392"/>
    </row>
    <row r="463" ht="15.75" customHeight="1">
      <c r="A463" s="216"/>
      <c r="B463" s="156"/>
      <c r="C463" s="156"/>
      <c r="D463" s="156"/>
      <c r="E463" s="392"/>
      <c r="F463" s="392"/>
      <c r="G463" s="392"/>
      <c r="H463" s="392"/>
      <c r="I463" s="392"/>
      <c r="J463" s="392"/>
      <c r="K463" s="392"/>
      <c r="L463" s="392"/>
      <c r="M463" s="392"/>
      <c r="N463" s="392"/>
      <c r="O463" s="392"/>
      <c r="P463" s="392"/>
      <c r="Q463" s="392"/>
      <c r="R463" s="392"/>
      <c r="S463" s="392"/>
      <c r="T463" s="392"/>
      <c r="U463" s="392"/>
      <c r="V463" s="392"/>
      <c r="W463" s="392"/>
      <c r="X463" s="392"/>
      <c r="Y463" s="392"/>
      <c r="Z463" s="392"/>
      <c r="AA463" s="392"/>
      <c r="AB463" s="392"/>
      <c r="AC463" s="392"/>
      <c r="AD463" s="392"/>
      <c r="AE463" s="392"/>
      <c r="AF463" s="392"/>
    </row>
    <row r="464" ht="15.75" customHeight="1">
      <c r="A464" s="216"/>
      <c r="B464" s="156"/>
      <c r="C464" s="156"/>
      <c r="D464" s="156"/>
      <c r="E464" s="392"/>
      <c r="F464" s="392"/>
      <c r="G464" s="392"/>
      <c r="H464" s="392"/>
      <c r="I464" s="392"/>
      <c r="J464" s="392"/>
      <c r="K464" s="392"/>
      <c r="L464" s="392"/>
      <c r="M464" s="392"/>
      <c r="N464" s="392"/>
      <c r="O464" s="392"/>
      <c r="P464" s="392"/>
      <c r="Q464" s="392"/>
      <c r="R464" s="392"/>
      <c r="S464" s="392"/>
      <c r="T464" s="392"/>
      <c r="U464" s="392"/>
      <c r="V464" s="392"/>
      <c r="W464" s="392"/>
      <c r="X464" s="392"/>
      <c r="Y464" s="392"/>
      <c r="Z464" s="392"/>
      <c r="AA464" s="392"/>
      <c r="AB464" s="392"/>
      <c r="AC464" s="392"/>
      <c r="AD464" s="392"/>
      <c r="AE464" s="392"/>
      <c r="AF464" s="392"/>
    </row>
    <row r="465" ht="15.75" customHeight="1">
      <c r="A465" s="216"/>
      <c r="B465" s="156"/>
      <c r="C465" s="156"/>
      <c r="D465" s="156"/>
      <c r="E465" s="392"/>
      <c r="F465" s="392"/>
      <c r="G465" s="392"/>
      <c r="H465" s="392"/>
      <c r="I465" s="392"/>
      <c r="J465" s="392"/>
      <c r="K465" s="392"/>
      <c r="L465" s="392"/>
      <c r="M465" s="392"/>
      <c r="N465" s="392"/>
      <c r="O465" s="392"/>
      <c r="P465" s="392"/>
      <c r="Q465" s="392"/>
      <c r="R465" s="392"/>
      <c r="S465" s="392"/>
      <c r="T465" s="392"/>
      <c r="U465" s="392"/>
      <c r="V465" s="392"/>
      <c r="W465" s="392"/>
      <c r="X465" s="392"/>
      <c r="Y465" s="392"/>
      <c r="Z465" s="392"/>
      <c r="AA465" s="392"/>
      <c r="AB465" s="392"/>
      <c r="AC465" s="392"/>
      <c r="AD465" s="392"/>
      <c r="AE465" s="392"/>
      <c r="AF465" s="392"/>
    </row>
    <row r="466" ht="15.75" customHeight="1">
      <c r="A466" s="216"/>
      <c r="B466" s="156"/>
      <c r="C466" s="156"/>
      <c r="D466" s="156"/>
      <c r="E466" s="392"/>
      <c r="F466" s="392"/>
      <c r="G466" s="392"/>
      <c r="H466" s="392"/>
      <c r="I466" s="392"/>
      <c r="J466" s="392"/>
      <c r="K466" s="392"/>
      <c r="L466" s="392"/>
      <c r="M466" s="392"/>
      <c r="N466" s="392"/>
      <c r="O466" s="392"/>
      <c r="P466" s="392"/>
      <c r="Q466" s="392"/>
      <c r="R466" s="392"/>
      <c r="S466" s="392"/>
      <c r="T466" s="392"/>
      <c r="U466" s="392"/>
      <c r="V466" s="392"/>
      <c r="W466" s="392"/>
      <c r="X466" s="392"/>
      <c r="Y466" s="392"/>
      <c r="Z466" s="392"/>
      <c r="AA466" s="392"/>
      <c r="AB466" s="392"/>
      <c r="AC466" s="392"/>
      <c r="AD466" s="392"/>
      <c r="AE466" s="392"/>
      <c r="AF466" s="392"/>
    </row>
    <row r="467" ht="15.75" customHeight="1">
      <c r="A467" s="216"/>
      <c r="B467" s="156"/>
      <c r="C467" s="156"/>
      <c r="D467" s="156"/>
      <c r="E467" s="392"/>
      <c r="F467" s="392"/>
      <c r="G467" s="392"/>
      <c r="H467" s="392"/>
      <c r="I467" s="392"/>
      <c r="J467" s="392"/>
      <c r="K467" s="392"/>
      <c r="L467" s="392"/>
      <c r="M467" s="392"/>
      <c r="N467" s="392"/>
      <c r="O467" s="392"/>
      <c r="P467" s="392"/>
      <c r="Q467" s="392"/>
      <c r="R467" s="392"/>
      <c r="S467" s="392"/>
      <c r="T467" s="392"/>
      <c r="U467" s="392"/>
      <c r="V467" s="392"/>
      <c r="W467" s="392"/>
      <c r="X467" s="392"/>
      <c r="Y467" s="392"/>
      <c r="Z467" s="392"/>
      <c r="AA467" s="392"/>
      <c r="AB467" s="392"/>
      <c r="AC467" s="392"/>
      <c r="AD467" s="392"/>
      <c r="AE467" s="392"/>
      <c r="AF467" s="392"/>
    </row>
    <row r="468" ht="15.75" customHeight="1">
      <c r="A468" s="216"/>
      <c r="B468" s="156"/>
      <c r="C468" s="156"/>
      <c r="D468" s="156"/>
      <c r="E468" s="392"/>
      <c r="F468" s="392"/>
      <c r="G468" s="392"/>
      <c r="H468" s="392"/>
      <c r="I468" s="392"/>
      <c r="J468" s="392"/>
      <c r="K468" s="392"/>
      <c r="L468" s="392"/>
      <c r="M468" s="392"/>
      <c r="N468" s="392"/>
      <c r="O468" s="392"/>
      <c r="P468" s="392"/>
      <c r="Q468" s="392"/>
      <c r="R468" s="392"/>
      <c r="S468" s="392"/>
      <c r="T468" s="392"/>
      <c r="U468" s="392"/>
      <c r="V468" s="392"/>
      <c r="W468" s="392"/>
      <c r="X468" s="392"/>
      <c r="Y468" s="392"/>
      <c r="Z468" s="392"/>
      <c r="AA468" s="392"/>
      <c r="AB468" s="392"/>
      <c r="AC468" s="392"/>
      <c r="AD468" s="392"/>
      <c r="AE468" s="392"/>
      <c r="AF468" s="392"/>
    </row>
    <row r="469" ht="15.75" customHeight="1">
      <c r="A469" s="216"/>
      <c r="B469" s="156"/>
      <c r="C469" s="156"/>
      <c r="D469" s="156"/>
      <c r="E469" s="392"/>
      <c r="F469" s="392"/>
      <c r="G469" s="392"/>
      <c r="H469" s="392"/>
      <c r="I469" s="392"/>
      <c r="J469" s="392"/>
      <c r="K469" s="392"/>
      <c r="L469" s="392"/>
      <c r="M469" s="392"/>
      <c r="N469" s="392"/>
      <c r="O469" s="392"/>
      <c r="P469" s="392"/>
      <c r="Q469" s="392"/>
      <c r="R469" s="392"/>
      <c r="S469" s="392"/>
      <c r="T469" s="392"/>
      <c r="U469" s="392"/>
      <c r="V469" s="392"/>
      <c r="W469" s="392"/>
      <c r="X469" s="392"/>
      <c r="Y469" s="392"/>
      <c r="Z469" s="392"/>
      <c r="AA469" s="392"/>
      <c r="AB469" s="392"/>
      <c r="AC469" s="392"/>
      <c r="AD469" s="392"/>
      <c r="AE469" s="392"/>
      <c r="AF469" s="392"/>
    </row>
    <row r="470" ht="15.75" customHeight="1">
      <c r="A470" s="216"/>
      <c r="B470" s="156"/>
      <c r="C470" s="156"/>
      <c r="D470" s="156"/>
      <c r="E470" s="392"/>
      <c r="F470" s="392"/>
      <c r="G470" s="392"/>
      <c r="H470" s="392"/>
      <c r="I470" s="392"/>
      <c r="J470" s="392"/>
      <c r="K470" s="392"/>
      <c r="L470" s="392"/>
      <c r="M470" s="392"/>
      <c r="N470" s="392"/>
      <c r="O470" s="392"/>
      <c r="P470" s="392"/>
      <c r="Q470" s="392"/>
      <c r="R470" s="392"/>
      <c r="S470" s="392"/>
      <c r="T470" s="392"/>
      <c r="U470" s="392"/>
      <c r="V470" s="392"/>
      <c r="W470" s="392"/>
      <c r="X470" s="392"/>
      <c r="Y470" s="392"/>
      <c r="Z470" s="392"/>
      <c r="AA470" s="392"/>
      <c r="AB470" s="392"/>
      <c r="AC470" s="392"/>
      <c r="AD470" s="392"/>
      <c r="AE470" s="392"/>
      <c r="AF470" s="392"/>
    </row>
    <row r="471" ht="15.75" customHeight="1">
      <c r="A471" s="216"/>
      <c r="B471" s="156"/>
      <c r="C471" s="156"/>
      <c r="D471" s="156"/>
      <c r="E471" s="392"/>
      <c r="F471" s="392"/>
      <c r="G471" s="392"/>
      <c r="H471" s="392"/>
      <c r="I471" s="392"/>
      <c r="J471" s="392"/>
      <c r="K471" s="392"/>
      <c r="L471" s="392"/>
      <c r="M471" s="392"/>
      <c r="N471" s="392"/>
      <c r="O471" s="392"/>
      <c r="P471" s="392"/>
      <c r="Q471" s="392"/>
      <c r="R471" s="392"/>
      <c r="S471" s="392"/>
      <c r="T471" s="392"/>
      <c r="U471" s="392"/>
      <c r="V471" s="392"/>
      <c r="W471" s="392"/>
      <c r="X471" s="392"/>
      <c r="Y471" s="392"/>
      <c r="Z471" s="392"/>
      <c r="AA471" s="392"/>
      <c r="AB471" s="392"/>
      <c r="AC471" s="392"/>
      <c r="AD471" s="392"/>
      <c r="AE471" s="392"/>
      <c r="AF471" s="392"/>
    </row>
    <row r="472" ht="15.75" customHeight="1">
      <c r="A472" s="216"/>
      <c r="B472" s="156"/>
      <c r="C472" s="156"/>
      <c r="D472" s="156"/>
      <c r="E472" s="392"/>
      <c r="F472" s="392"/>
      <c r="G472" s="392"/>
      <c r="H472" s="392"/>
      <c r="I472" s="392"/>
      <c r="J472" s="392"/>
      <c r="K472" s="392"/>
      <c r="L472" s="392"/>
      <c r="M472" s="392"/>
      <c r="N472" s="392"/>
      <c r="O472" s="392"/>
      <c r="P472" s="392"/>
      <c r="Q472" s="392"/>
      <c r="R472" s="392"/>
      <c r="S472" s="392"/>
      <c r="T472" s="392"/>
      <c r="U472" s="392"/>
      <c r="V472" s="392"/>
      <c r="W472" s="392"/>
      <c r="X472" s="392"/>
      <c r="Y472" s="392"/>
      <c r="Z472" s="392"/>
      <c r="AA472" s="392"/>
      <c r="AB472" s="392"/>
      <c r="AC472" s="392"/>
      <c r="AD472" s="392"/>
      <c r="AE472" s="392"/>
      <c r="AF472" s="392"/>
    </row>
    <row r="473" ht="15.75" customHeight="1">
      <c r="A473" s="216"/>
      <c r="B473" s="156"/>
      <c r="C473" s="156"/>
      <c r="D473" s="156"/>
      <c r="E473" s="392"/>
      <c r="F473" s="392"/>
      <c r="G473" s="392"/>
      <c r="H473" s="392"/>
      <c r="I473" s="392"/>
      <c r="J473" s="392"/>
      <c r="K473" s="392"/>
      <c r="L473" s="392"/>
      <c r="M473" s="392"/>
      <c r="N473" s="392"/>
      <c r="O473" s="392"/>
      <c r="P473" s="392"/>
      <c r="Q473" s="392"/>
      <c r="R473" s="392"/>
      <c r="S473" s="392"/>
      <c r="T473" s="392"/>
      <c r="U473" s="392"/>
      <c r="V473" s="392"/>
      <c r="W473" s="392"/>
      <c r="X473" s="392"/>
      <c r="Y473" s="392"/>
      <c r="Z473" s="392"/>
      <c r="AA473" s="392"/>
      <c r="AB473" s="392"/>
      <c r="AC473" s="392"/>
      <c r="AD473" s="392"/>
      <c r="AE473" s="392"/>
      <c r="AF473" s="392"/>
    </row>
    <row r="474" ht="15.75" customHeight="1">
      <c r="A474" s="216"/>
      <c r="B474" s="156"/>
      <c r="C474" s="156"/>
      <c r="D474" s="156"/>
      <c r="E474" s="392"/>
      <c r="F474" s="392"/>
      <c r="G474" s="392"/>
      <c r="H474" s="392"/>
      <c r="I474" s="392"/>
      <c r="J474" s="392"/>
      <c r="K474" s="392"/>
      <c r="L474" s="392"/>
      <c r="M474" s="392"/>
      <c r="N474" s="392"/>
      <c r="O474" s="392"/>
      <c r="P474" s="392"/>
      <c r="Q474" s="392"/>
      <c r="R474" s="392"/>
      <c r="S474" s="392"/>
      <c r="T474" s="392"/>
      <c r="U474" s="392"/>
      <c r="V474" s="392"/>
      <c r="W474" s="392"/>
      <c r="X474" s="392"/>
      <c r="Y474" s="392"/>
      <c r="Z474" s="392"/>
      <c r="AA474" s="392"/>
      <c r="AB474" s="392"/>
      <c r="AC474" s="392"/>
      <c r="AD474" s="392"/>
      <c r="AE474" s="392"/>
      <c r="AF474" s="392"/>
    </row>
    <row r="475" ht="15.75" customHeight="1">
      <c r="A475" s="216"/>
      <c r="B475" s="156"/>
      <c r="C475" s="156"/>
      <c r="D475" s="156"/>
      <c r="E475" s="392"/>
      <c r="F475" s="392"/>
      <c r="G475" s="392"/>
      <c r="H475" s="392"/>
      <c r="I475" s="392"/>
      <c r="J475" s="392"/>
      <c r="K475" s="392"/>
      <c r="L475" s="392"/>
      <c r="M475" s="392"/>
      <c r="N475" s="392"/>
      <c r="O475" s="392"/>
      <c r="P475" s="392"/>
      <c r="Q475" s="392"/>
      <c r="R475" s="392"/>
      <c r="S475" s="392"/>
      <c r="T475" s="392"/>
      <c r="U475" s="392"/>
      <c r="V475" s="392"/>
      <c r="W475" s="392"/>
      <c r="X475" s="392"/>
      <c r="Y475" s="392"/>
      <c r="Z475" s="392"/>
      <c r="AA475" s="392"/>
      <c r="AB475" s="392"/>
      <c r="AC475" s="392"/>
      <c r="AD475" s="392"/>
      <c r="AE475" s="392"/>
      <c r="AF475" s="392"/>
    </row>
    <row r="476" ht="15.75" customHeight="1">
      <c r="A476" s="216"/>
      <c r="B476" s="156"/>
      <c r="C476" s="156"/>
      <c r="D476" s="156"/>
      <c r="E476" s="392"/>
      <c r="F476" s="392"/>
      <c r="G476" s="392"/>
      <c r="H476" s="392"/>
      <c r="I476" s="392"/>
      <c r="J476" s="392"/>
      <c r="K476" s="392"/>
      <c r="L476" s="392"/>
      <c r="M476" s="392"/>
      <c r="N476" s="392"/>
      <c r="O476" s="392"/>
      <c r="P476" s="392"/>
      <c r="Q476" s="392"/>
      <c r="R476" s="392"/>
      <c r="S476" s="392"/>
      <c r="T476" s="392"/>
      <c r="U476" s="392"/>
      <c r="V476" s="392"/>
      <c r="W476" s="392"/>
      <c r="X476" s="392"/>
      <c r="Y476" s="392"/>
      <c r="Z476" s="392"/>
      <c r="AA476" s="392"/>
      <c r="AB476" s="392"/>
      <c r="AC476" s="392"/>
      <c r="AD476" s="392"/>
      <c r="AE476" s="392"/>
      <c r="AF476" s="392"/>
    </row>
    <row r="477" ht="15.75" customHeight="1">
      <c r="A477" s="216"/>
      <c r="B477" s="156"/>
      <c r="C477" s="156"/>
      <c r="D477" s="156"/>
      <c r="E477" s="392"/>
      <c r="F477" s="392"/>
      <c r="G477" s="392"/>
      <c r="H477" s="392"/>
      <c r="I477" s="392"/>
      <c r="J477" s="392"/>
      <c r="K477" s="392"/>
      <c r="L477" s="392"/>
      <c r="M477" s="392"/>
      <c r="N477" s="392"/>
      <c r="O477" s="392"/>
      <c r="P477" s="392"/>
      <c r="Q477" s="392"/>
      <c r="R477" s="392"/>
      <c r="S477" s="392"/>
      <c r="T477" s="392"/>
      <c r="U477" s="392"/>
      <c r="V477" s="392"/>
      <c r="W477" s="392"/>
      <c r="X477" s="392"/>
      <c r="Y477" s="392"/>
      <c r="Z477" s="392"/>
      <c r="AA477" s="392"/>
      <c r="AB477" s="392"/>
      <c r="AC477" s="392"/>
      <c r="AD477" s="392"/>
      <c r="AE477" s="392"/>
      <c r="AF477" s="392"/>
    </row>
    <row r="478" ht="15.75" customHeight="1">
      <c r="A478" s="216"/>
      <c r="B478" s="156"/>
      <c r="C478" s="156"/>
      <c r="D478" s="156"/>
      <c r="E478" s="392"/>
      <c r="F478" s="392"/>
      <c r="G478" s="392"/>
      <c r="H478" s="392"/>
      <c r="I478" s="392"/>
      <c r="J478" s="392"/>
      <c r="K478" s="392"/>
      <c r="L478" s="392"/>
      <c r="M478" s="392"/>
      <c r="N478" s="392"/>
      <c r="O478" s="392"/>
      <c r="P478" s="392"/>
      <c r="Q478" s="392"/>
      <c r="R478" s="392"/>
      <c r="S478" s="392"/>
      <c r="T478" s="392"/>
      <c r="U478" s="392"/>
      <c r="V478" s="392"/>
      <c r="W478" s="392"/>
      <c r="X478" s="392"/>
      <c r="Y478" s="392"/>
      <c r="Z478" s="392"/>
      <c r="AA478" s="392"/>
      <c r="AB478" s="392"/>
      <c r="AC478" s="392"/>
      <c r="AD478" s="392"/>
      <c r="AE478" s="392"/>
      <c r="AF478" s="392"/>
    </row>
    <row r="479" ht="15.75" customHeight="1">
      <c r="A479" s="216"/>
      <c r="B479" s="156"/>
      <c r="C479" s="156"/>
      <c r="D479" s="156"/>
      <c r="E479" s="392"/>
      <c r="F479" s="392"/>
      <c r="G479" s="392"/>
      <c r="H479" s="392"/>
      <c r="I479" s="392"/>
      <c r="J479" s="392"/>
      <c r="K479" s="392"/>
      <c r="L479" s="392"/>
      <c r="M479" s="392"/>
      <c r="N479" s="392"/>
      <c r="O479" s="392"/>
      <c r="P479" s="392"/>
      <c r="Q479" s="392"/>
      <c r="R479" s="392"/>
      <c r="S479" s="392"/>
      <c r="T479" s="392"/>
      <c r="U479" s="392"/>
      <c r="V479" s="392"/>
      <c r="W479" s="392"/>
      <c r="X479" s="392"/>
      <c r="Y479" s="392"/>
      <c r="Z479" s="392"/>
      <c r="AA479" s="392"/>
      <c r="AB479" s="392"/>
      <c r="AC479" s="392"/>
      <c r="AD479" s="392"/>
      <c r="AE479" s="392"/>
      <c r="AF479" s="392"/>
    </row>
    <row r="480" ht="15.75" customHeight="1">
      <c r="A480" s="216"/>
      <c r="B480" s="156"/>
      <c r="C480" s="156"/>
      <c r="D480" s="156"/>
      <c r="E480" s="392"/>
      <c r="F480" s="392"/>
      <c r="G480" s="392"/>
      <c r="H480" s="392"/>
      <c r="I480" s="392"/>
      <c r="J480" s="392"/>
      <c r="K480" s="392"/>
      <c r="L480" s="392"/>
      <c r="M480" s="392"/>
      <c r="N480" s="392"/>
      <c r="O480" s="392"/>
      <c r="P480" s="392"/>
      <c r="Q480" s="392"/>
      <c r="R480" s="392"/>
      <c r="S480" s="392"/>
      <c r="T480" s="392"/>
      <c r="U480" s="392"/>
      <c r="V480" s="392"/>
      <c r="W480" s="392"/>
      <c r="X480" s="392"/>
      <c r="Y480" s="392"/>
      <c r="Z480" s="392"/>
      <c r="AA480" s="392"/>
      <c r="AB480" s="392"/>
      <c r="AC480" s="392"/>
      <c r="AD480" s="392"/>
      <c r="AE480" s="392"/>
      <c r="AF480" s="392"/>
    </row>
    <row r="481" ht="15.75" customHeight="1">
      <c r="A481" s="216"/>
      <c r="B481" s="156"/>
      <c r="C481" s="156"/>
      <c r="D481" s="156"/>
      <c r="E481" s="392"/>
      <c r="F481" s="392"/>
      <c r="G481" s="392"/>
      <c r="H481" s="392"/>
      <c r="I481" s="392"/>
      <c r="J481" s="392"/>
      <c r="K481" s="392"/>
      <c r="L481" s="392"/>
      <c r="M481" s="392"/>
      <c r="N481" s="392"/>
      <c r="O481" s="392"/>
      <c r="P481" s="392"/>
      <c r="Q481" s="392"/>
      <c r="R481" s="392"/>
      <c r="S481" s="392"/>
      <c r="T481" s="392"/>
      <c r="U481" s="392"/>
      <c r="V481" s="392"/>
      <c r="W481" s="392"/>
      <c r="X481" s="392"/>
      <c r="Y481" s="392"/>
      <c r="Z481" s="392"/>
      <c r="AA481" s="392"/>
      <c r="AB481" s="392"/>
      <c r="AC481" s="392"/>
      <c r="AD481" s="392"/>
      <c r="AE481" s="392"/>
      <c r="AF481" s="392"/>
    </row>
    <row r="482" ht="15.75" customHeight="1">
      <c r="A482" s="216"/>
      <c r="B482" s="156"/>
      <c r="C482" s="156"/>
      <c r="D482" s="156"/>
      <c r="E482" s="392"/>
      <c r="F482" s="392"/>
      <c r="G482" s="392"/>
      <c r="H482" s="392"/>
      <c r="I482" s="392"/>
      <c r="J482" s="392"/>
      <c r="K482" s="392"/>
      <c r="L482" s="392"/>
      <c r="M482" s="392"/>
      <c r="N482" s="392"/>
      <c r="O482" s="392"/>
      <c r="P482" s="392"/>
      <c r="Q482" s="392"/>
      <c r="R482" s="392"/>
      <c r="S482" s="392"/>
      <c r="T482" s="392"/>
      <c r="U482" s="392"/>
      <c r="V482" s="392"/>
      <c r="W482" s="392"/>
      <c r="X482" s="392"/>
      <c r="Y482" s="392"/>
      <c r="Z482" s="392"/>
      <c r="AA482" s="392"/>
      <c r="AB482" s="392"/>
      <c r="AC482" s="392"/>
      <c r="AD482" s="392"/>
      <c r="AE482" s="392"/>
      <c r="AF482" s="392"/>
    </row>
    <row r="483" ht="15.75" customHeight="1">
      <c r="A483" s="216"/>
      <c r="B483" s="156"/>
      <c r="C483" s="156"/>
      <c r="D483" s="156"/>
      <c r="E483" s="392"/>
      <c r="F483" s="392"/>
      <c r="G483" s="392"/>
      <c r="H483" s="392"/>
      <c r="I483" s="392"/>
      <c r="J483" s="392"/>
      <c r="K483" s="392"/>
      <c r="L483" s="392"/>
      <c r="M483" s="392"/>
      <c r="N483" s="392"/>
      <c r="O483" s="392"/>
      <c r="P483" s="392"/>
      <c r="Q483" s="392"/>
      <c r="R483" s="392"/>
      <c r="S483" s="392"/>
      <c r="T483" s="392"/>
      <c r="U483" s="392"/>
      <c r="V483" s="392"/>
      <c r="W483" s="392"/>
      <c r="X483" s="392"/>
      <c r="Y483" s="392"/>
      <c r="Z483" s="392"/>
      <c r="AA483" s="392"/>
      <c r="AB483" s="392"/>
      <c r="AC483" s="392"/>
      <c r="AD483" s="392"/>
      <c r="AE483" s="392"/>
      <c r="AF483" s="392"/>
    </row>
    <row r="484" ht="15.75" customHeight="1">
      <c r="A484" s="216"/>
      <c r="B484" s="156"/>
      <c r="C484" s="156"/>
      <c r="D484" s="156"/>
      <c r="E484" s="392"/>
      <c r="F484" s="392"/>
      <c r="G484" s="392"/>
      <c r="H484" s="392"/>
      <c r="I484" s="392"/>
      <c r="J484" s="392"/>
      <c r="K484" s="392"/>
      <c r="L484" s="392"/>
      <c r="M484" s="392"/>
      <c r="N484" s="392"/>
      <c r="O484" s="392"/>
      <c r="P484" s="392"/>
      <c r="Q484" s="392"/>
      <c r="R484" s="392"/>
      <c r="S484" s="392"/>
      <c r="T484" s="392"/>
      <c r="U484" s="392"/>
      <c r="V484" s="392"/>
      <c r="W484" s="392"/>
      <c r="X484" s="392"/>
      <c r="Y484" s="392"/>
      <c r="Z484" s="392"/>
      <c r="AA484" s="392"/>
      <c r="AB484" s="392"/>
      <c r="AC484" s="392"/>
      <c r="AD484" s="392"/>
      <c r="AE484" s="392"/>
      <c r="AF484" s="392"/>
    </row>
    <row r="485" ht="15.75" customHeight="1">
      <c r="A485" s="216"/>
      <c r="B485" s="156"/>
      <c r="C485" s="156"/>
      <c r="D485" s="156"/>
      <c r="E485" s="392"/>
      <c r="F485" s="392"/>
      <c r="G485" s="392"/>
      <c r="H485" s="392"/>
      <c r="I485" s="392"/>
      <c r="J485" s="392"/>
      <c r="K485" s="392"/>
      <c r="L485" s="392"/>
      <c r="M485" s="392"/>
      <c r="N485" s="392"/>
      <c r="O485" s="392"/>
      <c r="P485" s="392"/>
      <c r="Q485" s="392"/>
      <c r="R485" s="392"/>
      <c r="S485" s="392"/>
      <c r="T485" s="392"/>
      <c r="U485" s="392"/>
      <c r="V485" s="392"/>
      <c r="W485" s="392"/>
      <c r="X485" s="392"/>
      <c r="Y485" s="392"/>
      <c r="Z485" s="392"/>
      <c r="AA485" s="392"/>
      <c r="AB485" s="392"/>
      <c r="AC485" s="392"/>
      <c r="AD485" s="392"/>
      <c r="AE485" s="392"/>
      <c r="AF485" s="392"/>
    </row>
    <row r="486" ht="15.75" customHeight="1">
      <c r="A486" s="216"/>
      <c r="B486" s="156"/>
      <c r="C486" s="156"/>
      <c r="D486" s="156"/>
      <c r="E486" s="392"/>
      <c r="F486" s="392"/>
      <c r="G486" s="392"/>
      <c r="H486" s="392"/>
      <c r="I486" s="392"/>
      <c r="J486" s="392"/>
      <c r="K486" s="392"/>
      <c r="L486" s="392"/>
      <c r="M486" s="392"/>
      <c r="N486" s="392"/>
      <c r="O486" s="392"/>
      <c r="P486" s="392"/>
      <c r="Q486" s="392"/>
      <c r="R486" s="392"/>
      <c r="S486" s="392"/>
      <c r="T486" s="392"/>
      <c r="U486" s="392"/>
      <c r="V486" s="392"/>
      <c r="W486" s="392"/>
      <c r="X486" s="392"/>
      <c r="Y486" s="392"/>
      <c r="Z486" s="392"/>
      <c r="AA486" s="392"/>
      <c r="AB486" s="392"/>
      <c r="AC486" s="392"/>
      <c r="AD486" s="392"/>
      <c r="AE486" s="392"/>
      <c r="AF486" s="392"/>
    </row>
    <row r="487" ht="15.75" customHeight="1">
      <c r="A487" s="216"/>
      <c r="B487" s="156"/>
      <c r="C487" s="156"/>
      <c r="D487" s="156"/>
      <c r="E487" s="392"/>
      <c r="F487" s="392"/>
      <c r="G487" s="392"/>
      <c r="H487" s="392"/>
      <c r="I487" s="392"/>
      <c r="J487" s="392"/>
      <c r="K487" s="392"/>
      <c r="L487" s="392"/>
      <c r="M487" s="392"/>
      <c r="N487" s="392"/>
      <c r="O487" s="392"/>
      <c r="P487" s="392"/>
      <c r="Q487" s="392"/>
      <c r="R487" s="392"/>
      <c r="S487" s="392"/>
      <c r="T487" s="392"/>
      <c r="U487" s="392"/>
      <c r="V487" s="392"/>
      <c r="W487" s="392"/>
      <c r="X487" s="392"/>
      <c r="Y487" s="392"/>
      <c r="Z487" s="392"/>
      <c r="AA487" s="392"/>
      <c r="AB487" s="392"/>
      <c r="AC487" s="392"/>
      <c r="AD487" s="392"/>
      <c r="AE487" s="392"/>
      <c r="AF487" s="392"/>
    </row>
    <row r="488" ht="15.75" customHeight="1">
      <c r="A488" s="216"/>
      <c r="B488" s="156"/>
      <c r="C488" s="156"/>
      <c r="D488" s="156"/>
      <c r="E488" s="392"/>
      <c r="F488" s="392"/>
      <c r="G488" s="392"/>
      <c r="H488" s="392"/>
      <c r="I488" s="392"/>
      <c r="J488" s="392"/>
      <c r="K488" s="392"/>
      <c r="L488" s="392"/>
      <c r="M488" s="392"/>
      <c r="N488" s="392"/>
      <c r="O488" s="392"/>
      <c r="P488" s="392"/>
      <c r="Q488" s="392"/>
      <c r="R488" s="392"/>
      <c r="S488" s="392"/>
      <c r="T488" s="392"/>
      <c r="U488" s="392"/>
      <c r="V488" s="392"/>
      <c r="W488" s="392"/>
      <c r="X488" s="392"/>
      <c r="Y488" s="392"/>
      <c r="Z488" s="392"/>
      <c r="AA488" s="392"/>
      <c r="AB488" s="392"/>
      <c r="AC488" s="392"/>
      <c r="AD488" s="392"/>
      <c r="AE488" s="392"/>
      <c r="AF488" s="392"/>
    </row>
    <row r="489" ht="15.75" customHeight="1">
      <c r="A489" s="216"/>
      <c r="B489" s="156"/>
      <c r="C489" s="156"/>
      <c r="D489" s="156"/>
      <c r="E489" s="392"/>
      <c r="F489" s="392"/>
      <c r="G489" s="392"/>
      <c r="H489" s="392"/>
      <c r="I489" s="392"/>
      <c r="J489" s="392"/>
      <c r="K489" s="392"/>
      <c r="L489" s="392"/>
      <c r="M489" s="392"/>
      <c r="N489" s="392"/>
      <c r="O489" s="392"/>
      <c r="P489" s="392"/>
      <c r="Q489" s="392"/>
      <c r="R489" s="392"/>
      <c r="S489" s="392"/>
      <c r="T489" s="392"/>
      <c r="U489" s="392"/>
      <c r="V489" s="392"/>
      <c r="W489" s="392"/>
      <c r="X489" s="392"/>
      <c r="Y489" s="392"/>
      <c r="Z489" s="392"/>
      <c r="AA489" s="392"/>
      <c r="AB489" s="392"/>
      <c r="AC489" s="392"/>
      <c r="AD489" s="392"/>
      <c r="AE489" s="392"/>
      <c r="AF489" s="392"/>
    </row>
    <row r="490" ht="15.75" customHeight="1">
      <c r="A490" s="216"/>
      <c r="B490" s="156"/>
      <c r="C490" s="156"/>
      <c r="D490" s="156"/>
      <c r="E490" s="392"/>
      <c r="F490" s="392"/>
      <c r="G490" s="392"/>
      <c r="H490" s="392"/>
      <c r="I490" s="392"/>
      <c r="J490" s="392"/>
      <c r="K490" s="392"/>
      <c r="L490" s="392"/>
      <c r="M490" s="392"/>
      <c r="N490" s="392"/>
      <c r="O490" s="392"/>
      <c r="P490" s="392"/>
      <c r="Q490" s="392"/>
      <c r="R490" s="392"/>
      <c r="S490" s="392"/>
      <c r="T490" s="392"/>
      <c r="U490" s="392"/>
      <c r="V490" s="392"/>
      <c r="W490" s="392"/>
      <c r="X490" s="392"/>
      <c r="Y490" s="392"/>
      <c r="Z490" s="392"/>
      <c r="AA490" s="392"/>
      <c r="AB490" s="392"/>
      <c r="AC490" s="392"/>
      <c r="AD490" s="392"/>
      <c r="AE490" s="392"/>
      <c r="AF490" s="392"/>
    </row>
    <row r="491" ht="15.75" customHeight="1">
      <c r="A491" s="216"/>
      <c r="B491" s="156"/>
      <c r="C491" s="156"/>
      <c r="D491" s="156"/>
      <c r="E491" s="392"/>
      <c r="F491" s="392"/>
      <c r="G491" s="392"/>
      <c r="H491" s="392"/>
      <c r="I491" s="392"/>
      <c r="J491" s="392"/>
      <c r="K491" s="392"/>
      <c r="L491" s="392"/>
      <c r="M491" s="392"/>
      <c r="N491" s="392"/>
      <c r="O491" s="392"/>
      <c r="P491" s="392"/>
      <c r="Q491" s="392"/>
      <c r="R491" s="392"/>
      <c r="S491" s="392"/>
      <c r="T491" s="392"/>
      <c r="U491" s="392"/>
      <c r="V491" s="392"/>
      <c r="W491" s="392"/>
      <c r="X491" s="392"/>
      <c r="Y491" s="392"/>
      <c r="Z491" s="392"/>
      <c r="AA491" s="392"/>
      <c r="AB491" s="392"/>
      <c r="AC491" s="392"/>
      <c r="AD491" s="392"/>
      <c r="AE491" s="392"/>
      <c r="AF491" s="392"/>
    </row>
    <row r="492" ht="15.75" customHeight="1">
      <c r="A492" s="216"/>
      <c r="B492" s="156"/>
      <c r="C492" s="156"/>
      <c r="D492" s="156"/>
      <c r="E492" s="392"/>
      <c r="F492" s="392"/>
      <c r="G492" s="392"/>
      <c r="H492" s="392"/>
      <c r="I492" s="392"/>
      <c r="J492" s="392"/>
      <c r="K492" s="392"/>
      <c r="L492" s="392"/>
      <c r="M492" s="392"/>
      <c r="N492" s="392"/>
      <c r="O492" s="392"/>
      <c r="P492" s="392"/>
      <c r="Q492" s="392"/>
      <c r="R492" s="392"/>
      <c r="S492" s="392"/>
      <c r="T492" s="392"/>
      <c r="U492" s="392"/>
      <c r="V492" s="392"/>
      <c r="W492" s="392"/>
      <c r="X492" s="392"/>
      <c r="Y492" s="392"/>
      <c r="Z492" s="392"/>
      <c r="AA492" s="392"/>
      <c r="AB492" s="392"/>
      <c r="AC492" s="392"/>
      <c r="AD492" s="392"/>
      <c r="AE492" s="392"/>
      <c r="AF492" s="392"/>
    </row>
    <row r="493" ht="15.75" customHeight="1">
      <c r="A493" s="216"/>
      <c r="B493" s="156"/>
      <c r="C493" s="156"/>
      <c r="D493" s="156"/>
      <c r="E493" s="392"/>
      <c r="F493" s="392"/>
      <c r="G493" s="392"/>
      <c r="H493" s="392"/>
      <c r="I493" s="392"/>
      <c r="J493" s="392"/>
      <c r="K493" s="392"/>
      <c r="L493" s="392"/>
      <c r="M493" s="392"/>
      <c r="N493" s="392"/>
      <c r="O493" s="392"/>
      <c r="P493" s="392"/>
      <c r="Q493" s="392"/>
      <c r="R493" s="392"/>
      <c r="S493" s="392"/>
      <c r="T493" s="392"/>
      <c r="U493" s="392"/>
      <c r="V493" s="392"/>
      <c r="W493" s="392"/>
      <c r="X493" s="392"/>
      <c r="Y493" s="392"/>
      <c r="Z493" s="392"/>
      <c r="AA493" s="392"/>
      <c r="AB493" s="392"/>
      <c r="AC493" s="392"/>
      <c r="AD493" s="392"/>
      <c r="AE493" s="392"/>
      <c r="AF493" s="392"/>
    </row>
    <row r="494" ht="15.75" customHeight="1">
      <c r="A494" s="216"/>
      <c r="B494" s="156"/>
      <c r="C494" s="156"/>
      <c r="D494" s="156"/>
      <c r="E494" s="392"/>
      <c r="F494" s="392"/>
      <c r="G494" s="392"/>
      <c r="H494" s="392"/>
      <c r="I494" s="392"/>
      <c r="J494" s="392"/>
      <c r="K494" s="392"/>
      <c r="L494" s="392"/>
      <c r="M494" s="392"/>
      <c r="N494" s="392"/>
      <c r="O494" s="392"/>
      <c r="P494" s="392"/>
      <c r="Q494" s="392"/>
      <c r="R494" s="392"/>
      <c r="S494" s="392"/>
      <c r="T494" s="392"/>
      <c r="U494" s="392"/>
      <c r="V494" s="392"/>
      <c r="W494" s="392"/>
      <c r="X494" s="392"/>
      <c r="Y494" s="392"/>
      <c r="Z494" s="392"/>
      <c r="AA494" s="392"/>
      <c r="AB494" s="392"/>
      <c r="AC494" s="392"/>
      <c r="AD494" s="392"/>
      <c r="AE494" s="392"/>
      <c r="AF494" s="392"/>
    </row>
    <row r="495" ht="15.75" customHeight="1">
      <c r="A495" s="216"/>
      <c r="B495" s="156"/>
      <c r="C495" s="156"/>
      <c r="D495" s="156"/>
      <c r="E495" s="392"/>
      <c r="F495" s="392"/>
      <c r="G495" s="392"/>
      <c r="H495" s="392"/>
      <c r="I495" s="392"/>
      <c r="J495" s="392"/>
      <c r="K495" s="392"/>
      <c r="L495" s="392"/>
      <c r="M495" s="392"/>
      <c r="N495" s="392"/>
      <c r="O495" s="392"/>
      <c r="P495" s="392"/>
      <c r="Q495" s="392"/>
      <c r="R495" s="392"/>
      <c r="S495" s="392"/>
      <c r="T495" s="392"/>
      <c r="U495" s="392"/>
      <c r="V495" s="392"/>
      <c r="W495" s="392"/>
      <c r="X495" s="392"/>
      <c r="Y495" s="392"/>
      <c r="Z495" s="392"/>
      <c r="AA495" s="392"/>
      <c r="AB495" s="392"/>
      <c r="AC495" s="392"/>
      <c r="AD495" s="392"/>
      <c r="AE495" s="392"/>
      <c r="AF495" s="392"/>
    </row>
    <row r="496" ht="15.75" customHeight="1">
      <c r="A496" s="216"/>
      <c r="B496" s="156"/>
      <c r="C496" s="156"/>
      <c r="D496" s="156"/>
      <c r="E496" s="392"/>
      <c r="F496" s="392"/>
      <c r="G496" s="392"/>
      <c r="H496" s="392"/>
      <c r="I496" s="392"/>
      <c r="J496" s="392"/>
      <c r="K496" s="392"/>
      <c r="L496" s="392"/>
      <c r="M496" s="392"/>
      <c r="N496" s="392"/>
      <c r="O496" s="392"/>
      <c r="P496" s="392"/>
      <c r="Q496" s="392"/>
      <c r="R496" s="392"/>
      <c r="S496" s="392"/>
      <c r="T496" s="392"/>
      <c r="U496" s="392"/>
      <c r="V496" s="392"/>
      <c r="W496" s="392"/>
      <c r="X496" s="392"/>
      <c r="Y496" s="392"/>
      <c r="Z496" s="392"/>
      <c r="AA496" s="392"/>
      <c r="AB496" s="392"/>
      <c r="AC496" s="392"/>
      <c r="AD496" s="392"/>
      <c r="AE496" s="392"/>
      <c r="AF496" s="392"/>
    </row>
    <row r="497" ht="15.75" customHeight="1">
      <c r="A497" s="216"/>
      <c r="B497" s="156"/>
      <c r="C497" s="156"/>
      <c r="D497" s="156"/>
      <c r="E497" s="392"/>
      <c r="F497" s="392"/>
      <c r="G497" s="392"/>
      <c r="H497" s="392"/>
      <c r="I497" s="392"/>
      <c r="J497" s="392"/>
      <c r="K497" s="392"/>
      <c r="L497" s="392"/>
      <c r="M497" s="392"/>
      <c r="N497" s="392"/>
      <c r="O497" s="392"/>
      <c r="P497" s="392"/>
      <c r="Q497" s="392"/>
      <c r="R497" s="392"/>
      <c r="S497" s="392"/>
      <c r="T497" s="392"/>
      <c r="U497" s="392"/>
      <c r="V497" s="392"/>
      <c r="W497" s="392"/>
      <c r="X497" s="392"/>
      <c r="Y497" s="392"/>
      <c r="Z497" s="392"/>
      <c r="AA497" s="392"/>
      <c r="AB497" s="392"/>
      <c r="AC497" s="392"/>
      <c r="AD497" s="392"/>
      <c r="AE497" s="392"/>
      <c r="AF497" s="392"/>
    </row>
    <row r="498" ht="15.75" customHeight="1">
      <c r="A498" s="216"/>
      <c r="B498" s="156"/>
      <c r="C498" s="156"/>
      <c r="D498" s="156"/>
      <c r="E498" s="392"/>
      <c r="F498" s="392"/>
      <c r="G498" s="392"/>
      <c r="H498" s="392"/>
      <c r="I498" s="392"/>
      <c r="J498" s="392"/>
      <c r="K498" s="392"/>
      <c r="L498" s="392"/>
      <c r="M498" s="392"/>
      <c r="N498" s="392"/>
      <c r="O498" s="392"/>
      <c r="P498" s="392"/>
      <c r="Q498" s="392"/>
      <c r="R498" s="392"/>
      <c r="S498" s="392"/>
      <c r="T498" s="392"/>
      <c r="U498" s="392"/>
      <c r="V498" s="392"/>
      <c r="W498" s="392"/>
      <c r="X498" s="392"/>
      <c r="Y498" s="392"/>
      <c r="Z498" s="392"/>
      <c r="AA498" s="392"/>
      <c r="AB498" s="392"/>
      <c r="AC498" s="392"/>
      <c r="AD498" s="392"/>
      <c r="AE498" s="392"/>
      <c r="AF498" s="392"/>
    </row>
    <row r="499" ht="15.75" customHeight="1">
      <c r="A499" s="216"/>
      <c r="B499" s="156"/>
      <c r="C499" s="156"/>
      <c r="D499" s="156"/>
      <c r="E499" s="392"/>
      <c r="F499" s="392"/>
      <c r="G499" s="392"/>
      <c r="H499" s="392"/>
      <c r="I499" s="392"/>
      <c r="J499" s="392"/>
      <c r="K499" s="392"/>
      <c r="L499" s="392"/>
      <c r="M499" s="392"/>
      <c r="N499" s="392"/>
      <c r="O499" s="392"/>
      <c r="P499" s="392"/>
      <c r="Q499" s="392"/>
      <c r="R499" s="392"/>
      <c r="S499" s="392"/>
      <c r="T499" s="392"/>
      <c r="U499" s="392"/>
      <c r="V499" s="392"/>
      <c r="W499" s="392"/>
      <c r="X499" s="392"/>
      <c r="Y499" s="392"/>
      <c r="Z499" s="392"/>
      <c r="AA499" s="392"/>
      <c r="AB499" s="392"/>
      <c r="AC499" s="392"/>
      <c r="AD499" s="392"/>
      <c r="AE499" s="392"/>
      <c r="AF499" s="392"/>
    </row>
    <row r="500" ht="15.75" customHeight="1">
      <c r="A500" s="216"/>
      <c r="B500" s="156"/>
      <c r="C500" s="156"/>
      <c r="D500" s="156"/>
      <c r="E500" s="392"/>
      <c r="F500" s="392"/>
      <c r="G500" s="392"/>
      <c r="H500" s="392"/>
      <c r="I500" s="392"/>
      <c r="J500" s="392"/>
      <c r="K500" s="392"/>
      <c r="L500" s="392"/>
      <c r="M500" s="392"/>
      <c r="N500" s="392"/>
      <c r="O500" s="392"/>
      <c r="P500" s="392"/>
      <c r="Q500" s="392"/>
      <c r="R500" s="392"/>
      <c r="S500" s="392"/>
      <c r="T500" s="392"/>
      <c r="U500" s="392"/>
      <c r="V500" s="392"/>
      <c r="W500" s="392"/>
      <c r="X500" s="392"/>
      <c r="Y500" s="392"/>
      <c r="Z500" s="392"/>
      <c r="AA500" s="392"/>
      <c r="AB500" s="392"/>
      <c r="AC500" s="392"/>
      <c r="AD500" s="392"/>
      <c r="AE500" s="392"/>
      <c r="AF500" s="392"/>
    </row>
    <row r="501" ht="15.75" customHeight="1">
      <c r="A501" s="216"/>
      <c r="B501" s="156"/>
      <c r="C501" s="156"/>
      <c r="D501" s="156"/>
      <c r="E501" s="392"/>
      <c r="F501" s="392"/>
      <c r="G501" s="392"/>
      <c r="H501" s="392"/>
      <c r="I501" s="392"/>
      <c r="J501" s="392"/>
      <c r="K501" s="392"/>
      <c r="L501" s="392"/>
      <c r="M501" s="392"/>
      <c r="N501" s="392"/>
      <c r="O501" s="392"/>
      <c r="P501" s="392"/>
      <c r="Q501" s="392"/>
      <c r="R501" s="392"/>
      <c r="S501" s="392"/>
      <c r="T501" s="392"/>
      <c r="U501" s="392"/>
      <c r="V501" s="392"/>
      <c r="W501" s="392"/>
      <c r="X501" s="392"/>
      <c r="Y501" s="392"/>
      <c r="Z501" s="392"/>
      <c r="AA501" s="392"/>
      <c r="AB501" s="392"/>
      <c r="AC501" s="392"/>
      <c r="AD501" s="392"/>
      <c r="AE501" s="392"/>
      <c r="AF501" s="392"/>
    </row>
    <row r="502" ht="15.75" customHeight="1">
      <c r="A502" s="216"/>
      <c r="B502" s="156"/>
      <c r="C502" s="156"/>
      <c r="D502" s="156"/>
      <c r="E502" s="392"/>
      <c r="F502" s="392"/>
      <c r="G502" s="392"/>
      <c r="H502" s="392"/>
      <c r="I502" s="392"/>
      <c r="J502" s="392"/>
      <c r="K502" s="392"/>
      <c r="L502" s="392"/>
      <c r="M502" s="392"/>
      <c r="N502" s="392"/>
      <c r="O502" s="392"/>
      <c r="P502" s="392"/>
      <c r="Q502" s="392"/>
      <c r="R502" s="392"/>
      <c r="S502" s="392"/>
      <c r="T502" s="392"/>
      <c r="U502" s="392"/>
      <c r="V502" s="392"/>
      <c r="W502" s="392"/>
      <c r="X502" s="392"/>
      <c r="Y502" s="392"/>
      <c r="Z502" s="392"/>
      <c r="AA502" s="392"/>
      <c r="AB502" s="392"/>
      <c r="AC502" s="392"/>
      <c r="AD502" s="392"/>
      <c r="AE502" s="392"/>
      <c r="AF502" s="392"/>
    </row>
    <row r="503" ht="15.75" customHeight="1">
      <c r="A503" s="216"/>
      <c r="B503" s="156"/>
      <c r="C503" s="156"/>
      <c r="D503" s="156"/>
      <c r="E503" s="392"/>
      <c r="F503" s="392"/>
      <c r="G503" s="392"/>
      <c r="H503" s="392"/>
      <c r="I503" s="392"/>
      <c r="J503" s="392"/>
      <c r="K503" s="392"/>
      <c r="L503" s="392"/>
      <c r="M503" s="392"/>
      <c r="N503" s="392"/>
      <c r="O503" s="392"/>
      <c r="P503" s="392"/>
      <c r="Q503" s="392"/>
      <c r="R503" s="392"/>
      <c r="S503" s="392"/>
      <c r="T503" s="392"/>
      <c r="U503" s="392"/>
      <c r="V503" s="392"/>
      <c r="W503" s="392"/>
      <c r="X503" s="392"/>
      <c r="Y503" s="392"/>
      <c r="Z503" s="392"/>
      <c r="AA503" s="392"/>
      <c r="AB503" s="392"/>
      <c r="AC503" s="392"/>
      <c r="AD503" s="392"/>
      <c r="AE503" s="392"/>
      <c r="AF503" s="392"/>
    </row>
    <row r="504" ht="15.75" customHeight="1">
      <c r="A504" s="216"/>
      <c r="B504" s="156"/>
      <c r="C504" s="156"/>
      <c r="D504" s="156"/>
      <c r="E504" s="392"/>
      <c r="F504" s="392"/>
      <c r="G504" s="392"/>
      <c r="H504" s="392"/>
      <c r="I504" s="392"/>
      <c r="J504" s="392"/>
      <c r="K504" s="392"/>
      <c r="L504" s="392"/>
      <c r="M504" s="392"/>
      <c r="N504" s="392"/>
      <c r="O504" s="392"/>
      <c r="P504" s="392"/>
      <c r="Q504" s="392"/>
      <c r="R504" s="392"/>
      <c r="S504" s="392"/>
      <c r="T504" s="392"/>
      <c r="U504" s="392"/>
      <c r="V504" s="392"/>
      <c r="W504" s="392"/>
      <c r="X504" s="392"/>
      <c r="Y504" s="392"/>
      <c r="Z504" s="392"/>
      <c r="AA504" s="392"/>
      <c r="AB504" s="392"/>
      <c r="AC504" s="392"/>
      <c r="AD504" s="392"/>
      <c r="AE504" s="392"/>
      <c r="AF504" s="392"/>
    </row>
    <row r="505" ht="15.75" customHeight="1">
      <c r="A505" s="216"/>
      <c r="B505" s="156"/>
      <c r="C505" s="156"/>
      <c r="D505" s="156"/>
      <c r="E505" s="392"/>
      <c r="F505" s="392"/>
      <c r="G505" s="392"/>
      <c r="H505" s="392"/>
      <c r="I505" s="392"/>
      <c r="J505" s="392"/>
      <c r="K505" s="392"/>
      <c r="L505" s="392"/>
      <c r="M505" s="392"/>
      <c r="N505" s="392"/>
      <c r="O505" s="392"/>
      <c r="P505" s="392"/>
      <c r="Q505" s="392"/>
      <c r="R505" s="392"/>
      <c r="S505" s="392"/>
      <c r="T505" s="392"/>
      <c r="U505" s="392"/>
      <c r="V505" s="392"/>
      <c r="W505" s="392"/>
      <c r="X505" s="392"/>
      <c r="Y505" s="392"/>
      <c r="Z505" s="392"/>
      <c r="AA505" s="392"/>
      <c r="AB505" s="392"/>
      <c r="AC505" s="392"/>
      <c r="AD505" s="392"/>
      <c r="AE505" s="392"/>
      <c r="AF505" s="392"/>
    </row>
    <row r="506" ht="15.75" customHeight="1">
      <c r="A506" s="216"/>
      <c r="B506" s="156"/>
      <c r="C506" s="156"/>
      <c r="D506" s="156"/>
      <c r="E506" s="392"/>
      <c r="F506" s="392"/>
      <c r="G506" s="392"/>
      <c r="H506" s="392"/>
      <c r="I506" s="392"/>
      <c r="J506" s="392"/>
      <c r="K506" s="392"/>
      <c r="L506" s="392"/>
      <c r="M506" s="392"/>
      <c r="N506" s="392"/>
      <c r="O506" s="392"/>
      <c r="P506" s="392"/>
      <c r="Q506" s="392"/>
      <c r="R506" s="392"/>
      <c r="S506" s="392"/>
      <c r="T506" s="392"/>
      <c r="U506" s="392"/>
      <c r="V506" s="392"/>
      <c r="W506" s="392"/>
      <c r="X506" s="392"/>
      <c r="Y506" s="392"/>
      <c r="Z506" s="392"/>
      <c r="AA506" s="392"/>
      <c r="AB506" s="392"/>
      <c r="AC506" s="392"/>
      <c r="AD506" s="392"/>
      <c r="AE506" s="392"/>
      <c r="AF506" s="392"/>
    </row>
    <row r="507" ht="15.75" customHeight="1">
      <c r="A507" s="216"/>
      <c r="B507" s="156"/>
      <c r="C507" s="156"/>
      <c r="D507" s="156"/>
      <c r="E507" s="392"/>
      <c r="F507" s="392"/>
      <c r="G507" s="392"/>
      <c r="H507" s="392"/>
      <c r="I507" s="392"/>
      <c r="J507" s="392"/>
      <c r="K507" s="392"/>
      <c r="L507" s="392"/>
      <c r="M507" s="392"/>
      <c r="N507" s="392"/>
      <c r="O507" s="392"/>
      <c r="P507" s="392"/>
      <c r="Q507" s="392"/>
      <c r="R507" s="392"/>
      <c r="S507" s="392"/>
      <c r="T507" s="392"/>
      <c r="U507" s="392"/>
      <c r="V507" s="392"/>
      <c r="W507" s="392"/>
      <c r="X507" s="392"/>
      <c r="Y507" s="392"/>
      <c r="Z507" s="392"/>
      <c r="AA507" s="392"/>
      <c r="AB507" s="392"/>
      <c r="AC507" s="392"/>
      <c r="AD507" s="392"/>
      <c r="AE507" s="392"/>
      <c r="AF507" s="392"/>
    </row>
    <row r="508" ht="15.75" customHeight="1">
      <c r="A508" s="216"/>
      <c r="B508" s="156"/>
      <c r="C508" s="156"/>
      <c r="D508" s="156"/>
      <c r="E508" s="392"/>
      <c r="F508" s="392"/>
      <c r="G508" s="392"/>
      <c r="H508" s="392"/>
      <c r="I508" s="392"/>
      <c r="J508" s="392"/>
      <c r="K508" s="392"/>
      <c r="L508" s="392"/>
      <c r="M508" s="392"/>
      <c r="N508" s="392"/>
      <c r="O508" s="392"/>
      <c r="P508" s="392"/>
      <c r="Q508" s="392"/>
      <c r="R508" s="392"/>
      <c r="S508" s="392"/>
      <c r="T508" s="392"/>
      <c r="U508" s="392"/>
      <c r="V508" s="392"/>
      <c r="W508" s="392"/>
      <c r="X508" s="392"/>
      <c r="Y508" s="392"/>
      <c r="Z508" s="392"/>
      <c r="AA508" s="392"/>
      <c r="AB508" s="392"/>
      <c r="AC508" s="392"/>
      <c r="AD508" s="392"/>
      <c r="AE508" s="392"/>
      <c r="AF508" s="392"/>
    </row>
    <row r="509" ht="15.75" customHeight="1">
      <c r="A509" s="216"/>
      <c r="B509" s="156"/>
      <c r="C509" s="156"/>
      <c r="D509" s="156"/>
      <c r="E509" s="392"/>
      <c r="F509" s="392"/>
      <c r="G509" s="392"/>
      <c r="H509" s="392"/>
      <c r="I509" s="392"/>
      <c r="J509" s="392"/>
      <c r="K509" s="392"/>
      <c r="L509" s="392"/>
      <c r="M509" s="392"/>
      <c r="N509" s="392"/>
      <c r="O509" s="392"/>
      <c r="P509" s="392"/>
      <c r="Q509" s="392"/>
      <c r="R509" s="392"/>
      <c r="S509" s="392"/>
      <c r="T509" s="392"/>
      <c r="U509" s="392"/>
      <c r="V509" s="392"/>
      <c r="W509" s="392"/>
      <c r="X509" s="392"/>
      <c r="Y509" s="392"/>
      <c r="Z509" s="392"/>
      <c r="AA509" s="392"/>
      <c r="AB509" s="392"/>
      <c r="AC509" s="392"/>
      <c r="AD509" s="392"/>
      <c r="AE509" s="392"/>
      <c r="AF509" s="392"/>
    </row>
    <row r="510" ht="15.75" customHeight="1">
      <c r="A510" s="216"/>
      <c r="B510" s="156"/>
      <c r="C510" s="156"/>
      <c r="D510" s="156"/>
      <c r="E510" s="392"/>
      <c r="F510" s="392"/>
      <c r="G510" s="392"/>
      <c r="H510" s="392"/>
      <c r="I510" s="392"/>
      <c r="J510" s="392"/>
      <c r="K510" s="392"/>
      <c r="L510" s="392"/>
      <c r="M510" s="392"/>
      <c r="N510" s="392"/>
      <c r="O510" s="392"/>
      <c r="P510" s="392"/>
      <c r="Q510" s="392"/>
      <c r="R510" s="392"/>
      <c r="S510" s="392"/>
      <c r="T510" s="392"/>
      <c r="U510" s="392"/>
      <c r="V510" s="392"/>
      <c r="W510" s="392"/>
      <c r="X510" s="392"/>
      <c r="Y510" s="392"/>
      <c r="Z510" s="392"/>
      <c r="AA510" s="392"/>
      <c r="AB510" s="392"/>
      <c r="AC510" s="392"/>
      <c r="AD510" s="392"/>
      <c r="AE510" s="392"/>
      <c r="AF510" s="392"/>
    </row>
    <row r="511" ht="15.75" customHeight="1">
      <c r="A511" s="216"/>
      <c r="B511" s="156"/>
      <c r="C511" s="156"/>
      <c r="D511" s="156"/>
      <c r="E511" s="392"/>
      <c r="F511" s="392"/>
      <c r="G511" s="392"/>
      <c r="H511" s="392"/>
      <c r="I511" s="392"/>
      <c r="J511" s="392"/>
      <c r="K511" s="392"/>
      <c r="L511" s="392"/>
      <c r="M511" s="392"/>
      <c r="N511" s="392"/>
      <c r="O511" s="392"/>
      <c r="P511" s="392"/>
      <c r="Q511" s="392"/>
      <c r="R511" s="392"/>
      <c r="S511" s="392"/>
      <c r="T511" s="392"/>
      <c r="U511" s="392"/>
      <c r="V511" s="392"/>
      <c r="W511" s="392"/>
      <c r="X511" s="392"/>
      <c r="Y511" s="392"/>
      <c r="Z511" s="392"/>
      <c r="AA511" s="392"/>
      <c r="AB511" s="392"/>
      <c r="AC511" s="392"/>
      <c r="AD511" s="392"/>
      <c r="AE511" s="392"/>
      <c r="AF511" s="392"/>
    </row>
    <row r="512" ht="15.75" customHeight="1">
      <c r="A512" s="216"/>
      <c r="B512" s="156"/>
      <c r="C512" s="156"/>
      <c r="D512" s="156"/>
      <c r="E512" s="392"/>
      <c r="F512" s="392"/>
      <c r="G512" s="392"/>
      <c r="H512" s="392"/>
      <c r="I512" s="392"/>
      <c r="J512" s="392"/>
      <c r="K512" s="392"/>
      <c r="L512" s="392"/>
      <c r="M512" s="392"/>
      <c r="N512" s="392"/>
      <c r="O512" s="392"/>
      <c r="P512" s="392"/>
      <c r="Q512" s="392"/>
      <c r="R512" s="392"/>
      <c r="S512" s="392"/>
      <c r="T512" s="392"/>
      <c r="U512" s="392"/>
      <c r="V512" s="392"/>
      <c r="W512" s="392"/>
      <c r="X512" s="392"/>
      <c r="Y512" s="392"/>
      <c r="Z512" s="392"/>
      <c r="AA512" s="392"/>
      <c r="AB512" s="392"/>
      <c r="AC512" s="392"/>
      <c r="AD512" s="392"/>
      <c r="AE512" s="392"/>
      <c r="AF512" s="392"/>
    </row>
    <row r="513" ht="15.75" customHeight="1">
      <c r="A513" s="216"/>
      <c r="B513" s="156"/>
      <c r="C513" s="156"/>
      <c r="D513" s="156"/>
      <c r="E513" s="392"/>
      <c r="F513" s="392"/>
      <c r="G513" s="392"/>
      <c r="H513" s="392"/>
      <c r="I513" s="392"/>
      <c r="J513" s="392"/>
      <c r="K513" s="392"/>
      <c r="L513" s="392"/>
      <c r="M513" s="392"/>
      <c r="N513" s="392"/>
      <c r="O513" s="392"/>
      <c r="P513" s="392"/>
      <c r="Q513" s="392"/>
      <c r="R513" s="392"/>
      <c r="S513" s="392"/>
      <c r="T513" s="392"/>
      <c r="U513" s="392"/>
      <c r="V513" s="392"/>
      <c r="W513" s="392"/>
      <c r="X513" s="392"/>
      <c r="Y513" s="392"/>
      <c r="Z513" s="392"/>
      <c r="AA513" s="392"/>
      <c r="AB513" s="392"/>
      <c r="AC513" s="392"/>
      <c r="AD513" s="392"/>
      <c r="AE513" s="392"/>
      <c r="AF513" s="392"/>
    </row>
    <row r="514" ht="15.75" customHeight="1">
      <c r="A514" s="216"/>
      <c r="B514" s="156"/>
      <c r="C514" s="156"/>
      <c r="D514" s="156"/>
      <c r="E514" s="392"/>
      <c r="F514" s="392"/>
      <c r="G514" s="392"/>
      <c r="H514" s="392"/>
      <c r="I514" s="392"/>
      <c r="J514" s="392"/>
      <c r="K514" s="392"/>
      <c r="L514" s="392"/>
      <c r="M514" s="392"/>
      <c r="N514" s="392"/>
      <c r="O514" s="392"/>
      <c r="P514" s="392"/>
      <c r="Q514" s="392"/>
      <c r="R514" s="392"/>
      <c r="S514" s="392"/>
      <c r="T514" s="392"/>
      <c r="U514" s="392"/>
      <c r="V514" s="392"/>
      <c r="W514" s="392"/>
      <c r="X514" s="392"/>
      <c r="Y514" s="392"/>
      <c r="Z514" s="392"/>
      <c r="AA514" s="392"/>
      <c r="AB514" s="392"/>
      <c r="AC514" s="392"/>
      <c r="AD514" s="392"/>
      <c r="AE514" s="392"/>
      <c r="AF514" s="392"/>
    </row>
    <row r="515" ht="15.75" customHeight="1">
      <c r="A515" s="216"/>
      <c r="B515" s="156"/>
      <c r="C515" s="156"/>
      <c r="D515" s="156"/>
      <c r="E515" s="392"/>
      <c r="F515" s="392"/>
      <c r="G515" s="392"/>
      <c r="H515" s="392"/>
      <c r="I515" s="392"/>
      <c r="J515" s="392"/>
      <c r="K515" s="392"/>
      <c r="L515" s="392"/>
      <c r="M515" s="392"/>
      <c r="N515" s="392"/>
      <c r="O515" s="392"/>
      <c r="P515" s="392"/>
      <c r="Q515" s="392"/>
      <c r="R515" s="392"/>
      <c r="S515" s="392"/>
      <c r="T515" s="392"/>
      <c r="U515" s="392"/>
      <c r="V515" s="392"/>
      <c r="W515" s="392"/>
      <c r="X515" s="392"/>
      <c r="Y515" s="392"/>
      <c r="Z515" s="392"/>
      <c r="AA515" s="392"/>
      <c r="AB515" s="392"/>
      <c r="AC515" s="392"/>
      <c r="AD515" s="392"/>
      <c r="AE515" s="392"/>
      <c r="AF515" s="392"/>
    </row>
    <row r="516" ht="15.75" customHeight="1">
      <c r="A516" s="216"/>
      <c r="B516" s="156"/>
      <c r="C516" s="156"/>
      <c r="D516" s="156"/>
      <c r="E516" s="392"/>
      <c r="F516" s="392"/>
      <c r="G516" s="392"/>
      <c r="H516" s="392"/>
      <c r="I516" s="392"/>
      <c r="J516" s="392"/>
      <c r="K516" s="392"/>
      <c r="L516" s="392"/>
      <c r="M516" s="392"/>
      <c r="N516" s="392"/>
      <c r="O516" s="392"/>
      <c r="P516" s="392"/>
      <c r="Q516" s="392"/>
      <c r="R516" s="392"/>
      <c r="S516" s="392"/>
      <c r="T516" s="392"/>
      <c r="U516" s="392"/>
      <c r="V516" s="392"/>
      <c r="W516" s="392"/>
      <c r="X516" s="392"/>
      <c r="Y516" s="392"/>
      <c r="Z516" s="392"/>
      <c r="AA516" s="392"/>
      <c r="AB516" s="392"/>
      <c r="AC516" s="392"/>
      <c r="AD516" s="392"/>
      <c r="AE516" s="392"/>
      <c r="AF516" s="392"/>
    </row>
    <row r="517" ht="15.75" customHeight="1">
      <c r="A517" s="216"/>
      <c r="B517" s="156"/>
      <c r="C517" s="156"/>
      <c r="D517" s="156"/>
      <c r="E517" s="392"/>
      <c r="F517" s="392"/>
      <c r="G517" s="392"/>
      <c r="H517" s="392"/>
      <c r="I517" s="392"/>
      <c r="J517" s="392"/>
      <c r="K517" s="392"/>
      <c r="L517" s="392"/>
      <c r="M517" s="392"/>
      <c r="N517" s="392"/>
      <c r="O517" s="392"/>
      <c r="P517" s="392"/>
      <c r="Q517" s="392"/>
      <c r="R517" s="392"/>
      <c r="S517" s="392"/>
      <c r="T517" s="392"/>
      <c r="U517" s="392"/>
      <c r="V517" s="392"/>
      <c r="W517" s="392"/>
      <c r="X517" s="392"/>
      <c r="Y517" s="392"/>
      <c r="Z517" s="392"/>
      <c r="AA517" s="392"/>
      <c r="AB517" s="392"/>
      <c r="AC517" s="392"/>
      <c r="AD517" s="392"/>
      <c r="AE517" s="392"/>
      <c r="AF517" s="392"/>
    </row>
    <row r="518" ht="15.75" customHeight="1">
      <c r="A518" s="216"/>
      <c r="B518" s="156"/>
      <c r="C518" s="156"/>
      <c r="D518" s="156"/>
      <c r="E518" s="392"/>
      <c r="F518" s="392"/>
      <c r="G518" s="392"/>
      <c r="H518" s="392"/>
      <c r="I518" s="392"/>
      <c r="J518" s="392"/>
      <c r="K518" s="392"/>
      <c r="L518" s="392"/>
      <c r="M518" s="392"/>
      <c r="N518" s="392"/>
      <c r="O518" s="392"/>
      <c r="P518" s="392"/>
      <c r="Q518" s="392"/>
      <c r="R518" s="392"/>
      <c r="S518" s="392"/>
      <c r="T518" s="392"/>
      <c r="U518" s="392"/>
      <c r="V518" s="392"/>
      <c r="W518" s="392"/>
      <c r="X518" s="392"/>
      <c r="Y518" s="392"/>
      <c r="Z518" s="392"/>
      <c r="AA518" s="392"/>
      <c r="AB518" s="392"/>
      <c r="AC518" s="392"/>
      <c r="AD518" s="392"/>
      <c r="AE518" s="392"/>
      <c r="AF518" s="392"/>
    </row>
    <row r="519" ht="15.75" customHeight="1">
      <c r="A519" s="216"/>
      <c r="B519" s="156"/>
      <c r="C519" s="156"/>
      <c r="D519" s="156"/>
      <c r="E519" s="392"/>
      <c r="F519" s="392"/>
      <c r="G519" s="392"/>
      <c r="H519" s="392"/>
      <c r="I519" s="392"/>
      <c r="J519" s="392"/>
      <c r="K519" s="392"/>
      <c r="L519" s="392"/>
      <c r="M519" s="392"/>
      <c r="N519" s="392"/>
      <c r="O519" s="392"/>
      <c r="P519" s="392"/>
      <c r="Q519" s="392"/>
      <c r="R519" s="392"/>
      <c r="S519" s="392"/>
      <c r="T519" s="392"/>
      <c r="U519" s="392"/>
      <c r="V519" s="392"/>
      <c r="W519" s="392"/>
      <c r="X519" s="392"/>
      <c r="Y519" s="392"/>
      <c r="Z519" s="392"/>
      <c r="AA519" s="392"/>
      <c r="AB519" s="392"/>
      <c r="AC519" s="392"/>
      <c r="AD519" s="392"/>
      <c r="AE519" s="392"/>
      <c r="AF519" s="392"/>
    </row>
    <row r="520" ht="15.75" customHeight="1">
      <c r="A520" s="216"/>
      <c r="B520" s="156"/>
      <c r="C520" s="156"/>
      <c r="D520" s="156"/>
      <c r="E520" s="392"/>
      <c r="F520" s="392"/>
      <c r="G520" s="392"/>
      <c r="H520" s="392"/>
      <c r="I520" s="392"/>
      <c r="J520" s="392"/>
      <c r="K520" s="392"/>
      <c r="L520" s="392"/>
      <c r="M520" s="392"/>
      <c r="N520" s="392"/>
      <c r="O520" s="392"/>
      <c r="P520" s="392"/>
      <c r="Q520" s="392"/>
      <c r="R520" s="392"/>
      <c r="S520" s="392"/>
      <c r="T520" s="392"/>
      <c r="U520" s="392"/>
      <c r="V520" s="392"/>
      <c r="W520" s="392"/>
      <c r="X520" s="392"/>
      <c r="Y520" s="392"/>
      <c r="Z520" s="392"/>
      <c r="AA520" s="392"/>
      <c r="AB520" s="392"/>
      <c r="AC520" s="392"/>
      <c r="AD520" s="392"/>
      <c r="AE520" s="392"/>
      <c r="AF520" s="392"/>
    </row>
    <row r="521" ht="15.75" customHeight="1">
      <c r="A521" s="216"/>
      <c r="B521" s="156"/>
      <c r="C521" s="156"/>
      <c r="D521" s="156"/>
      <c r="E521" s="392"/>
      <c r="F521" s="392"/>
      <c r="G521" s="392"/>
      <c r="H521" s="392"/>
      <c r="I521" s="392"/>
      <c r="J521" s="392"/>
      <c r="K521" s="392"/>
      <c r="L521" s="392"/>
      <c r="M521" s="392"/>
      <c r="N521" s="392"/>
      <c r="O521" s="392"/>
      <c r="P521" s="392"/>
      <c r="Q521" s="392"/>
      <c r="R521" s="392"/>
      <c r="S521" s="392"/>
      <c r="T521" s="392"/>
      <c r="U521" s="392"/>
      <c r="V521" s="392"/>
      <c r="W521" s="392"/>
      <c r="X521" s="392"/>
      <c r="Y521" s="392"/>
      <c r="Z521" s="392"/>
      <c r="AA521" s="392"/>
      <c r="AB521" s="392"/>
      <c r="AC521" s="392"/>
      <c r="AD521" s="392"/>
      <c r="AE521" s="392"/>
      <c r="AF521" s="392"/>
    </row>
    <row r="522" ht="15.75" customHeight="1">
      <c r="A522" s="216"/>
      <c r="B522" s="156"/>
      <c r="C522" s="156"/>
      <c r="D522" s="156"/>
      <c r="E522" s="392"/>
      <c r="F522" s="392"/>
      <c r="G522" s="392"/>
      <c r="H522" s="392"/>
      <c r="I522" s="392"/>
      <c r="J522" s="392"/>
      <c r="K522" s="392"/>
      <c r="L522" s="392"/>
      <c r="M522" s="392"/>
      <c r="N522" s="392"/>
      <c r="O522" s="392"/>
      <c r="P522" s="392"/>
      <c r="Q522" s="392"/>
      <c r="R522" s="392"/>
      <c r="S522" s="392"/>
      <c r="T522" s="392"/>
      <c r="U522" s="392"/>
      <c r="V522" s="392"/>
      <c r="W522" s="392"/>
      <c r="X522" s="392"/>
      <c r="Y522" s="392"/>
      <c r="Z522" s="392"/>
      <c r="AA522" s="392"/>
      <c r="AB522" s="392"/>
      <c r="AC522" s="392"/>
      <c r="AD522" s="392"/>
      <c r="AE522" s="392"/>
      <c r="AF522" s="392"/>
    </row>
    <row r="523" ht="15.75" customHeight="1">
      <c r="A523" s="216"/>
      <c r="B523" s="156"/>
      <c r="C523" s="156"/>
      <c r="D523" s="156"/>
      <c r="E523" s="392"/>
      <c r="F523" s="392"/>
      <c r="G523" s="392"/>
      <c r="H523" s="392"/>
      <c r="I523" s="392"/>
      <c r="J523" s="392"/>
      <c r="K523" s="392"/>
      <c r="L523" s="392"/>
      <c r="M523" s="392"/>
      <c r="N523" s="392"/>
      <c r="O523" s="392"/>
      <c r="P523" s="392"/>
      <c r="Q523" s="392"/>
      <c r="R523" s="392"/>
      <c r="S523" s="392"/>
      <c r="T523" s="392"/>
      <c r="U523" s="392"/>
      <c r="V523" s="392"/>
      <c r="W523" s="392"/>
      <c r="X523" s="392"/>
      <c r="Y523" s="392"/>
      <c r="Z523" s="392"/>
      <c r="AA523" s="392"/>
      <c r="AB523" s="392"/>
      <c r="AC523" s="392"/>
      <c r="AD523" s="392"/>
      <c r="AE523" s="392"/>
      <c r="AF523" s="392"/>
    </row>
    <row r="524" ht="15.75" customHeight="1">
      <c r="A524" s="216"/>
      <c r="B524" s="156"/>
      <c r="C524" s="156"/>
      <c r="D524" s="156"/>
      <c r="E524" s="392"/>
      <c r="F524" s="392"/>
      <c r="G524" s="392"/>
      <c r="H524" s="392"/>
      <c r="I524" s="392"/>
      <c r="J524" s="392"/>
      <c r="K524" s="392"/>
      <c r="L524" s="392"/>
      <c r="M524" s="392"/>
      <c r="N524" s="392"/>
      <c r="O524" s="392"/>
      <c r="P524" s="392"/>
      <c r="Q524" s="392"/>
      <c r="R524" s="392"/>
      <c r="S524" s="392"/>
      <c r="T524" s="392"/>
      <c r="U524" s="392"/>
      <c r="V524" s="392"/>
      <c r="W524" s="392"/>
      <c r="X524" s="392"/>
      <c r="Y524" s="392"/>
      <c r="Z524" s="392"/>
      <c r="AA524" s="392"/>
      <c r="AB524" s="392"/>
      <c r="AC524" s="392"/>
      <c r="AD524" s="392"/>
      <c r="AE524" s="392"/>
      <c r="AF524" s="392"/>
    </row>
    <row r="525" ht="15.75" customHeight="1">
      <c r="A525" s="216"/>
      <c r="B525" s="156"/>
      <c r="C525" s="156"/>
      <c r="D525" s="156"/>
      <c r="E525" s="392"/>
      <c r="F525" s="392"/>
      <c r="G525" s="392"/>
      <c r="H525" s="392"/>
      <c r="I525" s="392"/>
      <c r="J525" s="392"/>
      <c r="K525" s="392"/>
      <c r="L525" s="392"/>
      <c r="M525" s="392"/>
      <c r="N525" s="392"/>
      <c r="O525" s="392"/>
      <c r="P525" s="392"/>
      <c r="Q525" s="392"/>
      <c r="R525" s="392"/>
      <c r="S525" s="392"/>
      <c r="T525" s="392"/>
      <c r="U525" s="392"/>
      <c r="V525" s="392"/>
      <c r="W525" s="392"/>
      <c r="X525" s="392"/>
      <c r="Y525" s="392"/>
      <c r="Z525" s="392"/>
      <c r="AA525" s="392"/>
      <c r="AB525" s="392"/>
      <c r="AC525" s="392"/>
      <c r="AD525" s="392"/>
      <c r="AE525" s="392"/>
      <c r="AF525" s="392"/>
    </row>
    <row r="526" ht="15.75" customHeight="1">
      <c r="A526" s="216"/>
      <c r="B526" s="156"/>
      <c r="C526" s="156"/>
      <c r="D526" s="156"/>
      <c r="E526" s="392"/>
      <c r="F526" s="392"/>
      <c r="G526" s="392"/>
      <c r="H526" s="392"/>
      <c r="I526" s="392"/>
      <c r="J526" s="392"/>
      <c r="K526" s="392"/>
      <c r="L526" s="392"/>
      <c r="M526" s="392"/>
      <c r="N526" s="392"/>
      <c r="O526" s="392"/>
      <c r="P526" s="392"/>
      <c r="Q526" s="392"/>
      <c r="R526" s="392"/>
      <c r="S526" s="392"/>
      <c r="T526" s="392"/>
      <c r="U526" s="392"/>
      <c r="V526" s="392"/>
      <c r="W526" s="392"/>
      <c r="X526" s="392"/>
      <c r="Y526" s="392"/>
      <c r="Z526" s="392"/>
      <c r="AA526" s="392"/>
      <c r="AB526" s="392"/>
      <c r="AC526" s="392"/>
      <c r="AD526" s="392"/>
      <c r="AE526" s="392"/>
      <c r="AF526" s="392"/>
    </row>
    <row r="527" ht="15.75" customHeight="1">
      <c r="A527" s="216"/>
      <c r="B527" s="156"/>
      <c r="C527" s="156"/>
      <c r="D527" s="156"/>
      <c r="E527" s="392"/>
      <c r="F527" s="392"/>
      <c r="G527" s="392"/>
      <c r="H527" s="392"/>
      <c r="I527" s="392"/>
      <c r="J527" s="392"/>
      <c r="K527" s="392"/>
      <c r="L527" s="392"/>
      <c r="M527" s="392"/>
      <c r="N527" s="392"/>
      <c r="O527" s="392"/>
      <c r="P527" s="392"/>
      <c r="Q527" s="392"/>
      <c r="R527" s="392"/>
      <c r="S527" s="392"/>
      <c r="T527" s="392"/>
      <c r="U527" s="392"/>
      <c r="V527" s="392"/>
      <c r="W527" s="392"/>
      <c r="X527" s="392"/>
      <c r="Y527" s="392"/>
      <c r="Z527" s="392"/>
      <c r="AA527" s="392"/>
      <c r="AB527" s="392"/>
      <c r="AC527" s="392"/>
      <c r="AD527" s="392"/>
      <c r="AE527" s="392"/>
      <c r="AF527" s="392"/>
    </row>
    <row r="528" ht="15.75" customHeight="1">
      <c r="A528" s="216"/>
      <c r="B528" s="156"/>
      <c r="C528" s="156"/>
      <c r="D528" s="156"/>
      <c r="E528" s="392"/>
      <c r="F528" s="392"/>
      <c r="G528" s="392"/>
      <c r="H528" s="392"/>
      <c r="I528" s="392"/>
      <c r="J528" s="392"/>
      <c r="K528" s="392"/>
      <c r="L528" s="392"/>
      <c r="M528" s="392"/>
      <c r="N528" s="392"/>
      <c r="O528" s="392"/>
      <c r="P528" s="392"/>
      <c r="Q528" s="392"/>
      <c r="R528" s="392"/>
      <c r="S528" s="392"/>
      <c r="T528" s="392"/>
      <c r="U528" s="392"/>
      <c r="V528" s="392"/>
      <c r="W528" s="392"/>
      <c r="X528" s="392"/>
      <c r="Y528" s="392"/>
      <c r="Z528" s="392"/>
      <c r="AA528" s="392"/>
      <c r="AB528" s="392"/>
      <c r="AC528" s="392"/>
      <c r="AD528" s="392"/>
      <c r="AE528" s="392"/>
      <c r="AF528" s="392"/>
    </row>
    <row r="529" ht="15.75" customHeight="1">
      <c r="A529" s="216"/>
      <c r="B529" s="156"/>
      <c r="C529" s="156"/>
      <c r="D529" s="156"/>
      <c r="E529" s="392"/>
      <c r="F529" s="392"/>
      <c r="G529" s="392"/>
      <c r="H529" s="392"/>
      <c r="I529" s="392"/>
      <c r="J529" s="392"/>
      <c r="K529" s="392"/>
      <c r="L529" s="392"/>
      <c r="M529" s="392"/>
      <c r="N529" s="392"/>
      <c r="O529" s="392"/>
      <c r="P529" s="392"/>
      <c r="Q529" s="392"/>
      <c r="R529" s="392"/>
      <c r="S529" s="392"/>
      <c r="T529" s="392"/>
      <c r="U529" s="392"/>
      <c r="V529" s="392"/>
      <c r="W529" s="392"/>
      <c r="X529" s="392"/>
      <c r="Y529" s="392"/>
      <c r="Z529" s="392"/>
      <c r="AA529" s="392"/>
      <c r="AB529" s="392"/>
      <c r="AC529" s="392"/>
      <c r="AD529" s="392"/>
      <c r="AE529" s="392"/>
      <c r="AF529" s="392"/>
    </row>
    <row r="530" ht="15.75" customHeight="1">
      <c r="A530" s="216"/>
      <c r="B530" s="156"/>
      <c r="C530" s="156"/>
      <c r="D530" s="156"/>
      <c r="E530" s="392"/>
      <c r="F530" s="392"/>
      <c r="G530" s="392"/>
      <c r="H530" s="392"/>
      <c r="I530" s="392"/>
      <c r="J530" s="392"/>
      <c r="K530" s="392"/>
      <c r="L530" s="392"/>
      <c r="M530" s="392"/>
      <c r="N530" s="392"/>
      <c r="O530" s="392"/>
      <c r="P530" s="392"/>
      <c r="Q530" s="392"/>
      <c r="R530" s="392"/>
      <c r="S530" s="392"/>
      <c r="T530" s="392"/>
      <c r="U530" s="392"/>
      <c r="V530" s="392"/>
      <c r="W530" s="392"/>
      <c r="X530" s="392"/>
      <c r="Y530" s="392"/>
      <c r="Z530" s="392"/>
      <c r="AA530" s="392"/>
      <c r="AB530" s="392"/>
      <c r="AC530" s="392"/>
      <c r="AD530" s="392"/>
      <c r="AE530" s="392"/>
      <c r="AF530" s="392"/>
    </row>
    <row r="531" ht="15.75" customHeight="1">
      <c r="A531" s="216"/>
      <c r="B531" s="156"/>
      <c r="C531" s="156"/>
      <c r="D531" s="156"/>
      <c r="E531" s="392"/>
      <c r="F531" s="392"/>
      <c r="G531" s="392"/>
      <c r="H531" s="392"/>
      <c r="I531" s="392"/>
      <c r="J531" s="392"/>
      <c r="K531" s="392"/>
      <c r="L531" s="392"/>
      <c r="M531" s="392"/>
      <c r="N531" s="392"/>
      <c r="O531" s="392"/>
      <c r="P531" s="392"/>
      <c r="Q531" s="392"/>
      <c r="R531" s="392"/>
      <c r="S531" s="392"/>
      <c r="T531" s="392"/>
      <c r="U531" s="392"/>
      <c r="V531" s="392"/>
      <c r="W531" s="392"/>
      <c r="X531" s="392"/>
      <c r="Y531" s="392"/>
      <c r="Z531" s="392"/>
      <c r="AA531" s="392"/>
      <c r="AB531" s="392"/>
      <c r="AC531" s="392"/>
      <c r="AD531" s="392"/>
      <c r="AE531" s="392"/>
      <c r="AF531" s="392"/>
    </row>
    <row r="532" ht="15.75" customHeight="1">
      <c r="A532" s="216"/>
      <c r="B532" s="156"/>
      <c r="C532" s="156"/>
      <c r="D532" s="156"/>
      <c r="E532" s="392"/>
      <c r="F532" s="392"/>
      <c r="G532" s="392"/>
      <c r="H532" s="392"/>
      <c r="I532" s="392"/>
      <c r="J532" s="392"/>
      <c r="K532" s="392"/>
      <c r="L532" s="392"/>
      <c r="M532" s="392"/>
      <c r="N532" s="392"/>
      <c r="O532" s="392"/>
      <c r="P532" s="392"/>
      <c r="Q532" s="392"/>
      <c r="R532" s="392"/>
      <c r="S532" s="392"/>
      <c r="T532" s="392"/>
      <c r="U532" s="392"/>
      <c r="V532" s="392"/>
      <c r="W532" s="392"/>
      <c r="X532" s="392"/>
      <c r="Y532" s="392"/>
      <c r="Z532" s="392"/>
      <c r="AA532" s="392"/>
      <c r="AB532" s="392"/>
      <c r="AC532" s="392"/>
      <c r="AD532" s="392"/>
      <c r="AE532" s="392"/>
      <c r="AF532" s="392"/>
    </row>
    <row r="533" ht="15.75" customHeight="1">
      <c r="A533" s="216"/>
      <c r="B533" s="156"/>
      <c r="C533" s="156"/>
      <c r="D533" s="156"/>
      <c r="E533" s="392"/>
      <c r="F533" s="392"/>
      <c r="G533" s="392"/>
      <c r="H533" s="392"/>
      <c r="I533" s="392"/>
      <c r="J533" s="392"/>
      <c r="K533" s="392"/>
      <c r="L533" s="392"/>
      <c r="M533" s="392"/>
      <c r="N533" s="392"/>
      <c r="O533" s="392"/>
      <c r="P533" s="392"/>
      <c r="Q533" s="392"/>
      <c r="R533" s="392"/>
      <c r="S533" s="392"/>
      <c r="T533" s="392"/>
      <c r="U533" s="392"/>
      <c r="V533" s="392"/>
      <c r="W533" s="392"/>
      <c r="X533" s="392"/>
      <c r="Y533" s="392"/>
      <c r="Z533" s="392"/>
      <c r="AA533" s="392"/>
      <c r="AB533" s="392"/>
      <c r="AC533" s="392"/>
      <c r="AD533" s="392"/>
      <c r="AE533" s="392"/>
      <c r="AF533" s="392"/>
    </row>
    <row r="534" ht="15.75" customHeight="1">
      <c r="A534" s="216"/>
      <c r="B534" s="156"/>
      <c r="C534" s="156"/>
      <c r="D534" s="156"/>
      <c r="E534" s="392"/>
      <c r="F534" s="392"/>
      <c r="G534" s="392"/>
      <c r="H534" s="392"/>
      <c r="I534" s="392"/>
      <c r="J534" s="392"/>
      <c r="K534" s="392"/>
      <c r="L534" s="392"/>
      <c r="M534" s="392"/>
      <c r="N534" s="392"/>
      <c r="O534" s="392"/>
      <c r="P534" s="392"/>
      <c r="Q534" s="392"/>
      <c r="R534" s="392"/>
      <c r="S534" s="392"/>
      <c r="T534" s="392"/>
      <c r="U534" s="392"/>
      <c r="V534" s="392"/>
      <c r="W534" s="392"/>
      <c r="X534" s="392"/>
      <c r="Y534" s="392"/>
      <c r="Z534" s="392"/>
      <c r="AA534" s="392"/>
      <c r="AB534" s="392"/>
      <c r="AC534" s="392"/>
      <c r="AD534" s="392"/>
      <c r="AE534" s="392"/>
      <c r="AF534" s="392"/>
    </row>
    <row r="535" ht="15.75" customHeight="1">
      <c r="A535" s="216"/>
      <c r="B535" s="156"/>
      <c r="C535" s="156"/>
      <c r="D535" s="156"/>
      <c r="E535" s="392"/>
      <c r="F535" s="392"/>
      <c r="G535" s="392"/>
      <c r="H535" s="392"/>
      <c r="I535" s="392"/>
      <c r="J535" s="392"/>
      <c r="K535" s="392"/>
      <c r="L535" s="392"/>
      <c r="M535" s="392"/>
      <c r="N535" s="392"/>
      <c r="O535" s="392"/>
      <c r="P535" s="392"/>
      <c r="Q535" s="392"/>
      <c r="R535" s="392"/>
      <c r="S535" s="392"/>
      <c r="T535" s="392"/>
      <c r="U535" s="392"/>
      <c r="V535" s="392"/>
      <c r="W535" s="392"/>
      <c r="X535" s="392"/>
      <c r="Y535" s="392"/>
      <c r="Z535" s="392"/>
      <c r="AA535" s="392"/>
      <c r="AB535" s="392"/>
      <c r="AC535" s="392"/>
      <c r="AD535" s="392"/>
      <c r="AE535" s="392"/>
      <c r="AF535" s="392"/>
    </row>
    <row r="536" ht="15.75" customHeight="1">
      <c r="A536" s="216"/>
      <c r="B536" s="156"/>
      <c r="C536" s="156"/>
      <c r="D536" s="156"/>
      <c r="E536" s="392"/>
      <c r="F536" s="392"/>
      <c r="G536" s="392"/>
      <c r="H536" s="392"/>
      <c r="I536" s="392"/>
      <c r="J536" s="392"/>
      <c r="K536" s="392"/>
      <c r="L536" s="392"/>
      <c r="M536" s="392"/>
      <c r="N536" s="392"/>
      <c r="O536" s="392"/>
      <c r="P536" s="392"/>
      <c r="Q536" s="392"/>
      <c r="R536" s="392"/>
      <c r="S536" s="392"/>
      <c r="T536" s="392"/>
      <c r="U536" s="392"/>
      <c r="V536" s="392"/>
      <c r="W536" s="392"/>
      <c r="X536" s="392"/>
      <c r="Y536" s="392"/>
      <c r="Z536" s="392"/>
      <c r="AA536" s="392"/>
      <c r="AB536" s="392"/>
      <c r="AC536" s="392"/>
      <c r="AD536" s="392"/>
      <c r="AE536" s="392"/>
      <c r="AF536" s="392"/>
    </row>
    <row r="537" ht="15.75" customHeight="1">
      <c r="A537" s="216"/>
      <c r="B537" s="156"/>
      <c r="C537" s="156"/>
      <c r="D537" s="156"/>
      <c r="E537" s="392"/>
      <c r="F537" s="392"/>
      <c r="G537" s="392"/>
      <c r="H537" s="392"/>
      <c r="I537" s="392"/>
      <c r="J537" s="392"/>
      <c r="K537" s="392"/>
      <c r="L537" s="392"/>
      <c r="M537" s="392"/>
      <c r="N537" s="392"/>
      <c r="O537" s="392"/>
      <c r="P537" s="392"/>
      <c r="Q537" s="392"/>
      <c r="R537" s="392"/>
      <c r="S537" s="392"/>
      <c r="T537" s="392"/>
      <c r="U537" s="392"/>
      <c r="V537" s="392"/>
      <c r="W537" s="392"/>
      <c r="X537" s="392"/>
      <c r="Y537" s="392"/>
      <c r="Z537" s="392"/>
      <c r="AA537" s="392"/>
      <c r="AB537" s="392"/>
      <c r="AC537" s="392"/>
      <c r="AD537" s="392"/>
      <c r="AE537" s="392"/>
      <c r="AF537" s="392"/>
    </row>
    <row r="538" ht="15.75" customHeight="1">
      <c r="A538" s="216"/>
      <c r="B538" s="156"/>
      <c r="C538" s="156"/>
      <c r="D538" s="156"/>
      <c r="E538" s="392"/>
      <c r="F538" s="392"/>
      <c r="G538" s="392"/>
      <c r="H538" s="392"/>
      <c r="I538" s="392"/>
      <c r="J538" s="392"/>
      <c r="K538" s="392"/>
      <c r="L538" s="392"/>
      <c r="M538" s="392"/>
      <c r="N538" s="392"/>
      <c r="O538" s="392"/>
      <c r="P538" s="392"/>
      <c r="Q538" s="392"/>
      <c r="R538" s="392"/>
      <c r="S538" s="392"/>
      <c r="T538" s="392"/>
      <c r="U538" s="392"/>
      <c r="V538" s="392"/>
      <c r="W538" s="392"/>
      <c r="X538" s="392"/>
      <c r="Y538" s="392"/>
      <c r="Z538" s="392"/>
      <c r="AA538" s="392"/>
      <c r="AB538" s="392"/>
      <c r="AC538" s="392"/>
      <c r="AD538" s="392"/>
      <c r="AE538" s="392"/>
      <c r="AF538" s="392"/>
    </row>
    <row r="539" ht="15.75" customHeight="1">
      <c r="A539" s="216"/>
      <c r="B539" s="156"/>
      <c r="C539" s="156"/>
      <c r="D539" s="156"/>
      <c r="E539" s="392"/>
      <c r="F539" s="392"/>
      <c r="G539" s="392"/>
      <c r="H539" s="392"/>
      <c r="I539" s="392"/>
      <c r="J539" s="392"/>
      <c r="K539" s="392"/>
      <c r="L539" s="392"/>
      <c r="M539" s="392"/>
      <c r="N539" s="392"/>
      <c r="O539" s="392"/>
      <c r="P539" s="392"/>
      <c r="Q539" s="392"/>
      <c r="R539" s="392"/>
      <c r="S539" s="392"/>
      <c r="T539" s="392"/>
      <c r="U539" s="392"/>
      <c r="V539" s="392"/>
      <c r="W539" s="392"/>
      <c r="X539" s="392"/>
      <c r="Y539" s="392"/>
      <c r="Z539" s="392"/>
      <c r="AA539" s="392"/>
      <c r="AB539" s="392"/>
      <c r="AC539" s="392"/>
      <c r="AD539" s="392"/>
      <c r="AE539" s="392"/>
      <c r="AF539" s="392"/>
    </row>
    <row r="540" ht="15.75" customHeight="1">
      <c r="A540" s="216"/>
      <c r="B540" s="156"/>
      <c r="C540" s="156"/>
      <c r="D540" s="156"/>
      <c r="E540" s="392"/>
      <c r="F540" s="392"/>
      <c r="G540" s="392"/>
      <c r="H540" s="392"/>
      <c r="I540" s="392"/>
      <c r="J540" s="392"/>
      <c r="K540" s="392"/>
      <c r="L540" s="392"/>
      <c r="M540" s="392"/>
      <c r="N540" s="392"/>
      <c r="O540" s="392"/>
      <c r="P540" s="392"/>
      <c r="Q540" s="392"/>
      <c r="R540" s="392"/>
      <c r="S540" s="392"/>
      <c r="T540" s="392"/>
      <c r="U540" s="392"/>
      <c r="V540" s="392"/>
      <c r="W540" s="392"/>
      <c r="X540" s="392"/>
      <c r="Y540" s="392"/>
      <c r="Z540" s="392"/>
      <c r="AA540" s="392"/>
      <c r="AB540" s="392"/>
      <c r="AC540" s="392"/>
      <c r="AD540" s="392"/>
      <c r="AE540" s="392"/>
      <c r="AF540" s="392"/>
    </row>
    <row r="541" ht="15.75" customHeight="1">
      <c r="A541" s="216"/>
      <c r="B541" s="156"/>
      <c r="C541" s="156"/>
      <c r="D541" s="156"/>
      <c r="E541" s="392"/>
      <c r="F541" s="392"/>
      <c r="G541" s="392"/>
      <c r="H541" s="392"/>
      <c r="I541" s="392"/>
      <c r="J541" s="392"/>
      <c r="K541" s="392"/>
      <c r="L541" s="392"/>
      <c r="M541" s="392"/>
      <c r="N541" s="392"/>
      <c r="O541" s="392"/>
      <c r="P541" s="392"/>
      <c r="Q541" s="392"/>
      <c r="R541" s="392"/>
      <c r="S541" s="392"/>
      <c r="T541" s="392"/>
      <c r="U541" s="392"/>
      <c r="V541" s="392"/>
      <c r="W541" s="392"/>
      <c r="X541" s="392"/>
      <c r="Y541" s="392"/>
      <c r="Z541" s="392"/>
      <c r="AA541" s="392"/>
      <c r="AB541" s="392"/>
      <c r="AC541" s="392"/>
      <c r="AD541" s="392"/>
      <c r="AE541" s="392"/>
      <c r="AF541" s="392"/>
    </row>
    <row r="542" ht="15.75" customHeight="1">
      <c r="A542" s="216"/>
      <c r="B542" s="156"/>
      <c r="C542" s="156"/>
      <c r="D542" s="156"/>
      <c r="E542" s="392"/>
      <c r="F542" s="392"/>
      <c r="G542" s="392"/>
      <c r="H542" s="392"/>
      <c r="I542" s="392"/>
      <c r="J542" s="392"/>
      <c r="K542" s="392"/>
      <c r="L542" s="392"/>
      <c r="M542" s="392"/>
      <c r="N542" s="392"/>
      <c r="O542" s="392"/>
      <c r="P542" s="392"/>
      <c r="Q542" s="392"/>
      <c r="R542" s="392"/>
      <c r="S542" s="392"/>
      <c r="T542" s="392"/>
      <c r="U542" s="392"/>
      <c r="V542" s="392"/>
      <c r="W542" s="392"/>
      <c r="X542" s="392"/>
      <c r="Y542" s="392"/>
      <c r="Z542" s="392"/>
      <c r="AA542" s="392"/>
      <c r="AB542" s="392"/>
      <c r="AC542" s="392"/>
      <c r="AD542" s="392"/>
      <c r="AE542" s="392"/>
      <c r="AF542" s="392"/>
    </row>
    <row r="543" ht="15.75" customHeight="1">
      <c r="A543" s="216"/>
      <c r="B543" s="156"/>
      <c r="C543" s="156"/>
      <c r="D543" s="156"/>
      <c r="E543" s="392"/>
      <c r="F543" s="392"/>
      <c r="G543" s="392"/>
      <c r="H543" s="392"/>
      <c r="I543" s="392"/>
      <c r="J543" s="392"/>
      <c r="K543" s="392"/>
      <c r="L543" s="392"/>
      <c r="M543" s="392"/>
      <c r="N543" s="392"/>
      <c r="O543" s="392"/>
      <c r="P543" s="392"/>
      <c r="Q543" s="392"/>
      <c r="R543" s="392"/>
      <c r="S543" s="392"/>
      <c r="T543" s="392"/>
      <c r="U543" s="392"/>
      <c r="V543" s="392"/>
      <c r="W543" s="392"/>
      <c r="X543" s="392"/>
      <c r="Y543" s="392"/>
      <c r="Z543" s="392"/>
      <c r="AA543" s="392"/>
      <c r="AB543" s="392"/>
      <c r="AC543" s="392"/>
      <c r="AD543" s="392"/>
      <c r="AE543" s="392"/>
      <c r="AF543" s="392"/>
    </row>
    <row r="544" ht="15.75" customHeight="1">
      <c r="A544" s="216"/>
      <c r="B544" s="156"/>
      <c r="C544" s="156"/>
      <c r="D544" s="156"/>
      <c r="E544" s="392"/>
      <c r="F544" s="392"/>
      <c r="G544" s="392"/>
      <c r="H544" s="392"/>
      <c r="I544" s="392"/>
      <c r="J544" s="392"/>
      <c r="K544" s="392"/>
      <c r="L544" s="392"/>
      <c r="M544" s="392"/>
      <c r="N544" s="392"/>
      <c r="O544" s="392"/>
      <c r="P544" s="392"/>
      <c r="Q544" s="392"/>
      <c r="R544" s="392"/>
      <c r="S544" s="392"/>
      <c r="T544" s="392"/>
      <c r="U544" s="392"/>
      <c r="V544" s="392"/>
      <c r="W544" s="392"/>
      <c r="X544" s="392"/>
      <c r="Y544" s="392"/>
      <c r="Z544" s="392"/>
      <c r="AA544" s="392"/>
      <c r="AB544" s="392"/>
      <c r="AC544" s="392"/>
      <c r="AD544" s="392"/>
      <c r="AE544" s="392"/>
      <c r="AF544" s="392"/>
    </row>
    <row r="545" ht="15.75" customHeight="1">
      <c r="A545" s="216"/>
      <c r="B545" s="156"/>
      <c r="C545" s="156"/>
      <c r="D545" s="156"/>
      <c r="E545" s="392"/>
      <c r="F545" s="392"/>
      <c r="G545" s="392"/>
      <c r="H545" s="392"/>
      <c r="I545" s="392"/>
      <c r="J545" s="392"/>
      <c r="K545" s="392"/>
      <c r="L545" s="392"/>
      <c r="M545" s="392"/>
      <c r="N545" s="392"/>
      <c r="O545" s="392"/>
      <c r="P545" s="392"/>
      <c r="Q545" s="392"/>
      <c r="R545" s="392"/>
      <c r="S545" s="392"/>
      <c r="T545" s="392"/>
      <c r="U545" s="392"/>
      <c r="V545" s="392"/>
      <c r="W545" s="392"/>
      <c r="X545" s="392"/>
      <c r="Y545" s="392"/>
      <c r="Z545" s="392"/>
      <c r="AA545" s="392"/>
      <c r="AB545" s="392"/>
      <c r="AC545" s="392"/>
      <c r="AD545" s="392"/>
      <c r="AE545" s="392"/>
      <c r="AF545" s="392"/>
    </row>
    <row r="546" ht="15.75" customHeight="1">
      <c r="A546" s="216"/>
      <c r="B546" s="156"/>
      <c r="C546" s="156"/>
      <c r="D546" s="156"/>
      <c r="E546" s="392"/>
      <c r="F546" s="392"/>
      <c r="G546" s="392"/>
      <c r="H546" s="392"/>
      <c r="I546" s="392"/>
      <c r="J546" s="392"/>
      <c r="K546" s="392"/>
      <c r="L546" s="392"/>
      <c r="M546" s="392"/>
      <c r="N546" s="392"/>
      <c r="O546" s="392"/>
      <c r="P546" s="392"/>
      <c r="Q546" s="392"/>
      <c r="R546" s="392"/>
      <c r="S546" s="392"/>
      <c r="T546" s="392"/>
      <c r="U546" s="392"/>
      <c r="V546" s="392"/>
      <c r="W546" s="392"/>
      <c r="X546" s="392"/>
      <c r="Y546" s="392"/>
      <c r="Z546" s="392"/>
      <c r="AA546" s="392"/>
      <c r="AB546" s="392"/>
      <c r="AC546" s="392"/>
      <c r="AD546" s="392"/>
      <c r="AE546" s="392"/>
      <c r="AF546" s="392"/>
    </row>
    <row r="547" ht="15.75" customHeight="1">
      <c r="A547" s="216"/>
      <c r="B547" s="156"/>
      <c r="C547" s="156"/>
      <c r="D547" s="156"/>
      <c r="E547" s="392"/>
      <c r="F547" s="392"/>
      <c r="G547" s="392"/>
      <c r="H547" s="392"/>
      <c r="I547" s="392"/>
      <c r="J547" s="392"/>
      <c r="K547" s="392"/>
      <c r="L547" s="392"/>
      <c r="M547" s="392"/>
      <c r="N547" s="392"/>
      <c r="O547" s="392"/>
      <c r="P547" s="392"/>
      <c r="Q547" s="392"/>
      <c r="R547" s="392"/>
      <c r="S547" s="392"/>
      <c r="T547" s="392"/>
      <c r="U547" s="392"/>
      <c r="V547" s="392"/>
      <c r="W547" s="392"/>
      <c r="X547" s="392"/>
      <c r="Y547" s="392"/>
      <c r="Z547" s="392"/>
      <c r="AA547" s="392"/>
      <c r="AB547" s="392"/>
      <c r="AC547" s="392"/>
      <c r="AD547" s="392"/>
      <c r="AE547" s="392"/>
      <c r="AF547" s="392"/>
    </row>
    <row r="548" ht="15.75" customHeight="1">
      <c r="A548" s="216"/>
      <c r="B548" s="156"/>
      <c r="C548" s="156"/>
      <c r="D548" s="156"/>
      <c r="E548" s="392"/>
      <c r="F548" s="392"/>
      <c r="G548" s="392"/>
      <c r="H548" s="392"/>
      <c r="I548" s="392"/>
      <c r="J548" s="392"/>
      <c r="K548" s="392"/>
      <c r="L548" s="392"/>
      <c r="M548" s="392"/>
      <c r="N548" s="392"/>
      <c r="O548" s="392"/>
      <c r="P548" s="392"/>
      <c r="Q548" s="392"/>
      <c r="R548" s="392"/>
      <c r="S548" s="392"/>
      <c r="T548" s="392"/>
      <c r="U548" s="392"/>
      <c r="V548" s="392"/>
      <c r="W548" s="392"/>
      <c r="X548" s="392"/>
      <c r="Y548" s="392"/>
      <c r="Z548" s="392"/>
      <c r="AA548" s="392"/>
      <c r="AB548" s="392"/>
      <c r="AC548" s="392"/>
      <c r="AD548" s="392"/>
      <c r="AE548" s="392"/>
      <c r="AF548" s="392"/>
    </row>
    <row r="549" ht="15.75" customHeight="1">
      <c r="A549" s="216"/>
      <c r="B549" s="156"/>
      <c r="C549" s="156"/>
      <c r="D549" s="156"/>
      <c r="E549" s="392"/>
      <c r="F549" s="392"/>
      <c r="G549" s="392"/>
      <c r="H549" s="392"/>
      <c r="I549" s="392"/>
      <c r="J549" s="392"/>
      <c r="K549" s="392"/>
      <c r="L549" s="392"/>
      <c r="M549" s="392"/>
      <c r="N549" s="392"/>
      <c r="O549" s="392"/>
      <c r="P549" s="392"/>
      <c r="Q549" s="392"/>
      <c r="R549" s="392"/>
      <c r="S549" s="392"/>
      <c r="T549" s="392"/>
      <c r="U549" s="392"/>
      <c r="V549" s="392"/>
      <c r="W549" s="392"/>
      <c r="X549" s="392"/>
      <c r="Y549" s="392"/>
      <c r="Z549" s="392"/>
      <c r="AA549" s="392"/>
      <c r="AB549" s="392"/>
      <c r="AC549" s="392"/>
      <c r="AD549" s="392"/>
      <c r="AE549" s="392"/>
      <c r="AF549" s="392"/>
    </row>
    <row r="550" ht="15.75" customHeight="1">
      <c r="A550" s="216"/>
      <c r="B550" s="156"/>
      <c r="C550" s="156"/>
      <c r="D550" s="156"/>
      <c r="E550" s="392"/>
      <c r="F550" s="392"/>
      <c r="G550" s="392"/>
      <c r="H550" s="392"/>
      <c r="I550" s="392"/>
      <c r="J550" s="392"/>
      <c r="K550" s="392"/>
      <c r="L550" s="392"/>
      <c r="M550" s="392"/>
      <c r="N550" s="392"/>
      <c r="O550" s="392"/>
      <c r="P550" s="392"/>
      <c r="Q550" s="392"/>
      <c r="R550" s="392"/>
      <c r="S550" s="392"/>
      <c r="T550" s="392"/>
      <c r="U550" s="392"/>
      <c r="V550" s="392"/>
      <c r="W550" s="392"/>
      <c r="X550" s="392"/>
      <c r="Y550" s="392"/>
      <c r="Z550" s="392"/>
      <c r="AA550" s="392"/>
      <c r="AB550" s="392"/>
      <c r="AC550" s="392"/>
      <c r="AD550" s="392"/>
      <c r="AE550" s="392"/>
      <c r="AF550" s="392"/>
    </row>
    <row r="551" ht="15.75" customHeight="1">
      <c r="A551" s="216"/>
      <c r="B551" s="156"/>
      <c r="C551" s="156"/>
      <c r="D551" s="156"/>
      <c r="E551" s="392"/>
      <c r="F551" s="392"/>
      <c r="G551" s="392"/>
      <c r="H551" s="392"/>
      <c r="I551" s="392"/>
      <c r="J551" s="392"/>
      <c r="K551" s="392"/>
      <c r="L551" s="392"/>
      <c r="M551" s="392"/>
      <c r="N551" s="392"/>
      <c r="O551" s="392"/>
      <c r="P551" s="392"/>
      <c r="Q551" s="392"/>
      <c r="R551" s="392"/>
      <c r="S551" s="392"/>
      <c r="T551" s="392"/>
      <c r="U551" s="392"/>
      <c r="V551" s="392"/>
      <c r="W551" s="392"/>
      <c r="X551" s="392"/>
      <c r="Y551" s="392"/>
      <c r="Z551" s="392"/>
      <c r="AA551" s="392"/>
      <c r="AB551" s="392"/>
      <c r="AC551" s="392"/>
      <c r="AD551" s="392"/>
      <c r="AE551" s="392"/>
      <c r="AF551" s="392"/>
    </row>
    <row r="552" ht="15.75" customHeight="1">
      <c r="A552" s="216"/>
      <c r="B552" s="156"/>
      <c r="C552" s="156"/>
      <c r="D552" s="156"/>
      <c r="E552" s="392"/>
      <c r="F552" s="392"/>
      <c r="G552" s="392"/>
      <c r="H552" s="392"/>
      <c r="I552" s="392"/>
      <c r="J552" s="392"/>
      <c r="K552" s="392"/>
      <c r="L552" s="392"/>
      <c r="M552" s="392"/>
      <c r="N552" s="392"/>
      <c r="O552" s="392"/>
      <c r="P552" s="392"/>
      <c r="Q552" s="392"/>
      <c r="R552" s="392"/>
      <c r="S552" s="392"/>
      <c r="T552" s="392"/>
      <c r="U552" s="392"/>
      <c r="V552" s="392"/>
      <c r="W552" s="392"/>
      <c r="X552" s="392"/>
      <c r="Y552" s="392"/>
      <c r="Z552" s="392"/>
      <c r="AA552" s="392"/>
      <c r="AB552" s="392"/>
      <c r="AC552" s="392"/>
      <c r="AD552" s="392"/>
      <c r="AE552" s="392"/>
      <c r="AF552" s="392"/>
    </row>
    <row r="553" ht="15.75" customHeight="1">
      <c r="A553" s="216"/>
      <c r="B553" s="156"/>
      <c r="C553" s="156"/>
      <c r="D553" s="156"/>
      <c r="E553" s="392"/>
      <c r="F553" s="392"/>
      <c r="G553" s="392"/>
      <c r="H553" s="392"/>
      <c r="I553" s="392"/>
      <c r="J553" s="392"/>
      <c r="K553" s="392"/>
      <c r="L553" s="392"/>
      <c r="M553" s="392"/>
      <c r="N553" s="392"/>
      <c r="O553" s="392"/>
      <c r="P553" s="392"/>
      <c r="Q553" s="392"/>
      <c r="R553" s="392"/>
      <c r="S553" s="392"/>
      <c r="T553" s="392"/>
      <c r="U553" s="392"/>
      <c r="V553" s="392"/>
      <c r="W553" s="392"/>
      <c r="X553" s="392"/>
      <c r="Y553" s="392"/>
      <c r="Z553" s="392"/>
      <c r="AA553" s="392"/>
      <c r="AB553" s="392"/>
      <c r="AC553" s="392"/>
      <c r="AD553" s="392"/>
      <c r="AE553" s="392"/>
      <c r="AF553" s="392"/>
    </row>
    <row r="554" ht="15.75" customHeight="1">
      <c r="A554" s="216"/>
      <c r="B554" s="156"/>
      <c r="C554" s="156"/>
      <c r="D554" s="156"/>
      <c r="E554" s="392"/>
      <c r="F554" s="392"/>
      <c r="G554" s="392"/>
      <c r="H554" s="392"/>
      <c r="I554" s="392"/>
      <c r="J554" s="392"/>
      <c r="K554" s="392"/>
      <c r="L554" s="392"/>
      <c r="M554" s="392"/>
      <c r="N554" s="392"/>
      <c r="O554" s="392"/>
      <c r="P554" s="392"/>
      <c r="Q554" s="392"/>
      <c r="R554" s="392"/>
      <c r="S554" s="392"/>
      <c r="T554" s="392"/>
      <c r="U554" s="392"/>
      <c r="V554" s="392"/>
      <c r="W554" s="392"/>
      <c r="X554" s="392"/>
      <c r="Y554" s="392"/>
      <c r="Z554" s="392"/>
      <c r="AA554" s="392"/>
      <c r="AB554" s="392"/>
      <c r="AC554" s="392"/>
      <c r="AD554" s="392"/>
      <c r="AE554" s="392"/>
      <c r="AF554" s="392"/>
    </row>
    <row r="555" ht="15.75" customHeight="1">
      <c r="A555" s="216"/>
      <c r="B555" s="156"/>
      <c r="C555" s="156"/>
      <c r="D555" s="156"/>
      <c r="E555" s="392"/>
      <c r="F555" s="392"/>
      <c r="G555" s="392"/>
      <c r="H555" s="392"/>
      <c r="I555" s="392"/>
      <c r="J555" s="392"/>
      <c r="K555" s="392"/>
      <c r="L555" s="392"/>
      <c r="M555" s="392"/>
      <c r="N555" s="392"/>
      <c r="O555" s="392"/>
      <c r="P555" s="392"/>
      <c r="Q555" s="392"/>
      <c r="R555" s="392"/>
      <c r="S555" s="392"/>
      <c r="T555" s="392"/>
      <c r="U555" s="392"/>
      <c r="V555" s="392"/>
      <c r="W555" s="392"/>
      <c r="X555" s="392"/>
      <c r="Y555" s="392"/>
      <c r="Z555" s="392"/>
      <c r="AA555" s="392"/>
      <c r="AB555" s="392"/>
      <c r="AC555" s="392"/>
      <c r="AD555" s="392"/>
      <c r="AE555" s="392"/>
      <c r="AF555" s="392"/>
    </row>
    <row r="556" ht="15.75" customHeight="1">
      <c r="A556" s="216"/>
      <c r="B556" s="156"/>
      <c r="C556" s="156"/>
      <c r="D556" s="156"/>
      <c r="E556" s="392"/>
      <c r="F556" s="392"/>
      <c r="G556" s="392"/>
      <c r="H556" s="392"/>
      <c r="I556" s="392"/>
      <c r="J556" s="392"/>
      <c r="K556" s="392"/>
      <c r="L556" s="392"/>
      <c r="M556" s="392"/>
      <c r="N556" s="392"/>
      <c r="O556" s="392"/>
      <c r="P556" s="392"/>
      <c r="Q556" s="392"/>
      <c r="R556" s="392"/>
      <c r="S556" s="392"/>
      <c r="T556" s="392"/>
      <c r="U556" s="392"/>
      <c r="V556" s="392"/>
      <c r="W556" s="392"/>
      <c r="X556" s="392"/>
      <c r="Y556" s="392"/>
      <c r="Z556" s="392"/>
      <c r="AA556" s="392"/>
      <c r="AB556" s="392"/>
      <c r="AC556" s="392"/>
      <c r="AD556" s="392"/>
      <c r="AE556" s="392"/>
      <c r="AF556" s="392"/>
    </row>
    <row r="557" ht="15.75" customHeight="1">
      <c r="A557" s="216"/>
      <c r="B557" s="156"/>
      <c r="C557" s="156"/>
      <c r="D557" s="156"/>
      <c r="E557" s="392"/>
      <c r="F557" s="392"/>
      <c r="G557" s="392"/>
      <c r="H557" s="392"/>
      <c r="I557" s="392"/>
      <c r="J557" s="392"/>
      <c r="K557" s="392"/>
      <c r="L557" s="392"/>
      <c r="M557" s="392"/>
      <c r="N557" s="392"/>
      <c r="O557" s="392"/>
      <c r="P557" s="392"/>
      <c r="Q557" s="392"/>
      <c r="R557" s="392"/>
      <c r="S557" s="392"/>
      <c r="T557" s="392"/>
      <c r="U557" s="392"/>
      <c r="V557" s="392"/>
      <c r="W557" s="392"/>
      <c r="X557" s="392"/>
      <c r="Y557" s="392"/>
      <c r="Z557" s="392"/>
      <c r="AA557" s="392"/>
      <c r="AB557" s="392"/>
      <c r="AC557" s="392"/>
      <c r="AD557" s="392"/>
      <c r="AE557" s="392"/>
      <c r="AF557" s="392"/>
    </row>
    <row r="558" ht="15.75" customHeight="1">
      <c r="A558" s="216"/>
      <c r="B558" s="156"/>
      <c r="C558" s="156"/>
      <c r="D558" s="156"/>
      <c r="E558" s="392"/>
      <c r="F558" s="392"/>
      <c r="G558" s="392"/>
      <c r="H558" s="392"/>
      <c r="I558" s="392"/>
      <c r="J558" s="392"/>
      <c r="K558" s="392"/>
      <c r="L558" s="392"/>
      <c r="M558" s="392"/>
      <c r="N558" s="392"/>
      <c r="O558" s="392"/>
      <c r="P558" s="392"/>
      <c r="Q558" s="392"/>
      <c r="R558" s="392"/>
      <c r="S558" s="392"/>
      <c r="T558" s="392"/>
      <c r="U558" s="392"/>
      <c r="V558" s="392"/>
      <c r="W558" s="392"/>
      <c r="X558" s="392"/>
      <c r="Y558" s="392"/>
      <c r="Z558" s="392"/>
      <c r="AA558" s="392"/>
      <c r="AB558" s="392"/>
      <c r="AC558" s="392"/>
      <c r="AD558" s="392"/>
      <c r="AE558" s="392"/>
      <c r="AF558" s="392"/>
    </row>
    <row r="559" ht="15.75" customHeight="1">
      <c r="A559" s="216"/>
      <c r="B559" s="156"/>
      <c r="C559" s="156"/>
      <c r="D559" s="156"/>
      <c r="E559" s="392"/>
      <c r="F559" s="392"/>
      <c r="G559" s="392"/>
      <c r="H559" s="392"/>
      <c r="I559" s="392"/>
      <c r="J559" s="392"/>
      <c r="K559" s="392"/>
      <c r="L559" s="392"/>
      <c r="M559" s="392"/>
      <c r="N559" s="392"/>
      <c r="O559" s="392"/>
      <c r="P559" s="392"/>
      <c r="Q559" s="392"/>
      <c r="R559" s="392"/>
      <c r="S559" s="392"/>
      <c r="T559" s="392"/>
      <c r="U559" s="392"/>
      <c r="V559" s="392"/>
      <c r="W559" s="392"/>
      <c r="X559" s="392"/>
      <c r="Y559" s="392"/>
      <c r="Z559" s="392"/>
      <c r="AA559" s="392"/>
      <c r="AB559" s="392"/>
      <c r="AC559" s="392"/>
      <c r="AD559" s="392"/>
      <c r="AE559" s="392"/>
      <c r="AF559" s="392"/>
    </row>
    <row r="560" ht="15.75" customHeight="1">
      <c r="A560" s="216"/>
      <c r="B560" s="156"/>
      <c r="C560" s="156"/>
      <c r="D560" s="156"/>
      <c r="E560" s="392"/>
      <c r="F560" s="392"/>
      <c r="G560" s="392"/>
      <c r="H560" s="392"/>
      <c r="I560" s="392"/>
      <c r="J560" s="392"/>
      <c r="K560" s="392"/>
      <c r="L560" s="392"/>
      <c r="M560" s="392"/>
      <c r="N560" s="392"/>
      <c r="O560" s="392"/>
      <c r="P560" s="392"/>
      <c r="Q560" s="392"/>
      <c r="R560" s="392"/>
      <c r="S560" s="392"/>
      <c r="T560" s="392"/>
      <c r="U560" s="392"/>
      <c r="V560" s="392"/>
      <c r="W560" s="392"/>
      <c r="X560" s="392"/>
      <c r="Y560" s="392"/>
      <c r="Z560" s="392"/>
      <c r="AA560" s="392"/>
      <c r="AB560" s="392"/>
      <c r="AC560" s="392"/>
      <c r="AD560" s="392"/>
      <c r="AE560" s="392"/>
      <c r="AF560" s="392"/>
    </row>
    <row r="561" ht="15.75" customHeight="1">
      <c r="A561" s="216"/>
      <c r="B561" s="156"/>
      <c r="C561" s="156"/>
      <c r="D561" s="156"/>
      <c r="E561" s="392"/>
      <c r="F561" s="392"/>
      <c r="G561" s="392"/>
      <c r="H561" s="392"/>
      <c r="I561" s="392"/>
      <c r="J561" s="392"/>
      <c r="K561" s="392"/>
      <c r="L561" s="392"/>
      <c r="M561" s="392"/>
      <c r="N561" s="392"/>
      <c r="O561" s="392"/>
      <c r="P561" s="392"/>
      <c r="Q561" s="392"/>
      <c r="R561" s="392"/>
      <c r="S561" s="392"/>
      <c r="T561" s="392"/>
      <c r="U561" s="392"/>
      <c r="V561" s="392"/>
      <c r="W561" s="392"/>
      <c r="X561" s="392"/>
      <c r="Y561" s="392"/>
      <c r="Z561" s="392"/>
      <c r="AA561" s="392"/>
      <c r="AB561" s="392"/>
      <c r="AC561" s="392"/>
      <c r="AD561" s="392"/>
      <c r="AE561" s="392"/>
      <c r="AF561" s="392"/>
    </row>
    <row r="562" ht="15.75" customHeight="1">
      <c r="A562" s="216"/>
      <c r="B562" s="156"/>
      <c r="C562" s="156"/>
      <c r="D562" s="156"/>
      <c r="E562" s="392"/>
      <c r="F562" s="392"/>
      <c r="G562" s="392"/>
      <c r="H562" s="392"/>
      <c r="I562" s="392"/>
      <c r="J562" s="392"/>
      <c r="K562" s="392"/>
      <c r="L562" s="392"/>
      <c r="M562" s="392"/>
      <c r="N562" s="392"/>
      <c r="O562" s="392"/>
      <c r="P562" s="392"/>
      <c r="Q562" s="392"/>
      <c r="R562" s="392"/>
      <c r="S562" s="392"/>
      <c r="T562" s="392"/>
      <c r="U562" s="392"/>
      <c r="V562" s="392"/>
      <c r="W562" s="392"/>
      <c r="X562" s="392"/>
      <c r="Y562" s="392"/>
      <c r="Z562" s="392"/>
      <c r="AA562" s="392"/>
      <c r="AB562" s="392"/>
      <c r="AC562" s="392"/>
      <c r="AD562" s="392"/>
      <c r="AE562" s="392"/>
      <c r="AF562" s="392"/>
    </row>
    <row r="563" ht="15.75" customHeight="1">
      <c r="A563" s="216"/>
      <c r="B563" s="156"/>
      <c r="C563" s="156"/>
      <c r="D563" s="156"/>
      <c r="E563" s="392"/>
      <c r="F563" s="392"/>
      <c r="G563" s="392"/>
      <c r="H563" s="392"/>
      <c r="I563" s="392"/>
      <c r="J563" s="392"/>
      <c r="K563" s="392"/>
      <c r="L563" s="392"/>
      <c r="M563" s="392"/>
      <c r="N563" s="392"/>
      <c r="O563" s="392"/>
      <c r="P563" s="392"/>
      <c r="Q563" s="392"/>
      <c r="R563" s="392"/>
      <c r="S563" s="392"/>
      <c r="T563" s="392"/>
      <c r="U563" s="392"/>
      <c r="V563" s="392"/>
      <c r="W563" s="392"/>
      <c r="X563" s="392"/>
      <c r="Y563" s="392"/>
      <c r="Z563" s="392"/>
      <c r="AA563" s="392"/>
      <c r="AB563" s="392"/>
      <c r="AC563" s="392"/>
      <c r="AD563" s="392"/>
      <c r="AE563" s="392"/>
      <c r="AF563" s="392"/>
    </row>
    <row r="564" ht="15.75" customHeight="1">
      <c r="A564" s="216"/>
      <c r="B564" s="156"/>
      <c r="C564" s="156"/>
      <c r="D564" s="156"/>
      <c r="E564" s="392"/>
      <c r="F564" s="392"/>
      <c r="G564" s="392"/>
      <c r="H564" s="392"/>
      <c r="I564" s="392"/>
      <c r="J564" s="392"/>
      <c r="K564" s="392"/>
      <c r="L564" s="392"/>
      <c r="M564" s="392"/>
      <c r="N564" s="392"/>
      <c r="O564" s="392"/>
      <c r="P564" s="392"/>
      <c r="Q564" s="392"/>
      <c r="R564" s="392"/>
      <c r="S564" s="392"/>
      <c r="T564" s="392"/>
      <c r="U564" s="392"/>
      <c r="V564" s="392"/>
      <c r="W564" s="392"/>
      <c r="X564" s="392"/>
      <c r="Y564" s="392"/>
      <c r="Z564" s="392"/>
      <c r="AA564" s="392"/>
      <c r="AB564" s="392"/>
      <c r="AC564" s="392"/>
      <c r="AD564" s="392"/>
      <c r="AE564" s="392"/>
      <c r="AF564" s="392"/>
    </row>
    <row r="565" ht="15.75" customHeight="1">
      <c r="A565" s="216"/>
      <c r="B565" s="156"/>
      <c r="C565" s="156"/>
      <c r="D565" s="156"/>
      <c r="E565" s="392"/>
      <c r="F565" s="392"/>
      <c r="G565" s="392"/>
      <c r="H565" s="392"/>
      <c r="I565" s="392"/>
      <c r="J565" s="392"/>
      <c r="K565" s="392"/>
      <c r="L565" s="392"/>
      <c r="M565" s="392"/>
      <c r="N565" s="392"/>
      <c r="O565" s="392"/>
      <c r="P565" s="392"/>
      <c r="Q565" s="392"/>
      <c r="R565" s="392"/>
      <c r="S565" s="392"/>
      <c r="T565" s="392"/>
      <c r="U565" s="392"/>
      <c r="V565" s="392"/>
      <c r="W565" s="392"/>
      <c r="X565" s="392"/>
      <c r="Y565" s="392"/>
      <c r="Z565" s="392"/>
      <c r="AA565" s="392"/>
      <c r="AB565" s="392"/>
      <c r="AC565" s="392"/>
      <c r="AD565" s="392"/>
      <c r="AE565" s="392"/>
      <c r="AF565" s="392"/>
    </row>
    <row r="566" ht="15.75" customHeight="1">
      <c r="A566" s="216"/>
      <c r="B566" s="156"/>
      <c r="C566" s="156"/>
      <c r="D566" s="156"/>
      <c r="E566" s="392"/>
      <c r="F566" s="392"/>
      <c r="G566" s="392"/>
      <c r="H566" s="392"/>
      <c r="I566" s="392"/>
      <c r="J566" s="392"/>
      <c r="K566" s="392"/>
      <c r="L566" s="392"/>
      <c r="M566" s="392"/>
      <c r="N566" s="392"/>
      <c r="O566" s="392"/>
      <c r="P566" s="392"/>
      <c r="Q566" s="392"/>
      <c r="R566" s="392"/>
      <c r="S566" s="392"/>
      <c r="T566" s="392"/>
      <c r="U566" s="392"/>
      <c r="V566" s="392"/>
      <c r="W566" s="392"/>
      <c r="X566" s="392"/>
      <c r="Y566" s="392"/>
      <c r="Z566" s="392"/>
      <c r="AA566" s="392"/>
      <c r="AB566" s="392"/>
      <c r="AC566" s="392"/>
      <c r="AD566" s="392"/>
      <c r="AE566" s="392"/>
      <c r="AF566" s="392"/>
    </row>
    <row r="567" ht="15.75" customHeight="1">
      <c r="A567" s="216"/>
      <c r="B567" s="156"/>
      <c r="C567" s="156"/>
      <c r="D567" s="156"/>
      <c r="E567" s="392"/>
      <c r="F567" s="392"/>
      <c r="G567" s="392"/>
      <c r="H567" s="392"/>
      <c r="I567" s="392"/>
      <c r="J567" s="392"/>
      <c r="K567" s="392"/>
      <c r="L567" s="392"/>
      <c r="M567" s="392"/>
      <c r="N567" s="392"/>
      <c r="O567" s="392"/>
      <c r="P567" s="392"/>
      <c r="Q567" s="392"/>
      <c r="R567" s="392"/>
      <c r="S567" s="392"/>
      <c r="T567" s="392"/>
      <c r="U567" s="392"/>
      <c r="V567" s="392"/>
      <c r="W567" s="392"/>
      <c r="X567" s="392"/>
      <c r="Y567" s="392"/>
      <c r="Z567" s="392"/>
      <c r="AA567" s="392"/>
      <c r="AB567" s="392"/>
      <c r="AC567" s="392"/>
      <c r="AD567" s="392"/>
      <c r="AE567" s="392"/>
      <c r="AF567" s="392"/>
    </row>
    <row r="568" ht="15.75" customHeight="1">
      <c r="A568" s="216"/>
      <c r="B568" s="156"/>
      <c r="C568" s="156"/>
      <c r="D568" s="156"/>
      <c r="E568" s="392"/>
      <c r="F568" s="392"/>
      <c r="G568" s="392"/>
      <c r="H568" s="392"/>
      <c r="I568" s="392"/>
      <c r="J568" s="392"/>
      <c r="K568" s="392"/>
      <c r="L568" s="392"/>
      <c r="M568" s="392"/>
      <c r="N568" s="392"/>
      <c r="O568" s="392"/>
      <c r="P568" s="392"/>
      <c r="Q568" s="392"/>
      <c r="R568" s="392"/>
      <c r="S568" s="392"/>
      <c r="T568" s="392"/>
      <c r="U568" s="392"/>
      <c r="V568" s="392"/>
      <c r="W568" s="392"/>
      <c r="X568" s="392"/>
      <c r="Y568" s="392"/>
      <c r="Z568" s="392"/>
      <c r="AA568" s="392"/>
      <c r="AB568" s="392"/>
      <c r="AC568" s="392"/>
      <c r="AD568" s="392"/>
      <c r="AE568" s="392"/>
      <c r="AF568" s="392"/>
    </row>
    <row r="569" ht="15.75" customHeight="1">
      <c r="A569" s="216"/>
      <c r="B569" s="156"/>
      <c r="C569" s="156"/>
      <c r="D569" s="156"/>
      <c r="E569" s="392"/>
      <c r="F569" s="392"/>
      <c r="G569" s="392"/>
      <c r="H569" s="392"/>
      <c r="I569" s="392"/>
      <c r="J569" s="392"/>
      <c r="K569" s="392"/>
      <c r="L569" s="392"/>
      <c r="M569" s="392"/>
      <c r="N569" s="392"/>
      <c r="O569" s="392"/>
      <c r="P569" s="392"/>
      <c r="Q569" s="392"/>
      <c r="R569" s="392"/>
      <c r="S569" s="392"/>
      <c r="T569" s="392"/>
      <c r="U569" s="392"/>
      <c r="V569" s="392"/>
      <c r="W569" s="392"/>
      <c r="X569" s="392"/>
      <c r="Y569" s="392"/>
      <c r="Z569" s="392"/>
      <c r="AA569" s="392"/>
      <c r="AB569" s="392"/>
      <c r="AC569" s="392"/>
      <c r="AD569" s="392"/>
      <c r="AE569" s="392"/>
      <c r="AF569" s="392"/>
    </row>
    <row r="570" ht="15.75" customHeight="1">
      <c r="A570" s="216"/>
      <c r="B570" s="156"/>
      <c r="C570" s="156"/>
      <c r="D570" s="156"/>
      <c r="E570" s="392"/>
      <c r="F570" s="392"/>
      <c r="G570" s="392"/>
      <c r="H570" s="392"/>
      <c r="I570" s="392"/>
      <c r="J570" s="392"/>
      <c r="K570" s="392"/>
      <c r="L570" s="392"/>
      <c r="M570" s="392"/>
      <c r="N570" s="392"/>
      <c r="O570" s="392"/>
      <c r="P570" s="392"/>
      <c r="Q570" s="392"/>
      <c r="R570" s="392"/>
      <c r="S570" s="392"/>
      <c r="T570" s="392"/>
      <c r="U570" s="392"/>
      <c r="V570" s="392"/>
      <c r="W570" s="392"/>
      <c r="X570" s="392"/>
      <c r="Y570" s="392"/>
      <c r="Z570" s="392"/>
      <c r="AA570" s="392"/>
      <c r="AB570" s="392"/>
      <c r="AC570" s="392"/>
      <c r="AD570" s="392"/>
      <c r="AE570" s="392"/>
      <c r="AF570" s="392"/>
    </row>
    <row r="571" ht="15.75" customHeight="1">
      <c r="A571" s="216"/>
      <c r="B571" s="156"/>
      <c r="C571" s="156"/>
      <c r="D571" s="156"/>
      <c r="E571" s="392"/>
      <c r="F571" s="392"/>
      <c r="G571" s="392"/>
      <c r="H571" s="392"/>
      <c r="I571" s="392"/>
      <c r="J571" s="392"/>
      <c r="K571" s="392"/>
      <c r="L571" s="392"/>
      <c r="M571" s="392"/>
      <c r="N571" s="392"/>
      <c r="O571" s="392"/>
      <c r="P571" s="392"/>
      <c r="Q571" s="392"/>
      <c r="R571" s="392"/>
      <c r="S571" s="392"/>
      <c r="T571" s="392"/>
      <c r="U571" s="392"/>
      <c r="V571" s="392"/>
      <c r="W571" s="392"/>
      <c r="X571" s="392"/>
      <c r="Y571" s="392"/>
      <c r="Z571" s="392"/>
      <c r="AA571" s="392"/>
      <c r="AB571" s="392"/>
      <c r="AC571" s="392"/>
      <c r="AD571" s="392"/>
      <c r="AE571" s="392"/>
      <c r="AF571" s="392"/>
    </row>
    <row r="572" ht="15.75" customHeight="1">
      <c r="A572" s="216"/>
      <c r="B572" s="156"/>
      <c r="C572" s="156"/>
      <c r="D572" s="156"/>
      <c r="E572" s="392"/>
      <c r="F572" s="392"/>
      <c r="G572" s="392"/>
      <c r="H572" s="392"/>
      <c r="I572" s="392"/>
      <c r="J572" s="392"/>
      <c r="K572" s="392"/>
      <c r="L572" s="392"/>
      <c r="M572" s="392"/>
      <c r="N572" s="392"/>
      <c r="O572" s="392"/>
      <c r="P572" s="392"/>
      <c r="Q572" s="392"/>
      <c r="R572" s="392"/>
      <c r="S572" s="392"/>
      <c r="T572" s="392"/>
      <c r="U572" s="392"/>
      <c r="V572" s="392"/>
      <c r="W572" s="392"/>
      <c r="X572" s="392"/>
      <c r="Y572" s="392"/>
      <c r="Z572" s="392"/>
      <c r="AA572" s="392"/>
      <c r="AB572" s="392"/>
      <c r="AC572" s="392"/>
      <c r="AD572" s="392"/>
      <c r="AE572" s="392"/>
      <c r="AF572" s="392"/>
    </row>
    <row r="573" ht="15.75" customHeight="1">
      <c r="A573" s="216"/>
      <c r="B573" s="156"/>
      <c r="C573" s="156"/>
      <c r="D573" s="156"/>
      <c r="E573" s="392"/>
      <c r="F573" s="392"/>
      <c r="G573" s="392"/>
      <c r="H573" s="392"/>
      <c r="I573" s="392"/>
      <c r="J573" s="392"/>
      <c r="K573" s="392"/>
      <c r="L573" s="392"/>
      <c r="M573" s="392"/>
      <c r="N573" s="392"/>
      <c r="O573" s="392"/>
      <c r="P573" s="392"/>
      <c r="Q573" s="392"/>
      <c r="R573" s="392"/>
      <c r="S573" s="392"/>
      <c r="T573" s="392"/>
      <c r="U573" s="392"/>
      <c r="V573" s="392"/>
      <c r="W573" s="392"/>
      <c r="X573" s="392"/>
      <c r="Y573" s="392"/>
      <c r="Z573" s="392"/>
      <c r="AA573" s="392"/>
      <c r="AB573" s="392"/>
      <c r="AC573" s="392"/>
      <c r="AD573" s="392"/>
      <c r="AE573" s="392"/>
      <c r="AF573" s="392"/>
    </row>
    <row r="574" ht="15.75" customHeight="1">
      <c r="A574" s="216"/>
      <c r="B574" s="156"/>
      <c r="C574" s="156"/>
      <c r="D574" s="156"/>
      <c r="E574" s="392"/>
      <c r="F574" s="392"/>
      <c r="G574" s="392"/>
      <c r="H574" s="392"/>
      <c r="I574" s="392"/>
      <c r="J574" s="392"/>
      <c r="K574" s="392"/>
      <c r="L574" s="392"/>
      <c r="M574" s="392"/>
      <c r="N574" s="392"/>
      <c r="O574" s="392"/>
      <c r="P574" s="392"/>
      <c r="Q574" s="392"/>
      <c r="R574" s="392"/>
      <c r="S574" s="392"/>
      <c r="T574" s="392"/>
      <c r="U574" s="392"/>
      <c r="V574" s="392"/>
      <c r="W574" s="392"/>
      <c r="X574" s="392"/>
      <c r="Y574" s="392"/>
      <c r="Z574" s="392"/>
      <c r="AA574" s="392"/>
      <c r="AB574" s="392"/>
      <c r="AC574" s="392"/>
      <c r="AD574" s="392"/>
      <c r="AE574" s="392"/>
      <c r="AF574" s="392"/>
    </row>
    <row r="575" ht="15.75" customHeight="1">
      <c r="A575" s="216"/>
      <c r="B575" s="156"/>
      <c r="C575" s="156"/>
      <c r="D575" s="156"/>
      <c r="E575" s="392"/>
      <c r="F575" s="392"/>
      <c r="G575" s="392"/>
      <c r="H575" s="392"/>
      <c r="I575" s="392"/>
      <c r="J575" s="392"/>
      <c r="K575" s="392"/>
      <c r="L575" s="392"/>
      <c r="M575" s="392"/>
      <c r="N575" s="392"/>
      <c r="O575" s="392"/>
      <c r="P575" s="392"/>
      <c r="Q575" s="392"/>
      <c r="R575" s="392"/>
      <c r="S575" s="392"/>
      <c r="T575" s="392"/>
      <c r="U575" s="392"/>
      <c r="V575" s="392"/>
      <c r="W575" s="392"/>
      <c r="X575" s="392"/>
      <c r="Y575" s="392"/>
      <c r="Z575" s="392"/>
      <c r="AA575" s="392"/>
      <c r="AB575" s="392"/>
      <c r="AC575" s="392"/>
      <c r="AD575" s="392"/>
      <c r="AE575" s="392"/>
      <c r="AF575" s="392"/>
    </row>
    <row r="576" ht="15.75" customHeight="1">
      <c r="A576" s="216"/>
      <c r="B576" s="156"/>
      <c r="C576" s="156"/>
      <c r="D576" s="156"/>
      <c r="E576" s="392"/>
      <c r="F576" s="392"/>
      <c r="G576" s="392"/>
      <c r="H576" s="392"/>
      <c r="I576" s="392"/>
      <c r="J576" s="392"/>
      <c r="K576" s="392"/>
      <c r="L576" s="392"/>
      <c r="M576" s="392"/>
      <c r="N576" s="392"/>
      <c r="O576" s="392"/>
      <c r="P576" s="392"/>
      <c r="Q576" s="392"/>
      <c r="R576" s="392"/>
      <c r="S576" s="392"/>
      <c r="T576" s="392"/>
      <c r="U576" s="392"/>
      <c r="V576" s="392"/>
      <c r="W576" s="392"/>
      <c r="X576" s="392"/>
      <c r="Y576" s="392"/>
      <c r="Z576" s="392"/>
      <c r="AA576" s="392"/>
      <c r="AB576" s="392"/>
      <c r="AC576" s="392"/>
      <c r="AD576" s="392"/>
      <c r="AE576" s="392"/>
      <c r="AF576" s="392"/>
    </row>
    <row r="577" ht="15.75" customHeight="1">
      <c r="A577" s="216"/>
      <c r="B577" s="156"/>
      <c r="C577" s="156"/>
      <c r="D577" s="156"/>
      <c r="E577" s="392"/>
      <c r="F577" s="392"/>
      <c r="G577" s="392"/>
      <c r="H577" s="392"/>
      <c r="I577" s="392"/>
      <c r="J577" s="392"/>
      <c r="K577" s="392"/>
      <c r="L577" s="392"/>
      <c r="M577" s="392"/>
      <c r="N577" s="392"/>
      <c r="O577" s="392"/>
      <c r="P577" s="392"/>
      <c r="Q577" s="392"/>
      <c r="R577" s="392"/>
      <c r="S577" s="392"/>
      <c r="T577" s="392"/>
      <c r="U577" s="392"/>
      <c r="V577" s="392"/>
      <c r="W577" s="392"/>
      <c r="X577" s="392"/>
      <c r="Y577" s="392"/>
      <c r="Z577" s="392"/>
      <c r="AA577" s="392"/>
      <c r="AB577" s="392"/>
      <c r="AC577" s="392"/>
      <c r="AD577" s="392"/>
      <c r="AE577" s="392"/>
      <c r="AF577" s="392"/>
    </row>
    <row r="578" ht="15.75" customHeight="1">
      <c r="A578" s="216"/>
      <c r="B578" s="156"/>
      <c r="C578" s="156"/>
      <c r="D578" s="156"/>
      <c r="E578" s="392"/>
      <c r="F578" s="392"/>
      <c r="G578" s="392"/>
      <c r="H578" s="392"/>
      <c r="I578" s="392"/>
      <c r="J578" s="392"/>
      <c r="K578" s="392"/>
      <c r="L578" s="392"/>
      <c r="M578" s="392"/>
      <c r="N578" s="392"/>
      <c r="O578" s="392"/>
      <c r="P578" s="392"/>
      <c r="Q578" s="392"/>
      <c r="R578" s="392"/>
      <c r="S578" s="392"/>
      <c r="T578" s="392"/>
      <c r="U578" s="392"/>
      <c r="V578" s="392"/>
      <c r="W578" s="392"/>
      <c r="X578" s="392"/>
      <c r="Y578" s="392"/>
      <c r="Z578" s="392"/>
      <c r="AA578" s="392"/>
      <c r="AB578" s="392"/>
      <c r="AC578" s="392"/>
      <c r="AD578" s="392"/>
      <c r="AE578" s="392"/>
      <c r="AF578" s="392"/>
    </row>
    <row r="579" ht="15.75" customHeight="1">
      <c r="A579" s="216"/>
      <c r="B579" s="156"/>
      <c r="C579" s="156"/>
      <c r="D579" s="156"/>
      <c r="E579" s="392"/>
      <c r="F579" s="392"/>
      <c r="G579" s="392"/>
      <c r="H579" s="392"/>
      <c r="I579" s="392"/>
      <c r="J579" s="392"/>
      <c r="K579" s="392"/>
      <c r="L579" s="392"/>
      <c r="M579" s="392"/>
      <c r="N579" s="392"/>
      <c r="O579" s="392"/>
      <c r="P579" s="392"/>
      <c r="Q579" s="392"/>
      <c r="R579" s="392"/>
      <c r="S579" s="392"/>
      <c r="T579" s="392"/>
      <c r="U579" s="392"/>
      <c r="V579" s="392"/>
      <c r="W579" s="392"/>
      <c r="X579" s="392"/>
      <c r="Y579" s="392"/>
      <c r="Z579" s="392"/>
      <c r="AA579" s="392"/>
      <c r="AB579" s="392"/>
      <c r="AC579" s="392"/>
      <c r="AD579" s="392"/>
      <c r="AE579" s="392"/>
      <c r="AF579" s="392"/>
    </row>
    <row r="580" ht="15.75" customHeight="1">
      <c r="A580" s="216"/>
      <c r="B580" s="156"/>
      <c r="C580" s="156"/>
      <c r="D580" s="156"/>
      <c r="E580" s="392"/>
      <c r="F580" s="392"/>
      <c r="G580" s="392"/>
      <c r="H580" s="392"/>
      <c r="I580" s="392"/>
      <c r="J580" s="392"/>
      <c r="K580" s="392"/>
      <c r="L580" s="392"/>
      <c r="M580" s="392"/>
      <c r="N580" s="392"/>
      <c r="O580" s="392"/>
      <c r="P580" s="392"/>
      <c r="Q580" s="392"/>
      <c r="R580" s="392"/>
      <c r="S580" s="392"/>
      <c r="T580" s="392"/>
      <c r="U580" s="392"/>
      <c r="V580" s="392"/>
      <c r="W580" s="392"/>
      <c r="X580" s="392"/>
      <c r="Y580" s="392"/>
      <c r="Z580" s="392"/>
      <c r="AA580" s="392"/>
      <c r="AB580" s="392"/>
      <c r="AC580" s="392"/>
      <c r="AD580" s="392"/>
      <c r="AE580" s="392"/>
      <c r="AF580" s="392"/>
    </row>
    <row r="581" ht="15.75" customHeight="1">
      <c r="A581" s="216"/>
      <c r="B581" s="156"/>
      <c r="C581" s="156"/>
      <c r="D581" s="156"/>
      <c r="E581" s="392"/>
      <c r="F581" s="392"/>
      <c r="G581" s="392"/>
      <c r="H581" s="392"/>
      <c r="I581" s="392"/>
      <c r="J581" s="392"/>
      <c r="K581" s="392"/>
      <c r="L581" s="392"/>
      <c r="M581" s="392"/>
      <c r="N581" s="392"/>
      <c r="O581" s="392"/>
      <c r="P581" s="392"/>
      <c r="Q581" s="392"/>
      <c r="R581" s="392"/>
      <c r="S581" s="392"/>
      <c r="T581" s="392"/>
      <c r="U581" s="392"/>
      <c r="V581" s="392"/>
      <c r="W581" s="392"/>
      <c r="X581" s="392"/>
      <c r="Y581" s="392"/>
      <c r="Z581" s="392"/>
      <c r="AA581" s="392"/>
      <c r="AB581" s="392"/>
      <c r="AC581" s="392"/>
      <c r="AD581" s="392"/>
      <c r="AE581" s="392"/>
      <c r="AF581" s="392"/>
    </row>
    <row r="582" ht="15.75" customHeight="1">
      <c r="A582" s="216"/>
      <c r="B582" s="156"/>
      <c r="C582" s="156"/>
      <c r="D582" s="156"/>
      <c r="E582" s="392"/>
      <c r="F582" s="392"/>
      <c r="G582" s="392"/>
      <c r="H582" s="392"/>
      <c r="I582" s="392"/>
      <c r="J582" s="392"/>
      <c r="K582" s="392"/>
      <c r="L582" s="392"/>
      <c r="M582" s="392"/>
      <c r="N582" s="392"/>
      <c r="O582" s="392"/>
      <c r="P582" s="392"/>
      <c r="Q582" s="392"/>
      <c r="R582" s="392"/>
      <c r="S582" s="392"/>
      <c r="T582" s="392"/>
      <c r="U582" s="392"/>
      <c r="V582" s="392"/>
      <c r="W582" s="392"/>
      <c r="X582" s="392"/>
      <c r="Y582" s="392"/>
      <c r="Z582" s="392"/>
      <c r="AA582" s="392"/>
      <c r="AB582" s="392"/>
      <c r="AC582" s="392"/>
      <c r="AD582" s="392"/>
      <c r="AE582" s="392"/>
      <c r="AF582" s="392"/>
    </row>
    <row r="583" ht="15.75" customHeight="1">
      <c r="A583" s="216"/>
      <c r="B583" s="156"/>
      <c r="C583" s="156"/>
      <c r="D583" s="156"/>
      <c r="E583" s="392"/>
      <c r="F583" s="392"/>
      <c r="G583" s="392"/>
      <c r="H583" s="392"/>
      <c r="I583" s="392"/>
      <c r="J583" s="392"/>
      <c r="K583" s="392"/>
      <c r="L583" s="392"/>
      <c r="M583" s="392"/>
      <c r="N583" s="392"/>
      <c r="O583" s="392"/>
      <c r="P583" s="392"/>
      <c r="Q583" s="392"/>
      <c r="R583" s="392"/>
      <c r="S583" s="392"/>
      <c r="T583" s="392"/>
      <c r="U583" s="392"/>
      <c r="V583" s="392"/>
      <c r="W583" s="392"/>
      <c r="X583" s="392"/>
      <c r="Y583" s="392"/>
      <c r="Z583" s="392"/>
      <c r="AA583" s="392"/>
      <c r="AB583" s="392"/>
      <c r="AC583" s="392"/>
      <c r="AD583" s="392"/>
      <c r="AE583" s="392"/>
      <c r="AF583" s="392"/>
    </row>
    <row r="584" ht="15.75" customHeight="1">
      <c r="A584" s="216"/>
      <c r="B584" s="156"/>
      <c r="C584" s="156"/>
      <c r="D584" s="156"/>
      <c r="E584" s="392"/>
      <c r="F584" s="392"/>
      <c r="G584" s="392"/>
      <c r="H584" s="392"/>
      <c r="I584" s="392"/>
      <c r="J584" s="392"/>
      <c r="K584" s="392"/>
      <c r="L584" s="392"/>
      <c r="M584" s="392"/>
      <c r="N584" s="392"/>
      <c r="O584" s="392"/>
      <c r="P584" s="392"/>
      <c r="Q584" s="392"/>
      <c r="R584" s="392"/>
      <c r="S584" s="392"/>
      <c r="T584" s="392"/>
      <c r="U584" s="392"/>
      <c r="V584" s="392"/>
      <c r="W584" s="392"/>
      <c r="X584" s="392"/>
      <c r="Y584" s="392"/>
      <c r="Z584" s="392"/>
      <c r="AA584" s="392"/>
      <c r="AB584" s="392"/>
      <c r="AC584" s="392"/>
      <c r="AD584" s="392"/>
      <c r="AE584" s="392"/>
      <c r="AF584" s="392"/>
    </row>
    <row r="585" ht="15.75" customHeight="1">
      <c r="A585" s="216"/>
      <c r="B585" s="156"/>
      <c r="C585" s="156"/>
      <c r="D585" s="156"/>
      <c r="E585" s="392"/>
      <c r="F585" s="392"/>
      <c r="G585" s="392"/>
      <c r="H585" s="392"/>
      <c r="I585" s="392"/>
      <c r="J585" s="392"/>
      <c r="K585" s="392"/>
      <c r="L585" s="392"/>
      <c r="M585" s="392"/>
      <c r="N585" s="392"/>
      <c r="O585" s="392"/>
      <c r="P585" s="392"/>
      <c r="Q585" s="392"/>
      <c r="R585" s="392"/>
      <c r="S585" s="392"/>
      <c r="T585" s="392"/>
      <c r="U585" s="392"/>
      <c r="V585" s="392"/>
      <c r="W585" s="392"/>
      <c r="X585" s="392"/>
      <c r="Y585" s="392"/>
      <c r="Z585" s="392"/>
      <c r="AA585" s="392"/>
      <c r="AB585" s="392"/>
      <c r="AC585" s="392"/>
      <c r="AD585" s="392"/>
      <c r="AE585" s="392"/>
      <c r="AF585" s="392"/>
    </row>
    <row r="586" ht="15.75" customHeight="1">
      <c r="A586" s="216"/>
      <c r="B586" s="156"/>
      <c r="C586" s="156"/>
      <c r="D586" s="156"/>
      <c r="E586" s="392"/>
      <c r="F586" s="392"/>
      <c r="G586" s="392"/>
      <c r="H586" s="392"/>
      <c r="I586" s="392"/>
      <c r="J586" s="392"/>
      <c r="K586" s="392"/>
      <c r="L586" s="392"/>
      <c r="M586" s="392"/>
      <c r="N586" s="392"/>
      <c r="O586" s="392"/>
      <c r="P586" s="392"/>
      <c r="Q586" s="392"/>
      <c r="R586" s="392"/>
      <c r="S586" s="392"/>
      <c r="T586" s="392"/>
      <c r="U586" s="392"/>
      <c r="V586" s="392"/>
      <c r="W586" s="392"/>
      <c r="X586" s="392"/>
      <c r="Y586" s="392"/>
      <c r="Z586" s="392"/>
      <c r="AA586" s="392"/>
      <c r="AB586" s="392"/>
      <c r="AC586" s="392"/>
      <c r="AD586" s="392"/>
      <c r="AE586" s="392"/>
      <c r="AF586" s="392"/>
    </row>
    <row r="587" ht="15.75" customHeight="1">
      <c r="A587" s="216"/>
      <c r="B587" s="156"/>
      <c r="C587" s="156"/>
      <c r="D587" s="156"/>
      <c r="E587" s="392"/>
      <c r="F587" s="392"/>
      <c r="G587" s="392"/>
      <c r="H587" s="392"/>
      <c r="I587" s="392"/>
      <c r="J587" s="392"/>
      <c r="K587" s="392"/>
      <c r="L587" s="392"/>
      <c r="M587" s="392"/>
      <c r="N587" s="392"/>
      <c r="O587" s="392"/>
      <c r="P587" s="392"/>
      <c r="Q587" s="392"/>
      <c r="R587" s="392"/>
      <c r="S587" s="392"/>
      <c r="T587" s="392"/>
      <c r="U587" s="392"/>
      <c r="V587" s="392"/>
      <c r="W587" s="392"/>
      <c r="X587" s="392"/>
      <c r="Y587" s="392"/>
      <c r="Z587" s="392"/>
      <c r="AA587" s="392"/>
      <c r="AB587" s="392"/>
      <c r="AC587" s="392"/>
      <c r="AD587" s="392"/>
      <c r="AE587" s="392"/>
      <c r="AF587" s="392"/>
    </row>
    <row r="588" ht="15.75" customHeight="1">
      <c r="A588" s="216"/>
      <c r="B588" s="156"/>
      <c r="C588" s="156"/>
      <c r="D588" s="156"/>
      <c r="E588" s="392"/>
      <c r="F588" s="392"/>
      <c r="G588" s="392"/>
      <c r="H588" s="392"/>
      <c r="I588" s="392"/>
      <c r="J588" s="392"/>
      <c r="K588" s="392"/>
      <c r="L588" s="392"/>
      <c r="M588" s="392"/>
      <c r="N588" s="392"/>
      <c r="O588" s="392"/>
      <c r="P588" s="392"/>
      <c r="Q588" s="392"/>
      <c r="R588" s="392"/>
      <c r="S588" s="392"/>
      <c r="T588" s="392"/>
      <c r="U588" s="392"/>
      <c r="V588" s="392"/>
      <c r="W588" s="392"/>
      <c r="X588" s="392"/>
      <c r="Y588" s="392"/>
      <c r="Z588" s="392"/>
      <c r="AA588" s="392"/>
      <c r="AB588" s="392"/>
      <c r="AC588" s="392"/>
      <c r="AD588" s="392"/>
      <c r="AE588" s="392"/>
      <c r="AF588" s="392"/>
    </row>
    <row r="589" ht="15.75" customHeight="1">
      <c r="A589" s="216"/>
      <c r="B589" s="156"/>
      <c r="C589" s="156"/>
      <c r="D589" s="156"/>
      <c r="E589" s="392"/>
      <c r="F589" s="392"/>
      <c r="G589" s="392"/>
      <c r="H589" s="392"/>
      <c r="I589" s="392"/>
      <c r="J589" s="392"/>
      <c r="K589" s="392"/>
      <c r="L589" s="392"/>
      <c r="M589" s="392"/>
      <c r="N589" s="392"/>
      <c r="O589" s="392"/>
      <c r="P589" s="392"/>
      <c r="Q589" s="392"/>
      <c r="R589" s="392"/>
      <c r="S589" s="392"/>
      <c r="T589" s="392"/>
      <c r="U589" s="392"/>
      <c r="V589" s="392"/>
      <c r="W589" s="392"/>
      <c r="X589" s="392"/>
      <c r="Y589" s="392"/>
      <c r="Z589" s="392"/>
      <c r="AA589" s="392"/>
      <c r="AB589" s="392"/>
      <c r="AC589" s="392"/>
      <c r="AD589" s="392"/>
      <c r="AE589" s="392"/>
      <c r="AF589" s="392"/>
    </row>
    <row r="590" ht="15.75" customHeight="1">
      <c r="A590" s="216"/>
      <c r="B590" s="156"/>
      <c r="C590" s="156"/>
      <c r="D590" s="156"/>
      <c r="E590" s="392"/>
      <c r="F590" s="392"/>
      <c r="G590" s="392"/>
      <c r="H590" s="392"/>
      <c r="I590" s="392"/>
      <c r="J590" s="392"/>
      <c r="K590" s="392"/>
      <c r="L590" s="392"/>
      <c r="M590" s="392"/>
      <c r="N590" s="392"/>
      <c r="O590" s="392"/>
      <c r="P590" s="392"/>
      <c r="Q590" s="392"/>
      <c r="R590" s="392"/>
      <c r="S590" s="392"/>
      <c r="T590" s="392"/>
      <c r="U590" s="392"/>
      <c r="V590" s="392"/>
      <c r="W590" s="392"/>
      <c r="X590" s="392"/>
      <c r="Y590" s="392"/>
      <c r="Z590" s="392"/>
      <c r="AA590" s="392"/>
      <c r="AB590" s="392"/>
      <c r="AC590" s="392"/>
      <c r="AD590" s="392"/>
      <c r="AE590" s="392"/>
      <c r="AF590" s="392"/>
    </row>
    <row r="591" ht="15.75" customHeight="1">
      <c r="A591" s="216"/>
      <c r="B591" s="156"/>
      <c r="C591" s="156"/>
      <c r="D591" s="156"/>
      <c r="E591" s="392"/>
      <c r="F591" s="392"/>
      <c r="G591" s="392"/>
      <c r="H591" s="392"/>
      <c r="I591" s="392"/>
      <c r="J591" s="392"/>
      <c r="K591" s="392"/>
      <c r="L591" s="392"/>
      <c r="M591" s="392"/>
      <c r="N591" s="392"/>
      <c r="O591" s="392"/>
      <c r="P591" s="392"/>
      <c r="Q591" s="392"/>
      <c r="R591" s="392"/>
      <c r="S591" s="392"/>
      <c r="T591" s="392"/>
      <c r="U591" s="392"/>
      <c r="V591" s="392"/>
      <c r="W591" s="392"/>
      <c r="X591" s="392"/>
      <c r="Y591" s="392"/>
      <c r="Z591" s="392"/>
      <c r="AA591" s="392"/>
      <c r="AB591" s="392"/>
      <c r="AC591" s="392"/>
      <c r="AD591" s="392"/>
      <c r="AE591" s="392"/>
      <c r="AF591" s="392"/>
    </row>
    <row r="592" ht="15.75" customHeight="1">
      <c r="A592" s="216"/>
      <c r="B592" s="156"/>
      <c r="C592" s="156"/>
      <c r="D592" s="156"/>
      <c r="E592" s="392"/>
      <c r="F592" s="392"/>
      <c r="G592" s="392"/>
      <c r="H592" s="392"/>
      <c r="I592" s="392"/>
      <c r="J592" s="392"/>
      <c r="K592" s="392"/>
      <c r="L592" s="392"/>
      <c r="M592" s="392"/>
      <c r="N592" s="392"/>
      <c r="O592" s="392"/>
      <c r="P592" s="392"/>
      <c r="Q592" s="392"/>
      <c r="R592" s="392"/>
      <c r="S592" s="392"/>
      <c r="T592" s="392"/>
      <c r="U592" s="392"/>
      <c r="V592" s="392"/>
      <c r="W592" s="392"/>
      <c r="X592" s="392"/>
      <c r="Y592" s="392"/>
      <c r="Z592" s="392"/>
      <c r="AA592" s="392"/>
      <c r="AB592" s="392"/>
      <c r="AC592" s="392"/>
      <c r="AD592" s="392"/>
      <c r="AE592" s="392"/>
      <c r="AF592" s="392"/>
    </row>
    <row r="593" ht="15.75" customHeight="1">
      <c r="A593" s="216"/>
      <c r="B593" s="156"/>
      <c r="C593" s="156"/>
      <c r="D593" s="156"/>
      <c r="E593" s="392"/>
      <c r="F593" s="392"/>
      <c r="G593" s="392"/>
      <c r="H593" s="392"/>
      <c r="I593" s="392"/>
      <c r="J593" s="392"/>
      <c r="K593" s="392"/>
      <c r="L593" s="392"/>
      <c r="M593" s="392"/>
      <c r="N593" s="392"/>
      <c r="O593" s="392"/>
      <c r="P593" s="392"/>
      <c r="Q593" s="392"/>
      <c r="R593" s="392"/>
      <c r="S593" s="392"/>
      <c r="T593" s="392"/>
      <c r="U593" s="392"/>
      <c r="V593" s="392"/>
      <c r="W593" s="392"/>
      <c r="X593" s="392"/>
      <c r="Y593" s="392"/>
      <c r="Z593" s="392"/>
      <c r="AA593" s="392"/>
      <c r="AB593" s="392"/>
      <c r="AC593" s="392"/>
      <c r="AD593" s="392"/>
      <c r="AE593" s="392"/>
      <c r="AF593" s="392"/>
    </row>
    <row r="594" ht="15.75" customHeight="1">
      <c r="A594" s="216"/>
      <c r="B594" s="156"/>
      <c r="C594" s="156"/>
      <c r="D594" s="156"/>
      <c r="E594" s="392"/>
      <c r="F594" s="392"/>
      <c r="G594" s="392"/>
      <c r="H594" s="392"/>
      <c r="I594" s="392"/>
      <c r="J594" s="392"/>
      <c r="K594" s="392"/>
      <c r="L594" s="392"/>
      <c r="M594" s="392"/>
      <c r="N594" s="392"/>
      <c r="O594" s="392"/>
      <c r="P594" s="392"/>
      <c r="Q594" s="392"/>
      <c r="R594" s="392"/>
      <c r="S594" s="392"/>
      <c r="T594" s="392"/>
      <c r="U594" s="392"/>
      <c r="V594" s="392"/>
      <c r="W594" s="392"/>
      <c r="X594" s="392"/>
      <c r="Y594" s="392"/>
      <c r="Z594" s="392"/>
      <c r="AA594" s="392"/>
      <c r="AB594" s="392"/>
      <c r="AC594" s="392"/>
      <c r="AD594" s="392"/>
      <c r="AE594" s="392"/>
      <c r="AF594" s="392"/>
    </row>
    <row r="595" ht="15.75" customHeight="1">
      <c r="A595" s="216"/>
      <c r="B595" s="156"/>
      <c r="C595" s="156"/>
      <c r="D595" s="156"/>
      <c r="E595" s="392"/>
      <c r="F595" s="392"/>
      <c r="G595" s="392"/>
      <c r="H595" s="392"/>
      <c r="I595" s="392"/>
      <c r="J595" s="392"/>
      <c r="K595" s="392"/>
      <c r="L595" s="392"/>
      <c r="M595" s="392"/>
      <c r="N595" s="392"/>
      <c r="O595" s="392"/>
      <c r="P595" s="392"/>
      <c r="Q595" s="392"/>
      <c r="R595" s="392"/>
      <c r="S595" s="392"/>
      <c r="T595" s="392"/>
      <c r="U595" s="392"/>
      <c r="V595" s="392"/>
      <c r="W595" s="392"/>
      <c r="X595" s="392"/>
      <c r="Y595" s="392"/>
      <c r="Z595" s="392"/>
      <c r="AA595" s="392"/>
      <c r="AB595" s="392"/>
      <c r="AC595" s="392"/>
      <c r="AD595" s="392"/>
      <c r="AE595" s="392"/>
      <c r="AF595" s="392"/>
    </row>
    <row r="596" ht="15.75" customHeight="1">
      <c r="A596" s="216"/>
      <c r="B596" s="156"/>
      <c r="C596" s="156"/>
      <c r="D596" s="156"/>
      <c r="E596" s="392"/>
      <c r="F596" s="392"/>
      <c r="G596" s="392"/>
      <c r="H596" s="392"/>
      <c r="I596" s="392"/>
      <c r="J596" s="392"/>
      <c r="K596" s="392"/>
      <c r="L596" s="392"/>
      <c r="M596" s="392"/>
      <c r="N596" s="392"/>
      <c r="O596" s="392"/>
      <c r="P596" s="392"/>
      <c r="Q596" s="392"/>
      <c r="R596" s="392"/>
      <c r="S596" s="392"/>
      <c r="T596" s="392"/>
      <c r="U596" s="392"/>
      <c r="V596" s="392"/>
      <c r="W596" s="392"/>
      <c r="X596" s="392"/>
      <c r="Y596" s="392"/>
      <c r="Z596" s="392"/>
      <c r="AA596" s="392"/>
      <c r="AB596" s="392"/>
      <c r="AC596" s="392"/>
      <c r="AD596" s="392"/>
      <c r="AE596" s="392"/>
      <c r="AF596" s="392"/>
    </row>
    <row r="597" ht="15.75" customHeight="1">
      <c r="A597" s="216"/>
      <c r="B597" s="156"/>
      <c r="C597" s="156"/>
      <c r="D597" s="156"/>
      <c r="E597" s="392"/>
      <c r="F597" s="392"/>
      <c r="G597" s="392"/>
      <c r="H597" s="392"/>
      <c r="I597" s="392"/>
      <c r="J597" s="392"/>
      <c r="K597" s="392"/>
      <c r="L597" s="392"/>
      <c r="M597" s="392"/>
      <c r="N597" s="392"/>
      <c r="O597" s="392"/>
      <c r="P597" s="392"/>
      <c r="Q597" s="392"/>
      <c r="R597" s="392"/>
      <c r="S597" s="392"/>
      <c r="T597" s="392"/>
      <c r="U597" s="392"/>
      <c r="V597" s="392"/>
      <c r="W597" s="392"/>
      <c r="X597" s="392"/>
      <c r="Y597" s="392"/>
      <c r="Z597" s="392"/>
      <c r="AA597" s="392"/>
      <c r="AB597" s="392"/>
      <c r="AC597" s="392"/>
      <c r="AD597" s="392"/>
      <c r="AE597" s="392"/>
      <c r="AF597" s="392"/>
    </row>
    <row r="598" ht="15.75" customHeight="1">
      <c r="A598" s="216"/>
      <c r="B598" s="156"/>
      <c r="C598" s="156"/>
      <c r="D598" s="156"/>
      <c r="E598" s="392"/>
      <c r="F598" s="392"/>
      <c r="G598" s="392"/>
      <c r="H598" s="392"/>
      <c r="I598" s="392"/>
      <c r="J598" s="392"/>
      <c r="K598" s="392"/>
      <c r="L598" s="392"/>
      <c r="M598" s="392"/>
      <c r="N598" s="392"/>
      <c r="O598" s="392"/>
      <c r="P598" s="392"/>
      <c r="Q598" s="392"/>
      <c r="R598" s="392"/>
      <c r="S598" s="392"/>
      <c r="T598" s="392"/>
      <c r="U598" s="392"/>
      <c r="V598" s="392"/>
      <c r="W598" s="392"/>
      <c r="X598" s="392"/>
      <c r="Y598" s="392"/>
      <c r="Z598" s="392"/>
      <c r="AA598" s="392"/>
      <c r="AB598" s="392"/>
      <c r="AC598" s="392"/>
      <c r="AD598" s="392"/>
      <c r="AE598" s="392"/>
      <c r="AF598" s="392"/>
    </row>
    <row r="599" ht="15.75" customHeight="1">
      <c r="A599" s="216"/>
      <c r="B599" s="156"/>
      <c r="C599" s="156"/>
      <c r="D599" s="156"/>
      <c r="E599" s="392"/>
      <c r="F599" s="392"/>
      <c r="G599" s="392"/>
      <c r="H599" s="392"/>
      <c r="I599" s="392"/>
      <c r="J599" s="392"/>
      <c r="K599" s="392"/>
      <c r="L599" s="392"/>
      <c r="M599" s="392"/>
      <c r="N599" s="392"/>
      <c r="O599" s="392"/>
      <c r="P599" s="392"/>
      <c r="Q599" s="392"/>
      <c r="R599" s="392"/>
      <c r="S599" s="392"/>
      <c r="T599" s="392"/>
      <c r="U599" s="392"/>
      <c r="V599" s="392"/>
      <c r="W599" s="392"/>
      <c r="X599" s="392"/>
      <c r="Y599" s="392"/>
      <c r="Z599" s="392"/>
      <c r="AA599" s="392"/>
      <c r="AB599" s="392"/>
      <c r="AC599" s="392"/>
      <c r="AD599" s="392"/>
      <c r="AE599" s="392"/>
      <c r="AF599" s="392"/>
    </row>
    <row r="600" ht="15.75" customHeight="1">
      <c r="A600" s="216"/>
      <c r="B600" s="156"/>
      <c r="C600" s="156"/>
      <c r="D600" s="156"/>
      <c r="E600" s="392"/>
      <c r="F600" s="392"/>
      <c r="G600" s="392"/>
      <c r="H600" s="392"/>
      <c r="I600" s="392"/>
      <c r="J600" s="392"/>
      <c r="K600" s="392"/>
      <c r="L600" s="392"/>
      <c r="M600" s="392"/>
      <c r="N600" s="392"/>
      <c r="O600" s="392"/>
      <c r="P600" s="392"/>
      <c r="Q600" s="392"/>
      <c r="R600" s="392"/>
      <c r="S600" s="392"/>
      <c r="T600" s="392"/>
      <c r="U600" s="392"/>
      <c r="V600" s="392"/>
      <c r="W600" s="392"/>
      <c r="X600" s="392"/>
      <c r="Y600" s="392"/>
      <c r="Z600" s="392"/>
      <c r="AA600" s="392"/>
      <c r="AB600" s="392"/>
      <c r="AC600" s="392"/>
      <c r="AD600" s="392"/>
      <c r="AE600" s="392"/>
      <c r="AF600" s="392"/>
    </row>
    <row r="601" ht="15.75" customHeight="1">
      <c r="A601" s="216"/>
      <c r="B601" s="156"/>
      <c r="C601" s="156"/>
      <c r="D601" s="156"/>
      <c r="E601" s="392"/>
      <c r="F601" s="392"/>
      <c r="G601" s="392"/>
      <c r="H601" s="392"/>
      <c r="I601" s="392"/>
      <c r="J601" s="392"/>
      <c r="K601" s="392"/>
      <c r="L601" s="392"/>
      <c r="M601" s="392"/>
      <c r="N601" s="392"/>
      <c r="O601" s="392"/>
      <c r="P601" s="392"/>
      <c r="Q601" s="392"/>
      <c r="R601" s="392"/>
      <c r="S601" s="392"/>
      <c r="T601" s="392"/>
      <c r="U601" s="392"/>
      <c r="V601" s="392"/>
      <c r="W601" s="392"/>
      <c r="X601" s="392"/>
      <c r="Y601" s="392"/>
      <c r="Z601" s="392"/>
      <c r="AA601" s="392"/>
      <c r="AB601" s="392"/>
      <c r="AC601" s="392"/>
      <c r="AD601" s="392"/>
      <c r="AE601" s="392"/>
      <c r="AF601" s="392"/>
    </row>
    <row r="602" ht="15.75" customHeight="1">
      <c r="A602" s="216"/>
      <c r="B602" s="156"/>
      <c r="C602" s="156"/>
      <c r="D602" s="156"/>
      <c r="E602" s="392"/>
      <c r="F602" s="392"/>
      <c r="G602" s="392"/>
      <c r="H602" s="392"/>
      <c r="I602" s="392"/>
      <c r="J602" s="392"/>
      <c r="K602" s="392"/>
      <c r="L602" s="392"/>
      <c r="M602" s="392"/>
      <c r="N602" s="392"/>
      <c r="O602" s="392"/>
      <c r="P602" s="392"/>
      <c r="Q602" s="392"/>
      <c r="R602" s="392"/>
      <c r="S602" s="392"/>
      <c r="T602" s="392"/>
      <c r="U602" s="392"/>
      <c r="V602" s="392"/>
      <c r="W602" s="392"/>
      <c r="X602" s="392"/>
      <c r="Y602" s="392"/>
      <c r="Z602" s="392"/>
      <c r="AA602" s="392"/>
      <c r="AB602" s="392"/>
      <c r="AC602" s="392"/>
      <c r="AD602" s="392"/>
      <c r="AE602" s="392"/>
      <c r="AF602" s="392"/>
    </row>
    <row r="603" ht="15.75" customHeight="1">
      <c r="A603" s="216"/>
      <c r="B603" s="156"/>
      <c r="C603" s="156"/>
      <c r="D603" s="156"/>
      <c r="E603" s="392"/>
      <c r="F603" s="392"/>
      <c r="G603" s="392"/>
      <c r="H603" s="392"/>
      <c r="I603" s="392"/>
      <c r="J603" s="392"/>
      <c r="K603" s="392"/>
      <c r="L603" s="392"/>
      <c r="M603" s="392"/>
      <c r="N603" s="392"/>
      <c r="O603" s="392"/>
      <c r="P603" s="392"/>
      <c r="Q603" s="392"/>
      <c r="R603" s="392"/>
      <c r="S603" s="392"/>
      <c r="T603" s="392"/>
      <c r="U603" s="392"/>
      <c r="V603" s="392"/>
      <c r="W603" s="392"/>
      <c r="X603" s="392"/>
      <c r="Y603" s="392"/>
      <c r="Z603" s="392"/>
      <c r="AA603" s="392"/>
      <c r="AB603" s="392"/>
      <c r="AC603" s="392"/>
      <c r="AD603" s="392"/>
      <c r="AE603" s="392"/>
      <c r="AF603" s="392"/>
    </row>
    <row r="604" ht="15.75" customHeight="1">
      <c r="A604" s="216"/>
      <c r="B604" s="156"/>
      <c r="C604" s="156"/>
      <c r="D604" s="156"/>
      <c r="E604" s="392"/>
      <c r="F604" s="392"/>
      <c r="G604" s="392"/>
      <c r="H604" s="392"/>
      <c r="I604" s="392"/>
      <c r="J604" s="392"/>
      <c r="K604" s="392"/>
      <c r="L604" s="392"/>
      <c r="M604" s="392"/>
      <c r="N604" s="392"/>
      <c r="O604" s="392"/>
      <c r="P604" s="392"/>
      <c r="Q604" s="392"/>
      <c r="R604" s="392"/>
      <c r="S604" s="392"/>
      <c r="T604" s="392"/>
      <c r="U604" s="392"/>
      <c r="V604" s="392"/>
      <c r="W604" s="392"/>
      <c r="X604" s="392"/>
      <c r="Y604" s="392"/>
      <c r="Z604" s="392"/>
      <c r="AA604" s="392"/>
      <c r="AB604" s="392"/>
      <c r="AC604" s="392"/>
      <c r="AD604" s="392"/>
      <c r="AE604" s="392"/>
      <c r="AF604" s="392"/>
    </row>
    <row r="605" ht="15.75" customHeight="1">
      <c r="A605" s="216"/>
      <c r="B605" s="156"/>
      <c r="C605" s="156"/>
      <c r="D605" s="156"/>
      <c r="E605" s="392"/>
      <c r="F605" s="392"/>
      <c r="G605" s="392"/>
      <c r="H605" s="392"/>
      <c r="I605" s="392"/>
      <c r="J605" s="392"/>
      <c r="K605" s="392"/>
      <c r="L605" s="392"/>
      <c r="M605" s="392"/>
      <c r="N605" s="392"/>
      <c r="O605" s="392"/>
      <c r="P605" s="392"/>
      <c r="Q605" s="392"/>
      <c r="R605" s="392"/>
      <c r="S605" s="392"/>
      <c r="T605" s="392"/>
      <c r="U605" s="392"/>
      <c r="V605" s="392"/>
      <c r="W605" s="392"/>
      <c r="X605" s="392"/>
      <c r="Y605" s="392"/>
      <c r="Z605" s="392"/>
      <c r="AA605" s="392"/>
      <c r="AB605" s="392"/>
      <c r="AC605" s="392"/>
      <c r="AD605" s="392"/>
      <c r="AE605" s="392"/>
      <c r="AF605" s="392"/>
    </row>
    <row r="606" ht="15.75" customHeight="1">
      <c r="A606" s="216"/>
      <c r="B606" s="156"/>
      <c r="C606" s="156"/>
      <c r="D606" s="156"/>
      <c r="E606" s="392"/>
      <c r="F606" s="392"/>
      <c r="G606" s="392"/>
      <c r="H606" s="392"/>
      <c r="I606" s="392"/>
      <c r="J606" s="392"/>
      <c r="K606" s="392"/>
      <c r="L606" s="392"/>
      <c r="M606" s="392"/>
      <c r="N606" s="392"/>
      <c r="O606" s="392"/>
      <c r="P606" s="392"/>
      <c r="Q606" s="392"/>
      <c r="R606" s="392"/>
      <c r="S606" s="392"/>
      <c r="T606" s="392"/>
      <c r="U606" s="392"/>
      <c r="V606" s="392"/>
      <c r="W606" s="392"/>
      <c r="X606" s="392"/>
      <c r="Y606" s="392"/>
      <c r="Z606" s="392"/>
      <c r="AA606" s="392"/>
      <c r="AB606" s="392"/>
      <c r="AC606" s="392"/>
      <c r="AD606" s="392"/>
      <c r="AE606" s="392"/>
      <c r="AF606" s="392"/>
    </row>
    <row r="607" ht="15.75" customHeight="1">
      <c r="A607" s="216"/>
      <c r="B607" s="156"/>
      <c r="C607" s="156"/>
      <c r="D607" s="156"/>
      <c r="E607" s="392"/>
      <c r="F607" s="392"/>
      <c r="G607" s="392"/>
      <c r="H607" s="392"/>
      <c r="I607" s="392"/>
      <c r="J607" s="392"/>
      <c r="K607" s="392"/>
      <c r="L607" s="392"/>
      <c r="M607" s="392"/>
      <c r="N607" s="392"/>
      <c r="O607" s="392"/>
      <c r="P607" s="392"/>
      <c r="Q607" s="392"/>
      <c r="R607" s="392"/>
      <c r="S607" s="392"/>
      <c r="T607" s="392"/>
      <c r="U607" s="392"/>
      <c r="V607" s="392"/>
      <c r="W607" s="392"/>
      <c r="X607" s="392"/>
      <c r="Y607" s="392"/>
      <c r="Z607" s="392"/>
      <c r="AA607" s="392"/>
      <c r="AB607" s="392"/>
      <c r="AC607" s="392"/>
      <c r="AD607" s="392"/>
      <c r="AE607" s="392"/>
      <c r="AF607" s="392"/>
    </row>
    <row r="608" ht="15.75" customHeight="1">
      <c r="A608" s="216"/>
      <c r="B608" s="156"/>
      <c r="C608" s="156"/>
      <c r="D608" s="156"/>
      <c r="E608" s="392"/>
      <c r="F608" s="392"/>
      <c r="G608" s="392"/>
      <c r="H608" s="392"/>
      <c r="I608" s="392"/>
      <c r="J608" s="392"/>
      <c r="K608" s="392"/>
      <c r="L608" s="392"/>
      <c r="M608" s="392"/>
      <c r="N608" s="392"/>
      <c r="O608" s="392"/>
      <c r="P608" s="392"/>
      <c r="Q608" s="392"/>
      <c r="R608" s="392"/>
      <c r="S608" s="392"/>
      <c r="T608" s="392"/>
      <c r="U608" s="392"/>
      <c r="V608" s="392"/>
      <c r="W608" s="392"/>
      <c r="X608" s="392"/>
      <c r="Y608" s="392"/>
      <c r="Z608" s="392"/>
      <c r="AA608" s="392"/>
      <c r="AB608" s="392"/>
      <c r="AC608" s="392"/>
      <c r="AD608" s="392"/>
      <c r="AE608" s="392"/>
      <c r="AF608" s="392"/>
    </row>
    <row r="609" ht="15.75" customHeight="1">
      <c r="A609" s="216"/>
      <c r="B609" s="156"/>
      <c r="C609" s="156"/>
      <c r="D609" s="156"/>
      <c r="E609" s="392"/>
      <c r="F609" s="392"/>
      <c r="G609" s="392"/>
      <c r="H609" s="392"/>
      <c r="I609" s="392"/>
      <c r="J609" s="392"/>
      <c r="K609" s="392"/>
      <c r="L609" s="392"/>
      <c r="M609" s="392"/>
      <c r="N609" s="392"/>
      <c r="O609" s="392"/>
      <c r="P609" s="392"/>
      <c r="Q609" s="392"/>
      <c r="R609" s="392"/>
      <c r="S609" s="392"/>
      <c r="T609" s="392"/>
      <c r="U609" s="392"/>
      <c r="V609" s="392"/>
      <c r="W609" s="392"/>
      <c r="X609" s="392"/>
      <c r="Y609" s="392"/>
      <c r="Z609" s="392"/>
      <c r="AA609" s="392"/>
      <c r="AB609" s="392"/>
      <c r="AC609" s="392"/>
      <c r="AD609" s="392"/>
      <c r="AE609" s="392"/>
      <c r="AF609" s="392"/>
    </row>
    <row r="610" ht="15.75" customHeight="1">
      <c r="A610" s="216"/>
      <c r="B610" s="156"/>
      <c r="C610" s="156"/>
      <c r="D610" s="156"/>
      <c r="E610" s="392"/>
      <c r="F610" s="392"/>
      <c r="G610" s="392"/>
      <c r="H610" s="392"/>
      <c r="I610" s="392"/>
      <c r="J610" s="392"/>
      <c r="K610" s="392"/>
      <c r="L610" s="392"/>
      <c r="M610" s="392"/>
      <c r="N610" s="392"/>
      <c r="O610" s="392"/>
      <c r="P610" s="392"/>
      <c r="Q610" s="392"/>
      <c r="R610" s="392"/>
      <c r="S610" s="392"/>
      <c r="T610" s="392"/>
      <c r="U610" s="392"/>
      <c r="V610" s="392"/>
      <c r="W610" s="392"/>
      <c r="X610" s="392"/>
      <c r="Y610" s="392"/>
      <c r="Z610" s="392"/>
      <c r="AA610" s="392"/>
      <c r="AB610" s="392"/>
      <c r="AC610" s="392"/>
      <c r="AD610" s="392"/>
      <c r="AE610" s="392"/>
      <c r="AF610" s="392"/>
    </row>
    <row r="611" ht="15.75" customHeight="1">
      <c r="A611" s="216"/>
      <c r="B611" s="156"/>
      <c r="C611" s="156"/>
      <c r="D611" s="156"/>
      <c r="E611" s="392"/>
      <c r="F611" s="392"/>
      <c r="G611" s="392"/>
      <c r="H611" s="392"/>
      <c r="I611" s="392"/>
      <c r="J611" s="392"/>
      <c r="K611" s="392"/>
      <c r="L611" s="392"/>
      <c r="M611" s="392"/>
      <c r="N611" s="392"/>
      <c r="O611" s="392"/>
      <c r="P611" s="392"/>
      <c r="Q611" s="392"/>
      <c r="R611" s="392"/>
      <c r="S611" s="392"/>
      <c r="T611" s="392"/>
      <c r="U611" s="392"/>
      <c r="V611" s="392"/>
      <c r="W611" s="392"/>
      <c r="X611" s="392"/>
      <c r="Y611" s="392"/>
      <c r="Z611" s="392"/>
      <c r="AA611" s="392"/>
      <c r="AB611" s="392"/>
      <c r="AC611" s="392"/>
      <c r="AD611" s="392"/>
      <c r="AE611" s="392"/>
      <c r="AF611" s="392"/>
    </row>
    <row r="612" ht="15.75" customHeight="1">
      <c r="A612" s="216"/>
      <c r="B612" s="156"/>
      <c r="C612" s="156"/>
      <c r="D612" s="156"/>
      <c r="E612" s="392"/>
      <c r="F612" s="392"/>
      <c r="G612" s="392"/>
      <c r="H612" s="392"/>
      <c r="I612" s="392"/>
      <c r="J612" s="392"/>
      <c r="K612" s="392"/>
      <c r="L612" s="392"/>
      <c r="M612" s="392"/>
      <c r="N612" s="392"/>
      <c r="O612" s="392"/>
      <c r="P612" s="392"/>
      <c r="Q612" s="392"/>
      <c r="R612" s="392"/>
      <c r="S612" s="392"/>
      <c r="T612" s="392"/>
      <c r="U612" s="392"/>
      <c r="V612" s="392"/>
      <c r="W612" s="392"/>
      <c r="X612" s="392"/>
      <c r="Y612" s="392"/>
      <c r="Z612" s="392"/>
      <c r="AA612" s="392"/>
      <c r="AB612" s="392"/>
      <c r="AC612" s="392"/>
      <c r="AD612" s="392"/>
      <c r="AE612" s="392"/>
      <c r="AF612" s="392"/>
    </row>
    <row r="613" ht="15.75" customHeight="1">
      <c r="A613" s="216"/>
      <c r="B613" s="156"/>
      <c r="C613" s="156"/>
      <c r="D613" s="156"/>
      <c r="E613" s="392"/>
      <c r="F613" s="392"/>
      <c r="G613" s="392"/>
      <c r="H613" s="392"/>
      <c r="I613" s="392"/>
      <c r="J613" s="392"/>
      <c r="K613" s="392"/>
      <c r="L613" s="392"/>
      <c r="M613" s="392"/>
      <c r="N613" s="392"/>
      <c r="O613" s="392"/>
      <c r="P613" s="392"/>
      <c r="Q613" s="392"/>
      <c r="R613" s="392"/>
      <c r="S613" s="392"/>
      <c r="T613" s="392"/>
      <c r="U613" s="392"/>
      <c r="V613" s="392"/>
      <c r="W613" s="392"/>
      <c r="X613" s="392"/>
      <c r="Y613" s="392"/>
      <c r="Z613" s="392"/>
      <c r="AA613" s="392"/>
      <c r="AB613" s="392"/>
      <c r="AC613" s="392"/>
      <c r="AD613" s="392"/>
      <c r="AE613" s="392"/>
      <c r="AF613" s="392"/>
    </row>
    <row r="614" ht="15.75" customHeight="1">
      <c r="A614" s="216"/>
      <c r="B614" s="156"/>
      <c r="C614" s="156"/>
      <c r="D614" s="156"/>
      <c r="E614" s="392"/>
      <c r="F614" s="392"/>
      <c r="G614" s="392"/>
      <c r="H614" s="392"/>
      <c r="I614" s="392"/>
      <c r="J614" s="392"/>
      <c r="K614" s="392"/>
      <c r="L614" s="392"/>
      <c r="M614" s="392"/>
      <c r="N614" s="392"/>
      <c r="O614" s="392"/>
      <c r="P614" s="392"/>
      <c r="Q614" s="392"/>
      <c r="R614" s="392"/>
      <c r="S614" s="392"/>
      <c r="T614" s="392"/>
      <c r="U614" s="392"/>
      <c r="V614" s="392"/>
      <c r="W614" s="392"/>
      <c r="X614" s="392"/>
      <c r="Y614" s="392"/>
      <c r="Z614" s="392"/>
      <c r="AA614" s="392"/>
      <c r="AB614" s="392"/>
      <c r="AC614" s="392"/>
      <c r="AD614" s="392"/>
      <c r="AE614" s="392"/>
      <c r="AF614" s="392"/>
    </row>
    <row r="615" ht="15.75" customHeight="1">
      <c r="A615" s="216"/>
      <c r="B615" s="156"/>
      <c r="C615" s="156"/>
      <c r="D615" s="156"/>
      <c r="E615" s="392"/>
      <c r="F615" s="392"/>
      <c r="G615" s="392"/>
      <c r="H615" s="392"/>
      <c r="I615" s="392"/>
      <c r="J615" s="392"/>
      <c r="K615" s="392"/>
      <c r="L615" s="392"/>
      <c r="M615" s="392"/>
      <c r="N615" s="392"/>
      <c r="O615" s="392"/>
      <c r="P615" s="392"/>
      <c r="Q615" s="392"/>
      <c r="R615" s="392"/>
      <c r="S615" s="392"/>
      <c r="T615" s="392"/>
      <c r="U615" s="392"/>
      <c r="V615" s="392"/>
      <c r="W615" s="392"/>
      <c r="X615" s="392"/>
      <c r="Y615" s="392"/>
      <c r="Z615" s="392"/>
      <c r="AA615" s="392"/>
      <c r="AB615" s="392"/>
      <c r="AC615" s="392"/>
      <c r="AD615" s="392"/>
      <c r="AE615" s="392"/>
      <c r="AF615" s="392"/>
    </row>
    <row r="616" ht="15.75" customHeight="1">
      <c r="A616" s="216"/>
      <c r="B616" s="156"/>
      <c r="C616" s="156"/>
      <c r="D616" s="156"/>
      <c r="E616" s="392"/>
      <c r="F616" s="392"/>
      <c r="G616" s="392"/>
      <c r="H616" s="392"/>
      <c r="I616" s="392"/>
      <c r="J616" s="392"/>
      <c r="K616" s="392"/>
      <c r="L616" s="392"/>
      <c r="M616" s="392"/>
      <c r="N616" s="392"/>
      <c r="O616" s="392"/>
      <c r="P616" s="392"/>
      <c r="Q616" s="392"/>
      <c r="R616" s="392"/>
      <c r="S616" s="392"/>
      <c r="T616" s="392"/>
      <c r="U616" s="392"/>
      <c r="V616" s="392"/>
      <c r="W616" s="392"/>
      <c r="X616" s="392"/>
      <c r="Y616" s="392"/>
      <c r="Z616" s="392"/>
      <c r="AA616" s="392"/>
      <c r="AB616" s="392"/>
      <c r="AC616" s="392"/>
      <c r="AD616" s="392"/>
      <c r="AE616" s="392"/>
      <c r="AF616" s="392"/>
    </row>
    <row r="617" ht="15.75" customHeight="1">
      <c r="A617" s="216"/>
      <c r="B617" s="156"/>
      <c r="C617" s="156"/>
      <c r="D617" s="156"/>
      <c r="E617" s="392"/>
      <c r="F617" s="392"/>
      <c r="G617" s="392"/>
      <c r="H617" s="392"/>
      <c r="I617" s="392"/>
      <c r="J617" s="392"/>
      <c r="K617" s="392"/>
      <c r="L617" s="392"/>
      <c r="M617" s="392"/>
      <c r="N617" s="392"/>
      <c r="O617" s="392"/>
      <c r="P617" s="392"/>
      <c r="Q617" s="392"/>
      <c r="R617" s="392"/>
      <c r="S617" s="392"/>
      <c r="T617" s="392"/>
      <c r="U617" s="392"/>
      <c r="V617" s="392"/>
      <c r="W617" s="392"/>
      <c r="X617" s="392"/>
      <c r="Y617" s="392"/>
      <c r="Z617" s="392"/>
      <c r="AA617" s="392"/>
      <c r="AB617" s="392"/>
      <c r="AC617" s="392"/>
      <c r="AD617" s="392"/>
      <c r="AE617" s="392"/>
      <c r="AF617" s="392"/>
    </row>
    <row r="618" ht="15.75" customHeight="1">
      <c r="A618" s="216"/>
      <c r="B618" s="156"/>
      <c r="C618" s="156"/>
      <c r="D618" s="156"/>
      <c r="E618" s="392"/>
      <c r="F618" s="392"/>
      <c r="G618" s="392"/>
      <c r="H618" s="392"/>
      <c r="I618" s="392"/>
      <c r="J618" s="392"/>
      <c r="K618" s="392"/>
      <c r="L618" s="392"/>
      <c r="M618" s="392"/>
      <c r="N618" s="392"/>
      <c r="O618" s="392"/>
      <c r="P618" s="392"/>
      <c r="Q618" s="392"/>
      <c r="R618" s="392"/>
      <c r="S618" s="392"/>
      <c r="T618" s="392"/>
      <c r="U618" s="392"/>
      <c r="V618" s="392"/>
      <c r="W618" s="392"/>
      <c r="X618" s="392"/>
      <c r="Y618" s="392"/>
      <c r="Z618" s="392"/>
      <c r="AA618" s="392"/>
      <c r="AB618" s="392"/>
      <c r="AC618" s="392"/>
      <c r="AD618" s="392"/>
      <c r="AE618" s="392"/>
      <c r="AF618" s="392"/>
    </row>
    <row r="619" ht="15.75" customHeight="1">
      <c r="A619" s="216"/>
      <c r="B619" s="156"/>
      <c r="C619" s="156"/>
      <c r="D619" s="156"/>
      <c r="E619" s="392"/>
      <c r="F619" s="392"/>
      <c r="G619" s="392"/>
      <c r="H619" s="392"/>
      <c r="I619" s="392"/>
      <c r="J619" s="392"/>
      <c r="K619" s="392"/>
      <c r="L619" s="392"/>
      <c r="M619" s="392"/>
      <c r="N619" s="392"/>
      <c r="O619" s="392"/>
      <c r="P619" s="392"/>
      <c r="Q619" s="392"/>
      <c r="R619" s="392"/>
      <c r="S619" s="392"/>
      <c r="T619" s="392"/>
      <c r="U619" s="392"/>
      <c r="V619" s="392"/>
      <c r="W619" s="392"/>
      <c r="X619" s="392"/>
      <c r="Y619" s="392"/>
      <c r="Z619" s="392"/>
      <c r="AA619" s="392"/>
      <c r="AB619" s="392"/>
      <c r="AC619" s="392"/>
      <c r="AD619" s="392"/>
      <c r="AE619" s="392"/>
      <c r="AF619" s="392"/>
    </row>
    <row r="620" ht="15.75" customHeight="1">
      <c r="A620" s="216"/>
      <c r="B620" s="156"/>
      <c r="C620" s="156"/>
      <c r="D620" s="156"/>
      <c r="E620" s="392"/>
      <c r="F620" s="392"/>
      <c r="G620" s="392"/>
      <c r="H620" s="392"/>
      <c r="I620" s="392"/>
      <c r="J620" s="392"/>
      <c r="K620" s="392"/>
      <c r="L620" s="392"/>
      <c r="M620" s="392"/>
      <c r="N620" s="392"/>
      <c r="O620" s="392"/>
      <c r="P620" s="392"/>
      <c r="Q620" s="392"/>
      <c r="R620" s="392"/>
      <c r="S620" s="392"/>
      <c r="T620" s="392"/>
      <c r="U620" s="392"/>
      <c r="V620" s="392"/>
      <c r="W620" s="392"/>
      <c r="X620" s="392"/>
      <c r="Y620" s="392"/>
      <c r="Z620" s="392"/>
      <c r="AA620" s="392"/>
      <c r="AB620" s="392"/>
      <c r="AC620" s="392"/>
      <c r="AD620" s="392"/>
      <c r="AE620" s="392"/>
      <c r="AF620" s="392"/>
    </row>
    <row r="621" ht="15.75" customHeight="1">
      <c r="A621" s="216"/>
      <c r="B621" s="156"/>
      <c r="C621" s="156"/>
      <c r="D621" s="156"/>
      <c r="E621" s="392"/>
      <c r="F621" s="392"/>
      <c r="G621" s="392"/>
      <c r="H621" s="392"/>
      <c r="I621" s="392"/>
      <c r="J621" s="392"/>
      <c r="K621" s="392"/>
      <c r="L621" s="392"/>
      <c r="M621" s="392"/>
      <c r="N621" s="392"/>
      <c r="O621" s="392"/>
      <c r="P621" s="392"/>
      <c r="Q621" s="392"/>
      <c r="R621" s="392"/>
      <c r="S621" s="392"/>
      <c r="T621" s="392"/>
      <c r="U621" s="392"/>
      <c r="V621" s="392"/>
      <c r="W621" s="392"/>
      <c r="X621" s="392"/>
      <c r="Y621" s="392"/>
      <c r="Z621" s="392"/>
      <c r="AA621" s="392"/>
      <c r="AB621" s="392"/>
      <c r="AC621" s="392"/>
      <c r="AD621" s="392"/>
      <c r="AE621" s="392"/>
      <c r="AF621" s="392"/>
    </row>
    <row r="622" ht="15.75" customHeight="1">
      <c r="A622" s="216"/>
      <c r="B622" s="156"/>
      <c r="C622" s="156"/>
      <c r="D622" s="156"/>
      <c r="E622" s="392"/>
      <c r="F622" s="392"/>
      <c r="G622" s="392"/>
      <c r="H622" s="392"/>
      <c r="I622" s="392"/>
      <c r="J622" s="392"/>
      <c r="K622" s="392"/>
      <c r="L622" s="392"/>
      <c r="M622" s="392"/>
      <c r="N622" s="392"/>
      <c r="O622" s="392"/>
      <c r="P622" s="392"/>
      <c r="Q622" s="392"/>
      <c r="R622" s="392"/>
      <c r="S622" s="392"/>
      <c r="T622" s="392"/>
      <c r="U622" s="392"/>
      <c r="V622" s="392"/>
      <c r="W622" s="392"/>
      <c r="X622" s="392"/>
      <c r="Y622" s="392"/>
      <c r="Z622" s="392"/>
      <c r="AA622" s="392"/>
      <c r="AB622" s="392"/>
      <c r="AC622" s="392"/>
      <c r="AD622" s="392"/>
      <c r="AE622" s="392"/>
      <c r="AF622" s="392"/>
    </row>
    <row r="623" ht="15.75" customHeight="1">
      <c r="A623" s="216"/>
      <c r="B623" s="156"/>
      <c r="C623" s="156"/>
      <c r="D623" s="156"/>
      <c r="E623" s="392"/>
      <c r="F623" s="392"/>
      <c r="G623" s="392"/>
      <c r="H623" s="392"/>
      <c r="I623" s="392"/>
      <c r="J623" s="392"/>
      <c r="K623" s="392"/>
      <c r="L623" s="392"/>
      <c r="M623" s="392"/>
      <c r="N623" s="392"/>
      <c r="O623" s="392"/>
      <c r="P623" s="392"/>
      <c r="Q623" s="392"/>
      <c r="R623" s="392"/>
      <c r="S623" s="392"/>
      <c r="T623" s="392"/>
      <c r="U623" s="392"/>
      <c r="V623" s="392"/>
      <c r="W623" s="392"/>
      <c r="X623" s="392"/>
      <c r="Y623" s="392"/>
      <c r="Z623" s="392"/>
      <c r="AA623" s="392"/>
      <c r="AB623" s="392"/>
      <c r="AC623" s="392"/>
      <c r="AD623" s="392"/>
      <c r="AE623" s="392"/>
      <c r="AF623" s="392"/>
    </row>
    <row r="624" ht="15.75" customHeight="1">
      <c r="A624" s="216"/>
      <c r="B624" s="156"/>
      <c r="C624" s="156"/>
      <c r="D624" s="156"/>
      <c r="E624" s="392"/>
      <c r="F624" s="392"/>
      <c r="G624" s="392"/>
      <c r="H624" s="392"/>
      <c r="I624" s="392"/>
      <c r="J624" s="392"/>
      <c r="K624" s="392"/>
      <c r="L624" s="392"/>
      <c r="M624" s="392"/>
      <c r="N624" s="392"/>
      <c r="O624" s="392"/>
      <c r="P624" s="392"/>
      <c r="Q624" s="392"/>
      <c r="R624" s="392"/>
      <c r="S624" s="392"/>
      <c r="T624" s="392"/>
      <c r="U624" s="392"/>
      <c r="V624" s="392"/>
      <c r="W624" s="392"/>
      <c r="X624" s="392"/>
      <c r="Y624" s="392"/>
      <c r="Z624" s="392"/>
      <c r="AA624" s="392"/>
      <c r="AB624" s="392"/>
      <c r="AC624" s="392"/>
      <c r="AD624" s="392"/>
      <c r="AE624" s="392"/>
      <c r="AF624" s="392"/>
    </row>
    <row r="625" ht="15.75" customHeight="1">
      <c r="A625" s="216"/>
      <c r="B625" s="156"/>
      <c r="C625" s="156"/>
      <c r="D625" s="156"/>
      <c r="E625" s="392"/>
      <c r="F625" s="392"/>
      <c r="G625" s="392"/>
      <c r="H625" s="392"/>
      <c r="I625" s="392"/>
      <c r="J625" s="392"/>
      <c r="K625" s="392"/>
      <c r="L625" s="392"/>
      <c r="M625" s="392"/>
      <c r="N625" s="392"/>
      <c r="O625" s="392"/>
      <c r="P625" s="392"/>
      <c r="Q625" s="392"/>
      <c r="R625" s="392"/>
      <c r="S625" s="392"/>
      <c r="T625" s="392"/>
      <c r="U625" s="392"/>
      <c r="V625" s="392"/>
      <c r="W625" s="392"/>
      <c r="X625" s="392"/>
      <c r="Y625" s="392"/>
      <c r="Z625" s="392"/>
      <c r="AA625" s="392"/>
      <c r="AB625" s="392"/>
      <c r="AC625" s="392"/>
      <c r="AD625" s="392"/>
      <c r="AE625" s="392"/>
      <c r="AF625" s="392"/>
    </row>
    <row r="626" ht="15.75" customHeight="1">
      <c r="A626" s="216"/>
      <c r="B626" s="156"/>
      <c r="C626" s="156"/>
      <c r="D626" s="156"/>
      <c r="E626" s="392"/>
      <c r="F626" s="392"/>
      <c r="G626" s="392"/>
      <c r="H626" s="392"/>
      <c r="I626" s="392"/>
      <c r="J626" s="392"/>
      <c r="K626" s="392"/>
      <c r="L626" s="392"/>
      <c r="M626" s="392"/>
      <c r="N626" s="392"/>
      <c r="O626" s="392"/>
      <c r="P626" s="392"/>
      <c r="Q626" s="392"/>
      <c r="R626" s="392"/>
      <c r="S626" s="392"/>
      <c r="T626" s="392"/>
      <c r="U626" s="392"/>
      <c r="V626" s="392"/>
      <c r="W626" s="392"/>
      <c r="X626" s="392"/>
      <c r="Y626" s="392"/>
      <c r="Z626" s="392"/>
      <c r="AA626" s="392"/>
      <c r="AB626" s="392"/>
      <c r="AC626" s="392"/>
      <c r="AD626" s="392"/>
      <c r="AE626" s="392"/>
      <c r="AF626" s="392"/>
    </row>
    <row r="627" ht="15.75" customHeight="1">
      <c r="A627" s="216"/>
      <c r="B627" s="156"/>
      <c r="C627" s="156"/>
      <c r="D627" s="156"/>
      <c r="E627" s="392"/>
      <c r="F627" s="392"/>
      <c r="G627" s="392"/>
      <c r="H627" s="392"/>
      <c r="I627" s="392"/>
      <c r="J627" s="392"/>
      <c r="K627" s="392"/>
      <c r="L627" s="392"/>
      <c r="M627" s="392"/>
      <c r="N627" s="392"/>
      <c r="O627" s="392"/>
      <c r="P627" s="392"/>
      <c r="Q627" s="392"/>
      <c r="R627" s="392"/>
      <c r="S627" s="392"/>
      <c r="T627" s="392"/>
      <c r="U627" s="392"/>
      <c r="V627" s="392"/>
      <c r="W627" s="392"/>
      <c r="X627" s="392"/>
      <c r="Y627" s="392"/>
      <c r="Z627" s="392"/>
      <c r="AA627" s="392"/>
      <c r="AB627" s="392"/>
      <c r="AC627" s="392"/>
      <c r="AD627" s="392"/>
      <c r="AE627" s="392"/>
      <c r="AF627" s="392"/>
    </row>
    <row r="628" ht="15.75" customHeight="1">
      <c r="A628" s="216"/>
      <c r="B628" s="156"/>
      <c r="C628" s="156"/>
      <c r="D628" s="156"/>
      <c r="E628" s="392"/>
      <c r="F628" s="392"/>
      <c r="G628" s="392"/>
      <c r="H628" s="392"/>
      <c r="I628" s="392"/>
      <c r="J628" s="392"/>
      <c r="K628" s="392"/>
      <c r="L628" s="392"/>
      <c r="M628" s="392"/>
      <c r="N628" s="392"/>
      <c r="O628" s="392"/>
      <c r="P628" s="392"/>
      <c r="Q628" s="392"/>
      <c r="R628" s="392"/>
      <c r="S628" s="392"/>
      <c r="T628" s="392"/>
      <c r="U628" s="392"/>
      <c r="V628" s="392"/>
      <c r="W628" s="392"/>
      <c r="X628" s="392"/>
      <c r="Y628" s="392"/>
      <c r="Z628" s="392"/>
      <c r="AA628" s="392"/>
      <c r="AB628" s="392"/>
      <c r="AC628" s="392"/>
      <c r="AD628" s="392"/>
      <c r="AE628" s="392"/>
      <c r="AF628" s="392"/>
    </row>
    <row r="629" ht="15.75" customHeight="1">
      <c r="A629" s="216"/>
      <c r="B629" s="156"/>
      <c r="C629" s="156"/>
      <c r="D629" s="156"/>
      <c r="E629" s="392"/>
      <c r="F629" s="392"/>
      <c r="G629" s="392"/>
      <c r="H629" s="392"/>
      <c r="I629" s="392"/>
      <c r="J629" s="392"/>
      <c r="K629" s="392"/>
      <c r="L629" s="392"/>
      <c r="M629" s="392"/>
      <c r="N629" s="392"/>
      <c r="O629" s="392"/>
      <c r="P629" s="392"/>
      <c r="Q629" s="392"/>
      <c r="R629" s="392"/>
      <c r="S629" s="392"/>
      <c r="T629" s="392"/>
      <c r="U629" s="392"/>
      <c r="V629" s="392"/>
      <c r="W629" s="392"/>
      <c r="X629" s="392"/>
      <c r="Y629" s="392"/>
      <c r="Z629" s="392"/>
      <c r="AA629" s="392"/>
      <c r="AB629" s="392"/>
      <c r="AC629" s="392"/>
      <c r="AD629" s="392"/>
      <c r="AE629" s="392"/>
      <c r="AF629" s="392"/>
    </row>
    <row r="630" ht="15.75" customHeight="1">
      <c r="A630" s="216"/>
      <c r="B630" s="156"/>
      <c r="C630" s="156"/>
      <c r="D630" s="156"/>
      <c r="E630" s="392"/>
      <c r="F630" s="392"/>
      <c r="G630" s="392"/>
      <c r="H630" s="392"/>
      <c r="I630" s="392"/>
      <c r="J630" s="392"/>
      <c r="K630" s="392"/>
      <c r="L630" s="392"/>
      <c r="M630" s="392"/>
      <c r="N630" s="392"/>
      <c r="O630" s="392"/>
      <c r="P630" s="392"/>
      <c r="Q630" s="392"/>
      <c r="R630" s="392"/>
      <c r="S630" s="392"/>
      <c r="T630" s="392"/>
      <c r="U630" s="392"/>
      <c r="V630" s="392"/>
      <c r="W630" s="392"/>
      <c r="X630" s="392"/>
      <c r="Y630" s="392"/>
      <c r="Z630" s="392"/>
      <c r="AA630" s="392"/>
      <c r="AB630" s="392"/>
      <c r="AC630" s="392"/>
      <c r="AD630" s="392"/>
      <c r="AE630" s="392"/>
      <c r="AF630" s="392"/>
    </row>
    <row r="631" ht="15.75" customHeight="1">
      <c r="A631" s="216"/>
      <c r="B631" s="156"/>
      <c r="C631" s="156"/>
      <c r="D631" s="156"/>
      <c r="E631" s="392"/>
      <c r="F631" s="392"/>
      <c r="G631" s="392"/>
      <c r="H631" s="392"/>
      <c r="I631" s="392"/>
      <c r="J631" s="392"/>
      <c r="K631" s="392"/>
      <c r="L631" s="392"/>
      <c r="M631" s="392"/>
      <c r="N631" s="392"/>
      <c r="O631" s="392"/>
      <c r="P631" s="392"/>
      <c r="Q631" s="392"/>
      <c r="R631" s="392"/>
      <c r="S631" s="392"/>
      <c r="T631" s="392"/>
      <c r="U631" s="392"/>
      <c r="V631" s="392"/>
      <c r="W631" s="392"/>
      <c r="X631" s="392"/>
      <c r="Y631" s="392"/>
      <c r="Z631" s="392"/>
      <c r="AA631" s="392"/>
      <c r="AB631" s="392"/>
      <c r="AC631" s="392"/>
      <c r="AD631" s="392"/>
      <c r="AE631" s="392"/>
      <c r="AF631" s="392"/>
    </row>
    <row r="632" ht="15.75" customHeight="1">
      <c r="A632" s="216"/>
      <c r="B632" s="156"/>
      <c r="C632" s="156"/>
      <c r="D632" s="156"/>
      <c r="E632" s="392"/>
      <c r="F632" s="392"/>
      <c r="G632" s="392"/>
      <c r="H632" s="392"/>
      <c r="I632" s="392"/>
      <c r="J632" s="392"/>
      <c r="K632" s="392"/>
      <c r="L632" s="392"/>
      <c r="M632" s="392"/>
      <c r="N632" s="392"/>
      <c r="O632" s="392"/>
      <c r="P632" s="392"/>
      <c r="Q632" s="392"/>
      <c r="R632" s="392"/>
      <c r="S632" s="392"/>
      <c r="T632" s="392"/>
      <c r="U632" s="392"/>
      <c r="V632" s="392"/>
      <c r="W632" s="392"/>
      <c r="X632" s="392"/>
      <c r="Y632" s="392"/>
      <c r="Z632" s="392"/>
      <c r="AA632" s="392"/>
      <c r="AB632" s="392"/>
      <c r="AC632" s="392"/>
      <c r="AD632" s="392"/>
      <c r="AE632" s="392"/>
      <c r="AF632" s="392"/>
    </row>
    <row r="633" ht="15.75" customHeight="1">
      <c r="A633" s="216"/>
      <c r="B633" s="156"/>
      <c r="C633" s="156"/>
      <c r="D633" s="156"/>
      <c r="E633" s="392"/>
      <c r="F633" s="392"/>
      <c r="G633" s="392"/>
      <c r="H633" s="392"/>
      <c r="I633" s="392"/>
      <c r="J633" s="392"/>
      <c r="K633" s="392"/>
      <c r="L633" s="392"/>
      <c r="M633" s="392"/>
      <c r="N633" s="392"/>
      <c r="O633" s="392"/>
      <c r="P633" s="392"/>
      <c r="Q633" s="392"/>
      <c r="R633" s="392"/>
      <c r="S633" s="392"/>
      <c r="T633" s="392"/>
      <c r="U633" s="392"/>
      <c r="V633" s="392"/>
      <c r="W633" s="392"/>
      <c r="X633" s="392"/>
      <c r="Y633" s="392"/>
      <c r="Z633" s="392"/>
      <c r="AA633" s="392"/>
      <c r="AB633" s="392"/>
      <c r="AC633" s="392"/>
      <c r="AD633" s="392"/>
      <c r="AE633" s="392"/>
      <c r="AF633" s="392"/>
    </row>
    <row r="634" ht="15.75" customHeight="1">
      <c r="A634" s="216"/>
      <c r="B634" s="156"/>
      <c r="C634" s="156"/>
      <c r="D634" s="156"/>
      <c r="E634" s="392"/>
      <c r="F634" s="392"/>
      <c r="G634" s="392"/>
      <c r="H634" s="392"/>
      <c r="I634" s="392"/>
      <c r="J634" s="392"/>
      <c r="K634" s="392"/>
      <c r="L634" s="392"/>
      <c r="M634" s="392"/>
      <c r="N634" s="392"/>
      <c r="O634" s="392"/>
      <c r="P634" s="392"/>
      <c r="Q634" s="392"/>
      <c r="R634" s="392"/>
      <c r="S634" s="392"/>
      <c r="T634" s="392"/>
      <c r="U634" s="392"/>
      <c r="V634" s="392"/>
      <c r="W634" s="392"/>
      <c r="X634" s="392"/>
      <c r="Y634" s="392"/>
      <c r="Z634" s="392"/>
      <c r="AA634" s="392"/>
      <c r="AB634" s="392"/>
      <c r="AC634" s="392"/>
      <c r="AD634" s="392"/>
      <c r="AE634" s="392"/>
      <c r="AF634" s="392"/>
    </row>
    <row r="635" ht="15.75" customHeight="1">
      <c r="A635" s="216"/>
      <c r="B635" s="156"/>
      <c r="C635" s="156"/>
      <c r="D635" s="156"/>
      <c r="E635" s="392"/>
      <c r="F635" s="392"/>
      <c r="G635" s="392"/>
      <c r="H635" s="392"/>
      <c r="I635" s="392"/>
      <c r="J635" s="392"/>
      <c r="K635" s="392"/>
      <c r="L635" s="392"/>
      <c r="M635" s="392"/>
      <c r="N635" s="392"/>
      <c r="O635" s="392"/>
      <c r="P635" s="392"/>
      <c r="Q635" s="392"/>
      <c r="R635" s="392"/>
      <c r="S635" s="392"/>
      <c r="T635" s="392"/>
      <c r="U635" s="392"/>
      <c r="V635" s="392"/>
      <c r="W635" s="392"/>
      <c r="X635" s="392"/>
      <c r="Y635" s="392"/>
      <c r="Z635" s="392"/>
      <c r="AA635" s="392"/>
      <c r="AB635" s="392"/>
      <c r="AC635" s="392"/>
      <c r="AD635" s="392"/>
      <c r="AE635" s="392"/>
      <c r="AF635" s="392"/>
    </row>
    <row r="636" ht="15.75" customHeight="1">
      <c r="A636" s="216"/>
      <c r="B636" s="156"/>
      <c r="C636" s="156"/>
      <c r="D636" s="156"/>
      <c r="E636" s="392"/>
      <c r="F636" s="392"/>
      <c r="G636" s="392"/>
      <c r="H636" s="392"/>
      <c r="I636" s="392"/>
      <c r="J636" s="392"/>
      <c r="K636" s="392"/>
      <c r="L636" s="392"/>
      <c r="M636" s="392"/>
      <c r="N636" s="392"/>
      <c r="O636" s="392"/>
      <c r="P636" s="392"/>
      <c r="Q636" s="392"/>
      <c r="R636" s="392"/>
      <c r="S636" s="392"/>
      <c r="T636" s="392"/>
      <c r="U636" s="392"/>
      <c r="V636" s="392"/>
      <c r="W636" s="392"/>
      <c r="X636" s="392"/>
      <c r="Y636" s="392"/>
      <c r="Z636" s="392"/>
      <c r="AA636" s="392"/>
      <c r="AB636" s="392"/>
      <c r="AC636" s="392"/>
      <c r="AD636" s="392"/>
      <c r="AE636" s="392"/>
      <c r="AF636" s="392"/>
    </row>
    <row r="637" ht="15.75" customHeight="1">
      <c r="A637" s="216"/>
      <c r="B637" s="156"/>
      <c r="C637" s="156"/>
      <c r="D637" s="156"/>
      <c r="E637" s="392"/>
      <c r="F637" s="392"/>
      <c r="G637" s="392"/>
      <c r="H637" s="392"/>
      <c r="I637" s="392"/>
      <c r="J637" s="392"/>
      <c r="K637" s="392"/>
      <c r="L637" s="392"/>
      <c r="M637" s="392"/>
      <c r="N637" s="392"/>
      <c r="O637" s="392"/>
      <c r="P637" s="392"/>
      <c r="Q637" s="392"/>
      <c r="R637" s="392"/>
      <c r="S637" s="392"/>
      <c r="T637" s="392"/>
      <c r="U637" s="392"/>
      <c r="V637" s="392"/>
      <c r="W637" s="392"/>
      <c r="X637" s="392"/>
      <c r="Y637" s="392"/>
      <c r="Z637" s="392"/>
      <c r="AA637" s="392"/>
      <c r="AB637" s="392"/>
      <c r="AC637" s="392"/>
      <c r="AD637" s="392"/>
      <c r="AE637" s="392"/>
      <c r="AF637" s="392"/>
    </row>
    <row r="638" ht="15.75" customHeight="1">
      <c r="A638" s="216"/>
      <c r="B638" s="156"/>
      <c r="C638" s="156"/>
      <c r="D638" s="156"/>
      <c r="E638" s="392"/>
      <c r="F638" s="392"/>
      <c r="G638" s="392"/>
      <c r="H638" s="392"/>
      <c r="I638" s="392"/>
      <c r="J638" s="392"/>
      <c r="K638" s="392"/>
      <c r="L638" s="392"/>
      <c r="M638" s="392"/>
      <c r="N638" s="392"/>
      <c r="O638" s="392"/>
      <c r="P638" s="392"/>
      <c r="Q638" s="392"/>
      <c r="R638" s="392"/>
      <c r="S638" s="392"/>
      <c r="T638" s="392"/>
      <c r="U638" s="392"/>
      <c r="V638" s="392"/>
      <c r="W638" s="392"/>
      <c r="X638" s="392"/>
      <c r="Y638" s="392"/>
      <c r="Z638" s="392"/>
      <c r="AA638" s="392"/>
      <c r="AB638" s="392"/>
      <c r="AC638" s="392"/>
      <c r="AD638" s="392"/>
      <c r="AE638" s="392"/>
      <c r="AF638" s="392"/>
    </row>
    <row r="639" ht="15.75" customHeight="1">
      <c r="A639" s="216"/>
      <c r="B639" s="156"/>
      <c r="C639" s="156"/>
      <c r="D639" s="156"/>
      <c r="E639" s="392"/>
      <c r="F639" s="392"/>
      <c r="G639" s="392"/>
      <c r="H639" s="392"/>
      <c r="I639" s="392"/>
      <c r="J639" s="392"/>
      <c r="K639" s="392"/>
      <c r="L639" s="392"/>
      <c r="M639" s="392"/>
      <c r="N639" s="392"/>
      <c r="O639" s="392"/>
      <c r="P639" s="392"/>
      <c r="Q639" s="392"/>
      <c r="R639" s="392"/>
      <c r="S639" s="392"/>
      <c r="T639" s="392"/>
      <c r="U639" s="392"/>
      <c r="V639" s="392"/>
      <c r="W639" s="392"/>
      <c r="X639" s="392"/>
      <c r="Y639" s="392"/>
      <c r="Z639" s="392"/>
      <c r="AA639" s="392"/>
      <c r="AB639" s="392"/>
      <c r="AC639" s="392"/>
      <c r="AD639" s="392"/>
      <c r="AE639" s="392"/>
      <c r="AF639" s="392"/>
    </row>
    <row r="640" ht="15.75" customHeight="1">
      <c r="A640" s="216"/>
      <c r="B640" s="156"/>
      <c r="C640" s="156"/>
      <c r="D640" s="156"/>
      <c r="E640" s="392"/>
      <c r="F640" s="392"/>
      <c r="G640" s="392"/>
      <c r="H640" s="392"/>
      <c r="I640" s="392"/>
      <c r="J640" s="392"/>
      <c r="K640" s="392"/>
      <c r="L640" s="392"/>
      <c r="M640" s="392"/>
      <c r="N640" s="392"/>
      <c r="O640" s="392"/>
      <c r="P640" s="392"/>
      <c r="Q640" s="392"/>
      <c r="R640" s="392"/>
      <c r="S640" s="392"/>
      <c r="T640" s="392"/>
      <c r="U640" s="392"/>
      <c r="V640" s="392"/>
      <c r="W640" s="392"/>
      <c r="X640" s="392"/>
      <c r="Y640" s="392"/>
      <c r="Z640" s="392"/>
      <c r="AA640" s="392"/>
      <c r="AB640" s="392"/>
      <c r="AC640" s="392"/>
      <c r="AD640" s="392"/>
      <c r="AE640" s="392"/>
      <c r="AF640" s="392"/>
    </row>
    <row r="641" ht="15.75" customHeight="1">
      <c r="A641" s="216"/>
      <c r="B641" s="156"/>
      <c r="C641" s="156"/>
      <c r="D641" s="156"/>
      <c r="E641" s="392"/>
      <c r="F641" s="392"/>
      <c r="G641" s="392"/>
      <c r="H641" s="392"/>
      <c r="I641" s="392"/>
      <c r="J641" s="392"/>
      <c r="K641" s="392"/>
      <c r="L641" s="392"/>
      <c r="M641" s="392"/>
      <c r="N641" s="392"/>
      <c r="O641" s="392"/>
      <c r="P641" s="392"/>
      <c r="Q641" s="392"/>
      <c r="R641" s="392"/>
      <c r="S641" s="392"/>
      <c r="T641" s="392"/>
      <c r="U641" s="392"/>
      <c r="V641" s="392"/>
      <c r="W641" s="392"/>
      <c r="X641" s="392"/>
      <c r="Y641" s="392"/>
      <c r="Z641" s="392"/>
      <c r="AA641" s="392"/>
      <c r="AB641" s="392"/>
      <c r="AC641" s="392"/>
      <c r="AD641" s="392"/>
      <c r="AE641" s="392"/>
      <c r="AF641" s="392"/>
    </row>
    <row r="642" ht="15.75" customHeight="1">
      <c r="A642" s="216"/>
      <c r="B642" s="156"/>
      <c r="C642" s="156"/>
      <c r="D642" s="156"/>
      <c r="E642" s="392"/>
      <c r="F642" s="392"/>
      <c r="G642" s="392"/>
      <c r="H642" s="392"/>
      <c r="I642" s="392"/>
      <c r="J642" s="392"/>
      <c r="K642" s="392"/>
      <c r="L642" s="392"/>
      <c r="M642" s="392"/>
      <c r="N642" s="392"/>
      <c r="O642" s="392"/>
      <c r="P642" s="392"/>
      <c r="Q642" s="392"/>
      <c r="R642" s="392"/>
      <c r="S642" s="392"/>
      <c r="T642" s="392"/>
      <c r="U642" s="392"/>
      <c r="V642" s="392"/>
      <c r="W642" s="392"/>
      <c r="X642" s="392"/>
      <c r="Y642" s="392"/>
      <c r="Z642" s="392"/>
      <c r="AA642" s="392"/>
      <c r="AB642" s="392"/>
      <c r="AC642" s="392"/>
      <c r="AD642" s="392"/>
      <c r="AE642" s="392"/>
      <c r="AF642" s="392"/>
    </row>
    <row r="643" ht="15.75" customHeight="1">
      <c r="A643" s="216"/>
      <c r="B643" s="156"/>
      <c r="C643" s="156"/>
      <c r="D643" s="156"/>
      <c r="E643" s="392"/>
      <c r="F643" s="392"/>
      <c r="G643" s="392"/>
      <c r="H643" s="392"/>
      <c r="I643" s="392"/>
      <c r="J643" s="392"/>
      <c r="K643" s="392"/>
      <c r="L643" s="392"/>
      <c r="M643" s="392"/>
      <c r="N643" s="392"/>
      <c r="O643" s="392"/>
      <c r="P643" s="392"/>
      <c r="Q643" s="392"/>
      <c r="R643" s="392"/>
      <c r="S643" s="392"/>
      <c r="T643" s="392"/>
      <c r="U643" s="392"/>
      <c r="V643" s="392"/>
      <c r="W643" s="392"/>
      <c r="X643" s="392"/>
      <c r="Y643" s="392"/>
      <c r="Z643" s="392"/>
      <c r="AA643" s="392"/>
      <c r="AB643" s="392"/>
      <c r="AC643" s="392"/>
      <c r="AD643" s="392"/>
      <c r="AE643" s="392"/>
      <c r="AF643" s="392"/>
    </row>
    <row r="644" ht="15.75" customHeight="1">
      <c r="A644" s="216"/>
      <c r="B644" s="156"/>
      <c r="C644" s="156"/>
      <c r="D644" s="156"/>
      <c r="E644" s="392"/>
      <c r="F644" s="392"/>
      <c r="G644" s="392"/>
      <c r="H644" s="392"/>
      <c r="I644" s="392"/>
      <c r="J644" s="392"/>
      <c r="K644" s="392"/>
      <c r="L644" s="392"/>
      <c r="M644" s="392"/>
      <c r="N644" s="392"/>
      <c r="O644" s="392"/>
      <c r="P644" s="392"/>
      <c r="Q644" s="392"/>
      <c r="R644" s="392"/>
      <c r="S644" s="392"/>
      <c r="T644" s="392"/>
      <c r="U644" s="392"/>
      <c r="V644" s="392"/>
      <c r="W644" s="392"/>
      <c r="X644" s="392"/>
      <c r="Y644" s="392"/>
      <c r="Z644" s="392"/>
      <c r="AA644" s="392"/>
      <c r="AB644" s="392"/>
      <c r="AC644" s="392"/>
      <c r="AD644" s="392"/>
      <c r="AE644" s="392"/>
      <c r="AF644" s="392"/>
    </row>
    <row r="645" ht="15.75" customHeight="1">
      <c r="A645" s="216"/>
      <c r="B645" s="156"/>
      <c r="C645" s="156"/>
      <c r="D645" s="156"/>
      <c r="E645" s="392"/>
      <c r="F645" s="392"/>
      <c r="G645" s="392"/>
      <c r="H645" s="392"/>
      <c r="I645" s="392"/>
      <c r="J645" s="392"/>
      <c r="K645" s="392"/>
      <c r="L645" s="392"/>
      <c r="M645" s="392"/>
      <c r="N645" s="392"/>
      <c r="O645" s="392"/>
      <c r="P645" s="392"/>
      <c r="Q645" s="392"/>
      <c r="R645" s="392"/>
      <c r="S645" s="392"/>
      <c r="T645" s="392"/>
      <c r="U645" s="392"/>
      <c r="V645" s="392"/>
      <c r="W645" s="392"/>
      <c r="X645" s="392"/>
      <c r="Y645" s="392"/>
      <c r="Z645" s="392"/>
      <c r="AA645" s="392"/>
      <c r="AB645" s="392"/>
      <c r="AC645" s="392"/>
      <c r="AD645" s="392"/>
      <c r="AE645" s="392"/>
      <c r="AF645" s="392"/>
    </row>
    <row r="646" ht="15.75" customHeight="1">
      <c r="A646" s="216"/>
      <c r="B646" s="156"/>
      <c r="C646" s="156"/>
      <c r="D646" s="156"/>
      <c r="E646" s="392"/>
      <c r="F646" s="392"/>
      <c r="G646" s="392"/>
      <c r="H646" s="392"/>
      <c r="I646" s="392"/>
      <c r="J646" s="392"/>
      <c r="K646" s="392"/>
      <c r="L646" s="392"/>
      <c r="M646" s="392"/>
      <c r="N646" s="392"/>
      <c r="O646" s="392"/>
      <c r="P646" s="392"/>
      <c r="Q646" s="392"/>
      <c r="R646" s="392"/>
      <c r="S646" s="392"/>
      <c r="T646" s="392"/>
      <c r="U646" s="392"/>
      <c r="V646" s="392"/>
      <c r="W646" s="392"/>
      <c r="X646" s="392"/>
      <c r="Y646" s="392"/>
      <c r="Z646" s="392"/>
      <c r="AA646" s="392"/>
      <c r="AB646" s="392"/>
      <c r="AC646" s="392"/>
      <c r="AD646" s="392"/>
      <c r="AE646" s="392"/>
      <c r="AF646" s="392"/>
    </row>
    <row r="647" ht="15.75" customHeight="1">
      <c r="A647" s="216"/>
      <c r="B647" s="156"/>
      <c r="C647" s="156"/>
      <c r="D647" s="156"/>
      <c r="E647" s="392"/>
      <c r="F647" s="392"/>
      <c r="G647" s="392"/>
      <c r="H647" s="392"/>
      <c r="I647" s="392"/>
      <c r="J647" s="392"/>
      <c r="K647" s="392"/>
      <c r="L647" s="392"/>
      <c r="M647" s="392"/>
      <c r="N647" s="392"/>
      <c r="O647" s="392"/>
      <c r="P647" s="392"/>
      <c r="Q647" s="392"/>
      <c r="R647" s="392"/>
      <c r="S647" s="392"/>
      <c r="T647" s="392"/>
      <c r="U647" s="392"/>
      <c r="V647" s="392"/>
      <c r="W647" s="392"/>
      <c r="X647" s="392"/>
      <c r="Y647" s="392"/>
      <c r="Z647" s="392"/>
      <c r="AA647" s="392"/>
      <c r="AB647" s="392"/>
      <c r="AC647" s="392"/>
      <c r="AD647" s="392"/>
      <c r="AE647" s="392"/>
      <c r="AF647" s="392"/>
    </row>
    <row r="648" ht="15.75" customHeight="1">
      <c r="A648" s="216"/>
      <c r="B648" s="156"/>
      <c r="C648" s="156"/>
      <c r="D648" s="156"/>
      <c r="E648" s="392"/>
      <c r="F648" s="392"/>
      <c r="G648" s="392"/>
      <c r="H648" s="392"/>
      <c r="I648" s="392"/>
      <c r="J648" s="392"/>
      <c r="K648" s="392"/>
      <c r="L648" s="392"/>
      <c r="M648" s="392"/>
      <c r="N648" s="392"/>
      <c r="O648" s="392"/>
      <c r="P648" s="392"/>
      <c r="Q648" s="392"/>
      <c r="R648" s="392"/>
      <c r="S648" s="392"/>
      <c r="T648" s="392"/>
      <c r="U648" s="392"/>
      <c r="V648" s="392"/>
      <c r="W648" s="392"/>
      <c r="X648" s="392"/>
      <c r="Y648" s="392"/>
      <c r="Z648" s="392"/>
      <c r="AA648" s="392"/>
      <c r="AB648" s="392"/>
      <c r="AC648" s="392"/>
      <c r="AD648" s="392"/>
      <c r="AE648" s="392"/>
      <c r="AF648" s="392"/>
    </row>
    <row r="649" ht="15.75" customHeight="1">
      <c r="A649" s="216"/>
      <c r="B649" s="156"/>
      <c r="C649" s="156"/>
      <c r="D649" s="156"/>
      <c r="E649" s="392"/>
      <c r="F649" s="392"/>
      <c r="G649" s="392"/>
      <c r="H649" s="392"/>
      <c r="I649" s="392"/>
      <c r="J649" s="392"/>
      <c r="K649" s="392"/>
      <c r="L649" s="392"/>
      <c r="M649" s="392"/>
      <c r="N649" s="392"/>
      <c r="O649" s="392"/>
      <c r="P649" s="392"/>
      <c r="Q649" s="392"/>
      <c r="R649" s="392"/>
      <c r="S649" s="392"/>
      <c r="T649" s="392"/>
      <c r="U649" s="392"/>
      <c r="V649" s="392"/>
      <c r="W649" s="392"/>
      <c r="X649" s="392"/>
      <c r="Y649" s="392"/>
      <c r="Z649" s="392"/>
      <c r="AA649" s="392"/>
      <c r="AB649" s="392"/>
      <c r="AC649" s="392"/>
      <c r="AD649" s="392"/>
      <c r="AE649" s="392"/>
      <c r="AF649" s="392"/>
    </row>
    <row r="650" ht="15.75" customHeight="1">
      <c r="A650" s="216"/>
      <c r="B650" s="156"/>
      <c r="C650" s="156"/>
      <c r="D650" s="156"/>
      <c r="E650" s="392"/>
      <c r="F650" s="392"/>
      <c r="G650" s="392"/>
      <c r="H650" s="392"/>
      <c r="I650" s="392"/>
      <c r="J650" s="392"/>
      <c r="K650" s="392"/>
      <c r="L650" s="392"/>
      <c r="M650" s="392"/>
      <c r="N650" s="392"/>
      <c r="O650" s="392"/>
      <c r="P650" s="392"/>
      <c r="Q650" s="392"/>
      <c r="R650" s="392"/>
      <c r="S650" s="392"/>
      <c r="T650" s="392"/>
      <c r="U650" s="392"/>
      <c r="V650" s="392"/>
      <c r="W650" s="392"/>
      <c r="X650" s="392"/>
      <c r="Y650" s="392"/>
      <c r="Z650" s="392"/>
      <c r="AA650" s="392"/>
      <c r="AB650" s="392"/>
      <c r="AC650" s="392"/>
      <c r="AD650" s="392"/>
      <c r="AE650" s="392"/>
      <c r="AF650" s="392"/>
    </row>
    <row r="651" ht="15.75" customHeight="1">
      <c r="A651" s="216"/>
      <c r="B651" s="156"/>
      <c r="C651" s="156"/>
      <c r="D651" s="156"/>
      <c r="E651" s="392"/>
      <c r="F651" s="392"/>
      <c r="G651" s="392"/>
      <c r="H651" s="392"/>
      <c r="I651" s="392"/>
      <c r="J651" s="392"/>
      <c r="K651" s="392"/>
      <c r="L651" s="392"/>
      <c r="M651" s="392"/>
      <c r="N651" s="392"/>
      <c r="O651" s="392"/>
      <c r="P651" s="392"/>
      <c r="Q651" s="392"/>
      <c r="R651" s="392"/>
      <c r="S651" s="392"/>
      <c r="T651" s="392"/>
      <c r="U651" s="392"/>
      <c r="V651" s="392"/>
      <c r="W651" s="392"/>
      <c r="X651" s="392"/>
      <c r="Y651" s="392"/>
      <c r="Z651" s="392"/>
      <c r="AA651" s="392"/>
      <c r="AB651" s="392"/>
      <c r="AC651" s="392"/>
      <c r="AD651" s="392"/>
      <c r="AE651" s="392"/>
      <c r="AF651" s="392"/>
    </row>
    <row r="652" ht="15.75" customHeight="1">
      <c r="A652" s="216"/>
      <c r="B652" s="156"/>
      <c r="C652" s="156"/>
      <c r="D652" s="156"/>
      <c r="E652" s="392"/>
      <c r="F652" s="392"/>
      <c r="G652" s="392"/>
      <c r="H652" s="392"/>
      <c r="I652" s="392"/>
      <c r="J652" s="392"/>
      <c r="K652" s="392"/>
      <c r="L652" s="392"/>
      <c r="M652" s="392"/>
      <c r="N652" s="392"/>
      <c r="O652" s="392"/>
      <c r="P652" s="392"/>
      <c r="Q652" s="392"/>
      <c r="R652" s="392"/>
      <c r="S652" s="392"/>
      <c r="T652" s="392"/>
      <c r="U652" s="392"/>
      <c r="V652" s="392"/>
      <c r="W652" s="392"/>
      <c r="X652" s="392"/>
      <c r="Y652" s="392"/>
      <c r="Z652" s="392"/>
      <c r="AA652" s="392"/>
      <c r="AB652" s="392"/>
      <c r="AC652" s="392"/>
      <c r="AD652" s="392"/>
      <c r="AE652" s="392"/>
      <c r="AF652" s="392"/>
    </row>
    <row r="653" ht="15.75" customHeight="1">
      <c r="A653" s="216"/>
      <c r="B653" s="156"/>
      <c r="C653" s="156"/>
      <c r="D653" s="156"/>
      <c r="E653" s="392"/>
      <c r="F653" s="392"/>
      <c r="G653" s="392"/>
      <c r="H653" s="392"/>
      <c r="I653" s="392"/>
      <c r="J653" s="392"/>
      <c r="K653" s="392"/>
      <c r="L653" s="392"/>
      <c r="M653" s="392"/>
      <c r="N653" s="392"/>
      <c r="O653" s="392"/>
      <c r="P653" s="392"/>
      <c r="Q653" s="392"/>
      <c r="R653" s="392"/>
      <c r="S653" s="392"/>
      <c r="T653" s="392"/>
      <c r="U653" s="392"/>
      <c r="V653" s="392"/>
      <c r="W653" s="392"/>
      <c r="X653" s="392"/>
      <c r="Y653" s="392"/>
      <c r="Z653" s="392"/>
      <c r="AA653" s="392"/>
      <c r="AB653" s="392"/>
      <c r="AC653" s="392"/>
      <c r="AD653" s="392"/>
      <c r="AE653" s="392"/>
      <c r="AF653" s="392"/>
    </row>
    <row r="654" ht="15.75" customHeight="1">
      <c r="A654" s="216"/>
      <c r="B654" s="156"/>
      <c r="C654" s="156"/>
      <c r="D654" s="156"/>
      <c r="E654" s="392"/>
      <c r="F654" s="392"/>
      <c r="G654" s="392"/>
      <c r="H654" s="392"/>
      <c r="I654" s="392"/>
      <c r="J654" s="392"/>
      <c r="K654" s="392"/>
      <c r="L654" s="392"/>
      <c r="M654" s="392"/>
      <c r="N654" s="392"/>
      <c r="O654" s="392"/>
      <c r="P654" s="392"/>
      <c r="Q654" s="392"/>
      <c r="R654" s="392"/>
      <c r="S654" s="392"/>
      <c r="T654" s="392"/>
      <c r="U654" s="392"/>
      <c r="V654" s="392"/>
      <c r="W654" s="392"/>
      <c r="X654" s="392"/>
      <c r="Y654" s="392"/>
      <c r="Z654" s="392"/>
      <c r="AA654" s="392"/>
      <c r="AB654" s="392"/>
      <c r="AC654" s="392"/>
      <c r="AD654" s="392"/>
      <c r="AE654" s="392"/>
      <c r="AF654" s="392"/>
    </row>
    <row r="655" ht="15.75" customHeight="1">
      <c r="A655" s="216"/>
      <c r="B655" s="156"/>
      <c r="C655" s="156"/>
      <c r="D655" s="156"/>
      <c r="E655" s="392"/>
      <c r="F655" s="392"/>
      <c r="G655" s="392"/>
      <c r="H655" s="392"/>
      <c r="I655" s="392"/>
      <c r="J655" s="392"/>
      <c r="K655" s="392"/>
      <c r="L655" s="392"/>
      <c r="M655" s="392"/>
      <c r="N655" s="392"/>
      <c r="O655" s="392"/>
      <c r="P655" s="392"/>
      <c r="Q655" s="392"/>
      <c r="R655" s="392"/>
      <c r="S655" s="392"/>
      <c r="T655" s="392"/>
      <c r="U655" s="392"/>
      <c r="V655" s="392"/>
      <c r="W655" s="392"/>
      <c r="X655" s="392"/>
      <c r="Y655" s="392"/>
      <c r="Z655" s="392"/>
      <c r="AA655" s="392"/>
      <c r="AB655" s="392"/>
      <c r="AC655" s="392"/>
      <c r="AD655" s="392"/>
      <c r="AE655" s="392"/>
      <c r="AF655" s="392"/>
    </row>
    <row r="656" ht="15.75" customHeight="1">
      <c r="A656" s="216"/>
      <c r="B656" s="156"/>
      <c r="C656" s="156"/>
      <c r="D656" s="156"/>
      <c r="E656" s="392"/>
      <c r="F656" s="392"/>
      <c r="G656" s="392"/>
      <c r="H656" s="392"/>
      <c r="I656" s="392"/>
      <c r="J656" s="392"/>
      <c r="K656" s="392"/>
      <c r="L656" s="392"/>
      <c r="M656" s="392"/>
      <c r="N656" s="392"/>
      <c r="O656" s="392"/>
      <c r="P656" s="392"/>
      <c r="Q656" s="392"/>
      <c r="R656" s="392"/>
      <c r="S656" s="392"/>
      <c r="T656" s="392"/>
      <c r="U656" s="392"/>
      <c r="V656" s="392"/>
      <c r="W656" s="392"/>
      <c r="X656" s="392"/>
      <c r="Y656" s="392"/>
      <c r="Z656" s="392"/>
      <c r="AA656" s="392"/>
      <c r="AB656" s="392"/>
      <c r="AC656" s="392"/>
      <c r="AD656" s="392"/>
      <c r="AE656" s="392"/>
      <c r="AF656" s="392"/>
    </row>
    <row r="657" ht="15.75" customHeight="1">
      <c r="A657" s="216"/>
      <c r="B657" s="156"/>
      <c r="C657" s="156"/>
      <c r="D657" s="156"/>
      <c r="E657" s="392"/>
      <c r="F657" s="392"/>
      <c r="G657" s="392"/>
      <c r="H657" s="392"/>
      <c r="I657" s="392"/>
      <c r="J657" s="392"/>
      <c r="K657" s="392"/>
      <c r="L657" s="392"/>
      <c r="M657" s="392"/>
      <c r="N657" s="392"/>
      <c r="O657" s="392"/>
      <c r="P657" s="392"/>
      <c r="Q657" s="392"/>
      <c r="R657" s="392"/>
      <c r="S657" s="392"/>
      <c r="T657" s="392"/>
      <c r="U657" s="392"/>
      <c r="V657" s="392"/>
      <c r="W657" s="392"/>
      <c r="X657" s="392"/>
      <c r="Y657" s="392"/>
      <c r="Z657" s="392"/>
      <c r="AA657" s="392"/>
      <c r="AB657" s="392"/>
      <c r="AC657" s="392"/>
      <c r="AD657" s="392"/>
      <c r="AE657" s="392"/>
      <c r="AF657" s="392"/>
    </row>
    <row r="658" ht="15.75" customHeight="1">
      <c r="A658" s="216"/>
      <c r="B658" s="156"/>
      <c r="C658" s="156"/>
      <c r="D658" s="156"/>
      <c r="E658" s="392"/>
      <c r="F658" s="392"/>
      <c r="G658" s="392"/>
      <c r="H658" s="392"/>
      <c r="I658" s="392"/>
      <c r="J658" s="392"/>
      <c r="K658" s="392"/>
      <c r="L658" s="392"/>
      <c r="M658" s="392"/>
      <c r="N658" s="392"/>
      <c r="O658" s="392"/>
      <c r="P658" s="392"/>
      <c r="Q658" s="392"/>
      <c r="R658" s="392"/>
      <c r="S658" s="392"/>
      <c r="T658" s="392"/>
      <c r="U658" s="392"/>
      <c r="V658" s="392"/>
      <c r="W658" s="392"/>
      <c r="X658" s="392"/>
      <c r="Y658" s="392"/>
      <c r="Z658" s="392"/>
      <c r="AA658" s="392"/>
      <c r="AB658" s="392"/>
      <c r="AC658" s="392"/>
      <c r="AD658" s="392"/>
      <c r="AE658" s="392"/>
      <c r="AF658" s="392"/>
    </row>
    <row r="659" ht="15.75" customHeight="1">
      <c r="A659" s="216"/>
      <c r="B659" s="156"/>
      <c r="C659" s="156"/>
      <c r="D659" s="156"/>
      <c r="E659" s="392"/>
      <c r="F659" s="392"/>
      <c r="G659" s="392"/>
      <c r="H659" s="392"/>
      <c r="I659" s="392"/>
      <c r="J659" s="392"/>
      <c r="K659" s="392"/>
      <c r="L659" s="392"/>
      <c r="M659" s="392"/>
      <c r="N659" s="392"/>
      <c r="O659" s="392"/>
      <c r="P659" s="392"/>
      <c r="Q659" s="392"/>
      <c r="R659" s="392"/>
      <c r="S659" s="392"/>
      <c r="T659" s="392"/>
      <c r="U659" s="392"/>
      <c r="V659" s="392"/>
      <c r="W659" s="392"/>
      <c r="X659" s="392"/>
      <c r="Y659" s="392"/>
      <c r="Z659" s="392"/>
      <c r="AA659" s="392"/>
      <c r="AB659" s="392"/>
      <c r="AC659" s="392"/>
      <c r="AD659" s="392"/>
      <c r="AE659" s="392"/>
      <c r="AF659" s="392"/>
    </row>
    <row r="660" ht="15.75" customHeight="1">
      <c r="A660" s="216"/>
      <c r="B660" s="156"/>
      <c r="C660" s="156"/>
      <c r="D660" s="156"/>
      <c r="E660" s="392"/>
      <c r="F660" s="392"/>
      <c r="G660" s="392"/>
      <c r="H660" s="392"/>
      <c r="I660" s="392"/>
      <c r="J660" s="392"/>
      <c r="K660" s="392"/>
      <c r="L660" s="392"/>
      <c r="M660" s="392"/>
      <c r="N660" s="392"/>
      <c r="O660" s="392"/>
      <c r="P660" s="392"/>
      <c r="Q660" s="392"/>
      <c r="R660" s="392"/>
      <c r="S660" s="392"/>
      <c r="T660" s="392"/>
      <c r="U660" s="392"/>
      <c r="V660" s="392"/>
      <c r="W660" s="392"/>
      <c r="X660" s="392"/>
      <c r="Y660" s="392"/>
      <c r="Z660" s="392"/>
      <c r="AA660" s="392"/>
      <c r="AB660" s="392"/>
      <c r="AC660" s="392"/>
      <c r="AD660" s="392"/>
      <c r="AE660" s="392"/>
      <c r="AF660" s="392"/>
    </row>
    <row r="661" ht="15.75" customHeight="1">
      <c r="A661" s="216"/>
      <c r="B661" s="156"/>
      <c r="C661" s="156"/>
      <c r="D661" s="156"/>
      <c r="E661" s="392"/>
      <c r="F661" s="392"/>
      <c r="G661" s="392"/>
      <c r="H661" s="392"/>
      <c r="I661" s="392"/>
      <c r="J661" s="392"/>
      <c r="K661" s="392"/>
      <c r="L661" s="392"/>
      <c r="M661" s="392"/>
      <c r="N661" s="392"/>
      <c r="O661" s="392"/>
      <c r="P661" s="392"/>
      <c r="Q661" s="392"/>
      <c r="R661" s="392"/>
      <c r="S661" s="392"/>
      <c r="T661" s="392"/>
      <c r="U661" s="392"/>
      <c r="V661" s="392"/>
      <c r="W661" s="392"/>
      <c r="X661" s="392"/>
      <c r="Y661" s="392"/>
      <c r="Z661" s="392"/>
      <c r="AA661" s="392"/>
      <c r="AB661" s="392"/>
      <c r="AC661" s="392"/>
      <c r="AD661" s="392"/>
      <c r="AE661" s="392"/>
      <c r="AF661" s="392"/>
    </row>
    <row r="662" ht="15.75" customHeight="1">
      <c r="A662" s="216"/>
      <c r="B662" s="156"/>
      <c r="C662" s="156"/>
      <c r="D662" s="156"/>
      <c r="E662" s="392"/>
      <c r="F662" s="392"/>
      <c r="G662" s="392"/>
      <c r="H662" s="392"/>
      <c r="I662" s="392"/>
      <c r="J662" s="392"/>
      <c r="K662" s="392"/>
      <c r="L662" s="392"/>
      <c r="M662" s="392"/>
      <c r="N662" s="392"/>
      <c r="O662" s="392"/>
      <c r="P662" s="392"/>
      <c r="Q662" s="392"/>
      <c r="R662" s="392"/>
      <c r="S662" s="392"/>
      <c r="T662" s="392"/>
      <c r="U662" s="392"/>
      <c r="V662" s="392"/>
      <c r="W662" s="392"/>
      <c r="X662" s="392"/>
      <c r="Y662" s="392"/>
      <c r="Z662" s="392"/>
      <c r="AA662" s="392"/>
      <c r="AB662" s="392"/>
      <c r="AC662" s="392"/>
      <c r="AD662" s="392"/>
      <c r="AE662" s="392"/>
      <c r="AF662" s="392"/>
    </row>
    <row r="663" ht="15.75" customHeight="1">
      <c r="A663" s="216"/>
      <c r="B663" s="156"/>
      <c r="C663" s="156"/>
      <c r="D663" s="156"/>
      <c r="E663" s="392"/>
      <c r="F663" s="392"/>
      <c r="G663" s="392"/>
      <c r="H663" s="392"/>
      <c r="I663" s="392"/>
      <c r="J663" s="392"/>
      <c r="K663" s="392"/>
      <c r="L663" s="392"/>
      <c r="M663" s="392"/>
      <c r="N663" s="392"/>
      <c r="O663" s="392"/>
      <c r="P663" s="392"/>
      <c r="Q663" s="392"/>
      <c r="R663" s="392"/>
      <c r="S663" s="392"/>
      <c r="T663" s="392"/>
      <c r="U663" s="392"/>
      <c r="V663" s="392"/>
      <c r="W663" s="392"/>
      <c r="X663" s="392"/>
      <c r="Y663" s="392"/>
      <c r="Z663" s="392"/>
      <c r="AA663" s="392"/>
      <c r="AB663" s="392"/>
      <c r="AC663" s="392"/>
      <c r="AD663" s="392"/>
      <c r="AE663" s="392"/>
      <c r="AF663" s="392"/>
    </row>
    <row r="664" ht="15.75" customHeight="1">
      <c r="A664" s="216"/>
      <c r="B664" s="156"/>
      <c r="C664" s="156"/>
      <c r="D664" s="156"/>
      <c r="E664" s="392"/>
      <c r="F664" s="392"/>
      <c r="G664" s="392"/>
      <c r="H664" s="392"/>
      <c r="I664" s="392"/>
      <c r="J664" s="392"/>
      <c r="K664" s="392"/>
      <c r="L664" s="392"/>
      <c r="M664" s="392"/>
      <c r="N664" s="392"/>
      <c r="O664" s="392"/>
      <c r="P664" s="392"/>
      <c r="Q664" s="392"/>
      <c r="R664" s="392"/>
      <c r="S664" s="392"/>
      <c r="T664" s="392"/>
      <c r="U664" s="392"/>
      <c r="V664" s="392"/>
      <c r="W664" s="392"/>
      <c r="X664" s="392"/>
      <c r="Y664" s="392"/>
      <c r="Z664" s="392"/>
      <c r="AA664" s="392"/>
      <c r="AB664" s="392"/>
      <c r="AC664" s="392"/>
      <c r="AD664" s="392"/>
      <c r="AE664" s="392"/>
      <c r="AF664" s="392"/>
    </row>
    <row r="665" ht="15.75" customHeight="1">
      <c r="A665" s="216"/>
      <c r="B665" s="156"/>
      <c r="C665" s="156"/>
      <c r="D665" s="156"/>
      <c r="E665" s="392"/>
      <c r="F665" s="392"/>
      <c r="G665" s="392"/>
      <c r="H665" s="392"/>
      <c r="I665" s="392"/>
      <c r="J665" s="392"/>
      <c r="K665" s="392"/>
      <c r="L665" s="392"/>
      <c r="M665" s="392"/>
      <c r="N665" s="392"/>
      <c r="O665" s="392"/>
      <c r="P665" s="392"/>
      <c r="Q665" s="392"/>
      <c r="R665" s="392"/>
      <c r="S665" s="392"/>
      <c r="T665" s="392"/>
      <c r="U665" s="392"/>
      <c r="V665" s="392"/>
      <c r="W665" s="392"/>
      <c r="X665" s="392"/>
      <c r="Y665" s="392"/>
      <c r="Z665" s="392"/>
      <c r="AA665" s="392"/>
      <c r="AB665" s="392"/>
      <c r="AC665" s="392"/>
      <c r="AD665" s="392"/>
      <c r="AE665" s="392"/>
      <c r="AF665" s="392"/>
    </row>
    <row r="666" ht="15.75" customHeight="1">
      <c r="A666" s="216"/>
      <c r="B666" s="156"/>
      <c r="C666" s="156"/>
      <c r="D666" s="156"/>
      <c r="E666" s="392"/>
      <c r="F666" s="392"/>
      <c r="G666" s="392"/>
      <c r="H666" s="392"/>
      <c r="I666" s="392"/>
      <c r="J666" s="392"/>
      <c r="K666" s="392"/>
      <c r="L666" s="392"/>
      <c r="M666" s="392"/>
      <c r="N666" s="392"/>
      <c r="O666" s="392"/>
      <c r="P666" s="392"/>
      <c r="Q666" s="392"/>
      <c r="R666" s="392"/>
      <c r="S666" s="392"/>
      <c r="T666" s="392"/>
      <c r="U666" s="392"/>
      <c r="V666" s="392"/>
      <c r="W666" s="392"/>
      <c r="X666" s="392"/>
      <c r="Y666" s="392"/>
      <c r="Z666" s="392"/>
      <c r="AA666" s="392"/>
      <c r="AB666" s="392"/>
      <c r="AC666" s="392"/>
      <c r="AD666" s="392"/>
      <c r="AE666" s="392"/>
      <c r="AF666" s="392"/>
    </row>
    <row r="667" ht="15.75" customHeight="1">
      <c r="A667" s="216"/>
      <c r="B667" s="156"/>
      <c r="C667" s="156"/>
      <c r="D667" s="156"/>
      <c r="E667" s="392"/>
      <c r="F667" s="392"/>
      <c r="G667" s="392"/>
      <c r="H667" s="392"/>
      <c r="I667" s="392"/>
      <c r="J667" s="392"/>
      <c r="K667" s="392"/>
      <c r="L667" s="392"/>
      <c r="M667" s="392"/>
      <c r="N667" s="392"/>
      <c r="O667" s="392"/>
      <c r="P667" s="392"/>
      <c r="Q667" s="392"/>
      <c r="R667" s="392"/>
      <c r="S667" s="392"/>
      <c r="T667" s="392"/>
      <c r="U667" s="392"/>
      <c r="V667" s="392"/>
      <c r="W667" s="392"/>
      <c r="X667" s="392"/>
      <c r="Y667" s="392"/>
      <c r="Z667" s="392"/>
      <c r="AA667" s="392"/>
      <c r="AB667" s="392"/>
      <c r="AC667" s="392"/>
      <c r="AD667" s="392"/>
      <c r="AE667" s="392"/>
      <c r="AF667" s="392"/>
    </row>
    <row r="668" ht="15.75" customHeight="1">
      <c r="A668" s="216"/>
      <c r="B668" s="156"/>
      <c r="C668" s="156"/>
      <c r="D668" s="156"/>
      <c r="E668" s="392"/>
      <c r="F668" s="392"/>
      <c r="G668" s="392"/>
      <c r="H668" s="392"/>
      <c r="I668" s="392"/>
      <c r="J668" s="392"/>
      <c r="K668" s="392"/>
      <c r="L668" s="392"/>
      <c r="M668" s="392"/>
      <c r="N668" s="392"/>
      <c r="O668" s="392"/>
      <c r="P668" s="392"/>
      <c r="Q668" s="392"/>
      <c r="R668" s="392"/>
      <c r="S668" s="392"/>
      <c r="T668" s="392"/>
      <c r="U668" s="392"/>
      <c r="V668" s="392"/>
      <c r="W668" s="392"/>
      <c r="X668" s="392"/>
      <c r="Y668" s="392"/>
      <c r="Z668" s="392"/>
      <c r="AA668" s="392"/>
      <c r="AB668" s="392"/>
      <c r="AC668" s="392"/>
      <c r="AD668" s="392"/>
      <c r="AE668" s="392"/>
      <c r="AF668" s="392"/>
    </row>
    <row r="669" ht="15.75" customHeight="1">
      <c r="A669" s="216"/>
      <c r="B669" s="156"/>
      <c r="C669" s="156"/>
      <c r="D669" s="156"/>
      <c r="E669" s="392"/>
      <c r="F669" s="392"/>
      <c r="G669" s="392"/>
      <c r="H669" s="392"/>
      <c r="I669" s="392"/>
      <c r="J669" s="392"/>
      <c r="K669" s="392"/>
      <c r="L669" s="392"/>
      <c r="M669" s="392"/>
      <c r="N669" s="392"/>
      <c r="O669" s="392"/>
      <c r="P669" s="392"/>
      <c r="Q669" s="392"/>
      <c r="R669" s="392"/>
      <c r="S669" s="392"/>
      <c r="T669" s="392"/>
      <c r="U669" s="392"/>
      <c r="V669" s="392"/>
      <c r="W669" s="392"/>
      <c r="X669" s="392"/>
      <c r="Y669" s="392"/>
      <c r="Z669" s="392"/>
      <c r="AA669" s="392"/>
      <c r="AB669" s="392"/>
      <c r="AC669" s="392"/>
      <c r="AD669" s="392"/>
      <c r="AE669" s="392"/>
      <c r="AF669" s="392"/>
    </row>
    <row r="670" ht="15.75" customHeight="1">
      <c r="A670" s="216"/>
      <c r="B670" s="156"/>
      <c r="C670" s="156"/>
      <c r="D670" s="156"/>
      <c r="E670" s="392"/>
      <c r="F670" s="392"/>
      <c r="G670" s="392"/>
      <c r="H670" s="392"/>
      <c r="I670" s="392"/>
      <c r="J670" s="392"/>
      <c r="K670" s="392"/>
      <c r="L670" s="392"/>
      <c r="M670" s="392"/>
      <c r="N670" s="392"/>
      <c r="O670" s="392"/>
      <c r="P670" s="392"/>
      <c r="Q670" s="392"/>
      <c r="R670" s="392"/>
      <c r="S670" s="392"/>
      <c r="T670" s="392"/>
      <c r="U670" s="392"/>
      <c r="V670" s="392"/>
      <c r="W670" s="392"/>
      <c r="X670" s="392"/>
      <c r="Y670" s="392"/>
      <c r="Z670" s="392"/>
      <c r="AA670" s="392"/>
      <c r="AB670" s="392"/>
      <c r="AC670" s="392"/>
      <c r="AD670" s="392"/>
      <c r="AE670" s="392"/>
      <c r="AF670" s="392"/>
    </row>
    <row r="671" ht="15.75" customHeight="1">
      <c r="A671" s="216"/>
      <c r="B671" s="156"/>
      <c r="C671" s="156"/>
      <c r="D671" s="156"/>
      <c r="E671" s="392"/>
      <c r="F671" s="392"/>
      <c r="G671" s="392"/>
      <c r="H671" s="392"/>
      <c r="I671" s="392"/>
      <c r="J671" s="392"/>
      <c r="K671" s="392"/>
      <c r="L671" s="392"/>
      <c r="M671" s="392"/>
      <c r="N671" s="392"/>
      <c r="O671" s="392"/>
      <c r="P671" s="392"/>
      <c r="Q671" s="392"/>
      <c r="R671" s="392"/>
      <c r="S671" s="392"/>
      <c r="T671" s="392"/>
      <c r="U671" s="392"/>
      <c r="V671" s="392"/>
      <c r="W671" s="392"/>
      <c r="X671" s="392"/>
      <c r="Y671" s="392"/>
      <c r="Z671" s="392"/>
      <c r="AA671" s="392"/>
      <c r="AB671" s="392"/>
      <c r="AC671" s="392"/>
      <c r="AD671" s="392"/>
      <c r="AE671" s="392"/>
      <c r="AF671" s="392"/>
    </row>
    <row r="672" ht="15.75" customHeight="1">
      <c r="A672" s="216"/>
      <c r="B672" s="156"/>
      <c r="C672" s="156"/>
      <c r="D672" s="156"/>
      <c r="E672" s="392"/>
      <c r="F672" s="392"/>
      <c r="G672" s="392"/>
      <c r="H672" s="392"/>
      <c r="I672" s="392"/>
      <c r="J672" s="392"/>
      <c r="K672" s="392"/>
      <c r="L672" s="392"/>
      <c r="M672" s="392"/>
      <c r="N672" s="392"/>
      <c r="O672" s="392"/>
      <c r="P672" s="392"/>
      <c r="Q672" s="392"/>
      <c r="R672" s="392"/>
      <c r="S672" s="392"/>
      <c r="T672" s="392"/>
      <c r="U672" s="392"/>
      <c r="V672" s="392"/>
      <c r="W672" s="392"/>
      <c r="X672" s="392"/>
      <c r="Y672" s="392"/>
      <c r="Z672" s="392"/>
      <c r="AA672" s="392"/>
      <c r="AB672" s="392"/>
      <c r="AC672" s="392"/>
      <c r="AD672" s="392"/>
      <c r="AE672" s="392"/>
      <c r="AF672" s="392"/>
    </row>
    <row r="673" ht="15.75" customHeight="1">
      <c r="A673" s="216"/>
      <c r="B673" s="156"/>
      <c r="C673" s="156"/>
      <c r="D673" s="156"/>
      <c r="E673" s="392"/>
      <c r="F673" s="392"/>
      <c r="G673" s="392"/>
      <c r="H673" s="392"/>
      <c r="I673" s="392"/>
      <c r="J673" s="392"/>
      <c r="K673" s="392"/>
      <c r="L673" s="392"/>
      <c r="M673" s="392"/>
      <c r="N673" s="392"/>
      <c r="O673" s="392"/>
      <c r="P673" s="392"/>
      <c r="Q673" s="392"/>
      <c r="R673" s="392"/>
      <c r="S673" s="392"/>
      <c r="T673" s="392"/>
      <c r="U673" s="392"/>
      <c r="V673" s="392"/>
      <c r="W673" s="392"/>
      <c r="X673" s="392"/>
      <c r="Y673" s="392"/>
      <c r="Z673" s="392"/>
      <c r="AA673" s="392"/>
      <c r="AB673" s="392"/>
      <c r="AC673" s="392"/>
      <c r="AD673" s="392"/>
      <c r="AE673" s="392"/>
      <c r="AF673" s="392"/>
    </row>
    <row r="674" ht="15.75" customHeight="1">
      <c r="A674" s="216"/>
      <c r="B674" s="156"/>
      <c r="C674" s="156"/>
      <c r="D674" s="156"/>
      <c r="E674" s="392"/>
      <c r="F674" s="392"/>
      <c r="G674" s="392"/>
      <c r="H674" s="392"/>
      <c r="I674" s="392"/>
      <c r="J674" s="392"/>
      <c r="K674" s="392"/>
      <c r="L674" s="392"/>
      <c r="M674" s="392"/>
      <c r="N674" s="392"/>
      <c r="O674" s="392"/>
      <c r="P674" s="392"/>
      <c r="Q674" s="392"/>
      <c r="R674" s="392"/>
      <c r="S674" s="392"/>
      <c r="T674" s="392"/>
      <c r="U674" s="392"/>
      <c r="V674" s="392"/>
      <c r="W674" s="392"/>
      <c r="X674" s="392"/>
      <c r="Y674" s="392"/>
      <c r="Z674" s="392"/>
      <c r="AA674" s="392"/>
      <c r="AB674" s="392"/>
      <c r="AC674" s="392"/>
      <c r="AD674" s="392"/>
      <c r="AE674" s="392"/>
      <c r="AF674" s="392"/>
    </row>
    <row r="675" ht="15.75" customHeight="1">
      <c r="A675" s="216"/>
      <c r="B675" s="156"/>
      <c r="C675" s="156"/>
      <c r="D675" s="156"/>
      <c r="E675" s="392"/>
      <c r="F675" s="392"/>
      <c r="G675" s="392"/>
      <c r="H675" s="392"/>
      <c r="I675" s="392"/>
      <c r="J675" s="392"/>
      <c r="K675" s="392"/>
      <c r="L675" s="392"/>
      <c r="M675" s="392"/>
      <c r="N675" s="392"/>
      <c r="O675" s="392"/>
      <c r="P675" s="392"/>
      <c r="Q675" s="392"/>
      <c r="R675" s="392"/>
      <c r="S675" s="392"/>
      <c r="T675" s="392"/>
      <c r="U675" s="392"/>
      <c r="V675" s="392"/>
      <c r="W675" s="392"/>
      <c r="X675" s="392"/>
      <c r="Y675" s="392"/>
      <c r="Z675" s="392"/>
      <c r="AA675" s="392"/>
      <c r="AB675" s="392"/>
      <c r="AC675" s="392"/>
      <c r="AD675" s="392"/>
      <c r="AE675" s="392"/>
      <c r="AF675" s="392"/>
    </row>
    <row r="676" ht="15.75" customHeight="1">
      <c r="A676" s="216"/>
      <c r="B676" s="156"/>
      <c r="C676" s="156"/>
      <c r="D676" s="156"/>
      <c r="E676" s="392"/>
      <c r="F676" s="392"/>
      <c r="G676" s="392"/>
      <c r="H676" s="392"/>
      <c r="I676" s="392"/>
      <c r="J676" s="392"/>
      <c r="K676" s="392"/>
      <c r="L676" s="392"/>
      <c r="M676" s="392"/>
      <c r="N676" s="392"/>
      <c r="O676" s="392"/>
      <c r="P676" s="392"/>
      <c r="Q676" s="392"/>
      <c r="R676" s="392"/>
      <c r="S676" s="392"/>
      <c r="T676" s="392"/>
      <c r="U676" s="392"/>
      <c r="V676" s="392"/>
      <c r="W676" s="392"/>
      <c r="X676" s="392"/>
      <c r="Y676" s="392"/>
      <c r="Z676" s="392"/>
      <c r="AA676" s="392"/>
      <c r="AB676" s="392"/>
      <c r="AC676" s="392"/>
      <c r="AD676" s="392"/>
      <c r="AE676" s="392"/>
      <c r="AF676" s="392"/>
    </row>
    <row r="677" ht="15.75" customHeight="1">
      <c r="A677" s="216"/>
      <c r="B677" s="156"/>
      <c r="C677" s="156"/>
      <c r="D677" s="156"/>
      <c r="E677" s="392"/>
      <c r="F677" s="392"/>
      <c r="G677" s="392"/>
      <c r="H677" s="392"/>
      <c r="I677" s="392"/>
      <c r="J677" s="392"/>
      <c r="K677" s="392"/>
      <c r="L677" s="392"/>
      <c r="M677" s="392"/>
      <c r="N677" s="392"/>
      <c r="O677" s="392"/>
      <c r="P677" s="392"/>
      <c r="Q677" s="392"/>
      <c r="R677" s="392"/>
      <c r="S677" s="392"/>
      <c r="T677" s="392"/>
      <c r="U677" s="392"/>
      <c r="V677" s="392"/>
      <c r="W677" s="392"/>
      <c r="X677" s="392"/>
      <c r="Y677" s="392"/>
      <c r="Z677" s="392"/>
      <c r="AA677" s="392"/>
      <c r="AB677" s="392"/>
      <c r="AC677" s="392"/>
      <c r="AD677" s="392"/>
      <c r="AE677" s="392"/>
      <c r="AF677" s="392"/>
    </row>
    <row r="678" ht="15.75" customHeight="1">
      <c r="A678" s="216"/>
      <c r="B678" s="156"/>
      <c r="C678" s="156"/>
      <c r="D678" s="156"/>
      <c r="E678" s="392"/>
      <c r="F678" s="392"/>
      <c r="G678" s="392"/>
      <c r="H678" s="392"/>
      <c r="I678" s="392"/>
      <c r="J678" s="392"/>
      <c r="K678" s="392"/>
      <c r="L678" s="392"/>
      <c r="M678" s="392"/>
      <c r="N678" s="392"/>
      <c r="O678" s="392"/>
      <c r="P678" s="392"/>
      <c r="Q678" s="392"/>
      <c r="R678" s="392"/>
      <c r="S678" s="392"/>
      <c r="T678" s="392"/>
      <c r="U678" s="392"/>
      <c r="V678" s="392"/>
      <c r="W678" s="392"/>
      <c r="X678" s="392"/>
      <c r="Y678" s="392"/>
      <c r="Z678" s="392"/>
      <c r="AA678" s="392"/>
      <c r="AB678" s="392"/>
      <c r="AC678" s="392"/>
      <c r="AD678" s="392"/>
      <c r="AE678" s="392"/>
      <c r="AF678" s="392"/>
    </row>
    <row r="679" ht="15.75" customHeight="1">
      <c r="A679" s="216"/>
      <c r="B679" s="156"/>
      <c r="C679" s="156"/>
      <c r="D679" s="156"/>
      <c r="E679" s="392"/>
      <c r="F679" s="392"/>
      <c r="G679" s="392"/>
      <c r="H679" s="392"/>
      <c r="I679" s="392"/>
      <c r="J679" s="392"/>
      <c r="K679" s="392"/>
      <c r="L679" s="392"/>
      <c r="M679" s="392"/>
      <c r="N679" s="392"/>
      <c r="O679" s="392"/>
      <c r="P679" s="392"/>
      <c r="Q679" s="392"/>
      <c r="R679" s="392"/>
      <c r="S679" s="392"/>
      <c r="T679" s="392"/>
      <c r="U679" s="392"/>
      <c r="V679" s="392"/>
      <c r="W679" s="392"/>
      <c r="X679" s="392"/>
      <c r="Y679" s="392"/>
      <c r="Z679" s="392"/>
      <c r="AA679" s="392"/>
      <c r="AB679" s="392"/>
      <c r="AC679" s="392"/>
      <c r="AD679" s="392"/>
      <c r="AE679" s="392"/>
      <c r="AF679" s="392"/>
    </row>
    <row r="680" ht="15.75" customHeight="1">
      <c r="A680" s="216"/>
      <c r="B680" s="156"/>
      <c r="C680" s="156"/>
      <c r="D680" s="156"/>
      <c r="E680" s="392"/>
      <c r="F680" s="392"/>
      <c r="G680" s="392"/>
      <c r="H680" s="392"/>
      <c r="I680" s="392"/>
      <c r="J680" s="392"/>
      <c r="K680" s="392"/>
      <c r="L680" s="392"/>
      <c r="M680" s="392"/>
      <c r="N680" s="392"/>
      <c r="O680" s="392"/>
      <c r="P680" s="392"/>
      <c r="Q680" s="392"/>
      <c r="R680" s="392"/>
      <c r="S680" s="392"/>
      <c r="T680" s="392"/>
      <c r="U680" s="392"/>
      <c r="V680" s="392"/>
      <c r="W680" s="392"/>
      <c r="X680" s="392"/>
      <c r="Y680" s="392"/>
      <c r="Z680" s="392"/>
      <c r="AA680" s="392"/>
      <c r="AB680" s="392"/>
      <c r="AC680" s="392"/>
      <c r="AD680" s="392"/>
      <c r="AE680" s="392"/>
      <c r="AF680" s="392"/>
    </row>
    <row r="681" ht="15.75" customHeight="1">
      <c r="A681" s="216"/>
      <c r="B681" s="156"/>
      <c r="C681" s="156"/>
      <c r="D681" s="156"/>
      <c r="E681" s="392"/>
      <c r="F681" s="392"/>
      <c r="G681" s="392"/>
      <c r="H681" s="392"/>
      <c r="I681" s="392"/>
      <c r="J681" s="392"/>
      <c r="K681" s="392"/>
      <c r="L681" s="392"/>
      <c r="M681" s="392"/>
      <c r="N681" s="392"/>
      <c r="O681" s="392"/>
      <c r="P681" s="392"/>
      <c r="Q681" s="392"/>
      <c r="R681" s="392"/>
      <c r="S681" s="392"/>
      <c r="T681" s="392"/>
      <c r="U681" s="392"/>
      <c r="V681" s="392"/>
      <c r="W681" s="392"/>
      <c r="X681" s="392"/>
      <c r="Y681" s="392"/>
      <c r="Z681" s="392"/>
      <c r="AA681" s="392"/>
      <c r="AB681" s="392"/>
      <c r="AC681" s="392"/>
      <c r="AD681" s="392"/>
      <c r="AE681" s="392"/>
      <c r="AF681" s="392"/>
    </row>
    <row r="682" ht="15.75" customHeight="1">
      <c r="A682" s="216"/>
      <c r="B682" s="156"/>
      <c r="C682" s="156"/>
      <c r="D682" s="156"/>
      <c r="E682" s="392"/>
      <c r="F682" s="392"/>
      <c r="G682" s="392"/>
      <c r="H682" s="392"/>
      <c r="I682" s="392"/>
      <c r="J682" s="392"/>
      <c r="K682" s="392"/>
      <c r="L682" s="392"/>
      <c r="M682" s="392"/>
      <c r="N682" s="392"/>
      <c r="O682" s="392"/>
      <c r="P682" s="392"/>
      <c r="Q682" s="392"/>
      <c r="R682" s="392"/>
      <c r="S682" s="392"/>
      <c r="T682" s="392"/>
      <c r="U682" s="392"/>
      <c r="V682" s="392"/>
      <c r="W682" s="392"/>
      <c r="X682" s="392"/>
      <c r="Y682" s="392"/>
      <c r="Z682" s="392"/>
      <c r="AA682" s="392"/>
      <c r="AB682" s="392"/>
      <c r="AC682" s="392"/>
      <c r="AD682" s="392"/>
      <c r="AE682" s="392"/>
      <c r="AF682" s="392"/>
    </row>
    <row r="683" ht="15.75" customHeight="1">
      <c r="A683" s="216"/>
      <c r="B683" s="156"/>
      <c r="C683" s="156"/>
      <c r="D683" s="156"/>
      <c r="E683" s="392"/>
      <c r="F683" s="392"/>
      <c r="G683" s="392"/>
      <c r="H683" s="392"/>
      <c r="I683" s="392"/>
      <c r="J683" s="392"/>
      <c r="K683" s="392"/>
      <c r="L683" s="392"/>
      <c r="M683" s="392"/>
      <c r="N683" s="392"/>
      <c r="O683" s="392"/>
      <c r="P683" s="392"/>
      <c r="Q683" s="392"/>
      <c r="R683" s="392"/>
      <c r="S683" s="392"/>
      <c r="T683" s="392"/>
      <c r="U683" s="392"/>
      <c r="V683" s="392"/>
      <c r="W683" s="392"/>
      <c r="X683" s="392"/>
      <c r="Y683" s="392"/>
      <c r="Z683" s="392"/>
      <c r="AA683" s="392"/>
      <c r="AB683" s="392"/>
      <c r="AC683" s="392"/>
      <c r="AD683" s="392"/>
      <c r="AE683" s="392"/>
      <c r="AF683" s="392"/>
    </row>
    <row r="684" ht="15.75" customHeight="1">
      <c r="A684" s="216"/>
      <c r="B684" s="156"/>
      <c r="C684" s="156"/>
      <c r="D684" s="156"/>
      <c r="E684" s="392"/>
      <c r="F684" s="392"/>
      <c r="G684" s="392"/>
      <c r="H684" s="392"/>
      <c r="I684" s="392"/>
      <c r="J684" s="392"/>
      <c r="K684" s="392"/>
      <c r="L684" s="392"/>
      <c r="M684" s="392"/>
      <c r="N684" s="392"/>
      <c r="O684" s="392"/>
      <c r="P684" s="392"/>
      <c r="Q684" s="392"/>
      <c r="R684" s="392"/>
      <c r="S684" s="392"/>
      <c r="T684" s="392"/>
      <c r="U684" s="392"/>
      <c r="V684" s="392"/>
      <c r="W684" s="392"/>
      <c r="X684" s="392"/>
      <c r="Y684" s="392"/>
      <c r="Z684" s="392"/>
      <c r="AA684" s="392"/>
      <c r="AB684" s="392"/>
      <c r="AC684" s="392"/>
      <c r="AD684" s="392"/>
      <c r="AE684" s="392"/>
      <c r="AF684" s="392"/>
    </row>
    <row r="685" ht="15.75" customHeight="1">
      <c r="A685" s="216"/>
      <c r="B685" s="156"/>
      <c r="C685" s="156"/>
      <c r="D685" s="156"/>
      <c r="E685" s="392"/>
      <c r="F685" s="392"/>
      <c r="G685" s="392"/>
      <c r="H685" s="392"/>
      <c r="I685" s="392"/>
      <c r="J685" s="392"/>
      <c r="K685" s="392"/>
      <c r="L685" s="392"/>
      <c r="M685" s="392"/>
      <c r="N685" s="392"/>
      <c r="O685" s="392"/>
      <c r="P685" s="392"/>
      <c r="Q685" s="392"/>
      <c r="R685" s="392"/>
      <c r="S685" s="392"/>
      <c r="T685" s="392"/>
      <c r="U685" s="392"/>
      <c r="V685" s="392"/>
      <c r="W685" s="392"/>
      <c r="X685" s="392"/>
      <c r="Y685" s="392"/>
      <c r="Z685" s="392"/>
      <c r="AA685" s="392"/>
      <c r="AB685" s="392"/>
      <c r="AC685" s="392"/>
      <c r="AD685" s="392"/>
      <c r="AE685" s="392"/>
      <c r="AF685" s="392"/>
    </row>
    <row r="686" ht="15.75" customHeight="1">
      <c r="A686" s="216"/>
      <c r="B686" s="156"/>
      <c r="C686" s="156"/>
      <c r="D686" s="156"/>
      <c r="E686" s="392"/>
      <c r="F686" s="392"/>
      <c r="G686" s="392"/>
      <c r="H686" s="392"/>
      <c r="I686" s="392"/>
      <c r="J686" s="392"/>
      <c r="K686" s="392"/>
      <c r="L686" s="392"/>
      <c r="M686" s="392"/>
      <c r="N686" s="392"/>
      <c r="O686" s="392"/>
      <c r="P686" s="392"/>
      <c r="Q686" s="392"/>
      <c r="R686" s="392"/>
      <c r="S686" s="392"/>
      <c r="T686" s="392"/>
      <c r="U686" s="392"/>
      <c r="V686" s="392"/>
      <c r="W686" s="392"/>
      <c r="X686" s="392"/>
      <c r="Y686" s="392"/>
      <c r="Z686" s="392"/>
      <c r="AA686" s="392"/>
      <c r="AB686" s="392"/>
      <c r="AC686" s="392"/>
      <c r="AD686" s="392"/>
      <c r="AE686" s="392"/>
      <c r="AF686" s="392"/>
    </row>
    <row r="687" ht="15.75" customHeight="1">
      <c r="A687" s="216"/>
      <c r="B687" s="156"/>
      <c r="C687" s="156"/>
      <c r="D687" s="156"/>
      <c r="E687" s="392"/>
      <c r="F687" s="392"/>
      <c r="G687" s="392"/>
      <c r="H687" s="392"/>
      <c r="I687" s="392"/>
      <c r="J687" s="392"/>
      <c r="K687" s="392"/>
      <c r="L687" s="392"/>
      <c r="M687" s="392"/>
      <c r="N687" s="392"/>
      <c r="O687" s="392"/>
      <c r="P687" s="392"/>
      <c r="Q687" s="392"/>
      <c r="R687" s="392"/>
      <c r="S687" s="392"/>
      <c r="T687" s="392"/>
      <c r="U687" s="392"/>
      <c r="V687" s="392"/>
      <c r="W687" s="392"/>
      <c r="X687" s="392"/>
      <c r="Y687" s="392"/>
      <c r="Z687" s="392"/>
      <c r="AA687" s="392"/>
      <c r="AB687" s="392"/>
      <c r="AC687" s="392"/>
      <c r="AD687" s="392"/>
      <c r="AE687" s="392"/>
      <c r="AF687" s="392"/>
    </row>
    <row r="688" ht="15.75" customHeight="1">
      <c r="A688" s="216"/>
      <c r="B688" s="156"/>
      <c r="C688" s="156"/>
      <c r="D688" s="156"/>
      <c r="E688" s="392"/>
      <c r="F688" s="392"/>
      <c r="G688" s="392"/>
      <c r="H688" s="392"/>
      <c r="I688" s="392"/>
      <c r="J688" s="392"/>
      <c r="K688" s="392"/>
      <c r="L688" s="392"/>
      <c r="M688" s="392"/>
      <c r="N688" s="392"/>
      <c r="O688" s="392"/>
      <c r="P688" s="392"/>
      <c r="Q688" s="392"/>
      <c r="R688" s="392"/>
      <c r="S688" s="392"/>
      <c r="T688" s="392"/>
      <c r="U688" s="392"/>
      <c r="V688" s="392"/>
      <c r="W688" s="392"/>
      <c r="X688" s="392"/>
      <c r="Y688" s="392"/>
      <c r="Z688" s="392"/>
      <c r="AA688" s="392"/>
      <c r="AB688" s="392"/>
      <c r="AC688" s="392"/>
      <c r="AD688" s="392"/>
      <c r="AE688" s="392"/>
      <c r="AF688" s="392"/>
    </row>
    <row r="689" ht="15.75" customHeight="1">
      <c r="A689" s="216"/>
      <c r="B689" s="156"/>
      <c r="C689" s="156"/>
      <c r="D689" s="156"/>
      <c r="E689" s="392"/>
      <c r="F689" s="392"/>
      <c r="G689" s="392"/>
      <c r="H689" s="392"/>
      <c r="I689" s="392"/>
      <c r="J689" s="392"/>
      <c r="K689" s="392"/>
      <c r="L689" s="392"/>
      <c r="M689" s="392"/>
      <c r="N689" s="392"/>
      <c r="O689" s="392"/>
      <c r="P689" s="392"/>
      <c r="Q689" s="392"/>
      <c r="R689" s="392"/>
      <c r="S689" s="392"/>
      <c r="T689" s="392"/>
      <c r="U689" s="392"/>
      <c r="V689" s="392"/>
      <c r="W689" s="392"/>
      <c r="X689" s="392"/>
      <c r="Y689" s="392"/>
      <c r="Z689" s="392"/>
      <c r="AA689" s="392"/>
      <c r="AB689" s="392"/>
      <c r="AC689" s="392"/>
      <c r="AD689" s="392"/>
      <c r="AE689" s="392"/>
      <c r="AF689" s="392"/>
    </row>
    <row r="690" ht="15.75" customHeight="1">
      <c r="A690" s="216"/>
      <c r="B690" s="156"/>
      <c r="C690" s="156"/>
      <c r="D690" s="156"/>
      <c r="E690" s="392"/>
      <c r="F690" s="392"/>
      <c r="G690" s="392"/>
      <c r="H690" s="392"/>
      <c r="I690" s="392"/>
      <c r="J690" s="392"/>
      <c r="K690" s="392"/>
      <c r="L690" s="392"/>
      <c r="M690" s="392"/>
      <c r="N690" s="392"/>
      <c r="O690" s="392"/>
      <c r="P690" s="392"/>
      <c r="Q690" s="392"/>
      <c r="R690" s="392"/>
      <c r="S690" s="392"/>
      <c r="T690" s="392"/>
      <c r="U690" s="392"/>
      <c r="V690" s="392"/>
      <c r="W690" s="392"/>
      <c r="X690" s="392"/>
      <c r="Y690" s="392"/>
      <c r="Z690" s="392"/>
      <c r="AA690" s="392"/>
      <c r="AB690" s="392"/>
      <c r="AC690" s="392"/>
      <c r="AD690" s="392"/>
      <c r="AE690" s="392"/>
      <c r="AF690" s="392"/>
    </row>
    <row r="691" ht="15.75" customHeight="1">
      <c r="A691" s="216"/>
      <c r="B691" s="156"/>
      <c r="C691" s="156"/>
      <c r="D691" s="156"/>
      <c r="E691" s="392"/>
      <c r="F691" s="392"/>
      <c r="G691" s="392"/>
      <c r="H691" s="392"/>
      <c r="I691" s="392"/>
      <c r="J691" s="392"/>
      <c r="K691" s="392"/>
      <c r="L691" s="392"/>
      <c r="M691" s="392"/>
      <c r="N691" s="392"/>
      <c r="O691" s="392"/>
      <c r="P691" s="392"/>
      <c r="Q691" s="392"/>
      <c r="R691" s="392"/>
      <c r="S691" s="392"/>
      <c r="T691" s="392"/>
      <c r="U691" s="392"/>
      <c r="V691" s="392"/>
      <c r="W691" s="392"/>
      <c r="X691" s="392"/>
      <c r="Y691" s="392"/>
      <c r="Z691" s="392"/>
      <c r="AA691" s="392"/>
      <c r="AB691" s="392"/>
      <c r="AC691" s="392"/>
      <c r="AD691" s="392"/>
      <c r="AE691" s="392"/>
      <c r="AF691" s="392"/>
    </row>
    <row r="692" ht="15.75" customHeight="1">
      <c r="A692" s="216"/>
      <c r="B692" s="156"/>
      <c r="C692" s="156"/>
      <c r="D692" s="156"/>
      <c r="E692" s="392"/>
      <c r="F692" s="392"/>
      <c r="G692" s="392"/>
      <c r="H692" s="392"/>
      <c r="I692" s="392"/>
      <c r="J692" s="392"/>
      <c r="K692" s="392"/>
      <c r="L692" s="392"/>
      <c r="M692" s="392"/>
      <c r="N692" s="392"/>
      <c r="O692" s="392"/>
      <c r="P692" s="392"/>
      <c r="Q692" s="392"/>
      <c r="R692" s="392"/>
      <c r="S692" s="392"/>
      <c r="T692" s="392"/>
      <c r="U692" s="392"/>
      <c r="V692" s="392"/>
      <c r="W692" s="392"/>
      <c r="X692" s="392"/>
      <c r="Y692" s="392"/>
      <c r="Z692" s="392"/>
      <c r="AA692" s="392"/>
      <c r="AB692" s="392"/>
      <c r="AC692" s="392"/>
      <c r="AD692" s="392"/>
      <c r="AE692" s="392"/>
      <c r="AF692" s="392"/>
    </row>
    <row r="693" ht="15.75" customHeight="1">
      <c r="A693" s="216"/>
      <c r="B693" s="156"/>
      <c r="C693" s="156"/>
      <c r="D693" s="156"/>
      <c r="E693" s="392"/>
      <c r="F693" s="392"/>
      <c r="G693" s="392"/>
      <c r="H693" s="392"/>
      <c r="I693" s="392"/>
      <c r="J693" s="392"/>
      <c r="K693" s="392"/>
      <c r="L693" s="392"/>
      <c r="M693" s="392"/>
      <c r="N693" s="392"/>
      <c r="O693" s="392"/>
      <c r="P693" s="392"/>
      <c r="Q693" s="392"/>
      <c r="R693" s="392"/>
      <c r="S693" s="392"/>
      <c r="T693" s="392"/>
      <c r="U693" s="392"/>
      <c r="V693" s="392"/>
      <c r="W693" s="392"/>
      <c r="X693" s="392"/>
      <c r="Y693" s="392"/>
      <c r="Z693" s="392"/>
      <c r="AA693" s="392"/>
      <c r="AB693" s="392"/>
      <c r="AC693" s="392"/>
      <c r="AD693" s="392"/>
      <c r="AE693" s="392"/>
      <c r="AF693" s="392"/>
    </row>
    <row r="694" ht="15.75" customHeight="1">
      <c r="A694" s="216"/>
      <c r="B694" s="156"/>
      <c r="C694" s="156"/>
      <c r="D694" s="156"/>
      <c r="E694" s="392"/>
      <c r="F694" s="392"/>
      <c r="G694" s="392"/>
      <c r="H694" s="392"/>
      <c r="I694" s="392"/>
      <c r="J694" s="392"/>
      <c r="K694" s="392"/>
      <c r="L694" s="392"/>
      <c r="M694" s="392"/>
      <c r="N694" s="392"/>
      <c r="O694" s="392"/>
      <c r="P694" s="392"/>
      <c r="Q694" s="392"/>
      <c r="R694" s="392"/>
      <c r="S694" s="392"/>
      <c r="T694" s="392"/>
      <c r="U694" s="392"/>
      <c r="V694" s="392"/>
      <c r="W694" s="392"/>
      <c r="X694" s="392"/>
      <c r="Y694" s="392"/>
      <c r="Z694" s="392"/>
      <c r="AA694" s="392"/>
      <c r="AB694" s="392"/>
      <c r="AC694" s="392"/>
      <c r="AD694" s="392"/>
      <c r="AE694" s="392"/>
      <c r="AF694" s="392"/>
    </row>
    <row r="695" ht="15.75" customHeight="1">
      <c r="A695" s="216"/>
      <c r="B695" s="156"/>
      <c r="C695" s="156"/>
      <c r="D695" s="156"/>
      <c r="E695" s="392"/>
      <c r="F695" s="392"/>
      <c r="G695" s="392"/>
      <c r="H695" s="392"/>
      <c r="I695" s="392"/>
      <c r="J695" s="392"/>
      <c r="K695" s="392"/>
      <c r="L695" s="392"/>
      <c r="M695" s="392"/>
      <c r="N695" s="392"/>
      <c r="O695" s="392"/>
      <c r="P695" s="392"/>
      <c r="Q695" s="392"/>
      <c r="R695" s="392"/>
      <c r="S695" s="392"/>
      <c r="T695" s="392"/>
      <c r="U695" s="392"/>
      <c r="V695" s="392"/>
      <c r="W695" s="392"/>
      <c r="X695" s="392"/>
      <c r="Y695" s="392"/>
      <c r="Z695" s="392"/>
      <c r="AA695" s="392"/>
      <c r="AB695" s="392"/>
      <c r="AC695" s="392"/>
      <c r="AD695" s="392"/>
      <c r="AE695" s="392"/>
      <c r="AF695" s="392"/>
    </row>
    <row r="696" ht="15.75" customHeight="1">
      <c r="A696" s="216"/>
      <c r="B696" s="156"/>
      <c r="C696" s="156"/>
      <c r="D696" s="156"/>
      <c r="E696" s="392"/>
      <c r="F696" s="392"/>
      <c r="G696" s="392"/>
      <c r="H696" s="392"/>
      <c r="I696" s="392"/>
      <c r="J696" s="392"/>
      <c r="K696" s="392"/>
      <c r="L696" s="392"/>
      <c r="M696" s="392"/>
      <c r="N696" s="392"/>
      <c r="O696" s="392"/>
      <c r="P696" s="392"/>
      <c r="Q696" s="392"/>
      <c r="R696" s="392"/>
      <c r="S696" s="392"/>
      <c r="T696" s="392"/>
      <c r="U696" s="392"/>
      <c r="V696" s="392"/>
      <c r="W696" s="392"/>
      <c r="X696" s="392"/>
      <c r="Y696" s="392"/>
      <c r="Z696" s="392"/>
      <c r="AA696" s="392"/>
      <c r="AB696" s="392"/>
      <c r="AC696" s="392"/>
      <c r="AD696" s="392"/>
      <c r="AE696" s="392"/>
      <c r="AF696" s="392"/>
    </row>
    <row r="697" ht="15.75" customHeight="1">
      <c r="A697" s="216"/>
      <c r="B697" s="156"/>
      <c r="C697" s="156"/>
      <c r="D697" s="156"/>
      <c r="E697" s="392"/>
      <c r="F697" s="392"/>
      <c r="G697" s="392"/>
      <c r="H697" s="392"/>
      <c r="I697" s="392"/>
      <c r="J697" s="392"/>
      <c r="K697" s="392"/>
      <c r="L697" s="392"/>
      <c r="M697" s="392"/>
      <c r="N697" s="392"/>
      <c r="O697" s="392"/>
      <c r="P697" s="392"/>
      <c r="Q697" s="392"/>
      <c r="R697" s="392"/>
      <c r="S697" s="392"/>
      <c r="T697" s="392"/>
      <c r="U697" s="392"/>
      <c r="V697" s="392"/>
      <c r="W697" s="392"/>
      <c r="X697" s="392"/>
      <c r="Y697" s="392"/>
      <c r="Z697" s="392"/>
      <c r="AA697" s="392"/>
      <c r="AB697" s="392"/>
      <c r="AC697" s="392"/>
      <c r="AD697" s="392"/>
      <c r="AE697" s="392"/>
      <c r="AF697" s="392"/>
    </row>
    <row r="698" ht="15.75" customHeight="1">
      <c r="A698" s="216"/>
      <c r="B698" s="156"/>
      <c r="C698" s="156"/>
      <c r="D698" s="156"/>
      <c r="E698" s="392"/>
      <c r="F698" s="392"/>
      <c r="G698" s="392"/>
      <c r="H698" s="392"/>
      <c r="I698" s="392"/>
      <c r="J698" s="392"/>
      <c r="K698" s="392"/>
      <c r="L698" s="392"/>
      <c r="M698" s="392"/>
      <c r="N698" s="392"/>
      <c r="O698" s="392"/>
      <c r="P698" s="392"/>
      <c r="Q698" s="392"/>
      <c r="R698" s="392"/>
      <c r="S698" s="392"/>
      <c r="T698" s="392"/>
      <c r="U698" s="392"/>
      <c r="V698" s="392"/>
      <c r="W698" s="392"/>
      <c r="X698" s="392"/>
      <c r="Y698" s="392"/>
      <c r="Z698" s="392"/>
      <c r="AA698" s="392"/>
      <c r="AB698" s="392"/>
      <c r="AC698" s="392"/>
      <c r="AD698" s="392"/>
      <c r="AE698" s="392"/>
      <c r="AF698" s="392"/>
    </row>
    <row r="699" ht="15.75" customHeight="1">
      <c r="A699" s="216"/>
      <c r="B699" s="156"/>
      <c r="C699" s="156"/>
      <c r="D699" s="156"/>
      <c r="E699" s="392"/>
      <c r="F699" s="392"/>
      <c r="G699" s="392"/>
      <c r="H699" s="392"/>
      <c r="I699" s="392"/>
      <c r="J699" s="392"/>
      <c r="K699" s="392"/>
      <c r="L699" s="392"/>
      <c r="M699" s="392"/>
      <c r="N699" s="392"/>
      <c r="O699" s="392"/>
      <c r="P699" s="392"/>
      <c r="Q699" s="392"/>
      <c r="R699" s="392"/>
      <c r="S699" s="392"/>
      <c r="T699" s="392"/>
      <c r="U699" s="392"/>
      <c r="V699" s="392"/>
      <c r="W699" s="392"/>
      <c r="X699" s="392"/>
      <c r="Y699" s="392"/>
      <c r="Z699" s="392"/>
      <c r="AA699" s="392"/>
      <c r="AB699" s="392"/>
      <c r="AC699" s="392"/>
      <c r="AD699" s="392"/>
      <c r="AE699" s="392"/>
      <c r="AF699" s="392"/>
    </row>
    <row r="700" ht="15.75" customHeight="1">
      <c r="A700" s="216"/>
      <c r="B700" s="156"/>
      <c r="C700" s="156"/>
      <c r="D700" s="156"/>
      <c r="E700" s="392"/>
      <c r="F700" s="392"/>
      <c r="G700" s="392"/>
      <c r="H700" s="392"/>
      <c r="I700" s="392"/>
      <c r="J700" s="392"/>
      <c r="K700" s="392"/>
      <c r="L700" s="392"/>
      <c r="M700" s="392"/>
      <c r="N700" s="392"/>
      <c r="O700" s="392"/>
      <c r="P700" s="392"/>
      <c r="Q700" s="392"/>
      <c r="R700" s="392"/>
      <c r="S700" s="392"/>
      <c r="T700" s="392"/>
      <c r="U700" s="392"/>
      <c r="V700" s="392"/>
      <c r="W700" s="392"/>
      <c r="X700" s="392"/>
      <c r="Y700" s="392"/>
      <c r="Z700" s="392"/>
      <c r="AA700" s="392"/>
      <c r="AB700" s="392"/>
      <c r="AC700" s="392"/>
      <c r="AD700" s="392"/>
      <c r="AE700" s="392"/>
      <c r="AF700" s="392"/>
    </row>
    <row r="701" ht="15.75" customHeight="1">
      <c r="A701" s="216"/>
      <c r="B701" s="156"/>
      <c r="C701" s="156"/>
      <c r="D701" s="156"/>
      <c r="E701" s="392"/>
      <c r="F701" s="392"/>
      <c r="G701" s="392"/>
      <c r="H701" s="392"/>
      <c r="I701" s="392"/>
      <c r="J701" s="392"/>
      <c r="K701" s="392"/>
      <c r="L701" s="392"/>
      <c r="M701" s="392"/>
      <c r="N701" s="392"/>
      <c r="O701" s="392"/>
      <c r="P701" s="392"/>
      <c r="Q701" s="392"/>
      <c r="R701" s="392"/>
      <c r="S701" s="392"/>
      <c r="T701" s="392"/>
      <c r="U701" s="392"/>
      <c r="V701" s="392"/>
      <c r="W701" s="392"/>
      <c r="X701" s="392"/>
      <c r="Y701" s="392"/>
      <c r="Z701" s="392"/>
      <c r="AA701" s="392"/>
      <c r="AB701" s="392"/>
      <c r="AC701" s="392"/>
      <c r="AD701" s="392"/>
      <c r="AE701" s="392"/>
      <c r="AF701" s="392"/>
    </row>
    <row r="702" ht="15.75" customHeight="1">
      <c r="A702" s="216"/>
      <c r="B702" s="156"/>
      <c r="C702" s="156"/>
      <c r="D702" s="156"/>
      <c r="E702" s="392"/>
      <c r="F702" s="392"/>
      <c r="G702" s="392"/>
      <c r="H702" s="392"/>
      <c r="I702" s="392"/>
      <c r="J702" s="392"/>
      <c r="K702" s="392"/>
      <c r="L702" s="392"/>
      <c r="M702" s="392"/>
      <c r="N702" s="392"/>
      <c r="O702" s="392"/>
      <c r="P702" s="392"/>
      <c r="Q702" s="392"/>
      <c r="R702" s="392"/>
      <c r="S702" s="392"/>
      <c r="T702" s="392"/>
      <c r="U702" s="392"/>
      <c r="V702" s="392"/>
      <c r="W702" s="392"/>
      <c r="X702" s="392"/>
      <c r="Y702" s="392"/>
      <c r="Z702" s="392"/>
      <c r="AA702" s="392"/>
      <c r="AB702" s="392"/>
      <c r="AC702" s="392"/>
      <c r="AD702" s="392"/>
      <c r="AE702" s="392"/>
      <c r="AF702" s="392"/>
    </row>
    <row r="703" ht="15.75" customHeight="1">
      <c r="A703" s="216"/>
      <c r="B703" s="156"/>
      <c r="C703" s="156"/>
      <c r="D703" s="156"/>
      <c r="E703" s="392"/>
      <c r="F703" s="392"/>
      <c r="G703" s="392"/>
      <c r="H703" s="392"/>
      <c r="I703" s="392"/>
      <c r="J703" s="392"/>
      <c r="K703" s="392"/>
      <c r="L703" s="392"/>
      <c r="M703" s="392"/>
      <c r="N703" s="392"/>
      <c r="O703" s="392"/>
      <c r="P703" s="392"/>
      <c r="Q703" s="392"/>
      <c r="R703" s="392"/>
      <c r="S703" s="392"/>
      <c r="T703" s="392"/>
      <c r="U703" s="392"/>
      <c r="V703" s="392"/>
      <c r="W703" s="392"/>
      <c r="X703" s="392"/>
      <c r="Y703" s="392"/>
      <c r="Z703" s="392"/>
      <c r="AA703" s="392"/>
      <c r="AB703" s="392"/>
      <c r="AC703" s="392"/>
      <c r="AD703" s="392"/>
      <c r="AE703" s="392"/>
      <c r="AF703" s="392"/>
    </row>
    <row r="704" ht="15.75" customHeight="1">
      <c r="A704" s="216"/>
      <c r="B704" s="156"/>
      <c r="C704" s="156"/>
      <c r="D704" s="156"/>
      <c r="E704" s="392"/>
      <c r="F704" s="392"/>
      <c r="G704" s="392"/>
      <c r="H704" s="392"/>
      <c r="I704" s="392"/>
      <c r="J704" s="392"/>
      <c r="K704" s="392"/>
      <c r="L704" s="392"/>
      <c r="M704" s="392"/>
      <c r="N704" s="392"/>
      <c r="O704" s="392"/>
      <c r="P704" s="392"/>
      <c r="Q704" s="392"/>
      <c r="R704" s="392"/>
      <c r="S704" s="392"/>
      <c r="T704" s="392"/>
      <c r="U704" s="392"/>
      <c r="V704" s="392"/>
      <c r="W704" s="392"/>
      <c r="X704" s="392"/>
      <c r="Y704" s="392"/>
      <c r="Z704" s="392"/>
      <c r="AA704" s="392"/>
      <c r="AB704" s="392"/>
      <c r="AC704" s="392"/>
      <c r="AD704" s="392"/>
      <c r="AE704" s="392"/>
      <c r="AF704" s="392"/>
    </row>
    <row r="705" ht="15.75" customHeight="1">
      <c r="A705" s="216"/>
      <c r="B705" s="156"/>
      <c r="C705" s="156"/>
      <c r="D705" s="156"/>
      <c r="E705" s="392"/>
      <c r="F705" s="392"/>
      <c r="G705" s="392"/>
      <c r="H705" s="392"/>
      <c r="I705" s="392"/>
      <c r="J705" s="392"/>
      <c r="K705" s="392"/>
      <c r="L705" s="392"/>
      <c r="M705" s="392"/>
      <c r="N705" s="392"/>
      <c r="O705" s="392"/>
      <c r="P705" s="392"/>
      <c r="Q705" s="392"/>
      <c r="R705" s="392"/>
      <c r="S705" s="392"/>
      <c r="T705" s="392"/>
      <c r="U705" s="392"/>
      <c r="V705" s="392"/>
      <c r="W705" s="392"/>
      <c r="X705" s="392"/>
      <c r="Y705" s="392"/>
      <c r="Z705" s="392"/>
      <c r="AA705" s="392"/>
      <c r="AB705" s="392"/>
      <c r="AC705" s="392"/>
      <c r="AD705" s="392"/>
      <c r="AE705" s="392"/>
      <c r="AF705" s="392"/>
    </row>
    <row r="706" ht="15.75" customHeight="1">
      <c r="A706" s="216"/>
      <c r="B706" s="156"/>
      <c r="C706" s="156"/>
      <c r="D706" s="156"/>
      <c r="E706" s="392"/>
      <c r="F706" s="392"/>
      <c r="G706" s="392"/>
      <c r="H706" s="392"/>
      <c r="I706" s="392"/>
      <c r="J706" s="392"/>
      <c r="K706" s="392"/>
      <c r="L706" s="392"/>
      <c r="M706" s="392"/>
      <c r="N706" s="392"/>
      <c r="O706" s="392"/>
      <c r="P706" s="392"/>
      <c r="Q706" s="392"/>
      <c r="R706" s="392"/>
      <c r="S706" s="392"/>
      <c r="T706" s="392"/>
      <c r="U706" s="392"/>
      <c r="V706" s="392"/>
      <c r="W706" s="392"/>
      <c r="X706" s="392"/>
      <c r="Y706" s="392"/>
      <c r="Z706" s="392"/>
      <c r="AA706" s="392"/>
      <c r="AB706" s="392"/>
      <c r="AC706" s="392"/>
      <c r="AD706" s="392"/>
      <c r="AE706" s="392"/>
      <c r="AF706" s="392"/>
    </row>
    <row r="707" ht="15.75" customHeight="1">
      <c r="A707" s="216"/>
      <c r="B707" s="156"/>
      <c r="C707" s="156"/>
      <c r="D707" s="156"/>
      <c r="E707" s="392"/>
      <c r="F707" s="392"/>
      <c r="G707" s="392"/>
      <c r="H707" s="392"/>
      <c r="I707" s="392"/>
      <c r="J707" s="392"/>
      <c r="K707" s="392"/>
      <c r="L707" s="392"/>
      <c r="M707" s="392"/>
      <c r="N707" s="392"/>
      <c r="O707" s="392"/>
      <c r="P707" s="392"/>
      <c r="Q707" s="392"/>
      <c r="R707" s="392"/>
      <c r="S707" s="392"/>
      <c r="T707" s="392"/>
      <c r="U707" s="392"/>
      <c r="V707" s="392"/>
      <c r="W707" s="392"/>
      <c r="X707" s="392"/>
      <c r="Y707" s="392"/>
      <c r="Z707" s="392"/>
      <c r="AA707" s="392"/>
      <c r="AB707" s="392"/>
      <c r="AC707" s="392"/>
      <c r="AD707" s="392"/>
      <c r="AE707" s="392"/>
      <c r="AF707" s="392"/>
    </row>
    <row r="708" ht="15.75" customHeight="1">
      <c r="A708" s="216"/>
      <c r="B708" s="156"/>
      <c r="C708" s="156"/>
      <c r="D708" s="156"/>
      <c r="E708" s="392"/>
      <c r="F708" s="392"/>
      <c r="G708" s="392"/>
      <c r="H708" s="392"/>
      <c r="I708" s="392"/>
      <c r="J708" s="392"/>
      <c r="K708" s="392"/>
      <c r="L708" s="392"/>
      <c r="M708" s="392"/>
      <c r="N708" s="392"/>
      <c r="O708" s="392"/>
      <c r="P708" s="392"/>
      <c r="Q708" s="392"/>
      <c r="R708" s="392"/>
      <c r="S708" s="392"/>
      <c r="T708" s="392"/>
      <c r="U708" s="392"/>
      <c r="V708" s="392"/>
      <c r="W708" s="392"/>
      <c r="X708" s="392"/>
      <c r="Y708" s="392"/>
      <c r="Z708" s="392"/>
      <c r="AA708" s="392"/>
      <c r="AB708" s="392"/>
      <c r="AC708" s="392"/>
      <c r="AD708" s="392"/>
      <c r="AE708" s="392"/>
      <c r="AF708" s="392"/>
    </row>
    <row r="709" ht="15.75" customHeight="1">
      <c r="A709" s="216"/>
      <c r="B709" s="156"/>
      <c r="C709" s="156"/>
      <c r="D709" s="156"/>
      <c r="E709" s="392"/>
      <c r="F709" s="392"/>
      <c r="G709" s="392"/>
      <c r="H709" s="392"/>
      <c r="I709" s="392"/>
      <c r="J709" s="392"/>
      <c r="K709" s="392"/>
      <c r="L709" s="392"/>
      <c r="M709" s="392"/>
      <c r="N709" s="392"/>
      <c r="O709" s="392"/>
      <c r="P709" s="392"/>
      <c r="Q709" s="392"/>
      <c r="R709" s="392"/>
      <c r="S709" s="392"/>
      <c r="T709" s="392"/>
      <c r="U709" s="392"/>
      <c r="V709" s="392"/>
      <c r="W709" s="392"/>
      <c r="X709" s="392"/>
      <c r="Y709" s="392"/>
      <c r="Z709" s="392"/>
      <c r="AA709" s="392"/>
      <c r="AB709" s="392"/>
      <c r="AC709" s="392"/>
      <c r="AD709" s="392"/>
      <c r="AE709" s="392"/>
      <c r="AF709" s="392"/>
    </row>
    <row r="710" ht="15.75" customHeight="1">
      <c r="A710" s="216"/>
      <c r="B710" s="156"/>
      <c r="C710" s="156"/>
      <c r="D710" s="156"/>
      <c r="E710" s="392"/>
      <c r="F710" s="392"/>
      <c r="G710" s="392"/>
      <c r="H710" s="392"/>
      <c r="I710" s="392"/>
      <c r="J710" s="392"/>
      <c r="K710" s="392"/>
      <c r="L710" s="392"/>
      <c r="M710" s="392"/>
      <c r="N710" s="392"/>
      <c r="O710" s="392"/>
      <c r="P710" s="392"/>
      <c r="Q710" s="392"/>
      <c r="R710" s="392"/>
      <c r="S710" s="392"/>
      <c r="T710" s="392"/>
      <c r="U710" s="392"/>
      <c r="V710" s="392"/>
      <c r="W710" s="392"/>
      <c r="X710" s="392"/>
      <c r="Y710" s="392"/>
      <c r="Z710" s="392"/>
      <c r="AA710" s="392"/>
      <c r="AB710" s="392"/>
      <c r="AC710" s="392"/>
      <c r="AD710" s="392"/>
      <c r="AE710" s="392"/>
      <c r="AF710" s="392"/>
    </row>
    <row r="711" ht="15.75" customHeight="1">
      <c r="A711" s="216"/>
      <c r="B711" s="156"/>
      <c r="C711" s="156"/>
      <c r="D711" s="156"/>
      <c r="E711" s="392"/>
      <c r="F711" s="392"/>
      <c r="G711" s="392"/>
      <c r="H711" s="392"/>
      <c r="I711" s="392"/>
      <c r="J711" s="392"/>
      <c r="K711" s="392"/>
      <c r="L711" s="392"/>
      <c r="M711" s="392"/>
      <c r="N711" s="392"/>
      <c r="O711" s="392"/>
      <c r="P711" s="392"/>
      <c r="Q711" s="392"/>
      <c r="R711" s="392"/>
      <c r="S711" s="392"/>
      <c r="T711" s="392"/>
      <c r="U711" s="392"/>
      <c r="V711" s="392"/>
      <c r="W711" s="392"/>
      <c r="X711" s="392"/>
      <c r="Y711" s="392"/>
      <c r="Z711" s="392"/>
      <c r="AA711" s="392"/>
      <c r="AB711" s="392"/>
      <c r="AC711" s="392"/>
      <c r="AD711" s="392"/>
      <c r="AE711" s="392"/>
      <c r="AF711" s="392"/>
    </row>
    <row r="712" ht="15.75" customHeight="1">
      <c r="A712" s="216"/>
      <c r="B712" s="156"/>
      <c r="C712" s="156"/>
      <c r="D712" s="156"/>
      <c r="E712" s="392"/>
      <c r="F712" s="392"/>
      <c r="G712" s="392"/>
      <c r="H712" s="392"/>
      <c r="I712" s="392"/>
      <c r="J712" s="392"/>
      <c r="K712" s="392"/>
      <c r="L712" s="392"/>
      <c r="M712" s="392"/>
      <c r="N712" s="392"/>
      <c r="O712" s="392"/>
      <c r="P712" s="392"/>
      <c r="Q712" s="392"/>
      <c r="R712" s="392"/>
      <c r="S712" s="392"/>
      <c r="T712" s="392"/>
      <c r="U712" s="392"/>
      <c r="V712" s="392"/>
      <c r="W712" s="392"/>
      <c r="X712" s="392"/>
      <c r="Y712" s="392"/>
      <c r="Z712" s="392"/>
      <c r="AA712" s="392"/>
      <c r="AB712" s="392"/>
      <c r="AC712" s="392"/>
      <c r="AD712" s="392"/>
      <c r="AE712" s="392"/>
      <c r="AF712" s="392"/>
    </row>
    <row r="713" ht="15.75" customHeight="1">
      <c r="A713" s="216"/>
      <c r="B713" s="156"/>
      <c r="C713" s="156"/>
      <c r="D713" s="156"/>
      <c r="E713" s="392"/>
      <c r="F713" s="392"/>
      <c r="G713" s="392"/>
      <c r="H713" s="392"/>
      <c r="I713" s="392"/>
      <c r="J713" s="392"/>
      <c r="K713" s="392"/>
      <c r="L713" s="392"/>
      <c r="M713" s="392"/>
      <c r="N713" s="392"/>
      <c r="O713" s="392"/>
      <c r="P713" s="392"/>
      <c r="Q713" s="392"/>
      <c r="R713" s="392"/>
      <c r="S713" s="392"/>
      <c r="T713" s="392"/>
      <c r="U713" s="392"/>
      <c r="V713" s="392"/>
      <c r="W713" s="392"/>
      <c r="X713" s="392"/>
      <c r="Y713" s="392"/>
      <c r="Z713" s="392"/>
      <c r="AA713" s="392"/>
      <c r="AB713" s="392"/>
      <c r="AC713" s="392"/>
      <c r="AD713" s="392"/>
      <c r="AE713" s="392"/>
      <c r="AF713" s="392"/>
    </row>
    <row r="714" ht="15.75" customHeight="1">
      <c r="A714" s="216"/>
      <c r="B714" s="156"/>
      <c r="C714" s="156"/>
      <c r="D714" s="156"/>
      <c r="E714" s="392"/>
      <c r="F714" s="392"/>
      <c r="G714" s="392"/>
      <c r="H714" s="392"/>
      <c r="I714" s="392"/>
      <c r="J714" s="392"/>
      <c r="K714" s="392"/>
      <c r="L714" s="392"/>
      <c r="M714" s="392"/>
      <c r="N714" s="392"/>
      <c r="O714" s="392"/>
      <c r="P714" s="392"/>
      <c r="Q714" s="392"/>
      <c r="R714" s="392"/>
      <c r="S714" s="392"/>
      <c r="T714" s="392"/>
      <c r="U714" s="392"/>
      <c r="V714" s="392"/>
      <c r="W714" s="392"/>
      <c r="X714" s="392"/>
      <c r="Y714" s="392"/>
      <c r="Z714" s="392"/>
      <c r="AA714" s="392"/>
      <c r="AB714" s="392"/>
      <c r="AC714" s="392"/>
      <c r="AD714" s="392"/>
      <c r="AE714" s="392"/>
      <c r="AF714" s="392"/>
    </row>
    <row r="715" ht="15.75" customHeight="1">
      <c r="A715" s="216"/>
      <c r="B715" s="156"/>
      <c r="C715" s="156"/>
      <c r="D715" s="156"/>
      <c r="E715" s="392"/>
      <c r="F715" s="392"/>
      <c r="G715" s="392"/>
      <c r="H715" s="392"/>
      <c r="I715" s="392"/>
      <c r="J715" s="392"/>
      <c r="K715" s="392"/>
      <c r="L715" s="392"/>
      <c r="M715" s="392"/>
      <c r="N715" s="392"/>
      <c r="O715" s="392"/>
      <c r="P715" s="392"/>
      <c r="Q715" s="392"/>
      <c r="R715" s="392"/>
      <c r="S715" s="392"/>
      <c r="T715" s="392"/>
      <c r="U715" s="392"/>
      <c r="V715" s="392"/>
      <c r="W715" s="392"/>
      <c r="X715" s="392"/>
      <c r="Y715" s="392"/>
      <c r="Z715" s="392"/>
      <c r="AA715" s="392"/>
      <c r="AB715" s="392"/>
      <c r="AC715" s="392"/>
      <c r="AD715" s="392"/>
      <c r="AE715" s="392"/>
      <c r="AF715" s="392"/>
    </row>
    <row r="716" ht="15.75" customHeight="1">
      <c r="A716" s="216"/>
      <c r="B716" s="156"/>
      <c r="C716" s="156"/>
      <c r="D716" s="156"/>
      <c r="E716" s="392"/>
      <c r="F716" s="392"/>
      <c r="G716" s="392"/>
      <c r="H716" s="392"/>
      <c r="I716" s="392"/>
      <c r="J716" s="392"/>
      <c r="K716" s="392"/>
      <c r="L716" s="392"/>
      <c r="M716" s="392"/>
      <c r="N716" s="392"/>
      <c r="O716" s="392"/>
      <c r="P716" s="392"/>
      <c r="Q716" s="392"/>
      <c r="R716" s="392"/>
      <c r="S716" s="392"/>
      <c r="T716" s="392"/>
      <c r="U716" s="392"/>
      <c r="V716" s="392"/>
      <c r="W716" s="392"/>
      <c r="X716" s="392"/>
      <c r="Y716" s="392"/>
      <c r="Z716" s="392"/>
      <c r="AA716" s="392"/>
      <c r="AB716" s="392"/>
      <c r="AC716" s="392"/>
      <c r="AD716" s="392"/>
      <c r="AE716" s="392"/>
      <c r="AF716" s="392"/>
    </row>
    <row r="717" ht="15.75" customHeight="1">
      <c r="A717" s="216"/>
      <c r="B717" s="156"/>
      <c r="C717" s="156"/>
      <c r="D717" s="156"/>
      <c r="E717" s="392"/>
      <c r="F717" s="392"/>
      <c r="G717" s="392"/>
      <c r="H717" s="392"/>
      <c r="I717" s="392"/>
      <c r="J717" s="392"/>
      <c r="K717" s="392"/>
      <c r="L717" s="392"/>
      <c r="M717" s="392"/>
      <c r="N717" s="392"/>
      <c r="O717" s="392"/>
      <c r="P717" s="392"/>
      <c r="Q717" s="392"/>
      <c r="R717" s="392"/>
      <c r="S717" s="392"/>
      <c r="T717" s="392"/>
      <c r="U717" s="392"/>
      <c r="V717" s="392"/>
      <c r="W717" s="392"/>
      <c r="X717" s="392"/>
      <c r="Y717" s="392"/>
      <c r="Z717" s="392"/>
      <c r="AA717" s="392"/>
      <c r="AB717" s="392"/>
      <c r="AC717" s="392"/>
      <c r="AD717" s="392"/>
      <c r="AE717" s="392"/>
      <c r="AF717" s="392"/>
    </row>
    <row r="718" ht="15.75" customHeight="1">
      <c r="A718" s="216"/>
      <c r="B718" s="156"/>
      <c r="C718" s="156"/>
      <c r="D718" s="156"/>
      <c r="E718" s="392"/>
      <c r="F718" s="392"/>
      <c r="G718" s="392"/>
      <c r="H718" s="392"/>
      <c r="I718" s="392"/>
      <c r="J718" s="392"/>
      <c r="K718" s="392"/>
      <c r="L718" s="392"/>
      <c r="M718" s="392"/>
      <c r="N718" s="392"/>
      <c r="O718" s="392"/>
      <c r="P718" s="392"/>
      <c r="Q718" s="392"/>
      <c r="R718" s="392"/>
      <c r="S718" s="392"/>
      <c r="T718" s="392"/>
      <c r="U718" s="392"/>
      <c r="V718" s="392"/>
      <c r="W718" s="392"/>
      <c r="X718" s="392"/>
      <c r="Y718" s="392"/>
      <c r="Z718" s="392"/>
      <c r="AA718" s="392"/>
      <c r="AB718" s="392"/>
      <c r="AC718" s="392"/>
      <c r="AD718" s="392"/>
      <c r="AE718" s="392"/>
      <c r="AF718" s="392"/>
    </row>
    <row r="719" ht="15.75" customHeight="1">
      <c r="A719" s="216"/>
      <c r="B719" s="156"/>
      <c r="C719" s="156"/>
      <c r="D719" s="156"/>
      <c r="E719" s="392"/>
      <c r="F719" s="392"/>
      <c r="G719" s="392"/>
      <c r="H719" s="392"/>
      <c r="I719" s="392"/>
      <c r="J719" s="392"/>
      <c r="K719" s="392"/>
      <c r="L719" s="392"/>
      <c r="M719" s="392"/>
      <c r="N719" s="392"/>
      <c r="O719" s="392"/>
      <c r="P719" s="392"/>
      <c r="Q719" s="392"/>
      <c r="R719" s="392"/>
      <c r="S719" s="392"/>
      <c r="T719" s="392"/>
      <c r="U719" s="392"/>
      <c r="V719" s="392"/>
      <c r="W719" s="392"/>
      <c r="X719" s="392"/>
      <c r="Y719" s="392"/>
      <c r="Z719" s="392"/>
      <c r="AA719" s="392"/>
      <c r="AB719" s="392"/>
      <c r="AC719" s="392"/>
      <c r="AD719" s="392"/>
      <c r="AE719" s="392"/>
      <c r="AF719" s="392"/>
    </row>
    <row r="720" ht="15.75" customHeight="1">
      <c r="A720" s="216"/>
      <c r="B720" s="156"/>
      <c r="C720" s="156"/>
      <c r="D720" s="156"/>
      <c r="E720" s="392"/>
      <c r="F720" s="392"/>
      <c r="G720" s="392"/>
      <c r="H720" s="392"/>
      <c r="I720" s="392"/>
      <c r="J720" s="392"/>
      <c r="K720" s="392"/>
      <c r="L720" s="392"/>
      <c r="M720" s="392"/>
      <c r="N720" s="392"/>
      <c r="O720" s="392"/>
      <c r="P720" s="392"/>
      <c r="Q720" s="392"/>
      <c r="R720" s="392"/>
      <c r="S720" s="392"/>
      <c r="T720" s="392"/>
      <c r="U720" s="392"/>
      <c r="V720" s="392"/>
      <c r="W720" s="392"/>
      <c r="X720" s="392"/>
      <c r="Y720" s="392"/>
      <c r="Z720" s="392"/>
      <c r="AA720" s="392"/>
      <c r="AB720" s="392"/>
      <c r="AC720" s="392"/>
      <c r="AD720" s="392"/>
      <c r="AE720" s="392"/>
      <c r="AF720" s="392"/>
    </row>
    <row r="721" ht="15.75" customHeight="1">
      <c r="A721" s="216"/>
      <c r="B721" s="156"/>
      <c r="C721" s="156"/>
      <c r="D721" s="156"/>
      <c r="E721" s="392"/>
      <c r="F721" s="392"/>
      <c r="G721" s="392"/>
      <c r="H721" s="392"/>
      <c r="I721" s="392"/>
      <c r="J721" s="392"/>
      <c r="K721" s="392"/>
      <c r="L721" s="392"/>
      <c r="M721" s="392"/>
      <c r="N721" s="392"/>
      <c r="O721" s="392"/>
      <c r="P721" s="392"/>
      <c r="Q721" s="392"/>
      <c r="R721" s="392"/>
      <c r="S721" s="392"/>
      <c r="T721" s="392"/>
      <c r="U721" s="392"/>
      <c r="V721" s="392"/>
      <c r="W721" s="392"/>
      <c r="X721" s="392"/>
      <c r="Y721" s="392"/>
      <c r="Z721" s="392"/>
      <c r="AA721" s="392"/>
      <c r="AB721" s="392"/>
      <c r="AC721" s="392"/>
      <c r="AD721" s="392"/>
      <c r="AE721" s="392"/>
      <c r="AF721" s="392"/>
    </row>
    <row r="722" ht="15.75" customHeight="1">
      <c r="A722" s="216"/>
      <c r="B722" s="156"/>
      <c r="C722" s="156"/>
      <c r="D722" s="156"/>
      <c r="E722" s="392"/>
      <c r="F722" s="392"/>
      <c r="G722" s="392"/>
      <c r="H722" s="392"/>
      <c r="I722" s="392"/>
      <c r="J722" s="392"/>
      <c r="K722" s="392"/>
      <c r="L722" s="392"/>
      <c r="M722" s="392"/>
      <c r="N722" s="392"/>
      <c r="O722" s="392"/>
      <c r="P722" s="392"/>
      <c r="Q722" s="392"/>
      <c r="R722" s="392"/>
      <c r="S722" s="392"/>
      <c r="T722" s="392"/>
      <c r="U722" s="392"/>
      <c r="V722" s="392"/>
      <c r="W722" s="392"/>
      <c r="X722" s="392"/>
      <c r="Y722" s="392"/>
      <c r="Z722" s="392"/>
      <c r="AA722" s="392"/>
      <c r="AB722" s="392"/>
      <c r="AC722" s="392"/>
      <c r="AD722" s="392"/>
      <c r="AE722" s="392"/>
      <c r="AF722" s="392"/>
    </row>
    <row r="723" ht="15.75" customHeight="1">
      <c r="A723" s="216"/>
      <c r="B723" s="156"/>
      <c r="C723" s="156"/>
      <c r="D723" s="156"/>
      <c r="E723" s="392"/>
      <c r="F723" s="392"/>
      <c r="G723" s="392"/>
      <c r="H723" s="392"/>
      <c r="I723" s="392"/>
      <c r="J723" s="392"/>
      <c r="K723" s="392"/>
      <c r="L723" s="392"/>
      <c r="M723" s="392"/>
      <c r="N723" s="392"/>
      <c r="O723" s="392"/>
      <c r="P723" s="392"/>
      <c r="Q723" s="392"/>
      <c r="R723" s="392"/>
      <c r="S723" s="392"/>
      <c r="T723" s="392"/>
      <c r="U723" s="392"/>
      <c r="V723" s="392"/>
      <c r="W723" s="392"/>
      <c r="X723" s="392"/>
      <c r="Y723" s="392"/>
      <c r="Z723" s="392"/>
      <c r="AA723" s="392"/>
      <c r="AB723" s="392"/>
      <c r="AC723" s="392"/>
      <c r="AD723" s="392"/>
      <c r="AE723" s="392"/>
      <c r="AF723" s="392"/>
    </row>
    <row r="724" ht="15.75" customHeight="1">
      <c r="A724" s="216"/>
      <c r="B724" s="156"/>
      <c r="C724" s="156"/>
      <c r="D724" s="156"/>
      <c r="E724" s="392"/>
      <c r="F724" s="392"/>
      <c r="G724" s="392"/>
      <c r="H724" s="392"/>
      <c r="I724" s="392"/>
      <c r="J724" s="392"/>
      <c r="K724" s="392"/>
      <c r="L724" s="392"/>
      <c r="M724" s="392"/>
      <c r="N724" s="392"/>
      <c r="O724" s="392"/>
      <c r="P724" s="392"/>
      <c r="Q724" s="392"/>
      <c r="R724" s="392"/>
      <c r="S724" s="392"/>
      <c r="T724" s="392"/>
      <c r="U724" s="392"/>
      <c r="V724" s="392"/>
      <c r="W724" s="392"/>
      <c r="X724" s="392"/>
      <c r="Y724" s="392"/>
      <c r="Z724" s="392"/>
      <c r="AA724" s="392"/>
      <c r="AB724" s="392"/>
      <c r="AC724" s="392"/>
      <c r="AD724" s="392"/>
      <c r="AE724" s="392"/>
      <c r="AF724" s="392"/>
    </row>
    <row r="725" ht="15.75" customHeight="1">
      <c r="A725" s="216"/>
      <c r="B725" s="156"/>
      <c r="C725" s="156"/>
      <c r="D725" s="156"/>
      <c r="E725" s="392"/>
      <c r="F725" s="392"/>
      <c r="G725" s="392"/>
      <c r="H725" s="392"/>
      <c r="I725" s="392"/>
      <c r="J725" s="392"/>
      <c r="K725" s="392"/>
      <c r="L725" s="392"/>
      <c r="M725" s="392"/>
      <c r="N725" s="392"/>
      <c r="O725" s="392"/>
      <c r="P725" s="392"/>
      <c r="Q725" s="392"/>
      <c r="R725" s="392"/>
      <c r="S725" s="392"/>
      <c r="T725" s="392"/>
      <c r="U725" s="392"/>
      <c r="V725" s="392"/>
      <c r="W725" s="392"/>
      <c r="X725" s="392"/>
      <c r="Y725" s="392"/>
      <c r="Z725" s="392"/>
      <c r="AA725" s="392"/>
      <c r="AB725" s="392"/>
      <c r="AC725" s="392"/>
      <c r="AD725" s="392"/>
      <c r="AE725" s="392"/>
      <c r="AF725" s="392"/>
    </row>
    <row r="726" ht="15.75" customHeight="1">
      <c r="A726" s="216"/>
      <c r="B726" s="156"/>
      <c r="C726" s="156"/>
      <c r="D726" s="156"/>
      <c r="E726" s="392"/>
      <c r="F726" s="392"/>
      <c r="G726" s="392"/>
      <c r="H726" s="392"/>
      <c r="I726" s="392"/>
      <c r="J726" s="392"/>
      <c r="K726" s="392"/>
      <c r="L726" s="392"/>
      <c r="M726" s="392"/>
      <c r="N726" s="392"/>
      <c r="O726" s="392"/>
      <c r="P726" s="392"/>
      <c r="Q726" s="392"/>
      <c r="R726" s="392"/>
      <c r="S726" s="392"/>
      <c r="T726" s="392"/>
      <c r="U726" s="392"/>
      <c r="V726" s="392"/>
      <c r="W726" s="392"/>
      <c r="X726" s="392"/>
      <c r="Y726" s="392"/>
      <c r="Z726" s="392"/>
      <c r="AA726" s="392"/>
      <c r="AB726" s="392"/>
      <c r="AC726" s="392"/>
      <c r="AD726" s="392"/>
      <c r="AE726" s="392"/>
      <c r="AF726" s="392"/>
    </row>
    <row r="727" ht="15.75" customHeight="1">
      <c r="A727" s="216"/>
      <c r="B727" s="156"/>
      <c r="C727" s="156"/>
      <c r="D727" s="156"/>
      <c r="E727" s="392"/>
      <c r="F727" s="392"/>
      <c r="G727" s="392"/>
      <c r="H727" s="392"/>
      <c r="I727" s="392"/>
      <c r="J727" s="392"/>
      <c r="K727" s="392"/>
      <c r="L727" s="392"/>
      <c r="M727" s="392"/>
      <c r="N727" s="392"/>
      <c r="O727" s="392"/>
      <c r="P727" s="392"/>
      <c r="Q727" s="392"/>
      <c r="R727" s="392"/>
      <c r="S727" s="392"/>
      <c r="T727" s="392"/>
      <c r="U727" s="392"/>
      <c r="V727" s="392"/>
      <c r="W727" s="392"/>
      <c r="X727" s="392"/>
      <c r="Y727" s="392"/>
      <c r="Z727" s="392"/>
      <c r="AA727" s="392"/>
      <c r="AB727" s="392"/>
      <c r="AC727" s="392"/>
      <c r="AD727" s="392"/>
      <c r="AE727" s="392"/>
      <c r="AF727" s="392"/>
    </row>
    <row r="728" ht="15.75" customHeight="1">
      <c r="A728" s="216"/>
      <c r="B728" s="156"/>
      <c r="C728" s="156"/>
      <c r="D728" s="156"/>
      <c r="E728" s="392"/>
      <c r="F728" s="392"/>
      <c r="G728" s="392"/>
      <c r="H728" s="392"/>
      <c r="I728" s="392"/>
      <c r="J728" s="392"/>
      <c r="K728" s="392"/>
      <c r="L728" s="392"/>
      <c r="M728" s="392"/>
      <c r="N728" s="392"/>
      <c r="O728" s="392"/>
      <c r="P728" s="392"/>
      <c r="Q728" s="392"/>
      <c r="R728" s="392"/>
      <c r="S728" s="392"/>
      <c r="T728" s="392"/>
      <c r="U728" s="392"/>
      <c r="V728" s="392"/>
      <c r="W728" s="392"/>
      <c r="X728" s="392"/>
      <c r="Y728" s="392"/>
      <c r="Z728" s="392"/>
      <c r="AA728" s="392"/>
      <c r="AB728" s="392"/>
      <c r="AC728" s="392"/>
      <c r="AD728" s="392"/>
      <c r="AE728" s="392"/>
      <c r="AF728" s="392"/>
    </row>
    <row r="729" ht="15.75" customHeight="1">
      <c r="A729" s="216"/>
      <c r="B729" s="156"/>
      <c r="C729" s="156"/>
      <c r="D729" s="156"/>
      <c r="E729" s="392"/>
      <c r="F729" s="392"/>
      <c r="G729" s="392"/>
      <c r="H729" s="392"/>
      <c r="I729" s="392"/>
      <c r="J729" s="392"/>
      <c r="K729" s="392"/>
      <c r="L729" s="392"/>
      <c r="M729" s="392"/>
      <c r="N729" s="392"/>
      <c r="O729" s="392"/>
      <c r="P729" s="392"/>
      <c r="Q729" s="392"/>
      <c r="R729" s="392"/>
      <c r="S729" s="392"/>
      <c r="T729" s="392"/>
      <c r="U729" s="392"/>
      <c r="V729" s="392"/>
      <c r="W729" s="392"/>
      <c r="X729" s="392"/>
      <c r="Y729" s="392"/>
      <c r="Z729" s="392"/>
      <c r="AA729" s="392"/>
      <c r="AB729" s="392"/>
      <c r="AC729" s="392"/>
      <c r="AD729" s="392"/>
      <c r="AE729" s="392"/>
      <c r="AF729" s="392"/>
    </row>
    <row r="730" ht="15.75" customHeight="1">
      <c r="A730" s="216"/>
      <c r="B730" s="156"/>
      <c r="C730" s="156"/>
      <c r="D730" s="156"/>
      <c r="E730" s="392"/>
      <c r="F730" s="392"/>
      <c r="G730" s="392"/>
      <c r="H730" s="392"/>
      <c r="I730" s="392"/>
      <c r="J730" s="392"/>
      <c r="K730" s="392"/>
      <c r="L730" s="392"/>
      <c r="M730" s="392"/>
      <c r="N730" s="392"/>
      <c r="O730" s="392"/>
      <c r="P730" s="392"/>
      <c r="Q730" s="392"/>
      <c r="R730" s="392"/>
      <c r="S730" s="392"/>
      <c r="T730" s="392"/>
      <c r="U730" s="392"/>
      <c r="V730" s="392"/>
      <c r="W730" s="392"/>
      <c r="X730" s="392"/>
      <c r="Y730" s="392"/>
      <c r="Z730" s="392"/>
      <c r="AA730" s="392"/>
      <c r="AB730" s="392"/>
      <c r="AC730" s="392"/>
      <c r="AD730" s="392"/>
      <c r="AE730" s="392"/>
      <c r="AF730" s="392"/>
    </row>
    <row r="731" ht="15.75" customHeight="1">
      <c r="A731" s="216"/>
      <c r="B731" s="156"/>
      <c r="C731" s="156"/>
      <c r="D731" s="156"/>
      <c r="E731" s="392"/>
      <c r="F731" s="392"/>
      <c r="G731" s="392"/>
      <c r="H731" s="392"/>
      <c r="I731" s="392"/>
      <c r="J731" s="392"/>
      <c r="K731" s="392"/>
      <c r="L731" s="392"/>
      <c r="M731" s="392"/>
      <c r="N731" s="392"/>
      <c r="O731" s="392"/>
      <c r="P731" s="392"/>
      <c r="Q731" s="392"/>
      <c r="R731" s="392"/>
      <c r="S731" s="392"/>
      <c r="T731" s="392"/>
      <c r="U731" s="392"/>
      <c r="V731" s="392"/>
      <c r="W731" s="392"/>
      <c r="X731" s="392"/>
      <c r="Y731" s="392"/>
      <c r="Z731" s="392"/>
      <c r="AA731" s="392"/>
      <c r="AB731" s="392"/>
      <c r="AC731" s="392"/>
      <c r="AD731" s="392"/>
      <c r="AE731" s="392"/>
      <c r="AF731" s="392"/>
    </row>
    <row r="732" ht="15.75" customHeight="1">
      <c r="A732" s="216"/>
      <c r="B732" s="156"/>
      <c r="C732" s="156"/>
      <c r="D732" s="156"/>
      <c r="E732" s="392"/>
      <c r="F732" s="392"/>
      <c r="G732" s="392"/>
      <c r="H732" s="392"/>
      <c r="I732" s="392"/>
      <c r="J732" s="392"/>
      <c r="K732" s="392"/>
      <c r="L732" s="392"/>
      <c r="M732" s="392"/>
      <c r="N732" s="392"/>
      <c r="O732" s="392"/>
      <c r="P732" s="392"/>
      <c r="Q732" s="392"/>
      <c r="R732" s="392"/>
      <c r="S732" s="392"/>
      <c r="T732" s="392"/>
      <c r="U732" s="392"/>
      <c r="V732" s="392"/>
      <c r="W732" s="392"/>
      <c r="X732" s="392"/>
      <c r="Y732" s="392"/>
      <c r="Z732" s="392"/>
      <c r="AA732" s="392"/>
      <c r="AB732" s="392"/>
      <c r="AC732" s="392"/>
      <c r="AD732" s="392"/>
      <c r="AE732" s="392"/>
      <c r="AF732" s="392"/>
    </row>
    <row r="733" ht="15.75" customHeight="1">
      <c r="A733" s="216"/>
      <c r="B733" s="156"/>
      <c r="C733" s="156"/>
      <c r="D733" s="156"/>
      <c r="E733" s="392"/>
      <c r="F733" s="392"/>
      <c r="G733" s="392"/>
      <c r="H733" s="392"/>
      <c r="I733" s="392"/>
      <c r="J733" s="392"/>
      <c r="K733" s="392"/>
      <c r="L733" s="392"/>
      <c r="M733" s="392"/>
      <c r="N733" s="392"/>
      <c r="O733" s="392"/>
      <c r="P733" s="392"/>
      <c r="Q733" s="392"/>
      <c r="R733" s="392"/>
      <c r="S733" s="392"/>
      <c r="T733" s="392"/>
      <c r="U733" s="392"/>
      <c r="V733" s="392"/>
      <c r="W733" s="392"/>
      <c r="X733" s="392"/>
      <c r="Y733" s="392"/>
      <c r="Z733" s="392"/>
      <c r="AA733" s="392"/>
      <c r="AB733" s="392"/>
      <c r="AC733" s="392"/>
      <c r="AD733" s="392"/>
      <c r="AE733" s="392"/>
      <c r="AF733" s="392"/>
    </row>
    <row r="734" ht="15.75" customHeight="1">
      <c r="A734" s="216"/>
      <c r="B734" s="156"/>
      <c r="C734" s="156"/>
      <c r="D734" s="156"/>
      <c r="E734" s="392"/>
      <c r="F734" s="392"/>
      <c r="G734" s="392"/>
      <c r="H734" s="392"/>
      <c r="I734" s="392"/>
      <c r="J734" s="392"/>
      <c r="K734" s="392"/>
      <c r="L734" s="392"/>
      <c r="M734" s="392"/>
      <c r="N734" s="392"/>
      <c r="O734" s="392"/>
      <c r="P734" s="392"/>
      <c r="Q734" s="392"/>
      <c r="R734" s="392"/>
      <c r="S734" s="392"/>
      <c r="T734" s="392"/>
      <c r="U734" s="392"/>
      <c r="V734" s="392"/>
      <c r="W734" s="392"/>
      <c r="X734" s="392"/>
      <c r="Y734" s="392"/>
      <c r="Z734" s="392"/>
      <c r="AA734" s="392"/>
      <c r="AB734" s="392"/>
      <c r="AC734" s="392"/>
      <c r="AD734" s="392"/>
      <c r="AE734" s="392"/>
      <c r="AF734" s="392"/>
    </row>
    <row r="735" ht="15.75" customHeight="1">
      <c r="A735" s="216"/>
      <c r="B735" s="156"/>
      <c r="C735" s="156"/>
      <c r="D735" s="156"/>
      <c r="E735" s="392"/>
      <c r="F735" s="392"/>
      <c r="G735" s="392"/>
      <c r="H735" s="392"/>
      <c r="I735" s="392"/>
      <c r="J735" s="392"/>
      <c r="K735" s="392"/>
      <c r="L735" s="392"/>
      <c r="M735" s="392"/>
      <c r="N735" s="392"/>
      <c r="O735" s="392"/>
      <c r="P735" s="392"/>
      <c r="Q735" s="392"/>
      <c r="R735" s="392"/>
      <c r="S735" s="392"/>
      <c r="T735" s="392"/>
      <c r="U735" s="392"/>
      <c r="V735" s="392"/>
      <c r="W735" s="392"/>
      <c r="X735" s="392"/>
      <c r="Y735" s="392"/>
      <c r="Z735" s="392"/>
      <c r="AA735" s="392"/>
      <c r="AB735" s="392"/>
      <c r="AC735" s="392"/>
      <c r="AD735" s="392"/>
      <c r="AE735" s="392"/>
      <c r="AF735" s="392"/>
    </row>
    <row r="736" ht="15.75" customHeight="1">
      <c r="A736" s="216"/>
      <c r="B736" s="156"/>
      <c r="C736" s="156"/>
      <c r="D736" s="156"/>
      <c r="E736" s="392"/>
      <c r="F736" s="392"/>
      <c r="G736" s="392"/>
      <c r="H736" s="392"/>
      <c r="I736" s="392"/>
      <c r="J736" s="392"/>
      <c r="K736" s="392"/>
      <c r="L736" s="392"/>
      <c r="M736" s="392"/>
      <c r="N736" s="392"/>
      <c r="O736" s="392"/>
      <c r="P736" s="392"/>
      <c r="Q736" s="392"/>
      <c r="R736" s="392"/>
      <c r="S736" s="392"/>
      <c r="T736" s="392"/>
      <c r="U736" s="392"/>
      <c r="V736" s="392"/>
      <c r="W736" s="392"/>
      <c r="X736" s="392"/>
      <c r="Y736" s="392"/>
      <c r="Z736" s="392"/>
      <c r="AA736" s="392"/>
      <c r="AB736" s="392"/>
      <c r="AC736" s="392"/>
      <c r="AD736" s="392"/>
      <c r="AE736" s="392"/>
      <c r="AF736" s="392"/>
    </row>
    <row r="737" ht="15.75" customHeight="1">
      <c r="A737" s="216"/>
      <c r="B737" s="156"/>
      <c r="C737" s="156"/>
      <c r="D737" s="156"/>
      <c r="E737" s="392"/>
      <c r="F737" s="392"/>
      <c r="G737" s="392"/>
      <c r="H737" s="392"/>
      <c r="I737" s="392"/>
      <c r="J737" s="392"/>
      <c r="K737" s="392"/>
      <c r="L737" s="392"/>
      <c r="M737" s="392"/>
      <c r="N737" s="392"/>
      <c r="O737" s="392"/>
      <c r="P737" s="392"/>
      <c r="Q737" s="392"/>
      <c r="R737" s="392"/>
      <c r="S737" s="392"/>
      <c r="T737" s="392"/>
      <c r="U737" s="392"/>
      <c r="V737" s="392"/>
      <c r="W737" s="392"/>
      <c r="X737" s="392"/>
      <c r="Y737" s="392"/>
      <c r="Z737" s="392"/>
      <c r="AA737" s="392"/>
      <c r="AB737" s="392"/>
      <c r="AC737" s="392"/>
      <c r="AD737" s="392"/>
      <c r="AE737" s="392"/>
      <c r="AF737" s="392"/>
    </row>
    <row r="738" ht="15.75" customHeight="1">
      <c r="A738" s="216"/>
      <c r="B738" s="156"/>
      <c r="C738" s="156"/>
      <c r="D738" s="156"/>
      <c r="E738" s="392"/>
      <c r="F738" s="392"/>
      <c r="G738" s="392"/>
      <c r="H738" s="392"/>
      <c r="I738" s="392"/>
      <c r="J738" s="392"/>
      <c r="K738" s="392"/>
      <c r="L738" s="392"/>
      <c r="M738" s="392"/>
      <c r="N738" s="392"/>
      <c r="O738" s="392"/>
      <c r="P738" s="392"/>
      <c r="Q738" s="392"/>
      <c r="R738" s="392"/>
      <c r="S738" s="392"/>
      <c r="T738" s="392"/>
      <c r="U738" s="392"/>
      <c r="V738" s="392"/>
      <c r="W738" s="392"/>
      <c r="X738" s="392"/>
      <c r="Y738" s="392"/>
      <c r="Z738" s="392"/>
      <c r="AA738" s="392"/>
      <c r="AB738" s="392"/>
      <c r="AC738" s="392"/>
      <c r="AD738" s="392"/>
      <c r="AE738" s="392"/>
      <c r="AF738" s="392"/>
    </row>
    <row r="739" ht="15.75" customHeight="1">
      <c r="A739" s="216"/>
      <c r="B739" s="156"/>
      <c r="C739" s="156"/>
      <c r="D739" s="156"/>
      <c r="E739" s="392"/>
      <c r="F739" s="392"/>
      <c r="G739" s="392"/>
      <c r="H739" s="392"/>
      <c r="I739" s="392"/>
      <c r="J739" s="392"/>
      <c r="K739" s="392"/>
      <c r="L739" s="392"/>
      <c r="M739" s="392"/>
      <c r="N739" s="392"/>
      <c r="O739" s="392"/>
      <c r="P739" s="392"/>
      <c r="Q739" s="392"/>
      <c r="R739" s="392"/>
      <c r="S739" s="392"/>
      <c r="T739" s="392"/>
      <c r="U739" s="392"/>
      <c r="V739" s="392"/>
      <c r="W739" s="392"/>
      <c r="X739" s="392"/>
      <c r="Y739" s="392"/>
      <c r="Z739" s="392"/>
      <c r="AA739" s="392"/>
      <c r="AB739" s="392"/>
      <c r="AC739" s="392"/>
      <c r="AD739" s="392"/>
      <c r="AE739" s="392"/>
      <c r="AF739" s="392"/>
    </row>
    <row r="740" ht="15.75" customHeight="1">
      <c r="A740" s="216"/>
      <c r="B740" s="156"/>
      <c r="C740" s="156"/>
      <c r="D740" s="156"/>
      <c r="E740" s="392"/>
      <c r="F740" s="392"/>
      <c r="G740" s="392"/>
      <c r="H740" s="392"/>
      <c r="I740" s="392"/>
      <c r="J740" s="392"/>
      <c r="K740" s="392"/>
      <c r="L740" s="392"/>
      <c r="M740" s="392"/>
      <c r="N740" s="392"/>
      <c r="O740" s="392"/>
      <c r="P740" s="392"/>
      <c r="Q740" s="392"/>
      <c r="R740" s="392"/>
      <c r="S740" s="392"/>
      <c r="T740" s="392"/>
      <c r="U740" s="392"/>
      <c r="V740" s="392"/>
      <c r="W740" s="392"/>
      <c r="X740" s="392"/>
      <c r="Y740" s="392"/>
      <c r="Z740" s="392"/>
      <c r="AA740" s="392"/>
      <c r="AB740" s="392"/>
      <c r="AC740" s="392"/>
      <c r="AD740" s="392"/>
      <c r="AE740" s="392"/>
      <c r="AF740" s="392"/>
    </row>
    <row r="741" ht="15.75" customHeight="1">
      <c r="A741" s="216"/>
      <c r="B741" s="156"/>
      <c r="C741" s="156"/>
      <c r="D741" s="156"/>
      <c r="E741" s="392"/>
      <c r="F741" s="392"/>
      <c r="G741" s="392"/>
      <c r="H741" s="392"/>
      <c r="I741" s="392"/>
      <c r="J741" s="392"/>
      <c r="K741" s="392"/>
      <c r="L741" s="392"/>
      <c r="M741" s="392"/>
      <c r="N741" s="392"/>
      <c r="O741" s="392"/>
      <c r="P741" s="392"/>
      <c r="Q741" s="392"/>
      <c r="R741" s="392"/>
      <c r="S741" s="392"/>
      <c r="T741" s="392"/>
      <c r="U741" s="392"/>
      <c r="V741" s="392"/>
      <c r="W741" s="392"/>
      <c r="X741" s="392"/>
      <c r="Y741" s="392"/>
      <c r="Z741" s="392"/>
      <c r="AA741" s="392"/>
      <c r="AB741" s="392"/>
      <c r="AC741" s="392"/>
      <c r="AD741" s="392"/>
      <c r="AE741" s="392"/>
      <c r="AF741" s="392"/>
    </row>
    <row r="742" ht="15.75" customHeight="1">
      <c r="A742" s="216"/>
      <c r="B742" s="156"/>
      <c r="C742" s="156"/>
      <c r="D742" s="156"/>
      <c r="E742" s="392"/>
      <c r="F742" s="392"/>
      <c r="G742" s="392"/>
      <c r="H742" s="392"/>
      <c r="I742" s="392"/>
      <c r="J742" s="392"/>
      <c r="K742" s="392"/>
      <c r="L742" s="392"/>
      <c r="M742" s="392"/>
      <c r="N742" s="392"/>
      <c r="O742" s="392"/>
      <c r="P742" s="392"/>
      <c r="Q742" s="392"/>
      <c r="R742" s="392"/>
      <c r="S742" s="392"/>
      <c r="T742" s="392"/>
      <c r="U742" s="392"/>
      <c r="V742" s="392"/>
      <c r="W742" s="392"/>
      <c r="X742" s="392"/>
      <c r="Y742" s="392"/>
      <c r="Z742" s="392"/>
      <c r="AA742" s="392"/>
      <c r="AB742" s="392"/>
      <c r="AC742" s="392"/>
      <c r="AD742" s="392"/>
      <c r="AE742" s="392"/>
      <c r="AF742" s="392"/>
    </row>
    <row r="743" ht="15.75" customHeight="1">
      <c r="A743" s="216"/>
      <c r="B743" s="156"/>
      <c r="C743" s="156"/>
      <c r="D743" s="156"/>
      <c r="E743" s="392"/>
      <c r="F743" s="392"/>
      <c r="G743" s="392"/>
      <c r="H743" s="392"/>
      <c r="I743" s="392"/>
      <c r="J743" s="392"/>
      <c r="K743" s="392"/>
      <c r="L743" s="392"/>
      <c r="M743" s="392"/>
      <c r="N743" s="392"/>
      <c r="O743" s="392"/>
      <c r="P743" s="392"/>
      <c r="Q743" s="392"/>
      <c r="R743" s="392"/>
      <c r="S743" s="392"/>
      <c r="T743" s="392"/>
      <c r="U743" s="392"/>
      <c r="V743" s="392"/>
      <c r="W743" s="392"/>
      <c r="X743" s="392"/>
      <c r="Y743" s="392"/>
      <c r="Z743" s="392"/>
      <c r="AA743" s="392"/>
      <c r="AB743" s="392"/>
      <c r="AC743" s="392"/>
      <c r="AD743" s="392"/>
      <c r="AE743" s="392"/>
      <c r="AF743" s="392"/>
    </row>
    <row r="744" ht="15.75" customHeight="1">
      <c r="A744" s="216"/>
      <c r="B744" s="156"/>
      <c r="C744" s="156"/>
      <c r="D744" s="156"/>
      <c r="E744" s="392"/>
      <c r="F744" s="392"/>
      <c r="G744" s="392"/>
      <c r="H744" s="392"/>
      <c r="I744" s="392"/>
      <c r="J744" s="392"/>
      <c r="K744" s="392"/>
      <c r="L744" s="392"/>
      <c r="M744" s="392"/>
      <c r="N744" s="392"/>
      <c r="O744" s="392"/>
      <c r="P744" s="392"/>
      <c r="Q744" s="392"/>
      <c r="R744" s="392"/>
      <c r="S744" s="392"/>
      <c r="T744" s="392"/>
      <c r="U744" s="392"/>
      <c r="V744" s="392"/>
      <c r="W744" s="392"/>
      <c r="X744" s="392"/>
      <c r="Y744" s="392"/>
      <c r="Z744" s="392"/>
      <c r="AA744" s="392"/>
      <c r="AB744" s="392"/>
      <c r="AC744" s="392"/>
      <c r="AD744" s="392"/>
      <c r="AE744" s="392"/>
      <c r="AF744" s="392"/>
    </row>
    <row r="745" ht="15.75" customHeight="1">
      <c r="A745" s="216"/>
      <c r="B745" s="156"/>
      <c r="C745" s="156"/>
      <c r="D745" s="156"/>
      <c r="E745" s="392"/>
      <c r="F745" s="392"/>
      <c r="G745" s="392"/>
      <c r="H745" s="392"/>
      <c r="I745" s="392"/>
      <c r="J745" s="392"/>
      <c r="K745" s="392"/>
      <c r="L745" s="392"/>
      <c r="M745" s="392"/>
      <c r="N745" s="392"/>
      <c r="O745" s="392"/>
      <c r="P745" s="392"/>
      <c r="Q745" s="392"/>
      <c r="R745" s="392"/>
      <c r="S745" s="392"/>
      <c r="T745" s="392"/>
      <c r="U745" s="392"/>
      <c r="V745" s="392"/>
      <c r="W745" s="392"/>
      <c r="X745" s="392"/>
      <c r="Y745" s="392"/>
      <c r="Z745" s="392"/>
      <c r="AA745" s="392"/>
      <c r="AB745" s="392"/>
      <c r="AC745" s="392"/>
      <c r="AD745" s="392"/>
      <c r="AE745" s="392"/>
      <c r="AF745" s="392"/>
    </row>
    <row r="746" ht="15.75" customHeight="1">
      <c r="A746" s="216"/>
      <c r="B746" s="156"/>
      <c r="C746" s="156"/>
      <c r="D746" s="156"/>
      <c r="E746" s="392"/>
      <c r="F746" s="392"/>
      <c r="G746" s="392"/>
      <c r="H746" s="392"/>
      <c r="I746" s="392"/>
      <c r="J746" s="392"/>
      <c r="K746" s="392"/>
      <c r="L746" s="392"/>
      <c r="M746" s="392"/>
      <c r="N746" s="392"/>
      <c r="O746" s="392"/>
      <c r="P746" s="392"/>
      <c r="Q746" s="392"/>
      <c r="R746" s="392"/>
      <c r="S746" s="392"/>
      <c r="T746" s="392"/>
      <c r="U746" s="392"/>
      <c r="V746" s="392"/>
      <c r="W746" s="392"/>
      <c r="X746" s="392"/>
      <c r="Y746" s="392"/>
      <c r="Z746" s="392"/>
      <c r="AA746" s="392"/>
      <c r="AB746" s="392"/>
      <c r="AC746" s="392"/>
      <c r="AD746" s="392"/>
      <c r="AE746" s="392"/>
      <c r="AF746" s="392"/>
    </row>
    <row r="747" ht="15.75" customHeight="1">
      <c r="A747" s="216"/>
      <c r="B747" s="156"/>
      <c r="C747" s="156"/>
      <c r="D747" s="156"/>
      <c r="E747" s="392"/>
      <c r="F747" s="392"/>
      <c r="G747" s="392"/>
      <c r="H747" s="392"/>
      <c r="I747" s="392"/>
      <c r="J747" s="392"/>
      <c r="K747" s="392"/>
      <c r="L747" s="392"/>
      <c r="M747" s="392"/>
      <c r="N747" s="392"/>
      <c r="O747" s="392"/>
      <c r="P747" s="392"/>
      <c r="Q747" s="392"/>
      <c r="R747" s="392"/>
      <c r="S747" s="392"/>
      <c r="T747" s="392"/>
      <c r="U747" s="392"/>
      <c r="V747" s="392"/>
      <c r="W747" s="392"/>
      <c r="X747" s="392"/>
      <c r="Y747" s="392"/>
      <c r="Z747" s="392"/>
      <c r="AA747" s="392"/>
      <c r="AB747" s="392"/>
      <c r="AC747" s="392"/>
      <c r="AD747" s="392"/>
      <c r="AE747" s="392"/>
      <c r="AF747" s="392"/>
    </row>
    <row r="748" ht="15.75" customHeight="1">
      <c r="A748" s="216"/>
      <c r="B748" s="156"/>
      <c r="C748" s="156"/>
      <c r="D748" s="156"/>
      <c r="E748" s="392"/>
      <c r="F748" s="392"/>
      <c r="G748" s="392"/>
      <c r="H748" s="392"/>
      <c r="I748" s="392"/>
      <c r="J748" s="392"/>
      <c r="K748" s="392"/>
      <c r="L748" s="392"/>
      <c r="M748" s="392"/>
      <c r="N748" s="392"/>
      <c r="O748" s="392"/>
      <c r="P748" s="392"/>
      <c r="Q748" s="392"/>
      <c r="R748" s="392"/>
      <c r="S748" s="392"/>
      <c r="T748" s="392"/>
      <c r="U748" s="392"/>
      <c r="V748" s="392"/>
      <c r="W748" s="392"/>
      <c r="X748" s="392"/>
      <c r="Y748" s="392"/>
      <c r="Z748" s="392"/>
      <c r="AA748" s="392"/>
      <c r="AB748" s="392"/>
      <c r="AC748" s="392"/>
      <c r="AD748" s="392"/>
      <c r="AE748" s="392"/>
      <c r="AF748" s="392"/>
    </row>
    <row r="749" ht="15.75" customHeight="1">
      <c r="A749" s="216"/>
      <c r="B749" s="156"/>
      <c r="C749" s="156"/>
      <c r="D749" s="156"/>
      <c r="E749" s="392"/>
      <c r="F749" s="392"/>
      <c r="G749" s="392"/>
      <c r="H749" s="392"/>
      <c r="I749" s="392"/>
      <c r="J749" s="392"/>
      <c r="K749" s="392"/>
      <c r="L749" s="392"/>
      <c r="M749" s="392"/>
      <c r="N749" s="392"/>
      <c r="O749" s="392"/>
      <c r="P749" s="392"/>
      <c r="Q749" s="392"/>
      <c r="R749" s="392"/>
      <c r="S749" s="392"/>
      <c r="T749" s="392"/>
      <c r="U749" s="392"/>
      <c r="V749" s="392"/>
      <c r="W749" s="392"/>
      <c r="X749" s="392"/>
      <c r="Y749" s="392"/>
      <c r="Z749" s="392"/>
      <c r="AA749" s="392"/>
      <c r="AB749" s="392"/>
      <c r="AC749" s="392"/>
      <c r="AD749" s="392"/>
      <c r="AE749" s="392"/>
      <c r="AF749" s="392"/>
    </row>
    <row r="750" ht="15.75" customHeight="1">
      <c r="A750" s="216"/>
      <c r="B750" s="156"/>
      <c r="C750" s="156"/>
      <c r="D750" s="156"/>
      <c r="E750" s="392"/>
      <c r="F750" s="392"/>
      <c r="G750" s="392"/>
      <c r="H750" s="392"/>
      <c r="I750" s="392"/>
      <c r="J750" s="392"/>
      <c r="K750" s="392"/>
      <c r="L750" s="392"/>
      <c r="M750" s="392"/>
      <c r="N750" s="392"/>
      <c r="O750" s="392"/>
      <c r="P750" s="392"/>
      <c r="Q750" s="392"/>
      <c r="R750" s="392"/>
      <c r="S750" s="392"/>
      <c r="T750" s="392"/>
      <c r="U750" s="392"/>
      <c r="V750" s="392"/>
      <c r="W750" s="392"/>
      <c r="X750" s="392"/>
      <c r="Y750" s="392"/>
      <c r="Z750" s="392"/>
      <c r="AA750" s="392"/>
      <c r="AB750" s="392"/>
      <c r="AC750" s="392"/>
      <c r="AD750" s="392"/>
      <c r="AE750" s="392"/>
      <c r="AF750" s="392"/>
    </row>
    <row r="751" ht="15.75" customHeight="1">
      <c r="A751" s="216"/>
      <c r="B751" s="156"/>
      <c r="C751" s="156"/>
      <c r="D751" s="156"/>
      <c r="E751" s="392"/>
      <c r="F751" s="392"/>
      <c r="G751" s="392"/>
      <c r="H751" s="392"/>
      <c r="I751" s="392"/>
      <c r="J751" s="392"/>
      <c r="K751" s="392"/>
      <c r="L751" s="392"/>
      <c r="M751" s="392"/>
      <c r="N751" s="392"/>
      <c r="O751" s="392"/>
      <c r="P751" s="392"/>
      <c r="Q751" s="392"/>
      <c r="R751" s="392"/>
      <c r="S751" s="392"/>
      <c r="T751" s="392"/>
      <c r="U751" s="392"/>
      <c r="V751" s="392"/>
      <c r="W751" s="392"/>
      <c r="X751" s="392"/>
      <c r="Y751" s="392"/>
      <c r="Z751" s="392"/>
      <c r="AA751" s="392"/>
      <c r="AB751" s="392"/>
      <c r="AC751" s="392"/>
      <c r="AD751" s="392"/>
      <c r="AE751" s="392"/>
      <c r="AF751" s="392"/>
    </row>
    <row r="752" ht="15.75" customHeight="1">
      <c r="A752" s="216"/>
      <c r="B752" s="156"/>
      <c r="C752" s="156"/>
      <c r="D752" s="156"/>
      <c r="E752" s="392"/>
      <c r="F752" s="392"/>
      <c r="G752" s="392"/>
      <c r="H752" s="392"/>
      <c r="I752" s="392"/>
      <c r="J752" s="392"/>
      <c r="K752" s="392"/>
      <c r="L752" s="392"/>
      <c r="M752" s="392"/>
      <c r="N752" s="392"/>
      <c r="O752" s="392"/>
      <c r="P752" s="392"/>
      <c r="Q752" s="392"/>
      <c r="R752" s="392"/>
      <c r="S752" s="392"/>
      <c r="T752" s="392"/>
      <c r="U752" s="392"/>
      <c r="V752" s="392"/>
      <c r="W752" s="392"/>
      <c r="X752" s="392"/>
      <c r="Y752" s="392"/>
      <c r="Z752" s="392"/>
      <c r="AA752" s="392"/>
      <c r="AB752" s="392"/>
      <c r="AC752" s="392"/>
      <c r="AD752" s="392"/>
      <c r="AE752" s="392"/>
      <c r="AF752" s="392"/>
    </row>
    <row r="753" ht="15.75" customHeight="1">
      <c r="A753" s="216"/>
      <c r="B753" s="156"/>
      <c r="C753" s="156"/>
      <c r="D753" s="156"/>
      <c r="E753" s="392"/>
      <c r="F753" s="392"/>
      <c r="G753" s="392"/>
      <c r="H753" s="392"/>
      <c r="I753" s="392"/>
      <c r="J753" s="392"/>
      <c r="K753" s="392"/>
      <c r="L753" s="392"/>
      <c r="M753" s="392"/>
      <c r="N753" s="392"/>
      <c r="O753" s="392"/>
      <c r="P753" s="392"/>
      <c r="Q753" s="392"/>
      <c r="R753" s="392"/>
      <c r="S753" s="392"/>
      <c r="T753" s="392"/>
      <c r="U753" s="392"/>
      <c r="V753" s="392"/>
      <c r="W753" s="392"/>
      <c r="X753" s="392"/>
      <c r="Y753" s="392"/>
      <c r="Z753" s="392"/>
      <c r="AA753" s="392"/>
      <c r="AB753" s="392"/>
      <c r="AC753" s="392"/>
      <c r="AD753" s="392"/>
      <c r="AE753" s="392"/>
      <c r="AF753" s="392"/>
    </row>
    <row r="754" ht="15.75" customHeight="1">
      <c r="A754" s="216"/>
      <c r="B754" s="156"/>
      <c r="C754" s="156"/>
      <c r="D754" s="156"/>
      <c r="E754" s="392"/>
      <c r="F754" s="392"/>
      <c r="G754" s="392"/>
      <c r="H754" s="392"/>
      <c r="I754" s="392"/>
      <c r="J754" s="392"/>
      <c r="K754" s="392"/>
      <c r="L754" s="392"/>
      <c r="M754" s="392"/>
      <c r="N754" s="392"/>
      <c r="O754" s="392"/>
      <c r="P754" s="392"/>
      <c r="Q754" s="392"/>
      <c r="R754" s="392"/>
      <c r="S754" s="392"/>
      <c r="T754" s="392"/>
      <c r="U754" s="392"/>
      <c r="V754" s="392"/>
      <c r="W754" s="392"/>
      <c r="X754" s="392"/>
      <c r="Y754" s="392"/>
      <c r="Z754" s="392"/>
      <c r="AA754" s="392"/>
      <c r="AB754" s="392"/>
      <c r="AC754" s="392"/>
      <c r="AD754" s="392"/>
      <c r="AE754" s="392"/>
      <c r="AF754" s="392"/>
    </row>
    <row r="755" ht="15.75" customHeight="1">
      <c r="A755" s="216"/>
      <c r="B755" s="156"/>
      <c r="C755" s="156"/>
      <c r="D755" s="156"/>
      <c r="E755" s="392"/>
      <c r="F755" s="392"/>
      <c r="G755" s="392"/>
      <c r="H755" s="392"/>
      <c r="I755" s="392"/>
      <c r="J755" s="392"/>
      <c r="K755" s="392"/>
      <c r="L755" s="392"/>
      <c r="M755" s="392"/>
      <c r="N755" s="392"/>
      <c r="O755" s="392"/>
      <c r="P755" s="392"/>
      <c r="Q755" s="392"/>
      <c r="R755" s="392"/>
      <c r="S755" s="392"/>
      <c r="T755" s="392"/>
      <c r="U755" s="392"/>
      <c r="V755" s="392"/>
      <c r="W755" s="392"/>
      <c r="X755" s="392"/>
      <c r="Y755" s="392"/>
      <c r="Z755" s="392"/>
      <c r="AA755" s="392"/>
      <c r="AB755" s="392"/>
      <c r="AC755" s="392"/>
      <c r="AD755" s="392"/>
      <c r="AE755" s="392"/>
      <c r="AF755" s="392"/>
    </row>
    <row r="756" ht="15.75" customHeight="1">
      <c r="A756" s="216"/>
      <c r="B756" s="156"/>
      <c r="C756" s="156"/>
      <c r="D756" s="156"/>
      <c r="E756" s="392"/>
      <c r="F756" s="392"/>
      <c r="G756" s="392"/>
      <c r="H756" s="392"/>
      <c r="I756" s="392"/>
      <c r="J756" s="392"/>
      <c r="K756" s="392"/>
      <c r="L756" s="392"/>
      <c r="M756" s="392"/>
      <c r="N756" s="392"/>
      <c r="O756" s="392"/>
      <c r="P756" s="392"/>
      <c r="Q756" s="392"/>
      <c r="R756" s="392"/>
      <c r="S756" s="392"/>
      <c r="T756" s="392"/>
      <c r="U756" s="392"/>
      <c r="V756" s="392"/>
      <c r="W756" s="392"/>
      <c r="X756" s="392"/>
      <c r="Y756" s="392"/>
      <c r="Z756" s="392"/>
      <c r="AA756" s="392"/>
      <c r="AB756" s="392"/>
      <c r="AC756" s="392"/>
      <c r="AD756" s="392"/>
      <c r="AE756" s="392"/>
      <c r="AF756" s="392"/>
    </row>
    <row r="757" ht="15.75" customHeight="1">
      <c r="A757" s="216"/>
      <c r="B757" s="156"/>
      <c r="C757" s="156"/>
      <c r="D757" s="156"/>
      <c r="E757" s="392"/>
      <c r="F757" s="392"/>
      <c r="G757" s="392"/>
      <c r="H757" s="392"/>
      <c r="I757" s="392"/>
      <c r="J757" s="392"/>
      <c r="K757" s="392"/>
      <c r="L757" s="392"/>
      <c r="M757" s="392"/>
      <c r="N757" s="392"/>
      <c r="O757" s="392"/>
      <c r="P757" s="392"/>
      <c r="Q757" s="392"/>
      <c r="R757" s="392"/>
      <c r="S757" s="392"/>
      <c r="T757" s="392"/>
      <c r="U757" s="392"/>
      <c r="V757" s="392"/>
      <c r="W757" s="392"/>
      <c r="X757" s="392"/>
      <c r="Y757" s="392"/>
      <c r="Z757" s="392"/>
      <c r="AA757" s="392"/>
      <c r="AB757" s="392"/>
      <c r="AC757" s="392"/>
      <c r="AD757" s="392"/>
      <c r="AE757" s="392"/>
      <c r="AF757" s="392"/>
    </row>
    <row r="758" ht="15.75" customHeight="1">
      <c r="A758" s="216"/>
      <c r="B758" s="156"/>
      <c r="C758" s="156"/>
      <c r="D758" s="156"/>
      <c r="E758" s="392"/>
      <c r="F758" s="392"/>
      <c r="G758" s="392"/>
      <c r="H758" s="392"/>
      <c r="I758" s="392"/>
      <c r="J758" s="392"/>
      <c r="K758" s="392"/>
      <c r="L758" s="392"/>
      <c r="M758" s="392"/>
      <c r="N758" s="392"/>
      <c r="O758" s="392"/>
      <c r="P758" s="392"/>
      <c r="Q758" s="392"/>
      <c r="R758" s="392"/>
      <c r="S758" s="392"/>
      <c r="T758" s="392"/>
      <c r="U758" s="392"/>
      <c r="V758" s="392"/>
      <c r="W758" s="392"/>
      <c r="X758" s="392"/>
      <c r="Y758" s="392"/>
      <c r="Z758" s="392"/>
      <c r="AA758" s="392"/>
      <c r="AB758" s="392"/>
      <c r="AC758" s="392"/>
      <c r="AD758" s="392"/>
      <c r="AE758" s="392"/>
      <c r="AF758" s="392"/>
    </row>
    <row r="759" ht="15.75" customHeight="1">
      <c r="A759" s="216"/>
      <c r="B759" s="156"/>
      <c r="C759" s="156"/>
      <c r="D759" s="156"/>
      <c r="E759" s="392"/>
      <c r="F759" s="392"/>
      <c r="G759" s="392"/>
      <c r="H759" s="392"/>
      <c r="I759" s="392"/>
      <c r="J759" s="392"/>
      <c r="K759" s="392"/>
      <c r="L759" s="392"/>
      <c r="M759" s="392"/>
      <c r="N759" s="392"/>
      <c r="O759" s="392"/>
      <c r="P759" s="392"/>
      <c r="Q759" s="392"/>
      <c r="R759" s="392"/>
      <c r="S759" s="392"/>
      <c r="T759" s="392"/>
      <c r="U759" s="392"/>
      <c r="V759" s="392"/>
      <c r="W759" s="392"/>
      <c r="X759" s="392"/>
      <c r="Y759" s="392"/>
      <c r="Z759" s="392"/>
      <c r="AA759" s="392"/>
      <c r="AB759" s="392"/>
      <c r="AC759" s="392"/>
      <c r="AD759" s="392"/>
      <c r="AE759" s="392"/>
      <c r="AF759" s="392"/>
    </row>
    <row r="760" ht="15.75" customHeight="1">
      <c r="A760" s="216"/>
      <c r="B760" s="156"/>
      <c r="C760" s="156"/>
      <c r="D760" s="156"/>
      <c r="E760" s="392"/>
      <c r="F760" s="392"/>
      <c r="G760" s="392"/>
      <c r="H760" s="392"/>
      <c r="I760" s="392"/>
      <c r="J760" s="392"/>
      <c r="K760" s="392"/>
      <c r="L760" s="392"/>
      <c r="M760" s="392"/>
      <c r="N760" s="392"/>
      <c r="O760" s="392"/>
      <c r="P760" s="392"/>
      <c r="Q760" s="392"/>
      <c r="R760" s="392"/>
      <c r="S760" s="392"/>
      <c r="T760" s="392"/>
      <c r="U760" s="392"/>
      <c r="V760" s="392"/>
      <c r="W760" s="392"/>
      <c r="X760" s="392"/>
      <c r="Y760" s="392"/>
      <c r="Z760" s="392"/>
      <c r="AA760" s="392"/>
      <c r="AB760" s="392"/>
      <c r="AC760" s="392"/>
      <c r="AD760" s="392"/>
      <c r="AE760" s="392"/>
      <c r="AF760" s="392"/>
    </row>
    <row r="761" ht="15.75" customHeight="1">
      <c r="A761" s="216"/>
      <c r="B761" s="156"/>
      <c r="C761" s="156"/>
      <c r="D761" s="156"/>
      <c r="E761" s="392"/>
      <c r="F761" s="392"/>
      <c r="G761" s="392"/>
      <c r="H761" s="392"/>
      <c r="I761" s="392"/>
      <c r="J761" s="392"/>
      <c r="K761" s="392"/>
      <c r="L761" s="392"/>
      <c r="M761" s="392"/>
      <c r="N761" s="392"/>
      <c r="O761" s="392"/>
      <c r="P761" s="392"/>
      <c r="Q761" s="392"/>
      <c r="R761" s="392"/>
      <c r="S761" s="392"/>
      <c r="T761" s="392"/>
      <c r="U761" s="392"/>
      <c r="V761" s="392"/>
      <c r="W761" s="392"/>
      <c r="X761" s="392"/>
      <c r="Y761" s="392"/>
      <c r="Z761" s="392"/>
      <c r="AA761" s="392"/>
      <c r="AB761" s="392"/>
      <c r="AC761" s="392"/>
      <c r="AD761" s="392"/>
      <c r="AE761" s="392"/>
      <c r="AF761" s="392"/>
    </row>
    <row r="762" ht="15.75" customHeight="1">
      <c r="A762" s="216"/>
      <c r="B762" s="156"/>
      <c r="C762" s="156"/>
      <c r="D762" s="156"/>
      <c r="E762" s="392"/>
      <c r="F762" s="392"/>
      <c r="G762" s="392"/>
      <c r="H762" s="392"/>
      <c r="I762" s="392"/>
      <c r="J762" s="392"/>
      <c r="K762" s="392"/>
      <c r="L762" s="392"/>
      <c r="M762" s="392"/>
      <c r="N762" s="392"/>
      <c r="O762" s="392"/>
      <c r="P762" s="392"/>
      <c r="Q762" s="392"/>
      <c r="R762" s="392"/>
      <c r="S762" s="392"/>
      <c r="T762" s="392"/>
      <c r="U762" s="392"/>
      <c r="V762" s="392"/>
      <c r="W762" s="392"/>
      <c r="X762" s="392"/>
      <c r="Y762" s="392"/>
      <c r="Z762" s="392"/>
      <c r="AA762" s="392"/>
      <c r="AB762" s="392"/>
      <c r="AC762" s="392"/>
      <c r="AD762" s="392"/>
      <c r="AE762" s="392"/>
      <c r="AF762" s="392"/>
    </row>
    <row r="763" ht="15.75" customHeight="1">
      <c r="A763" s="216"/>
      <c r="B763" s="156"/>
      <c r="C763" s="156"/>
      <c r="D763" s="156"/>
      <c r="E763" s="392"/>
      <c r="F763" s="392"/>
      <c r="G763" s="392"/>
      <c r="H763" s="392"/>
      <c r="I763" s="392"/>
      <c r="J763" s="392"/>
      <c r="K763" s="392"/>
      <c r="L763" s="392"/>
      <c r="M763" s="392"/>
      <c r="N763" s="392"/>
      <c r="O763" s="392"/>
      <c r="P763" s="392"/>
      <c r="Q763" s="392"/>
      <c r="R763" s="392"/>
      <c r="S763" s="392"/>
      <c r="T763" s="392"/>
      <c r="U763" s="392"/>
      <c r="V763" s="392"/>
      <c r="W763" s="392"/>
      <c r="X763" s="392"/>
      <c r="Y763" s="392"/>
      <c r="Z763" s="392"/>
      <c r="AA763" s="392"/>
      <c r="AB763" s="392"/>
      <c r="AC763" s="392"/>
      <c r="AD763" s="392"/>
      <c r="AE763" s="392"/>
      <c r="AF763" s="392"/>
    </row>
    <row r="764" ht="15.75" customHeight="1">
      <c r="A764" s="216"/>
      <c r="B764" s="156"/>
      <c r="C764" s="156"/>
      <c r="D764" s="156"/>
      <c r="E764" s="392"/>
      <c r="F764" s="392"/>
      <c r="G764" s="392"/>
      <c r="H764" s="392"/>
      <c r="I764" s="392"/>
      <c r="J764" s="392"/>
      <c r="K764" s="392"/>
      <c r="L764" s="392"/>
      <c r="M764" s="392"/>
      <c r="N764" s="392"/>
      <c r="O764" s="392"/>
      <c r="P764" s="392"/>
      <c r="Q764" s="392"/>
      <c r="R764" s="392"/>
      <c r="S764" s="392"/>
      <c r="T764" s="392"/>
      <c r="U764" s="392"/>
      <c r="V764" s="392"/>
      <c r="W764" s="392"/>
      <c r="X764" s="392"/>
      <c r="Y764" s="392"/>
      <c r="Z764" s="392"/>
      <c r="AA764" s="392"/>
      <c r="AB764" s="392"/>
      <c r="AC764" s="392"/>
      <c r="AD764" s="392"/>
      <c r="AE764" s="392"/>
      <c r="AF764" s="392"/>
    </row>
    <row r="765" ht="15.75" customHeight="1">
      <c r="A765" s="216"/>
      <c r="B765" s="156"/>
      <c r="C765" s="156"/>
      <c r="D765" s="156"/>
      <c r="E765" s="392"/>
      <c r="F765" s="392"/>
      <c r="G765" s="392"/>
      <c r="H765" s="392"/>
      <c r="I765" s="392"/>
      <c r="J765" s="392"/>
      <c r="K765" s="392"/>
      <c r="L765" s="392"/>
      <c r="M765" s="392"/>
      <c r="N765" s="392"/>
      <c r="O765" s="392"/>
      <c r="P765" s="392"/>
      <c r="Q765" s="392"/>
      <c r="R765" s="392"/>
      <c r="S765" s="392"/>
      <c r="T765" s="392"/>
      <c r="U765" s="392"/>
      <c r="V765" s="392"/>
      <c r="W765" s="392"/>
      <c r="X765" s="392"/>
      <c r="Y765" s="392"/>
      <c r="Z765" s="392"/>
      <c r="AA765" s="392"/>
      <c r="AB765" s="392"/>
      <c r="AC765" s="392"/>
      <c r="AD765" s="392"/>
      <c r="AE765" s="392"/>
      <c r="AF765" s="392"/>
    </row>
    <row r="766" ht="15.75" customHeight="1">
      <c r="A766" s="216"/>
      <c r="B766" s="156"/>
      <c r="C766" s="156"/>
      <c r="D766" s="156"/>
      <c r="E766" s="392"/>
      <c r="F766" s="392"/>
      <c r="G766" s="392"/>
      <c r="H766" s="392"/>
      <c r="I766" s="392"/>
      <c r="J766" s="392"/>
      <c r="K766" s="392"/>
      <c r="L766" s="392"/>
      <c r="M766" s="392"/>
      <c r="N766" s="392"/>
      <c r="O766" s="392"/>
      <c r="P766" s="392"/>
      <c r="Q766" s="392"/>
      <c r="R766" s="392"/>
      <c r="S766" s="392"/>
      <c r="T766" s="392"/>
      <c r="U766" s="392"/>
      <c r="V766" s="392"/>
      <c r="W766" s="392"/>
      <c r="X766" s="392"/>
      <c r="Y766" s="392"/>
      <c r="Z766" s="392"/>
      <c r="AA766" s="392"/>
      <c r="AB766" s="392"/>
      <c r="AC766" s="392"/>
      <c r="AD766" s="392"/>
      <c r="AE766" s="392"/>
      <c r="AF766" s="392"/>
    </row>
    <row r="767" ht="15.75" customHeight="1">
      <c r="A767" s="216"/>
      <c r="B767" s="156"/>
      <c r="C767" s="156"/>
      <c r="D767" s="156"/>
      <c r="E767" s="392"/>
      <c r="F767" s="392"/>
      <c r="G767" s="392"/>
      <c r="H767" s="392"/>
      <c r="I767" s="392"/>
      <c r="J767" s="392"/>
      <c r="K767" s="392"/>
      <c r="L767" s="392"/>
      <c r="M767" s="392"/>
      <c r="N767" s="392"/>
      <c r="O767" s="392"/>
      <c r="P767" s="392"/>
      <c r="Q767" s="392"/>
      <c r="R767" s="392"/>
      <c r="S767" s="392"/>
      <c r="T767" s="392"/>
      <c r="U767" s="392"/>
      <c r="V767" s="392"/>
      <c r="W767" s="392"/>
      <c r="X767" s="392"/>
      <c r="Y767" s="392"/>
      <c r="Z767" s="392"/>
      <c r="AA767" s="392"/>
      <c r="AB767" s="392"/>
      <c r="AC767" s="392"/>
      <c r="AD767" s="392"/>
      <c r="AE767" s="392"/>
      <c r="AF767" s="392"/>
    </row>
    <row r="768" ht="15.75" customHeight="1">
      <c r="A768" s="216"/>
      <c r="B768" s="156"/>
      <c r="C768" s="156"/>
      <c r="D768" s="156"/>
      <c r="E768" s="392"/>
      <c r="F768" s="392"/>
      <c r="G768" s="392"/>
      <c r="H768" s="392"/>
      <c r="I768" s="392"/>
      <c r="J768" s="392"/>
      <c r="K768" s="392"/>
      <c r="L768" s="392"/>
      <c r="M768" s="392"/>
      <c r="N768" s="392"/>
      <c r="O768" s="392"/>
      <c r="P768" s="392"/>
      <c r="Q768" s="392"/>
      <c r="R768" s="392"/>
      <c r="S768" s="392"/>
      <c r="T768" s="392"/>
      <c r="U768" s="392"/>
      <c r="V768" s="392"/>
      <c r="W768" s="392"/>
      <c r="X768" s="392"/>
      <c r="Y768" s="392"/>
      <c r="Z768" s="392"/>
      <c r="AA768" s="392"/>
      <c r="AB768" s="392"/>
      <c r="AC768" s="392"/>
      <c r="AD768" s="392"/>
      <c r="AE768" s="392"/>
      <c r="AF768" s="392"/>
    </row>
    <row r="769" ht="15.75" customHeight="1">
      <c r="A769" s="216"/>
      <c r="B769" s="156"/>
      <c r="C769" s="156"/>
      <c r="D769" s="156"/>
      <c r="E769" s="392"/>
      <c r="F769" s="392"/>
      <c r="G769" s="392"/>
      <c r="H769" s="392"/>
      <c r="I769" s="392"/>
      <c r="J769" s="392"/>
      <c r="K769" s="392"/>
      <c r="L769" s="392"/>
      <c r="M769" s="392"/>
      <c r="N769" s="392"/>
      <c r="O769" s="392"/>
      <c r="P769" s="392"/>
      <c r="Q769" s="392"/>
      <c r="R769" s="392"/>
      <c r="S769" s="392"/>
      <c r="T769" s="392"/>
      <c r="U769" s="392"/>
      <c r="V769" s="392"/>
      <c r="W769" s="392"/>
      <c r="X769" s="392"/>
      <c r="Y769" s="392"/>
      <c r="Z769" s="392"/>
      <c r="AA769" s="392"/>
      <c r="AB769" s="392"/>
      <c r="AC769" s="392"/>
      <c r="AD769" s="392"/>
      <c r="AE769" s="392"/>
      <c r="AF769" s="392"/>
    </row>
    <row r="770" ht="15.75" customHeight="1">
      <c r="A770" s="216"/>
      <c r="B770" s="156"/>
      <c r="C770" s="156"/>
      <c r="D770" s="156"/>
      <c r="E770" s="392"/>
      <c r="F770" s="392"/>
      <c r="G770" s="392"/>
      <c r="H770" s="392"/>
      <c r="I770" s="392"/>
      <c r="J770" s="392"/>
      <c r="K770" s="392"/>
      <c r="L770" s="392"/>
      <c r="M770" s="392"/>
      <c r="N770" s="392"/>
      <c r="O770" s="392"/>
      <c r="P770" s="392"/>
      <c r="Q770" s="392"/>
      <c r="R770" s="392"/>
      <c r="S770" s="392"/>
      <c r="T770" s="392"/>
      <c r="U770" s="392"/>
      <c r="V770" s="392"/>
      <c r="W770" s="392"/>
      <c r="X770" s="392"/>
      <c r="Y770" s="392"/>
      <c r="Z770" s="392"/>
      <c r="AA770" s="392"/>
      <c r="AB770" s="392"/>
      <c r="AC770" s="392"/>
      <c r="AD770" s="392"/>
      <c r="AE770" s="392"/>
      <c r="AF770" s="392"/>
    </row>
    <row r="771" ht="15.75" customHeight="1">
      <c r="A771" s="216"/>
      <c r="B771" s="156"/>
      <c r="C771" s="156"/>
      <c r="D771" s="156"/>
      <c r="E771" s="392"/>
      <c r="F771" s="392"/>
      <c r="G771" s="392"/>
      <c r="H771" s="392"/>
      <c r="I771" s="392"/>
      <c r="J771" s="392"/>
      <c r="K771" s="392"/>
      <c r="L771" s="392"/>
      <c r="M771" s="392"/>
      <c r="N771" s="392"/>
      <c r="O771" s="392"/>
      <c r="P771" s="392"/>
      <c r="Q771" s="392"/>
      <c r="R771" s="392"/>
      <c r="S771" s="392"/>
      <c r="T771" s="392"/>
      <c r="U771" s="392"/>
      <c r="V771" s="392"/>
      <c r="W771" s="392"/>
      <c r="X771" s="392"/>
      <c r="Y771" s="392"/>
      <c r="Z771" s="392"/>
      <c r="AA771" s="392"/>
      <c r="AB771" s="392"/>
      <c r="AC771" s="392"/>
      <c r="AD771" s="392"/>
      <c r="AE771" s="392"/>
      <c r="AF771" s="392"/>
    </row>
    <row r="772" ht="15.75" customHeight="1">
      <c r="A772" s="216"/>
      <c r="B772" s="156"/>
      <c r="C772" s="156"/>
      <c r="D772" s="156"/>
      <c r="E772" s="392"/>
      <c r="F772" s="392"/>
      <c r="G772" s="392"/>
      <c r="H772" s="392"/>
      <c r="I772" s="392"/>
      <c r="J772" s="392"/>
      <c r="K772" s="392"/>
      <c r="L772" s="392"/>
      <c r="M772" s="392"/>
      <c r="N772" s="392"/>
      <c r="O772" s="392"/>
      <c r="P772" s="392"/>
      <c r="Q772" s="392"/>
      <c r="R772" s="392"/>
      <c r="S772" s="392"/>
      <c r="T772" s="392"/>
      <c r="U772" s="392"/>
      <c r="V772" s="392"/>
      <c r="W772" s="392"/>
      <c r="X772" s="392"/>
      <c r="Y772" s="392"/>
      <c r="Z772" s="392"/>
      <c r="AA772" s="392"/>
      <c r="AB772" s="392"/>
      <c r="AC772" s="392"/>
      <c r="AD772" s="392"/>
      <c r="AE772" s="392"/>
      <c r="AF772" s="392"/>
    </row>
    <row r="773" ht="15.75" customHeight="1">
      <c r="A773" s="216"/>
      <c r="B773" s="156"/>
      <c r="C773" s="156"/>
      <c r="D773" s="156"/>
      <c r="E773" s="392"/>
      <c r="F773" s="392"/>
      <c r="G773" s="392"/>
      <c r="H773" s="392"/>
      <c r="I773" s="392"/>
      <c r="J773" s="392"/>
      <c r="K773" s="392"/>
      <c r="L773" s="392"/>
      <c r="M773" s="392"/>
      <c r="N773" s="392"/>
      <c r="O773" s="392"/>
      <c r="P773" s="392"/>
      <c r="Q773" s="392"/>
      <c r="R773" s="392"/>
      <c r="S773" s="392"/>
      <c r="T773" s="392"/>
      <c r="U773" s="392"/>
      <c r="V773" s="392"/>
      <c r="W773" s="392"/>
      <c r="X773" s="392"/>
      <c r="Y773" s="392"/>
      <c r="Z773" s="392"/>
      <c r="AA773" s="392"/>
      <c r="AB773" s="392"/>
      <c r="AC773" s="392"/>
      <c r="AD773" s="392"/>
      <c r="AE773" s="392"/>
      <c r="AF773" s="392"/>
    </row>
    <row r="774" ht="15.75" customHeight="1">
      <c r="A774" s="216"/>
      <c r="B774" s="156"/>
      <c r="C774" s="156"/>
      <c r="D774" s="156"/>
      <c r="E774" s="392"/>
      <c r="F774" s="392"/>
      <c r="G774" s="392"/>
      <c r="H774" s="392"/>
      <c r="I774" s="392"/>
      <c r="J774" s="392"/>
      <c r="K774" s="392"/>
      <c r="L774" s="392"/>
      <c r="M774" s="392"/>
      <c r="N774" s="392"/>
      <c r="O774" s="392"/>
      <c r="P774" s="392"/>
      <c r="Q774" s="392"/>
      <c r="R774" s="392"/>
      <c r="S774" s="392"/>
      <c r="T774" s="392"/>
      <c r="U774" s="392"/>
      <c r="V774" s="392"/>
      <c r="W774" s="392"/>
      <c r="X774" s="392"/>
      <c r="Y774" s="392"/>
      <c r="Z774" s="392"/>
      <c r="AA774" s="392"/>
      <c r="AB774" s="392"/>
      <c r="AC774" s="392"/>
      <c r="AD774" s="392"/>
      <c r="AE774" s="392"/>
      <c r="AF774" s="392"/>
    </row>
    <row r="775" ht="15.75" customHeight="1">
      <c r="A775" s="216"/>
      <c r="B775" s="156"/>
      <c r="C775" s="156"/>
      <c r="D775" s="156"/>
      <c r="E775" s="392"/>
      <c r="F775" s="392"/>
      <c r="G775" s="392"/>
      <c r="H775" s="392"/>
      <c r="I775" s="392"/>
      <c r="J775" s="392"/>
      <c r="K775" s="392"/>
      <c r="L775" s="392"/>
      <c r="M775" s="392"/>
      <c r="N775" s="392"/>
      <c r="O775" s="392"/>
      <c r="P775" s="392"/>
      <c r="Q775" s="392"/>
      <c r="R775" s="392"/>
      <c r="S775" s="392"/>
      <c r="T775" s="392"/>
      <c r="U775" s="392"/>
      <c r="V775" s="392"/>
      <c r="W775" s="392"/>
      <c r="X775" s="392"/>
      <c r="Y775" s="392"/>
      <c r="Z775" s="392"/>
      <c r="AA775" s="392"/>
      <c r="AB775" s="392"/>
      <c r="AC775" s="392"/>
      <c r="AD775" s="392"/>
      <c r="AE775" s="392"/>
      <c r="AF775" s="392"/>
    </row>
    <row r="776" ht="15.75" customHeight="1">
      <c r="A776" s="216"/>
      <c r="B776" s="156"/>
      <c r="C776" s="156"/>
      <c r="D776" s="156"/>
      <c r="E776" s="392"/>
      <c r="F776" s="392"/>
      <c r="G776" s="392"/>
      <c r="H776" s="392"/>
      <c r="I776" s="392"/>
      <c r="J776" s="392"/>
      <c r="K776" s="392"/>
      <c r="L776" s="392"/>
      <c r="M776" s="392"/>
      <c r="N776" s="392"/>
      <c r="O776" s="392"/>
      <c r="P776" s="392"/>
      <c r="Q776" s="392"/>
      <c r="R776" s="392"/>
      <c r="S776" s="392"/>
      <c r="T776" s="392"/>
      <c r="U776" s="392"/>
      <c r="V776" s="392"/>
      <c r="W776" s="392"/>
      <c r="X776" s="392"/>
      <c r="Y776" s="392"/>
      <c r="Z776" s="392"/>
      <c r="AA776" s="392"/>
      <c r="AB776" s="392"/>
      <c r="AC776" s="392"/>
      <c r="AD776" s="392"/>
      <c r="AE776" s="392"/>
      <c r="AF776" s="392"/>
    </row>
    <row r="777" ht="15.75" customHeight="1">
      <c r="A777" s="216"/>
      <c r="B777" s="156"/>
      <c r="C777" s="156"/>
      <c r="D777" s="156"/>
      <c r="E777" s="392"/>
      <c r="F777" s="392"/>
      <c r="G777" s="392"/>
      <c r="H777" s="392"/>
      <c r="I777" s="392"/>
      <c r="J777" s="392"/>
      <c r="K777" s="392"/>
      <c r="L777" s="392"/>
      <c r="M777" s="392"/>
      <c r="N777" s="392"/>
      <c r="O777" s="392"/>
      <c r="P777" s="392"/>
      <c r="Q777" s="392"/>
      <c r="R777" s="392"/>
      <c r="S777" s="392"/>
      <c r="T777" s="392"/>
      <c r="U777" s="392"/>
      <c r="V777" s="392"/>
      <c r="W777" s="392"/>
      <c r="X777" s="392"/>
      <c r="Y777" s="392"/>
      <c r="Z777" s="392"/>
      <c r="AA777" s="392"/>
      <c r="AB777" s="392"/>
      <c r="AC777" s="392"/>
      <c r="AD777" s="392"/>
      <c r="AE777" s="392"/>
      <c r="AF777" s="392"/>
    </row>
    <row r="778" ht="15.75" customHeight="1">
      <c r="A778" s="216"/>
      <c r="B778" s="156"/>
      <c r="C778" s="156"/>
      <c r="D778" s="156"/>
      <c r="E778" s="392"/>
      <c r="F778" s="392"/>
      <c r="G778" s="392"/>
      <c r="H778" s="392"/>
      <c r="I778" s="392"/>
      <c r="J778" s="392"/>
      <c r="K778" s="392"/>
      <c r="L778" s="392"/>
      <c r="M778" s="392"/>
      <c r="N778" s="392"/>
      <c r="O778" s="392"/>
      <c r="P778" s="392"/>
      <c r="Q778" s="392"/>
      <c r="R778" s="392"/>
      <c r="S778" s="392"/>
      <c r="T778" s="392"/>
      <c r="U778" s="392"/>
      <c r="V778" s="392"/>
      <c r="W778" s="392"/>
      <c r="X778" s="392"/>
      <c r="Y778" s="392"/>
      <c r="Z778" s="392"/>
      <c r="AA778" s="392"/>
      <c r="AB778" s="392"/>
      <c r="AC778" s="392"/>
      <c r="AD778" s="392"/>
      <c r="AE778" s="392"/>
      <c r="AF778" s="392"/>
    </row>
    <row r="779" ht="15.75" customHeight="1">
      <c r="A779" s="216"/>
      <c r="B779" s="156"/>
      <c r="C779" s="156"/>
      <c r="D779" s="156"/>
      <c r="E779" s="392"/>
      <c r="F779" s="392"/>
      <c r="G779" s="392"/>
      <c r="H779" s="392"/>
      <c r="I779" s="392"/>
      <c r="J779" s="392"/>
      <c r="K779" s="392"/>
      <c r="L779" s="392"/>
      <c r="M779" s="392"/>
      <c r="N779" s="392"/>
      <c r="O779" s="392"/>
      <c r="P779" s="392"/>
      <c r="Q779" s="392"/>
      <c r="R779" s="392"/>
      <c r="S779" s="392"/>
      <c r="T779" s="392"/>
      <c r="U779" s="392"/>
      <c r="V779" s="392"/>
      <c r="W779" s="392"/>
      <c r="X779" s="392"/>
      <c r="Y779" s="392"/>
      <c r="Z779" s="392"/>
      <c r="AA779" s="392"/>
      <c r="AB779" s="392"/>
      <c r="AC779" s="392"/>
      <c r="AD779" s="392"/>
      <c r="AE779" s="392"/>
      <c r="AF779" s="392"/>
    </row>
    <row r="780" ht="15.75" customHeight="1">
      <c r="A780" s="216"/>
      <c r="B780" s="156"/>
      <c r="C780" s="156"/>
      <c r="D780" s="156"/>
      <c r="E780" s="392"/>
      <c r="F780" s="392"/>
      <c r="G780" s="392"/>
      <c r="H780" s="392"/>
      <c r="I780" s="392"/>
      <c r="J780" s="392"/>
      <c r="K780" s="392"/>
      <c r="L780" s="392"/>
      <c r="M780" s="392"/>
      <c r="N780" s="392"/>
      <c r="O780" s="392"/>
      <c r="P780" s="392"/>
      <c r="Q780" s="392"/>
      <c r="R780" s="392"/>
      <c r="S780" s="392"/>
      <c r="T780" s="392"/>
      <c r="U780" s="392"/>
      <c r="V780" s="392"/>
      <c r="W780" s="392"/>
      <c r="X780" s="392"/>
      <c r="Y780" s="392"/>
      <c r="Z780" s="392"/>
      <c r="AA780" s="392"/>
      <c r="AB780" s="392"/>
      <c r="AC780" s="392"/>
      <c r="AD780" s="392"/>
      <c r="AE780" s="392"/>
      <c r="AF780" s="392"/>
    </row>
    <row r="781" ht="15.75" customHeight="1">
      <c r="A781" s="216"/>
      <c r="B781" s="156"/>
      <c r="C781" s="156"/>
      <c r="D781" s="156"/>
      <c r="E781" s="392"/>
      <c r="F781" s="392"/>
      <c r="G781" s="392"/>
      <c r="H781" s="392"/>
      <c r="I781" s="392"/>
      <c r="J781" s="392"/>
      <c r="K781" s="392"/>
      <c r="L781" s="392"/>
      <c r="M781" s="392"/>
      <c r="N781" s="392"/>
      <c r="O781" s="392"/>
      <c r="P781" s="392"/>
      <c r="Q781" s="392"/>
      <c r="R781" s="392"/>
      <c r="S781" s="392"/>
      <c r="T781" s="392"/>
      <c r="U781" s="392"/>
      <c r="V781" s="392"/>
      <c r="W781" s="392"/>
      <c r="X781" s="392"/>
      <c r="Y781" s="392"/>
      <c r="Z781" s="392"/>
      <c r="AA781" s="392"/>
      <c r="AB781" s="392"/>
      <c r="AC781" s="392"/>
      <c r="AD781" s="392"/>
      <c r="AE781" s="392"/>
      <c r="AF781" s="392"/>
    </row>
    <row r="782" ht="15.75" customHeight="1">
      <c r="A782" s="216"/>
      <c r="B782" s="156"/>
      <c r="C782" s="156"/>
      <c r="D782" s="156"/>
      <c r="E782" s="392"/>
      <c r="F782" s="392"/>
      <c r="G782" s="392"/>
      <c r="H782" s="392"/>
      <c r="I782" s="392"/>
      <c r="J782" s="392"/>
      <c r="K782" s="392"/>
      <c r="L782" s="392"/>
      <c r="M782" s="392"/>
      <c r="N782" s="392"/>
      <c r="O782" s="392"/>
      <c r="P782" s="392"/>
      <c r="Q782" s="392"/>
      <c r="R782" s="392"/>
      <c r="S782" s="392"/>
      <c r="T782" s="392"/>
      <c r="U782" s="392"/>
      <c r="V782" s="392"/>
      <c r="W782" s="392"/>
      <c r="X782" s="392"/>
      <c r="Y782" s="392"/>
      <c r="Z782" s="392"/>
      <c r="AA782" s="392"/>
      <c r="AB782" s="392"/>
      <c r="AC782" s="392"/>
      <c r="AD782" s="392"/>
      <c r="AE782" s="392"/>
      <c r="AF782" s="392"/>
    </row>
    <row r="783" ht="15.75" customHeight="1">
      <c r="A783" s="216"/>
      <c r="B783" s="156"/>
      <c r="C783" s="156"/>
      <c r="D783" s="156"/>
      <c r="E783" s="392"/>
      <c r="F783" s="392"/>
      <c r="G783" s="392"/>
      <c r="H783" s="392"/>
      <c r="I783" s="392"/>
      <c r="J783" s="392"/>
      <c r="K783" s="392"/>
      <c r="L783" s="392"/>
      <c r="M783" s="392"/>
      <c r="N783" s="392"/>
      <c r="O783" s="392"/>
      <c r="P783" s="392"/>
      <c r="Q783" s="392"/>
      <c r="R783" s="392"/>
      <c r="S783" s="392"/>
      <c r="T783" s="392"/>
      <c r="U783" s="392"/>
      <c r="V783" s="392"/>
      <c r="W783" s="392"/>
      <c r="X783" s="392"/>
      <c r="Y783" s="392"/>
      <c r="Z783" s="392"/>
      <c r="AA783" s="392"/>
      <c r="AB783" s="392"/>
      <c r="AC783" s="392"/>
      <c r="AD783" s="392"/>
      <c r="AE783" s="392"/>
      <c r="AF783" s="392"/>
    </row>
    <row r="784" ht="15.75" customHeight="1">
      <c r="A784" s="216"/>
      <c r="B784" s="156"/>
      <c r="C784" s="156"/>
      <c r="D784" s="156"/>
      <c r="E784" s="392"/>
      <c r="F784" s="392"/>
      <c r="G784" s="392"/>
      <c r="H784" s="392"/>
      <c r="I784" s="392"/>
      <c r="J784" s="392"/>
      <c r="K784" s="392"/>
      <c r="L784" s="392"/>
      <c r="M784" s="392"/>
      <c r="N784" s="392"/>
      <c r="O784" s="392"/>
      <c r="P784" s="392"/>
      <c r="Q784" s="392"/>
      <c r="R784" s="392"/>
      <c r="S784" s="392"/>
      <c r="T784" s="392"/>
      <c r="U784" s="392"/>
      <c r="V784" s="392"/>
      <c r="W784" s="392"/>
      <c r="X784" s="392"/>
      <c r="Y784" s="392"/>
      <c r="Z784" s="392"/>
      <c r="AA784" s="392"/>
      <c r="AB784" s="392"/>
      <c r="AC784" s="392"/>
      <c r="AD784" s="392"/>
      <c r="AE784" s="392"/>
      <c r="AF784" s="392"/>
    </row>
    <row r="785" ht="15.75" customHeight="1">
      <c r="A785" s="216"/>
      <c r="B785" s="156"/>
      <c r="C785" s="156"/>
      <c r="D785" s="156"/>
      <c r="E785" s="392"/>
      <c r="F785" s="392"/>
      <c r="G785" s="392"/>
      <c r="H785" s="392"/>
      <c r="I785" s="392"/>
      <c r="J785" s="392"/>
      <c r="K785" s="392"/>
      <c r="L785" s="392"/>
      <c r="M785" s="392"/>
      <c r="N785" s="392"/>
      <c r="O785" s="392"/>
      <c r="P785" s="392"/>
      <c r="Q785" s="392"/>
      <c r="R785" s="392"/>
      <c r="S785" s="392"/>
      <c r="T785" s="392"/>
      <c r="U785" s="392"/>
      <c r="V785" s="392"/>
      <c r="W785" s="392"/>
      <c r="X785" s="392"/>
      <c r="Y785" s="392"/>
      <c r="Z785" s="392"/>
      <c r="AA785" s="392"/>
      <c r="AB785" s="392"/>
      <c r="AC785" s="392"/>
      <c r="AD785" s="392"/>
      <c r="AE785" s="392"/>
      <c r="AF785" s="392"/>
    </row>
    <row r="786" ht="15.75" customHeight="1">
      <c r="A786" s="216"/>
      <c r="B786" s="156"/>
      <c r="C786" s="156"/>
      <c r="D786" s="156"/>
      <c r="E786" s="392"/>
      <c r="F786" s="392"/>
      <c r="G786" s="392"/>
      <c r="H786" s="392"/>
      <c r="I786" s="392"/>
      <c r="J786" s="392"/>
      <c r="K786" s="392"/>
      <c r="L786" s="392"/>
      <c r="M786" s="392"/>
      <c r="N786" s="392"/>
      <c r="O786" s="392"/>
      <c r="P786" s="392"/>
      <c r="Q786" s="392"/>
      <c r="R786" s="392"/>
      <c r="S786" s="392"/>
      <c r="T786" s="392"/>
      <c r="U786" s="392"/>
      <c r="V786" s="392"/>
      <c r="W786" s="392"/>
      <c r="X786" s="392"/>
      <c r="Y786" s="392"/>
      <c r="Z786" s="392"/>
      <c r="AA786" s="392"/>
      <c r="AB786" s="392"/>
      <c r="AC786" s="392"/>
      <c r="AD786" s="392"/>
      <c r="AE786" s="392"/>
      <c r="AF786" s="392"/>
    </row>
    <row r="787" ht="15.75" customHeight="1">
      <c r="A787" s="216"/>
      <c r="B787" s="156"/>
      <c r="C787" s="156"/>
      <c r="D787" s="156"/>
      <c r="E787" s="392"/>
      <c r="F787" s="392"/>
      <c r="G787" s="392"/>
      <c r="H787" s="392"/>
      <c r="I787" s="392"/>
      <c r="J787" s="392"/>
      <c r="K787" s="392"/>
      <c r="L787" s="392"/>
      <c r="M787" s="392"/>
      <c r="N787" s="392"/>
      <c r="O787" s="392"/>
      <c r="P787" s="392"/>
      <c r="Q787" s="392"/>
      <c r="R787" s="392"/>
      <c r="S787" s="392"/>
      <c r="T787" s="392"/>
      <c r="U787" s="392"/>
      <c r="V787" s="392"/>
      <c r="W787" s="392"/>
      <c r="X787" s="392"/>
      <c r="Y787" s="392"/>
      <c r="Z787" s="392"/>
      <c r="AA787" s="392"/>
      <c r="AB787" s="392"/>
      <c r="AC787" s="392"/>
      <c r="AD787" s="392"/>
      <c r="AE787" s="392"/>
      <c r="AF787" s="392"/>
    </row>
    <row r="788" ht="15.75" customHeight="1">
      <c r="A788" s="216"/>
      <c r="B788" s="156"/>
      <c r="C788" s="156"/>
      <c r="D788" s="156"/>
      <c r="E788" s="392"/>
      <c r="F788" s="392"/>
      <c r="G788" s="392"/>
      <c r="H788" s="392"/>
      <c r="I788" s="392"/>
      <c r="J788" s="392"/>
      <c r="K788" s="392"/>
      <c r="L788" s="392"/>
      <c r="M788" s="392"/>
      <c r="N788" s="392"/>
      <c r="O788" s="392"/>
      <c r="P788" s="392"/>
      <c r="Q788" s="392"/>
      <c r="R788" s="392"/>
      <c r="S788" s="392"/>
      <c r="T788" s="392"/>
      <c r="U788" s="392"/>
      <c r="V788" s="392"/>
      <c r="W788" s="392"/>
      <c r="X788" s="392"/>
      <c r="Y788" s="392"/>
      <c r="Z788" s="392"/>
      <c r="AA788" s="392"/>
      <c r="AB788" s="392"/>
      <c r="AC788" s="392"/>
      <c r="AD788" s="392"/>
      <c r="AE788" s="392"/>
      <c r="AF788" s="392"/>
    </row>
    <row r="789" ht="15.75" customHeight="1">
      <c r="A789" s="216"/>
      <c r="B789" s="156"/>
      <c r="C789" s="156"/>
      <c r="D789" s="156"/>
      <c r="E789" s="392"/>
      <c r="F789" s="392"/>
      <c r="G789" s="392"/>
      <c r="H789" s="392"/>
      <c r="I789" s="392"/>
      <c r="J789" s="392"/>
      <c r="K789" s="392"/>
      <c r="L789" s="392"/>
      <c r="M789" s="392"/>
      <c r="N789" s="392"/>
      <c r="O789" s="392"/>
      <c r="P789" s="392"/>
      <c r="Q789" s="392"/>
      <c r="R789" s="392"/>
      <c r="S789" s="392"/>
      <c r="T789" s="392"/>
      <c r="U789" s="392"/>
      <c r="V789" s="392"/>
      <c r="W789" s="392"/>
      <c r="X789" s="392"/>
      <c r="Y789" s="392"/>
      <c r="Z789" s="392"/>
      <c r="AA789" s="392"/>
      <c r="AB789" s="392"/>
      <c r="AC789" s="392"/>
      <c r="AD789" s="392"/>
      <c r="AE789" s="392"/>
      <c r="AF789" s="392"/>
    </row>
    <row r="790" ht="15.75" customHeight="1">
      <c r="A790" s="216"/>
      <c r="B790" s="156"/>
      <c r="C790" s="156"/>
      <c r="D790" s="156"/>
      <c r="E790" s="392"/>
      <c r="F790" s="392"/>
      <c r="G790" s="392"/>
      <c r="H790" s="392"/>
      <c r="I790" s="392"/>
      <c r="J790" s="392"/>
      <c r="K790" s="392"/>
      <c r="L790" s="392"/>
      <c r="M790" s="392"/>
      <c r="N790" s="392"/>
      <c r="O790" s="392"/>
      <c r="P790" s="392"/>
      <c r="Q790" s="392"/>
      <c r="R790" s="392"/>
      <c r="S790" s="392"/>
      <c r="T790" s="392"/>
      <c r="U790" s="392"/>
      <c r="V790" s="392"/>
      <c r="W790" s="392"/>
      <c r="X790" s="392"/>
      <c r="Y790" s="392"/>
      <c r="Z790" s="392"/>
      <c r="AA790" s="392"/>
      <c r="AB790" s="392"/>
      <c r="AC790" s="392"/>
      <c r="AD790" s="392"/>
      <c r="AE790" s="392"/>
      <c r="AF790" s="392"/>
    </row>
    <row r="791" ht="15.75" customHeight="1">
      <c r="A791" s="216"/>
      <c r="B791" s="156"/>
      <c r="C791" s="156"/>
      <c r="D791" s="156"/>
      <c r="E791" s="392"/>
      <c r="F791" s="392"/>
      <c r="G791" s="392"/>
      <c r="H791" s="392"/>
      <c r="I791" s="392"/>
      <c r="J791" s="392"/>
      <c r="K791" s="392"/>
      <c r="L791" s="392"/>
      <c r="M791" s="392"/>
      <c r="N791" s="392"/>
      <c r="O791" s="392"/>
      <c r="P791" s="392"/>
      <c r="Q791" s="392"/>
      <c r="R791" s="392"/>
      <c r="S791" s="392"/>
      <c r="T791" s="392"/>
      <c r="U791" s="392"/>
      <c r="V791" s="392"/>
      <c r="W791" s="392"/>
      <c r="X791" s="392"/>
      <c r="Y791" s="392"/>
      <c r="Z791" s="392"/>
      <c r="AA791" s="392"/>
      <c r="AB791" s="392"/>
      <c r="AC791" s="392"/>
      <c r="AD791" s="392"/>
      <c r="AE791" s="392"/>
      <c r="AF791" s="392"/>
    </row>
    <row r="792" ht="15.75" customHeight="1">
      <c r="A792" s="216"/>
      <c r="B792" s="156"/>
      <c r="C792" s="156"/>
      <c r="D792" s="156"/>
      <c r="E792" s="392"/>
      <c r="F792" s="392"/>
      <c r="G792" s="392"/>
      <c r="H792" s="392"/>
      <c r="I792" s="392"/>
      <c r="J792" s="392"/>
      <c r="K792" s="392"/>
      <c r="L792" s="392"/>
      <c r="M792" s="392"/>
      <c r="N792" s="392"/>
      <c r="O792" s="392"/>
      <c r="P792" s="392"/>
      <c r="Q792" s="392"/>
      <c r="R792" s="392"/>
      <c r="S792" s="392"/>
      <c r="T792" s="392"/>
      <c r="U792" s="392"/>
      <c r="V792" s="392"/>
      <c r="W792" s="392"/>
      <c r="X792" s="392"/>
      <c r="Y792" s="392"/>
      <c r="Z792" s="392"/>
      <c r="AA792" s="392"/>
      <c r="AB792" s="392"/>
      <c r="AC792" s="392"/>
      <c r="AD792" s="392"/>
      <c r="AE792" s="392"/>
      <c r="AF792" s="392"/>
    </row>
    <row r="793" ht="15.75" customHeight="1">
      <c r="A793" s="216"/>
      <c r="B793" s="156"/>
      <c r="C793" s="156"/>
      <c r="D793" s="156"/>
      <c r="E793" s="392"/>
      <c r="F793" s="392"/>
      <c r="G793" s="392"/>
      <c r="H793" s="392"/>
      <c r="I793" s="392"/>
      <c r="J793" s="392"/>
      <c r="K793" s="392"/>
      <c r="L793" s="392"/>
      <c r="M793" s="392"/>
      <c r="N793" s="392"/>
      <c r="O793" s="392"/>
      <c r="P793" s="392"/>
      <c r="Q793" s="392"/>
      <c r="R793" s="392"/>
      <c r="S793" s="392"/>
      <c r="T793" s="392"/>
      <c r="U793" s="392"/>
      <c r="V793" s="392"/>
      <c r="W793" s="392"/>
      <c r="X793" s="392"/>
      <c r="Y793" s="392"/>
      <c r="Z793" s="392"/>
      <c r="AA793" s="392"/>
      <c r="AB793" s="392"/>
      <c r="AC793" s="392"/>
      <c r="AD793" s="392"/>
      <c r="AE793" s="392"/>
      <c r="AF793" s="392"/>
    </row>
    <row r="794" ht="15.75" customHeight="1">
      <c r="A794" s="216"/>
      <c r="B794" s="156"/>
      <c r="C794" s="156"/>
      <c r="D794" s="156"/>
      <c r="E794" s="392"/>
      <c r="F794" s="392"/>
      <c r="G794" s="392"/>
      <c r="H794" s="392"/>
      <c r="I794" s="392"/>
      <c r="J794" s="392"/>
      <c r="K794" s="392"/>
      <c r="L794" s="392"/>
      <c r="M794" s="392"/>
      <c r="N794" s="392"/>
      <c r="O794" s="392"/>
      <c r="P794" s="392"/>
      <c r="Q794" s="392"/>
      <c r="R794" s="392"/>
      <c r="S794" s="392"/>
      <c r="T794" s="392"/>
      <c r="U794" s="392"/>
      <c r="V794" s="392"/>
      <c r="W794" s="392"/>
      <c r="X794" s="392"/>
      <c r="Y794" s="392"/>
      <c r="Z794" s="392"/>
      <c r="AA794" s="392"/>
      <c r="AB794" s="392"/>
      <c r="AC794" s="392"/>
      <c r="AD794" s="392"/>
      <c r="AE794" s="392"/>
      <c r="AF794" s="392"/>
    </row>
    <row r="795" ht="15.75" customHeight="1">
      <c r="A795" s="216"/>
      <c r="B795" s="156"/>
      <c r="C795" s="156"/>
      <c r="D795" s="156"/>
      <c r="E795" s="392"/>
      <c r="F795" s="392"/>
      <c r="G795" s="392"/>
      <c r="H795" s="392"/>
      <c r="I795" s="392"/>
      <c r="J795" s="392"/>
      <c r="K795" s="392"/>
      <c r="L795" s="392"/>
      <c r="M795" s="392"/>
      <c r="N795" s="392"/>
      <c r="O795" s="392"/>
      <c r="P795" s="392"/>
      <c r="Q795" s="392"/>
      <c r="R795" s="392"/>
      <c r="S795" s="392"/>
      <c r="T795" s="392"/>
      <c r="U795" s="392"/>
      <c r="V795" s="392"/>
      <c r="W795" s="392"/>
      <c r="X795" s="392"/>
      <c r="Y795" s="392"/>
      <c r="Z795" s="392"/>
      <c r="AA795" s="392"/>
      <c r="AB795" s="392"/>
      <c r="AC795" s="392"/>
      <c r="AD795" s="392"/>
      <c r="AE795" s="392"/>
      <c r="AF795" s="392"/>
    </row>
    <row r="796" ht="15.75" customHeight="1">
      <c r="A796" s="216"/>
      <c r="B796" s="156"/>
      <c r="C796" s="156"/>
      <c r="D796" s="156"/>
      <c r="E796" s="392"/>
      <c r="F796" s="392"/>
      <c r="G796" s="392"/>
      <c r="H796" s="392"/>
      <c r="I796" s="392"/>
      <c r="J796" s="392"/>
      <c r="K796" s="392"/>
      <c r="L796" s="392"/>
      <c r="M796" s="392"/>
      <c r="N796" s="392"/>
      <c r="O796" s="392"/>
      <c r="P796" s="392"/>
      <c r="Q796" s="392"/>
      <c r="R796" s="392"/>
      <c r="S796" s="392"/>
      <c r="T796" s="392"/>
      <c r="U796" s="392"/>
      <c r="V796" s="392"/>
      <c r="W796" s="392"/>
      <c r="X796" s="392"/>
      <c r="Y796" s="392"/>
      <c r="Z796" s="392"/>
      <c r="AA796" s="392"/>
      <c r="AB796" s="392"/>
      <c r="AC796" s="392"/>
      <c r="AD796" s="392"/>
      <c r="AE796" s="392"/>
      <c r="AF796" s="392"/>
    </row>
    <row r="797" ht="15.75" customHeight="1">
      <c r="A797" s="216"/>
      <c r="B797" s="156"/>
      <c r="C797" s="156"/>
      <c r="D797" s="156"/>
      <c r="E797" s="392"/>
      <c r="F797" s="392"/>
      <c r="G797" s="392"/>
      <c r="H797" s="392"/>
      <c r="I797" s="392"/>
      <c r="J797" s="392"/>
      <c r="K797" s="392"/>
      <c r="L797" s="392"/>
      <c r="M797" s="392"/>
      <c r="N797" s="392"/>
      <c r="O797" s="392"/>
      <c r="P797" s="392"/>
      <c r="Q797" s="392"/>
      <c r="R797" s="392"/>
      <c r="S797" s="392"/>
      <c r="T797" s="392"/>
      <c r="U797" s="392"/>
      <c r="V797" s="392"/>
      <c r="W797" s="392"/>
      <c r="X797" s="392"/>
      <c r="Y797" s="392"/>
      <c r="Z797" s="392"/>
      <c r="AA797" s="392"/>
      <c r="AB797" s="392"/>
      <c r="AC797" s="392"/>
      <c r="AD797" s="392"/>
      <c r="AE797" s="392"/>
      <c r="AF797" s="392"/>
    </row>
    <row r="798" ht="15.75" customHeight="1">
      <c r="A798" s="216"/>
      <c r="B798" s="156"/>
      <c r="C798" s="156"/>
      <c r="D798" s="156"/>
      <c r="E798" s="392"/>
      <c r="F798" s="392"/>
      <c r="G798" s="392"/>
      <c r="H798" s="392"/>
      <c r="I798" s="392"/>
      <c r="J798" s="392"/>
      <c r="K798" s="392"/>
      <c r="L798" s="392"/>
      <c r="M798" s="392"/>
      <c r="N798" s="392"/>
      <c r="O798" s="392"/>
      <c r="P798" s="392"/>
      <c r="Q798" s="392"/>
      <c r="R798" s="392"/>
      <c r="S798" s="392"/>
      <c r="T798" s="392"/>
      <c r="U798" s="392"/>
      <c r="V798" s="392"/>
      <c r="W798" s="392"/>
      <c r="X798" s="392"/>
      <c r="Y798" s="392"/>
      <c r="Z798" s="392"/>
      <c r="AA798" s="392"/>
      <c r="AB798" s="392"/>
      <c r="AC798" s="392"/>
      <c r="AD798" s="392"/>
      <c r="AE798" s="392"/>
      <c r="AF798" s="392"/>
    </row>
    <row r="799" ht="15.75" customHeight="1">
      <c r="A799" s="216"/>
      <c r="B799" s="156"/>
      <c r="C799" s="156"/>
      <c r="D799" s="156"/>
      <c r="E799" s="392"/>
      <c r="F799" s="392"/>
      <c r="G799" s="392"/>
      <c r="H799" s="392"/>
      <c r="I799" s="392"/>
      <c r="J799" s="392"/>
      <c r="K799" s="392"/>
      <c r="L799" s="392"/>
      <c r="M799" s="392"/>
      <c r="N799" s="392"/>
      <c r="O799" s="392"/>
      <c r="P799" s="392"/>
      <c r="Q799" s="392"/>
      <c r="R799" s="392"/>
      <c r="S799" s="392"/>
      <c r="T799" s="392"/>
      <c r="U799" s="392"/>
      <c r="V799" s="392"/>
      <c r="W799" s="392"/>
      <c r="X799" s="392"/>
      <c r="Y799" s="392"/>
      <c r="Z799" s="392"/>
      <c r="AA799" s="392"/>
      <c r="AB799" s="392"/>
      <c r="AC799" s="392"/>
      <c r="AD799" s="392"/>
      <c r="AE799" s="392"/>
      <c r="AF799" s="392"/>
    </row>
    <row r="800" ht="15.75" customHeight="1">
      <c r="A800" s="216"/>
      <c r="B800" s="156"/>
      <c r="C800" s="156"/>
      <c r="D800" s="156"/>
      <c r="E800" s="392"/>
      <c r="F800" s="392"/>
      <c r="G800" s="392"/>
      <c r="H800" s="392"/>
      <c r="I800" s="392"/>
      <c r="J800" s="392"/>
      <c r="K800" s="392"/>
      <c r="L800" s="392"/>
      <c r="M800" s="392"/>
      <c r="N800" s="392"/>
      <c r="O800" s="392"/>
      <c r="P800" s="392"/>
      <c r="Q800" s="392"/>
      <c r="R800" s="392"/>
      <c r="S800" s="392"/>
      <c r="T800" s="392"/>
      <c r="U800" s="392"/>
      <c r="V800" s="392"/>
      <c r="W800" s="392"/>
      <c r="X800" s="392"/>
      <c r="Y800" s="392"/>
      <c r="Z800" s="392"/>
      <c r="AA800" s="392"/>
      <c r="AB800" s="392"/>
      <c r="AC800" s="392"/>
      <c r="AD800" s="392"/>
      <c r="AE800" s="392"/>
      <c r="AF800" s="392"/>
    </row>
    <row r="801" ht="15.75" customHeight="1">
      <c r="A801" s="216"/>
      <c r="B801" s="156"/>
      <c r="C801" s="156"/>
      <c r="D801" s="156"/>
      <c r="E801" s="392"/>
      <c r="F801" s="392"/>
      <c r="G801" s="392"/>
      <c r="H801" s="392"/>
      <c r="I801" s="392"/>
      <c r="J801" s="392"/>
      <c r="K801" s="392"/>
      <c r="L801" s="392"/>
      <c r="M801" s="392"/>
      <c r="N801" s="392"/>
      <c r="O801" s="392"/>
      <c r="P801" s="392"/>
      <c r="Q801" s="392"/>
      <c r="R801" s="392"/>
      <c r="S801" s="392"/>
      <c r="T801" s="392"/>
      <c r="U801" s="392"/>
      <c r="V801" s="392"/>
      <c r="W801" s="392"/>
      <c r="X801" s="392"/>
      <c r="Y801" s="392"/>
      <c r="Z801" s="392"/>
      <c r="AA801" s="392"/>
      <c r="AB801" s="392"/>
      <c r="AC801" s="392"/>
      <c r="AD801" s="392"/>
      <c r="AE801" s="392"/>
      <c r="AF801" s="392"/>
    </row>
    <row r="802" ht="15.75" customHeight="1">
      <c r="A802" s="216"/>
      <c r="B802" s="156"/>
      <c r="C802" s="156"/>
      <c r="D802" s="156"/>
      <c r="E802" s="392"/>
      <c r="F802" s="392"/>
      <c r="G802" s="392"/>
      <c r="H802" s="392"/>
      <c r="I802" s="392"/>
      <c r="J802" s="392"/>
      <c r="K802" s="392"/>
      <c r="L802" s="392"/>
      <c r="M802" s="392"/>
      <c r="N802" s="392"/>
      <c r="O802" s="392"/>
      <c r="P802" s="392"/>
      <c r="Q802" s="392"/>
      <c r="R802" s="392"/>
      <c r="S802" s="392"/>
      <c r="T802" s="392"/>
      <c r="U802" s="392"/>
      <c r="V802" s="392"/>
      <c r="W802" s="392"/>
      <c r="X802" s="392"/>
      <c r="Y802" s="392"/>
      <c r="Z802" s="392"/>
      <c r="AA802" s="392"/>
      <c r="AB802" s="392"/>
      <c r="AC802" s="392"/>
      <c r="AD802" s="392"/>
      <c r="AE802" s="392"/>
      <c r="AF802" s="392"/>
    </row>
    <row r="803" ht="15.75" customHeight="1">
      <c r="A803" s="216"/>
      <c r="B803" s="156"/>
      <c r="C803" s="156"/>
      <c r="D803" s="156"/>
      <c r="E803" s="392"/>
      <c r="F803" s="392"/>
      <c r="G803" s="392"/>
      <c r="H803" s="392"/>
      <c r="I803" s="392"/>
      <c r="J803" s="392"/>
      <c r="K803" s="392"/>
      <c r="L803" s="392"/>
      <c r="M803" s="392"/>
      <c r="N803" s="392"/>
      <c r="O803" s="392"/>
      <c r="P803" s="392"/>
      <c r="Q803" s="392"/>
      <c r="R803" s="392"/>
      <c r="S803" s="392"/>
      <c r="T803" s="392"/>
      <c r="U803" s="392"/>
      <c r="V803" s="392"/>
      <c r="W803" s="392"/>
      <c r="X803" s="392"/>
      <c r="Y803" s="392"/>
      <c r="Z803" s="392"/>
      <c r="AA803" s="392"/>
      <c r="AB803" s="392"/>
      <c r="AC803" s="392"/>
      <c r="AD803" s="392"/>
      <c r="AE803" s="392"/>
      <c r="AF803" s="392"/>
    </row>
    <row r="804" ht="15.75" customHeight="1">
      <c r="A804" s="216"/>
      <c r="B804" s="156"/>
      <c r="C804" s="156"/>
      <c r="D804" s="156"/>
      <c r="E804" s="392"/>
      <c r="F804" s="392"/>
      <c r="G804" s="392"/>
      <c r="H804" s="392"/>
      <c r="I804" s="392"/>
      <c r="J804" s="392"/>
      <c r="K804" s="392"/>
      <c r="L804" s="392"/>
      <c r="M804" s="392"/>
      <c r="N804" s="392"/>
      <c r="O804" s="392"/>
      <c r="P804" s="392"/>
      <c r="Q804" s="392"/>
      <c r="R804" s="392"/>
      <c r="S804" s="392"/>
      <c r="T804" s="392"/>
      <c r="U804" s="392"/>
      <c r="V804" s="392"/>
      <c r="W804" s="392"/>
      <c r="X804" s="392"/>
      <c r="Y804" s="392"/>
      <c r="Z804" s="392"/>
      <c r="AA804" s="392"/>
      <c r="AB804" s="392"/>
      <c r="AC804" s="392"/>
      <c r="AD804" s="392"/>
      <c r="AE804" s="392"/>
      <c r="AF804" s="392"/>
    </row>
    <row r="805" ht="15.75" customHeight="1">
      <c r="A805" s="216"/>
      <c r="B805" s="156"/>
      <c r="C805" s="156"/>
      <c r="D805" s="156"/>
      <c r="E805" s="392"/>
      <c r="F805" s="392"/>
      <c r="G805" s="392"/>
      <c r="H805" s="392"/>
      <c r="I805" s="392"/>
      <c r="J805" s="392"/>
      <c r="K805" s="392"/>
      <c r="L805" s="392"/>
      <c r="M805" s="392"/>
      <c r="N805" s="392"/>
      <c r="O805" s="392"/>
      <c r="P805" s="392"/>
      <c r="Q805" s="392"/>
      <c r="R805" s="392"/>
      <c r="S805" s="392"/>
      <c r="T805" s="392"/>
      <c r="U805" s="392"/>
      <c r="V805" s="392"/>
      <c r="W805" s="392"/>
      <c r="X805" s="392"/>
      <c r="Y805" s="392"/>
      <c r="Z805" s="392"/>
      <c r="AA805" s="392"/>
      <c r="AB805" s="392"/>
      <c r="AC805" s="392"/>
      <c r="AD805" s="392"/>
      <c r="AE805" s="392"/>
      <c r="AF805" s="392"/>
    </row>
    <row r="806" ht="15.75" customHeight="1">
      <c r="A806" s="216"/>
      <c r="B806" s="156"/>
      <c r="C806" s="156"/>
      <c r="D806" s="156"/>
      <c r="E806" s="392"/>
      <c r="F806" s="392"/>
      <c r="G806" s="392"/>
      <c r="H806" s="392"/>
      <c r="I806" s="392"/>
      <c r="J806" s="392"/>
      <c r="K806" s="392"/>
      <c r="L806" s="392"/>
      <c r="M806" s="392"/>
      <c r="N806" s="392"/>
      <c r="O806" s="392"/>
      <c r="P806" s="392"/>
      <c r="Q806" s="392"/>
      <c r="R806" s="392"/>
      <c r="S806" s="392"/>
      <c r="T806" s="392"/>
      <c r="U806" s="392"/>
      <c r="V806" s="392"/>
      <c r="W806" s="392"/>
      <c r="X806" s="392"/>
      <c r="Y806" s="392"/>
      <c r="Z806" s="392"/>
      <c r="AA806" s="392"/>
      <c r="AB806" s="392"/>
      <c r="AC806" s="392"/>
      <c r="AD806" s="392"/>
      <c r="AE806" s="392"/>
      <c r="AF806" s="392"/>
    </row>
    <row r="807" ht="15.75" customHeight="1">
      <c r="A807" s="216"/>
      <c r="B807" s="156"/>
      <c r="C807" s="156"/>
      <c r="D807" s="156"/>
      <c r="E807" s="392"/>
      <c r="F807" s="392"/>
      <c r="G807" s="392"/>
      <c r="H807" s="392"/>
      <c r="I807" s="392"/>
      <c r="J807" s="392"/>
      <c r="K807" s="392"/>
      <c r="L807" s="392"/>
      <c r="M807" s="392"/>
      <c r="N807" s="392"/>
      <c r="O807" s="392"/>
      <c r="P807" s="392"/>
      <c r="Q807" s="392"/>
      <c r="R807" s="392"/>
      <c r="S807" s="392"/>
      <c r="T807" s="392"/>
      <c r="U807" s="392"/>
      <c r="V807" s="392"/>
      <c r="W807" s="392"/>
      <c r="X807" s="392"/>
      <c r="Y807" s="392"/>
      <c r="Z807" s="392"/>
      <c r="AA807" s="392"/>
      <c r="AB807" s="392"/>
      <c r="AC807" s="392"/>
      <c r="AD807" s="392"/>
      <c r="AE807" s="392"/>
      <c r="AF807" s="392"/>
    </row>
    <row r="808" ht="15.75" customHeight="1">
      <c r="A808" s="216"/>
      <c r="B808" s="156"/>
      <c r="C808" s="156"/>
      <c r="D808" s="156"/>
      <c r="E808" s="392"/>
      <c r="F808" s="392"/>
      <c r="G808" s="392"/>
      <c r="H808" s="392"/>
      <c r="I808" s="392"/>
      <c r="J808" s="392"/>
      <c r="K808" s="392"/>
      <c r="L808" s="392"/>
      <c r="M808" s="392"/>
      <c r="N808" s="392"/>
      <c r="O808" s="392"/>
      <c r="P808" s="392"/>
      <c r="Q808" s="392"/>
      <c r="R808" s="392"/>
      <c r="S808" s="392"/>
      <c r="T808" s="392"/>
      <c r="U808" s="392"/>
      <c r="V808" s="392"/>
      <c r="W808" s="392"/>
      <c r="X808" s="392"/>
      <c r="Y808" s="392"/>
      <c r="Z808" s="392"/>
      <c r="AA808" s="392"/>
      <c r="AB808" s="392"/>
      <c r="AC808" s="392"/>
      <c r="AD808" s="392"/>
      <c r="AE808" s="392"/>
      <c r="AF808" s="392"/>
    </row>
    <row r="809" ht="15.75" customHeight="1">
      <c r="A809" s="216"/>
      <c r="B809" s="156"/>
      <c r="C809" s="156"/>
      <c r="D809" s="156"/>
      <c r="E809" s="392"/>
      <c r="F809" s="392"/>
      <c r="G809" s="392"/>
      <c r="H809" s="392"/>
      <c r="I809" s="392"/>
      <c r="J809" s="392"/>
      <c r="K809" s="392"/>
      <c r="L809" s="392"/>
      <c r="M809" s="392"/>
      <c r="N809" s="392"/>
      <c r="O809" s="392"/>
      <c r="P809" s="392"/>
      <c r="Q809" s="392"/>
      <c r="R809" s="392"/>
      <c r="S809" s="392"/>
      <c r="T809" s="392"/>
      <c r="U809" s="392"/>
      <c r="V809" s="392"/>
      <c r="W809" s="392"/>
      <c r="X809" s="392"/>
      <c r="Y809" s="392"/>
      <c r="Z809" s="392"/>
      <c r="AA809" s="392"/>
      <c r="AB809" s="392"/>
      <c r="AC809" s="392"/>
      <c r="AD809" s="392"/>
      <c r="AE809" s="392"/>
      <c r="AF809" s="392"/>
    </row>
    <row r="810" ht="15.75" customHeight="1">
      <c r="A810" s="216"/>
      <c r="B810" s="156"/>
      <c r="C810" s="156"/>
      <c r="D810" s="156"/>
      <c r="E810" s="392"/>
      <c r="F810" s="392"/>
      <c r="G810" s="392"/>
      <c r="H810" s="392"/>
      <c r="I810" s="392"/>
      <c r="J810" s="392"/>
      <c r="K810" s="392"/>
      <c r="L810" s="392"/>
      <c r="M810" s="392"/>
      <c r="N810" s="392"/>
      <c r="O810" s="392"/>
      <c r="P810" s="392"/>
      <c r="Q810" s="392"/>
      <c r="R810" s="392"/>
      <c r="S810" s="392"/>
      <c r="T810" s="392"/>
      <c r="U810" s="392"/>
      <c r="V810" s="392"/>
      <c r="W810" s="392"/>
      <c r="X810" s="392"/>
      <c r="Y810" s="392"/>
      <c r="Z810" s="392"/>
      <c r="AA810" s="392"/>
      <c r="AB810" s="392"/>
      <c r="AC810" s="392"/>
      <c r="AD810" s="392"/>
      <c r="AE810" s="392"/>
      <c r="AF810" s="392"/>
    </row>
    <row r="811" ht="15.75" customHeight="1">
      <c r="A811" s="216"/>
      <c r="B811" s="156"/>
      <c r="C811" s="156"/>
      <c r="D811" s="156"/>
      <c r="E811" s="392"/>
      <c r="F811" s="392"/>
      <c r="G811" s="392"/>
      <c r="H811" s="392"/>
      <c r="I811" s="392"/>
      <c r="J811" s="392"/>
      <c r="K811" s="392"/>
      <c r="L811" s="392"/>
      <c r="M811" s="392"/>
      <c r="N811" s="392"/>
      <c r="O811" s="392"/>
      <c r="P811" s="392"/>
      <c r="Q811" s="392"/>
      <c r="R811" s="392"/>
      <c r="S811" s="392"/>
      <c r="T811" s="392"/>
      <c r="U811" s="392"/>
      <c r="V811" s="392"/>
      <c r="W811" s="392"/>
      <c r="X811" s="392"/>
      <c r="Y811" s="392"/>
      <c r="Z811" s="392"/>
      <c r="AA811" s="392"/>
      <c r="AB811" s="392"/>
      <c r="AC811" s="392"/>
      <c r="AD811" s="392"/>
      <c r="AE811" s="392"/>
      <c r="AF811" s="392"/>
    </row>
    <row r="812" ht="15.75" customHeight="1">
      <c r="A812" s="216"/>
      <c r="B812" s="156"/>
      <c r="C812" s="156"/>
      <c r="D812" s="156"/>
      <c r="E812" s="392"/>
      <c r="F812" s="392"/>
      <c r="G812" s="392"/>
      <c r="H812" s="392"/>
      <c r="I812" s="392"/>
      <c r="J812" s="392"/>
      <c r="K812" s="392"/>
      <c r="L812" s="392"/>
      <c r="M812" s="392"/>
      <c r="N812" s="392"/>
      <c r="O812" s="392"/>
      <c r="P812" s="392"/>
      <c r="Q812" s="392"/>
      <c r="R812" s="392"/>
      <c r="S812" s="392"/>
      <c r="T812" s="392"/>
      <c r="U812" s="392"/>
      <c r="V812" s="392"/>
      <c r="W812" s="392"/>
      <c r="X812" s="392"/>
      <c r="Y812" s="392"/>
      <c r="Z812" s="392"/>
      <c r="AA812" s="392"/>
      <c r="AB812" s="392"/>
      <c r="AC812" s="392"/>
      <c r="AD812" s="392"/>
      <c r="AE812" s="392"/>
      <c r="AF812" s="392"/>
    </row>
    <row r="813" ht="15.75" customHeight="1">
      <c r="A813" s="216"/>
      <c r="B813" s="156"/>
      <c r="C813" s="156"/>
      <c r="D813" s="156"/>
      <c r="E813" s="392"/>
      <c r="F813" s="392"/>
      <c r="G813" s="392"/>
      <c r="H813" s="392"/>
      <c r="I813" s="392"/>
      <c r="J813" s="392"/>
      <c r="K813" s="392"/>
      <c r="L813" s="392"/>
      <c r="M813" s="392"/>
      <c r="N813" s="392"/>
      <c r="O813" s="392"/>
      <c r="P813" s="392"/>
      <c r="Q813" s="392"/>
      <c r="R813" s="392"/>
      <c r="S813" s="392"/>
      <c r="T813" s="392"/>
      <c r="U813" s="392"/>
      <c r="V813" s="392"/>
      <c r="W813" s="392"/>
      <c r="X813" s="392"/>
      <c r="Y813" s="392"/>
      <c r="Z813" s="392"/>
      <c r="AA813" s="392"/>
      <c r="AB813" s="392"/>
      <c r="AC813" s="392"/>
      <c r="AD813" s="392"/>
      <c r="AE813" s="392"/>
      <c r="AF813" s="392"/>
    </row>
    <row r="814" ht="15.75" customHeight="1">
      <c r="A814" s="216"/>
      <c r="B814" s="156"/>
      <c r="C814" s="156"/>
      <c r="D814" s="156"/>
      <c r="E814" s="392"/>
      <c r="F814" s="392"/>
      <c r="G814" s="392"/>
      <c r="H814" s="392"/>
      <c r="I814" s="392"/>
      <c r="J814" s="392"/>
      <c r="K814" s="392"/>
      <c r="L814" s="392"/>
      <c r="M814" s="392"/>
      <c r="N814" s="392"/>
      <c r="O814" s="392"/>
      <c r="P814" s="392"/>
      <c r="Q814" s="392"/>
      <c r="R814" s="392"/>
      <c r="S814" s="392"/>
      <c r="T814" s="392"/>
      <c r="U814" s="392"/>
      <c r="V814" s="392"/>
      <c r="W814" s="392"/>
      <c r="X814" s="392"/>
      <c r="Y814" s="392"/>
      <c r="Z814" s="392"/>
      <c r="AA814" s="392"/>
      <c r="AB814" s="392"/>
      <c r="AC814" s="392"/>
      <c r="AD814" s="392"/>
      <c r="AE814" s="392"/>
      <c r="AF814" s="392"/>
    </row>
    <row r="815" ht="15.75" customHeight="1">
      <c r="A815" s="216"/>
      <c r="B815" s="156"/>
      <c r="C815" s="156"/>
      <c r="D815" s="156"/>
      <c r="E815" s="392"/>
      <c r="F815" s="392"/>
      <c r="G815" s="392"/>
      <c r="H815" s="392"/>
      <c r="I815" s="392"/>
      <c r="J815" s="392"/>
      <c r="K815" s="392"/>
      <c r="L815" s="392"/>
      <c r="M815" s="392"/>
      <c r="N815" s="392"/>
      <c r="O815" s="392"/>
      <c r="P815" s="392"/>
      <c r="Q815" s="392"/>
      <c r="R815" s="392"/>
      <c r="S815" s="392"/>
      <c r="T815" s="392"/>
      <c r="U815" s="392"/>
      <c r="V815" s="392"/>
      <c r="W815" s="392"/>
      <c r="X815" s="392"/>
      <c r="Y815" s="392"/>
      <c r="Z815" s="392"/>
      <c r="AA815" s="392"/>
      <c r="AB815" s="392"/>
      <c r="AC815" s="392"/>
      <c r="AD815" s="392"/>
      <c r="AE815" s="392"/>
      <c r="AF815" s="392"/>
    </row>
    <row r="816" ht="15.75" customHeight="1">
      <c r="A816" s="216"/>
      <c r="B816" s="156"/>
      <c r="C816" s="156"/>
      <c r="D816" s="156"/>
      <c r="E816" s="392"/>
      <c r="F816" s="392"/>
      <c r="G816" s="392"/>
      <c r="H816" s="392"/>
      <c r="I816" s="392"/>
      <c r="J816" s="392"/>
      <c r="K816" s="392"/>
      <c r="L816" s="392"/>
      <c r="M816" s="392"/>
      <c r="N816" s="392"/>
      <c r="O816" s="392"/>
      <c r="P816" s="392"/>
      <c r="Q816" s="392"/>
      <c r="R816" s="392"/>
      <c r="S816" s="392"/>
      <c r="T816" s="392"/>
      <c r="U816" s="392"/>
      <c r="V816" s="392"/>
      <c r="W816" s="392"/>
      <c r="X816" s="392"/>
      <c r="Y816" s="392"/>
      <c r="Z816" s="392"/>
      <c r="AA816" s="392"/>
      <c r="AB816" s="392"/>
      <c r="AC816" s="392"/>
      <c r="AD816" s="392"/>
      <c r="AE816" s="392"/>
      <c r="AF816" s="392"/>
    </row>
    <row r="817" ht="15.75" customHeight="1">
      <c r="A817" s="216"/>
      <c r="B817" s="156"/>
      <c r="C817" s="156"/>
      <c r="D817" s="156"/>
      <c r="E817" s="392"/>
      <c r="F817" s="392"/>
      <c r="G817" s="392"/>
      <c r="H817" s="392"/>
      <c r="I817" s="392"/>
      <c r="J817" s="392"/>
      <c r="K817" s="392"/>
      <c r="L817" s="392"/>
      <c r="M817" s="392"/>
      <c r="N817" s="392"/>
      <c r="O817" s="392"/>
      <c r="P817" s="392"/>
      <c r="Q817" s="392"/>
      <c r="R817" s="392"/>
      <c r="S817" s="392"/>
      <c r="T817" s="392"/>
      <c r="U817" s="392"/>
      <c r="V817" s="392"/>
      <c r="W817" s="392"/>
      <c r="X817" s="392"/>
      <c r="Y817" s="392"/>
      <c r="Z817" s="392"/>
      <c r="AA817" s="392"/>
      <c r="AB817" s="392"/>
      <c r="AC817" s="392"/>
      <c r="AD817" s="392"/>
      <c r="AE817" s="392"/>
      <c r="AF817" s="392"/>
    </row>
    <row r="818" ht="15.75" customHeight="1">
      <c r="A818" s="216"/>
      <c r="B818" s="156"/>
      <c r="C818" s="156"/>
      <c r="D818" s="156"/>
      <c r="E818" s="392"/>
      <c r="F818" s="392"/>
      <c r="G818" s="392"/>
      <c r="H818" s="392"/>
      <c r="I818" s="392"/>
      <c r="J818" s="392"/>
      <c r="K818" s="392"/>
      <c r="L818" s="392"/>
      <c r="M818" s="392"/>
      <c r="N818" s="392"/>
      <c r="O818" s="392"/>
      <c r="P818" s="392"/>
      <c r="Q818" s="392"/>
      <c r="R818" s="392"/>
      <c r="S818" s="392"/>
      <c r="T818" s="392"/>
      <c r="U818" s="392"/>
      <c r="V818" s="392"/>
      <c r="W818" s="392"/>
      <c r="X818" s="392"/>
      <c r="Y818" s="392"/>
      <c r="Z818" s="392"/>
      <c r="AA818" s="392"/>
      <c r="AB818" s="392"/>
      <c r="AC818" s="392"/>
      <c r="AD818" s="392"/>
      <c r="AE818" s="392"/>
      <c r="AF818" s="392"/>
    </row>
    <row r="819" ht="15.75" customHeight="1">
      <c r="A819" s="216"/>
      <c r="B819" s="156"/>
      <c r="C819" s="156"/>
      <c r="D819" s="156"/>
      <c r="E819" s="392"/>
      <c r="F819" s="392"/>
      <c r="G819" s="392"/>
      <c r="H819" s="392"/>
      <c r="I819" s="392"/>
      <c r="J819" s="392"/>
      <c r="K819" s="392"/>
      <c r="L819" s="392"/>
      <c r="M819" s="392"/>
      <c r="N819" s="392"/>
      <c r="O819" s="392"/>
      <c r="P819" s="392"/>
      <c r="Q819" s="392"/>
      <c r="R819" s="392"/>
      <c r="S819" s="392"/>
      <c r="T819" s="392"/>
      <c r="U819" s="392"/>
      <c r="V819" s="392"/>
      <c r="W819" s="392"/>
      <c r="X819" s="392"/>
      <c r="Y819" s="392"/>
      <c r="Z819" s="392"/>
      <c r="AA819" s="392"/>
      <c r="AB819" s="392"/>
      <c r="AC819" s="392"/>
      <c r="AD819" s="392"/>
      <c r="AE819" s="392"/>
      <c r="AF819" s="392"/>
    </row>
    <row r="820" ht="15.75" customHeight="1">
      <c r="A820" s="216"/>
      <c r="B820" s="156"/>
      <c r="C820" s="156"/>
      <c r="D820" s="156"/>
      <c r="E820" s="392"/>
      <c r="F820" s="392"/>
      <c r="G820" s="392"/>
      <c r="H820" s="392"/>
      <c r="I820" s="392"/>
      <c r="J820" s="392"/>
      <c r="K820" s="392"/>
      <c r="L820" s="392"/>
      <c r="M820" s="392"/>
      <c r="N820" s="392"/>
      <c r="O820" s="392"/>
      <c r="P820" s="392"/>
      <c r="Q820" s="392"/>
      <c r="R820" s="392"/>
      <c r="S820" s="392"/>
      <c r="T820" s="392"/>
      <c r="U820" s="392"/>
      <c r="V820" s="392"/>
      <c r="W820" s="392"/>
      <c r="X820" s="392"/>
      <c r="Y820" s="392"/>
      <c r="Z820" s="392"/>
      <c r="AA820" s="392"/>
      <c r="AB820" s="392"/>
      <c r="AC820" s="392"/>
      <c r="AD820" s="392"/>
      <c r="AE820" s="392"/>
      <c r="AF820" s="392"/>
    </row>
    <row r="821" ht="15.75" customHeight="1">
      <c r="A821" s="216"/>
      <c r="B821" s="156"/>
      <c r="C821" s="156"/>
      <c r="D821" s="156"/>
      <c r="E821" s="392"/>
      <c r="F821" s="392"/>
      <c r="G821" s="392"/>
      <c r="H821" s="392"/>
      <c r="I821" s="392"/>
      <c r="J821" s="392"/>
      <c r="K821" s="392"/>
      <c r="L821" s="392"/>
      <c r="M821" s="392"/>
      <c r="N821" s="392"/>
      <c r="O821" s="392"/>
      <c r="P821" s="392"/>
      <c r="Q821" s="392"/>
      <c r="R821" s="392"/>
      <c r="S821" s="392"/>
      <c r="T821" s="392"/>
      <c r="U821" s="392"/>
      <c r="V821" s="392"/>
      <c r="W821" s="392"/>
      <c r="X821" s="392"/>
      <c r="Y821" s="392"/>
      <c r="Z821" s="392"/>
      <c r="AA821" s="392"/>
      <c r="AB821" s="392"/>
      <c r="AC821" s="392"/>
      <c r="AD821" s="392"/>
      <c r="AE821" s="392"/>
      <c r="AF821" s="392"/>
    </row>
    <row r="822" ht="15.75" customHeight="1">
      <c r="A822" s="216"/>
      <c r="B822" s="156"/>
      <c r="C822" s="156"/>
      <c r="D822" s="156"/>
      <c r="E822" s="392"/>
      <c r="F822" s="392"/>
      <c r="G822" s="392"/>
      <c r="H822" s="392"/>
      <c r="I822" s="392"/>
      <c r="J822" s="392"/>
      <c r="K822" s="392"/>
      <c r="L822" s="392"/>
      <c r="M822" s="392"/>
      <c r="N822" s="392"/>
      <c r="O822" s="392"/>
      <c r="P822" s="392"/>
      <c r="Q822" s="392"/>
      <c r="R822" s="392"/>
      <c r="S822" s="392"/>
      <c r="T822" s="392"/>
      <c r="U822" s="392"/>
      <c r="V822" s="392"/>
      <c r="W822" s="392"/>
      <c r="X822" s="392"/>
      <c r="Y822" s="392"/>
      <c r="Z822" s="392"/>
      <c r="AA822" s="392"/>
      <c r="AB822" s="392"/>
      <c r="AC822" s="392"/>
      <c r="AD822" s="392"/>
      <c r="AE822" s="392"/>
      <c r="AF822" s="392"/>
    </row>
    <row r="823" ht="15.75" customHeight="1">
      <c r="A823" s="216"/>
      <c r="B823" s="156"/>
      <c r="C823" s="156"/>
      <c r="D823" s="156"/>
      <c r="E823" s="392"/>
      <c r="F823" s="392"/>
      <c r="G823" s="392"/>
      <c r="H823" s="392"/>
      <c r="I823" s="392"/>
      <c r="J823" s="392"/>
      <c r="K823" s="392"/>
      <c r="L823" s="392"/>
      <c r="M823" s="392"/>
      <c r="N823" s="392"/>
      <c r="O823" s="392"/>
      <c r="P823" s="392"/>
      <c r="Q823" s="392"/>
      <c r="R823" s="392"/>
      <c r="S823" s="392"/>
      <c r="T823" s="392"/>
      <c r="U823" s="392"/>
      <c r="V823" s="392"/>
      <c r="W823" s="392"/>
      <c r="X823" s="392"/>
      <c r="Y823" s="392"/>
      <c r="Z823" s="392"/>
      <c r="AA823" s="392"/>
      <c r="AB823" s="392"/>
      <c r="AC823" s="392"/>
      <c r="AD823" s="392"/>
      <c r="AE823" s="392"/>
      <c r="AF823" s="392"/>
    </row>
    <row r="824" ht="15.75" customHeight="1">
      <c r="A824" s="216"/>
      <c r="B824" s="156"/>
      <c r="C824" s="156"/>
      <c r="D824" s="156"/>
      <c r="E824" s="392"/>
      <c r="F824" s="392"/>
      <c r="G824" s="392"/>
      <c r="H824" s="392"/>
      <c r="I824" s="392"/>
      <c r="J824" s="392"/>
      <c r="K824" s="392"/>
      <c r="L824" s="392"/>
      <c r="M824" s="392"/>
      <c r="N824" s="392"/>
      <c r="O824" s="392"/>
      <c r="P824" s="392"/>
      <c r="Q824" s="392"/>
      <c r="R824" s="392"/>
      <c r="S824" s="392"/>
      <c r="T824" s="392"/>
      <c r="U824" s="392"/>
      <c r="V824" s="392"/>
      <c r="W824" s="392"/>
      <c r="X824" s="392"/>
      <c r="Y824" s="392"/>
      <c r="Z824" s="392"/>
      <c r="AA824" s="392"/>
      <c r="AB824" s="392"/>
      <c r="AC824" s="392"/>
      <c r="AD824" s="392"/>
      <c r="AE824" s="392"/>
      <c r="AF824" s="392"/>
    </row>
    <row r="825" ht="15.75" customHeight="1">
      <c r="A825" s="216"/>
      <c r="B825" s="156"/>
      <c r="C825" s="156"/>
      <c r="D825" s="156"/>
      <c r="E825" s="392"/>
      <c r="F825" s="392"/>
      <c r="G825" s="392"/>
      <c r="H825" s="392"/>
      <c r="I825" s="392"/>
      <c r="J825" s="392"/>
      <c r="K825" s="392"/>
      <c r="L825" s="392"/>
      <c r="M825" s="392"/>
      <c r="N825" s="392"/>
      <c r="O825" s="392"/>
      <c r="P825" s="392"/>
      <c r="Q825" s="392"/>
      <c r="R825" s="392"/>
      <c r="S825" s="392"/>
      <c r="T825" s="392"/>
      <c r="U825" s="392"/>
      <c r="V825" s="392"/>
      <c r="W825" s="392"/>
      <c r="X825" s="392"/>
      <c r="Y825" s="392"/>
      <c r="Z825" s="392"/>
      <c r="AA825" s="392"/>
      <c r="AB825" s="392"/>
      <c r="AC825" s="392"/>
      <c r="AD825" s="392"/>
      <c r="AE825" s="392"/>
      <c r="AF825" s="392"/>
    </row>
    <row r="826" ht="15.75" customHeight="1">
      <c r="A826" s="216"/>
      <c r="B826" s="156"/>
      <c r="C826" s="156"/>
      <c r="D826" s="156"/>
      <c r="E826" s="392"/>
      <c r="F826" s="392"/>
      <c r="G826" s="392"/>
      <c r="H826" s="392"/>
      <c r="I826" s="392"/>
      <c r="J826" s="392"/>
      <c r="K826" s="392"/>
      <c r="L826" s="392"/>
      <c r="M826" s="392"/>
      <c r="N826" s="392"/>
      <c r="O826" s="392"/>
      <c r="P826" s="392"/>
      <c r="Q826" s="392"/>
      <c r="R826" s="392"/>
      <c r="S826" s="392"/>
      <c r="T826" s="392"/>
      <c r="U826" s="392"/>
      <c r="V826" s="392"/>
      <c r="W826" s="392"/>
      <c r="X826" s="392"/>
      <c r="Y826" s="392"/>
      <c r="Z826" s="392"/>
      <c r="AA826" s="392"/>
      <c r="AB826" s="392"/>
      <c r="AC826" s="392"/>
      <c r="AD826" s="392"/>
      <c r="AE826" s="392"/>
      <c r="AF826" s="392"/>
    </row>
    <row r="827" ht="15.75" customHeight="1">
      <c r="A827" s="216"/>
      <c r="B827" s="156"/>
      <c r="C827" s="156"/>
      <c r="D827" s="156"/>
      <c r="E827" s="392"/>
      <c r="F827" s="392"/>
      <c r="G827" s="392"/>
      <c r="H827" s="392"/>
      <c r="I827" s="392"/>
      <c r="J827" s="392"/>
      <c r="K827" s="392"/>
      <c r="L827" s="392"/>
      <c r="M827" s="392"/>
      <c r="N827" s="392"/>
      <c r="O827" s="392"/>
      <c r="P827" s="392"/>
      <c r="Q827" s="392"/>
      <c r="R827" s="392"/>
      <c r="S827" s="392"/>
      <c r="T827" s="392"/>
      <c r="U827" s="392"/>
      <c r="V827" s="392"/>
      <c r="W827" s="392"/>
      <c r="X827" s="392"/>
      <c r="Y827" s="392"/>
      <c r="Z827" s="392"/>
      <c r="AA827" s="392"/>
      <c r="AB827" s="392"/>
      <c r="AC827" s="392"/>
      <c r="AD827" s="392"/>
      <c r="AE827" s="392"/>
      <c r="AF827" s="392"/>
    </row>
    <row r="828" ht="15.75" customHeight="1">
      <c r="A828" s="216"/>
      <c r="B828" s="156"/>
      <c r="C828" s="156"/>
      <c r="D828" s="156"/>
      <c r="E828" s="392"/>
      <c r="F828" s="392"/>
      <c r="G828" s="392"/>
      <c r="H828" s="392"/>
      <c r="I828" s="392"/>
      <c r="J828" s="392"/>
      <c r="K828" s="392"/>
      <c r="L828" s="392"/>
      <c r="M828" s="392"/>
      <c r="N828" s="392"/>
      <c r="O828" s="392"/>
      <c r="P828" s="392"/>
      <c r="Q828" s="392"/>
      <c r="R828" s="392"/>
      <c r="S828" s="392"/>
      <c r="T828" s="392"/>
      <c r="U828" s="392"/>
      <c r="V828" s="392"/>
      <c r="W828" s="392"/>
      <c r="X828" s="392"/>
      <c r="Y828" s="392"/>
      <c r="Z828" s="392"/>
      <c r="AA828" s="392"/>
      <c r="AB828" s="392"/>
      <c r="AC828" s="392"/>
      <c r="AD828" s="392"/>
      <c r="AE828" s="392"/>
      <c r="AF828" s="392"/>
    </row>
    <row r="829" ht="15.75" customHeight="1">
      <c r="A829" s="216"/>
      <c r="B829" s="156"/>
      <c r="C829" s="156"/>
      <c r="D829" s="156"/>
      <c r="E829" s="392"/>
      <c r="F829" s="392"/>
      <c r="G829" s="392"/>
      <c r="H829" s="392"/>
      <c r="I829" s="392"/>
      <c r="J829" s="392"/>
      <c r="K829" s="392"/>
      <c r="L829" s="392"/>
      <c r="M829" s="392"/>
      <c r="N829" s="392"/>
      <c r="O829" s="392"/>
      <c r="P829" s="392"/>
      <c r="Q829" s="392"/>
      <c r="R829" s="392"/>
      <c r="S829" s="392"/>
      <c r="T829" s="392"/>
      <c r="U829" s="392"/>
      <c r="V829" s="392"/>
      <c r="W829" s="392"/>
      <c r="X829" s="392"/>
      <c r="Y829" s="392"/>
      <c r="Z829" s="392"/>
      <c r="AA829" s="392"/>
      <c r="AB829" s="392"/>
      <c r="AC829" s="392"/>
      <c r="AD829" s="392"/>
      <c r="AE829" s="392"/>
      <c r="AF829" s="392"/>
    </row>
    <row r="830" ht="15.75" customHeight="1">
      <c r="A830" s="216"/>
      <c r="B830" s="156"/>
      <c r="C830" s="156"/>
      <c r="D830" s="156"/>
      <c r="E830" s="392"/>
      <c r="F830" s="392"/>
      <c r="G830" s="392"/>
      <c r="H830" s="392"/>
      <c r="I830" s="392"/>
      <c r="J830" s="392"/>
      <c r="K830" s="392"/>
      <c r="L830" s="392"/>
      <c r="M830" s="392"/>
      <c r="N830" s="392"/>
      <c r="O830" s="392"/>
      <c r="P830" s="392"/>
      <c r="Q830" s="392"/>
      <c r="R830" s="392"/>
      <c r="S830" s="392"/>
      <c r="T830" s="392"/>
      <c r="U830" s="392"/>
      <c r="V830" s="392"/>
      <c r="W830" s="392"/>
      <c r="X830" s="392"/>
      <c r="Y830" s="392"/>
      <c r="Z830" s="392"/>
      <c r="AA830" s="392"/>
      <c r="AB830" s="392"/>
      <c r="AC830" s="392"/>
      <c r="AD830" s="392"/>
      <c r="AE830" s="392"/>
      <c r="AF830" s="392"/>
    </row>
    <row r="831" ht="15.75" customHeight="1">
      <c r="A831" s="216"/>
      <c r="B831" s="156"/>
      <c r="C831" s="156"/>
      <c r="D831" s="156"/>
      <c r="E831" s="392"/>
      <c r="F831" s="392"/>
      <c r="G831" s="392"/>
      <c r="H831" s="392"/>
      <c r="I831" s="392"/>
      <c r="J831" s="392"/>
      <c r="K831" s="392"/>
      <c r="L831" s="392"/>
      <c r="M831" s="392"/>
      <c r="N831" s="392"/>
      <c r="O831" s="392"/>
      <c r="P831" s="392"/>
      <c r="Q831" s="392"/>
      <c r="R831" s="392"/>
      <c r="S831" s="392"/>
      <c r="T831" s="392"/>
      <c r="U831" s="392"/>
      <c r="V831" s="392"/>
      <c r="W831" s="392"/>
      <c r="X831" s="392"/>
      <c r="Y831" s="392"/>
      <c r="Z831" s="392"/>
      <c r="AA831" s="392"/>
      <c r="AB831" s="392"/>
      <c r="AC831" s="392"/>
      <c r="AD831" s="392"/>
      <c r="AE831" s="392"/>
      <c r="AF831" s="392"/>
    </row>
    <row r="832" ht="15.75" customHeight="1">
      <c r="A832" s="216"/>
      <c r="B832" s="156"/>
      <c r="C832" s="156"/>
      <c r="D832" s="156"/>
      <c r="E832" s="392"/>
      <c r="F832" s="392"/>
      <c r="G832" s="392"/>
      <c r="H832" s="392"/>
      <c r="I832" s="392"/>
      <c r="J832" s="392"/>
      <c r="K832" s="392"/>
      <c r="L832" s="392"/>
      <c r="M832" s="392"/>
      <c r="N832" s="392"/>
      <c r="O832" s="392"/>
      <c r="P832" s="392"/>
      <c r="Q832" s="392"/>
      <c r="R832" s="392"/>
      <c r="S832" s="392"/>
      <c r="T832" s="392"/>
      <c r="U832" s="392"/>
      <c r="V832" s="392"/>
      <c r="W832" s="392"/>
      <c r="X832" s="392"/>
      <c r="Y832" s="392"/>
      <c r="Z832" s="392"/>
      <c r="AA832" s="392"/>
      <c r="AB832" s="392"/>
      <c r="AC832" s="392"/>
      <c r="AD832" s="392"/>
      <c r="AE832" s="392"/>
      <c r="AF832" s="392"/>
    </row>
    <row r="833" ht="15.75" customHeight="1">
      <c r="A833" s="216"/>
      <c r="B833" s="156"/>
      <c r="C833" s="156"/>
      <c r="D833" s="156"/>
      <c r="E833" s="392"/>
      <c r="F833" s="392"/>
      <c r="G833" s="392"/>
      <c r="H833" s="392"/>
      <c r="I833" s="392"/>
      <c r="J833" s="392"/>
      <c r="K833" s="392"/>
      <c r="L833" s="392"/>
      <c r="M833" s="392"/>
      <c r="N833" s="392"/>
      <c r="O833" s="392"/>
      <c r="P833" s="392"/>
      <c r="Q833" s="392"/>
      <c r="R833" s="392"/>
      <c r="S833" s="392"/>
      <c r="T833" s="392"/>
      <c r="U833" s="392"/>
      <c r="V833" s="392"/>
      <c r="W833" s="392"/>
      <c r="X833" s="392"/>
      <c r="Y833" s="392"/>
      <c r="Z833" s="392"/>
      <c r="AA833" s="392"/>
      <c r="AB833" s="392"/>
      <c r="AC833" s="392"/>
      <c r="AD833" s="392"/>
      <c r="AE833" s="392"/>
      <c r="AF833" s="392"/>
    </row>
    <row r="834" ht="15.75" customHeight="1">
      <c r="A834" s="216"/>
      <c r="B834" s="156"/>
      <c r="C834" s="156"/>
      <c r="D834" s="156"/>
      <c r="E834" s="392"/>
      <c r="F834" s="392"/>
      <c r="G834" s="392"/>
      <c r="H834" s="392"/>
      <c r="I834" s="392"/>
      <c r="J834" s="392"/>
      <c r="K834" s="392"/>
      <c r="L834" s="392"/>
      <c r="M834" s="392"/>
      <c r="N834" s="392"/>
      <c r="O834" s="392"/>
      <c r="P834" s="392"/>
      <c r="Q834" s="392"/>
      <c r="R834" s="392"/>
      <c r="S834" s="392"/>
      <c r="T834" s="392"/>
      <c r="U834" s="392"/>
      <c r="V834" s="392"/>
      <c r="W834" s="392"/>
      <c r="X834" s="392"/>
      <c r="Y834" s="392"/>
      <c r="Z834" s="392"/>
      <c r="AA834" s="392"/>
      <c r="AB834" s="392"/>
      <c r="AC834" s="392"/>
      <c r="AD834" s="392"/>
      <c r="AE834" s="392"/>
      <c r="AF834" s="392"/>
    </row>
    <row r="835" ht="15.75" customHeight="1">
      <c r="A835" s="216"/>
      <c r="B835" s="156"/>
      <c r="C835" s="156"/>
      <c r="D835" s="156"/>
      <c r="E835" s="392"/>
      <c r="F835" s="392"/>
      <c r="G835" s="392"/>
      <c r="H835" s="392"/>
      <c r="I835" s="392"/>
      <c r="J835" s="392"/>
      <c r="K835" s="392"/>
      <c r="L835" s="392"/>
      <c r="M835" s="392"/>
      <c r="N835" s="392"/>
      <c r="O835" s="392"/>
      <c r="P835" s="392"/>
      <c r="Q835" s="392"/>
      <c r="R835" s="392"/>
      <c r="S835" s="392"/>
      <c r="T835" s="392"/>
      <c r="U835" s="392"/>
      <c r="V835" s="392"/>
      <c r="W835" s="392"/>
      <c r="X835" s="392"/>
      <c r="Y835" s="392"/>
      <c r="Z835" s="392"/>
      <c r="AA835" s="392"/>
      <c r="AB835" s="392"/>
      <c r="AC835" s="392"/>
      <c r="AD835" s="392"/>
      <c r="AE835" s="392"/>
      <c r="AF835" s="392"/>
    </row>
    <row r="836" ht="15.75" customHeight="1">
      <c r="A836" s="216"/>
      <c r="B836" s="156"/>
      <c r="C836" s="156"/>
      <c r="D836" s="156"/>
      <c r="E836" s="392"/>
      <c r="F836" s="392"/>
      <c r="G836" s="392"/>
      <c r="H836" s="392"/>
      <c r="I836" s="392"/>
      <c r="J836" s="392"/>
      <c r="K836" s="392"/>
      <c r="L836" s="392"/>
      <c r="M836" s="392"/>
      <c r="N836" s="392"/>
      <c r="O836" s="392"/>
      <c r="P836" s="392"/>
      <c r="Q836" s="392"/>
      <c r="R836" s="392"/>
      <c r="S836" s="392"/>
      <c r="T836" s="392"/>
      <c r="U836" s="392"/>
      <c r="V836" s="392"/>
      <c r="W836" s="392"/>
      <c r="X836" s="392"/>
      <c r="Y836" s="392"/>
      <c r="Z836" s="392"/>
      <c r="AA836" s="392"/>
      <c r="AB836" s="392"/>
      <c r="AC836" s="392"/>
      <c r="AD836" s="392"/>
      <c r="AE836" s="392"/>
      <c r="AF836" s="392"/>
    </row>
    <row r="837" ht="15.75" customHeight="1">
      <c r="A837" s="216"/>
      <c r="B837" s="156"/>
      <c r="C837" s="156"/>
      <c r="D837" s="156"/>
      <c r="E837" s="392"/>
      <c r="F837" s="392"/>
      <c r="G837" s="392"/>
      <c r="H837" s="392"/>
      <c r="I837" s="392"/>
      <c r="J837" s="392"/>
      <c r="K837" s="392"/>
      <c r="L837" s="392"/>
      <c r="M837" s="392"/>
      <c r="N837" s="392"/>
      <c r="O837" s="392"/>
      <c r="P837" s="392"/>
      <c r="Q837" s="392"/>
      <c r="R837" s="392"/>
      <c r="S837" s="392"/>
      <c r="T837" s="392"/>
      <c r="U837" s="392"/>
      <c r="V837" s="392"/>
      <c r="W837" s="392"/>
      <c r="X837" s="392"/>
      <c r="Y837" s="392"/>
      <c r="Z837" s="392"/>
      <c r="AA837" s="392"/>
      <c r="AB837" s="392"/>
      <c r="AC837" s="392"/>
      <c r="AD837" s="392"/>
      <c r="AE837" s="392"/>
      <c r="AF837" s="392"/>
    </row>
    <row r="838" ht="15.75" customHeight="1">
      <c r="A838" s="216"/>
      <c r="B838" s="156"/>
      <c r="C838" s="156"/>
      <c r="D838" s="156"/>
      <c r="E838" s="392"/>
      <c r="F838" s="392"/>
      <c r="G838" s="392"/>
      <c r="H838" s="392"/>
      <c r="I838" s="392"/>
      <c r="J838" s="392"/>
      <c r="K838" s="392"/>
      <c r="L838" s="392"/>
      <c r="M838" s="392"/>
      <c r="N838" s="392"/>
      <c r="O838" s="392"/>
      <c r="P838" s="392"/>
      <c r="Q838" s="392"/>
      <c r="R838" s="392"/>
      <c r="S838" s="392"/>
      <c r="T838" s="392"/>
      <c r="U838" s="392"/>
      <c r="V838" s="392"/>
      <c r="W838" s="392"/>
      <c r="X838" s="392"/>
      <c r="Y838" s="392"/>
      <c r="Z838" s="392"/>
      <c r="AA838" s="392"/>
      <c r="AB838" s="392"/>
      <c r="AC838" s="392"/>
      <c r="AD838" s="392"/>
      <c r="AE838" s="392"/>
      <c r="AF838" s="392"/>
    </row>
    <row r="839" ht="15.75" customHeight="1">
      <c r="A839" s="216"/>
      <c r="B839" s="156"/>
      <c r="C839" s="156"/>
      <c r="D839" s="156"/>
      <c r="E839" s="392"/>
      <c r="F839" s="392"/>
      <c r="G839" s="392"/>
      <c r="H839" s="392"/>
      <c r="I839" s="392"/>
      <c r="J839" s="392"/>
      <c r="K839" s="392"/>
      <c r="L839" s="392"/>
      <c r="M839" s="392"/>
      <c r="N839" s="392"/>
      <c r="O839" s="392"/>
      <c r="P839" s="392"/>
      <c r="Q839" s="392"/>
      <c r="R839" s="392"/>
      <c r="S839" s="392"/>
      <c r="T839" s="392"/>
      <c r="U839" s="392"/>
      <c r="V839" s="392"/>
      <c r="W839" s="392"/>
      <c r="X839" s="392"/>
      <c r="Y839" s="392"/>
      <c r="Z839" s="392"/>
      <c r="AA839" s="392"/>
      <c r="AB839" s="392"/>
      <c r="AC839" s="392"/>
      <c r="AD839" s="392"/>
      <c r="AE839" s="392"/>
      <c r="AF839" s="392"/>
    </row>
    <row r="840" ht="15.75" customHeight="1">
      <c r="A840" s="216"/>
      <c r="B840" s="156"/>
      <c r="C840" s="156"/>
      <c r="D840" s="156"/>
      <c r="E840" s="392"/>
      <c r="F840" s="392"/>
      <c r="G840" s="392"/>
      <c r="H840" s="392"/>
      <c r="I840" s="392"/>
      <c r="J840" s="392"/>
      <c r="K840" s="392"/>
      <c r="L840" s="392"/>
      <c r="M840" s="392"/>
      <c r="N840" s="392"/>
      <c r="O840" s="392"/>
      <c r="P840" s="392"/>
      <c r="Q840" s="392"/>
      <c r="R840" s="392"/>
      <c r="S840" s="392"/>
      <c r="T840" s="392"/>
      <c r="U840" s="392"/>
      <c r="V840" s="392"/>
      <c r="W840" s="392"/>
      <c r="X840" s="392"/>
      <c r="Y840" s="392"/>
      <c r="Z840" s="392"/>
      <c r="AA840" s="392"/>
      <c r="AB840" s="392"/>
      <c r="AC840" s="392"/>
      <c r="AD840" s="392"/>
      <c r="AE840" s="392"/>
      <c r="AF840" s="392"/>
    </row>
    <row r="841" ht="15.75" customHeight="1">
      <c r="A841" s="216"/>
      <c r="B841" s="156"/>
      <c r="C841" s="156"/>
      <c r="D841" s="156"/>
      <c r="E841" s="392"/>
      <c r="F841" s="392"/>
      <c r="G841" s="392"/>
      <c r="H841" s="392"/>
      <c r="I841" s="392"/>
      <c r="J841" s="392"/>
      <c r="K841" s="392"/>
      <c r="L841" s="392"/>
      <c r="M841" s="392"/>
      <c r="N841" s="392"/>
      <c r="O841" s="392"/>
      <c r="P841" s="392"/>
      <c r="Q841" s="392"/>
      <c r="R841" s="392"/>
      <c r="S841" s="392"/>
      <c r="T841" s="392"/>
      <c r="U841" s="392"/>
      <c r="V841" s="392"/>
      <c r="W841" s="392"/>
      <c r="X841" s="392"/>
      <c r="Y841" s="392"/>
      <c r="Z841" s="392"/>
      <c r="AA841" s="392"/>
      <c r="AB841" s="392"/>
      <c r="AC841" s="392"/>
      <c r="AD841" s="392"/>
      <c r="AE841" s="392"/>
      <c r="AF841" s="392"/>
    </row>
    <row r="842" ht="15.75" customHeight="1">
      <c r="A842" s="216"/>
      <c r="B842" s="156"/>
      <c r="C842" s="156"/>
      <c r="D842" s="156"/>
      <c r="E842" s="392"/>
      <c r="F842" s="392"/>
      <c r="G842" s="392"/>
      <c r="H842" s="392"/>
      <c r="I842" s="392"/>
      <c r="J842" s="392"/>
      <c r="K842" s="392"/>
      <c r="L842" s="392"/>
      <c r="M842" s="392"/>
      <c r="N842" s="392"/>
      <c r="O842" s="392"/>
      <c r="P842" s="392"/>
      <c r="Q842" s="392"/>
      <c r="R842" s="392"/>
      <c r="S842" s="392"/>
      <c r="T842" s="392"/>
      <c r="U842" s="392"/>
      <c r="V842" s="392"/>
      <c r="W842" s="392"/>
      <c r="X842" s="392"/>
      <c r="Y842" s="392"/>
      <c r="Z842" s="392"/>
      <c r="AA842" s="392"/>
      <c r="AB842" s="392"/>
      <c r="AC842" s="392"/>
      <c r="AD842" s="392"/>
      <c r="AE842" s="392"/>
      <c r="AF842" s="392"/>
    </row>
    <row r="843" ht="15.75" customHeight="1">
      <c r="A843" s="216"/>
      <c r="B843" s="156"/>
      <c r="C843" s="156"/>
      <c r="D843" s="156"/>
      <c r="E843" s="392"/>
      <c r="F843" s="392"/>
      <c r="G843" s="392"/>
      <c r="H843" s="392"/>
      <c r="I843" s="392"/>
      <c r="J843" s="392"/>
      <c r="K843" s="392"/>
      <c r="L843" s="392"/>
      <c r="M843" s="392"/>
      <c r="N843" s="392"/>
      <c r="O843" s="392"/>
      <c r="P843" s="392"/>
      <c r="Q843" s="392"/>
      <c r="R843" s="392"/>
      <c r="S843" s="392"/>
      <c r="T843" s="392"/>
      <c r="U843" s="392"/>
      <c r="V843" s="392"/>
      <c r="W843" s="392"/>
      <c r="X843" s="392"/>
      <c r="Y843" s="392"/>
      <c r="Z843" s="392"/>
      <c r="AA843" s="392"/>
      <c r="AB843" s="392"/>
      <c r="AC843" s="392"/>
      <c r="AD843" s="392"/>
      <c r="AE843" s="392"/>
      <c r="AF843" s="392"/>
    </row>
    <row r="844" ht="15.75" customHeight="1">
      <c r="A844" s="216"/>
      <c r="B844" s="156"/>
      <c r="C844" s="156"/>
      <c r="D844" s="156"/>
      <c r="E844" s="392"/>
      <c r="F844" s="392"/>
      <c r="G844" s="392"/>
      <c r="H844" s="392"/>
      <c r="I844" s="392"/>
      <c r="J844" s="392"/>
      <c r="K844" s="392"/>
      <c r="L844" s="392"/>
      <c r="M844" s="392"/>
      <c r="N844" s="392"/>
      <c r="O844" s="392"/>
      <c r="P844" s="392"/>
      <c r="Q844" s="392"/>
      <c r="R844" s="392"/>
      <c r="S844" s="392"/>
      <c r="T844" s="392"/>
      <c r="U844" s="392"/>
      <c r="V844" s="392"/>
      <c r="W844" s="392"/>
      <c r="X844" s="392"/>
      <c r="Y844" s="392"/>
      <c r="Z844" s="392"/>
      <c r="AA844" s="392"/>
      <c r="AB844" s="392"/>
      <c r="AC844" s="392"/>
      <c r="AD844" s="392"/>
      <c r="AE844" s="392"/>
      <c r="AF844" s="392"/>
    </row>
    <row r="845" ht="15.75" customHeight="1">
      <c r="A845" s="216"/>
      <c r="B845" s="156"/>
      <c r="C845" s="156"/>
      <c r="D845" s="156"/>
      <c r="E845" s="392"/>
      <c r="F845" s="392"/>
      <c r="G845" s="392"/>
      <c r="H845" s="392"/>
      <c r="I845" s="392"/>
      <c r="J845" s="392"/>
      <c r="K845" s="392"/>
      <c r="L845" s="392"/>
      <c r="M845" s="392"/>
      <c r="N845" s="392"/>
      <c r="O845" s="392"/>
      <c r="P845" s="392"/>
      <c r="Q845" s="392"/>
      <c r="R845" s="392"/>
      <c r="S845" s="392"/>
      <c r="T845" s="392"/>
      <c r="U845" s="392"/>
      <c r="V845" s="392"/>
      <c r="W845" s="392"/>
      <c r="X845" s="392"/>
      <c r="Y845" s="392"/>
      <c r="Z845" s="392"/>
      <c r="AA845" s="392"/>
      <c r="AB845" s="392"/>
      <c r="AC845" s="392"/>
      <c r="AD845" s="392"/>
      <c r="AE845" s="392"/>
      <c r="AF845" s="392"/>
    </row>
    <row r="846" ht="15.75" customHeight="1">
      <c r="A846" s="216"/>
      <c r="B846" s="156"/>
      <c r="C846" s="156"/>
      <c r="D846" s="156"/>
      <c r="E846" s="392"/>
      <c r="F846" s="392"/>
      <c r="G846" s="392"/>
      <c r="H846" s="392"/>
      <c r="I846" s="392"/>
      <c r="J846" s="392"/>
      <c r="K846" s="392"/>
      <c r="L846" s="392"/>
      <c r="M846" s="392"/>
      <c r="N846" s="392"/>
      <c r="O846" s="392"/>
      <c r="P846" s="392"/>
      <c r="Q846" s="392"/>
      <c r="R846" s="392"/>
      <c r="S846" s="392"/>
      <c r="T846" s="392"/>
      <c r="U846" s="392"/>
      <c r="V846" s="392"/>
      <c r="W846" s="392"/>
      <c r="X846" s="392"/>
      <c r="Y846" s="392"/>
      <c r="Z846" s="392"/>
      <c r="AA846" s="392"/>
      <c r="AB846" s="392"/>
      <c r="AC846" s="392"/>
      <c r="AD846" s="392"/>
      <c r="AE846" s="392"/>
      <c r="AF846" s="392"/>
    </row>
    <row r="847" ht="15.75" customHeight="1">
      <c r="A847" s="216"/>
      <c r="B847" s="156"/>
      <c r="C847" s="156"/>
      <c r="D847" s="156"/>
      <c r="E847" s="392"/>
      <c r="F847" s="392"/>
      <c r="G847" s="392"/>
      <c r="H847" s="392"/>
      <c r="I847" s="392"/>
      <c r="J847" s="392"/>
      <c r="K847" s="392"/>
      <c r="L847" s="392"/>
      <c r="M847" s="392"/>
      <c r="N847" s="392"/>
      <c r="O847" s="392"/>
      <c r="P847" s="392"/>
      <c r="Q847" s="392"/>
      <c r="R847" s="392"/>
      <c r="S847" s="392"/>
      <c r="T847" s="392"/>
      <c r="U847" s="392"/>
      <c r="V847" s="392"/>
      <c r="W847" s="392"/>
      <c r="X847" s="392"/>
      <c r="Y847" s="392"/>
      <c r="Z847" s="392"/>
      <c r="AA847" s="392"/>
      <c r="AB847" s="392"/>
      <c r="AC847" s="392"/>
      <c r="AD847" s="392"/>
      <c r="AE847" s="392"/>
      <c r="AF847" s="392"/>
    </row>
    <row r="848" ht="15.75" customHeight="1">
      <c r="A848" s="216"/>
      <c r="B848" s="156"/>
      <c r="C848" s="156"/>
      <c r="D848" s="156"/>
      <c r="E848" s="392"/>
      <c r="F848" s="392"/>
      <c r="G848" s="392"/>
      <c r="H848" s="392"/>
      <c r="I848" s="392"/>
      <c r="J848" s="392"/>
      <c r="K848" s="392"/>
      <c r="L848" s="392"/>
      <c r="M848" s="392"/>
      <c r="N848" s="392"/>
      <c r="O848" s="392"/>
      <c r="P848" s="392"/>
      <c r="Q848" s="392"/>
      <c r="R848" s="392"/>
      <c r="S848" s="392"/>
      <c r="T848" s="392"/>
      <c r="U848" s="392"/>
      <c r="V848" s="392"/>
      <c r="W848" s="392"/>
      <c r="X848" s="392"/>
      <c r="Y848" s="392"/>
      <c r="Z848" s="392"/>
      <c r="AA848" s="392"/>
      <c r="AB848" s="392"/>
      <c r="AC848" s="392"/>
      <c r="AD848" s="392"/>
      <c r="AE848" s="392"/>
      <c r="AF848" s="392"/>
    </row>
    <row r="849" ht="15.75" customHeight="1">
      <c r="A849" s="216"/>
      <c r="B849" s="156"/>
      <c r="C849" s="156"/>
      <c r="D849" s="156"/>
      <c r="E849" s="392"/>
      <c r="F849" s="392"/>
      <c r="G849" s="392"/>
      <c r="H849" s="392"/>
      <c r="I849" s="392"/>
      <c r="J849" s="392"/>
      <c r="K849" s="392"/>
      <c r="L849" s="392"/>
      <c r="M849" s="392"/>
      <c r="N849" s="392"/>
      <c r="O849" s="392"/>
      <c r="P849" s="392"/>
      <c r="Q849" s="392"/>
      <c r="R849" s="392"/>
      <c r="S849" s="392"/>
      <c r="T849" s="392"/>
      <c r="U849" s="392"/>
      <c r="V849" s="392"/>
      <c r="W849" s="392"/>
      <c r="X849" s="392"/>
      <c r="Y849" s="392"/>
      <c r="Z849" s="392"/>
      <c r="AA849" s="392"/>
      <c r="AB849" s="392"/>
      <c r="AC849" s="392"/>
      <c r="AD849" s="392"/>
      <c r="AE849" s="392"/>
      <c r="AF849" s="392"/>
    </row>
    <row r="850" ht="15.75" customHeight="1">
      <c r="A850" s="216"/>
      <c r="B850" s="156"/>
      <c r="C850" s="156"/>
      <c r="D850" s="156"/>
      <c r="E850" s="392"/>
      <c r="F850" s="392"/>
      <c r="G850" s="392"/>
      <c r="H850" s="392"/>
      <c r="I850" s="392"/>
      <c r="J850" s="392"/>
      <c r="K850" s="392"/>
      <c r="L850" s="392"/>
      <c r="M850" s="392"/>
      <c r="N850" s="392"/>
      <c r="O850" s="392"/>
      <c r="P850" s="392"/>
      <c r="Q850" s="392"/>
      <c r="R850" s="392"/>
      <c r="S850" s="392"/>
      <c r="T850" s="392"/>
      <c r="U850" s="392"/>
      <c r="V850" s="392"/>
      <c r="W850" s="392"/>
      <c r="X850" s="392"/>
      <c r="Y850" s="392"/>
      <c r="Z850" s="392"/>
      <c r="AA850" s="392"/>
      <c r="AB850" s="392"/>
      <c r="AC850" s="392"/>
      <c r="AD850" s="392"/>
      <c r="AE850" s="392"/>
      <c r="AF850" s="392"/>
    </row>
    <row r="851" ht="15.75" customHeight="1">
      <c r="A851" s="216"/>
      <c r="B851" s="156"/>
      <c r="C851" s="156"/>
      <c r="D851" s="156"/>
      <c r="E851" s="392"/>
      <c r="F851" s="392"/>
      <c r="G851" s="392"/>
      <c r="H851" s="392"/>
      <c r="I851" s="392"/>
      <c r="J851" s="392"/>
      <c r="K851" s="392"/>
      <c r="L851" s="392"/>
      <c r="M851" s="392"/>
      <c r="N851" s="392"/>
      <c r="O851" s="392"/>
      <c r="P851" s="392"/>
      <c r="Q851" s="392"/>
      <c r="R851" s="392"/>
      <c r="S851" s="392"/>
      <c r="T851" s="392"/>
      <c r="U851" s="392"/>
      <c r="V851" s="392"/>
      <c r="W851" s="392"/>
      <c r="X851" s="392"/>
      <c r="Y851" s="392"/>
      <c r="Z851" s="392"/>
      <c r="AA851" s="392"/>
      <c r="AB851" s="392"/>
      <c r="AC851" s="392"/>
      <c r="AD851" s="392"/>
      <c r="AE851" s="392"/>
      <c r="AF851" s="392"/>
    </row>
    <row r="852" ht="15.75" customHeight="1">
      <c r="A852" s="216"/>
      <c r="B852" s="156"/>
      <c r="C852" s="156"/>
      <c r="D852" s="156"/>
      <c r="E852" s="392"/>
      <c r="F852" s="392"/>
      <c r="G852" s="392"/>
      <c r="H852" s="392"/>
      <c r="I852" s="392"/>
      <c r="J852" s="392"/>
      <c r="K852" s="392"/>
      <c r="L852" s="392"/>
      <c r="M852" s="392"/>
      <c r="N852" s="392"/>
      <c r="O852" s="392"/>
      <c r="P852" s="392"/>
      <c r="Q852" s="392"/>
      <c r="R852" s="392"/>
      <c r="S852" s="392"/>
      <c r="T852" s="392"/>
      <c r="U852" s="392"/>
      <c r="V852" s="392"/>
      <c r="W852" s="392"/>
      <c r="X852" s="392"/>
      <c r="Y852" s="392"/>
      <c r="Z852" s="392"/>
      <c r="AA852" s="392"/>
      <c r="AB852" s="392"/>
      <c r="AC852" s="392"/>
      <c r="AD852" s="392"/>
      <c r="AE852" s="392"/>
      <c r="AF852" s="392"/>
    </row>
    <row r="853" ht="15.75" customHeight="1">
      <c r="A853" s="216"/>
      <c r="B853" s="156"/>
      <c r="C853" s="156"/>
      <c r="D853" s="156"/>
      <c r="E853" s="392"/>
      <c r="F853" s="392"/>
      <c r="G853" s="392"/>
      <c r="H853" s="392"/>
      <c r="I853" s="392"/>
      <c r="J853" s="392"/>
      <c r="K853" s="392"/>
      <c r="L853" s="392"/>
      <c r="M853" s="392"/>
      <c r="N853" s="392"/>
      <c r="O853" s="392"/>
      <c r="P853" s="392"/>
      <c r="Q853" s="392"/>
      <c r="R853" s="392"/>
      <c r="S853" s="392"/>
      <c r="T853" s="392"/>
      <c r="U853" s="392"/>
      <c r="V853" s="392"/>
      <c r="W853" s="392"/>
      <c r="X853" s="392"/>
      <c r="Y853" s="392"/>
      <c r="Z853" s="392"/>
      <c r="AA853" s="392"/>
      <c r="AB853" s="392"/>
      <c r="AC853" s="392"/>
      <c r="AD853" s="392"/>
      <c r="AE853" s="392"/>
      <c r="AF853" s="392"/>
    </row>
    <row r="854" ht="15.75" customHeight="1">
      <c r="A854" s="216"/>
      <c r="B854" s="156"/>
      <c r="C854" s="156"/>
      <c r="D854" s="156"/>
      <c r="E854" s="392"/>
      <c r="F854" s="392"/>
      <c r="G854" s="392"/>
      <c r="H854" s="392"/>
      <c r="I854" s="392"/>
      <c r="J854" s="392"/>
      <c r="K854" s="392"/>
      <c r="L854" s="392"/>
      <c r="M854" s="392"/>
      <c r="N854" s="392"/>
      <c r="O854" s="392"/>
      <c r="P854" s="392"/>
      <c r="Q854" s="392"/>
      <c r="R854" s="392"/>
      <c r="S854" s="392"/>
      <c r="T854" s="392"/>
      <c r="U854" s="392"/>
      <c r="V854" s="392"/>
      <c r="W854" s="392"/>
      <c r="X854" s="392"/>
      <c r="Y854" s="392"/>
      <c r="Z854" s="392"/>
      <c r="AA854" s="392"/>
      <c r="AB854" s="392"/>
      <c r="AC854" s="392"/>
      <c r="AD854" s="392"/>
      <c r="AE854" s="392"/>
      <c r="AF854" s="392"/>
    </row>
    <row r="855" ht="15.75" customHeight="1">
      <c r="A855" s="216"/>
      <c r="B855" s="156"/>
      <c r="C855" s="156"/>
      <c r="D855" s="156"/>
      <c r="E855" s="392"/>
      <c r="F855" s="392"/>
      <c r="G855" s="392"/>
      <c r="H855" s="392"/>
      <c r="I855" s="392"/>
      <c r="J855" s="392"/>
      <c r="K855" s="392"/>
      <c r="L855" s="392"/>
      <c r="M855" s="392"/>
      <c r="N855" s="392"/>
      <c r="O855" s="392"/>
      <c r="P855" s="392"/>
      <c r="Q855" s="392"/>
      <c r="R855" s="392"/>
      <c r="S855" s="392"/>
      <c r="T855" s="392"/>
      <c r="U855" s="392"/>
      <c r="V855" s="392"/>
      <c r="W855" s="392"/>
      <c r="X855" s="392"/>
      <c r="Y855" s="392"/>
      <c r="Z855" s="392"/>
      <c r="AA855" s="392"/>
      <c r="AB855" s="392"/>
      <c r="AC855" s="392"/>
      <c r="AD855" s="392"/>
      <c r="AE855" s="392"/>
      <c r="AF855" s="392"/>
    </row>
    <row r="856" ht="15.75" customHeight="1">
      <c r="A856" s="216"/>
      <c r="B856" s="156"/>
      <c r="C856" s="156"/>
      <c r="D856" s="156"/>
      <c r="E856" s="392"/>
      <c r="F856" s="392"/>
      <c r="G856" s="392"/>
      <c r="H856" s="392"/>
      <c r="I856" s="392"/>
      <c r="J856" s="392"/>
      <c r="K856" s="392"/>
      <c r="L856" s="392"/>
      <c r="M856" s="392"/>
      <c r="N856" s="392"/>
      <c r="O856" s="392"/>
      <c r="P856" s="392"/>
      <c r="Q856" s="392"/>
      <c r="R856" s="392"/>
      <c r="S856" s="392"/>
      <c r="T856" s="392"/>
      <c r="U856" s="392"/>
      <c r="V856" s="392"/>
      <c r="W856" s="392"/>
      <c r="X856" s="392"/>
      <c r="Y856" s="392"/>
      <c r="Z856" s="392"/>
      <c r="AA856" s="392"/>
      <c r="AB856" s="392"/>
      <c r="AC856" s="392"/>
      <c r="AD856" s="392"/>
      <c r="AE856" s="392"/>
      <c r="AF856" s="392"/>
    </row>
    <row r="857" ht="15.75" customHeight="1">
      <c r="A857" s="216"/>
      <c r="B857" s="156"/>
      <c r="C857" s="156"/>
      <c r="D857" s="156"/>
      <c r="E857" s="392"/>
      <c r="F857" s="392"/>
      <c r="G857" s="392"/>
      <c r="H857" s="392"/>
      <c r="I857" s="392"/>
      <c r="J857" s="392"/>
      <c r="K857" s="392"/>
      <c r="L857" s="392"/>
      <c r="M857" s="392"/>
      <c r="N857" s="392"/>
      <c r="O857" s="392"/>
      <c r="P857" s="392"/>
      <c r="Q857" s="392"/>
      <c r="R857" s="392"/>
      <c r="S857" s="392"/>
      <c r="T857" s="392"/>
      <c r="U857" s="392"/>
      <c r="V857" s="392"/>
      <c r="W857" s="392"/>
      <c r="X857" s="392"/>
      <c r="Y857" s="392"/>
      <c r="Z857" s="392"/>
      <c r="AA857" s="392"/>
      <c r="AB857" s="392"/>
      <c r="AC857" s="392"/>
      <c r="AD857" s="392"/>
      <c r="AE857" s="392"/>
      <c r="AF857" s="392"/>
    </row>
    <row r="858" ht="15.75" customHeight="1">
      <c r="A858" s="216"/>
      <c r="B858" s="156"/>
      <c r="C858" s="156"/>
      <c r="D858" s="156"/>
      <c r="E858" s="392"/>
      <c r="F858" s="392"/>
      <c r="G858" s="392"/>
      <c r="H858" s="392"/>
      <c r="I858" s="392"/>
      <c r="J858" s="392"/>
      <c r="K858" s="392"/>
      <c r="L858" s="392"/>
      <c r="M858" s="392"/>
      <c r="N858" s="392"/>
      <c r="O858" s="392"/>
      <c r="P858" s="392"/>
      <c r="Q858" s="392"/>
      <c r="R858" s="392"/>
      <c r="S858" s="392"/>
      <c r="T858" s="392"/>
      <c r="U858" s="392"/>
      <c r="V858" s="392"/>
      <c r="W858" s="392"/>
      <c r="X858" s="392"/>
      <c r="Y858" s="392"/>
      <c r="Z858" s="392"/>
      <c r="AA858" s="392"/>
      <c r="AB858" s="392"/>
      <c r="AC858" s="392"/>
      <c r="AD858" s="392"/>
      <c r="AE858" s="392"/>
      <c r="AF858" s="392"/>
    </row>
    <row r="859" ht="15.75" customHeight="1">
      <c r="A859" s="216"/>
      <c r="B859" s="156"/>
      <c r="C859" s="156"/>
      <c r="D859" s="156"/>
      <c r="E859" s="392"/>
      <c r="F859" s="392"/>
      <c r="G859" s="392"/>
      <c r="H859" s="392"/>
      <c r="I859" s="392"/>
      <c r="J859" s="392"/>
      <c r="K859" s="392"/>
      <c r="L859" s="392"/>
      <c r="M859" s="392"/>
      <c r="N859" s="392"/>
      <c r="O859" s="392"/>
      <c r="P859" s="392"/>
      <c r="Q859" s="392"/>
      <c r="R859" s="392"/>
      <c r="S859" s="392"/>
      <c r="T859" s="392"/>
      <c r="U859" s="392"/>
      <c r="V859" s="392"/>
      <c r="W859" s="392"/>
      <c r="X859" s="392"/>
      <c r="Y859" s="392"/>
      <c r="Z859" s="392"/>
      <c r="AA859" s="392"/>
      <c r="AB859" s="392"/>
      <c r="AC859" s="392"/>
      <c r="AD859" s="392"/>
      <c r="AE859" s="392"/>
      <c r="AF859" s="392"/>
    </row>
    <row r="860" ht="15.75" customHeight="1">
      <c r="A860" s="216"/>
      <c r="B860" s="156"/>
      <c r="C860" s="156"/>
      <c r="D860" s="156"/>
      <c r="E860" s="392"/>
      <c r="F860" s="392"/>
      <c r="G860" s="392"/>
      <c r="H860" s="392"/>
      <c r="I860" s="392"/>
      <c r="J860" s="392"/>
      <c r="K860" s="392"/>
      <c r="L860" s="392"/>
      <c r="M860" s="392"/>
      <c r="N860" s="392"/>
      <c r="O860" s="392"/>
      <c r="P860" s="392"/>
      <c r="Q860" s="392"/>
      <c r="R860" s="392"/>
      <c r="S860" s="392"/>
      <c r="T860" s="392"/>
      <c r="U860" s="392"/>
      <c r="V860" s="392"/>
      <c r="W860" s="392"/>
      <c r="X860" s="392"/>
      <c r="Y860" s="392"/>
      <c r="Z860" s="392"/>
      <c r="AA860" s="392"/>
      <c r="AB860" s="392"/>
      <c r="AC860" s="392"/>
      <c r="AD860" s="392"/>
      <c r="AE860" s="392"/>
      <c r="AF860" s="392"/>
    </row>
    <row r="861" ht="15.75" customHeight="1">
      <c r="A861" s="216"/>
      <c r="B861" s="156"/>
      <c r="C861" s="156"/>
      <c r="D861" s="156"/>
      <c r="E861" s="392"/>
      <c r="F861" s="392"/>
      <c r="G861" s="392"/>
      <c r="H861" s="392"/>
      <c r="I861" s="392"/>
      <c r="J861" s="392"/>
      <c r="K861" s="392"/>
      <c r="L861" s="392"/>
      <c r="M861" s="392"/>
      <c r="N861" s="392"/>
      <c r="O861" s="392"/>
      <c r="P861" s="392"/>
      <c r="Q861" s="392"/>
      <c r="R861" s="392"/>
      <c r="S861" s="392"/>
      <c r="T861" s="392"/>
      <c r="U861" s="392"/>
      <c r="V861" s="392"/>
      <c r="W861" s="392"/>
      <c r="X861" s="392"/>
      <c r="Y861" s="392"/>
      <c r="Z861" s="392"/>
      <c r="AA861" s="392"/>
      <c r="AB861" s="392"/>
      <c r="AC861" s="392"/>
      <c r="AD861" s="392"/>
      <c r="AE861" s="392"/>
      <c r="AF861" s="392"/>
    </row>
    <row r="862" ht="15.75" customHeight="1">
      <c r="A862" s="216"/>
      <c r="B862" s="156"/>
      <c r="C862" s="156"/>
      <c r="D862" s="156"/>
      <c r="E862" s="392"/>
      <c r="F862" s="392"/>
      <c r="G862" s="392"/>
      <c r="H862" s="392"/>
      <c r="I862" s="392"/>
      <c r="J862" s="392"/>
      <c r="K862" s="392"/>
      <c r="L862" s="392"/>
      <c r="M862" s="392"/>
      <c r="N862" s="392"/>
      <c r="O862" s="392"/>
      <c r="P862" s="392"/>
      <c r="Q862" s="392"/>
      <c r="R862" s="392"/>
      <c r="S862" s="392"/>
      <c r="T862" s="392"/>
      <c r="U862" s="392"/>
      <c r="V862" s="392"/>
      <c r="W862" s="392"/>
      <c r="X862" s="392"/>
      <c r="Y862" s="392"/>
      <c r="Z862" s="392"/>
      <c r="AA862" s="392"/>
      <c r="AB862" s="392"/>
      <c r="AC862" s="392"/>
      <c r="AD862" s="392"/>
      <c r="AE862" s="392"/>
      <c r="AF862" s="392"/>
    </row>
    <row r="863" ht="15.75" customHeight="1">
      <c r="A863" s="216"/>
      <c r="B863" s="156"/>
      <c r="C863" s="156"/>
      <c r="D863" s="156"/>
      <c r="E863" s="392"/>
      <c r="F863" s="392"/>
      <c r="G863" s="392"/>
      <c r="H863" s="392"/>
      <c r="I863" s="392"/>
      <c r="J863" s="392"/>
      <c r="K863" s="392"/>
      <c r="L863" s="392"/>
      <c r="M863" s="392"/>
      <c r="N863" s="392"/>
      <c r="O863" s="392"/>
      <c r="P863" s="392"/>
      <c r="Q863" s="392"/>
      <c r="R863" s="392"/>
      <c r="S863" s="392"/>
      <c r="T863" s="392"/>
      <c r="U863" s="392"/>
      <c r="V863" s="392"/>
      <c r="W863" s="392"/>
      <c r="X863" s="392"/>
      <c r="Y863" s="392"/>
      <c r="Z863" s="392"/>
      <c r="AA863" s="392"/>
      <c r="AB863" s="392"/>
      <c r="AC863" s="392"/>
      <c r="AD863" s="392"/>
      <c r="AE863" s="392"/>
      <c r="AF863" s="392"/>
    </row>
    <row r="864" ht="15.75" customHeight="1">
      <c r="A864" s="216"/>
      <c r="B864" s="156"/>
      <c r="C864" s="156"/>
      <c r="D864" s="156"/>
      <c r="E864" s="392"/>
      <c r="F864" s="392"/>
      <c r="G864" s="392"/>
      <c r="H864" s="392"/>
      <c r="I864" s="392"/>
      <c r="J864" s="392"/>
      <c r="K864" s="392"/>
      <c r="L864" s="392"/>
      <c r="M864" s="392"/>
      <c r="N864" s="392"/>
      <c r="O864" s="392"/>
      <c r="P864" s="392"/>
      <c r="Q864" s="392"/>
      <c r="R864" s="392"/>
      <c r="S864" s="392"/>
      <c r="T864" s="392"/>
      <c r="U864" s="392"/>
      <c r="V864" s="392"/>
      <c r="W864" s="392"/>
      <c r="X864" s="392"/>
      <c r="Y864" s="392"/>
      <c r="Z864" s="392"/>
      <c r="AA864" s="392"/>
      <c r="AB864" s="392"/>
      <c r="AC864" s="392"/>
      <c r="AD864" s="392"/>
      <c r="AE864" s="392"/>
      <c r="AF864" s="392"/>
    </row>
    <row r="865" ht="15.75" customHeight="1">
      <c r="A865" s="216"/>
      <c r="B865" s="156"/>
      <c r="C865" s="156"/>
      <c r="D865" s="156"/>
      <c r="E865" s="392"/>
      <c r="F865" s="392"/>
      <c r="G865" s="392"/>
      <c r="H865" s="392"/>
      <c r="I865" s="392"/>
      <c r="J865" s="392"/>
      <c r="K865" s="392"/>
      <c r="L865" s="392"/>
      <c r="M865" s="392"/>
      <c r="N865" s="392"/>
      <c r="O865" s="392"/>
      <c r="P865" s="392"/>
      <c r="Q865" s="392"/>
      <c r="R865" s="392"/>
      <c r="S865" s="392"/>
      <c r="T865" s="392"/>
      <c r="U865" s="392"/>
      <c r="V865" s="392"/>
      <c r="W865" s="392"/>
      <c r="X865" s="392"/>
      <c r="Y865" s="392"/>
      <c r="Z865" s="392"/>
      <c r="AA865" s="392"/>
      <c r="AB865" s="392"/>
      <c r="AC865" s="392"/>
      <c r="AD865" s="392"/>
      <c r="AE865" s="392"/>
      <c r="AF865" s="392"/>
    </row>
    <row r="866" ht="15.75" customHeight="1">
      <c r="A866" s="216"/>
      <c r="B866" s="156"/>
      <c r="C866" s="156"/>
      <c r="D866" s="156"/>
      <c r="E866" s="392"/>
      <c r="F866" s="392"/>
      <c r="G866" s="392"/>
      <c r="H866" s="392"/>
      <c r="I866" s="392"/>
      <c r="J866" s="392"/>
      <c r="K866" s="392"/>
      <c r="L866" s="392"/>
      <c r="M866" s="392"/>
      <c r="N866" s="392"/>
      <c r="O866" s="392"/>
      <c r="P866" s="392"/>
      <c r="Q866" s="392"/>
      <c r="R866" s="392"/>
      <c r="S866" s="392"/>
      <c r="T866" s="392"/>
      <c r="U866" s="392"/>
      <c r="V866" s="392"/>
      <c r="W866" s="392"/>
      <c r="X866" s="392"/>
      <c r="Y866" s="392"/>
      <c r="Z866" s="392"/>
      <c r="AA866" s="392"/>
      <c r="AB866" s="392"/>
      <c r="AC866" s="392"/>
      <c r="AD866" s="392"/>
      <c r="AE866" s="392"/>
      <c r="AF866" s="392"/>
    </row>
    <row r="867" ht="15.75" customHeight="1">
      <c r="A867" s="216"/>
      <c r="B867" s="156"/>
      <c r="C867" s="156"/>
      <c r="D867" s="156"/>
      <c r="E867" s="392"/>
      <c r="F867" s="392"/>
      <c r="G867" s="392"/>
      <c r="H867" s="392"/>
      <c r="I867" s="392"/>
      <c r="J867" s="392"/>
      <c r="K867" s="392"/>
      <c r="L867" s="392"/>
      <c r="M867" s="392"/>
      <c r="N867" s="392"/>
      <c r="O867" s="392"/>
      <c r="P867" s="392"/>
      <c r="Q867" s="392"/>
      <c r="R867" s="392"/>
      <c r="S867" s="392"/>
      <c r="T867" s="392"/>
      <c r="U867" s="392"/>
      <c r="V867" s="392"/>
      <c r="W867" s="392"/>
      <c r="X867" s="392"/>
      <c r="Y867" s="392"/>
      <c r="Z867" s="392"/>
      <c r="AA867" s="392"/>
      <c r="AB867" s="392"/>
      <c r="AC867" s="392"/>
      <c r="AD867" s="392"/>
      <c r="AE867" s="392"/>
      <c r="AF867" s="392"/>
    </row>
    <row r="868" ht="15.75" customHeight="1">
      <c r="A868" s="216"/>
      <c r="B868" s="156"/>
      <c r="C868" s="156"/>
      <c r="D868" s="156"/>
      <c r="E868" s="392"/>
      <c r="F868" s="392"/>
      <c r="G868" s="392"/>
      <c r="H868" s="392"/>
      <c r="I868" s="392"/>
      <c r="J868" s="392"/>
      <c r="K868" s="392"/>
      <c r="L868" s="392"/>
      <c r="M868" s="392"/>
      <c r="N868" s="392"/>
      <c r="O868" s="392"/>
      <c r="P868" s="392"/>
      <c r="Q868" s="392"/>
      <c r="R868" s="392"/>
      <c r="S868" s="392"/>
      <c r="T868" s="392"/>
      <c r="U868" s="392"/>
      <c r="V868" s="392"/>
      <c r="W868" s="392"/>
      <c r="X868" s="392"/>
      <c r="Y868" s="392"/>
      <c r="Z868" s="392"/>
      <c r="AA868" s="392"/>
      <c r="AB868" s="392"/>
      <c r="AC868" s="392"/>
      <c r="AD868" s="392"/>
      <c r="AE868" s="392"/>
      <c r="AF868" s="392"/>
    </row>
    <row r="869" ht="15.75" customHeight="1">
      <c r="A869" s="216"/>
      <c r="B869" s="156"/>
      <c r="C869" s="156"/>
      <c r="D869" s="156"/>
      <c r="E869" s="392"/>
      <c r="F869" s="392"/>
      <c r="G869" s="392"/>
      <c r="H869" s="392"/>
      <c r="I869" s="392"/>
      <c r="J869" s="392"/>
      <c r="K869" s="392"/>
      <c r="L869" s="392"/>
      <c r="M869" s="392"/>
      <c r="N869" s="392"/>
      <c r="O869" s="392"/>
      <c r="P869" s="392"/>
      <c r="Q869" s="392"/>
      <c r="R869" s="392"/>
      <c r="S869" s="392"/>
      <c r="T869" s="392"/>
      <c r="U869" s="392"/>
      <c r="V869" s="392"/>
      <c r="W869" s="392"/>
      <c r="X869" s="392"/>
      <c r="Y869" s="392"/>
      <c r="Z869" s="392"/>
      <c r="AA869" s="392"/>
      <c r="AB869" s="392"/>
      <c r="AC869" s="392"/>
      <c r="AD869" s="392"/>
      <c r="AE869" s="392"/>
      <c r="AF869" s="392"/>
    </row>
    <row r="870" ht="15.75" customHeight="1">
      <c r="A870" s="216"/>
      <c r="B870" s="156"/>
      <c r="C870" s="156"/>
      <c r="D870" s="156"/>
      <c r="E870" s="392"/>
      <c r="F870" s="392"/>
      <c r="G870" s="392"/>
      <c r="H870" s="392"/>
      <c r="I870" s="392"/>
      <c r="J870" s="392"/>
      <c r="K870" s="392"/>
      <c r="L870" s="392"/>
      <c r="M870" s="392"/>
      <c r="N870" s="392"/>
      <c r="O870" s="392"/>
      <c r="P870" s="392"/>
      <c r="Q870" s="392"/>
      <c r="R870" s="392"/>
      <c r="S870" s="392"/>
      <c r="T870" s="392"/>
      <c r="U870" s="392"/>
      <c r="V870" s="392"/>
      <c r="W870" s="392"/>
      <c r="X870" s="392"/>
      <c r="Y870" s="392"/>
      <c r="Z870" s="392"/>
      <c r="AA870" s="392"/>
      <c r="AB870" s="392"/>
      <c r="AC870" s="392"/>
      <c r="AD870" s="392"/>
      <c r="AE870" s="392"/>
      <c r="AF870" s="392"/>
    </row>
    <row r="871" ht="15.75" customHeight="1">
      <c r="A871" s="216"/>
      <c r="B871" s="156"/>
      <c r="C871" s="156"/>
      <c r="D871" s="156"/>
      <c r="E871" s="392"/>
      <c r="F871" s="392"/>
      <c r="G871" s="392"/>
      <c r="H871" s="392"/>
      <c r="I871" s="392"/>
      <c r="J871" s="392"/>
      <c r="K871" s="392"/>
      <c r="L871" s="392"/>
      <c r="M871" s="392"/>
      <c r="N871" s="392"/>
      <c r="O871" s="392"/>
      <c r="P871" s="392"/>
      <c r="Q871" s="392"/>
      <c r="R871" s="392"/>
      <c r="S871" s="392"/>
      <c r="T871" s="392"/>
      <c r="U871" s="392"/>
      <c r="V871" s="392"/>
      <c r="W871" s="392"/>
      <c r="X871" s="392"/>
      <c r="Y871" s="392"/>
      <c r="Z871" s="392"/>
      <c r="AA871" s="392"/>
      <c r="AB871" s="392"/>
      <c r="AC871" s="392"/>
      <c r="AD871" s="392"/>
      <c r="AE871" s="392"/>
      <c r="AF871" s="392"/>
    </row>
    <row r="872" ht="15.75" customHeight="1">
      <c r="A872" s="216"/>
      <c r="B872" s="156"/>
      <c r="C872" s="156"/>
      <c r="D872" s="156"/>
      <c r="E872" s="392"/>
      <c r="F872" s="392"/>
      <c r="G872" s="392"/>
      <c r="H872" s="392"/>
      <c r="I872" s="392"/>
      <c r="J872" s="392"/>
      <c r="K872" s="392"/>
      <c r="L872" s="392"/>
      <c r="M872" s="392"/>
      <c r="N872" s="392"/>
      <c r="O872" s="392"/>
      <c r="P872" s="392"/>
      <c r="Q872" s="392"/>
      <c r="R872" s="392"/>
      <c r="S872" s="392"/>
      <c r="T872" s="392"/>
      <c r="U872" s="392"/>
      <c r="V872" s="392"/>
      <c r="W872" s="392"/>
      <c r="X872" s="392"/>
      <c r="Y872" s="392"/>
      <c r="Z872" s="392"/>
      <c r="AA872" s="392"/>
      <c r="AB872" s="392"/>
      <c r="AC872" s="392"/>
      <c r="AD872" s="392"/>
      <c r="AE872" s="392"/>
      <c r="AF872" s="392"/>
    </row>
    <row r="873" ht="15.75" customHeight="1">
      <c r="A873" s="216"/>
      <c r="B873" s="156"/>
      <c r="C873" s="156"/>
      <c r="D873" s="156"/>
      <c r="E873" s="392"/>
      <c r="F873" s="392"/>
      <c r="G873" s="392"/>
      <c r="H873" s="392"/>
      <c r="I873" s="392"/>
      <c r="J873" s="392"/>
      <c r="K873" s="392"/>
      <c r="L873" s="392"/>
      <c r="M873" s="392"/>
      <c r="N873" s="392"/>
      <c r="O873" s="392"/>
      <c r="P873" s="392"/>
      <c r="Q873" s="392"/>
      <c r="R873" s="392"/>
      <c r="S873" s="392"/>
      <c r="T873" s="392"/>
      <c r="U873" s="392"/>
      <c r="V873" s="392"/>
      <c r="W873" s="392"/>
      <c r="X873" s="392"/>
      <c r="Y873" s="392"/>
      <c r="Z873" s="392"/>
      <c r="AA873" s="392"/>
      <c r="AB873" s="392"/>
      <c r="AC873" s="392"/>
      <c r="AD873" s="392"/>
      <c r="AE873" s="392"/>
      <c r="AF873" s="392"/>
    </row>
    <row r="874" ht="15.75" customHeight="1">
      <c r="A874" s="216"/>
      <c r="B874" s="156"/>
      <c r="C874" s="156"/>
      <c r="D874" s="156"/>
      <c r="E874" s="392"/>
      <c r="F874" s="392"/>
      <c r="G874" s="392"/>
      <c r="H874" s="392"/>
      <c r="I874" s="392"/>
      <c r="J874" s="392"/>
      <c r="K874" s="392"/>
      <c r="L874" s="392"/>
      <c r="M874" s="392"/>
      <c r="N874" s="392"/>
      <c r="O874" s="392"/>
      <c r="P874" s="392"/>
      <c r="Q874" s="392"/>
      <c r="R874" s="392"/>
      <c r="S874" s="392"/>
      <c r="T874" s="392"/>
      <c r="U874" s="392"/>
      <c r="V874" s="392"/>
      <c r="W874" s="392"/>
      <c r="X874" s="392"/>
      <c r="Y874" s="392"/>
      <c r="Z874" s="392"/>
      <c r="AA874" s="392"/>
      <c r="AB874" s="392"/>
      <c r="AC874" s="392"/>
      <c r="AD874" s="392"/>
      <c r="AE874" s="392"/>
      <c r="AF874" s="392"/>
    </row>
    <row r="875" ht="15.75" customHeight="1">
      <c r="A875" s="216"/>
      <c r="B875" s="156"/>
      <c r="C875" s="156"/>
      <c r="D875" s="156"/>
      <c r="E875" s="392"/>
      <c r="F875" s="392"/>
      <c r="G875" s="392"/>
      <c r="H875" s="392"/>
      <c r="I875" s="392"/>
      <c r="J875" s="392"/>
      <c r="K875" s="392"/>
      <c r="L875" s="392"/>
      <c r="M875" s="392"/>
      <c r="N875" s="392"/>
      <c r="O875" s="392"/>
      <c r="P875" s="392"/>
      <c r="Q875" s="392"/>
      <c r="R875" s="392"/>
      <c r="S875" s="392"/>
      <c r="T875" s="392"/>
      <c r="U875" s="392"/>
      <c r="V875" s="392"/>
      <c r="W875" s="392"/>
      <c r="X875" s="392"/>
      <c r="Y875" s="392"/>
      <c r="Z875" s="392"/>
      <c r="AA875" s="392"/>
      <c r="AB875" s="392"/>
      <c r="AC875" s="392"/>
      <c r="AD875" s="392"/>
      <c r="AE875" s="392"/>
      <c r="AF875" s="392"/>
    </row>
    <row r="876" ht="15.75" customHeight="1">
      <c r="A876" s="216"/>
      <c r="B876" s="156"/>
      <c r="C876" s="156"/>
      <c r="D876" s="156"/>
      <c r="E876" s="392"/>
      <c r="F876" s="392"/>
      <c r="G876" s="392"/>
      <c r="H876" s="392"/>
      <c r="I876" s="392"/>
      <c r="J876" s="392"/>
      <c r="K876" s="392"/>
      <c r="L876" s="392"/>
      <c r="M876" s="392"/>
      <c r="N876" s="392"/>
      <c r="O876" s="392"/>
      <c r="P876" s="392"/>
      <c r="Q876" s="392"/>
      <c r="R876" s="392"/>
      <c r="S876" s="392"/>
      <c r="T876" s="392"/>
      <c r="U876" s="392"/>
      <c r="V876" s="392"/>
      <c r="W876" s="392"/>
      <c r="X876" s="392"/>
      <c r="Y876" s="392"/>
      <c r="Z876" s="392"/>
      <c r="AA876" s="392"/>
      <c r="AB876" s="392"/>
      <c r="AC876" s="392"/>
      <c r="AD876" s="392"/>
      <c r="AE876" s="392"/>
      <c r="AF876" s="392"/>
    </row>
    <row r="877" ht="15.75" customHeight="1">
      <c r="A877" s="216"/>
      <c r="B877" s="156"/>
      <c r="C877" s="156"/>
      <c r="D877" s="156"/>
      <c r="E877" s="392"/>
      <c r="F877" s="392"/>
      <c r="G877" s="392"/>
      <c r="H877" s="392"/>
      <c r="I877" s="392"/>
      <c r="J877" s="392"/>
      <c r="K877" s="392"/>
      <c r="L877" s="392"/>
      <c r="M877" s="392"/>
      <c r="N877" s="392"/>
      <c r="O877" s="392"/>
      <c r="P877" s="392"/>
      <c r="Q877" s="392"/>
      <c r="R877" s="392"/>
      <c r="S877" s="392"/>
      <c r="T877" s="392"/>
      <c r="U877" s="392"/>
      <c r="V877" s="392"/>
      <c r="W877" s="392"/>
      <c r="X877" s="392"/>
      <c r="Y877" s="392"/>
      <c r="Z877" s="392"/>
      <c r="AA877" s="392"/>
      <c r="AB877" s="392"/>
      <c r="AC877" s="392"/>
      <c r="AD877" s="392"/>
      <c r="AE877" s="392"/>
      <c r="AF877" s="392"/>
    </row>
    <row r="878" ht="15.75" customHeight="1">
      <c r="A878" s="216"/>
      <c r="B878" s="156"/>
      <c r="C878" s="156"/>
      <c r="D878" s="156"/>
      <c r="E878" s="392"/>
      <c r="F878" s="392"/>
      <c r="G878" s="392"/>
      <c r="H878" s="392"/>
      <c r="I878" s="392"/>
      <c r="J878" s="392"/>
      <c r="K878" s="392"/>
      <c r="L878" s="392"/>
      <c r="M878" s="392"/>
      <c r="N878" s="392"/>
      <c r="O878" s="392"/>
      <c r="P878" s="392"/>
      <c r="Q878" s="392"/>
      <c r="R878" s="392"/>
      <c r="S878" s="392"/>
      <c r="T878" s="392"/>
      <c r="U878" s="392"/>
      <c r="V878" s="392"/>
      <c r="W878" s="392"/>
      <c r="X878" s="392"/>
      <c r="Y878" s="392"/>
      <c r="Z878" s="392"/>
      <c r="AA878" s="392"/>
      <c r="AB878" s="392"/>
      <c r="AC878" s="392"/>
      <c r="AD878" s="392"/>
      <c r="AE878" s="392"/>
      <c r="AF878" s="392"/>
    </row>
    <row r="879" ht="15.75" customHeight="1">
      <c r="A879" s="216"/>
      <c r="B879" s="156"/>
      <c r="C879" s="156"/>
      <c r="D879" s="156"/>
      <c r="E879" s="392"/>
      <c r="F879" s="392"/>
      <c r="G879" s="392"/>
      <c r="H879" s="392"/>
      <c r="I879" s="392"/>
      <c r="J879" s="392"/>
      <c r="K879" s="392"/>
      <c r="L879" s="392"/>
      <c r="M879" s="392"/>
      <c r="N879" s="392"/>
      <c r="O879" s="392"/>
      <c r="P879" s="392"/>
      <c r="Q879" s="392"/>
      <c r="R879" s="392"/>
      <c r="S879" s="392"/>
      <c r="T879" s="392"/>
      <c r="U879" s="392"/>
      <c r="V879" s="392"/>
      <c r="W879" s="392"/>
      <c r="X879" s="392"/>
      <c r="Y879" s="392"/>
      <c r="Z879" s="392"/>
      <c r="AA879" s="392"/>
      <c r="AB879" s="392"/>
      <c r="AC879" s="392"/>
      <c r="AD879" s="392"/>
      <c r="AE879" s="392"/>
      <c r="AF879" s="392"/>
    </row>
    <row r="880" ht="15.75" customHeight="1">
      <c r="A880" s="216"/>
      <c r="B880" s="156"/>
      <c r="C880" s="156"/>
      <c r="D880" s="156"/>
      <c r="E880" s="392"/>
      <c r="F880" s="392"/>
      <c r="G880" s="392"/>
      <c r="H880" s="392"/>
      <c r="I880" s="392"/>
      <c r="J880" s="392"/>
      <c r="K880" s="392"/>
      <c r="L880" s="392"/>
      <c r="M880" s="392"/>
      <c r="N880" s="392"/>
      <c r="O880" s="392"/>
      <c r="P880" s="392"/>
      <c r="Q880" s="392"/>
      <c r="R880" s="392"/>
      <c r="S880" s="392"/>
      <c r="T880" s="392"/>
      <c r="U880" s="392"/>
      <c r="V880" s="392"/>
      <c r="W880" s="392"/>
      <c r="X880" s="392"/>
      <c r="Y880" s="392"/>
      <c r="Z880" s="392"/>
      <c r="AA880" s="392"/>
      <c r="AB880" s="392"/>
      <c r="AC880" s="392"/>
      <c r="AD880" s="392"/>
      <c r="AE880" s="392"/>
      <c r="AF880" s="392"/>
    </row>
    <row r="881" ht="15.75" customHeight="1">
      <c r="A881" s="216"/>
      <c r="B881" s="156"/>
      <c r="C881" s="156"/>
      <c r="D881" s="156"/>
      <c r="E881" s="392"/>
      <c r="F881" s="392"/>
      <c r="G881" s="392"/>
      <c r="H881" s="392"/>
      <c r="I881" s="392"/>
      <c r="J881" s="392"/>
      <c r="K881" s="392"/>
      <c r="L881" s="392"/>
      <c r="M881" s="392"/>
      <c r="N881" s="392"/>
      <c r="O881" s="392"/>
      <c r="P881" s="392"/>
      <c r="Q881" s="392"/>
      <c r="R881" s="392"/>
      <c r="S881" s="392"/>
      <c r="T881" s="392"/>
      <c r="U881" s="392"/>
      <c r="V881" s="392"/>
      <c r="W881" s="392"/>
      <c r="X881" s="392"/>
      <c r="Y881" s="392"/>
      <c r="Z881" s="392"/>
      <c r="AA881" s="392"/>
      <c r="AB881" s="392"/>
      <c r="AC881" s="392"/>
      <c r="AD881" s="392"/>
      <c r="AE881" s="392"/>
      <c r="AF881" s="392"/>
    </row>
    <row r="882" ht="15.75" customHeight="1">
      <c r="A882" s="216"/>
      <c r="B882" s="156"/>
      <c r="C882" s="156"/>
      <c r="D882" s="156"/>
      <c r="E882" s="392"/>
      <c r="F882" s="392"/>
      <c r="G882" s="392"/>
      <c r="H882" s="392"/>
      <c r="I882" s="392"/>
      <c r="J882" s="392"/>
      <c r="K882" s="392"/>
      <c r="L882" s="392"/>
      <c r="M882" s="392"/>
      <c r="N882" s="392"/>
      <c r="O882" s="392"/>
      <c r="P882" s="392"/>
      <c r="Q882" s="392"/>
      <c r="R882" s="392"/>
      <c r="S882" s="392"/>
      <c r="T882" s="392"/>
      <c r="U882" s="392"/>
      <c r="V882" s="392"/>
      <c r="W882" s="392"/>
      <c r="X882" s="392"/>
      <c r="Y882" s="392"/>
      <c r="Z882" s="392"/>
      <c r="AA882" s="392"/>
      <c r="AB882" s="392"/>
      <c r="AC882" s="392"/>
      <c r="AD882" s="392"/>
      <c r="AE882" s="392"/>
      <c r="AF882" s="392"/>
    </row>
    <row r="883" ht="15.75" customHeight="1">
      <c r="A883" s="216"/>
      <c r="B883" s="156"/>
      <c r="C883" s="156"/>
      <c r="D883" s="156"/>
      <c r="E883" s="392"/>
      <c r="F883" s="392"/>
      <c r="G883" s="392"/>
      <c r="H883" s="392"/>
      <c r="I883" s="392"/>
      <c r="J883" s="392"/>
      <c r="K883" s="392"/>
      <c r="L883" s="392"/>
      <c r="M883" s="392"/>
      <c r="N883" s="392"/>
      <c r="O883" s="392"/>
      <c r="P883" s="392"/>
      <c r="Q883" s="392"/>
      <c r="R883" s="392"/>
      <c r="S883" s="392"/>
      <c r="T883" s="392"/>
      <c r="U883" s="392"/>
      <c r="V883" s="392"/>
      <c r="W883" s="392"/>
      <c r="X883" s="392"/>
      <c r="Y883" s="392"/>
      <c r="Z883" s="392"/>
      <c r="AA883" s="392"/>
      <c r="AB883" s="392"/>
      <c r="AC883" s="392"/>
      <c r="AD883" s="392"/>
      <c r="AE883" s="392"/>
      <c r="AF883" s="392"/>
    </row>
    <row r="884" ht="15.75" customHeight="1">
      <c r="A884" s="216"/>
      <c r="B884" s="156"/>
      <c r="C884" s="156"/>
      <c r="D884" s="156"/>
      <c r="E884" s="392"/>
      <c r="F884" s="392"/>
      <c r="G884" s="392"/>
      <c r="H884" s="392"/>
      <c r="I884" s="392"/>
      <c r="J884" s="392"/>
      <c r="K884" s="392"/>
      <c r="L884" s="392"/>
      <c r="M884" s="392"/>
      <c r="N884" s="392"/>
      <c r="O884" s="392"/>
      <c r="P884" s="392"/>
      <c r="Q884" s="392"/>
      <c r="R884" s="392"/>
      <c r="S884" s="392"/>
      <c r="T884" s="392"/>
      <c r="U884" s="392"/>
      <c r="V884" s="392"/>
      <c r="W884" s="392"/>
      <c r="X884" s="392"/>
      <c r="Y884" s="392"/>
      <c r="Z884" s="392"/>
      <c r="AA884" s="392"/>
      <c r="AB884" s="392"/>
      <c r="AC884" s="392"/>
      <c r="AD884" s="392"/>
      <c r="AE884" s="392"/>
      <c r="AF884" s="392"/>
    </row>
    <row r="885" ht="15.75" customHeight="1">
      <c r="A885" s="216"/>
      <c r="B885" s="156"/>
      <c r="C885" s="156"/>
      <c r="D885" s="156"/>
      <c r="E885" s="392"/>
      <c r="F885" s="392"/>
      <c r="G885" s="392"/>
      <c r="H885" s="392"/>
      <c r="I885" s="392"/>
      <c r="J885" s="392"/>
      <c r="K885" s="392"/>
      <c r="L885" s="392"/>
      <c r="M885" s="392"/>
      <c r="N885" s="392"/>
      <c r="O885" s="392"/>
      <c r="P885" s="392"/>
      <c r="Q885" s="392"/>
      <c r="R885" s="392"/>
      <c r="S885" s="392"/>
      <c r="T885" s="392"/>
      <c r="U885" s="392"/>
      <c r="V885" s="392"/>
      <c r="W885" s="392"/>
      <c r="X885" s="392"/>
      <c r="Y885" s="392"/>
      <c r="Z885" s="392"/>
      <c r="AA885" s="392"/>
      <c r="AB885" s="392"/>
      <c r="AC885" s="392"/>
      <c r="AD885" s="392"/>
      <c r="AE885" s="392"/>
      <c r="AF885" s="392"/>
    </row>
    <row r="886" ht="15.75" customHeight="1">
      <c r="A886" s="216"/>
      <c r="B886" s="156"/>
      <c r="C886" s="156"/>
      <c r="D886" s="156"/>
      <c r="E886" s="392"/>
      <c r="F886" s="392"/>
      <c r="G886" s="392"/>
      <c r="H886" s="392"/>
      <c r="I886" s="392"/>
      <c r="J886" s="392"/>
      <c r="K886" s="392"/>
      <c r="L886" s="392"/>
      <c r="M886" s="392"/>
      <c r="N886" s="392"/>
      <c r="O886" s="392"/>
      <c r="P886" s="392"/>
      <c r="Q886" s="392"/>
      <c r="R886" s="392"/>
      <c r="S886" s="392"/>
      <c r="T886" s="392"/>
      <c r="U886" s="392"/>
      <c r="V886" s="392"/>
      <c r="W886" s="392"/>
      <c r="X886" s="392"/>
      <c r="Y886" s="392"/>
      <c r="Z886" s="392"/>
      <c r="AA886" s="392"/>
      <c r="AB886" s="392"/>
      <c r="AC886" s="392"/>
      <c r="AD886" s="392"/>
      <c r="AE886" s="392"/>
      <c r="AF886" s="392"/>
    </row>
    <row r="887" ht="15.75" customHeight="1">
      <c r="A887" s="216"/>
      <c r="B887" s="156"/>
      <c r="C887" s="156"/>
      <c r="D887" s="156"/>
      <c r="E887" s="392"/>
      <c r="F887" s="392"/>
      <c r="G887" s="392"/>
      <c r="H887" s="392"/>
      <c r="I887" s="392"/>
      <c r="J887" s="392"/>
      <c r="K887" s="392"/>
      <c r="L887" s="392"/>
      <c r="M887" s="392"/>
      <c r="N887" s="392"/>
      <c r="O887" s="392"/>
      <c r="P887" s="392"/>
      <c r="Q887" s="392"/>
      <c r="R887" s="392"/>
      <c r="S887" s="392"/>
      <c r="T887" s="392"/>
      <c r="U887" s="392"/>
      <c r="V887" s="392"/>
      <c r="W887" s="392"/>
      <c r="X887" s="392"/>
      <c r="Y887" s="392"/>
      <c r="Z887" s="392"/>
      <c r="AA887" s="392"/>
      <c r="AB887" s="392"/>
      <c r="AC887" s="392"/>
      <c r="AD887" s="392"/>
      <c r="AE887" s="392"/>
      <c r="AF887" s="392"/>
    </row>
    <row r="888" ht="15.75" customHeight="1">
      <c r="A888" s="216"/>
      <c r="B888" s="156"/>
      <c r="C888" s="156"/>
      <c r="D888" s="156"/>
      <c r="E888" s="392"/>
      <c r="F888" s="392"/>
      <c r="G888" s="392"/>
      <c r="H888" s="392"/>
      <c r="I888" s="392"/>
      <c r="J888" s="392"/>
      <c r="K888" s="392"/>
      <c r="L888" s="392"/>
      <c r="M888" s="392"/>
      <c r="N888" s="392"/>
      <c r="O888" s="392"/>
      <c r="P888" s="392"/>
      <c r="Q888" s="392"/>
      <c r="R888" s="392"/>
      <c r="S888" s="392"/>
      <c r="T888" s="392"/>
      <c r="U888" s="392"/>
      <c r="V888" s="392"/>
      <c r="W888" s="392"/>
      <c r="X888" s="392"/>
      <c r="Y888" s="392"/>
      <c r="Z888" s="392"/>
      <c r="AA888" s="392"/>
      <c r="AB888" s="392"/>
      <c r="AC888" s="392"/>
      <c r="AD888" s="392"/>
      <c r="AE888" s="392"/>
      <c r="AF888" s="392"/>
    </row>
    <row r="889" ht="15.75" customHeight="1">
      <c r="A889" s="216"/>
      <c r="B889" s="156"/>
      <c r="C889" s="156"/>
      <c r="D889" s="156"/>
      <c r="E889" s="392"/>
      <c r="F889" s="392"/>
      <c r="G889" s="392"/>
      <c r="H889" s="392"/>
      <c r="I889" s="392"/>
      <c r="J889" s="392"/>
      <c r="K889" s="392"/>
      <c r="L889" s="392"/>
      <c r="M889" s="392"/>
      <c r="N889" s="392"/>
      <c r="O889" s="392"/>
      <c r="P889" s="392"/>
      <c r="Q889" s="392"/>
      <c r="R889" s="392"/>
      <c r="S889" s="392"/>
      <c r="T889" s="392"/>
      <c r="U889" s="392"/>
      <c r="V889" s="392"/>
      <c r="W889" s="392"/>
      <c r="X889" s="392"/>
      <c r="Y889" s="392"/>
      <c r="Z889" s="392"/>
      <c r="AA889" s="392"/>
      <c r="AB889" s="392"/>
      <c r="AC889" s="392"/>
      <c r="AD889" s="392"/>
      <c r="AE889" s="392"/>
      <c r="AF889" s="392"/>
    </row>
    <row r="890" ht="15.75" customHeight="1">
      <c r="A890" s="216"/>
      <c r="B890" s="156"/>
      <c r="C890" s="156"/>
      <c r="D890" s="156"/>
      <c r="E890" s="392"/>
      <c r="F890" s="392"/>
      <c r="G890" s="392"/>
      <c r="H890" s="392"/>
      <c r="I890" s="392"/>
      <c r="J890" s="392"/>
      <c r="K890" s="392"/>
      <c r="L890" s="392"/>
      <c r="M890" s="392"/>
      <c r="N890" s="392"/>
      <c r="O890" s="392"/>
      <c r="P890" s="392"/>
      <c r="Q890" s="392"/>
      <c r="R890" s="392"/>
      <c r="S890" s="392"/>
      <c r="T890" s="392"/>
      <c r="U890" s="392"/>
      <c r="V890" s="392"/>
      <c r="W890" s="392"/>
      <c r="X890" s="392"/>
      <c r="Y890" s="392"/>
      <c r="Z890" s="392"/>
      <c r="AA890" s="392"/>
      <c r="AB890" s="392"/>
      <c r="AC890" s="392"/>
      <c r="AD890" s="392"/>
      <c r="AE890" s="392"/>
      <c r="AF890" s="392"/>
    </row>
    <row r="891" ht="15.75" customHeight="1">
      <c r="A891" s="216"/>
      <c r="B891" s="156"/>
      <c r="C891" s="156"/>
      <c r="D891" s="156"/>
      <c r="E891" s="392"/>
      <c r="F891" s="392"/>
      <c r="G891" s="392"/>
      <c r="H891" s="392"/>
      <c r="I891" s="392"/>
      <c r="J891" s="392"/>
      <c r="K891" s="392"/>
      <c r="L891" s="392"/>
      <c r="M891" s="392"/>
      <c r="N891" s="392"/>
      <c r="O891" s="392"/>
      <c r="P891" s="392"/>
      <c r="Q891" s="392"/>
      <c r="R891" s="392"/>
      <c r="S891" s="392"/>
      <c r="T891" s="392"/>
      <c r="U891" s="392"/>
      <c r="V891" s="392"/>
      <c r="W891" s="392"/>
      <c r="X891" s="392"/>
      <c r="Y891" s="392"/>
      <c r="Z891" s="392"/>
      <c r="AA891" s="392"/>
      <c r="AB891" s="392"/>
      <c r="AC891" s="392"/>
      <c r="AD891" s="392"/>
      <c r="AE891" s="392"/>
      <c r="AF891" s="392"/>
    </row>
    <row r="892" ht="15.75" customHeight="1">
      <c r="A892" s="216"/>
      <c r="B892" s="156"/>
      <c r="C892" s="156"/>
      <c r="D892" s="156"/>
      <c r="E892" s="392"/>
      <c r="F892" s="392"/>
      <c r="G892" s="392"/>
      <c r="H892" s="392"/>
      <c r="I892" s="392"/>
      <c r="J892" s="392"/>
      <c r="K892" s="392"/>
      <c r="L892" s="392"/>
      <c r="M892" s="392"/>
      <c r="N892" s="392"/>
      <c r="O892" s="392"/>
      <c r="P892" s="392"/>
      <c r="Q892" s="392"/>
      <c r="R892" s="392"/>
      <c r="S892" s="392"/>
      <c r="T892" s="392"/>
      <c r="U892" s="392"/>
      <c r="V892" s="392"/>
      <c r="W892" s="392"/>
      <c r="X892" s="392"/>
      <c r="Y892" s="392"/>
      <c r="Z892" s="392"/>
      <c r="AA892" s="392"/>
      <c r="AB892" s="392"/>
      <c r="AC892" s="392"/>
      <c r="AD892" s="392"/>
      <c r="AE892" s="392"/>
      <c r="AF892" s="392"/>
    </row>
    <row r="893" ht="15.75" customHeight="1">
      <c r="A893" s="216"/>
      <c r="B893" s="156"/>
      <c r="C893" s="156"/>
      <c r="D893" s="156"/>
      <c r="E893" s="392"/>
      <c r="F893" s="392"/>
      <c r="G893" s="392"/>
      <c r="H893" s="392"/>
      <c r="I893" s="392"/>
      <c r="J893" s="392"/>
      <c r="K893" s="392"/>
      <c r="L893" s="392"/>
      <c r="M893" s="392"/>
      <c r="N893" s="392"/>
      <c r="O893" s="392"/>
      <c r="P893" s="392"/>
      <c r="Q893" s="392"/>
      <c r="R893" s="392"/>
      <c r="S893" s="392"/>
      <c r="T893" s="392"/>
      <c r="U893" s="392"/>
      <c r="V893" s="392"/>
      <c r="W893" s="392"/>
      <c r="X893" s="392"/>
      <c r="Y893" s="392"/>
      <c r="Z893" s="392"/>
      <c r="AA893" s="392"/>
      <c r="AB893" s="392"/>
      <c r="AC893" s="392"/>
      <c r="AD893" s="392"/>
      <c r="AE893" s="392"/>
      <c r="AF893" s="392"/>
    </row>
    <row r="894" ht="15.75" customHeight="1">
      <c r="A894" s="216"/>
      <c r="B894" s="156"/>
      <c r="C894" s="156"/>
      <c r="D894" s="156"/>
      <c r="E894" s="392"/>
      <c r="F894" s="392"/>
      <c r="G894" s="392"/>
      <c r="H894" s="392"/>
      <c r="I894" s="392"/>
      <c r="J894" s="392"/>
      <c r="K894" s="392"/>
      <c r="L894" s="392"/>
      <c r="M894" s="392"/>
      <c r="N894" s="392"/>
      <c r="O894" s="392"/>
      <c r="P894" s="392"/>
      <c r="Q894" s="392"/>
      <c r="R894" s="392"/>
      <c r="S894" s="392"/>
      <c r="T894" s="392"/>
      <c r="U894" s="392"/>
      <c r="V894" s="392"/>
      <c r="W894" s="392"/>
      <c r="X894" s="392"/>
      <c r="Y894" s="392"/>
      <c r="Z894" s="392"/>
      <c r="AA894" s="392"/>
      <c r="AB894" s="392"/>
      <c r="AC894" s="392"/>
      <c r="AD894" s="392"/>
      <c r="AE894" s="392"/>
      <c r="AF894" s="392"/>
    </row>
    <row r="895" ht="15.75" customHeight="1">
      <c r="A895" s="216"/>
      <c r="B895" s="156"/>
      <c r="C895" s="156"/>
      <c r="D895" s="156"/>
      <c r="E895" s="392"/>
      <c r="F895" s="392"/>
      <c r="G895" s="392"/>
      <c r="H895" s="392"/>
      <c r="I895" s="392"/>
      <c r="J895" s="392"/>
      <c r="K895" s="392"/>
      <c r="L895" s="392"/>
      <c r="M895" s="392"/>
      <c r="N895" s="392"/>
      <c r="O895" s="392"/>
      <c r="P895" s="392"/>
      <c r="Q895" s="392"/>
      <c r="R895" s="392"/>
      <c r="S895" s="392"/>
      <c r="T895" s="392"/>
      <c r="U895" s="392"/>
      <c r="V895" s="392"/>
      <c r="W895" s="392"/>
      <c r="X895" s="392"/>
      <c r="Y895" s="392"/>
      <c r="Z895" s="392"/>
      <c r="AA895" s="392"/>
      <c r="AB895" s="392"/>
      <c r="AC895" s="392"/>
      <c r="AD895" s="392"/>
      <c r="AE895" s="392"/>
      <c r="AF895" s="392"/>
    </row>
    <row r="896" ht="15.75" customHeight="1">
      <c r="A896" s="216"/>
      <c r="B896" s="156"/>
      <c r="C896" s="156"/>
      <c r="D896" s="156"/>
      <c r="E896" s="392"/>
      <c r="F896" s="392"/>
      <c r="G896" s="392"/>
      <c r="H896" s="392"/>
      <c r="I896" s="392"/>
      <c r="J896" s="392"/>
      <c r="K896" s="392"/>
      <c r="L896" s="392"/>
      <c r="M896" s="392"/>
      <c r="N896" s="392"/>
      <c r="O896" s="392"/>
      <c r="P896" s="392"/>
      <c r="Q896" s="392"/>
      <c r="R896" s="392"/>
      <c r="S896" s="392"/>
      <c r="T896" s="392"/>
      <c r="U896" s="392"/>
      <c r="V896" s="392"/>
      <c r="W896" s="392"/>
      <c r="X896" s="392"/>
      <c r="Y896" s="392"/>
      <c r="Z896" s="392"/>
      <c r="AA896" s="392"/>
      <c r="AB896" s="392"/>
      <c r="AC896" s="392"/>
      <c r="AD896" s="392"/>
      <c r="AE896" s="392"/>
      <c r="AF896" s="392"/>
    </row>
    <row r="897" ht="15.75" customHeight="1">
      <c r="A897" s="216"/>
      <c r="B897" s="156"/>
      <c r="C897" s="156"/>
      <c r="D897" s="156"/>
      <c r="E897" s="392"/>
      <c r="F897" s="392"/>
      <c r="G897" s="392"/>
      <c r="H897" s="392"/>
      <c r="I897" s="392"/>
      <c r="J897" s="392"/>
      <c r="K897" s="392"/>
      <c r="L897" s="392"/>
      <c r="M897" s="392"/>
      <c r="N897" s="392"/>
      <c r="O897" s="392"/>
      <c r="P897" s="392"/>
      <c r="Q897" s="392"/>
      <c r="R897" s="392"/>
      <c r="S897" s="392"/>
      <c r="T897" s="392"/>
      <c r="U897" s="392"/>
      <c r="V897" s="392"/>
      <c r="W897" s="392"/>
      <c r="X897" s="392"/>
      <c r="Y897" s="392"/>
      <c r="Z897" s="392"/>
      <c r="AA897" s="392"/>
      <c r="AB897" s="392"/>
      <c r="AC897" s="392"/>
      <c r="AD897" s="392"/>
      <c r="AE897" s="392"/>
      <c r="AF897" s="392"/>
    </row>
    <row r="898" ht="15.75" customHeight="1">
      <c r="A898" s="216"/>
      <c r="B898" s="156"/>
      <c r="C898" s="156"/>
      <c r="D898" s="156"/>
      <c r="E898" s="392"/>
      <c r="F898" s="392"/>
      <c r="G898" s="392"/>
      <c r="H898" s="392"/>
      <c r="I898" s="392"/>
      <c r="J898" s="392"/>
      <c r="K898" s="392"/>
      <c r="L898" s="392"/>
      <c r="M898" s="392"/>
      <c r="N898" s="392"/>
      <c r="O898" s="392"/>
      <c r="P898" s="392"/>
      <c r="Q898" s="392"/>
      <c r="R898" s="392"/>
      <c r="S898" s="392"/>
      <c r="T898" s="392"/>
      <c r="U898" s="392"/>
      <c r="V898" s="392"/>
      <c r="W898" s="392"/>
      <c r="X898" s="392"/>
      <c r="Y898" s="392"/>
      <c r="Z898" s="392"/>
      <c r="AA898" s="392"/>
      <c r="AB898" s="392"/>
      <c r="AC898" s="392"/>
      <c r="AD898" s="392"/>
      <c r="AE898" s="392"/>
      <c r="AF898" s="392"/>
    </row>
    <row r="899" ht="15.75" customHeight="1">
      <c r="A899" s="216"/>
      <c r="B899" s="156"/>
      <c r="C899" s="156"/>
      <c r="D899" s="156"/>
      <c r="E899" s="392"/>
      <c r="F899" s="392"/>
      <c r="G899" s="392"/>
      <c r="H899" s="392"/>
      <c r="I899" s="392"/>
      <c r="J899" s="392"/>
      <c r="K899" s="392"/>
      <c r="L899" s="392"/>
      <c r="M899" s="392"/>
      <c r="N899" s="392"/>
      <c r="O899" s="392"/>
      <c r="P899" s="392"/>
      <c r="Q899" s="392"/>
      <c r="R899" s="392"/>
      <c r="S899" s="392"/>
      <c r="T899" s="392"/>
      <c r="U899" s="392"/>
      <c r="V899" s="392"/>
      <c r="W899" s="392"/>
      <c r="X899" s="392"/>
      <c r="Y899" s="392"/>
      <c r="Z899" s="392"/>
      <c r="AA899" s="392"/>
      <c r="AB899" s="392"/>
      <c r="AC899" s="392"/>
      <c r="AD899" s="392"/>
      <c r="AE899" s="392"/>
      <c r="AF899" s="392"/>
    </row>
    <row r="900" ht="15.75" customHeight="1">
      <c r="A900" s="216"/>
      <c r="B900" s="156"/>
      <c r="C900" s="156"/>
      <c r="D900" s="156"/>
      <c r="E900" s="392"/>
      <c r="F900" s="392"/>
      <c r="G900" s="392"/>
      <c r="H900" s="392"/>
      <c r="I900" s="392"/>
      <c r="J900" s="392"/>
      <c r="K900" s="392"/>
      <c r="L900" s="392"/>
      <c r="M900" s="392"/>
      <c r="N900" s="392"/>
      <c r="O900" s="392"/>
      <c r="P900" s="392"/>
      <c r="Q900" s="392"/>
      <c r="R900" s="392"/>
      <c r="S900" s="392"/>
      <c r="T900" s="392"/>
      <c r="U900" s="392"/>
      <c r="V900" s="392"/>
      <c r="W900" s="392"/>
      <c r="X900" s="392"/>
      <c r="Y900" s="392"/>
      <c r="Z900" s="392"/>
      <c r="AA900" s="392"/>
      <c r="AB900" s="392"/>
      <c r="AC900" s="392"/>
      <c r="AD900" s="392"/>
      <c r="AE900" s="392"/>
      <c r="AF900" s="392"/>
    </row>
    <row r="901" ht="15.75" customHeight="1">
      <c r="A901" s="216"/>
      <c r="B901" s="156"/>
      <c r="C901" s="156"/>
      <c r="D901" s="156"/>
      <c r="E901" s="392"/>
      <c r="F901" s="392"/>
      <c r="G901" s="392"/>
      <c r="H901" s="392"/>
      <c r="I901" s="392"/>
      <c r="J901" s="392"/>
      <c r="K901" s="392"/>
      <c r="L901" s="392"/>
      <c r="M901" s="392"/>
      <c r="N901" s="392"/>
      <c r="O901" s="392"/>
      <c r="P901" s="392"/>
      <c r="Q901" s="392"/>
      <c r="R901" s="392"/>
      <c r="S901" s="392"/>
      <c r="T901" s="392"/>
      <c r="U901" s="392"/>
      <c r="V901" s="392"/>
      <c r="W901" s="392"/>
      <c r="X901" s="392"/>
      <c r="Y901" s="392"/>
      <c r="Z901" s="392"/>
      <c r="AA901" s="392"/>
      <c r="AB901" s="392"/>
      <c r="AC901" s="392"/>
      <c r="AD901" s="392"/>
      <c r="AE901" s="392"/>
      <c r="AF901" s="392"/>
    </row>
    <row r="902" ht="15.75" customHeight="1">
      <c r="A902" s="216"/>
      <c r="B902" s="156"/>
      <c r="C902" s="156"/>
      <c r="D902" s="156"/>
      <c r="E902" s="392"/>
      <c r="F902" s="392"/>
      <c r="G902" s="392"/>
      <c r="H902" s="392"/>
      <c r="I902" s="392"/>
      <c r="J902" s="392"/>
      <c r="K902" s="392"/>
      <c r="L902" s="392"/>
      <c r="M902" s="392"/>
      <c r="N902" s="392"/>
      <c r="O902" s="392"/>
      <c r="P902" s="392"/>
      <c r="Q902" s="392"/>
      <c r="R902" s="392"/>
      <c r="S902" s="392"/>
      <c r="T902" s="392"/>
      <c r="U902" s="392"/>
      <c r="V902" s="392"/>
      <c r="W902" s="392"/>
      <c r="X902" s="392"/>
      <c r="Y902" s="392"/>
      <c r="Z902" s="392"/>
      <c r="AA902" s="392"/>
      <c r="AB902" s="392"/>
      <c r="AC902" s="392"/>
      <c r="AD902" s="392"/>
      <c r="AE902" s="392"/>
      <c r="AF902" s="392"/>
    </row>
    <row r="903" ht="15.75" customHeight="1">
      <c r="A903" s="216"/>
      <c r="B903" s="156"/>
      <c r="C903" s="156"/>
      <c r="D903" s="156"/>
      <c r="E903" s="392"/>
      <c r="F903" s="392"/>
      <c r="G903" s="392"/>
      <c r="H903" s="392"/>
      <c r="I903" s="392"/>
      <c r="J903" s="392"/>
      <c r="K903" s="392"/>
      <c r="L903" s="392"/>
      <c r="M903" s="392"/>
      <c r="N903" s="392"/>
      <c r="O903" s="392"/>
      <c r="P903" s="392"/>
      <c r="Q903" s="392"/>
      <c r="R903" s="392"/>
      <c r="S903" s="392"/>
      <c r="T903" s="392"/>
      <c r="U903" s="392"/>
      <c r="V903" s="392"/>
      <c r="W903" s="392"/>
      <c r="X903" s="392"/>
      <c r="Y903" s="392"/>
      <c r="Z903" s="392"/>
      <c r="AA903" s="392"/>
      <c r="AB903" s="392"/>
      <c r="AC903" s="392"/>
      <c r="AD903" s="392"/>
      <c r="AE903" s="392"/>
      <c r="AF903" s="392"/>
    </row>
    <row r="904" ht="15.75" customHeight="1">
      <c r="A904" s="216"/>
      <c r="B904" s="156"/>
      <c r="C904" s="156"/>
      <c r="D904" s="156"/>
      <c r="E904" s="392"/>
      <c r="F904" s="392"/>
      <c r="G904" s="392"/>
      <c r="H904" s="392"/>
      <c r="I904" s="392"/>
      <c r="J904" s="392"/>
      <c r="K904" s="392"/>
      <c r="L904" s="392"/>
      <c r="M904" s="392"/>
      <c r="N904" s="392"/>
      <c r="O904" s="392"/>
      <c r="P904" s="392"/>
      <c r="Q904" s="392"/>
      <c r="R904" s="392"/>
      <c r="S904" s="392"/>
      <c r="T904" s="392"/>
      <c r="U904" s="392"/>
      <c r="V904" s="392"/>
      <c r="W904" s="392"/>
      <c r="X904" s="392"/>
      <c r="Y904" s="392"/>
      <c r="Z904" s="392"/>
      <c r="AA904" s="392"/>
      <c r="AB904" s="392"/>
      <c r="AC904" s="392"/>
      <c r="AD904" s="392"/>
      <c r="AE904" s="392"/>
      <c r="AF904" s="392"/>
    </row>
    <row r="905" ht="15.75" customHeight="1">
      <c r="A905" s="216"/>
      <c r="B905" s="156"/>
      <c r="C905" s="156"/>
      <c r="D905" s="156"/>
      <c r="E905" s="392"/>
      <c r="F905" s="392"/>
      <c r="G905" s="392"/>
      <c r="H905" s="392"/>
      <c r="I905" s="392"/>
      <c r="J905" s="392"/>
      <c r="K905" s="392"/>
      <c r="L905" s="392"/>
      <c r="M905" s="392"/>
      <c r="N905" s="392"/>
      <c r="O905" s="392"/>
      <c r="P905" s="392"/>
      <c r="Q905" s="392"/>
      <c r="R905" s="392"/>
      <c r="S905" s="392"/>
      <c r="T905" s="392"/>
      <c r="U905" s="392"/>
      <c r="V905" s="392"/>
      <c r="W905" s="392"/>
      <c r="X905" s="392"/>
      <c r="Y905" s="392"/>
      <c r="Z905" s="392"/>
      <c r="AA905" s="392"/>
      <c r="AB905" s="392"/>
      <c r="AC905" s="392"/>
      <c r="AD905" s="392"/>
      <c r="AE905" s="392"/>
      <c r="AF905" s="392"/>
    </row>
    <row r="906" ht="15.75" customHeight="1">
      <c r="A906" s="216"/>
      <c r="B906" s="156"/>
      <c r="C906" s="156"/>
      <c r="D906" s="156"/>
      <c r="E906" s="392"/>
      <c r="F906" s="392"/>
      <c r="G906" s="392"/>
      <c r="H906" s="392"/>
      <c r="I906" s="392"/>
      <c r="J906" s="392"/>
      <c r="K906" s="392"/>
      <c r="L906" s="392"/>
      <c r="M906" s="392"/>
      <c r="N906" s="392"/>
      <c r="O906" s="392"/>
      <c r="P906" s="392"/>
      <c r="Q906" s="392"/>
      <c r="R906" s="392"/>
      <c r="S906" s="392"/>
      <c r="T906" s="392"/>
      <c r="U906" s="392"/>
      <c r="V906" s="392"/>
      <c r="W906" s="392"/>
      <c r="X906" s="392"/>
      <c r="Y906" s="392"/>
      <c r="Z906" s="392"/>
      <c r="AA906" s="392"/>
      <c r="AB906" s="392"/>
      <c r="AC906" s="392"/>
      <c r="AD906" s="392"/>
      <c r="AE906" s="392"/>
      <c r="AF906" s="392"/>
    </row>
    <row r="907" ht="15.75" customHeight="1">
      <c r="A907" s="216"/>
      <c r="B907" s="156"/>
      <c r="C907" s="156"/>
      <c r="D907" s="156"/>
      <c r="E907" s="392"/>
      <c r="F907" s="392"/>
      <c r="G907" s="392"/>
      <c r="H907" s="392"/>
      <c r="I907" s="392"/>
      <c r="J907" s="392"/>
      <c r="K907" s="392"/>
      <c r="L907" s="392"/>
      <c r="M907" s="392"/>
      <c r="N907" s="392"/>
      <c r="O907" s="392"/>
      <c r="P907" s="392"/>
      <c r="Q907" s="392"/>
      <c r="R907" s="392"/>
      <c r="S907" s="392"/>
      <c r="T907" s="392"/>
      <c r="U907" s="392"/>
      <c r="V907" s="392"/>
      <c r="W907" s="392"/>
      <c r="X907" s="392"/>
      <c r="Y907" s="392"/>
      <c r="Z907" s="392"/>
      <c r="AA907" s="392"/>
      <c r="AB907" s="392"/>
      <c r="AC907" s="392"/>
      <c r="AD907" s="392"/>
      <c r="AE907" s="392"/>
      <c r="AF907" s="392"/>
    </row>
    <row r="908" ht="15.75" customHeight="1">
      <c r="A908" s="216"/>
      <c r="B908" s="156"/>
      <c r="C908" s="156"/>
      <c r="D908" s="156"/>
      <c r="E908" s="392"/>
      <c r="F908" s="392"/>
      <c r="G908" s="392"/>
      <c r="H908" s="392"/>
      <c r="I908" s="392"/>
      <c r="J908" s="392"/>
      <c r="K908" s="392"/>
      <c r="L908" s="392"/>
      <c r="M908" s="392"/>
      <c r="N908" s="392"/>
      <c r="O908" s="392"/>
      <c r="P908" s="392"/>
      <c r="Q908" s="392"/>
      <c r="R908" s="392"/>
      <c r="S908" s="392"/>
      <c r="T908" s="392"/>
      <c r="U908" s="392"/>
      <c r="V908" s="392"/>
      <c r="W908" s="392"/>
      <c r="X908" s="392"/>
      <c r="Y908" s="392"/>
      <c r="Z908" s="392"/>
      <c r="AA908" s="392"/>
      <c r="AB908" s="392"/>
      <c r="AC908" s="392"/>
      <c r="AD908" s="392"/>
      <c r="AE908" s="392"/>
      <c r="AF908" s="392"/>
    </row>
    <row r="909" ht="15.75" customHeight="1">
      <c r="A909" s="216"/>
      <c r="B909" s="156"/>
      <c r="C909" s="156"/>
      <c r="D909" s="156"/>
      <c r="E909" s="392"/>
      <c r="F909" s="392"/>
      <c r="G909" s="392"/>
      <c r="H909" s="392"/>
      <c r="I909" s="392"/>
      <c r="J909" s="392"/>
      <c r="K909" s="392"/>
      <c r="L909" s="392"/>
      <c r="M909" s="392"/>
      <c r="N909" s="392"/>
      <c r="O909" s="392"/>
      <c r="P909" s="392"/>
      <c r="Q909" s="392"/>
      <c r="R909" s="392"/>
      <c r="S909" s="392"/>
      <c r="T909" s="392"/>
      <c r="U909" s="392"/>
      <c r="V909" s="392"/>
      <c r="W909" s="392"/>
      <c r="X909" s="392"/>
      <c r="Y909" s="392"/>
      <c r="Z909" s="392"/>
      <c r="AA909" s="392"/>
      <c r="AB909" s="392"/>
      <c r="AC909" s="392"/>
      <c r="AD909" s="392"/>
      <c r="AE909" s="392"/>
      <c r="AF909" s="392"/>
    </row>
    <row r="910" ht="15.75" customHeight="1">
      <c r="A910" s="216"/>
      <c r="B910" s="156"/>
      <c r="C910" s="156"/>
      <c r="D910" s="156"/>
      <c r="E910" s="392"/>
      <c r="F910" s="392"/>
      <c r="G910" s="392"/>
      <c r="H910" s="392"/>
      <c r="I910" s="392"/>
      <c r="J910" s="392"/>
      <c r="K910" s="392"/>
      <c r="L910" s="392"/>
      <c r="M910" s="392"/>
      <c r="N910" s="392"/>
      <c r="O910" s="392"/>
      <c r="P910" s="392"/>
      <c r="Q910" s="392"/>
      <c r="R910" s="392"/>
      <c r="S910" s="392"/>
      <c r="T910" s="392"/>
      <c r="U910" s="392"/>
      <c r="V910" s="392"/>
      <c r="W910" s="392"/>
      <c r="X910" s="392"/>
      <c r="Y910" s="392"/>
      <c r="Z910" s="392"/>
      <c r="AA910" s="392"/>
      <c r="AB910" s="392"/>
      <c r="AC910" s="392"/>
      <c r="AD910" s="392"/>
      <c r="AE910" s="392"/>
      <c r="AF910" s="392"/>
    </row>
    <row r="911" ht="15.75" customHeight="1">
      <c r="A911" s="216"/>
      <c r="B911" s="156"/>
      <c r="C911" s="156"/>
      <c r="D911" s="156"/>
      <c r="E911" s="392"/>
      <c r="F911" s="392"/>
      <c r="G911" s="392"/>
      <c r="H911" s="392"/>
      <c r="I911" s="392"/>
      <c r="J911" s="392"/>
      <c r="K911" s="392"/>
      <c r="L911" s="392"/>
      <c r="M911" s="392"/>
      <c r="N911" s="392"/>
      <c r="O911" s="392"/>
      <c r="P911" s="392"/>
      <c r="Q911" s="392"/>
      <c r="R911" s="392"/>
      <c r="S911" s="392"/>
      <c r="T911" s="392"/>
      <c r="U911" s="392"/>
      <c r="V911" s="392"/>
      <c r="W911" s="392"/>
      <c r="X911" s="392"/>
      <c r="Y911" s="392"/>
      <c r="Z911" s="392"/>
      <c r="AA911" s="392"/>
      <c r="AB911" s="392"/>
      <c r="AC911" s="392"/>
      <c r="AD911" s="392"/>
      <c r="AE911" s="392"/>
      <c r="AF911" s="392"/>
    </row>
    <row r="912" ht="15.75" customHeight="1">
      <c r="A912" s="216"/>
      <c r="B912" s="156"/>
      <c r="C912" s="156"/>
      <c r="D912" s="156"/>
      <c r="E912" s="392"/>
      <c r="F912" s="392"/>
      <c r="G912" s="392"/>
      <c r="H912" s="392"/>
      <c r="I912" s="392"/>
      <c r="J912" s="392"/>
      <c r="K912" s="392"/>
      <c r="L912" s="392"/>
      <c r="M912" s="392"/>
      <c r="N912" s="392"/>
      <c r="O912" s="392"/>
      <c r="P912" s="392"/>
      <c r="Q912" s="392"/>
      <c r="R912" s="392"/>
      <c r="S912" s="392"/>
      <c r="T912" s="392"/>
      <c r="U912" s="392"/>
      <c r="V912" s="392"/>
      <c r="W912" s="392"/>
      <c r="X912" s="392"/>
      <c r="Y912" s="392"/>
      <c r="Z912" s="392"/>
      <c r="AA912" s="392"/>
      <c r="AB912" s="392"/>
      <c r="AC912" s="392"/>
      <c r="AD912" s="392"/>
      <c r="AE912" s="392"/>
      <c r="AF912" s="392"/>
    </row>
    <row r="913" ht="15.75" customHeight="1">
      <c r="A913" s="216"/>
      <c r="B913" s="156"/>
      <c r="C913" s="156"/>
      <c r="D913" s="156"/>
      <c r="E913" s="392"/>
      <c r="F913" s="392"/>
      <c r="G913" s="392"/>
      <c r="H913" s="392"/>
      <c r="I913" s="392"/>
      <c r="J913" s="392"/>
      <c r="K913" s="392"/>
      <c r="L913" s="392"/>
      <c r="M913" s="392"/>
      <c r="N913" s="392"/>
      <c r="O913" s="392"/>
      <c r="P913" s="392"/>
      <c r="Q913" s="392"/>
      <c r="R913" s="392"/>
      <c r="S913" s="392"/>
      <c r="T913" s="392"/>
      <c r="U913" s="392"/>
      <c r="V913" s="392"/>
      <c r="W913" s="392"/>
      <c r="X913" s="392"/>
      <c r="Y913" s="392"/>
      <c r="Z913" s="392"/>
      <c r="AA913" s="392"/>
      <c r="AB913" s="392"/>
      <c r="AC913" s="392"/>
      <c r="AD913" s="392"/>
      <c r="AE913" s="392"/>
      <c r="AF913" s="392"/>
    </row>
    <row r="914" ht="15.75" customHeight="1">
      <c r="A914" s="216"/>
      <c r="B914" s="156"/>
      <c r="C914" s="156"/>
      <c r="D914" s="156"/>
      <c r="E914" s="392"/>
      <c r="F914" s="392"/>
      <c r="G914" s="392"/>
      <c r="H914" s="392"/>
      <c r="I914" s="392"/>
      <c r="J914" s="392"/>
      <c r="K914" s="392"/>
      <c r="L914" s="392"/>
      <c r="M914" s="392"/>
      <c r="N914" s="392"/>
      <c r="O914" s="392"/>
      <c r="P914" s="392"/>
      <c r="Q914" s="392"/>
      <c r="R914" s="392"/>
      <c r="S914" s="392"/>
      <c r="T914" s="392"/>
      <c r="U914" s="392"/>
      <c r="V914" s="392"/>
      <c r="W914" s="392"/>
      <c r="X914" s="392"/>
      <c r="Y914" s="392"/>
      <c r="Z914" s="392"/>
      <c r="AA914" s="392"/>
      <c r="AB914" s="392"/>
      <c r="AC914" s="392"/>
      <c r="AD914" s="392"/>
      <c r="AE914" s="392"/>
      <c r="AF914" s="392"/>
    </row>
    <row r="915" ht="15.75" customHeight="1">
      <c r="A915" s="216"/>
      <c r="B915" s="156"/>
      <c r="C915" s="156"/>
      <c r="D915" s="156"/>
      <c r="E915" s="392"/>
      <c r="F915" s="392"/>
      <c r="G915" s="392"/>
      <c r="H915" s="392"/>
      <c r="I915" s="392"/>
      <c r="J915" s="392"/>
      <c r="K915" s="392"/>
      <c r="L915" s="392"/>
      <c r="M915" s="392"/>
      <c r="N915" s="392"/>
      <c r="O915" s="392"/>
      <c r="P915" s="392"/>
      <c r="Q915" s="392"/>
      <c r="R915" s="392"/>
      <c r="S915" s="392"/>
      <c r="T915" s="392"/>
      <c r="U915" s="392"/>
      <c r="V915" s="392"/>
      <c r="W915" s="392"/>
      <c r="X915" s="392"/>
      <c r="Y915" s="392"/>
      <c r="Z915" s="392"/>
      <c r="AA915" s="392"/>
      <c r="AB915" s="392"/>
      <c r="AC915" s="392"/>
      <c r="AD915" s="392"/>
      <c r="AE915" s="392"/>
      <c r="AF915" s="392"/>
    </row>
    <row r="916" ht="15.75" customHeight="1">
      <c r="A916" s="216"/>
      <c r="B916" s="156"/>
      <c r="C916" s="156"/>
      <c r="D916" s="156"/>
      <c r="E916" s="392"/>
      <c r="F916" s="392"/>
      <c r="G916" s="392"/>
      <c r="H916" s="392"/>
      <c r="I916" s="392"/>
      <c r="J916" s="392"/>
      <c r="K916" s="392"/>
      <c r="L916" s="392"/>
      <c r="M916" s="392"/>
      <c r="N916" s="392"/>
      <c r="O916" s="392"/>
      <c r="P916" s="392"/>
      <c r="Q916" s="392"/>
      <c r="R916" s="392"/>
      <c r="S916" s="392"/>
      <c r="T916" s="392"/>
      <c r="U916" s="392"/>
      <c r="V916" s="392"/>
      <c r="W916" s="392"/>
      <c r="X916" s="392"/>
      <c r="Y916" s="392"/>
      <c r="Z916" s="392"/>
      <c r="AA916" s="392"/>
      <c r="AB916" s="392"/>
      <c r="AC916" s="392"/>
      <c r="AD916" s="392"/>
      <c r="AE916" s="392"/>
      <c r="AF916" s="392"/>
    </row>
    <row r="917" ht="15.75" customHeight="1">
      <c r="A917" s="216"/>
      <c r="B917" s="156"/>
      <c r="C917" s="156"/>
      <c r="D917" s="156"/>
      <c r="E917" s="392"/>
      <c r="F917" s="392"/>
      <c r="G917" s="392"/>
      <c r="H917" s="392"/>
      <c r="I917" s="392"/>
      <c r="J917" s="392"/>
      <c r="K917" s="392"/>
      <c r="L917" s="392"/>
      <c r="M917" s="392"/>
      <c r="N917" s="392"/>
      <c r="O917" s="392"/>
      <c r="P917" s="392"/>
      <c r="Q917" s="392"/>
      <c r="R917" s="392"/>
      <c r="S917" s="392"/>
      <c r="T917" s="392"/>
      <c r="U917" s="392"/>
      <c r="V917" s="392"/>
      <c r="W917" s="392"/>
      <c r="X917" s="392"/>
      <c r="Y917" s="392"/>
      <c r="Z917" s="392"/>
      <c r="AA917" s="392"/>
      <c r="AB917" s="392"/>
      <c r="AC917" s="392"/>
      <c r="AD917" s="392"/>
      <c r="AE917" s="392"/>
      <c r="AF917" s="392"/>
    </row>
    <row r="918" ht="15.75" customHeight="1">
      <c r="A918" s="216"/>
      <c r="B918" s="156"/>
      <c r="C918" s="156"/>
      <c r="D918" s="156"/>
      <c r="E918" s="392"/>
      <c r="F918" s="392"/>
      <c r="G918" s="392"/>
      <c r="H918" s="392"/>
      <c r="I918" s="392"/>
      <c r="J918" s="392"/>
      <c r="K918" s="392"/>
      <c r="L918" s="392"/>
      <c r="M918" s="392"/>
      <c r="N918" s="392"/>
      <c r="O918" s="392"/>
      <c r="P918" s="392"/>
      <c r="Q918" s="392"/>
      <c r="R918" s="392"/>
      <c r="S918" s="392"/>
      <c r="T918" s="392"/>
      <c r="U918" s="392"/>
      <c r="V918" s="392"/>
      <c r="W918" s="392"/>
      <c r="X918" s="392"/>
      <c r="Y918" s="392"/>
      <c r="Z918" s="392"/>
      <c r="AA918" s="392"/>
      <c r="AB918" s="392"/>
      <c r="AC918" s="392"/>
      <c r="AD918" s="392"/>
      <c r="AE918" s="392"/>
      <c r="AF918" s="392"/>
    </row>
    <row r="919" ht="15.75" customHeight="1">
      <c r="A919" s="216"/>
      <c r="B919" s="156"/>
      <c r="C919" s="156"/>
      <c r="D919" s="156"/>
      <c r="E919" s="392"/>
      <c r="F919" s="392"/>
      <c r="G919" s="392"/>
      <c r="H919" s="392"/>
      <c r="I919" s="392"/>
      <c r="J919" s="392"/>
      <c r="K919" s="392"/>
      <c r="L919" s="392"/>
      <c r="M919" s="392"/>
      <c r="N919" s="392"/>
      <c r="O919" s="392"/>
      <c r="P919" s="392"/>
      <c r="Q919" s="392"/>
      <c r="R919" s="392"/>
      <c r="S919" s="392"/>
      <c r="T919" s="392"/>
      <c r="U919" s="392"/>
      <c r="V919" s="392"/>
      <c r="W919" s="392"/>
      <c r="X919" s="392"/>
      <c r="Y919" s="392"/>
      <c r="Z919" s="392"/>
      <c r="AA919" s="392"/>
      <c r="AB919" s="392"/>
      <c r="AC919" s="392"/>
      <c r="AD919" s="392"/>
      <c r="AE919" s="392"/>
      <c r="AF919" s="392"/>
    </row>
    <row r="920" ht="15.75" customHeight="1">
      <c r="A920" s="216"/>
      <c r="B920" s="156"/>
      <c r="C920" s="156"/>
      <c r="D920" s="156"/>
      <c r="E920" s="392"/>
      <c r="F920" s="392"/>
      <c r="G920" s="392"/>
      <c r="H920" s="392"/>
      <c r="I920" s="392"/>
      <c r="J920" s="392"/>
      <c r="K920" s="392"/>
      <c r="L920" s="392"/>
      <c r="M920" s="392"/>
      <c r="N920" s="392"/>
      <c r="O920" s="392"/>
      <c r="P920" s="392"/>
      <c r="Q920" s="392"/>
      <c r="R920" s="392"/>
      <c r="S920" s="392"/>
      <c r="T920" s="392"/>
      <c r="U920" s="392"/>
      <c r="V920" s="392"/>
      <c r="W920" s="392"/>
      <c r="X920" s="392"/>
      <c r="Y920" s="392"/>
      <c r="Z920" s="392"/>
      <c r="AA920" s="392"/>
      <c r="AB920" s="392"/>
      <c r="AC920" s="392"/>
      <c r="AD920" s="392"/>
      <c r="AE920" s="392"/>
      <c r="AF920" s="392"/>
    </row>
    <row r="921" ht="15.75" customHeight="1">
      <c r="A921" s="216"/>
      <c r="B921" s="156"/>
      <c r="C921" s="156"/>
      <c r="D921" s="156"/>
      <c r="E921" s="392"/>
      <c r="F921" s="392"/>
      <c r="G921" s="392"/>
      <c r="H921" s="392"/>
      <c r="I921" s="392"/>
      <c r="J921" s="392"/>
      <c r="K921" s="392"/>
      <c r="L921" s="392"/>
      <c r="M921" s="392"/>
      <c r="N921" s="392"/>
      <c r="O921" s="392"/>
      <c r="P921" s="392"/>
      <c r="Q921" s="392"/>
      <c r="R921" s="392"/>
      <c r="S921" s="392"/>
      <c r="T921" s="392"/>
      <c r="U921" s="392"/>
      <c r="V921" s="392"/>
      <c r="W921" s="392"/>
      <c r="X921" s="392"/>
      <c r="Y921" s="392"/>
      <c r="Z921" s="392"/>
      <c r="AA921" s="392"/>
      <c r="AB921" s="392"/>
      <c r="AC921" s="392"/>
      <c r="AD921" s="392"/>
      <c r="AE921" s="392"/>
      <c r="AF921" s="392"/>
    </row>
    <row r="922" ht="15.75" customHeight="1">
      <c r="A922" s="216"/>
      <c r="B922" s="156"/>
      <c r="C922" s="156"/>
      <c r="D922" s="156"/>
      <c r="E922" s="392"/>
      <c r="F922" s="392"/>
      <c r="G922" s="392"/>
      <c r="H922" s="392"/>
      <c r="I922" s="392"/>
      <c r="J922" s="392"/>
      <c r="K922" s="392"/>
      <c r="L922" s="392"/>
      <c r="M922" s="392"/>
      <c r="N922" s="392"/>
      <c r="O922" s="392"/>
      <c r="P922" s="392"/>
      <c r="Q922" s="392"/>
      <c r="R922" s="392"/>
      <c r="S922" s="392"/>
      <c r="T922" s="392"/>
      <c r="U922" s="392"/>
      <c r="V922" s="392"/>
      <c r="W922" s="392"/>
      <c r="X922" s="392"/>
      <c r="Y922" s="392"/>
      <c r="Z922" s="392"/>
      <c r="AA922" s="392"/>
      <c r="AB922" s="392"/>
      <c r="AC922" s="392"/>
      <c r="AD922" s="392"/>
      <c r="AE922" s="392"/>
      <c r="AF922" s="392"/>
    </row>
    <row r="923" ht="15.75" customHeight="1">
      <c r="A923" s="216"/>
      <c r="B923" s="156"/>
      <c r="C923" s="156"/>
      <c r="D923" s="156"/>
      <c r="E923" s="392"/>
      <c r="F923" s="392"/>
      <c r="G923" s="392"/>
      <c r="H923" s="392"/>
      <c r="I923" s="392"/>
      <c r="J923" s="392"/>
      <c r="K923" s="392"/>
      <c r="L923" s="392"/>
      <c r="M923" s="392"/>
      <c r="N923" s="392"/>
      <c r="O923" s="392"/>
      <c r="P923" s="392"/>
      <c r="Q923" s="392"/>
      <c r="R923" s="392"/>
      <c r="S923" s="392"/>
      <c r="T923" s="392"/>
      <c r="U923" s="392"/>
      <c r="V923" s="392"/>
      <c r="W923" s="392"/>
      <c r="X923" s="392"/>
      <c r="Y923" s="392"/>
      <c r="Z923" s="392"/>
      <c r="AA923" s="392"/>
      <c r="AB923" s="392"/>
      <c r="AC923" s="392"/>
      <c r="AD923" s="392"/>
      <c r="AE923" s="392"/>
      <c r="AF923" s="392"/>
    </row>
    <row r="924" ht="15.75" customHeight="1">
      <c r="A924" s="216"/>
      <c r="B924" s="156"/>
      <c r="C924" s="156"/>
      <c r="D924" s="156"/>
      <c r="E924" s="392"/>
      <c r="F924" s="392"/>
      <c r="G924" s="392"/>
      <c r="H924" s="392"/>
      <c r="I924" s="392"/>
      <c r="J924" s="392"/>
      <c r="K924" s="392"/>
      <c r="L924" s="392"/>
      <c r="M924" s="392"/>
      <c r="N924" s="392"/>
      <c r="O924" s="392"/>
      <c r="P924" s="392"/>
      <c r="Q924" s="392"/>
      <c r="R924" s="392"/>
      <c r="S924" s="392"/>
      <c r="T924" s="392"/>
      <c r="U924" s="392"/>
      <c r="V924" s="392"/>
      <c r="W924" s="392"/>
      <c r="X924" s="392"/>
      <c r="Y924" s="392"/>
      <c r="Z924" s="392"/>
      <c r="AA924" s="392"/>
      <c r="AB924" s="392"/>
      <c r="AC924" s="392"/>
      <c r="AD924" s="392"/>
      <c r="AE924" s="392"/>
      <c r="AF924" s="392"/>
    </row>
    <row r="925" ht="15.75" customHeight="1">
      <c r="A925" s="216"/>
      <c r="B925" s="156"/>
      <c r="C925" s="156"/>
      <c r="D925" s="156"/>
      <c r="E925" s="392"/>
      <c r="F925" s="392"/>
      <c r="G925" s="392"/>
      <c r="H925" s="392"/>
      <c r="I925" s="392"/>
      <c r="J925" s="392"/>
      <c r="K925" s="392"/>
      <c r="L925" s="392"/>
      <c r="M925" s="392"/>
      <c r="N925" s="392"/>
      <c r="O925" s="392"/>
      <c r="P925" s="392"/>
      <c r="Q925" s="392"/>
      <c r="R925" s="392"/>
      <c r="S925" s="392"/>
      <c r="T925" s="392"/>
      <c r="U925" s="392"/>
      <c r="V925" s="392"/>
      <c r="W925" s="392"/>
      <c r="X925" s="392"/>
      <c r="Y925" s="392"/>
      <c r="Z925" s="392"/>
      <c r="AA925" s="392"/>
      <c r="AB925" s="392"/>
      <c r="AC925" s="392"/>
      <c r="AD925" s="392"/>
      <c r="AE925" s="392"/>
      <c r="AF925" s="392"/>
    </row>
    <row r="926" ht="15.75" customHeight="1">
      <c r="A926" s="216"/>
      <c r="B926" s="156"/>
      <c r="C926" s="156"/>
      <c r="D926" s="156"/>
      <c r="E926" s="392"/>
      <c r="F926" s="392"/>
      <c r="G926" s="392"/>
      <c r="H926" s="392"/>
      <c r="I926" s="392"/>
      <c r="J926" s="392"/>
      <c r="K926" s="392"/>
      <c r="L926" s="392"/>
      <c r="M926" s="392"/>
      <c r="N926" s="392"/>
      <c r="O926" s="392"/>
      <c r="P926" s="392"/>
      <c r="Q926" s="392"/>
      <c r="R926" s="392"/>
      <c r="S926" s="392"/>
      <c r="T926" s="392"/>
      <c r="U926" s="392"/>
      <c r="V926" s="392"/>
      <c r="W926" s="392"/>
      <c r="X926" s="392"/>
      <c r="Y926" s="392"/>
      <c r="Z926" s="392"/>
      <c r="AA926" s="392"/>
      <c r="AB926" s="392"/>
      <c r="AC926" s="392"/>
      <c r="AD926" s="392"/>
      <c r="AE926" s="392"/>
      <c r="AF926" s="392"/>
    </row>
    <row r="927" ht="15.75" customHeight="1">
      <c r="A927" s="216"/>
      <c r="B927" s="156"/>
      <c r="C927" s="156"/>
      <c r="D927" s="156"/>
      <c r="E927" s="392"/>
      <c r="F927" s="392"/>
      <c r="G927" s="392"/>
      <c r="H927" s="392"/>
      <c r="I927" s="392"/>
      <c r="J927" s="392"/>
      <c r="K927" s="392"/>
      <c r="L927" s="392"/>
      <c r="M927" s="392"/>
      <c r="N927" s="392"/>
      <c r="O927" s="392"/>
      <c r="P927" s="392"/>
      <c r="Q927" s="392"/>
      <c r="R927" s="392"/>
      <c r="S927" s="392"/>
      <c r="T927" s="392"/>
      <c r="U927" s="392"/>
      <c r="V927" s="392"/>
      <c r="W927" s="392"/>
      <c r="X927" s="392"/>
      <c r="Y927" s="392"/>
      <c r="Z927" s="392"/>
      <c r="AA927" s="392"/>
      <c r="AB927" s="392"/>
      <c r="AC927" s="392"/>
      <c r="AD927" s="392"/>
      <c r="AE927" s="392"/>
      <c r="AF927" s="392"/>
    </row>
    <row r="928" ht="15.75" customHeight="1">
      <c r="A928" s="216"/>
      <c r="B928" s="156"/>
      <c r="C928" s="156"/>
      <c r="D928" s="156"/>
      <c r="E928" s="392"/>
      <c r="F928" s="392"/>
      <c r="G928" s="392"/>
      <c r="H928" s="392"/>
      <c r="I928" s="392"/>
      <c r="J928" s="392"/>
      <c r="K928" s="392"/>
      <c r="L928" s="392"/>
      <c r="M928" s="392"/>
      <c r="N928" s="392"/>
      <c r="O928" s="392"/>
      <c r="P928" s="392"/>
      <c r="Q928" s="392"/>
      <c r="R928" s="392"/>
      <c r="S928" s="392"/>
      <c r="T928" s="392"/>
      <c r="U928" s="392"/>
      <c r="V928" s="392"/>
      <c r="W928" s="392"/>
      <c r="X928" s="392"/>
      <c r="Y928" s="392"/>
      <c r="Z928" s="392"/>
      <c r="AA928" s="392"/>
      <c r="AB928" s="392"/>
      <c r="AC928" s="392"/>
      <c r="AD928" s="392"/>
      <c r="AE928" s="392"/>
      <c r="AF928" s="392"/>
    </row>
    <row r="929" ht="15.75" customHeight="1">
      <c r="A929" s="216"/>
      <c r="B929" s="156"/>
      <c r="C929" s="156"/>
      <c r="D929" s="156"/>
      <c r="E929" s="392"/>
      <c r="F929" s="392"/>
      <c r="G929" s="392"/>
      <c r="H929" s="392"/>
      <c r="I929" s="392"/>
      <c r="J929" s="392"/>
      <c r="K929" s="392"/>
      <c r="L929" s="392"/>
      <c r="M929" s="392"/>
      <c r="N929" s="392"/>
      <c r="O929" s="392"/>
      <c r="P929" s="392"/>
      <c r="Q929" s="392"/>
      <c r="R929" s="392"/>
      <c r="S929" s="392"/>
      <c r="T929" s="392"/>
      <c r="U929" s="392"/>
      <c r="V929" s="392"/>
      <c r="W929" s="392"/>
      <c r="X929" s="392"/>
      <c r="Y929" s="392"/>
      <c r="Z929" s="392"/>
      <c r="AA929" s="392"/>
      <c r="AB929" s="392"/>
      <c r="AC929" s="392"/>
      <c r="AD929" s="392"/>
      <c r="AE929" s="392"/>
      <c r="AF929" s="392"/>
    </row>
    <row r="930" ht="15.75" customHeight="1">
      <c r="A930" s="216"/>
      <c r="B930" s="156"/>
      <c r="C930" s="156"/>
      <c r="D930" s="156"/>
      <c r="E930" s="392"/>
      <c r="F930" s="392"/>
      <c r="G930" s="392"/>
      <c r="H930" s="392"/>
      <c r="I930" s="392"/>
      <c r="J930" s="392"/>
      <c r="K930" s="392"/>
      <c r="L930" s="392"/>
      <c r="M930" s="392"/>
      <c r="N930" s="392"/>
      <c r="O930" s="392"/>
      <c r="P930" s="392"/>
      <c r="Q930" s="392"/>
      <c r="R930" s="392"/>
      <c r="S930" s="392"/>
      <c r="T930" s="392"/>
      <c r="U930" s="392"/>
      <c r="V930" s="392"/>
      <c r="W930" s="392"/>
      <c r="X930" s="392"/>
      <c r="Y930" s="392"/>
      <c r="Z930" s="392"/>
      <c r="AA930" s="392"/>
      <c r="AB930" s="392"/>
      <c r="AC930" s="392"/>
      <c r="AD930" s="392"/>
      <c r="AE930" s="392"/>
      <c r="AF930" s="392"/>
    </row>
    <row r="931" ht="15.75" customHeight="1">
      <c r="A931" s="216"/>
      <c r="B931" s="156"/>
      <c r="C931" s="156"/>
      <c r="D931" s="156"/>
      <c r="E931" s="392"/>
      <c r="F931" s="392"/>
      <c r="G931" s="392"/>
      <c r="H931" s="392"/>
      <c r="I931" s="392"/>
      <c r="J931" s="392"/>
      <c r="K931" s="392"/>
      <c r="L931" s="392"/>
      <c r="M931" s="392"/>
      <c r="N931" s="392"/>
      <c r="O931" s="392"/>
      <c r="P931" s="392"/>
      <c r="Q931" s="392"/>
      <c r="R931" s="392"/>
      <c r="S931" s="392"/>
      <c r="T931" s="392"/>
      <c r="U931" s="392"/>
      <c r="V931" s="392"/>
      <c r="W931" s="392"/>
      <c r="X931" s="392"/>
      <c r="Y931" s="392"/>
      <c r="Z931" s="392"/>
      <c r="AA931" s="392"/>
      <c r="AB931" s="392"/>
      <c r="AC931" s="392"/>
      <c r="AD931" s="392"/>
      <c r="AE931" s="392"/>
      <c r="AF931" s="392"/>
    </row>
    <row r="932" ht="15.75" customHeight="1">
      <c r="A932" s="216"/>
      <c r="B932" s="156"/>
      <c r="C932" s="156"/>
      <c r="D932" s="156"/>
      <c r="E932" s="392"/>
      <c r="F932" s="392"/>
      <c r="G932" s="392"/>
      <c r="H932" s="392"/>
      <c r="I932" s="392"/>
      <c r="J932" s="392"/>
      <c r="K932" s="392"/>
      <c r="L932" s="392"/>
      <c r="M932" s="392"/>
      <c r="N932" s="392"/>
      <c r="O932" s="392"/>
      <c r="P932" s="392"/>
      <c r="Q932" s="392"/>
      <c r="R932" s="392"/>
      <c r="S932" s="392"/>
      <c r="T932" s="392"/>
      <c r="U932" s="392"/>
      <c r="V932" s="392"/>
      <c r="W932" s="392"/>
      <c r="X932" s="392"/>
      <c r="Y932" s="392"/>
      <c r="Z932" s="392"/>
      <c r="AA932" s="392"/>
      <c r="AB932" s="392"/>
      <c r="AC932" s="392"/>
      <c r="AD932" s="392"/>
      <c r="AE932" s="392"/>
      <c r="AF932" s="392"/>
    </row>
    <row r="933" ht="15.75" customHeight="1">
      <c r="A933" s="216"/>
      <c r="B933" s="156"/>
      <c r="C933" s="156"/>
      <c r="D933" s="156"/>
      <c r="E933" s="392"/>
      <c r="F933" s="392"/>
      <c r="G933" s="392"/>
      <c r="H933" s="392"/>
      <c r="I933" s="392"/>
      <c r="J933" s="392"/>
      <c r="K933" s="392"/>
      <c r="L933" s="392"/>
      <c r="M933" s="392"/>
      <c r="N933" s="392"/>
      <c r="O933" s="392"/>
      <c r="P933" s="392"/>
      <c r="Q933" s="392"/>
      <c r="R933" s="392"/>
      <c r="S933" s="392"/>
      <c r="T933" s="392"/>
      <c r="U933" s="392"/>
      <c r="V933" s="392"/>
      <c r="W933" s="392"/>
      <c r="X933" s="392"/>
      <c r="Y933" s="392"/>
      <c r="Z933" s="392"/>
      <c r="AA933" s="392"/>
      <c r="AB933" s="392"/>
      <c r="AC933" s="392"/>
      <c r="AD933" s="392"/>
      <c r="AE933" s="392"/>
      <c r="AF933" s="392"/>
    </row>
    <row r="934" ht="15.75" customHeight="1">
      <c r="A934" s="216"/>
      <c r="B934" s="156"/>
      <c r="C934" s="156"/>
      <c r="D934" s="156"/>
      <c r="E934" s="392"/>
      <c r="F934" s="392"/>
      <c r="G934" s="392"/>
      <c r="H934" s="392"/>
      <c r="I934" s="392"/>
      <c r="J934" s="392"/>
      <c r="K934" s="392"/>
      <c r="L934" s="392"/>
      <c r="M934" s="392"/>
      <c r="N934" s="392"/>
      <c r="O934" s="392"/>
      <c r="P934" s="392"/>
      <c r="Q934" s="392"/>
      <c r="R934" s="392"/>
      <c r="S934" s="392"/>
      <c r="T934" s="392"/>
      <c r="U934" s="392"/>
      <c r="V934" s="392"/>
      <c r="W934" s="392"/>
      <c r="X934" s="392"/>
      <c r="Y934" s="392"/>
      <c r="Z934" s="392"/>
      <c r="AA934" s="392"/>
      <c r="AB934" s="392"/>
      <c r="AC934" s="392"/>
      <c r="AD934" s="392"/>
      <c r="AE934" s="392"/>
      <c r="AF934" s="392"/>
    </row>
    <row r="935" ht="15.75" customHeight="1">
      <c r="A935" s="216"/>
      <c r="B935" s="156"/>
      <c r="C935" s="156"/>
      <c r="D935" s="156"/>
      <c r="E935" s="392"/>
      <c r="F935" s="392"/>
      <c r="G935" s="392"/>
      <c r="H935" s="392"/>
      <c r="I935" s="392"/>
      <c r="J935" s="392"/>
      <c r="K935" s="392"/>
      <c r="L935" s="392"/>
      <c r="M935" s="392"/>
      <c r="N935" s="392"/>
      <c r="O935" s="392"/>
      <c r="P935" s="392"/>
      <c r="Q935" s="392"/>
      <c r="R935" s="392"/>
      <c r="S935" s="392"/>
      <c r="T935" s="392"/>
      <c r="U935" s="392"/>
      <c r="V935" s="392"/>
      <c r="W935" s="392"/>
      <c r="X935" s="392"/>
      <c r="Y935" s="392"/>
      <c r="Z935" s="392"/>
      <c r="AA935" s="392"/>
      <c r="AB935" s="392"/>
      <c r="AC935" s="392"/>
      <c r="AD935" s="392"/>
      <c r="AE935" s="392"/>
      <c r="AF935" s="392"/>
    </row>
    <row r="936" ht="15.75" customHeight="1">
      <c r="A936" s="216"/>
      <c r="B936" s="156"/>
      <c r="C936" s="156"/>
      <c r="D936" s="156"/>
      <c r="E936" s="392"/>
      <c r="F936" s="392"/>
      <c r="G936" s="392"/>
      <c r="H936" s="392"/>
      <c r="I936" s="392"/>
      <c r="J936" s="392"/>
      <c r="K936" s="392"/>
      <c r="L936" s="392"/>
      <c r="M936" s="392"/>
      <c r="N936" s="392"/>
      <c r="O936" s="392"/>
      <c r="P936" s="392"/>
      <c r="Q936" s="392"/>
      <c r="R936" s="392"/>
      <c r="S936" s="392"/>
      <c r="T936" s="392"/>
      <c r="U936" s="392"/>
      <c r="V936" s="392"/>
      <c r="W936" s="392"/>
      <c r="X936" s="392"/>
      <c r="Y936" s="392"/>
      <c r="Z936" s="392"/>
      <c r="AA936" s="392"/>
      <c r="AB936" s="392"/>
      <c r="AC936" s="392"/>
      <c r="AD936" s="392"/>
      <c r="AE936" s="392"/>
      <c r="AF936" s="392"/>
    </row>
    <row r="937" ht="15.75" customHeight="1">
      <c r="A937" s="216"/>
      <c r="B937" s="156"/>
      <c r="C937" s="156"/>
      <c r="D937" s="156"/>
      <c r="E937" s="392"/>
      <c r="F937" s="392"/>
      <c r="G937" s="392"/>
      <c r="H937" s="392"/>
      <c r="I937" s="392"/>
      <c r="J937" s="392"/>
      <c r="K937" s="392"/>
      <c r="L937" s="392"/>
      <c r="M937" s="392"/>
      <c r="N937" s="392"/>
      <c r="O937" s="392"/>
      <c r="P937" s="392"/>
      <c r="Q937" s="392"/>
      <c r="R937" s="392"/>
      <c r="S937" s="392"/>
      <c r="T937" s="392"/>
      <c r="U937" s="392"/>
      <c r="V937" s="392"/>
      <c r="W937" s="392"/>
      <c r="X937" s="392"/>
      <c r="Y937" s="392"/>
      <c r="Z937" s="392"/>
      <c r="AA937" s="392"/>
      <c r="AB937" s="392"/>
      <c r="AC937" s="392"/>
      <c r="AD937" s="392"/>
      <c r="AE937" s="392"/>
      <c r="AF937" s="392"/>
    </row>
    <row r="938" ht="15.75" customHeight="1">
      <c r="A938" s="216"/>
      <c r="B938" s="156"/>
      <c r="C938" s="156"/>
      <c r="D938" s="156"/>
      <c r="E938" s="392"/>
      <c r="F938" s="392"/>
      <c r="G938" s="392"/>
      <c r="H938" s="392"/>
      <c r="I938" s="392"/>
      <c r="J938" s="392"/>
      <c r="K938" s="392"/>
      <c r="L938" s="392"/>
      <c r="M938" s="392"/>
      <c r="N938" s="392"/>
      <c r="O938" s="392"/>
      <c r="P938" s="392"/>
      <c r="Q938" s="392"/>
      <c r="R938" s="392"/>
      <c r="S938" s="392"/>
      <c r="T938" s="392"/>
      <c r="U938" s="392"/>
      <c r="V938" s="392"/>
      <c r="W938" s="392"/>
      <c r="X938" s="392"/>
      <c r="Y938" s="392"/>
      <c r="Z938" s="392"/>
      <c r="AA938" s="392"/>
      <c r="AB938" s="392"/>
      <c r="AC938" s="392"/>
      <c r="AD938" s="392"/>
      <c r="AE938" s="392"/>
      <c r="AF938" s="392"/>
    </row>
    <row r="939" ht="15.75" customHeight="1">
      <c r="A939" s="216"/>
      <c r="B939" s="156"/>
      <c r="C939" s="156"/>
      <c r="D939" s="156"/>
      <c r="E939" s="392"/>
      <c r="F939" s="392"/>
      <c r="G939" s="392"/>
      <c r="H939" s="392"/>
      <c r="I939" s="392"/>
      <c r="J939" s="392"/>
      <c r="K939" s="392"/>
      <c r="L939" s="392"/>
      <c r="M939" s="392"/>
      <c r="N939" s="392"/>
      <c r="O939" s="392"/>
      <c r="P939" s="392"/>
      <c r="Q939" s="392"/>
      <c r="R939" s="392"/>
      <c r="S939" s="392"/>
      <c r="T939" s="392"/>
      <c r="U939" s="392"/>
      <c r="V939" s="392"/>
      <c r="W939" s="392"/>
      <c r="X939" s="392"/>
      <c r="Y939" s="392"/>
      <c r="Z939" s="392"/>
      <c r="AA939" s="392"/>
      <c r="AB939" s="392"/>
      <c r="AC939" s="392"/>
      <c r="AD939" s="392"/>
      <c r="AE939" s="392"/>
      <c r="AF939" s="392"/>
    </row>
    <row r="940" ht="15.75" customHeight="1">
      <c r="A940" s="216"/>
      <c r="B940" s="156"/>
      <c r="C940" s="156"/>
      <c r="D940" s="156"/>
      <c r="E940" s="392"/>
      <c r="F940" s="392"/>
      <c r="G940" s="392"/>
      <c r="H940" s="392"/>
      <c r="I940" s="392"/>
      <c r="J940" s="392"/>
      <c r="K940" s="392"/>
      <c r="L940" s="392"/>
      <c r="M940" s="392"/>
      <c r="N940" s="392"/>
      <c r="O940" s="392"/>
      <c r="P940" s="392"/>
      <c r="Q940" s="392"/>
      <c r="R940" s="392"/>
      <c r="S940" s="392"/>
      <c r="T940" s="392"/>
      <c r="U940" s="392"/>
      <c r="V940" s="392"/>
      <c r="W940" s="392"/>
      <c r="X940" s="392"/>
      <c r="Y940" s="392"/>
      <c r="Z940" s="392"/>
      <c r="AA940" s="392"/>
      <c r="AB940" s="392"/>
      <c r="AC940" s="392"/>
      <c r="AD940" s="392"/>
      <c r="AE940" s="392"/>
      <c r="AF940" s="392"/>
    </row>
    <row r="941" ht="15.75" customHeight="1">
      <c r="A941" s="216"/>
      <c r="B941" s="156"/>
      <c r="C941" s="156"/>
      <c r="D941" s="156"/>
      <c r="E941" s="392"/>
      <c r="F941" s="392"/>
      <c r="G941" s="392"/>
      <c r="H941" s="392"/>
      <c r="I941" s="392"/>
      <c r="J941" s="392"/>
      <c r="K941" s="392"/>
      <c r="L941" s="392"/>
      <c r="M941" s="392"/>
      <c r="N941" s="392"/>
      <c r="O941" s="392"/>
      <c r="P941" s="392"/>
      <c r="Q941" s="392"/>
      <c r="R941" s="392"/>
      <c r="S941" s="392"/>
      <c r="T941" s="392"/>
      <c r="U941" s="392"/>
      <c r="V941" s="392"/>
      <c r="W941" s="392"/>
      <c r="X941" s="392"/>
      <c r="Y941" s="392"/>
      <c r="Z941" s="392"/>
      <c r="AA941" s="392"/>
      <c r="AB941" s="392"/>
      <c r="AC941" s="392"/>
      <c r="AD941" s="392"/>
      <c r="AE941" s="392"/>
      <c r="AF941" s="392"/>
    </row>
    <row r="942" ht="15.75" customHeight="1">
      <c r="A942" s="216"/>
      <c r="B942" s="156"/>
      <c r="C942" s="156"/>
      <c r="D942" s="156"/>
      <c r="E942" s="392"/>
      <c r="F942" s="392"/>
      <c r="G942" s="392"/>
      <c r="H942" s="392"/>
      <c r="I942" s="392"/>
      <c r="J942" s="392"/>
      <c r="K942" s="392"/>
      <c r="L942" s="392"/>
      <c r="M942" s="392"/>
      <c r="N942" s="392"/>
      <c r="O942" s="392"/>
      <c r="P942" s="392"/>
      <c r="Q942" s="392"/>
      <c r="R942" s="392"/>
      <c r="S942" s="392"/>
      <c r="T942" s="392"/>
      <c r="U942" s="392"/>
      <c r="V942" s="392"/>
      <c r="W942" s="392"/>
      <c r="X942" s="392"/>
      <c r="Y942" s="392"/>
      <c r="Z942" s="392"/>
      <c r="AA942" s="392"/>
      <c r="AB942" s="392"/>
      <c r="AC942" s="392"/>
      <c r="AD942" s="392"/>
      <c r="AE942" s="392"/>
      <c r="AF942" s="392"/>
    </row>
    <row r="943" ht="15.75" customHeight="1">
      <c r="A943" s="216"/>
      <c r="B943" s="156"/>
      <c r="C943" s="156"/>
      <c r="D943" s="156"/>
      <c r="E943" s="392"/>
      <c r="F943" s="392"/>
      <c r="G943" s="392"/>
      <c r="H943" s="392"/>
      <c r="I943" s="392"/>
      <c r="J943" s="392"/>
      <c r="K943" s="392"/>
      <c r="L943" s="392"/>
      <c r="M943" s="392"/>
      <c r="N943" s="392"/>
      <c r="O943" s="392"/>
      <c r="P943" s="392"/>
      <c r="Q943" s="392"/>
      <c r="R943" s="392"/>
      <c r="S943" s="392"/>
      <c r="T943" s="392"/>
      <c r="U943" s="392"/>
      <c r="V943" s="392"/>
      <c r="W943" s="392"/>
      <c r="X943" s="392"/>
      <c r="Y943" s="392"/>
      <c r="Z943" s="392"/>
      <c r="AA943" s="392"/>
      <c r="AB943" s="392"/>
      <c r="AC943" s="392"/>
      <c r="AD943" s="392"/>
      <c r="AE943" s="392"/>
      <c r="AF943" s="392"/>
    </row>
    <row r="944" ht="15.75" customHeight="1">
      <c r="A944" s="216"/>
      <c r="B944" s="156"/>
      <c r="C944" s="156"/>
      <c r="D944" s="156"/>
      <c r="E944" s="392"/>
      <c r="F944" s="392"/>
      <c r="G944" s="392"/>
      <c r="H944" s="392"/>
      <c r="I944" s="392"/>
      <c r="J944" s="392"/>
      <c r="K944" s="392"/>
      <c r="L944" s="392"/>
      <c r="M944" s="392"/>
      <c r="N944" s="392"/>
      <c r="O944" s="392"/>
      <c r="P944" s="392"/>
      <c r="Q944" s="392"/>
      <c r="R944" s="392"/>
      <c r="S944" s="392"/>
      <c r="T944" s="392"/>
      <c r="U944" s="392"/>
      <c r="V944" s="392"/>
      <c r="W944" s="392"/>
      <c r="X944" s="392"/>
      <c r="Y944" s="392"/>
      <c r="Z944" s="392"/>
      <c r="AA944" s="392"/>
      <c r="AB944" s="392"/>
      <c r="AC944" s="392"/>
      <c r="AD944" s="392"/>
      <c r="AE944" s="392"/>
      <c r="AF944" s="392"/>
    </row>
    <row r="945" ht="15.75" customHeight="1">
      <c r="A945" s="216"/>
      <c r="B945" s="156"/>
      <c r="C945" s="156"/>
      <c r="D945" s="156"/>
      <c r="E945" s="392"/>
      <c r="F945" s="392"/>
      <c r="G945" s="392"/>
      <c r="H945" s="392"/>
      <c r="I945" s="392"/>
      <c r="J945" s="392"/>
      <c r="K945" s="392"/>
      <c r="L945" s="392"/>
      <c r="M945" s="392"/>
      <c r="N945" s="392"/>
      <c r="O945" s="392"/>
      <c r="P945" s="392"/>
      <c r="Q945" s="392"/>
      <c r="R945" s="392"/>
      <c r="S945" s="392"/>
      <c r="T945" s="392"/>
      <c r="U945" s="392"/>
      <c r="V945" s="392"/>
      <c r="W945" s="392"/>
      <c r="X945" s="392"/>
      <c r="Y945" s="392"/>
      <c r="Z945" s="392"/>
      <c r="AA945" s="392"/>
      <c r="AB945" s="392"/>
      <c r="AC945" s="392"/>
      <c r="AD945" s="392"/>
      <c r="AE945" s="392"/>
      <c r="AF945" s="392"/>
    </row>
    <row r="946" ht="15.75" customHeight="1">
      <c r="A946" s="216"/>
      <c r="B946" s="156"/>
      <c r="C946" s="156"/>
      <c r="D946" s="156"/>
      <c r="E946" s="392"/>
      <c r="F946" s="392"/>
      <c r="G946" s="392"/>
      <c r="H946" s="392"/>
      <c r="I946" s="392"/>
      <c r="J946" s="392"/>
      <c r="K946" s="392"/>
      <c r="L946" s="392"/>
      <c r="M946" s="392"/>
      <c r="N946" s="392"/>
      <c r="O946" s="392"/>
      <c r="P946" s="392"/>
      <c r="Q946" s="392"/>
      <c r="R946" s="392"/>
      <c r="S946" s="392"/>
      <c r="T946" s="392"/>
      <c r="U946" s="392"/>
      <c r="V946" s="392"/>
      <c r="W946" s="392"/>
      <c r="X946" s="392"/>
      <c r="Y946" s="392"/>
      <c r="Z946" s="392"/>
      <c r="AA946" s="392"/>
      <c r="AB946" s="392"/>
      <c r="AC946" s="392"/>
      <c r="AD946" s="392"/>
      <c r="AE946" s="392"/>
      <c r="AF946" s="392"/>
    </row>
    <row r="947" ht="15.75" customHeight="1">
      <c r="A947" s="216"/>
      <c r="B947" s="156"/>
      <c r="C947" s="156"/>
      <c r="D947" s="156"/>
      <c r="E947" s="392"/>
      <c r="F947" s="392"/>
      <c r="G947" s="392"/>
      <c r="H947" s="392"/>
      <c r="I947" s="392"/>
      <c r="J947" s="392"/>
      <c r="K947" s="392"/>
      <c r="L947" s="392"/>
      <c r="M947" s="392"/>
      <c r="N947" s="392"/>
      <c r="O947" s="392"/>
      <c r="P947" s="392"/>
      <c r="Q947" s="392"/>
      <c r="R947" s="392"/>
      <c r="S947" s="392"/>
      <c r="T947" s="392"/>
      <c r="U947" s="392"/>
      <c r="V947" s="392"/>
      <c r="W947" s="392"/>
      <c r="X947" s="392"/>
      <c r="Y947" s="392"/>
      <c r="Z947" s="392"/>
      <c r="AA947" s="392"/>
      <c r="AB947" s="392"/>
      <c r="AC947" s="392"/>
      <c r="AD947" s="392"/>
      <c r="AE947" s="392"/>
      <c r="AF947" s="392"/>
    </row>
    <row r="948" ht="15.75" customHeight="1">
      <c r="A948" s="216"/>
      <c r="B948" s="156"/>
      <c r="C948" s="156"/>
      <c r="D948" s="156"/>
      <c r="E948" s="392"/>
      <c r="F948" s="392"/>
      <c r="G948" s="392"/>
      <c r="H948" s="392"/>
      <c r="I948" s="392"/>
      <c r="J948" s="392"/>
      <c r="K948" s="392"/>
      <c r="L948" s="392"/>
      <c r="M948" s="392"/>
      <c r="N948" s="392"/>
      <c r="O948" s="392"/>
      <c r="P948" s="392"/>
      <c r="Q948" s="392"/>
      <c r="R948" s="392"/>
      <c r="S948" s="392"/>
      <c r="T948" s="392"/>
      <c r="U948" s="392"/>
      <c r="V948" s="392"/>
      <c r="W948" s="392"/>
      <c r="X948" s="392"/>
      <c r="Y948" s="392"/>
      <c r="Z948" s="392"/>
      <c r="AA948" s="392"/>
      <c r="AB948" s="392"/>
      <c r="AC948" s="392"/>
      <c r="AD948" s="392"/>
      <c r="AE948" s="392"/>
      <c r="AF948" s="392"/>
    </row>
    <row r="949" ht="15.75" customHeight="1">
      <c r="A949" s="216"/>
      <c r="B949" s="156"/>
      <c r="C949" s="156"/>
      <c r="D949" s="156"/>
      <c r="E949" s="392"/>
      <c r="F949" s="392"/>
      <c r="G949" s="392"/>
      <c r="H949" s="392"/>
      <c r="I949" s="392"/>
      <c r="J949" s="392"/>
      <c r="K949" s="392"/>
      <c r="L949" s="392"/>
      <c r="M949" s="392"/>
      <c r="N949" s="392"/>
      <c r="O949" s="392"/>
      <c r="P949" s="392"/>
      <c r="Q949" s="392"/>
      <c r="R949" s="392"/>
      <c r="S949" s="392"/>
      <c r="T949" s="392"/>
      <c r="U949" s="392"/>
      <c r="V949" s="392"/>
      <c r="W949" s="392"/>
      <c r="X949" s="392"/>
      <c r="Y949" s="392"/>
      <c r="Z949" s="392"/>
      <c r="AA949" s="392"/>
      <c r="AB949" s="392"/>
      <c r="AC949" s="392"/>
      <c r="AD949" s="392"/>
      <c r="AE949" s="392"/>
      <c r="AF949" s="392"/>
    </row>
    <row r="950" ht="15.75" customHeight="1">
      <c r="A950" s="216"/>
      <c r="B950" s="156"/>
      <c r="C950" s="156"/>
      <c r="D950" s="156"/>
      <c r="E950" s="392"/>
      <c r="F950" s="392"/>
      <c r="G950" s="392"/>
      <c r="H950" s="392"/>
      <c r="I950" s="392"/>
      <c r="J950" s="392"/>
      <c r="K950" s="392"/>
      <c r="L950" s="392"/>
      <c r="M950" s="392"/>
      <c r="N950" s="392"/>
      <c r="O950" s="392"/>
      <c r="P950" s="392"/>
      <c r="Q950" s="392"/>
      <c r="R950" s="392"/>
      <c r="S950" s="392"/>
      <c r="T950" s="392"/>
      <c r="U950" s="392"/>
      <c r="V950" s="392"/>
      <c r="W950" s="392"/>
      <c r="X950" s="392"/>
      <c r="Y950" s="392"/>
      <c r="Z950" s="392"/>
      <c r="AA950" s="392"/>
      <c r="AB950" s="392"/>
      <c r="AC950" s="392"/>
      <c r="AD950" s="392"/>
      <c r="AE950" s="392"/>
      <c r="AF950" s="392"/>
    </row>
    <row r="951" ht="15.75" customHeight="1">
      <c r="A951" s="216"/>
      <c r="B951" s="156"/>
      <c r="C951" s="156"/>
      <c r="D951" s="156"/>
      <c r="E951" s="392"/>
      <c r="F951" s="392"/>
      <c r="G951" s="392"/>
      <c r="H951" s="392"/>
      <c r="I951" s="392"/>
      <c r="J951" s="392"/>
      <c r="K951" s="392"/>
      <c r="L951" s="392"/>
      <c r="M951" s="392"/>
      <c r="N951" s="392"/>
      <c r="O951" s="392"/>
      <c r="P951" s="392"/>
      <c r="Q951" s="392"/>
      <c r="R951" s="392"/>
      <c r="S951" s="392"/>
      <c r="T951" s="392"/>
      <c r="U951" s="392"/>
      <c r="V951" s="392"/>
      <c r="W951" s="392"/>
      <c r="X951" s="392"/>
      <c r="Y951" s="392"/>
      <c r="Z951" s="392"/>
      <c r="AA951" s="392"/>
      <c r="AB951" s="392"/>
      <c r="AC951" s="392"/>
      <c r="AD951" s="392"/>
      <c r="AE951" s="392"/>
      <c r="AF951" s="392"/>
    </row>
    <row r="952" ht="15.75" customHeight="1">
      <c r="A952" s="216"/>
      <c r="B952" s="156"/>
      <c r="C952" s="156"/>
      <c r="D952" s="156"/>
      <c r="E952" s="392"/>
      <c r="F952" s="392"/>
      <c r="G952" s="392"/>
      <c r="H952" s="392"/>
      <c r="I952" s="392"/>
      <c r="J952" s="392"/>
      <c r="K952" s="392"/>
      <c r="L952" s="392"/>
      <c r="M952" s="392"/>
      <c r="N952" s="392"/>
      <c r="O952" s="392"/>
      <c r="P952" s="392"/>
      <c r="Q952" s="392"/>
      <c r="R952" s="392"/>
      <c r="S952" s="392"/>
      <c r="T952" s="392"/>
      <c r="U952" s="392"/>
      <c r="V952" s="392"/>
      <c r="W952" s="392"/>
      <c r="X952" s="392"/>
      <c r="Y952" s="392"/>
      <c r="Z952" s="392"/>
      <c r="AA952" s="392"/>
      <c r="AB952" s="392"/>
      <c r="AC952" s="392"/>
      <c r="AD952" s="392"/>
      <c r="AE952" s="392"/>
      <c r="AF952" s="392"/>
    </row>
    <row r="953" ht="15.75" customHeight="1">
      <c r="A953" s="216"/>
      <c r="B953" s="156"/>
      <c r="C953" s="156"/>
      <c r="D953" s="156"/>
      <c r="E953" s="392"/>
      <c r="F953" s="392"/>
      <c r="G953" s="392"/>
      <c r="H953" s="392"/>
      <c r="I953" s="392"/>
      <c r="J953" s="392"/>
      <c r="K953" s="392"/>
      <c r="L953" s="392"/>
      <c r="M953" s="392"/>
      <c r="N953" s="392"/>
      <c r="O953" s="392"/>
      <c r="P953" s="392"/>
      <c r="Q953" s="392"/>
      <c r="R953" s="392"/>
      <c r="S953" s="392"/>
      <c r="T953" s="392"/>
      <c r="U953" s="392"/>
      <c r="V953" s="392"/>
      <c r="W953" s="392"/>
      <c r="X953" s="392"/>
      <c r="Y953" s="392"/>
      <c r="Z953" s="392"/>
      <c r="AA953" s="392"/>
      <c r="AB953" s="392"/>
      <c r="AC953" s="392"/>
      <c r="AD953" s="392"/>
      <c r="AE953" s="392"/>
      <c r="AF953" s="392"/>
    </row>
    <row r="954" ht="15.75" customHeight="1">
      <c r="A954" s="216"/>
      <c r="B954" s="156"/>
      <c r="C954" s="156"/>
      <c r="D954" s="156"/>
      <c r="E954" s="392"/>
      <c r="F954" s="392"/>
      <c r="G954" s="392"/>
      <c r="H954" s="392"/>
      <c r="I954" s="392"/>
      <c r="J954" s="392"/>
      <c r="K954" s="392"/>
      <c r="L954" s="392"/>
      <c r="M954" s="392"/>
      <c r="N954" s="392"/>
      <c r="O954" s="392"/>
      <c r="P954" s="392"/>
      <c r="Q954" s="392"/>
      <c r="R954" s="392"/>
      <c r="S954" s="392"/>
      <c r="T954" s="392"/>
      <c r="U954" s="392"/>
      <c r="V954" s="392"/>
      <c r="W954" s="392"/>
      <c r="X954" s="392"/>
      <c r="Y954" s="392"/>
      <c r="Z954" s="392"/>
      <c r="AA954" s="392"/>
      <c r="AB954" s="392"/>
      <c r="AC954" s="392"/>
      <c r="AD954" s="392"/>
      <c r="AE954" s="392"/>
      <c r="AF954" s="392"/>
    </row>
    <row r="955" ht="15.75" customHeight="1">
      <c r="A955" s="216"/>
      <c r="B955" s="156"/>
      <c r="C955" s="156"/>
      <c r="D955" s="156"/>
      <c r="E955" s="392"/>
      <c r="F955" s="392"/>
      <c r="G955" s="392"/>
      <c r="H955" s="392"/>
      <c r="I955" s="392"/>
      <c r="J955" s="392"/>
      <c r="K955" s="392"/>
      <c r="L955" s="392"/>
      <c r="M955" s="392"/>
      <c r="N955" s="392"/>
      <c r="O955" s="392"/>
      <c r="P955" s="392"/>
      <c r="Q955" s="392"/>
      <c r="R955" s="392"/>
      <c r="S955" s="392"/>
      <c r="T955" s="392"/>
      <c r="U955" s="392"/>
      <c r="V955" s="392"/>
      <c r="W955" s="392"/>
      <c r="X955" s="392"/>
      <c r="Y955" s="392"/>
      <c r="Z955" s="392"/>
      <c r="AA955" s="392"/>
      <c r="AB955" s="392"/>
      <c r="AC955" s="392"/>
      <c r="AD955" s="392"/>
      <c r="AE955" s="392"/>
      <c r="AF955" s="392"/>
    </row>
    <row r="956" ht="15.75" customHeight="1">
      <c r="A956" s="216"/>
      <c r="B956" s="156"/>
      <c r="C956" s="156"/>
      <c r="D956" s="156"/>
      <c r="E956" s="392"/>
      <c r="F956" s="392"/>
      <c r="G956" s="392"/>
      <c r="H956" s="392"/>
      <c r="I956" s="392"/>
      <c r="J956" s="392"/>
      <c r="K956" s="392"/>
      <c r="L956" s="392"/>
      <c r="M956" s="392"/>
      <c r="N956" s="392"/>
      <c r="O956" s="392"/>
      <c r="P956" s="392"/>
      <c r="Q956" s="392"/>
      <c r="R956" s="392"/>
      <c r="S956" s="392"/>
      <c r="T956" s="392"/>
      <c r="U956" s="392"/>
      <c r="V956" s="392"/>
      <c r="W956" s="392"/>
      <c r="X956" s="392"/>
      <c r="Y956" s="392"/>
      <c r="Z956" s="392"/>
      <c r="AA956" s="392"/>
      <c r="AB956" s="392"/>
      <c r="AC956" s="392"/>
      <c r="AD956" s="392"/>
      <c r="AE956" s="392"/>
      <c r="AF956" s="392"/>
    </row>
    <row r="957" ht="15.75" customHeight="1">
      <c r="A957" s="216"/>
      <c r="B957" s="156"/>
      <c r="C957" s="156"/>
      <c r="D957" s="156"/>
      <c r="E957" s="392"/>
      <c r="F957" s="392"/>
      <c r="G957" s="392"/>
      <c r="H957" s="392"/>
      <c r="I957" s="392"/>
      <c r="J957" s="392"/>
      <c r="K957" s="392"/>
      <c r="L957" s="392"/>
      <c r="M957" s="392"/>
      <c r="N957" s="392"/>
      <c r="O957" s="392"/>
      <c r="P957" s="392"/>
      <c r="Q957" s="392"/>
      <c r="R957" s="392"/>
      <c r="S957" s="392"/>
      <c r="T957" s="392"/>
      <c r="U957" s="392"/>
      <c r="V957" s="392"/>
      <c r="W957" s="392"/>
      <c r="X957" s="392"/>
      <c r="Y957" s="392"/>
      <c r="Z957" s="392"/>
      <c r="AA957" s="392"/>
      <c r="AB957" s="392"/>
      <c r="AC957" s="392"/>
      <c r="AD957" s="392"/>
      <c r="AE957" s="392"/>
      <c r="AF957" s="392"/>
    </row>
    <row r="958" ht="15.75" customHeight="1">
      <c r="A958" s="216"/>
      <c r="B958" s="156"/>
      <c r="C958" s="156"/>
      <c r="D958" s="156"/>
      <c r="E958" s="392"/>
      <c r="F958" s="392"/>
      <c r="G958" s="392"/>
      <c r="H958" s="392"/>
      <c r="I958" s="392"/>
      <c r="J958" s="392"/>
      <c r="K958" s="392"/>
      <c r="L958" s="392"/>
      <c r="M958" s="392"/>
      <c r="N958" s="392"/>
      <c r="O958" s="392"/>
      <c r="P958" s="392"/>
      <c r="Q958" s="392"/>
      <c r="R958" s="392"/>
      <c r="S958" s="392"/>
      <c r="T958" s="392"/>
      <c r="U958" s="392"/>
      <c r="V958" s="392"/>
      <c r="W958" s="392"/>
      <c r="X958" s="392"/>
      <c r="Y958" s="392"/>
      <c r="Z958" s="392"/>
      <c r="AA958" s="392"/>
      <c r="AB958" s="392"/>
      <c r="AC958" s="392"/>
      <c r="AD958" s="392"/>
      <c r="AE958" s="392"/>
      <c r="AF958" s="392"/>
    </row>
    <row r="959" ht="15.75" customHeight="1">
      <c r="A959" s="216"/>
      <c r="B959" s="156"/>
      <c r="C959" s="156"/>
      <c r="D959" s="156"/>
      <c r="E959" s="392"/>
      <c r="F959" s="392"/>
      <c r="G959" s="392"/>
      <c r="H959" s="392"/>
      <c r="I959" s="392"/>
      <c r="J959" s="392"/>
      <c r="K959" s="392"/>
      <c r="L959" s="392"/>
      <c r="M959" s="392"/>
      <c r="N959" s="392"/>
      <c r="O959" s="392"/>
      <c r="P959" s="392"/>
      <c r="Q959" s="392"/>
      <c r="R959" s="392"/>
      <c r="S959" s="392"/>
      <c r="T959" s="392"/>
      <c r="U959" s="392"/>
      <c r="V959" s="392"/>
      <c r="W959" s="392"/>
      <c r="X959" s="392"/>
      <c r="Y959" s="392"/>
      <c r="Z959" s="392"/>
      <c r="AA959" s="392"/>
      <c r="AB959" s="392"/>
      <c r="AC959" s="392"/>
      <c r="AD959" s="392"/>
      <c r="AE959" s="392"/>
      <c r="AF959" s="392"/>
    </row>
    <row r="960" ht="15.75" customHeight="1">
      <c r="A960" s="216"/>
      <c r="B960" s="156"/>
      <c r="C960" s="156"/>
      <c r="D960" s="156"/>
      <c r="E960" s="392"/>
      <c r="F960" s="392"/>
      <c r="G960" s="392"/>
      <c r="H960" s="392"/>
      <c r="I960" s="392"/>
      <c r="J960" s="392"/>
      <c r="K960" s="392"/>
      <c r="L960" s="392"/>
      <c r="M960" s="392"/>
      <c r="N960" s="392"/>
      <c r="O960" s="392"/>
      <c r="P960" s="392"/>
      <c r="Q960" s="392"/>
      <c r="R960" s="392"/>
      <c r="S960" s="392"/>
      <c r="T960" s="392"/>
      <c r="U960" s="392"/>
      <c r="V960" s="392"/>
      <c r="W960" s="392"/>
      <c r="X960" s="392"/>
      <c r="Y960" s="392"/>
      <c r="Z960" s="392"/>
      <c r="AA960" s="392"/>
      <c r="AB960" s="392"/>
      <c r="AC960" s="392"/>
      <c r="AD960" s="392"/>
      <c r="AE960" s="392"/>
      <c r="AF960" s="392"/>
    </row>
    <row r="961" ht="15.75" customHeight="1">
      <c r="A961" s="216"/>
      <c r="B961" s="156"/>
      <c r="C961" s="156"/>
      <c r="D961" s="156"/>
      <c r="E961" s="392"/>
      <c r="F961" s="392"/>
      <c r="G961" s="392"/>
      <c r="H961" s="392"/>
      <c r="I961" s="392"/>
      <c r="J961" s="392"/>
      <c r="K961" s="392"/>
      <c r="L961" s="392"/>
      <c r="M961" s="392"/>
      <c r="N961" s="392"/>
      <c r="O961" s="392"/>
      <c r="P961" s="392"/>
      <c r="Q961" s="392"/>
      <c r="R961" s="392"/>
      <c r="S961" s="392"/>
      <c r="T961" s="392"/>
      <c r="U961" s="392"/>
      <c r="V961" s="392"/>
      <c r="W961" s="392"/>
      <c r="X961" s="392"/>
      <c r="Y961" s="392"/>
      <c r="Z961" s="392"/>
      <c r="AA961" s="392"/>
      <c r="AB961" s="392"/>
      <c r="AC961" s="392"/>
      <c r="AD961" s="392"/>
      <c r="AE961" s="392"/>
      <c r="AF961" s="392"/>
    </row>
    <row r="962" ht="15.75" customHeight="1">
      <c r="A962" s="216"/>
      <c r="B962" s="156"/>
      <c r="C962" s="156"/>
      <c r="D962" s="156"/>
      <c r="E962" s="392"/>
      <c r="F962" s="392"/>
      <c r="G962" s="392"/>
      <c r="H962" s="392"/>
      <c r="I962" s="392"/>
      <c r="J962" s="392"/>
      <c r="K962" s="392"/>
      <c r="L962" s="392"/>
      <c r="M962" s="392"/>
      <c r="N962" s="392"/>
      <c r="O962" s="392"/>
      <c r="P962" s="392"/>
      <c r="Q962" s="392"/>
      <c r="R962" s="392"/>
      <c r="S962" s="392"/>
      <c r="T962" s="392"/>
      <c r="U962" s="392"/>
      <c r="V962" s="392"/>
      <c r="W962" s="392"/>
      <c r="X962" s="392"/>
      <c r="Y962" s="392"/>
      <c r="Z962" s="392"/>
      <c r="AA962" s="392"/>
      <c r="AB962" s="392"/>
      <c r="AC962" s="392"/>
      <c r="AD962" s="392"/>
      <c r="AE962" s="392"/>
      <c r="AF962" s="392"/>
    </row>
    <row r="963" ht="15.75" customHeight="1">
      <c r="A963" s="216"/>
      <c r="B963" s="156"/>
      <c r="C963" s="156"/>
      <c r="D963" s="156"/>
      <c r="E963" s="392"/>
      <c r="F963" s="392"/>
      <c r="G963" s="392"/>
      <c r="H963" s="392"/>
      <c r="I963" s="392"/>
      <c r="J963" s="392"/>
      <c r="K963" s="392"/>
      <c r="L963" s="392"/>
      <c r="M963" s="392"/>
      <c r="N963" s="392"/>
      <c r="O963" s="392"/>
      <c r="P963" s="392"/>
      <c r="Q963" s="392"/>
      <c r="R963" s="392"/>
      <c r="S963" s="392"/>
      <c r="T963" s="392"/>
      <c r="U963" s="392"/>
      <c r="V963" s="392"/>
      <c r="W963" s="392"/>
      <c r="X963" s="392"/>
      <c r="Y963" s="392"/>
      <c r="Z963" s="392"/>
      <c r="AA963" s="392"/>
      <c r="AB963" s="392"/>
      <c r="AC963" s="392"/>
      <c r="AD963" s="392"/>
      <c r="AE963" s="392"/>
      <c r="AF963" s="392"/>
    </row>
    <row r="964" ht="15.75" customHeight="1">
      <c r="A964" s="216"/>
      <c r="B964" s="156"/>
      <c r="C964" s="156"/>
      <c r="D964" s="156"/>
      <c r="E964" s="392"/>
      <c r="F964" s="392"/>
      <c r="G964" s="392"/>
      <c r="H964" s="392"/>
      <c r="I964" s="392"/>
      <c r="J964" s="392"/>
      <c r="K964" s="392"/>
      <c r="L964" s="392"/>
      <c r="M964" s="392"/>
      <c r="N964" s="392"/>
      <c r="O964" s="392"/>
      <c r="P964" s="392"/>
      <c r="Q964" s="392"/>
      <c r="R964" s="392"/>
      <c r="S964" s="392"/>
      <c r="T964" s="392"/>
      <c r="U964" s="392"/>
      <c r="V964" s="392"/>
      <c r="W964" s="392"/>
      <c r="X964" s="392"/>
      <c r="Y964" s="392"/>
      <c r="Z964" s="392"/>
      <c r="AA964" s="392"/>
      <c r="AB964" s="392"/>
      <c r="AC964" s="392"/>
      <c r="AD964" s="392"/>
      <c r="AE964" s="392"/>
      <c r="AF964" s="392"/>
    </row>
    <row r="965" ht="15.75" customHeight="1">
      <c r="A965" s="216"/>
      <c r="B965" s="156"/>
      <c r="C965" s="156"/>
      <c r="D965" s="156"/>
      <c r="E965" s="392"/>
      <c r="F965" s="392"/>
      <c r="G965" s="392"/>
      <c r="H965" s="392"/>
      <c r="I965" s="392"/>
      <c r="J965" s="392"/>
      <c r="K965" s="392"/>
      <c r="L965" s="392"/>
      <c r="M965" s="392"/>
      <c r="N965" s="392"/>
      <c r="O965" s="392"/>
      <c r="P965" s="392"/>
      <c r="Q965" s="392"/>
      <c r="R965" s="392"/>
      <c r="S965" s="392"/>
      <c r="T965" s="392"/>
      <c r="U965" s="392"/>
      <c r="V965" s="392"/>
      <c r="W965" s="392"/>
      <c r="X965" s="392"/>
      <c r="Y965" s="392"/>
      <c r="Z965" s="392"/>
      <c r="AA965" s="392"/>
      <c r="AB965" s="392"/>
      <c r="AC965" s="392"/>
      <c r="AD965" s="392"/>
      <c r="AE965" s="392"/>
      <c r="AF965" s="392"/>
    </row>
    <row r="966" ht="15.75" customHeight="1">
      <c r="A966" s="216"/>
      <c r="B966" s="156"/>
      <c r="C966" s="156"/>
      <c r="D966" s="156"/>
      <c r="E966" s="392"/>
      <c r="F966" s="392"/>
      <c r="G966" s="392"/>
      <c r="H966" s="392"/>
      <c r="I966" s="392"/>
      <c r="J966" s="392"/>
      <c r="K966" s="392"/>
      <c r="L966" s="392"/>
      <c r="M966" s="392"/>
      <c r="N966" s="392"/>
      <c r="O966" s="392"/>
      <c r="P966" s="392"/>
      <c r="Q966" s="392"/>
      <c r="R966" s="392"/>
      <c r="S966" s="392"/>
      <c r="T966" s="392"/>
      <c r="U966" s="392"/>
      <c r="V966" s="392"/>
      <c r="W966" s="392"/>
      <c r="X966" s="392"/>
      <c r="Y966" s="392"/>
      <c r="Z966" s="392"/>
      <c r="AA966" s="392"/>
      <c r="AB966" s="392"/>
      <c r="AC966" s="392"/>
      <c r="AD966" s="392"/>
      <c r="AE966" s="392"/>
      <c r="AF966" s="392"/>
    </row>
    <row r="967" ht="15.75" customHeight="1">
      <c r="A967" s="216"/>
      <c r="B967" s="156"/>
      <c r="C967" s="156"/>
      <c r="D967" s="156"/>
      <c r="E967" s="392"/>
      <c r="F967" s="392"/>
      <c r="G967" s="392"/>
      <c r="H967" s="392"/>
      <c r="I967" s="392"/>
      <c r="J967" s="392"/>
      <c r="K967" s="392"/>
      <c r="L967" s="392"/>
      <c r="M967" s="392"/>
      <c r="N967" s="392"/>
      <c r="O967" s="392"/>
      <c r="P967" s="392"/>
      <c r="Q967" s="392"/>
      <c r="R967" s="392"/>
      <c r="S967" s="392"/>
      <c r="T967" s="392"/>
      <c r="U967" s="392"/>
      <c r="V967" s="392"/>
      <c r="W967" s="392"/>
      <c r="X967" s="392"/>
      <c r="Y967" s="392"/>
      <c r="Z967" s="392"/>
      <c r="AA967" s="392"/>
      <c r="AB967" s="392"/>
      <c r="AC967" s="392"/>
      <c r="AD967" s="392"/>
      <c r="AE967" s="392"/>
      <c r="AF967" s="392"/>
    </row>
    <row r="968" ht="15.75" customHeight="1">
      <c r="A968" s="216"/>
      <c r="B968" s="156"/>
      <c r="C968" s="156"/>
      <c r="D968" s="156"/>
      <c r="E968" s="392"/>
      <c r="F968" s="392"/>
      <c r="G968" s="392"/>
      <c r="H968" s="392"/>
      <c r="I968" s="392"/>
      <c r="J968" s="392"/>
      <c r="K968" s="392"/>
      <c r="L968" s="392"/>
      <c r="M968" s="392"/>
      <c r="N968" s="392"/>
      <c r="O968" s="392"/>
      <c r="P968" s="392"/>
      <c r="Q968" s="392"/>
      <c r="R968" s="392"/>
      <c r="S968" s="392"/>
      <c r="T968" s="392"/>
      <c r="U968" s="392"/>
      <c r="V968" s="392"/>
      <c r="W968" s="392"/>
      <c r="X968" s="392"/>
      <c r="Y968" s="392"/>
      <c r="Z968" s="392"/>
      <c r="AA968" s="392"/>
      <c r="AB968" s="392"/>
      <c r="AC968" s="392"/>
      <c r="AD968" s="392"/>
      <c r="AE968" s="392"/>
      <c r="AF968" s="392"/>
    </row>
    <row r="969" ht="15.75" customHeight="1">
      <c r="A969" s="216"/>
      <c r="B969" s="156"/>
      <c r="C969" s="156"/>
      <c r="D969" s="156"/>
      <c r="E969" s="392"/>
      <c r="F969" s="392"/>
      <c r="G969" s="392"/>
      <c r="H969" s="392"/>
      <c r="I969" s="392"/>
      <c r="J969" s="392"/>
      <c r="K969" s="392"/>
      <c r="L969" s="392"/>
      <c r="M969" s="392"/>
      <c r="N969" s="392"/>
      <c r="O969" s="392"/>
      <c r="P969" s="392"/>
      <c r="Q969" s="392"/>
      <c r="R969" s="392"/>
      <c r="S969" s="392"/>
      <c r="T969" s="392"/>
      <c r="U969" s="392"/>
      <c r="V969" s="392"/>
      <c r="W969" s="392"/>
      <c r="X969" s="392"/>
      <c r="Y969" s="392"/>
      <c r="Z969" s="392"/>
      <c r="AA969" s="392"/>
      <c r="AB969" s="392"/>
      <c r="AC969" s="392"/>
      <c r="AD969" s="392"/>
      <c r="AE969" s="392"/>
      <c r="AF969" s="392"/>
    </row>
    <row r="970" ht="15.75" customHeight="1">
      <c r="A970" s="216"/>
      <c r="B970" s="156"/>
      <c r="C970" s="156"/>
      <c r="D970" s="156"/>
      <c r="E970" s="392"/>
      <c r="F970" s="392"/>
      <c r="G970" s="392"/>
      <c r="H970" s="392"/>
      <c r="I970" s="392"/>
      <c r="J970" s="392"/>
      <c r="K970" s="392"/>
      <c r="L970" s="392"/>
      <c r="M970" s="392"/>
      <c r="N970" s="392"/>
      <c r="O970" s="392"/>
      <c r="P970" s="392"/>
      <c r="Q970" s="392"/>
      <c r="R970" s="392"/>
      <c r="S970" s="392"/>
      <c r="T970" s="392"/>
      <c r="U970" s="392"/>
      <c r="V970" s="392"/>
      <c r="W970" s="392"/>
      <c r="X970" s="392"/>
      <c r="Y970" s="392"/>
      <c r="Z970" s="392"/>
      <c r="AA970" s="392"/>
      <c r="AB970" s="392"/>
      <c r="AC970" s="392"/>
      <c r="AD970" s="392"/>
      <c r="AE970" s="392"/>
      <c r="AF970" s="392"/>
    </row>
    <row r="971" ht="15.75" customHeight="1">
      <c r="A971" s="216"/>
      <c r="B971" s="156"/>
      <c r="C971" s="156"/>
      <c r="D971" s="156"/>
      <c r="E971" s="392"/>
      <c r="F971" s="392"/>
      <c r="G971" s="392"/>
      <c r="H971" s="392"/>
      <c r="I971" s="392"/>
      <c r="J971" s="392"/>
      <c r="K971" s="392"/>
      <c r="L971" s="392"/>
      <c r="M971" s="392"/>
      <c r="N971" s="392"/>
      <c r="O971" s="392"/>
      <c r="P971" s="392"/>
      <c r="Q971" s="392"/>
      <c r="R971" s="392"/>
      <c r="S971" s="392"/>
      <c r="T971" s="392"/>
      <c r="U971" s="392"/>
      <c r="V971" s="392"/>
      <c r="W971" s="392"/>
      <c r="X971" s="392"/>
      <c r="Y971" s="392"/>
      <c r="Z971" s="392"/>
      <c r="AA971" s="392"/>
      <c r="AB971" s="392"/>
      <c r="AC971" s="392"/>
      <c r="AD971" s="392"/>
      <c r="AE971" s="392"/>
      <c r="AF971" s="392"/>
    </row>
    <row r="972" ht="15.75" customHeight="1">
      <c r="A972" s="216"/>
      <c r="B972" s="156"/>
      <c r="C972" s="156"/>
      <c r="D972" s="156"/>
      <c r="E972" s="392"/>
      <c r="F972" s="392"/>
      <c r="G972" s="392"/>
      <c r="H972" s="392"/>
      <c r="I972" s="392"/>
      <c r="J972" s="392"/>
      <c r="K972" s="392"/>
      <c r="L972" s="392"/>
      <c r="M972" s="392"/>
      <c r="N972" s="392"/>
      <c r="O972" s="392"/>
      <c r="P972" s="392"/>
      <c r="Q972" s="392"/>
      <c r="R972" s="392"/>
      <c r="S972" s="392"/>
      <c r="T972" s="392"/>
      <c r="U972" s="392"/>
      <c r="V972" s="392"/>
      <c r="W972" s="392"/>
      <c r="X972" s="392"/>
      <c r="Y972" s="392"/>
      <c r="Z972" s="392"/>
      <c r="AA972" s="392"/>
      <c r="AB972" s="392"/>
      <c r="AC972" s="392"/>
      <c r="AD972" s="392"/>
      <c r="AE972" s="392"/>
      <c r="AF972" s="392"/>
    </row>
    <row r="973" ht="15.75" customHeight="1">
      <c r="A973" s="216"/>
      <c r="B973" s="156"/>
      <c r="C973" s="156"/>
      <c r="D973" s="156"/>
      <c r="E973" s="392"/>
      <c r="F973" s="392"/>
      <c r="G973" s="392"/>
      <c r="H973" s="392"/>
      <c r="I973" s="392"/>
      <c r="J973" s="392"/>
      <c r="K973" s="392"/>
      <c r="L973" s="392"/>
      <c r="M973" s="392"/>
      <c r="N973" s="392"/>
      <c r="O973" s="392"/>
      <c r="P973" s="392"/>
      <c r="Q973" s="392"/>
      <c r="R973" s="392"/>
      <c r="S973" s="392"/>
      <c r="T973" s="392"/>
      <c r="U973" s="392"/>
      <c r="V973" s="392"/>
      <c r="W973" s="392"/>
      <c r="X973" s="392"/>
      <c r="Y973" s="392"/>
      <c r="Z973" s="392"/>
      <c r="AA973" s="392"/>
      <c r="AB973" s="392"/>
      <c r="AC973" s="392"/>
      <c r="AD973" s="392"/>
      <c r="AE973" s="392"/>
      <c r="AF973" s="392"/>
    </row>
    <row r="974" ht="15.75" customHeight="1">
      <c r="A974" s="216"/>
      <c r="B974" s="156"/>
      <c r="C974" s="156"/>
      <c r="D974" s="156"/>
      <c r="E974" s="392"/>
      <c r="F974" s="392"/>
      <c r="G974" s="392"/>
      <c r="H974" s="392"/>
      <c r="I974" s="392"/>
      <c r="J974" s="392"/>
      <c r="K974" s="392"/>
      <c r="L974" s="392"/>
      <c r="M974" s="392"/>
      <c r="N974" s="392"/>
      <c r="O974" s="392"/>
      <c r="P974" s="392"/>
      <c r="Q974" s="392"/>
      <c r="R974" s="392"/>
      <c r="S974" s="392"/>
      <c r="T974" s="392"/>
      <c r="U974" s="392"/>
      <c r="V974" s="392"/>
      <c r="W974" s="392"/>
      <c r="X974" s="392"/>
      <c r="Y974" s="392"/>
      <c r="Z974" s="392"/>
      <c r="AA974" s="392"/>
      <c r="AB974" s="392"/>
      <c r="AC974" s="392"/>
      <c r="AD974" s="392"/>
      <c r="AE974" s="392"/>
      <c r="AF974" s="392"/>
    </row>
    <row r="975" ht="15.75" customHeight="1">
      <c r="A975" s="216"/>
      <c r="B975" s="156"/>
      <c r="C975" s="156"/>
      <c r="D975" s="156"/>
      <c r="E975" s="392"/>
      <c r="F975" s="392"/>
      <c r="G975" s="392"/>
      <c r="H975" s="392"/>
      <c r="I975" s="392"/>
      <c r="J975" s="392"/>
      <c r="K975" s="392"/>
      <c r="L975" s="392"/>
      <c r="M975" s="392"/>
      <c r="N975" s="392"/>
      <c r="O975" s="392"/>
      <c r="P975" s="392"/>
      <c r="Q975" s="392"/>
      <c r="R975" s="392"/>
      <c r="S975" s="392"/>
      <c r="T975" s="392"/>
      <c r="U975" s="392"/>
      <c r="V975" s="392"/>
      <c r="W975" s="392"/>
      <c r="X975" s="392"/>
      <c r="Y975" s="392"/>
      <c r="Z975" s="392"/>
      <c r="AA975" s="392"/>
      <c r="AB975" s="392"/>
      <c r="AC975" s="392"/>
      <c r="AD975" s="392"/>
      <c r="AE975" s="392"/>
      <c r="AF975" s="392"/>
    </row>
    <row r="976" ht="15.75" customHeight="1">
      <c r="A976" s="216"/>
      <c r="B976" s="156"/>
      <c r="C976" s="156"/>
      <c r="D976" s="156"/>
      <c r="E976" s="392"/>
      <c r="F976" s="392"/>
      <c r="G976" s="392"/>
      <c r="H976" s="392"/>
      <c r="I976" s="392"/>
      <c r="J976" s="392"/>
      <c r="K976" s="392"/>
      <c r="L976" s="392"/>
      <c r="M976" s="392"/>
      <c r="N976" s="392"/>
      <c r="O976" s="392"/>
      <c r="P976" s="392"/>
      <c r="Q976" s="392"/>
      <c r="R976" s="392"/>
      <c r="S976" s="392"/>
      <c r="T976" s="392"/>
      <c r="U976" s="392"/>
      <c r="V976" s="392"/>
      <c r="W976" s="392"/>
      <c r="X976" s="392"/>
      <c r="Y976" s="392"/>
      <c r="Z976" s="392"/>
      <c r="AA976" s="392"/>
      <c r="AB976" s="392"/>
      <c r="AC976" s="392"/>
      <c r="AD976" s="392"/>
      <c r="AE976" s="392"/>
      <c r="AF976" s="392"/>
    </row>
    <row r="977" ht="15.75" customHeight="1">
      <c r="A977" s="216"/>
      <c r="B977" s="156"/>
      <c r="C977" s="156"/>
      <c r="D977" s="156"/>
      <c r="E977" s="392"/>
      <c r="F977" s="392"/>
      <c r="G977" s="392"/>
      <c r="H977" s="392"/>
      <c r="I977" s="392"/>
      <c r="J977" s="392"/>
      <c r="K977" s="392"/>
      <c r="L977" s="392"/>
      <c r="M977" s="392"/>
      <c r="N977" s="392"/>
      <c r="O977" s="392"/>
      <c r="P977" s="392"/>
      <c r="Q977" s="392"/>
      <c r="R977" s="392"/>
      <c r="S977" s="392"/>
      <c r="T977" s="392"/>
      <c r="U977" s="392"/>
      <c r="V977" s="392"/>
      <c r="W977" s="392"/>
      <c r="X977" s="392"/>
      <c r="Y977" s="392"/>
      <c r="Z977" s="392"/>
      <c r="AA977" s="392"/>
      <c r="AB977" s="392"/>
      <c r="AC977" s="392"/>
      <c r="AD977" s="392"/>
      <c r="AE977" s="392"/>
      <c r="AF977" s="392"/>
    </row>
    <row r="978" ht="15.75" customHeight="1">
      <c r="A978" s="216"/>
      <c r="B978" s="156"/>
      <c r="C978" s="156"/>
      <c r="D978" s="156"/>
      <c r="E978" s="392"/>
      <c r="F978" s="392"/>
      <c r="G978" s="392"/>
      <c r="H978" s="392"/>
      <c r="I978" s="392"/>
      <c r="J978" s="392"/>
      <c r="K978" s="392"/>
      <c r="L978" s="392"/>
      <c r="M978" s="392"/>
      <c r="N978" s="392"/>
      <c r="O978" s="392"/>
      <c r="P978" s="392"/>
      <c r="Q978" s="392"/>
      <c r="R978" s="392"/>
      <c r="S978" s="392"/>
      <c r="T978" s="392"/>
      <c r="U978" s="392"/>
      <c r="V978" s="392"/>
      <c r="W978" s="392"/>
      <c r="X978" s="392"/>
      <c r="Y978" s="392"/>
      <c r="Z978" s="392"/>
      <c r="AA978" s="392"/>
      <c r="AB978" s="392"/>
      <c r="AC978" s="392"/>
      <c r="AD978" s="392"/>
      <c r="AE978" s="392"/>
      <c r="AF978" s="392"/>
    </row>
    <row r="979" ht="15.75" customHeight="1">
      <c r="A979" s="216"/>
      <c r="B979" s="156"/>
      <c r="C979" s="156"/>
      <c r="D979" s="156"/>
      <c r="E979" s="392"/>
      <c r="F979" s="392"/>
      <c r="G979" s="392"/>
      <c r="H979" s="392"/>
      <c r="I979" s="392"/>
      <c r="J979" s="392"/>
      <c r="K979" s="392"/>
      <c r="L979" s="392"/>
      <c r="M979" s="392"/>
      <c r="N979" s="392"/>
      <c r="O979" s="392"/>
      <c r="P979" s="392"/>
      <c r="Q979" s="392"/>
      <c r="R979" s="392"/>
      <c r="S979" s="392"/>
      <c r="T979" s="392"/>
      <c r="U979" s="392"/>
      <c r="V979" s="392"/>
      <c r="W979" s="392"/>
      <c r="X979" s="392"/>
      <c r="Y979" s="392"/>
      <c r="Z979" s="392"/>
      <c r="AA979" s="392"/>
      <c r="AB979" s="392"/>
      <c r="AC979" s="392"/>
      <c r="AD979" s="392"/>
      <c r="AE979" s="392"/>
      <c r="AF979" s="392"/>
    </row>
    <row r="980" ht="15.75" customHeight="1">
      <c r="A980" s="216"/>
      <c r="B980" s="156"/>
      <c r="C980" s="156"/>
      <c r="D980" s="156"/>
      <c r="E980" s="392"/>
      <c r="F980" s="392"/>
      <c r="G980" s="392"/>
      <c r="H980" s="392"/>
      <c r="I980" s="392"/>
      <c r="J980" s="392"/>
      <c r="K980" s="392"/>
      <c r="L980" s="392"/>
      <c r="M980" s="392"/>
      <c r="N980" s="392"/>
      <c r="O980" s="392"/>
      <c r="P980" s="392"/>
      <c r="Q980" s="392"/>
      <c r="R980" s="392"/>
      <c r="S980" s="392"/>
      <c r="T980" s="392"/>
      <c r="U980" s="392"/>
      <c r="V980" s="392"/>
      <c r="W980" s="392"/>
      <c r="X980" s="392"/>
      <c r="Y980" s="392"/>
      <c r="Z980" s="392"/>
      <c r="AA980" s="392"/>
      <c r="AB980" s="392"/>
      <c r="AC980" s="392"/>
      <c r="AD980" s="392"/>
      <c r="AE980" s="392"/>
      <c r="AF980" s="392"/>
    </row>
    <row r="981" ht="15.75" customHeight="1">
      <c r="A981" s="216"/>
      <c r="B981" s="156"/>
      <c r="C981" s="156"/>
      <c r="D981" s="156"/>
      <c r="E981" s="392"/>
      <c r="F981" s="392"/>
      <c r="G981" s="392"/>
      <c r="H981" s="392"/>
      <c r="I981" s="392"/>
      <c r="J981" s="392"/>
      <c r="K981" s="392"/>
      <c r="L981" s="392"/>
      <c r="M981" s="392"/>
      <c r="N981" s="392"/>
      <c r="O981" s="392"/>
      <c r="P981" s="392"/>
      <c r="Q981" s="392"/>
      <c r="R981" s="392"/>
      <c r="S981" s="392"/>
      <c r="T981" s="392"/>
      <c r="U981" s="392"/>
      <c r="V981" s="392"/>
      <c r="W981" s="392"/>
      <c r="X981" s="392"/>
      <c r="Y981" s="392"/>
      <c r="Z981" s="392"/>
      <c r="AA981" s="392"/>
      <c r="AB981" s="392"/>
      <c r="AC981" s="392"/>
      <c r="AD981" s="392"/>
      <c r="AE981" s="392"/>
      <c r="AF981" s="392"/>
    </row>
    <row r="982" ht="15.75" customHeight="1">
      <c r="A982" s="216"/>
      <c r="B982" s="156"/>
      <c r="C982" s="156"/>
      <c r="D982" s="156"/>
      <c r="E982" s="392"/>
      <c r="F982" s="392"/>
      <c r="G982" s="392"/>
      <c r="H982" s="392"/>
      <c r="I982" s="392"/>
      <c r="J982" s="392"/>
      <c r="K982" s="392"/>
      <c r="L982" s="392"/>
      <c r="M982" s="392"/>
      <c r="N982" s="392"/>
      <c r="O982" s="392"/>
      <c r="P982" s="392"/>
      <c r="Q982" s="392"/>
      <c r="R982" s="392"/>
      <c r="S982" s="392"/>
      <c r="T982" s="392"/>
      <c r="U982" s="392"/>
      <c r="V982" s="392"/>
      <c r="W982" s="392"/>
      <c r="X982" s="392"/>
      <c r="Y982" s="392"/>
      <c r="Z982" s="392"/>
      <c r="AA982" s="392"/>
      <c r="AB982" s="392"/>
      <c r="AC982" s="392"/>
      <c r="AD982" s="392"/>
      <c r="AE982" s="392"/>
      <c r="AF982" s="392"/>
    </row>
    <row r="983" ht="15.75" customHeight="1">
      <c r="A983" s="216"/>
      <c r="B983" s="156"/>
      <c r="C983" s="156"/>
      <c r="D983" s="156"/>
      <c r="E983" s="392"/>
      <c r="F983" s="392"/>
      <c r="G983" s="392"/>
      <c r="H983" s="392"/>
      <c r="I983" s="392"/>
      <c r="J983" s="392"/>
      <c r="K983" s="392"/>
      <c r="L983" s="392"/>
      <c r="M983" s="392"/>
      <c r="N983" s="392"/>
      <c r="O983" s="392"/>
      <c r="P983" s="392"/>
      <c r="Q983" s="392"/>
      <c r="R983" s="392"/>
      <c r="S983" s="392"/>
      <c r="T983" s="392"/>
      <c r="U983" s="392"/>
      <c r="V983" s="392"/>
      <c r="W983" s="392"/>
      <c r="X983" s="392"/>
      <c r="Y983" s="392"/>
      <c r="Z983" s="392"/>
      <c r="AA983" s="392"/>
      <c r="AB983" s="392"/>
      <c r="AC983" s="392"/>
      <c r="AD983" s="392"/>
      <c r="AE983" s="392"/>
      <c r="AF983" s="392"/>
    </row>
    <row r="984" ht="15.75" customHeight="1">
      <c r="A984" s="216"/>
      <c r="B984" s="156"/>
      <c r="C984" s="156"/>
      <c r="D984" s="156"/>
      <c r="E984" s="392"/>
      <c r="F984" s="392"/>
      <c r="G984" s="392"/>
      <c r="H984" s="392"/>
      <c r="I984" s="392"/>
      <c r="J984" s="392"/>
      <c r="K984" s="392"/>
      <c r="L984" s="392"/>
      <c r="M984" s="392"/>
      <c r="N984" s="392"/>
      <c r="O984" s="392"/>
      <c r="P984" s="392"/>
      <c r="Q984" s="392"/>
      <c r="R984" s="392"/>
      <c r="S984" s="392"/>
      <c r="T984" s="392"/>
      <c r="U984" s="392"/>
      <c r="V984" s="392"/>
      <c r="W984" s="392"/>
      <c r="X984" s="392"/>
      <c r="Y984" s="392"/>
      <c r="Z984" s="392"/>
      <c r="AA984" s="392"/>
      <c r="AB984" s="392"/>
      <c r="AC984" s="392"/>
      <c r="AD984" s="392"/>
      <c r="AE984" s="392"/>
      <c r="AF984" s="392"/>
    </row>
    <row r="985" ht="15.75" customHeight="1">
      <c r="A985" s="216"/>
      <c r="B985" s="156"/>
      <c r="C985" s="156"/>
      <c r="D985" s="156"/>
      <c r="E985" s="392"/>
      <c r="F985" s="392"/>
      <c r="G985" s="392"/>
      <c r="H985" s="392"/>
      <c r="I985" s="392"/>
      <c r="J985" s="392"/>
      <c r="K985" s="392"/>
      <c r="L985" s="392"/>
      <c r="M985" s="392"/>
      <c r="N985" s="392"/>
      <c r="O985" s="392"/>
      <c r="P985" s="392"/>
      <c r="Q985" s="392"/>
      <c r="R985" s="392"/>
      <c r="S985" s="392"/>
      <c r="T985" s="392"/>
      <c r="U985" s="392"/>
      <c r="V985" s="392"/>
      <c r="W985" s="392"/>
      <c r="X985" s="392"/>
      <c r="Y985" s="392"/>
      <c r="Z985" s="392"/>
      <c r="AA985" s="392"/>
      <c r="AB985" s="392"/>
      <c r="AC985" s="392"/>
      <c r="AD985" s="392"/>
      <c r="AE985" s="392"/>
      <c r="AF985" s="392"/>
    </row>
    <row r="986" ht="15.75" customHeight="1">
      <c r="A986" s="216"/>
      <c r="B986" s="156"/>
      <c r="C986" s="156"/>
      <c r="D986" s="156"/>
      <c r="E986" s="392"/>
      <c r="F986" s="392"/>
      <c r="G986" s="392"/>
      <c r="H986" s="392"/>
      <c r="I986" s="392"/>
      <c r="J986" s="392"/>
      <c r="K986" s="392"/>
      <c r="L986" s="392"/>
      <c r="M986" s="392"/>
      <c r="N986" s="392"/>
      <c r="O986" s="392"/>
      <c r="P986" s="392"/>
      <c r="Q986" s="392"/>
      <c r="R986" s="392"/>
      <c r="S986" s="392"/>
      <c r="T986" s="392"/>
      <c r="U986" s="392"/>
      <c r="V986" s="392"/>
      <c r="W986" s="392"/>
      <c r="X986" s="392"/>
      <c r="Y986" s="392"/>
      <c r="Z986" s="392"/>
      <c r="AA986" s="392"/>
      <c r="AB986" s="392"/>
      <c r="AC986" s="392"/>
      <c r="AD986" s="392"/>
      <c r="AE986" s="392"/>
      <c r="AF986" s="392"/>
    </row>
    <row r="987" ht="15.75" customHeight="1">
      <c r="A987" s="216"/>
      <c r="B987" s="156"/>
      <c r="C987" s="156"/>
      <c r="D987" s="156"/>
      <c r="E987" s="392"/>
      <c r="F987" s="392"/>
      <c r="G987" s="392"/>
      <c r="H987" s="392"/>
      <c r="I987" s="392"/>
      <c r="J987" s="392"/>
      <c r="K987" s="392"/>
      <c r="L987" s="392"/>
      <c r="M987" s="392"/>
      <c r="N987" s="392"/>
      <c r="O987" s="392"/>
      <c r="P987" s="392"/>
      <c r="Q987" s="392"/>
      <c r="R987" s="392"/>
      <c r="S987" s="392"/>
      <c r="T987" s="392"/>
      <c r="U987" s="392"/>
      <c r="V987" s="392"/>
      <c r="W987" s="392"/>
      <c r="X987" s="392"/>
      <c r="Y987" s="392"/>
      <c r="Z987" s="392"/>
      <c r="AA987" s="392"/>
      <c r="AB987" s="392"/>
      <c r="AC987" s="392"/>
      <c r="AD987" s="392"/>
      <c r="AE987" s="392"/>
      <c r="AF987" s="392"/>
    </row>
    <row r="988" ht="15.75" customHeight="1">
      <c r="A988" s="216"/>
      <c r="B988" s="156"/>
      <c r="C988" s="156"/>
      <c r="D988" s="156"/>
      <c r="E988" s="392"/>
      <c r="F988" s="392"/>
      <c r="G988" s="392"/>
      <c r="H988" s="392"/>
      <c r="I988" s="392"/>
      <c r="J988" s="392"/>
      <c r="K988" s="392"/>
      <c r="L988" s="392"/>
      <c r="M988" s="392"/>
      <c r="N988" s="392"/>
      <c r="O988" s="392"/>
      <c r="P988" s="392"/>
      <c r="Q988" s="392"/>
      <c r="R988" s="392"/>
      <c r="S988" s="392"/>
      <c r="T988" s="392"/>
      <c r="U988" s="392"/>
      <c r="V988" s="392"/>
      <c r="W988" s="392"/>
      <c r="X988" s="392"/>
      <c r="Y988" s="392"/>
      <c r="Z988" s="392"/>
      <c r="AA988" s="392"/>
      <c r="AB988" s="392"/>
      <c r="AC988" s="392"/>
      <c r="AD988" s="392"/>
      <c r="AE988" s="392"/>
      <c r="AF988" s="392"/>
    </row>
    <row r="989" ht="15.75" customHeight="1">
      <c r="A989" s="216"/>
      <c r="B989" s="156"/>
      <c r="C989" s="156"/>
      <c r="D989" s="156"/>
      <c r="E989" s="392"/>
      <c r="F989" s="392"/>
      <c r="G989" s="392"/>
      <c r="H989" s="392"/>
      <c r="I989" s="392"/>
      <c r="J989" s="392"/>
      <c r="K989" s="392"/>
      <c r="L989" s="392"/>
      <c r="M989" s="392"/>
      <c r="N989" s="392"/>
      <c r="O989" s="392"/>
      <c r="P989" s="392"/>
      <c r="Q989" s="392"/>
      <c r="R989" s="392"/>
      <c r="S989" s="392"/>
      <c r="T989" s="392"/>
      <c r="U989" s="392"/>
      <c r="V989" s="392"/>
      <c r="W989" s="392"/>
      <c r="X989" s="392"/>
      <c r="Y989" s="392"/>
      <c r="Z989" s="392"/>
      <c r="AA989" s="392"/>
      <c r="AB989" s="392"/>
      <c r="AC989" s="392"/>
      <c r="AD989" s="392"/>
      <c r="AE989" s="392"/>
      <c r="AF989" s="392"/>
    </row>
    <row r="990" ht="15.75" customHeight="1">
      <c r="A990" s="216"/>
      <c r="B990" s="156"/>
      <c r="C990" s="156"/>
      <c r="D990" s="156"/>
      <c r="E990" s="392"/>
      <c r="F990" s="392"/>
      <c r="G990" s="392"/>
      <c r="H990" s="392"/>
      <c r="I990" s="392"/>
      <c r="J990" s="392"/>
      <c r="K990" s="392"/>
      <c r="L990" s="392"/>
      <c r="M990" s="392"/>
      <c r="N990" s="392"/>
      <c r="O990" s="392"/>
      <c r="P990" s="392"/>
      <c r="Q990" s="392"/>
      <c r="R990" s="392"/>
      <c r="S990" s="392"/>
      <c r="T990" s="392"/>
      <c r="U990" s="392"/>
      <c r="V990" s="392"/>
      <c r="W990" s="392"/>
      <c r="X990" s="392"/>
      <c r="Y990" s="392"/>
      <c r="Z990" s="392"/>
      <c r="AA990" s="392"/>
      <c r="AB990" s="392"/>
      <c r="AC990" s="392"/>
      <c r="AD990" s="392"/>
      <c r="AE990" s="392"/>
      <c r="AF990" s="392"/>
    </row>
    <row r="991" ht="15.75" customHeight="1">
      <c r="A991" s="216"/>
      <c r="B991" s="156"/>
      <c r="C991" s="156"/>
      <c r="D991" s="156"/>
      <c r="E991" s="392"/>
      <c r="F991" s="392"/>
      <c r="G991" s="392"/>
      <c r="H991" s="392"/>
      <c r="I991" s="392"/>
      <c r="J991" s="392"/>
      <c r="K991" s="392"/>
      <c r="L991" s="392"/>
      <c r="M991" s="392"/>
      <c r="N991" s="392"/>
      <c r="O991" s="392"/>
      <c r="P991" s="392"/>
      <c r="Q991" s="392"/>
      <c r="R991" s="392"/>
      <c r="S991" s="392"/>
      <c r="T991" s="392"/>
      <c r="U991" s="392"/>
      <c r="V991" s="392"/>
      <c r="W991" s="392"/>
      <c r="X991" s="392"/>
      <c r="Y991" s="392"/>
      <c r="Z991" s="392"/>
      <c r="AA991" s="392"/>
      <c r="AB991" s="392"/>
      <c r="AC991" s="392"/>
      <c r="AD991" s="392"/>
      <c r="AE991" s="392"/>
      <c r="AF991" s="392"/>
    </row>
    <row r="992" ht="15.75" customHeight="1">
      <c r="A992" s="216"/>
      <c r="B992" s="156"/>
      <c r="C992" s="156"/>
      <c r="D992" s="156"/>
      <c r="E992" s="392"/>
      <c r="F992" s="392"/>
      <c r="G992" s="392"/>
      <c r="H992" s="392"/>
      <c r="I992" s="392"/>
      <c r="J992" s="392"/>
      <c r="K992" s="392"/>
      <c r="L992" s="392"/>
      <c r="M992" s="392"/>
      <c r="N992" s="392"/>
      <c r="O992" s="392"/>
      <c r="P992" s="392"/>
      <c r="Q992" s="392"/>
      <c r="R992" s="392"/>
      <c r="S992" s="392"/>
      <c r="T992" s="392"/>
      <c r="U992" s="392"/>
      <c r="V992" s="392"/>
      <c r="W992" s="392"/>
      <c r="X992" s="392"/>
      <c r="Y992" s="392"/>
      <c r="Z992" s="392"/>
      <c r="AA992" s="392"/>
      <c r="AB992" s="392"/>
      <c r="AC992" s="392"/>
      <c r="AD992" s="392"/>
      <c r="AE992" s="392"/>
      <c r="AF992" s="392"/>
    </row>
    <row r="993" ht="15.75" customHeight="1">
      <c r="A993" s="216"/>
      <c r="B993" s="156"/>
      <c r="C993" s="156"/>
      <c r="D993" s="156"/>
      <c r="E993" s="392"/>
      <c r="F993" s="392"/>
      <c r="G993" s="392"/>
      <c r="H993" s="392"/>
      <c r="I993" s="392"/>
      <c r="J993" s="392"/>
      <c r="K993" s="392"/>
      <c r="L993" s="392"/>
      <c r="M993" s="392"/>
      <c r="N993" s="392"/>
      <c r="O993" s="392"/>
      <c r="P993" s="392"/>
      <c r="Q993" s="392"/>
      <c r="R993" s="392"/>
      <c r="S993" s="392"/>
      <c r="T993" s="392"/>
      <c r="U993" s="392"/>
      <c r="V993" s="392"/>
      <c r="W993" s="392"/>
      <c r="X993" s="392"/>
      <c r="Y993" s="392"/>
      <c r="Z993" s="392"/>
      <c r="AA993" s="392"/>
      <c r="AB993" s="392"/>
      <c r="AC993" s="392"/>
      <c r="AD993" s="392"/>
      <c r="AE993" s="392"/>
      <c r="AF993" s="392"/>
    </row>
    <row r="994" ht="15.75" customHeight="1">
      <c r="A994" s="216"/>
      <c r="B994" s="156"/>
      <c r="C994" s="156"/>
      <c r="D994" s="156"/>
      <c r="E994" s="392"/>
      <c r="F994" s="392"/>
      <c r="G994" s="392"/>
      <c r="H994" s="392"/>
      <c r="I994" s="392"/>
      <c r="J994" s="392"/>
      <c r="K994" s="392"/>
      <c r="L994" s="392"/>
      <c r="M994" s="392"/>
      <c r="N994" s="392"/>
      <c r="O994" s="392"/>
      <c r="P994" s="392"/>
      <c r="Q994" s="392"/>
      <c r="R994" s="392"/>
      <c r="S994" s="392"/>
      <c r="T994" s="392"/>
      <c r="U994" s="392"/>
      <c r="V994" s="392"/>
      <c r="W994" s="392"/>
      <c r="X994" s="392"/>
      <c r="Y994" s="392"/>
      <c r="Z994" s="392"/>
      <c r="AA994" s="392"/>
      <c r="AB994" s="392"/>
      <c r="AC994" s="392"/>
      <c r="AD994" s="392"/>
      <c r="AE994" s="392"/>
      <c r="AF994" s="392"/>
    </row>
    <row r="995" ht="15.75" customHeight="1">
      <c r="A995" s="216"/>
      <c r="B995" s="156"/>
      <c r="C995" s="156"/>
      <c r="D995" s="156"/>
      <c r="E995" s="392"/>
      <c r="F995" s="392"/>
      <c r="G995" s="392"/>
      <c r="H995" s="392"/>
      <c r="I995" s="392"/>
      <c r="J995" s="392"/>
      <c r="K995" s="392"/>
      <c r="L995" s="392"/>
      <c r="M995" s="392"/>
      <c r="N995" s="392"/>
      <c r="O995" s="392"/>
      <c r="P995" s="392"/>
      <c r="Q995" s="392"/>
      <c r="R995" s="392"/>
      <c r="S995" s="392"/>
      <c r="T995" s="392"/>
      <c r="U995" s="392"/>
      <c r="V995" s="392"/>
      <c r="W995" s="392"/>
      <c r="X995" s="392"/>
      <c r="Y995" s="392"/>
      <c r="Z995" s="392"/>
      <c r="AA995" s="392"/>
      <c r="AB995" s="392"/>
      <c r="AC995" s="392"/>
      <c r="AD995" s="392"/>
      <c r="AE995" s="392"/>
      <c r="AF995" s="392"/>
    </row>
    <row r="996" ht="15.75" customHeight="1">
      <c r="A996" s="216"/>
      <c r="B996" s="156"/>
      <c r="C996" s="156"/>
      <c r="D996" s="156"/>
      <c r="E996" s="392"/>
      <c r="F996" s="392"/>
      <c r="G996" s="392"/>
      <c r="H996" s="392"/>
      <c r="I996" s="392"/>
      <c r="J996" s="392"/>
      <c r="K996" s="392"/>
      <c r="L996" s="392"/>
      <c r="M996" s="392"/>
      <c r="N996" s="392"/>
      <c r="O996" s="392"/>
      <c r="P996" s="392"/>
      <c r="Q996" s="392"/>
      <c r="R996" s="392"/>
      <c r="S996" s="392"/>
      <c r="T996" s="392"/>
      <c r="U996" s="392"/>
      <c r="V996" s="392"/>
      <c r="W996" s="392"/>
      <c r="X996" s="392"/>
      <c r="Y996" s="392"/>
      <c r="Z996" s="392"/>
      <c r="AA996" s="392"/>
      <c r="AB996" s="392"/>
      <c r="AC996" s="392"/>
      <c r="AD996" s="392"/>
      <c r="AE996" s="392"/>
      <c r="AF996" s="392"/>
    </row>
    <row r="997" ht="15.75" customHeight="1">
      <c r="A997" s="216"/>
      <c r="B997" s="156"/>
      <c r="C997" s="156"/>
      <c r="D997" s="156"/>
      <c r="E997" s="392"/>
      <c r="F997" s="392"/>
      <c r="G997" s="392"/>
      <c r="H997" s="392"/>
      <c r="I997" s="392"/>
      <c r="J997" s="392"/>
      <c r="K997" s="392"/>
      <c r="L997" s="392"/>
      <c r="M997" s="392"/>
      <c r="N997" s="392"/>
      <c r="O997" s="392"/>
      <c r="P997" s="392"/>
      <c r="Q997" s="392"/>
      <c r="R997" s="392"/>
      <c r="S997" s="392"/>
      <c r="T997" s="392"/>
      <c r="U997" s="392"/>
      <c r="V997" s="392"/>
      <c r="W997" s="392"/>
      <c r="X997" s="392"/>
      <c r="Y997" s="392"/>
      <c r="Z997" s="392"/>
      <c r="AA997" s="392"/>
      <c r="AB997" s="392"/>
      <c r="AC997" s="392"/>
      <c r="AD997" s="392"/>
      <c r="AE997" s="392"/>
      <c r="AF997" s="392"/>
    </row>
    <row r="998" ht="15.75" customHeight="1">
      <c r="A998" s="216"/>
      <c r="B998" s="156"/>
      <c r="C998" s="156"/>
      <c r="D998" s="156"/>
      <c r="E998" s="392"/>
      <c r="F998" s="392"/>
      <c r="G998" s="392"/>
      <c r="H998" s="392"/>
      <c r="I998" s="392"/>
      <c r="J998" s="392"/>
      <c r="K998" s="392"/>
      <c r="L998" s="392"/>
      <c r="M998" s="392"/>
      <c r="N998" s="392"/>
      <c r="O998" s="392"/>
      <c r="P998" s="392"/>
      <c r="Q998" s="392"/>
      <c r="R998" s="392"/>
      <c r="S998" s="392"/>
      <c r="T998" s="392"/>
      <c r="U998" s="392"/>
      <c r="V998" s="392"/>
      <c r="W998" s="392"/>
      <c r="X998" s="392"/>
      <c r="Y998" s="392"/>
      <c r="Z998" s="392"/>
      <c r="AA998" s="392"/>
      <c r="AB998" s="392"/>
      <c r="AC998" s="392"/>
      <c r="AD998" s="392"/>
      <c r="AE998" s="392"/>
      <c r="AF998" s="392"/>
    </row>
    <row r="999" ht="15.75" customHeight="1">
      <c r="A999" s="216"/>
      <c r="B999" s="156"/>
      <c r="C999" s="156"/>
      <c r="D999" s="156"/>
      <c r="E999" s="392"/>
      <c r="F999" s="392"/>
      <c r="G999" s="392"/>
      <c r="H999" s="392"/>
      <c r="I999" s="392"/>
      <c r="J999" s="392"/>
      <c r="K999" s="392"/>
      <c r="L999" s="392"/>
      <c r="M999" s="392"/>
      <c r="N999" s="392"/>
      <c r="O999" s="392"/>
      <c r="P999" s="392"/>
      <c r="Q999" s="392"/>
      <c r="R999" s="392"/>
      <c r="S999" s="392"/>
      <c r="T999" s="392"/>
      <c r="U999" s="392"/>
      <c r="V999" s="392"/>
      <c r="W999" s="392"/>
      <c r="X999" s="392"/>
      <c r="Y999" s="392"/>
      <c r="Z999" s="392"/>
      <c r="AA999" s="392"/>
      <c r="AB999" s="392"/>
      <c r="AC999" s="392"/>
      <c r="AD999" s="392"/>
      <c r="AE999" s="392"/>
      <c r="AF999" s="392"/>
    </row>
    <row r="1000" ht="15.75" customHeight="1">
      <c r="A1000" s="216"/>
      <c r="B1000" s="156"/>
      <c r="C1000" s="156"/>
      <c r="D1000" s="156"/>
      <c r="E1000" s="392"/>
      <c r="F1000" s="392"/>
      <c r="G1000" s="392"/>
      <c r="H1000" s="392"/>
      <c r="I1000" s="392"/>
      <c r="J1000" s="392"/>
      <c r="K1000" s="392"/>
      <c r="L1000" s="392"/>
      <c r="M1000" s="392"/>
      <c r="N1000" s="392"/>
      <c r="O1000" s="392"/>
      <c r="P1000" s="392"/>
      <c r="Q1000" s="392"/>
      <c r="R1000" s="392"/>
      <c r="S1000" s="392"/>
      <c r="T1000" s="392"/>
      <c r="U1000" s="392"/>
      <c r="V1000" s="392"/>
      <c r="W1000" s="392"/>
      <c r="X1000" s="392"/>
      <c r="Y1000" s="392"/>
      <c r="Z1000" s="392"/>
      <c r="AA1000" s="392"/>
      <c r="AB1000" s="392"/>
      <c r="AC1000" s="392"/>
      <c r="AD1000" s="392"/>
      <c r="AE1000" s="392"/>
      <c r="AF1000" s="392"/>
    </row>
    <row r="1001" ht="15.75" customHeight="1">
      <c r="A1001" s="216"/>
      <c r="B1001" s="156"/>
      <c r="C1001" s="156"/>
      <c r="D1001" s="156"/>
      <c r="E1001" s="392"/>
      <c r="F1001" s="392"/>
      <c r="G1001" s="392"/>
      <c r="H1001" s="392"/>
      <c r="I1001" s="392"/>
      <c r="J1001" s="392"/>
      <c r="K1001" s="392"/>
      <c r="L1001" s="392"/>
      <c r="M1001" s="392"/>
      <c r="N1001" s="392"/>
      <c r="O1001" s="392"/>
      <c r="P1001" s="392"/>
      <c r="Q1001" s="392"/>
      <c r="R1001" s="392"/>
      <c r="S1001" s="392"/>
      <c r="T1001" s="392"/>
      <c r="U1001" s="392"/>
      <c r="V1001" s="392"/>
      <c r="W1001" s="392"/>
      <c r="X1001" s="392"/>
      <c r="Y1001" s="392"/>
      <c r="Z1001" s="392"/>
      <c r="AA1001" s="392"/>
      <c r="AB1001" s="392"/>
      <c r="AC1001" s="392"/>
      <c r="AD1001" s="392"/>
      <c r="AE1001" s="392"/>
      <c r="AF1001" s="392"/>
    </row>
    <row r="1002" ht="15.75" customHeight="1">
      <c r="A1002" s="216"/>
      <c r="B1002" s="156"/>
      <c r="C1002" s="156"/>
      <c r="D1002" s="156"/>
      <c r="E1002" s="392"/>
      <c r="F1002" s="392"/>
      <c r="G1002" s="392"/>
      <c r="H1002" s="392"/>
      <c r="I1002" s="392"/>
      <c r="J1002" s="392"/>
      <c r="K1002" s="392"/>
      <c r="L1002" s="392"/>
      <c r="M1002" s="392"/>
      <c r="N1002" s="392"/>
      <c r="O1002" s="392"/>
      <c r="P1002" s="392"/>
      <c r="Q1002" s="392"/>
      <c r="R1002" s="392"/>
      <c r="S1002" s="392"/>
      <c r="T1002" s="392"/>
      <c r="U1002" s="392"/>
      <c r="V1002" s="392"/>
      <c r="W1002" s="392"/>
      <c r="X1002" s="392"/>
      <c r="Y1002" s="392"/>
      <c r="Z1002" s="392"/>
      <c r="AA1002" s="392"/>
      <c r="AB1002" s="392"/>
      <c r="AC1002" s="392"/>
      <c r="AD1002" s="392"/>
      <c r="AE1002" s="392"/>
      <c r="AF1002" s="392"/>
    </row>
    <row r="1003" ht="15.75" customHeight="1">
      <c r="A1003" s="216"/>
      <c r="B1003" s="156"/>
      <c r="C1003" s="156"/>
      <c r="D1003" s="156"/>
      <c r="E1003" s="392"/>
      <c r="F1003" s="392"/>
      <c r="G1003" s="392"/>
      <c r="H1003" s="392"/>
      <c r="I1003" s="392"/>
      <c r="J1003" s="392"/>
      <c r="K1003" s="392"/>
      <c r="L1003" s="392"/>
      <c r="M1003" s="392"/>
      <c r="N1003" s="392"/>
      <c r="O1003" s="392"/>
      <c r="P1003" s="392"/>
      <c r="Q1003" s="392"/>
      <c r="R1003" s="392"/>
      <c r="S1003" s="392"/>
      <c r="T1003" s="392"/>
      <c r="U1003" s="392"/>
      <c r="V1003" s="392"/>
      <c r="W1003" s="392"/>
      <c r="X1003" s="392"/>
      <c r="Y1003" s="392"/>
      <c r="Z1003" s="392"/>
      <c r="AA1003" s="392"/>
      <c r="AB1003" s="392"/>
      <c r="AC1003" s="392"/>
      <c r="AD1003" s="392"/>
      <c r="AE1003" s="392"/>
      <c r="AF1003" s="392"/>
    </row>
    <row r="1004" ht="15.75" customHeight="1">
      <c r="A1004" s="216"/>
      <c r="B1004" s="156"/>
      <c r="C1004" s="156"/>
      <c r="D1004" s="156"/>
      <c r="E1004" s="392"/>
      <c r="F1004" s="392"/>
      <c r="G1004" s="392"/>
      <c r="H1004" s="392"/>
      <c r="I1004" s="392"/>
      <c r="J1004" s="392"/>
      <c r="K1004" s="392"/>
      <c r="L1004" s="392"/>
      <c r="M1004" s="392"/>
      <c r="N1004" s="392"/>
      <c r="O1004" s="392"/>
      <c r="P1004" s="392"/>
      <c r="Q1004" s="392"/>
      <c r="R1004" s="392"/>
      <c r="S1004" s="392"/>
      <c r="T1004" s="392"/>
      <c r="U1004" s="392"/>
      <c r="V1004" s="392"/>
      <c r="W1004" s="392"/>
      <c r="X1004" s="392"/>
      <c r="Y1004" s="392"/>
      <c r="Z1004" s="392"/>
      <c r="AA1004" s="392"/>
      <c r="AB1004" s="392"/>
      <c r="AC1004" s="392"/>
      <c r="AD1004" s="392"/>
      <c r="AE1004" s="392"/>
      <c r="AF1004" s="392"/>
    </row>
    <row r="1005" ht="15.75" customHeight="1">
      <c r="A1005" s="216"/>
      <c r="B1005" s="156"/>
      <c r="C1005" s="156"/>
      <c r="D1005" s="156"/>
      <c r="E1005" s="392"/>
      <c r="F1005" s="392"/>
      <c r="G1005" s="392"/>
      <c r="H1005" s="392"/>
      <c r="I1005" s="392"/>
      <c r="J1005" s="392"/>
      <c r="K1005" s="392"/>
      <c r="L1005" s="392"/>
      <c r="M1005" s="392"/>
      <c r="N1005" s="392"/>
      <c r="O1005" s="392"/>
      <c r="P1005" s="392"/>
      <c r="Q1005" s="392"/>
      <c r="R1005" s="392"/>
      <c r="S1005" s="392"/>
      <c r="T1005" s="392"/>
      <c r="U1005" s="392"/>
      <c r="V1005" s="392"/>
      <c r="W1005" s="392"/>
      <c r="X1005" s="392"/>
      <c r="Y1005" s="392"/>
      <c r="Z1005" s="392"/>
      <c r="AA1005" s="392"/>
      <c r="AB1005" s="392"/>
      <c r="AC1005" s="392"/>
      <c r="AD1005" s="392"/>
      <c r="AE1005" s="392"/>
      <c r="AF1005" s="392"/>
    </row>
    <row r="1006" ht="15.75" customHeight="1">
      <c r="A1006" s="216"/>
      <c r="B1006" s="156"/>
      <c r="C1006" s="156"/>
      <c r="D1006" s="156"/>
      <c r="E1006" s="392"/>
      <c r="F1006" s="392"/>
      <c r="G1006" s="392"/>
      <c r="H1006" s="392"/>
      <c r="I1006" s="392"/>
      <c r="J1006" s="392"/>
      <c r="K1006" s="392"/>
      <c r="L1006" s="392"/>
      <c r="M1006" s="392"/>
      <c r="N1006" s="392"/>
      <c r="O1006" s="392"/>
      <c r="P1006" s="392"/>
      <c r="Q1006" s="392"/>
      <c r="R1006" s="392"/>
      <c r="S1006" s="392"/>
      <c r="T1006" s="392"/>
      <c r="U1006" s="392"/>
      <c r="V1006" s="392"/>
      <c r="W1006" s="392"/>
      <c r="X1006" s="392"/>
      <c r="Y1006" s="392"/>
      <c r="Z1006" s="392"/>
      <c r="AA1006" s="392"/>
      <c r="AB1006" s="392"/>
      <c r="AC1006" s="392"/>
      <c r="AD1006" s="392"/>
      <c r="AE1006" s="392"/>
      <c r="AF1006" s="392"/>
    </row>
    <row r="1007" ht="15.75" customHeight="1">
      <c r="A1007" s="216"/>
      <c r="B1007" s="156"/>
      <c r="C1007" s="156"/>
      <c r="D1007" s="156"/>
      <c r="E1007" s="392"/>
      <c r="F1007" s="392"/>
      <c r="G1007" s="392"/>
      <c r="H1007" s="392"/>
      <c r="I1007" s="392"/>
      <c r="J1007" s="392"/>
      <c r="K1007" s="392"/>
      <c r="L1007" s="392"/>
      <c r="M1007" s="392"/>
      <c r="N1007" s="392"/>
      <c r="O1007" s="392"/>
      <c r="P1007" s="392"/>
      <c r="Q1007" s="392"/>
      <c r="R1007" s="392"/>
      <c r="S1007" s="392"/>
      <c r="T1007" s="392"/>
      <c r="U1007" s="392"/>
      <c r="V1007" s="392"/>
      <c r="W1007" s="392"/>
      <c r="X1007" s="392"/>
      <c r="Y1007" s="392"/>
      <c r="Z1007" s="392"/>
      <c r="AA1007" s="392"/>
      <c r="AB1007" s="392"/>
      <c r="AC1007" s="392"/>
      <c r="AD1007" s="392"/>
      <c r="AE1007" s="392"/>
      <c r="AF1007" s="392"/>
    </row>
  </sheetData>
  <mergeCells count="2">
    <mergeCell ref="P7:R7"/>
    <mergeCell ref="P8:R8"/>
  </mergeCells>
  <conditionalFormatting sqref="D1:D6">
    <cfRule type="containsText" dxfId="2" priority="1" operator="containsText" text="squat">
      <formula>NOT(ISERROR(SEARCH(("squat"),(D1))))</formula>
    </cfRule>
  </conditionalFormatting>
  <conditionalFormatting sqref="D1:D6">
    <cfRule type="containsText" dxfId="3" priority="2" operator="containsText" text="bench press">
      <formula>NOT(ISERROR(SEARCH(("bench press"),(D1))))</formula>
    </cfRule>
  </conditionalFormatting>
  <conditionalFormatting sqref="D1:D6">
    <cfRule type="containsText" dxfId="4" priority="3" operator="containsText" text="deadlift">
      <formula>NOT(ISERROR(SEARCH(("deadlift"),(D1))))</formula>
    </cfRule>
  </conditionalFormatting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.0"/>
    <col customWidth="1" min="2" max="2" width="2.38"/>
    <col customWidth="1" min="3" max="3" width="1.0"/>
    <col customWidth="1" min="4" max="4" width="5.25"/>
    <col customWidth="1" min="5" max="14" width="9.0"/>
    <col customWidth="1" min="15" max="15" width="3.13"/>
    <col customWidth="1" min="16" max="16" width="10.75"/>
    <col customWidth="1" min="17" max="72" width="9.0"/>
  </cols>
  <sheetData>
    <row r="1" ht="5.2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3"/>
      <c r="L1" s="3"/>
      <c r="M1" s="3"/>
      <c r="N1" s="3"/>
      <c r="O1" s="3"/>
      <c r="P1" s="4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</row>
    <row r="2" ht="13.5" customHeight="1">
      <c r="A2" s="381"/>
      <c r="B2" s="6"/>
      <c r="C2" s="7"/>
      <c r="D2" s="7"/>
      <c r="E2" s="7"/>
      <c r="F2" s="7"/>
      <c r="G2" s="7"/>
      <c r="H2" s="7"/>
      <c r="I2" s="7"/>
      <c r="J2" s="7"/>
      <c r="K2" s="8"/>
      <c r="L2" s="8"/>
      <c r="M2" s="8"/>
      <c r="N2" s="8"/>
      <c r="O2" s="8"/>
      <c r="P2" s="9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</row>
    <row r="3" ht="5.25" customHeight="1">
      <c r="A3" s="26"/>
      <c r="B3" s="13"/>
      <c r="C3" s="12"/>
      <c r="D3" s="12"/>
      <c r="E3" s="12"/>
      <c r="F3" s="12"/>
      <c r="G3" s="12"/>
      <c r="H3" s="12"/>
      <c r="I3" s="12"/>
      <c r="J3" s="12"/>
      <c r="K3" s="3"/>
      <c r="L3" s="3"/>
      <c r="M3" s="3"/>
      <c r="N3" s="3"/>
      <c r="O3" s="3"/>
      <c r="P3" s="4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</row>
    <row r="4" ht="18.75" customHeight="1">
      <c r="A4" s="26"/>
      <c r="B4" s="13"/>
      <c r="C4" s="12"/>
      <c r="D4" s="14"/>
      <c r="E4" s="14"/>
      <c r="F4" s="14"/>
      <c r="G4" s="14"/>
      <c r="H4" s="14"/>
      <c r="I4" s="14"/>
      <c r="J4" s="14"/>
      <c r="K4" s="15"/>
      <c r="L4" s="15"/>
      <c r="M4" s="15"/>
      <c r="N4" s="15"/>
      <c r="O4" s="15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</row>
    <row r="5" ht="5.25" customHeight="1">
      <c r="A5" s="26"/>
      <c r="B5" s="13"/>
      <c r="C5" s="12"/>
      <c r="D5" s="12"/>
      <c r="E5" s="12"/>
      <c r="F5" s="19"/>
      <c r="G5" s="19"/>
      <c r="H5" s="19"/>
      <c r="I5" s="19"/>
      <c r="J5" s="12"/>
      <c r="K5" s="3"/>
      <c r="L5" s="3"/>
      <c r="M5" s="3"/>
      <c r="N5" s="3"/>
      <c r="O5" s="3"/>
      <c r="P5" s="4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</row>
    <row r="6" ht="22.5" customHeight="1">
      <c r="A6" s="26"/>
      <c r="B6" s="13"/>
      <c r="C6" s="12"/>
      <c r="D6" s="20"/>
      <c r="E6" s="20"/>
      <c r="F6" s="21"/>
      <c r="G6" s="21"/>
      <c r="H6" s="21"/>
      <c r="I6" s="21"/>
      <c r="J6" s="20"/>
      <c r="K6" s="22"/>
      <c r="L6" s="22"/>
      <c r="M6" s="22"/>
      <c r="N6" s="22"/>
      <c r="O6" s="22"/>
      <c r="P6" s="23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</row>
    <row r="7" ht="5.25" customHeight="1">
      <c r="A7" s="382"/>
      <c r="B7" s="383"/>
      <c r="C7" s="382"/>
      <c r="D7" s="412"/>
      <c r="E7" s="413"/>
      <c r="F7" s="413"/>
      <c r="G7" s="413"/>
      <c r="H7" s="413"/>
      <c r="I7" s="413"/>
      <c r="J7" s="413"/>
      <c r="K7" s="413"/>
      <c r="L7" s="413"/>
      <c r="M7" s="413"/>
      <c r="N7" s="413"/>
      <c r="O7" s="156"/>
      <c r="P7" s="388"/>
      <c r="S7" s="388"/>
      <c r="T7" s="388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  <c r="BL7" s="385"/>
      <c r="BM7" s="385"/>
      <c r="BN7" s="385"/>
      <c r="BO7" s="385"/>
      <c r="BP7" s="385"/>
      <c r="BQ7" s="385"/>
      <c r="BR7" s="385"/>
      <c r="BS7" s="385"/>
      <c r="BT7" s="385"/>
    </row>
    <row r="8" ht="14.25" customHeight="1">
      <c r="A8" s="382"/>
      <c r="B8" s="383"/>
      <c r="C8" s="382"/>
      <c r="D8" s="414" t="s">
        <v>137</v>
      </c>
      <c r="E8" s="415" t="s">
        <v>138</v>
      </c>
      <c r="F8" s="416"/>
      <c r="G8" s="416"/>
      <c r="H8" s="417"/>
      <c r="I8" s="418"/>
      <c r="J8" s="419"/>
      <c r="K8" s="420" t="s">
        <v>137</v>
      </c>
      <c r="L8" s="421" t="s">
        <v>139</v>
      </c>
      <c r="M8" s="416"/>
      <c r="N8" s="416"/>
      <c r="O8" s="417"/>
      <c r="P8" s="422"/>
      <c r="Q8" s="419"/>
      <c r="R8" s="414" t="s">
        <v>137</v>
      </c>
      <c r="S8" s="415" t="s">
        <v>138</v>
      </c>
      <c r="T8" s="416"/>
      <c r="U8" s="416"/>
      <c r="V8" s="417"/>
      <c r="W8" s="418"/>
      <c r="X8" s="419"/>
      <c r="Y8" s="420" t="s">
        <v>137</v>
      </c>
      <c r="Z8" s="421" t="s">
        <v>139</v>
      </c>
      <c r="AA8" s="416"/>
      <c r="AB8" s="416"/>
      <c r="AC8" s="417"/>
      <c r="AD8" s="422"/>
      <c r="AE8" s="419"/>
      <c r="AF8" s="414" t="s">
        <v>137</v>
      </c>
      <c r="AG8" s="415" t="s">
        <v>138</v>
      </c>
      <c r="AH8" s="416"/>
      <c r="AI8" s="416"/>
      <c r="AJ8" s="417"/>
      <c r="AK8" s="418"/>
      <c r="AL8" s="419"/>
      <c r="AM8" s="420" t="s">
        <v>137</v>
      </c>
      <c r="AN8" s="421" t="s">
        <v>139</v>
      </c>
      <c r="AO8" s="416"/>
      <c r="AP8" s="416"/>
      <c r="AQ8" s="417"/>
      <c r="AR8" s="422"/>
      <c r="AS8" s="419"/>
      <c r="AT8" s="414" t="s">
        <v>137</v>
      </c>
      <c r="AU8" s="415" t="s">
        <v>138</v>
      </c>
      <c r="AV8" s="416"/>
      <c r="AW8" s="416"/>
      <c r="AX8" s="417"/>
      <c r="AY8" s="418"/>
      <c r="AZ8" s="419"/>
      <c r="BA8" s="420" t="s">
        <v>137</v>
      </c>
      <c r="BB8" s="421" t="s">
        <v>139</v>
      </c>
      <c r="BC8" s="416"/>
      <c r="BD8" s="416"/>
      <c r="BE8" s="417"/>
      <c r="BF8" s="422"/>
      <c r="BG8" s="419"/>
      <c r="BH8" s="414" t="s">
        <v>137</v>
      </c>
      <c r="BI8" s="415" t="s">
        <v>138</v>
      </c>
      <c r="BJ8" s="416"/>
      <c r="BK8" s="416"/>
      <c r="BL8" s="417"/>
      <c r="BM8" s="418"/>
      <c r="BN8" s="419"/>
      <c r="BO8" s="420" t="s">
        <v>137</v>
      </c>
      <c r="BP8" s="421" t="s">
        <v>139</v>
      </c>
      <c r="BQ8" s="416"/>
      <c r="BR8" s="416"/>
      <c r="BS8" s="417"/>
      <c r="BT8" s="422"/>
    </row>
    <row r="9" ht="14.25" customHeight="1">
      <c r="A9" s="384"/>
      <c r="B9" s="389"/>
      <c r="C9" s="384"/>
      <c r="D9" s="423"/>
      <c r="E9" s="424"/>
      <c r="F9" s="425"/>
      <c r="G9" s="425"/>
      <c r="H9" s="426"/>
      <c r="I9" s="418" t="s">
        <v>140</v>
      </c>
      <c r="J9" s="419"/>
      <c r="K9" s="423"/>
      <c r="L9" s="424"/>
      <c r="M9" s="425"/>
      <c r="N9" s="425"/>
      <c r="O9" s="426"/>
      <c r="P9" s="422" t="s">
        <v>140</v>
      </c>
      <c r="Q9" s="419"/>
      <c r="R9" s="423"/>
      <c r="S9" s="424"/>
      <c r="T9" s="425"/>
      <c r="U9" s="425"/>
      <c r="V9" s="426"/>
      <c r="W9" s="418" t="s">
        <v>140</v>
      </c>
      <c r="X9" s="419"/>
      <c r="Y9" s="423"/>
      <c r="Z9" s="424"/>
      <c r="AA9" s="425"/>
      <c r="AB9" s="425"/>
      <c r="AC9" s="426"/>
      <c r="AD9" s="422" t="s">
        <v>140</v>
      </c>
      <c r="AE9" s="419"/>
      <c r="AF9" s="423"/>
      <c r="AG9" s="424"/>
      <c r="AH9" s="425"/>
      <c r="AI9" s="425"/>
      <c r="AJ9" s="426"/>
      <c r="AK9" s="418" t="s">
        <v>140</v>
      </c>
      <c r="AL9" s="419"/>
      <c r="AM9" s="423"/>
      <c r="AN9" s="424"/>
      <c r="AO9" s="425"/>
      <c r="AP9" s="425"/>
      <c r="AQ9" s="426"/>
      <c r="AR9" s="422" t="s">
        <v>140</v>
      </c>
      <c r="AS9" s="419"/>
      <c r="AT9" s="423"/>
      <c r="AU9" s="424"/>
      <c r="AV9" s="425"/>
      <c r="AW9" s="425"/>
      <c r="AX9" s="426"/>
      <c r="AY9" s="418" t="s">
        <v>140</v>
      </c>
      <c r="AZ9" s="419"/>
      <c r="BA9" s="423"/>
      <c r="BB9" s="424"/>
      <c r="BC9" s="425"/>
      <c r="BD9" s="425"/>
      <c r="BE9" s="426"/>
      <c r="BF9" s="422" t="s">
        <v>140</v>
      </c>
      <c r="BG9" s="419"/>
      <c r="BH9" s="423"/>
      <c r="BI9" s="424"/>
      <c r="BJ9" s="425"/>
      <c r="BK9" s="425"/>
      <c r="BL9" s="426"/>
      <c r="BM9" s="418" t="s">
        <v>140</v>
      </c>
      <c r="BN9" s="419"/>
      <c r="BO9" s="423"/>
      <c r="BP9" s="424"/>
      <c r="BQ9" s="425"/>
      <c r="BR9" s="425"/>
      <c r="BS9" s="426"/>
      <c r="BT9" s="422" t="s">
        <v>140</v>
      </c>
    </row>
    <row r="10" ht="14.25" customHeight="1">
      <c r="A10" s="384"/>
      <c r="B10" s="389"/>
      <c r="C10" s="384"/>
      <c r="D10" s="427">
        <v>20.0</v>
      </c>
      <c r="E10" s="427"/>
      <c r="F10" s="427"/>
      <c r="G10" s="427"/>
      <c r="H10" s="427"/>
      <c r="I10" s="427">
        <f t="shared" ref="I10:I41" si="1">MROUND(D10*2.2046,0.1)</f>
        <v>44.1</v>
      </c>
      <c r="J10" s="419"/>
      <c r="K10" s="427">
        <v>25.0</v>
      </c>
      <c r="L10" s="427"/>
      <c r="M10" s="427"/>
      <c r="N10" s="427"/>
      <c r="O10" s="427"/>
      <c r="P10" s="427">
        <f t="shared" ref="P10:P39" si="2">MROUND(K10*2.2046,0.1)</f>
        <v>55.1</v>
      </c>
      <c r="Q10" s="419"/>
      <c r="R10" s="427">
        <v>100.0</v>
      </c>
      <c r="S10" s="428">
        <v>25.0</v>
      </c>
      <c r="T10" s="429">
        <v>15.0</v>
      </c>
      <c r="U10" s="427"/>
      <c r="V10" s="427"/>
      <c r="W10" s="427">
        <f t="shared" ref="W10:W49" si="3">MROUND(R10*2.2046,0.1)</f>
        <v>220.5</v>
      </c>
      <c r="X10" s="419"/>
      <c r="Y10" s="427">
        <v>100.0</v>
      </c>
      <c r="Z10" s="428">
        <v>25.0</v>
      </c>
      <c r="AA10" s="430">
        <v>10.0</v>
      </c>
      <c r="AB10" s="431">
        <v>2.5</v>
      </c>
      <c r="AC10" s="427"/>
      <c r="AD10" s="427">
        <f t="shared" ref="AD10:AD49" si="4">MROUND(Y10*2.2046,0.1)</f>
        <v>220.5</v>
      </c>
      <c r="AE10" s="419"/>
      <c r="AF10" s="427">
        <v>200.0</v>
      </c>
      <c r="AG10" s="428" t="s">
        <v>141</v>
      </c>
      <c r="AH10" s="429">
        <v>15.0</v>
      </c>
      <c r="AI10" s="427"/>
      <c r="AJ10" s="427"/>
      <c r="AK10" s="427">
        <f t="shared" ref="AK10:AK49" si="5">MROUND(AF10*2.2046,0.1)</f>
        <v>440.9</v>
      </c>
      <c r="AL10" s="419"/>
      <c r="AM10" s="427">
        <v>200.0</v>
      </c>
      <c r="AN10" s="428" t="s">
        <v>141</v>
      </c>
      <c r="AO10" s="430">
        <v>10.0</v>
      </c>
      <c r="AP10" s="431">
        <v>2.5</v>
      </c>
      <c r="AQ10" s="427"/>
      <c r="AR10" s="427">
        <f t="shared" ref="AR10:AR49" si="6">MROUND(AM10*2.2046,0.1)</f>
        <v>440.9</v>
      </c>
      <c r="AS10" s="419"/>
      <c r="AT10" s="427">
        <v>300.0</v>
      </c>
      <c r="AU10" s="428" t="s">
        <v>142</v>
      </c>
      <c r="AV10" s="429">
        <v>15.0</v>
      </c>
      <c r="AW10" s="427"/>
      <c r="AX10" s="427"/>
      <c r="AY10" s="427">
        <f t="shared" ref="AY10:AY49" si="7">MROUND(AT10*2.2046,0.1)</f>
        <v>661.4</v>
      </c>
      <c r="AZ10" s="419"/>
      <c r="BA10" s="427">
        <v>300.0</v>
      </c>
      <c r="BB10" s="428" t="s">
        <v>142</v>
      </c>
      <c r="BC10" s="430">
        <v>10.0</v>
      </c>
      <c r="BD10" s="431">
        <v>2.5</v>
      </c>
      <c r="BE10" s="427"/>
      <c r="BF10" s="427">
        <f t="shared" ref="BF10:BF49" si="8">MROUND(BA10*2.2046,0.1)</f>
        <v>661.4</v>
      </c>
      <c r="BG10" s="419"/>
      <c r="BH10" s="427">
        <v>400.0</v>
      </c>
      <c r="BI10" s="428" t="s">
        <v>143</v>
      </c>
      <c r="BJ10" s="429">
        <v>15.0</v>
      </c>
      <c r="BK10" s="427"/>
      <c r="BL10" s="427"/>
      <c r="BM10" s="427">
        <f t="shared" ref="BM10:BM49" si="9">MROUND(BH10*2.2046,0.1)</f>
        <v>881.8</v>
      </c>
      <c r="BN10" s="419"/>
      <c r="BO10" s="427">
        <v>400.0</v>
      </c>
      <c r="BP10" s="428" t="s">
        <v>143</v>
      </c>
      <c r="BQ10" s="430">
        <v>10.0</v>
      </c>
      <c r="BR10" s="431">
        <v>2.5</v>
      </c>
      <c r="BS10" s="427"/>
      <c r="BT10" s="427">
        <f t="shared" ref="BT10:BT49" si="10">MROUND(BO10*2.2046,0.1)</f>
        <v>881.8</v>
      </c>
    </row>
    <row r="11" ht="14.25" customHeight="1">
      <c r="A11" s="384"/>
      <c r="B11" s="389"/>
      <c r="C11" s="384"/>
      <c r="D11" s="427">
        <v>22.5</v>
      </c>
      <c r="E11" s="432">
        <v>1.25</v>
      </c>
      <c r="F11" s="427"/>
      <c r="G11" s="427"/>
      <c r="H11" s="427"/>
      <c r="I11" s="427">
        <f t="shared" si="1"/>
        <v>49.6</v>
      </c>
      <c r="J11" s="419"/>
      <c r="K11" s="427">
        <v>27.5</v>
      </c>
      <c r="L11" s="432">
        <v>1.25</v>
      </c>
      <c r="M11" s="427"/>
      <c r="N11" s="427"/>
      <c r="O11" s="427"/>
      <c r="P11" s="427">
        <f t="shared" si="2"/>
        <v>60.6</v>
      </c>
      <c r="Q11" s="419"/>
      <c r="R11" s="427">
        <v>102.5</v>
      </c>
      <c r="S11" s="428">
        <v>25.0</v>
      </c>
      <c r="T11" s="429">
        <v>15.0</v>
      </c>
      <c r="U11" s="432">
        <v>1.25</v>
      </c>
      <c r="V11" s="427"/>
      <c r="W11" s="427">
        <f t="shared" si="3"/>
        <v>226</v>
      </c>
      <c r="X11" s="419"/>
      <c r="Y11" s="427">
        <v>102.5</v>
      </c>
      <c r="Z11" s="428">
        <v>25.0</v>
      </c>
      <c r="AA11" s="430">
        <v>10.0</v>
      </c>
      <c r="AB11" s="431">
        <v>2.5</v>
      </c>
      <c r="AC11" s="432">
        <v>1.25</v>
      </c>
      <c r="AD11" s="427">
        <f t="shared" si="4"/>
        <v>226</v>
      </c>
      <c r="AE11" s="419"/>
      <c r="AF11" s="427">
        <v>202.5</v>
      </c>
      <c r="AG11" s="428" t="s">
        <v>141</v>
      </c>
      <c r="AH11" s="429">
        <v>15.0</v>
      </c>
      <c r="AI11" s="432">
        <v>1.25</v>
      </c>
      <c r="AJ11" s="427"/>
      <c r="AK11" s="427">
        <f t="shared" si="5"/>
        <v>446.4</v>
      </c>
      <c r="AL11" s="419"/>
      <c r="AM11" s="427">
        <v>202.5</v>
      </c>
      <c r="AN11" s="428" t="s">
        <v>141</v>
      </c>
      <c r="AO11" s="430">
        <v>10.0</v>
      </c>
      <c r="AP11" s="431">
        <v>2.5</v>
      </c>
      <c r="AQ11" s="432">
        <v>1.25</v>
      </c>
      <c r="AR11" s="427">
        <f t="shared" si="6"/>
        <v>446.4</v>
      </c>
      <c r="AS11" s="419"/>
      <c r="AT11" s="427">
        <v>302.5</v>
      </c>
      <c r="AU11" s="428" t="s">
        <v>142</v>
      </c>
      <c r="AV11" s="429">
        <v>15.0</v>
      </c>
      <c r="AW11" s="432">
        <v>1.25</v>
      </c>
      <c r="AX11" s="427"/>
      <c r="AY11" s="427">
        <f t="shared" si="7"/>
        <v>666.9</v>
      </c>
      <c r="AZ11" s="419"/>
      <c r="BA11" s="427">
        <v>302.5</v>
      </c>
      <c r="BB11" s="428" t="s">
        <v>142</v>
      </c>
      <c r="BC11" s="430">
        <v>10.0</v>
      </c>
      <c r="BD11" s="431">
        <v>2.5</v>
      </c>
      <c r="BE11" s="432">
        <v>1.25</v>
      </c>
      <c r="BF11" s="427">
        <f t="shared" si="8"/>
        <v>666.9</v>
      </c>
      <c r="BG11" s="419"/>
      <c r="BH11" s="427">
        <v>402.5</v>
      </c>
      <c r="BI11" s="428" t="s">
        <v>143</v>
      </c>
      <c r="BJ11" s="429">
        <v>15.0</v>
      </c>
      <c r="BK11" s="432">
        <v>1.25</v>
      </c>
      <c r="BL11" s="427"/>
      <c r="BM11" s="427">
        <f t="shared" si="9"/>
        <v>887.4</v>
      </c>
      <c r="BN11" s="419"/>
      <c r="BO11" s="427">
        <v>402.5</v>
      </c>
      <c r="BP11" s="428" t="s">
        <v>143</v>
      </c>
      <c r="BQ11" s="430">
        <v>10.0</v>
      </c>
      <c r="BR11" s="431">
        <v>2.5</v>
      </c>
      <c r="BS11" s="432">
        <v>1.25</v>
      </c>
      <c r="BT11" s="427">
        <f t="shared" si="10"/>
        <v>887.4</v>
      </c>
    </row>
    <row r="12" ht="14.25" customHeight="1">
      <c r="A12" s="384"/>
      <c r="B12" s="389"/>
      <c r="C12" s="384"/>
      <c r="D12" s="427">
        <v>25.0</v>
      </c>
      <c r="E12" s="431">
        <v>2.5</v>
      </c>
      <c r="F12" s="427"/>
      <c r="G12" s="427"/>
      <c r="H12" s="427"/>
      <c r="I12" s="427">
        <f t="shared" si="1"/>
        <v>55.1</v>
      </c>
      <c r="J12" s="419"/>
      <c r="K12" s="427">
        <v>30.0</v>
      </c>
      <c r="L12" s="431">
        <v>2.5</v>
      </c>
      <c r="M12" s="427"/>
      <c r="N12" s="427"/>
      <c r="O12" s="427"/>
      <c r="P12" s="427">
        <f t="shared" si="2"/>
        <v>66.1</v>
      </c>
      <c r="Q12" s="419"/>
      <c r="R12" s="427">
        <v>105.0</v>
      </c>
      <c r="S12" s="428">
        <v>25.0</v>
      </c>
      <c r="T12" s="429">
        <v>15.0</v>
      </c>
      <c r="U12" s="431">
        <v>2.5</v>
      </c>
      <c r="V12" s="427"/>
      <c r="W12" s="427">
        <f t="shared" si="3"/>
        <v>231.5</v>
      </c>
      <c r="X12" s="419"/>
      <c r="Y12" s="427">
        <v>105.0</v>
      </c>
      <c r="Z12" s="428">
        <v>25.0</v>
      </c>
      <c r="AA12" s="429">
        <v>15.0</v>
      </c>
      <c r="AB12" s="427"/>
      <c r="AC12" s="427"/>
      <c r="AD12" s="427">
        <f t="shared" si="4"/>
        <v>231.5</v>
      </c>
      <c r="AE12" s="419"/>
      <c r="AF12" s="427">
        <v>205.0</v>
      </c>
      <c r="AG12" s="428" t="s">
        <v>141</v>
      </c>
      <c r="AH12" s="429">
        <v>15.0</v>
      </c>
      <c r="AI12" s="431">
        <v>2.5</v>
      </c>
      <c r="AJ12" s="427"/>
      <c r="AK12" s="427">
        <f t="shared" si="5"/>
        <v>451.9</v>
      </c>
      <c r="AL12" s="419"/>
      <c r="AM12" s="427">
        <v>205.0</v>
      </c>
      <c r="AN12" s="428" t="s">
        <v>141</v>
      </c>
      <c r="AO12" s="429">
        <v>15.0</v>
      </c>
      <c r="AP12" s="427"/>
      <c r="AQ12" s="427"/>
      <c r="AR12" s="427">
        <f t="shared" si="6"/>
        <v>451.9</v>
      </c>
      <c r="AS12" s="419"/>
      <c r="AT12" s="427">
        <v>305.0</v>
      </c>
      <c r="AU12" s="428" t="s">
        <v>142</v>
      </c>
      <c r="AV12" s="429">
        <v>15.0</v>
      </c>
      <c r="AW12" s="431">
        <v>2.5</v>
      </c>
      <c r="AX12" s="427"/>
      <c r="AY12" s="427">
        <f t="shared" si="7"/>
        <v>672.4</v>
      </c>
      <c r="AZ12" s="419"/>
      <c r="BA12" s="427">
        <v>305.0</v>
      </c>
      <c r="BB12" s="428" t="s">
        <v>142</v>
      </c>
      <c r="BC12" s="429">
        <v>15.0</v>
      </c>
      <c r="BD12" s="427"/>
      <c r="BE12" s="427"/>
      <c r="BF12" s="427">
        <f t="shared" si="8"/>
        <v>672.4</v>
      </c>
      <c r="BG12" s="419"/>
      <c r="BH12" s="427">
        <v>405.0</v>
      </c>
      <c r="BI12" s="428" t="s">
        <v>143</v>
      </c>
      <c r="BJ12" s="429">
        <v>15.0</v>
      </c>
      <c r="BK12" s="431">
        <v>2.5</v>
      </c>
      <c r="BL12" s="427"/>
      <c r="BM12" s="427">
        <f t="shared" si="9"/>
        <v>892.9</v>
      </c>
      <c r="BN12" s="419"/>
      <c r="BO12" s="427">
        <v>405.0</v>
      </c>
      <c r="BP12" s="428" t="s">
        <v>143</v>
      </c>
      <c r="BQ12" s="429">
        <v>15.0</v>
      </c>
      <c r="BR12" s="427"/>
      <c r="BS12" s="427"/>
      <c r="BT12" s="427">
        <f t="shared" si="10"/>
        <v>892.9</v>
      </c>
    </row>
    <row r="13" ht="14.25" customHeight="1">
      <c r="A13" s="384"/>
      <c r="B13" s="389"/>
      <c r="C13" s="384"/>
      <c r="D13" s="427">
        <v>27.5</v>
      </c>
      <c r="E13" s="431">
        <v>2.5</v>
      </c>
      <c r="F13" s="432">
        <v>1.25</v>
      </c>
      <c r="G13" s="427"/>
      <c r="H13" s="427"/>
      <c r="I13" s="427">
        <f t="shared" si="1"/>
        <v>60.6</v>
      </c>
      <c r="J13" s="419"/>
      <c r="K13" s="427">
        <v>32.5</v>
      </c>
      <c r="L13" s="431">
        <v>2.5</v>
      </c>
      <c r="M13" s="432">
        <v>1.25</v>
      </c>
      <c r="N13" s="427"/>
      <c r="O13" s="427"/>
      <c r="P13" s="427">
        <f t="shared" si="2"/>
        <v>71.6</v>
      </c>
      <c r="Q13" s="419"/>
      <c r="R13" s="427">
        <v>107.5</v>
      </c>
      <c r="S13" s="428">
        <v>25.0</v>
      </c>
      <c r="T13" s="429">
        <v>15.0</v>
      </c>
      <c r="U13" s="431">
        <v>2.5</v>
      </c>
      <c r="V13" s="432">
        <v>1.25</v>
      </c>
      <c r="W13" s="427">
        <f t="shared" si="3"/>
        <v>237</v>
      </c>
      <c r="X13" s="419"/>
      <c r="Y13" s="427">
        <v>107.5</v>
      </c>
      <c r="Z13" s="428">
        <v>25.0</v>
      </c>
      <c r="AA13" s="429">
        <v>15.0</v>
      </c>
      <c r="AB13" s="432">
        <v>1.25</v>
      </c>
      <c r="AC13" s="427"/>
      <c r="AD13" s="427">
        <f t="shared" si="4"/>
        <v>237</v>
      </c>
      <c r="AE13" s="419"/>
      <c r="AF13" s="427">
        <v>207.5</v>
      </c>
      <c r="AG13" s="428" t="s">
        <v>141</v>
      </c>
      <c r="AH13" s="429">
        <v>15.0</v>
      </c>
      <c r="AI13" s="431">
        <v>2.5</v>
      </c>
      <c r="AJ13" s="432">
        <v>1.25</v>
      </c>
      <c r="AK13" s="427">
        <f t="shared" si="5"/>
        <v>457.5</v>
      </c>
      <c r="AL13" s="419"/>
      <c r="AM13" s="427">
        <v>207.5</v>
      </c>
      <c r="AN13" s="428" t="s">
        <v>141</v>
      </c>
      <c r="AO13" s="429">
        <v>15.0</v>
      </c>
      <c r="AP13" s="432">
        <v>1.25</v>
      </c>
      <c r="AQ13" s="427"/>
      <c r="AR13" s="427">
        <f t="shared" si="6"/>
        <v>457.5</v>
      </c>
      <c r="AS13" s="419"/>
      <c r="AT13" s="427">
        <v>307.5</v>
      </c>
      <c r="AU13" s="428" t="s">
        <v>142</v>
      </c>
      <c r="AV13" s="429">
        <v>15.0</v>
      </c>
      <c r="AW13" s="431">
        <v>2.5</v>
      </c>
      <c r="AX13" s="432">
        <v>1.25</v>
      </c>
      <c r="AY13" s="427">
        <f t="shared" si="7"/>
        <v>677.9</v>
      </c>
      <c r="AZ13" s="419"/>
      <c r="BA13" s="427">
        <v>307.5</v>
      </c>
      <c r="BB13" s="428" t="s">
        <v>142</v>
      </c>
      <c r="BC13" s="429">
        <v>15.0</v>
      </c>
      <c r="BD13" s="432">
        <v>1.25</v>
      </c>
      <c r="BE13" s="427"/>
      <c r="BF13" s="427">
        <f t="shared" si="8"/>
        <v>677.9</v>
      </c>
      <c r="BG13" s="419"/>
      <c r="BH13" s="427">
        <v>407.5</v>
      </c>
      <c r="BI13" s="428" t="s">
        <v>143</v>
      </c>
      <c r="BJ13" s="429">
        <v>15.0</v>
      </c>
      <c r="BK13" s="431">
        <v>2.5</v>
      </c>
      <c r="BL13" s="432">
        <v>1.25</v>
      </c>
      <c r="BM13" s="427">
        <f t="shared" si="9"/>
        <v>898.4</v>
      </c>
      <c r="BN13" s="419"/>
      <c r="BO13" s="427">
        <v>407.5</v>
      </c>
      <c r="BP13" s="428" t="s">
        <v>143</v>
      </c>
      <c r="BQ13" s="429">
        <v>15.0</v>
      </c>
      <c r="BR13" s="432">
        <v>1.25</v>
      </c>
      <c r="BS13" s="427"/>
      <c r="BT13" s="427">
        <f t="shared" si="10"/>
        <v>898.4</v>
      </c>
    </row>
    <row r="14" ht="14.25" customHeight="1">
      <c r="A14" s="384"/>
      <c r="B14" s="389"/>
      <c r="C14" s="384"/>
      <c r="D14" s="427">
        <v>30.0</v>
      </c>
      <c r="E14" s="433">
        <v>5.0</v>
      </c>
      <c r="F14" s="427"/>
      <c r="G14" s="427"/>
      <c r="H14" s="427"/>
      <c r="I14" s="427">
        <f t="shared" si="1"/>
        <v>66.1</v>
      </c>
      <c r="J14" s="419"/>
      <c r="K14" s="427">
        <v>35.0</v>
      </c>
      <c r="L14" s="433">
        <v>5.0</v>
      </c>
      <c r="M14" s="427"/>
      <c r="N14" s="427"/>
      <c r="O14" s="427"/>
      <c r="P14" s="427">
        <f t="shared" si="2"/>
        <v>77.2</v>
      </c>
      <c r="Q14" s="419"/>
      <c r="R14" s="427">
        <v>110.0</v>
      </c>
      <c r="S14" s="428">
        <v>25.0</v>
      </c>
      <c r="T14" s="434">
        <v>20.0</v>
      </c>
      <c r="U14" s="427"/>
      <c r="V14" s="427"/>
      <c r="W14" s="427">
        <f t="shared" si="3"/>
        <v>242.5</v>
      </c>
      <c r="X14" s="419"/>
      <c r="Y14" s="427">
        <v>110.0</v>
      </c>
      <c r="Z14" s="428">
        <v>25.0</v>
      </c>
      <c r="AA14" s="429">
        <v>15.0</v>
      </c>
      <c r="AB14" s="431">
        <v>2.5</v>
      </c>
      <c r="AC14" s="427"/>
      <c r="AD14" s="427">
        <f t="shared" si="4"/>
        <v>242.5</v>
      </c>
      <c r="AE14" s="419"/>
      <c r="AF14" s="427">
        <v>210.0</v>
      </c>
      <c r="AG14" s="428" t="s">
        <v>141</v>
      </c>
      <c r="AH14" s="434">
        <v>20.0</v>
      </c>
      <c r="AI14" s="427"/>
      <c r="AJ14" s="427"/>
      <c r="AK14" s="427">
        <f t="shared" si="5"/>
        <v>463</v>
      </c>
      <c r="AL14" s="419"/>
      <c r="AM14" s="427">
        <v>210.0</v>
      </c>
      <c r="AN14" s="428" t="s">
        <v>141</v>
      </c>
      <c r="AO14" s="429">
        <v>15.0</v>
      </c>
      <c r="AP14" s="431">
        <v>2.5</v>
      </c>
      <c r="AQ14" s="427"/>
      <c r="AR14" s="427">
        <f t="shared" si="6"/>
        <v>463</v>
      </c>
      <c r="AS14" s="419"/>
      <c r="AT14" s="427">
        <v>310.0</v>
      </c>
      <c r="AU14" s="428" t="s">
        <v>142</v>
      </c>
      <c r="AV14" s="434">
        <v>20.0</v>
      </c>
      <c r="AW14" s="427"/>
      <c r="AX14" s="427"/>
      <c r="AY14" s="427">
        <f t="shared" si="7"/>
        <v>683.4</v>
      </c>
      <c r="AZ14" s="419"/>
      <c r="BA14" s="427">
        <v>310.0</v>
      </c>
      <c r="BB14" s="428" t="s">
        <v>142</v>
      </c>
      <c r="BC14" s="429">
        <v>15.0</v>
      </c>
      <c r="BD14" s="431">
        <v>2.5</v>
      </c>
      <c r="BE14" s="427"/>
      <c r="BF14" s="427">
        <f t="shared" si="8"/>
        <v>683.4</v>
      </c>
      <c r="BG14" s="419"/>
      <c r="BH14" s="427">
        <v>410.0</v>
      </c>
      <c r="BI14" s="428" t="s">
        <v>143</v>
      </c>
      <c r="BJ14" s="434">
        <v>20.0</v>
      </c>
      <c r="BK14" s="427"/>
      <c r="BL14" s="427"/>
      <c r="BM14" s="427">
        <f t="shared" si="9"/>
        <v>903.9</v>
      </c>
      <c r="BN14" s="419"/>
      <c r="BO14" s="427">
        <v>410.0</v>
      </c>
      <c r="BP14" s="428" t="s">
        <v>143</v>
      </c>
      <c r="BQ14" s="429">
        <v>15.0</v>
      </c>
      <c r="BR14" s="431">
        <v>2.5</v>
      </c>
      <c r="BS14" s="427"/>
      <c r="BT14" s="427">
        <f t="shared" si="10"/>
        <v>903.9</v>
      </c>
    </row>
    <row r="15" ht="14.25" customHeight="1">
      <c r="A15" s="384"/>
      <c r="B15" s="389"/>
      <c r="C15" s="384"/>
      <c r="D15" s="427">
        <v>32.5</v>
      </c>
      <c r="E15" s="433">
        <v>5.0</v>
      </c>
      <c r="F15" s="432">
        <v>1.25</v>
      </c>
      <c r="G15" s="427"/>
      <c r="H15" s="427"/>
      <c r="I15" s="427">
        <f t="shared" si="1"/>
        <v>71.6</v>
      </c>
      <c r="J15" s="419"/>
      <c r="K15" s="427">
        <v>37.5</v>
      </c>
      <c r="L15" s="433">
        <v>5.0</v>
      </c>
      <c r="M15" s="432">
        <v>1.25</v>
      </c>
      <c r="N15" s="427"/>
      <c r="O15" s="427"/>
      <c r="P15" s="427">
        <f t="shared" si="2"/>
        <v>82.7</v>
      </c>
      <c r="Q15" s="419"/>
      <c r="R15" s="427">
        <v>112.5</v>
      </c>
      <c r="S15" s="428">
        <v>25.0</v>
      </c>
      <c r="T15" s="434">
        <v>20.0</v>
      </c>
      <c r="U15" s="432">
        <v>1.25</v>
      </c>
      <c r="V15" s="427"/>
      <c r="W15" s="427">
        <f t="shared" si="3"/>
        <v>248</v>
      </c>
      <c r="X15" s="419"/>
      <c r="Y15" s="427">
        <v>112.5</v>
      </c>
      <c r="Z15" s="428">
        <v>25.0</v>
      </c>
      <c r="AA15" s="429">
        <v>15.0</v>
      </c>
      <c r="AB15" s="431">
        <v>2.5</v>
      </c>
      <c r="AC15" s="432">
        <v>1.25</v>
      </c>
      <c r="AD15" s="427">
        <f t="shared" si="4"/>
        <v>248</v>
      </c>
      <c r="AE15" s="419"/>
      <c r="AF15" s="427">
        <v>212.5</v>
      </c>
      <c r="AG15" s="428" t="s">
        <v>141</v>
      </c>
      <c r="AH15" s="434">
        <v>20.0</v>
      </c>
      <c r="AI15" s="432">
        <v>1.25</v>
      </c>
      <c r="AJ15" s="427"/>
      <c r="AK15" s="427">
        <f t="shared" si="5"/>
        <v>468.5</v>
      </c>
      <c r="AL15" s="419"/>
      <c r="AM15" s="427">
        <v>212.5</v>
      </c>
      <c r="AN15" s="428" t="s">
        <v>141</v>
      </c>
      <c r="AO15" s="429">
        <v>15.0</v>
      </c>
      <c r="AP15" s="431">
        <v>2.5</v>
      </c>
      <c r="AQ15" s="432">
        <v>1.25</v>
      </c>
      <c r="AR15" s="427">
        <f t="shared" si="6"/>
        <v>468.5</v>
      </c>
      <c r="AS15" s="419"/>
      <c r="AT15" s="427">
        <v>312.5</v>
      </c>
      <c r="AU15" s="428" t="s">
        <v>142</v>
      </c>
      <c r="AV15" s="434">
        <v>20.0</v>
      </c>
      <c r="AW15" s="432">
        <v>1.25</v>
      </c>
      <c r="AX15" s="427"/>
      <c r="AY15" s="427">
        <f t="shared" si="7"/>
        <v>688.9</v>
      </c>
      <c r="AZ15" s="419"/>
      <c r="BA15" s="427">
        <v>312.5</v>
      </c>
      <c r="BB15" s="428" t="s">
        <v>142</v>
      </c>
      <c r="BC15" s="429">
        <v>15.0</v>
      </c>
      <c r="BD15" s="431">
        <v>2.5</v>
      </c>
      <c r="BE15" s="432">
        <v>1.25</v>
      </c>
      <c r="BF15" s="427">
        <f t="shared" si="8"/>
        <v>688.9</v>
      </c>
      <c r="BG15" s="419"/>
      <c r="BH15" s="427">
        <v>412.5</v>
      </c>
      <c r="BI15" s="428" t="s">
        <v>143</v>
      </c>
      <c r="BJ15" s="434">
        <v>20.0</v>
      </c>
      <c r="BK15" s="432">
        <v>1.25</v>
      </c>
      <c r="BL15" s="427"/>
      <c r="BM15" s="427">
        <f t="shared" si="9"/>
        <v>909.4</v>
      </c>
      <c r="BN15" s="419"/>
      <c r="BO15" s="427">
        <v>412.5</v>
      </c>
      <c r="BP15" s="428" t="s">
        <v>143</v>
      </c>
      <c r="BQ15" s="429">
        <v>15.0</v>
      </c>
      <c r="BR15" s="431">
        <v>2.5</v>
      </c>
      <c r="BS15" s="432">
        <v>1.25</v>
      </c>
      <c r="BT15" s="427">
        <f t="shared" si="10"/>
        <v>909.4</v>
      </c>
    </row>
    <row r="16" ht="14.25" customHeight="1">
      <c r="A16" s="384"/>
      <c r="B16" s="389"/>
      <c r="C16" s="384"/>
      <c r="D16" s="427">
        <v>35.0</v>
      </c>
      <c r="E16" s="433">
        <v>5.0</v>
      </c>
      <c r="F16" s="431">
        <v>2.5</v>
      </c>
      <c r="G16" s="427"/>
      <c r="H16" s="427"/>
      <c r="I16" s="427">
        <f t="shared" si="1"/>
        <v>77.2</v>
      </c>
      <c r="J16" s="419"/>
      <c r="K16" s="427">
        <v>40.0</v>
      </c>
      <c r="L16" s="433">
        <v>5.0</v>
      </c>
      <c r="M16" s="431">
        <v>2.5</v>
      </c>
      <c r="N16" s="427"/>
      <c r="O16" s="427"/>
      <c r="P16" s="427">
        <f t="shared" si="2"/>
        <v>88.2</v>
      </c>
      <c r="Q16" s="419"/>
      <c r="R16" s="427">
        <v>115.0</v>
      </c>
      <c r="S16" s="428">
        <v>25.0</v>
      </c>
      <c r="T16" s="434">
        <v>20.0</v>
      </c>
      <c r="U16" s="431">
        <v>2.5</v>
      </c>
      <c r="V16" s="427"/>
      <c r="W16" s="427">
        <f t="shared" si="3"/>
        <v>253.5</v>
      </c>
      <c r="X16" s="419"/>
      <c r="Y16" s="427">
        <v>115.0</v>
      </c>
      <c r="Z16" s="428">
        <v>25.0</v>
      </c>
      <c r="AA16" s="434">
        <v>20.0</v>
      </c>
      <c r="AB16" s="427"/>
      <c r="AC16" s="427"/>
      <c r="AD16" s="427">
        <f t="shared" si="4"/>
        <v>253.5</v>
      </c>
      <c r="AE16" s="419"/>
      <c r="AF16" s="427">
        <v>215.0</v>
      </c>
      <c r="AG16" s="428" t="s">
        <v>141</v>
      </c>
      <c r="AH16" s="434">
        <v>20.0</v>
      </c>
      <c r="AI16" s="431">
        <v>2.5</v>
      </c>
      <c r="AJ16" s="427"/>
      <c r="AK16" s="427">
        <f t="shared" si="5"/>
        <v>474</v>
      </c>
      <c r="AL16" s="419"/>
      <c r="AM16" s="427">
        <v>215.0</v>
      </c>
      <c r="AN16" s="428" t="s">
        <v>141</v>
      </c>
      <c r="AO16" s="434">
        <v>20.0</v>
      </c>
      <c r="AP16" s="427"/>
      <c r="AQ16" s="427"/>
      <c r="AR16" s="427">
        <f t="shared" si="6"/>
        <v>474</v>
      </c>
      <c r="AS16" s="419"/>
      <c r="AT16" s="427">
        <v>315.0</v>
      </c>
      <c r="AU16" s="428" t="s">
        <v>142</v>
      </c>
      <c r="AV16" s="434">
        <v>20.0</v>
      </c>
      <c r="AW16" s="431">
        <v>2.5</v>
      </c>
      <c r="AX16" s="427"/>
      <c r="AY16" s="427">
        <f t="shared" si="7"/>
        <v>694.4</v>
      </c>
      <c r="AZ16" s="419"/>
      <c r="BA16" s="427">
        <v>315.0</v>
      </c>
      <c r="BB16" s="428" t="s">
        <v>142</v>
      </c>
      <c r="BC16" s="434">
        <v>20.0</v>
      </c>
      <c r="BD16" s="427"/>
      <c r="BE16" s="427"/>
      <c r="BF16" s="427">
        <f t="shared" si="8"/>
        <v>694.4</v>
      </c>
      <c r="BG16" s="419"/>
      <c r="BH16" s="427">
        <v>415.0</v>
      </c>
      <c r="BI16" s="428" t="s">
        <v>143</v>
      </c>
      <c r="BJ16" s="434">
        <v>20.0</v>
      </c>
      <c r="BK16" s="431">
        <v>2.5</v>
      </c>
      <c r="BL16" s="427"/>
      <c r="BM16" s="427">
        <f t="shared" si="9"/>
        <v>914.9</v>
      </c>
      <c r="BN16" s="419"/>
      <c r="BO16" s="427">
        <v>415.0</v>
      </c>
      <c r="BP16" s="428" t="s">
        <v>143</v>
      </c>
      <c r="BQ16" s="434">
        <v>20.0</v>
      </c>
      <c r="BR16" s="427"/>
      <c r="BS16" s="427"/>
      <c r="BT16" s="427">
        <f t="shared" si="10"/>
        <v>914.9</v>
      </c>
    </row>
    <row r="17" ht="14.25" customHeight="1">
      <c r="A17" s="384"/>
      <c r="B17" s="389"/>
      <c r="C17" s="384"/>
      <c r="D17" s="427">
        <v>37.5</v>
      </c>
      <c r="E17" s="433">
        <v>5.0</v>
      </c>
      <c r="F17" s="431">
        <v>2.5</v>
      </c>
      <c r="G17" s="432">
        <v>1.25</v>
      </c>
      <c r="H17" s="427"/>
      <c r="I17" s="427">
        <f t="shared" si="1"/>
        <v>82.7</v>
      </c>
      <c r="J17" s="419"/>
      <c r="K17" s="427">
        <v>42.5</v>
      </c>
      <c r="L17" s="433">
        <v>5.0</v>
      </c>
      <c r="M17" s="431">
        <v>2.5</v>
      </c>
      <c r="N17" s="432">
        <v>1.25</v>
      </c>
      <c r="O17" s="427"/>
      <c r="P17" s="427">
        <f t="shared" si="2"/>
        <v>93.7</v>
      </c>
      <c r="Q17" s="419"/>
      <c r="R17" s="427">
        <v>117.5</v>
      </c>
      <c r="S17" s="428">
        <v>25.0</v>
      </c>
      <c r="T17" s="434">
        <v>20.0</v>
      </c>
      <c r="U17" s="431">
        <v>2.5</v>
      </c>
      <c r="V17" s="432">
        <v>1.25</v>
      </c>
      <c r="W17" s="427">
        <f t="shared" si="3"/>
        <v>259</v>
      </c>
      <c r="X17" s="419"/>
      <c r="Y17" s="427">
        <v>117.5</v>
      </c>
      <c r="Z17" s="428">
        <v>25.0</v>
      </c>
      <c r="AA17" s="434">
        <v>20.0</v>
      </c>
      <c r="AB17" s="432">
        <v>1.25</v>
      </c>
      <c r="AC17" s="427"/>
      <c r="AD17" s="427">
        <f t="shared" si="4"/>
        <v>259</v>
      </c>
      <c r="AE17" s="419"/>
      <c r="AF17" s="427">
        <v>217.5</v>
      </c>
      <c r="AG17" s="428" t="s">
        <v>141</v>
      </c>
      <c r="AH17" s="434">
        <v>20.0</v>
      </c>
      <c r="AI17" s="431">
        <v>2.5</v>
      </c>
      <c r="AJ17" s="432">
        <v>1.25</v>
      </c>
      <c r="AK17" s="427">
        <f t="shared" si="5"/>
        <v>479.5</v>
      </c>
      <c r="AL17" s="419"/>
      <c r="AM17" s="427">
        <v>217.5</v>
      </c>
      <c r="AN17" s="428" t="s">
        <v>141</v>
      </c>
      <c r="AO17" s="434">
        <v>20.0</v>
      </c>
      <c r="AP17" s="432">
        <v>1.25</v>
      </c>
      <c r="AQ17" s="427"/>
      <c r="AR17" s="427">
        <f t="shared" si="6"/>
        <v>479.5</v>
      </c>
      <c r="AS17" s="419"/>
      <c r="AT17" s="427">
        <v>317.5</v>
      </c>
      <c r="AU17" s="428" t="s">
        <v>142</v>
      </c>
      <c r="AV17" s="434">
        <v>20.0</v>
      </c>
      <c r="AW17" s="431">
        <v>2.5</v>
      </c>
      <c r="AX17" s="432">
        <v>1.25</v>
      </c>
      <c r="AY17" s="427">
        <f t="shared" si="7"/>
        <v>700</v>
      </c>
      <c r="AZ17" s="419"/>
      <c r="BA17" s="427">
        <v>317.5</v>
      </c>
      <c r="BB17" s="428" t="s">
        <v>142</v>
      </c>
      <c r="BC17" s="434">
        <v>20.0</v>
      </c>
      <c r="BD17" s="432">
        <v>1.25</v>
      </c>
      <c r="BE17" s="427"/>
      <c r="BF17" s="427">
        <f t="shared" si="8"/>
        <v>700</v>
      </c>
      <c r="BG17" s="419"/>
      <c r="BH17" s="427">
        <v>417.5</v>
      </c>
      <c r="BI17" s="428" t="s">
        <v>143</v>
      </c>
      <c r="BJ17" s="434">
        <v>20.0</v>
      </c>
      <c r="BK17" s="431">
        <v>2.5</v>
      </c>
      <c r="BL17" s="432">
        <v>1.25</v>
      </c>
      <c r="BM17" s="427">
        <f t="shared" si="9"/>
        <v>920.4</v>
      </c>
      <c r="BN17" s="419"/>
      <c r="BO17" s="427">
        <v>417.5</v>
      </c>
      <c r="BP17" s="428" t="s">
        <v>143</v>
      </c>
      <c r="BQ17" s="434">
        <v>20.0</v>
      </c>
      <c r="BR17" s="432">
        <v>1.25</v>
      </c>
      <c r="BS17" s="427"/>
      <c r="BT17" s="427">
        <f t="shared" si="10"/>
        <v>920.4</v>
      </c>
    </row>
    <row r="18" ht="23.25" customHeight="1">
      <c r="A18" s="384"/>
      <c r="B18" s="389"/>
      <c r="C18" s="384"/>
      <c r="D18" s="427">
        <v>40.0</v>
      </c>
      <c r="E18" s="430">
        <v>10.0</v>
      </c>
      <c r="F18" s="427"/>
      <c r="G18" s="427"/>
      <c r="H18" s="427"/>
      <c r="I18" s="427">
        <f t="shared" si="1"/>
        <v>88.2</v>
      </c>
      <c r="J18" s="419"/>
      <c r="K18" s="427">
        <v>45.0</v>
      </c>
      <c r="L18" s="430">
        <v>10.0</v>
      </c>
      <c r="M18" s="427"/>
      <c r="N18" s="427"/>
      <c r="O18" s="427"/>
      <c r="P18" s="427">
        <f t="shared" si="2"/>
        <v>99.2</v>
      </c>
      <c r="Q18" s="419"/>
      <c r="R18" s="427">
        <v>120.0</v>
      </c>
      <c r="S18" s="428" t="s">
        <v>144</v>
      </c>
      <c r="T18" s="427"/>
      <c r="U18" s="427"/>
      <c r="V18" s="427"/>
      <c r="W18" s="427">
        <f t="shared" si="3"/>
        <v>264.6</v>
      </c>
      <c r="X18" s="419"/>
      <c r="Y18" s="427">
        <v>120.0</v>
      </c>
      <c r="Z18" s="428">
        <v>25.0</v>
      </c>
      <c r="AA18" s="434">
        <v>20.0</v>
      </c>
      <c r="AB18" s="431">
        <v>2.5</v>
      </c>
      <c r="AC18" s="427"/>
      <c r="AD18" s="427">
        <f t="shared" si="4"/>
        <v>264.6</v>
      </c>
      <c r="AE18" s="419"/>
      <c r="AF18" s="427">
        <v>220.0</v>
      </c>
      <c r="AG18" s="428" t="s">
        <v>145</v>
      </c>
      <c r="AH18" s="427"/>
      <c r="AI18" s="427"/>
      <c r="AJ18" s="427"/>
      <c r="AK18" s="427">
        <f t="shared" si="5"/>
        <v>485</v>
      </c>
      <c r="AL18" s="419"/>
      <c r="AM18" s="427">
        <v>220.0</v>
      </c>
      <c r="AN18" s="428" t="s">
        <v>145</v>
      </c>
      <c r="AO18" s="434">
        <v>20.0</v>
      </c>
      <c r="AP18" s="431">
        <v>2.5</v>
      </c>
      <c r="AQ18" s="427"/>
      <c r="AR18" s="427">
        <f t="shared" si="6"/>
        <v>485</v>
      </c>
      <c r="AS18" s="419"/>
      <c r="AT18" s="427">
        <v>320.0</v>
      </c>
      <c r="AU18" s="428" t="s">
        <v>146</v>
      </c>
      <c r="AV18" s="427"/>
      <c r="AW18" s="427"/>
      <c r="AX18" s="427"/>
      <c r="AY18" s="427">
        <f t="shared" si="7"/>
        <v>705.5</v>
      </c>
      <c r="AZ18" s="419"/>
      <c r="BA18" s="427">
        <v>320.0</v>
      </c>
      <c r="BB18" s="428" t="s">
        <v>146</v>
      </c>
      <c r="BC18" s="434">
        <v>20.0</v>
      </c>
      <c r="BD18" s="431">
        <v>2.5</v>
      </c>
      <c r="BE18" s="427"/>
      <c r="BF18" s="427">
        <f t="shared" si="8"/>
        <v>705.5</v>
      </c>
      <c r="BG18" s="419"/>
      <c r="BH18" s="427">
        <v>420.0</v>
      </c>
      <c r="BI18" s="428" t="s">
        <v>147</v>
      </c>
      <c r="BJ18" s="427"/>
      <c r="BK18" s="427"/>
      <c r="BL18" s="427"/>
      <c r="BM18" s="427">
        <f t="shared" si="9"/>
        <v>925.9</v>
      </c>
      <c r="BN18" s="419"/>
      <c r="BO18" s="427">
        <v>420.0</v>
      </c>
      <c r="BP18" s="428" t="s">
        <v>147</v>
      </c>
      <c r="BQ18" s="434">
        <v>20.0</v>
      </c>
      <c r="BR18" s="431">
        <v>2.5</v>
      </c>
      <c r="BS18" s="427"/>
      <c r="BT18" s="427">
        <f t="shared" si="10"/>
        <v>925.9</v>
      </c>
    </row>
    <row r="19" ht="14.25" customHeight="1">
      <c r="A19" s="216"/>
      <c r="B19" s="435"/>
      <c r="C19" s="216"/>
      <c r="D19" s="427">
        <v>42.5</v>
      </c>
      <c r="E19" s="430">
        <v>10.0</v>
      </c>
      <c r="F19" s="432">
        <v>1.25</v>
      </c>
      <c r="G19" s="427"/>
      <c r="H19" s="427"/>
      <c r="I19" s="427">
        <f t="shared" si="1"/>
        <v>93.7</v>
      </c>
      <c r="J19" s="419"/>
      <c r="K19" s="427">
        <v>47.5</v>
      </c>
      <c r="L19" s="430">
        <v>10.0</v>
      </c>
      <c r="M19" s="432">
        <v>1.25</v>
      </c>
      <c r="N19" s="427"/>
      <c r="O19" s="427"/>
      <c r="P19" s="427">
        <f t="shared" si="2"/>
        <v>104.7</v>
      </c>
      <c r="Q19" s="419"/>
      <c r="R19" s="427">
        <v>122.5</v>
      </c>
      <c r="S19" s="428" t="s">
        <v>144</v>
      </c>
      <c r="T19" s="432">
        <v>1.25</v>
      </c>
      <c r="U19" s="427"/>
      <c r="V19" s="427"/>
      <c r="W19" s="427">
        <f t="shared" si="3"/>
        <v>270.1</v>
      </c>
      <c r="X19" s="419"/>
      <c r="Y19" s="427">
        <v>122.5</v>
      </c>
      <c r="Z19" s="428">
        <v>25.0</v>
      </c>
      <c r="AA19" s="434">
        <v>20.0</v>
      </c>
      <c r="AB19" s="431">
        <v>2.5</v>
      </c>
      <c r="AC19" s="432">
        <v>1.25</v>
      </c>
      <c r="AD19" s="427">
        <f t="shared" si="4"/>
        <v>270.1</v>
      </c>
      <c r="AE19" s="419"/>
      <c r="AF19" s="427">
        <v>222.5</v>
      </c>
      <c r="AG19" s="428" t="s">
        <v>145</v>
      </c>
      <c r="AH19" s="432">
        <v>1.25</v>
      </c>
      <c r="AI19" s="427"/>
      <c r="AJ19" s="427"/>
      <c r="AK19" s="427">
        <f t="shared" si="5"/>
        <v>490.5</v>
      </c>
      <c r="AL19" s="419"/>
      <c r="AM19" s="427">
        <v>222.5</v>
      </c>
      <c r="AN19" s="428" t="s">
        <v>145</v>
      </c>
      <c r="AO19" s="434">
        <v>20.0</v>
      </c>
      <c r="AP19" s="431">
        <v>2.5</v>
      </c>
      <c r="AQ19" s="432">
        <v>1.25</v>
      </c>
      <c r="AR19" s="427">
        <f t="shared" si="6"/>
        <v>490.5</v>
      </c>
      <c r="AS19" s="419"/>
      <c r="AT19" s="427">
        <v>322.5</v>
      </c>
      <c r="AU19" s="428" t="s">
        <v>146</v>
      </c>
      <c r="AV19" s="432">
        <v>1.25</v>
      </c>
      <c r="AW19" s="427"/>
      <c r="AX19" s="427"/>
      <c r="AY19" s="427">
        <f t="shared" si="7"/>
        <v>711</v>
      </c>
      <c r="AZ19" s="419"/>
      <c r="BA19" s="427">
        <v>322.5</v>
      </c>
      <c r="BB19" s="428" t="s">
        <v>146</v>
      </c>
      <c r="BC19" s="434">
        <v>20.0</v>
      </c>
      <c r="BD19" s="431">
        <v>2.5</v>
      </c>
      <c r="BE19" s="432">
        <v>1.25</v>
      </c>
      <c r="BF19" s="427">
        <f t="shared" si="8"/>
        <v>711</v>
      </c>
      <c r="BG19" s="419"/>
      <c r="BH19" s="427">
        <v>422.5</v>
      </c>
      <c r="BI19" s="428" t="s">
        <v>147</v>
      </c>
      <c r="BJ19" s="432">
        <v>1.25</v>
      </c>
      <c r="BK19" s="427"/>
      <c r="BL19" s="427"/>
      <c r="BM19" s="427">
        <f t="shared" si="9"/>
        <v>931.4</v>
      </c>
      <c r="BN19" s="419"/>
      <c r="BO19" s="427">
        <v>422.5</v>
      </c>
      <c r="BP19" s="428" t="s">
        <v>147</v>
      </c>
      <c r="BQ19" s="434">
        <v>20.0</v>
      </c>
      <c r="BR19" s="431">
        <v>2.5</v>
      </c>
      <c r="BS19" s="432">
        <v>1.25</v>
      </c>
      <c r="BT19" s="427">
        <f t="shared" si="10"/>
        <v>931.4</v>
      </c>
    </row>
    <row r="20" ht="14.25" customHeight="1">
      <c r="A20" s="216"/>
      <c r="B20" s="435"/>
      <c r="C20" s="216"/>
      <c r="D20" s="427">
        <v>45.0</v>
      </c>
      <c r="E20" s="430">
        <v>10.0</v>
      </c>
      <c r="F20" s="431">
        <v>2.5</v>
      </c>
      <c r="G20" s="427"/>
      <c r="H20" s="427"/>
      <c r="I20" s="427">
        <f t="shared" si="1"/>
        <v>99.2</v>
      </c>
      <c r="J20" s="419"/>
      <c r="K20" s="427">
        <v>50.0</v>
      </c>
      <c r="L20" s="430">
        <v>10.0</v>
      </c>
      <c r="M20" s="431">
        <v>2.5</v>
      </c>
      <c r="N20" s="427"/>
      <c r="O20" s="427"/>
      <c r="P20" s="427">
        <f t="shared" si="2"/>
        <v>110.2</v>
      </c>
      <c r="Q20" s="419"/>
      <c r="R20" s="427">
        <v>125.0</v>
      </c>
      <c r="S20" s="428" t="s">
        <v>144</v>
      </c>
      <c r="T20" s="431">
        <v>2.5</v>
      </c>
      <c r="U20" s="427"/>
      <c r="V20" s="427"/>
      <c r="W20" s="427">
        <f t="shared" si="3"/>
        <v>275.6</v>
      </c>
      <c r="X20" s="419"/>
      <c r="Y20" s="427">
        <v>125.0</v>
      </c>
      <c r="Z20" s="428" t="s">
        <v>144</v>
      </c>
      <c r="AA20" s="427"/>
      <c r="AB20" s="427"/>
      <c r="AC20" s="427"/>
      <c r="AD20" s="427">
        <f t="shared" si="4"/>
        <v>275.6</v>
      </c>
      <c r="AE20" s="419"/>
      <c r="AF20" s="427">
        <v>225.0</v>
      </c>
      <c r="AG20" s="428" t="s">
        <v>145</v>
      </c>
      <c r="AH20" s="431">
        <v>2.5</v>
      </c>
      <c r="AI20" s="427"/>
      <c r="AJ20" s="427"/>
      <c r="AK20" s="427">
        <f t="shared" si="5"/>
        <v>496</v>
      </c>
      <c r="AL20" s="419"/>
      <c r="AM20" s="427">
        <v>225.0</v>
      </c>
      <c r="AN20" s="428" t="s">
        <v>145</v>
      </c>
      <c r="AO20" s="427"/>
      <c r="AP20" s="427"/>
      <c r="AQ20" s="427"/>
      <c r="AR20" s="427">
        <f t="shared" si="6"/>
        <v>496</v>
      </c>
      <c r="AS20" s="419"/>
      <c r="AT20" s="427">
        <v>325.0</v>
      </c>
      <c r="AU20" s="428" t="s">
        <v>146</v>
      </c>
      <c r="AV20" s="431">
        <v>2.5</v>
      </c>
      <c r="AW20" s="427"/>
      <c r="AX20" s="427"/>
      <c r="AY20" s="427">
        <f t="shared" si="7"/>
        <v>716.5</v>
      </c>
      <c r="AZ20" s="419"/>
      <c r="BA20" s="427">
        <v>325.0</v>
      </c>
      <c r="BB20" s="428" t="s">
        <v>146</v>
      </c>
      <c r="BC20" s="427"/>
      <c r="BD20" s="427"/>
      <c r="BE20" s="427"/>
      <c r="BF20" s="427">
        <f t="shared" si="8"/>
        <v>716.5</v>
      </c>
      <c r="BG20" s="419"/>
      <c r="BH20" s="427">
        <v>425.0</v>
      </c>
      <c r="BI20" s="428" t="s">
        <v>147</v>
      </c>
      <c r="BJ20" s="431">
        <v>2.5</v>
      </c>
      <c r="BK20" s="427"/>
      <c r="BL20" s="427"/>
      <c r="BM20" s="427">
        <f t="shared" si="9"/>
        <v>937</v>
      </c>
      <c r="BN20" s="419"/>
      <c r="BO20" s="427">
        <v>425.0</v>
      </c>
      <c r="BP20" s="428" t="s">
        <v>147</v>
      </c>
      <c r="BQ20" s="427"/>
      <c r="BR20" s="427"/>
      <c r="BS20" s="427"/>
      <c r="BT20" s="427">
        <f t="shared" si="10"/>
        <v>937</v>
      </c>
    </row>
    <row r="21" ht="14.25" customHeight="1">
      <c r="A21" s="216"/>
      <c r="B21" s="435"/>
      <c r="C21" s="216"/>
      <c r="D21" s="427">
        <v>47.5</v>
      </c>
      <c r="E21" s="430">
        <v>10.0</v>
      </c>
      <c r="F21" s="431">
        <v>2.5</v>
      </c>
      <c r="G21" s="432">
        <v>1.25</v>
      </c>
      <c r="H21" s="427"/>
      <c r="I21" s="427">
        <f t="shared" si="1"/>
        <v>104.7</v>
      </c>
      <c r="J21" s="419"/>
      <c r="K21" s="427">
        <v>52.5</v>
      </c>
      <c r="L21" s="430">
        <v>10.0</v>
      </c>
      <c r="M21" s="431">
        <v>2.5</v>
      </c>
      <c r="N21" s="432">
        <v>1.25</v>
      </c>
      <c r="O21" s="427"/>
      <c r="P21" s="427">
        <f t="shared" si="2"/>
        <v>115.7</v>
      </c>
      <c r="Q21" s="419"/>
      <c r="R21" s="427">
        <v>127.5</v>
      </c>
      <c r="S21" s="428" t="s">
        <v>144</v>
      </c>
      <c r="T21" s="431">
        <v>2.5</v>
      </c>
      <c r="U21" s="432">
        <v>1.25</v>
      </c>
      <c r="V21" s="427"/>
      <c r="W21" s="427">
        <f t="shared" si="3"/>
        <v>281.1</v>
      </c>
      <c r="X21" s="419"/>
      <c r="Y21" s="427">
        <v>127.5</v>
      </c>
      <c r="Z21" s="428" t="s">
        <v>144</v>
      </c>
      <c r="AA21" s="432">
        <v>1.25</v>
      </c>
      <c r="AB21" s="427"/>
      <c r="AC21" s="427"/>
      <c r="AD21" s="427">
        <f t="shared" si="4"/>
        <v>281.1</v>
      </c>
      <c r="AE21" s="419"/>
      <c r="AF21" s="427">
        <v>227.5</v>
      </c>
      <c r="AG21" s="428" t="s">
        <v>145</v>
      </c>
      <c r="AH21" s="431">
        <v>2.5</v>
      </c>
      <c r="AI21" s="432">
        <v>1.25</v>
      </c>
      <c r="AJ21" s="427"/>
      <c r="AK21" s="427">
        <f t="shared" si="5"/>
        <v>501.5</v>
      </c>
      <c r="AL21" s="419"/>
      <c r="AM21" s="427">
        <v>227.5</v>
      </c>
      <c r="AN21" s="428" t="s">
        <v>145</v>
      </c>
      <c r="AO21" s="432">
        <v>1.25</v>
      </c>
      <c r="AP21" s="427"/>
      <c r="AQ21" s="427"/>
      <c r="AR21" s="427">
        <f t="shared" si="6"/>
        <v>501.5</v>
      </c>
      <c r="AS21" s="419"/>
      <c r="AT21" s="427">
        <v>327.5</v>
      </c>
      <c r="AU21" s="428" t="s">
        <v>146</v>
      </c>
      <c r="AV21" s="431">
        <v>2.5</v>
      </c>
      <c r="AW21" s="432">
        <v>1.25</v>
      </c>
      <c r="AX21" s="427"/>
      <c r="AY21" s="427">
        <f t="shared" si="7"/>
        <v>722</v>
      </c>
      <c r="AZ21" s="419"/>
      <c r="BA21" s="427">
        <v>327.5</v>
      </c>
      <c r="BB21" s="428" t="s">
        <v>146</v>
      </c>
      <c r="BC21" s="432">
        <v>1.25</v>
      </c>
      <c r="BD21" s="427"/>
      <c r="BE21" s="427"/>
      <c r="BF21" s="427">
        <f t="shared" si="8"/>
        <v>722</v>
      </c>
      <c r="BG21" s="419"/>
      <c r="BH21" s="427">
        <v>427.5</v>
      </c>
      <c r="BI21" s="428" t="s">
        <v>147</v>
      </c>
      <c r="BJ21" s="431">
        <v>2.5</v>
      </c>
      <c r="BK21" s="432">
        <v>1.25</v>
      </c>
      <c r="BL21" s="427"/>
      <c r="BM21" s="427">
        <f t="shared" si="9"/>
        <v>942.5</v>
      </c>
      <c r="BN21" s="419"/>
      <c r="BO21" s="427">
        <v>427.5</v>
      </c>
      <c r="BP21" s="428" t="s">
        <v>147</v>
      </c>
      <c r="BQ21" s="432">
        <v>1.25</v>
      </c>
      <c r="BR21" s="427"/>
      <c r="BS21" s="427"/>
      <c r="BT21" s="427">
        <f t="shared" si="10"/>
        <v>942.5</v>
      </c>
    </row>
    <row r="22" ht="14.25" customHeight="1">
      <c r="A22" s="216"/>
      <c r="B22" s="435"/>
      <c r="C22" s="216"/>
      <c r="D22" s="427">
        <v>50.0</v>
      </c>
      <c r="E22" s="429">
        <v>15.0</v>
      </c>
      <c r="F22" s="427"/>
      <c r="G22" s="427"/>
      <c r="H22" s="427"/>
      <c r="I22" s="427">
        <f t="shared" si="1"/>
        <v>110.2</v>
      </c>
      <c r="J22" s="419"/>
      <c r="K22" s="427">
        <v>55.0</v>
      </c>
      <c r="L22" s="429">
        <v>15.0</v>
      </c>
      <c r="M22" s="427"/>
      <c r="N22" s="427"/>
      <c r="O22" s="427"/>
      <c r="P22" s="427">
        <f t="shared" si="2"/>
        <v>121.3</v>
      </c>
      <c r="Q22" s="419"/>
      <c r="R22" s="427">
        <v>130.0</v>
      </c>
      <c r="S22" s="428" t="s">
        <v>144</v>
      </c>
      <c r="T22" s="433">
        <v>5.0</v>
      </c>
      <c r="U22" s="427"/>
      <c r="V22" s="427"/>
      <c r="W22" s="427">
        <f t="shared" si="3"/>
        <v>286.6</v>
      </c>
      <c r="X22" s="419"/>
      <c r="Y22" s="427">
        <v>130.0</v>
      </c>
      <c r="Z22" s="428" t="s">
        <v>144</v>
      </c>
      <c r="AA22" s="431">
        <v>2.5</v>
      </c>
      <c r="AB22" s="427"/>
      <c r="AC22" s="427"/>
      <c r="AD22" s="427">
        <f t="shared" si="4"/>
        <v>286.6</v>
      </c>
      <c r="AE22" s="419"/>
      <c r="AF22" s="427">
        <v>230.0</v>
      </c>
      <c r="AG22" s="428" t="s">
        <v>145</v>
      </c>
      <c r="AH22" s="433">
        <v>5.0</v>
      </c>
      <c r="AI22" s="427"/>
      <c r="AJ22" s="427"/>
      <c r="AK22" s="427">
        <f t="shared" si="5"/>
        <v>507.1</v>
      </c>
      <c r="AL22" s="419"/>
      <c r="AM22" s="427">
        <v>230.0</v>
      </c>
      <c r="AN22" s="428" t="s">
        <v>145</v>
      </c>
      <c r="AO22" s="431">
        <v>2.5</v>
      </c>
      <c r="AP22" s="427"/>
      <c r="AQ22" s="427"/>
      <c r="AR22" s="427">
        <f t="shared" si="6"/>
        <v>507.1</v>
      </c>
      <c r="AS22" s="419"/>
      <c r="AT22" s="427">
        <v>330.0</v>
      </c>
      <c r="AU22" s="428" t="s">
        <v>146</v>
      </c>
      <c r="AV22" s="433">
        <v>5.0</v>
      </c>
      <c r="AW22" s="427"/>
      <c r="AX22" s="427"/>
      <c r="AY22" s="427">
        <f t="shared" si="7"/>
        <v>727.5</v>
      </c>
      <c r="AZ22" s="419"/>
      <c r="BA22" s="427">
        <v>330.0</v>
      </c>
      <c r="BB22" s="428" t="s">
        <v>146</v>
      </c>
      <c r="BC22" s="431">
        <v>2.5</v>
      </c>
      <c r="BD22" s="427"/>
      <c r="BE22" s="427"/>
      <c r="BF22" s="427">
        <f t="shared" si="8"/>
        <v>727.5</v>
      </c>
      <c r="BG22" s="419"/>
      <c r="BH22" s="427">
        <v>430.0</v>
      </c>
      <c r="BI22" s="428" t="s">
        <v>147</v>
      </c>
      <c r="BJ22" s="433">
        <v>5.0</v>
      </c>
      <c r="BK22" s="427"/>
      <c r="BL22" s="427"/>
      <c r="BM22" s="427">
        <f t="shared" si="9"/>
        <v>948</v>
      </c>
      <c r="BN22" s="419"/>
      <c r="BO22" s="427">
        <v>430.0</v>
      </c>
      <c r="BP22" s="428" t="s">
        <v>147</v>
      </c>
      <c r="BQ22" s="431">
        <v>2.5</v>
      </c>
      <c r="BR22" s="427"/>
      <c r="BS22" s="427"/>
      <c r="BT22" s="427">
        <f t="shared" si="10"/>
        <v>948</v>
      </c>
    </row>
    <row r="23" ht="14.25" customHeight="1">
      <c r="A23" s="216"/>
      <c r="B23" s="435"/>
      <c r="C23" s="216"/>
      <c r="D23" s="427">
        <v>52.5</v>
      </c>
      <c r="E23" s="429">
        <v>15.0</v>
      </c>
      <c r="F23" s="432">
        <v>1.25</v>
      </c>
      <c r="G23" s="427"/>
      <c r="H23" s="427"/>
      <c r="I23" s="427">
        <f t="shared" si="1"/>
        <v>115.7</v>
      </c>
      <c r="J23" s="419"/>
      <c r="K23" s="427">
        <v>57.5</v>
      </c>
      <c r="L23" s="429">
        <v>15.0</v>
      </c>
      <c r="M23" s="432">
        <v>1.25</v>
      </c>
      <c r="N23" s="427"/>
      <c r="O23" s="427"/>
      <c r="P23" s="427">
        <f t="shared" si="2"/>
        <v>126.8</v>
      </c>
      <c r="Q23" s="419"/>
      <c r="R23" s="427">
        <v>132.5</v>
      </c>
      <c r="S23" s="428" t="s">
        <v>144</v>
      </c>
      <c r="T23" s="433">
        <v>5.0</v>
      </c>
      <c r="U23" s="432">
        <v>1.25</v>
      </c>
      <c r="V23" s="427"/>
      <c r="W23" s="427">
        <f t="shared" si="3"/>
        <v>292.1</v>
      </c>
      <c r="X23" s="419"/>
      <c r="Y23" s="427">
        <v>132.5</v>
      </c>
      <c r="Z23" s="428" t="s">
        <v>144</v>
      </c>
      <c r="AA23" s="431">
        <v>2.5</v>
      </c>
      <c r="AB23" s="432">
        <v>1.25</v>
      </c>
      <c r="AC23" s="427"/>
      <c r="AD23" s="427">
        <f t="shared" si="4"/>
        <v>292.1</v>
      </c>
      <c r="AE23" s="419"/>
      <c r="AF23" s="427">
        <v>232.5</v>
      </c>
      <c r="AG23" s="428" t="s">
        <v>145</v>
      </c>
      <c r="AH23" s="433">
        <v>5.0</v>
      </c>
      <c r="AI23" s="432">
        <v>1.25</v>
      </c>
      <c r="AJ23" s="427"/>
      <c r="AK23" s="427">
        <f t="shared" si="5"/>
        <v>512.6</v>
      </c>
      <c r="AL23" s="419"/>
      <c r="AM23" s="427">
        <v>232.5</v>
      </c>
      <c r="AN23" s="428" t="s">
        <v>145</v>
      </c>
      <c r="AO23" s="431">
        <v>2.5</v>
      </c>
      <c r="AP23" s="432">
        <v>1.25</v>
      </c>
      <c r="AQ23" s="427"/>
      <c r="AR23" s="427">
        <f t="shared" si="6"/>
        <v>512.6</v>
      </c>
      <c r="AS23" s="419"/>
      <c r="AT23" s="427">
        <v>332.5</v>
      </c>
      <c r="AU23" s="428" t="s">
        <v>146</v>
      </c>
      <c r="AV23" s="433">
        <v>5.0</v>
      </c>
      <c r="AW23" s="432">
        <v>1.25</v>
      </c>
      <c r="AX23" s="427"/>
      <c r="AY23" s="427">
        <f t="shared" si="7"/>
        <v>733</v>
      </c>
      <c r="AZ23" s="419"/>
      <c r="BA23" s="427">
        <v>332.5</v>
      </c>
      <c r="BB23" s="428" t="s">
        <v>146</v>
      </c>
      <c r="BC23" s="431">
        <v>2.5</v>
      </c>
      <c r="BD23" s="432">
        <v>1.25</v>
      </c>
      <c r="BE23" s="427"/>
      <c r="BF23" s="427">
        <f t="shared" si="8"/>
        <v>733</v>
      </c>
      <c r="BG23" s="419"/>
      <c r="BH23" s="427">
        <v>432.5</v>
      </c>
      <c r="BI23" s="428" t="s">
        <v>147</v>
      </c>
      <c r="BJ23" s="433">
        <v>5.0</v>
      </c>
      <c r="BK23" s="432">
        <v>1.25</v>
      </c>
      <c r="BL23" s="427"/>
      <c r="BM23" s="427">
        <f t="shared" si="9"/>
        <v>953.5</v>
      </c>
      <c r="BN23" s="419"/>
      <c r="BO23" s="427">
        <v>432.5</v>
      </c>
      <c r="BP23" s="428" t="s">
        <v>147</v>
      </c>
      <c r="BQ23" s="431">
        <v>2.5</v>
      </c>
      <c r="BR23" s="432">
        <v>1.25</v>
      </c>
      <c r="BS23" s="427"/>
      <c r="BT23" s="427">
        <f t="shared" si="10"/>
        <v>953.5</v>
      </c>
    </row>
    <row r="24" ht="14.25" customHeight="1">
      <c r="A24" s="216"/>
      <c r="B24" s="435"/>
      <c r="C24" s="216"/>
      <c r="D24" s="427">
        <v>55.0</v>
      </c>
      <c r="E24" s="429">
        <v>15.0</v>
      </c>
      <c r="F24" s="431">
        <v>2.5</v>
      </c>
      <c r="G24" s="427"/>
      <c r="H24" s="427"/>
      <c r="I24" s="427">
        <f t="shared" si="1"/>
        <v>121.3</v>
      </c>
      <c r="J24" s="419"/>
      <c r="K24" s="427">
        <v>60.0</v>
      </c>
      <c r="L24" s="429">
        <v>15.0</v>
      </c>
      <c r="M24" s="431">
        <v>2.5</v>
      </c>
      <c r="N24" s="427"/>
      <c r="O24" s="427"/>
      <c r="P24" s="427">
        <f t="shared" si="2"/>
        <v>132.3</v>
      </c>
      <c r="Q24" s="419"/>
      <c r="R24" s="427">
        <v>135.0</v>
      </c>
      <c r="S24" s="428" t="s">
        <v>144</v>
      </c>
      <c r="T24" s="433">
        <v>5.0</v>
      </c>
      <c r="U24" s="431">
        <v>2.5</v>
      </c>
      <c r="V24" s="427"/>
      <c r="W24" s="427">
        <f t="shared" si="3"/>
        <v>297.6</v>
      </c>
      <c r="X24" s="419"/>
      <c r="Y24" s="427">
        <v>135.0</v>
      </c>
      <c r="Z24" s="428" t="s">
        <v>144</v>
      </c>
      <c r="AA24" s="433">
        <v>5.0</v>
      </c>
      <c r="AB24" s="427"/>
      <c r="AC24" s="427"/>
      <c r="AD24" s="427">
        <f t="shared" si="4"/>
        <v>297.6</v>
      </c>
      <c r="AE24" s="419"/>
      <c r="AF24" s="427">
        <v>235.0</v>
      </c>
      <c r="AG24" s="428" t="s">
        <v>145</v>
      </c>
      <c r="AH24" s="433">
        <v>5.0</v>
      </c>
      <c r="AI24" s="431">
        <v>2.5</v>
      </c>
      <c r="AJ24" s="427"/>
      <c r="AK24" s="427">
        <f t="shared" si="5"/>
        <v>518.1</v>
      </c>
      <c r="AL24" s="419"/>
      <c r="AM24" s="427">
        <v>235.0</v>
      </c>
      <c r="AN24" s="428" t="s">
        <v>145</v>
      </c>
      <c r="AO24" s="433">
        <v>5.0</v>
      </c>
      <c r="AP24" s="427"/>
      <c r="AQ24" s="427"/>
      <c r="AR24" s="427">
        <f t="shared" si="6"/>
        <v>518.1</v>
      </c>
      <c r="AS24" s="419"/>
      <c r="AT24" s="427">
        <v>335.0</v>
      </c>
      <c r="AU24" s="428" t="s">
        <v>146</v>
      </c>
      <c r="AV24" s="433">
        <v>5.0</v>
      </c>
      <c r="AW24" s="431">
        <v>2.5</v>
      </c>
      <c r="AX24" s="427"/>
      <c r="AY24" s="427">
        <f t="shared" si="7"/>
        <v>738.5</v>
      </c>
      <c r="AZ24" s="419"/>
      <c r="BA24" s="427">
        <v>335.0</v>
      </c>
      <c r="BB24" s="428" t="s">
        <v>146</v>
      </c>
      <c r="BC24" s="433">
        <v>5.0</v>
      </c>
      <c r="BD24" s="427"/>
      <c r="BE24" s="427"/>
      <c r="BF24" s="427">
        <f t="shared" si="8"/>
        <v>738.5</v>
      </c>
      <c r="BG24" s="419"/>
      <c r="BH24" s="427">
        <v>435.0</v>
      </c>
      <c r="BI24" s="428" t="s">
        <v>147</v>
      </c>
      <c r="BJ24" s="433">
        <v>5.0</v>
      </c>
      <c r="BK24" s="431">
        <v>2.5</v>
      </c>
      <c r="BL24" s="427"/>
      <c r="BM24" s="427">
        <f t="shared" si="9"/>
        <v>959</v>
      </c>
      <c r="BN24" s="419"/>
      <c r="BO24" s="427">
        <v>435.0</v>
      </c>
      <c r="BP24" s="428" t="s">
        <v>147</v>
      </c>
      <c r="BQ24" s="433">
        <v>5.0</v>
      </c>
      <c r="BR24" s="427"/>
      <c r="BS24" s="427"/>
      <c r="BT24" s="427">
        <f t="shared" si="10"/>
        <v>959</v>
      </c>
    </row>
    <row r="25" ht="14.25" customHeight="1">
      <c r="A25" s="216"/>
      <c r="B25" s="435"/>
      <c r="C25" s="216"/>
      <c r="D25" s="427">
        <v>57.5</v>
      </c>
      <c r="E25" s="429">
        <v>15.0</v>
      </c>
      <c r="F25" s="431">
        <v>2.5</v>
      </c>
      <c r="G25" s="432">
        <v>1.25</v>
      </c>
      <c r="H25" s="427"/>
      <c r="I25" s="427">
        <f t="shared" si="1"/>
        <v>126.8</v>
      </c>
      <c r="J25" s="419"/>
      <c r="K25" s="427">
        <v>62.5</v>
      </c>
      <c r="L25" s="429">
        <v>15.0</v>
      </c>
      <c r="M25" s="431">
        <v>2.5</v>
      </c>
      <c r="N25" s="432">
        <v>1.25</v>
      </c>
      <c r="O25" s="427"/>
      <c r="P25" s="427">
        <f t="shared" si="2"/>
        <v>137.8</v>
      </c>
      <c r="Q25" s="419"/>
      <c r="R25" s="427">
        <v>137.5</v>
      </c>
      <c r="S25" s="428" t="s">
        <v>144</v>
      </c>
      <c r="T25" s="433">
        <v>5.0</v>
      </c>
      <c r="U25" s="431">
        <v>2.5</v>
      </c>
      <c r="V25" s="432">
        <v>1.25</v>
      </c>
      <c r="W25" s="427">
        <f t="shared" si="3"/>
        <v>303.1</v>
      </c>
      <c r="X25" s="419"/>
      <c r="Y25" s="427">
        <v>137.5</v>
      </c>
      <c r="Z25" s="428" t="s">
        <v>144</v>
      </c>
      <c r="AA25" s="433">
        <v>5.0</v>
      </c>
      <c r="AB25" s="432">
        <v>1.25</v>
      </c>
      <c r="AC25" s="427"/>
      <c r="AD25" s="427">
        <f t="shared" si="4"/>
        <v>303.1</v>
      </c>
      <c r="AE25" s="419"/>
      <c r="AF25" s="427">
        <v>237.5</v>
      </c>
      <c r="AG25" s="428" t="s">
        <v>145</v>
      </c>
      <c r="AH25" s="433">
        <v>5.0</v>
      </c>
      <c r="AI25" s="431">
        <v>2.5</v>
      </c>
      <c r="AJ25" s="432">
        <v>1.25</v>
      </c>
      <c r="AK25" s="427">
        <f t="shared" si="5"/>
        <v>523.6</v>
      </c>
      <c r="AL25" s="419"/>
      <c r="AM25" s="427">
        <v>237.5</v>
      </c>
      <c r="AN25" s="428" t="s">
        <v>145</v>
      </c>
      <c r="AO25" s="433">
        <v>5.0</v>
      </c>
      <c r="AP25" s="432">
        <v>1.25</v>
      </c>
      <c r="AQ25" s="427"/>
      <c r="AR25" s="427">
        <f t="shared" si="6"/>
        <v>523.6</v>
      </c>
      <c r="AS25" s="419"/>
      <c r="AT25" s="427">
        <v>337.5</v>
      </c>
      <c r="AU25" s="428" t="s">
        <v>146</v>
      </c>
      <c r="AV25" s="433">
        <v>5.0</v>
      </c>
      <c r="AW25" s="431">
        <v>2.5</v>
      </c>
      <c r="AX25" s="432">
        <v>1.25</v>
      </c>
      <c r="AY25" s="427">
        <f t="shared" si="7"/>
        <v>744.1</v>
      </c>
      <c r="AZ25" s="419"/>
      <c r="BA25" s="427">
        <v>337.5</v>
      </c>
      <c r="BB25" s="428" t="s">
        <v>146</v>
      </c>
      <c r="BC25" s="433">
        <v>5.0</v>
      </c>
      <c r="BD25" s="432">
        <v>1.25</v>
      </c>
      <c r="BE25" s="427"/>
      <c r="BF25" s="427">
        <f t="shared" si="8"/>
        <v>744.1</v>
      </c>
      <c r="BG25" s="419"/>
      <c r="BH25" s="427">
        <v>437.5</v>
      </c>
      <c r="BI25" s="428" t="s">
        <v>147</v>
      </c>
      <c r="BJ25" s="433">
        <v>5.0</v>
      </c>
      <c r="BK25" s="431">
        <v>2.5</v>
      </c>
      <c r="BL25" s="432">
        <v>1.25</v>
      </c>
      <c r="BM25" s="427">
        <f t="shared" si="9"/>
        <v>964.5</v>
      </c>
      <c r="BN25" s="419"/>
      <c r="BO25" s="427">
        <v>437.5</v>
      </c>
      <c r="BP25" s="428" t="s">
        <v>147</v>
      </c>
      <c r="BQ25" s="433">
        <v>5.0</v>
      </c>
      <c r="BR25" s="432">
        <v>1.25</v>
      </c>
      <c r="BS25" s="427"/>
      <c r="BT25" s="427">
        <f t="shared" si="10"/>
        <v>964.5</v>
      </c>
    </row>
    <row r="26" ht="14.25" customHeight="1">
      <c r="A26" s="216"/>
      <c r="B26" s="435"/>
      <c r="C26" s="216"/>
      <c r="D26" s="427">
        <v>60.0</v>
      </c>
      <c r="E26" s="434">
        <v>20.0</v>
      </c>
      <c r="F26" s="427"/>
      <c r="G26" s="427"/>
      <c r="H26" s="427"/>
      <c r="I26" s="427">
        <f t="shared" si="1"/>
        <v>132.3</v>
      </c>
      <c r="J26" s="419"/>
      <c r="K26" s="427">
        <v>65.0</v>
      </c>
      <c r="L26" s="434">
        <v>20.0</v>
      </c>
      <c r="M26" s="427"/>
      <c r="N26" s="427"/>
      <c r="O26" s="427"/>
      <c r="P26" s="427">
        <f t="shared" si="2"/>
        <v>143.3</v>
      </c>
      <c r="Q26" s="419"/>
      <c r="R26" s="427">
        <v>140.0</v>
      </c>
      <c r="S26" s="428" t="s">
        <v>144</v>
      </c>
      <c r="T26" s="430">
        <v>10.0</v>
      </c>
      <c r="U26" s="427"/>
      <c r="V26" s="427"/>
      <c r="W26" s="427">
        <f t="shared" si="3"/>
        <v>308.6</v>
      </c>
      <c r="X26" s="419"/>
      <c r="Y26" s="427">
        <v>140.0</v>
      </c>
      <c r="Z26" s="428" t="s">
        <v>144</v>
      </c>
      <c r="AA26" s="433">
        <v>5.0</v>
      </c>
      <c r="AB26" s="431">
        <v>2.5</v>
      </c>
      <c r="AC26" s="427"/>
      <c r="AD26" s="427">
        <f t="shared" si="4"/>
        <v>308.6</v>
      </c>
      <c r="AE26" s="419"/>
      <c r="AF26" s="427">
        <v>240.0</v>
      </c>
      <c r="AG26" s="428" t="s">
        <v>145</v>
      </c>
      <c r="AH26" s="430">
        <v>10.0</v>
      </c>
      <c r="AI26" s="427"/>
      <c r="AJ26" s="427"/>
      <c r="AK26" s="427">
        <f t="shared" si="5"/>
        <v>529.1</v>
      </c>
      <c r="AL26" s="419"/>
      <c r="AM26" s="427">
        <v>240.0</v>
      </c>
      <c r="AN26" s="428" t="s">
        <v>145</v>
      </c>
      <c r="AO26" s="433">
        <v>5.0</v>
      </c>
      <c r="AP26" s="431">
        <v>2.5</v>
      </c>
      <c r="AQ26" s="427"/>
      <c r="AR26" s="427">
        <f t="shared" si="6"/>
        <v>529.1</v>
      </c>
      <c r="AS26" s="419"/>
      <c r="AT26" s="427">
        <v>340.0</v>
      </c>
      <c r="AU26" s="428" t="s">
        <v>146</v>
      </c>
      <c r="AV26" s="430">
        <v>10.0</v>
      </c>
      <c r="AW26" s="427"/>
      <c r="AX26" s="427"/>
      <c r="AY26" s="427">
        <f t="shared" si="7"/>
        <v>749.6</v>
      </c>
      <c r="AZ26" s="419"/>
      <c r="BA26" s="427">
        <v>340.0</v>
      </c>
      <c r="BB26" s="428" t="s">
        <v>146</v>
      </c>
      <c r="BC26" s="433">
        <v>5.0</v>
      </c>
      <c r="BD26" s="431">
        <v>2.5</v>
      </c>
      <c r="BE26" s="427"/>
      <c r="BF26" s="427">
        <f t="shared" si="8"/>
        <v>749.6</v>
      </c>
      <c r="BG26" s="419"/>
      <c r="BH26" s="427">
        <v>440.0</v>
      </c>
      <c r="BI26" s="428" t="s">
        <v>147</v>
      </c>
      <c r="BJ26" s="430">
        <v>10.0</v>
      </c>
      <c r="BK26" s="427"/>
      <c r="BL26" s="427"/>
      <c r="BM26" s="427">
        <f t="shared" si="9"/>
        <v>970</v>
      </c>
      <c r="BN26" s="419"/>
      <c r="BO26" s="427">
        <v>440.0</v>
      </c>
      <c r="BP26" s="428" t="s">
        <v>147</v>
      </c>
      <c r="BQ26" s="433">
        <v>5.0</v>
      </c>
      <c r="BR26" s="431">
        <v>2.5</v>
      </c>
      <c r="BS26" s="427"/>
      <c r="BT26" s="427">
        <f t="shared" si="10"/>
        <v>970</v>
      </c>
    </row>
    <row r="27" ht="14.25" customHeight="1">
      <c r="A27" s="216"/>
      <c r="B27" s="435"/>
      <c r="C27" s="216"/>
      <c r="D27" s="427">
        <v>62.5</v>
      </c>
      <c r="E27" s="434">
        <v>20.0</v>
      </c>
      <c r="F27" s="432">
        <v>1.25</v>
      </c>
      <c r="G27" s="427"/>
      <c r="H27" s="427"/>
      <c r="I27" s="427">
        <f t="shared" si="1"/>
        <v>137.8</v>
      </c>
      <c r="J27" s="419"/>
      <c r="K27" s="427">
        <v>67.5</v>
      </c>
      <c r="L27" s="434">
        <v>20.0</v>
      </c>
      <c r="M27" s="432">
        <v>1.25</v>
      </c>
      <c r="N27" s="427"/>
      <c r="O27" s="427"/>
      <c r="P27" s="427">
        <f t="shared" si="2"/>
        <v>148.8</v>
      </c>
      <c r="Q27" s="419"/>
      <c r="R27" s="427">
        <v>142.5</v>
      </c>
      <c r="S27" s="428" t="s">
        <v>144</v>
      </c>
      <c r="T27" s="430">
        <v>10.0</v>
      </c>
      <c r="U27" s="432">
        <v>1.25</v>
      </c>
      <c r="V27" s="427"/>
      <c r="W27" s="427">
        <f t="shared" si="3"/>
        <v>314.2</v>
      </c>
      <c r="X27" s="419"/>
      <c r="Y27" s="427">
        <v>142.5</v>
      </c>
      <c r="Z27" s="428" t="s">
        <v>144</v>
      </c>
      <c r="AA27" s="433">
        <v>5.0</v>
      </c>
      <c r="AB27" s="431">
        <v>2.5</v>
      </c>
      <c r="AC27" s="432">
        <v>1.25</v>
      </c>
      <c r="AD27" s="427">
        <f t="shared" si="4"/>
        <v>314.2</v>
      </c>
      <c r="AE27" s="419"/>
      <c r="AF27" s="427">
        <v>242.5</v>
      </c>
      <c r="AG27" s="428" t="s">
        <v>145</v>
      </c>
      <c r="AH27" s="430">
        <v>10.0</v>
      </c>
      <c r="AI27" s="432">
        <v>1.25</v>
      </c>
      <c r="AJ27" s="427"/>
      <c r="AK27" s="427">
        <f t="shared" si="5"/>
        <v>534.6</v>
      </c>
      <c r="AL27" s="419"/>
      <c r="AM27" s="427">
        <v>242.5</v>
      </c>
      <c r="AN27" s="428" t="s">
        <v>145</v>
      </c>
      <c r="AO27" s="433">
        <v>5.0</v>
      </c>
      <c r="AP27" s="431">
        <v>2.5</v>
      </c>
      <c r="AQ27" s="432">
        <v>1.25</v>
      </c>
      <c r="AR27" s="427">
        <f t="shared" si="6"/>
        <v>534.6</v>
      </c>
      <c r="AS27" s="419"/>
      <c r="AT27" s="427">
        <v>342.5</v>
      </c>
      <c r="AU27" s="428" t="s">
        <v>146</v>
      </c>
      <c r="AV27" s="430">
        <v>10.0</v>
      </c>
      <c r="AW27" s="432">
        <v>1.25</v>
      </c>
      <c r="AX27" s="427"/>
      <c r="AY27" s="427">
        <f t="shared" si="7"/>
        <v>755.1</v>
      </c>
      <c r="AZ27" s="419"/>
      <c r="BA27" s="427">
        <v>342.5</v>
      </c>
      <c r="BB27" s="428" t="s">
        <v>146</v>
      </c>
      <c r="BC27" s="433">
        <v>5.0</v>
      </c>
      <c r="BD27" s="431">
        <v>2.5</v>
      </c>
      <c r="BE27" s="432">
        <v>1.25</v>
      </c>
      <c r="BF27" s="427">
        <f t="shared" si="8"/>
        <v>755.1</v>
      </c>
      <c r="BG27" s="419"/>
      <c r="BH27" s="427">
        <v>442.5</v>
      </c>
      <c r="BI27" s="428" t="s">
        <v>147</v>
      </c>
      <c r="BJ27" s="430">
        <v>10.0</v>
      </c>
      <c r="BK27" s="432">
        <v>1.25</v>
      </c>
      <c r="BL27" s="427"/>
      <c r="BM27" s="427">
        <f t="shared" si="9"/>
        <v>975.5</v>
      </c>
      <c r="BN27" s="419"/>
      <c r="BO27" s="427">
        <v>442.5</v>
      </c>
      <c r="BP27" s="428" t="s">
        <v>147</v>
      </c>
      <c r="BQ27" s="433">
        <v>5.0</v>
      </c>
      <c r="BR27" s="431">
        <v>2.5</v>
      </c>
      <c r="BS27" s="432">
        <v>1.25</v>
      </c>
      <c r="BT27" s="427">
        <f t="shared" si="10"/>
        <v>975.5</v>
      </c>
    </row>
    <row r="28" ht="14.25" customHeight="1">
      <c r="A28" s="216"/>
      <c r="B28" s="435"/>
      <c r="C28" s="216"/>
      <c r="D28" s="427">
        <v>65.0</v>
      </c>
      <c r="E28" s="434">
        <v>20.0</v>
      </c>
      <c r="F28" s="431">
        <v>2.5</v>
      </c>
      <c r="G28" s="427"/>
      <c r="H28" s="427"/>
      <c r="I28" s="427">
        <f t="shared" si="1"/>
        <v>143.3</v>
      </c>
      <c r="J28" s="419"/>
      <c r="K28" s="427">
        <v>70.0</v>
      </c>
      <c r="L28" s="434">
        <v>20.0</v>
      </c>
      <c r="M28" s="431">
        <v>2.5</v>
      </c>
      <c r="N28" s="427"/>
      <c r="O28" s="427"/>
      <c r="P28" s="427">
        <f t="shared" si="2"/>
        <v>154.3</v>
      </c>
      <c r="Q28" s="419"/>
      <c r="R28" s="427">
        <v>145.0</v>
      </c>
      <c r="S28" s="428" t="s">
        <v>144</v>
      </c>
      <c r="T28" s="430">
        <v>10.0</v>
      </c>
      <c r="U28" s="431">
        <v>2.5</v>
      </c>
      <c r="V28" s="427"/>
      <c r="W28" s="427">
        <f t="shared" si="3"/>
        <v>319.7</v>
      </c>
      <c r="X28" s="419"/>
      <c r="Y28" s="427">
        <v>145.0</v>
      </c>
      <c r="Z28" s="428" t="s">
        <v>144</v>
      </c>
      <c r="AA28" s="430">
        <v>10.0</v>
      </c>
      <c r="AB28" s="427"/>
      <c r="AC28" s="427"/>
      <c r="AD28" s="427">
        <f t="shared" si="4"/>
        <v>319.7</v>
      </c>
      <c r="AE28" s="419"/>
      <c r="AF28" s="427">
        <v>245.0</v>
      </c>
      <c r="AG28" s="428" t="s">
        <v>145</v>
      </c>
      <c r="AH28" s="430">
        <v>10.0</v>
      </c>
      <c r="AI28" s="431">
        <v>2.5</v>
      </c>
      <c r="AJ28" s="427"/>
      <c r="AK28" s="427">
        <f t="shared" si="5"/>
        <v>540.1</v>
      </c>
      <c r="AL28" s="419"/>
      <c r="AM28" s="427">
        <v>245.0</v>
      </c>
      <c r="AN28" s="428" t="s">
        <v>145</v>
      </c>
      <c r="AO28" s="430">
        <v>10.0</v>
      </c>
      <c r="AP28" s="427"/>
      <c r="AQ28" s="427"/>
      <c r="AR28" s="427">
        <f t="shared" si="6"/>
        <v>540.1</v>
      </c>
      <c r="AS28" s="419"/>
      <c r="AT28" s="427">
        <v>345.0</v>
      </c>
      <c r="AU28" s="428" t="s">
        <v>146</v>
      </c>
      <c r="AV28" s="430">
        <v>10.0</v>
      </c>
      <c r="AW28" s="431">
        <v>2.5</v>
      </c>
      <c r="AX28" s="427"/>
      <c r="AY28" s="427">
        <f t="shared" si="7"/>
        <v>760.6</v>
      </c>
      <c r="AZ28" s="419"/>
      <c r="BA28" s="427">
        <v>345.0</v>
      </c>
      <c r="BB28" s="428" t="s">
        <v>146</v>
      </c>
      <c r="BC28" s="430">
        <v>10.0</v>
      </c>
      <c r="BD28" s="427"/>
      <c r="BE28" s="427"/>
      <c r="BF28" s="427">
        <f t="shared" si="8"/>
        <v>760.6</v>
      </c>
      <c r="BG28" s="419"/>
      <c r="BH28" s="427">
        <v>445.0</v>
      </c>
      <c r="BI28" s="428" t="s">
        <v>147</v>
      </c>
      <c r="BJ28" s="430">
        <v>10.0</v>
      </c>
      <c r="BK28" s="431">
        <v>2.5</v>
      </c>
      <c r="BL28" s="427"/>
      <c r="BM28" s="427">
        <f t="shared" si="9"/>
        <v>981</v>
      </c>
      <c r="BN28" s="419"/>
      <c r="BO28" s="427">
        <v>445.0</v>
      </c>
      <c r="BP28" s="428" t="s">
        <v>147</v>
      </c>
      <c r="BQ28" s="430">
        <v>10.0</v>
      </c>
      <c r="BR28" s="427"/>
      <c r="BS28" s="427"/>
      <c r="BT28" s="427">
        <f t="shared" si="10"/>
        <v>981</v>
      </c>
    </row>
    <row r="29" ht="14.25" customHeight="1">
      <c r="A29" s="216"/>
      <c r="B29" s="435"/>
      <c r="C29" s="216"/>
      <c r="D29" s="427">
        <v>67.5</v>
      </c>
      <c r="E29" s="434">
        <v>20.0</v>
      </c>
      <c r="F29" s="431">
        <v>2.5</v>
      </c>
      <c r="G29" s="432">
        <v>1.25</v>
      </c>
      <c r="H29" s="427"/>
      <c r="I29" s="427">
        <f t="shared" si="1"/>
        <v>148.8</v>
      </c>
      <c r="J29" s="419"/>
      <c r="K29" s="427">
        <v>72.5</v>
      </c>
      <c r="L29" s="434">
        <v>20.0</v>
      </c>
      <c r="M29" s="431">
        <v>2.5</v>
      </c>
      <c r="N29" s="432">
        <v>1.25</v>
      </c>
      <c r="O29" s="427"/>
      <c r="P29" s="427">
        <f t="shared" si="2"/>
        <v>159.8</v>
      </c>
      <c r="Q29" s="419"/>
      <c r="R29" s="427">
        <v>147.5</v>
      </c>
      <c r="S29" s="428" t="s">
        <v>144</v>
      </c>
      <c r="T29" s="430">
        <v>10.0</v>
      </c>
      <c r="U29" s="431">
        <v>2.5</v>
      </c>
      <c r="V29" s="432">
        <v>1.25</v>
      </c>
      <c r="W29" s="427">
        <f t="shared" si="3"/>
        <v>325.2</v>
      </c>
      <c r="X29" s="419"/>
      <c r="Y29" s="427">
        <v>147.5</v>
      </c>
      <c r="Z29" s="428" t="s">
        <v>144</v>
      </c>
      <c r="AA29" s="430">
        <v>10.0</v>
      </c>
      <c r="AB29" s="432">
        <v>1.25</v>
      </c>
      <c r="AC29" s="427"/>
      <c r="AD29" s="427">
        <f t="shared" si="4"/>
        <v>325.2</v>
      </c>
      <c r="AE29" s="419"/>
      <c r="AF29" s="427">
        <v>247.5</v>
      </c>
      <c r="AG29" s="428" t="s">
        <v>145</v>
      </c>
      <c r="AH29" s="430">
        <v>10.0</v>
      </c>
      <c r="AI29" s="431">
        <v>2.5</v>
      </c>
      <c r="AJ29" s="432">
        <v>1.25</v>
      </c>
      <c r="AK29" s="427">
        <f t="shared" si="5"/>
        <v>545.6</v>
      </c>
      <c r="AL29" s="419"/>
      <c r="AM29" s="427">
        <v>247.5</v>
      </c>
      <c r="AN29" s="428" t="s">
        <v>145</v>
      </c>
      <c r="AO29" s="430">
        <v>10.0</v>
      </c>
      <c r="AP29" s="432">
        <v>1.25</v>
      </c>
      <c r="AQ29" s="427"/>
      <c r="AR29" s="427">
        <f t="shared" si="6"/>
        <v>545.6</v>
      </c>
      <c r="AS29" s="419"/>
      <c r="AT29" s="427">
        <v>347.5</v>
      </c>
      <c r="AU29" s="428" t="s">
        <v>146</v>
      </c>
      <c r="AV29" s="430">
        <v>10.0</v>
      </c>
      <c r="AW29" s="431">
        <v>2.5</v>
      </c>
      <c r="AX29" s="432">
        <v>1.25</v>
      </c>
      <c r="AY29" s="427">
        <f t="shared" si="7"/>
        <v>766.1</v>
      </c>
      <c r="AZ29" s="419"/>
      <c r="BA29" s="427">
        <v>347.5</v>
      </c>
      <c r="BB29" s="428" t="s">
        <v>146</v>
      </c>
      <c r="BC29" s="430">
        <v>10.0</v>
      </c>
      <c r="BD29" s="432">
        <v>1.25</v>
      </c>
      <c r="BE29" s="427"/>
      <c r="BF29" s="427">
        <f t="shared" si="8"/>
        <v>766.1</v>
      </c>
      <c r="BG29" s="419"/>
      <c r="BH29" s="427">
        <v>447.5</v>
      </c>
      <c r="BI29" s="428" t="s">
        <v>147</v>
      </c>
      <c r="BJ29" s="430">
        <v>10.0</v>
      </c>
      <c r="BK29" s="431">
        <v>2.5</v>
      </c>
      <c r="BL29" s="432">
        <v>1.25</v>
      </c>
      <c r="BM29" s="427">
        <f t="shared" si="9"/>
        <v>986.6</v>
      </c>
      <c r="BN29" s="419"/>
      <c r="BO29" s="427">
        <v>447.5</v>
      </c>
      <c r="BP29" s="428" t="s">
        <v>147</v>
      </c>
      <c r="BQ29" s="430">
        <v>10.0</v>
      </c>
      <c r="BR29" s="432">
        <v>1.25</v>
      </c>
      <c r="BS29" s="427"/>
      <c r="BT29" s="427">
        <f t="shared" si="10"/>
        <v>986.6</v>
      </c>
    </row>
    <row r="30" ht="14.25" customHeight="1">
      <c r="A30" s="216"/>
      <c r="B30" s="435"/>
      <c r="C30" s="216"/>
      <c r="D30" s="427">
        <v>70.0</v>
      </c>
      <c r="E30" s="428">
        <v>25.0</v>
      </c>
      <c r="F30" s="427"/>
      <c r="G30" s="427"/>
      <c r="H30" s="427"/>
      <c r="I30" s="427">
        <f t="shared" si="1"/>
        <v>154.3</v>
      </c>
      <c r="J30" s="419"/>
      <c r="K30" s="427">
        <v>75.0</v>
      </c>
      <c r="L30" s="428">
        <v>25.0</v>
      </c>
      <c r="M30" s="427"/>
      <c r="N30" s="427"/>
      <c r="O30" s="427"/>
      <c r="P30" s="427">
        <f t="shared" si="2"/>
        <v>165.3</v>
      </c>
      <c r="Q30" s="419"/>
      <c r="R30" s="427">
        <v>150.0</v>
      </c>
      <c r="S30" s="428" t="s">
        <v>144</v>
      </c>
      <c r="T30" s="429">
        <v>15.0</v>
      </c>
      <c r="U30" s="427"/>
      <c r="V30" s="427"/>
      <c r="W30" s="427">
        <f t="shared" si="3"/>
        <v>330.7</v>
      </c>
      <c r="X30" s="419"/>
      <c r="Y30" s="427">
        <v>150.0</v>
      </c>
      <c r="Z30" s="428" t="s">
        <v>144</v>
      </c>
      <c r="AA30" s="430">
        <v>10.0</v>
      </c>
      <c r="AB30" s="431">
        <v>2.5</v>
      </c>
      <c r="AC30" s="427"/>
      <c r="AD30" s="427">
        <f t="shared" si="4"/>
        <v>330.7</v>
      </c>
      <c r="AE30" s="419"/>
      <c r="AF30" s="427">
        <v>250.0</v>
      </c>
      <c r="AG30" s="428" t="s">
        <v>145</v>
      </c>
      <c r="AH30" s="429">
        <v>15.0</v>
      </c>
      <c r="AI30" s="427"/>
      <c r="AJ30" s="427"/>
      <c r="AK30" s="427">
        <f t="shared" si="5"/>
        <v>551.2</v>
      </c>
      <c r="AL30" s="419"/>
      <c r="AM30" s="427">
        <v>250.0</v>
      </c>
      <c r="AN30" s="428" t="s">
        <v>145</v>
      </c>
      <c r="AO30" s="430">
        <v>10.0</v>
      </c>
      <c r="AP30" s="431">
        <v>2.5</v>
      </c>
      <c r="AQ30" s="427"/>
      <c r="AR30" s="427">
        <f t="shared" si="6"/>
        <v>551.2</v>
      </c>
      <c r="AS30" s="419"/>
      <c r="AT30" s="427">
        <v>350.0</v>
      </c>
      <c r="AU30" s="428" t="s">
        <v>146</v>
      </c>
      <c r="AV30" s="429">
        <v>15.0</v>
      </c>
      <c r="AW30" s="427"/>
      <c r="AX30" s="427"/>
      <c r="AY30" s="427">
        <f t="shared" si="7"/>
        <v>771.6</v>
      </c>
      <c r="AZ30" s="419"/>
      <c r="BA30" s="427">
        <v>350.0</v>
      </c>
      <c r="BB30" s="428" t="s">
        <v>146</v>
      </c>
      <c r="BC30" s="430">
        <v>10.0</v>
      </c>
      <c r="BD30" s="431">
        <v>2.5</v>
      </c>
      <c r="BE30" s="427"/>
      <c r="BF30" s="427">
        <f t="shared" si="8"/>
        <v>771.6</v>
      </c>
      <c r="BG30" s="419"/>
      <c r="BH30" s="427">
        <v>450.0</v>
      </c>
      <c r="BI30" s="428" t="s">
        <v>147</v>
      </c>
      <c r="BJ30" s="429">
        <v>15.0</v>
      </c>
      <c r="BK30" s="427"/>
      <c r="BL30" s="427"/>
      <c r="BM30" s="427">
        <f t="shared" si="9"/>
        <v>992.1</v>
      </c>
      <c r="BN30" s="419"/>
      <c r="BO30" s="427">
        <v>450.0</v>
      </c>
      <c r="BP30" s="428" t="s">
        <v>147</v>
      </c>
      <c r="BQ30" s="430">
        <v>10.0</v>
      </c>
      <c r="BR30" s="431">
        <v>2.5</v>
      </c>
      <c r="BS30" s="427"/>
      <c r="BT30" s="427">
        <f t="shared" si="10"/>
        <v>992.1</v>
      </c>
    </row>
    <row r="31" ht="14.25" customHeight="1">
      <c r="A31" s="216"/>
      <c r="B31" s="435"/>
      <c r="C31" s="216"/>
      <c r="D31" s="427">
        <v>72.5</v>
      </c>
      <c r="E31" s="428">
        <v>25.0</v>
      </c>
      <c r="F31" s="432">
        <v>1.25</v>
      </c>
      <c r="G31" s="427"/>
      <c r="H31" s="427"/>
      <c r="I31" s="427">
        <f t="shared" si="1"/>
        <v>159.8</v>
      </c>
      <c r="J31" s="419"/>
      <c r="K31" s="427">
        <v>77.5</v>
      </c>
      <c r="L31" s="428">
        <v>25.0</v>
      </c>
      <c r="M31" s="432">
        <v>1.25</v>
      </c>
      <c r="N31" s="427"/>
      <c r="O31" s="427"/>
      <c r="P31" s="427">
        <f t="shared" si="2"/>
        <v>170.9</v>
      </c>
      <c r="Q31" s="419"/>
      <c r="R31" s="427">
        <v>152.5</v>
      </c>
      <c r="S31" s="428" t="s">
        <v>144</v>
      </c>
      <c r="T31" s="429">
        <v>15.0</v>
      </c>
      <c r="U31" s="432">
        <v>1.25</v>
      </c>
      <c r="V31" s="427"/>
      <c r="W31" s="427">
        <f t="shared" si="3"/>
        <v>336.2</v>
      </c>
      <c r="X31" s="419"/>
      <c r="Y31" s="427">
        <v>152.5</v>
      </c>
      <c r="Z31" s="428" t="s">
        <v>144</v>
      </c>
      <c r="AA31" s="430">
        <v>10.0</v>
      </c>
      <c r="AB31" s="431">
        <v>2.5</v>
      </c>
      <c r="AC31" s="432">
        <v>1.25</v>
      </c>
      <c r="AD31" s="427">
        <f t="shared" si="4"/>
        <v>336.2</v>
      </c>
      <c r="AE31" s="419"/>
      <c r="AF31" s="427">
        <v>252.5</v>
      </c>
      <c r="AG31" s="428" t="s">
        <v>145</v>
      </c>
      <c r="AH31" s="429">
        <v>15.0</v>
      </c>
      <c r="AI31" s="432">
        <v>1.25</v>
      </c>
      <c r="AJ31" s="427"/>
      <c r="AK31" s="427">
        <f t="shared" si="5"/>
        <v>556.7</v>
      </c>
      <c r="AL31" s="419"/>
      <c r="AM31" s="427">
        <v>252.5</v>
      </c>
      <c r="AN31" s="428" t="s">
        <v>145</v>
      </c>
      <c r="AO31" s="430">
        <v>10.0</v>
      </c>
      <c r="AP31" s="431">
        <v>2.5</v>
      </c>
      <c r="AQ31" s="432">
        <v>1.25</v>
      </c>
      <c r="AR31" s="427">
        <f t="shared" si="6"/>
        <v>556.7</v>
      </c>
      <c r="AS31" s="419"/>
      <c r="AT31" s="427">
        <v>352.5</v>
      </c>
      <c r="AU31" s="428" t="s">
        <v>146</v>
      </c>
      <c r="AV31" s="429">
        <v>15.0</v>
      </c>
      <c r="AW31" s="432">
        <v>1.25</v>
      </c>
      <c r="AX31" s="427"/>
      <c r="AY31" s="427">
        <f t="shared" si="7"/>
        <v>777.1</v>
      </c>
      <c r="AZ31" s="419"/>
      <c r="BA31" s="427">
        <v>352.5</v>
      </c>
      <c r="BB31" s="428" t="s">
        <v>146</v>
      </c>
      <c r="BC31" s="430">
        <v>10.0</v>
      </c>
      <c r="BD31" s="431">
        <v>2.5</v>
      </c>
      <c r="BE31" s="432">
        <v>1.25</v>
      </c>
      <c r="BF31" s="427">
        <f t="shared" si="8"/>
        <v>777.1</v>
      </c>
      <c r="BG31" s="419"/>
      <c r="BH31" s="427">
        <v>452.5</v>
      </c>
      <c r="BI31" s="428" t="s">
        <v>147</v>
      </c>
      <c r="BJ31" s="429">
        <v>15.0</v>
      </c>
      <c r="BK31" s="432">
        <v>1.25</v>
      </c>
      <c r="BL31" s="427"/>
      <c r="BM31" s="427">
        <f t="shared" si="9"/>
        <v>997.6</v>
      </c>
      <c r="BN31" s="419"/>
      <c r="BO31" s="427">
        <v>452.5</v>
      </c>
      <c r="BP31" s="428" t="s">
        <v>147</v>
      </c>
      <c r="BQ31" s="430">
        <v>10.0</v>
      </c>
      <c r="BR31" s="431">
        <v>2.5</v>
      </c>
      <c r="BS31" s="432">
        <v>1.25</v>
      </c>
      <c r="BT31" s="427">
        <f t="shared" si="10"/>
        <v>997.6</v>
      </c>
    </row>
    <row r="32" ht="14.25" customHeight="1">
      <c r="A32" s="216"/>
      <c r="B32" s="435"/>
      <c r="C32" s="216"/>
      <c r="D32" s="427">
        <v>75.0</v>
      </c>
      <c r="E32" s="428">
        <v>25.0</v>
      </c>
      <c r="F32" s="431">
        <v>2.5</v>
      </c>
      <c r="G32" s="427"/>
      <c r="H32" s="427"/>
      <c r="I32" s="427">
        <f t="shared" si="1"/>
        <v>165.3</v>
      </c>
      <c r="J32" s="419"/>
      <c r="K32" s="427">
        <v>80.0</v>
      </c>
      <c r="L32" s="428">
        <v>25.0</v>
      </c>
      <c r="M32" s="431">
        <v>2.5</v>
      </c>
      <c r="N32" s="427"/>
      <c r="O32" s="427"/>
      <c r="P32" s="427">
        <f t="shared" si="2"/>
        <v>176.4</v>
      </c>
      <c r="Q32" s="419"/>
      <c r="R32" s="427">
        <v>155.0</v>
      </c>
      <c r="S32" s="428" t="s">
        <v>144</v>
      </c>
      <c r="T32" s="429">
        <v>15.0</v>
      </c>
      <c r="U32" s="431">
        <v>2.5</v>
      </c>
      <c r="V32" s="427"/>
      <c r="W32" s="427">
        <f t="shared" si="3"/>
        <v>341.7</v>
      </c>
      <c r="X32" s="419"/>
      <c r="Y32" s="427">
        <v>155.0</v>
      </c>
      <c r="Z32" s="428" t="s">
        <v>144</v>
      </c>
      <c r="AA32" s="429">
        <v>15.0</v>
      </c>
      <c r="AB32" s="427"/>
      <c r="AC32" s="427"/>
      <c r="AD32" s="427">
        <f t="shared" si="4"/>
        <v>341.7</v>
      </c>
      <c r="AE32" s="419"/>
      <c r="AF32" s="427">
        <v>255.0</v>
      </c>
      <c r="AG32" s="428" t="s">
        <v>145</v>
      </c>
      <c r="AH32" s="429">
        <v>15.0</v>
      </c>
      <c r="AI32" s="431">
        <v>2.5</v>
      </c>
      <c r="AJ32" s="427"/>
      <c r="AK32" s="427">
        <f t="shared" si="5"/>
        <v>562.2</v>
      </c>
      <c r="AL32" s="419"/>
      <c r="AM32" s="427">
        <v>255.0</v>
      </c>
      <c r="AN32" s="428" t="s">
        <v>145</v>
      </c>
      <c r="AO32" s="429">
        <v>15.0</v>
      </c>
      <c r="AP32" s="427"/>
      <c r="AQ32" s="427"/>
      <c r="AR32" s="427">
        <f t="shared" si="6"/>
        <v>562.2</v>
      </c>
      <c r="AS32" s="419"/>
      <c r="AT32" s="427">
        <v>355.0</v>
      </c>
      <c r="AU32" s="428" t="s">
        <v>146</v>
      </c>
      <c r="AV32" s="429">
        <v>15.0</v>
      </c>
      <c r="AW32" s="431">
        <v>2.5</v>
      </c>
      <c r="AX32" s="427"/>
      <c r="AY32" s="427">
        <f t="shared" si="7"/>
        <v>782.6</v>
      </c>
      <c r="AZ32" s="419"/>
      <c r="BA32" s="427">
        <v>355.0</v>
      </c>
      <c r="BB32" s="428" t="s">
        <v>146</v>
      </c>
      <c r="BC32" s="429">
        <v>15.0</v>
      </c>
      <c r="BD32" s="427"/>
      <c r="BE32" s="427"/>
      <c r="BF32" s="427">
        <f t="shared" si="8"/>
        <v>782.6</v>
      </c>
      <c r="BG32" s="419"/>
      <c r="BH32" s="427">
        <v>455.0</v>
      </c>
      <c r="BI32" s="428" t="s">
        <v>147</v>
      </c>
      <c r="BJ32" s="429">
        <v>15.0</v>
      </c>
      <c r="BK32" s="431">
        <v>2.5</v>
      </c>
      <c r="BL32" s="427"/>
      <c r="BM32" s="427">
        <f t="shared" si="9"/>
        <v>1003.1</v>
      </c>
      <c r="BN32" s="419"/>
      <c r="BO32" s="427">
        <v>455.0</v>
      </c>
      <c r="BP32" s="428" t="s">
        <v>147</v>
      </c>
      <c r="BQ32" s="429">
        <v>15.0</v>
      </c>
      <c r="BR32" s="427"/>
      <c r="BS32" s="427"/>
      <c r="BT32" s="427">
        <f t="shared" si="10"/>
        <v>1003.1</v>
      </c>
    </row>
    <row r="33" ht="14.25" customHeight="1">
      <c r="A33" s="216"/>
      <c r="B33" s="435"/>
      <c r="C33" s="216"/>
      <c r="D33" s="427">
        <v>77.5</v>
      </c>
      <c r="E33" s="428">
        <v>25.0</v>
      </c>
      <c r="F33" s="431">
        <v>2.5</v>
      </c>
      <c r="G33" s="432">
        <v>1.25</v>
      </c>
      <c r="H33" s="427"/>
      <c r="I33" s="427">
        <f t="shared" si="1"/>
        <v>170.9</v>
      </c>
      <c r="J33" s="419"/>
      <c r="K33" s="427">
        <v>82.5</v>
      </c>
      <c r="L33" s="428">
        <v>25.0</v>
      </c>
      <c r="M33" s="431">
        <v>2.5</v>
      </c>
      <c r="N33" s="432">
        <v>1.25</v>
      </c>
      <c r="O33" s="427"/>
      <c r="P33" s="427">
        <f t="shared" si="2"/>
        <v>181.9</v>
      </c>
      <c r="Q33" s="419"/>
      <c r="R33" s="427">
        <v>157.5</v>
      </c>
      <c r="S33" s="428" t="s">
        <v>144</v>
      </c>
      <c r="T33" s="429">
        <v>15.0</v>
      </c>
      <c r="U33" s="431">
        <v>2.5</v>
      </c>
      <c r="V33" s="432">
        <v>1.25</v>
      </c>
      <c r="W33" s="427">
        <f t="shared" si="3"/>
        <v>347.2</v>
      </c>
      <c r="X33" s="419"/>
      <c r="Y33" s="427">
        <v>157.5</v>
      </c>
      <c r="Z33" s="428" t="s">
        <v>144</v>
      </c>
      <c r="AA33" s="429">
        <v>15.0</v>
      </c>
      <c r="AB33" s="432">
        <v>1.25</v>
      </c>
      <c r="AC33" s="427"/>
      <c r="AD33" s="427">
        <f t="shared" si="4"/>
        <v>347.2</v>
      </c>
      <c r="AE33" s="419"/>
      <c r="AF33" s="427">
        <v>257.5</v>
      </c>
      <c r="AG33" s="428" t="s">
        <v>145</v>
      </c>
      <c r="AH33" s="429">
        <v>15.0</v>
      </c>
      <c r="AI33" s="431">
        <v>2.5</v>
      </c>
      <c r="AJ33" s="432">
        <v>1.25</v>
      </c>
      <c r="AK33" s="427">
        <f t="shared" si="5"/>
        <v>567.7</v>
      </c>
      <c r="AL33" s="419"/>
      <c r="AM33" s="427">
        <v>257.5</v>
      </c>
      <c r="AN33" s="428" t="s">
        <v>145</v>
      </c>
      <c r="AO33" s="429">
        <v>15.0</v>
      </c>
      <c r="AP33" s="432">
        <v>1.25</v>
      </c>
      <c r="AQ33" s="427"/>
      <c r="AR33" s="427">
        <f t="shared" si="6"/>
        <v>567.7</v>
      </c>
      <c r="AS33" s="419"/>
      <c r="AT33" s="427">
        <v>357.5</v>
      </c>
      <c r="AU33" s="428" t="s">
        <v>146</v>
      </c>
      <c r="AV33" s="429">
        <v>15.0</v>
      </c>
      <c r="AW33" s="431">
        <v>2.5</v>
      </c>
      <c r="AX33" s="432">
        <v>1.25</v>
      </c>
      <c r="AY33" s="427">
        <f t="shared" si="7"/>
        <v>788.1</v>
      </c>
      <c r="AZ33" s="419"/>
      <c r="BA33" s="427">
        <v>357.5</v>
      </c>
      <c r="BB33" s="428" t="s">
        <v>146</v>
      </c>
      <c r="BC33" s="429">
        <v>15.0</v>
      </c>
      <c r="BD33" s="432">
        <v>1.25</v>
      </c>
      <c r="BE33" s="427"/>
      <c r="BF33" s="427">
        <f t="shared" si="8"/>
        <v>788.1</v>
      </c>
      <c r="BG33" s="419"/>
      <c r="BH33" s="427">
        <v>457.5</v>
      </c>
      <c r="BI33" s="428" t="s">
        <v>147</v>
      </c>
      <c r="BJ33" s="429">
        <v>15.0</v>
      </c>
      <c r="BK33" s="431">
        <v>2.5</v>
      </c>
      <c r="BL33" s="432">
        <v>1.25</v>
      </c>
      <c r="BM33" s="427">
        <f t="shared" si="9"/>
        <v>1008.6</v>
      </c>
      <c r="BN33" s="419"/>
      <c r="BO33" s="427">
        <v>457.5</v>
      </c>
      <c r="BP33" s="428" t="s">
        <v>147</v>
      </c>
      <c r="BQ33" s="429">
        <v>15.0</v>
      </c>
      <c r="BR33" s="432">
        <v>1.25</v>
      </c>
      <c r="BS33" s="427"/>
      <c r="BT33" s="427">
        <f t="shared" si="10"/>
        <v>1008.6</v>
      </c>
    </row>
    <row r="34" ht="14.25" customHeight="1">
      <c r="A34" s="216"/>
      <c r="B34" s="435"/>
      <c r="C34" s="216"/>
      <c r="D34" s="427">
        <v>80.0</v>
      </c>
      <c r="E34" s="428">
        <v>25.0</v>
      </c>
      <c r="F34" s="433">
        <v>5.0</v>
      </c>
      <c r="G34" s="427"/>
      <c r="H34" s="427"/>
      <c r="I34" s="427">
        <f t="shared" si="1"/>
        <v>176.4</v>
      </c>
      <c r="J34" s="419"/>
      <c r="K34" s="427">
        <v>85.0</v>
      </c>
      <c r="L34" s="428">
        <v>25.0</v>
      </c>
      <c r="M34" s="433">
        <v>5.0</v>
      </c>
      <c r="N34" s="427"/>
      <c r="O34" s="427"/>
      <c r="P34" s="427">
        <f t="shared" si="2"/>
        <v>187.4</v>
      </c>
      <c r="Q34" s="419"/>
      <c r="R34" s="427">
        <v>160.0</v>
      </c>
      <c r="S34" s="428" t="s">
        <v>144</v>
      </c>
      <c r="T34" s="434">
        <v>20.0</v>
      </c>
      <c r="U34" s="427"/>
      <c r="V34" s="427"/>
      <c r="W34" s="427">
        <f t="shared" si="3"/>
        <v>352.7</v>
      </c>
      <c r="X34" s="419"/>
      <c r="Y34" s="427">
        <v>160.0</v>
      </c>
      <c r="Z34" s="428" t="s">
        <v>144</v>
      </c>
      <c r="AA34" s="429">
        <v>15.0</v>
      </c>
      <c r="AB34" s="431">
        <v>2.5</v>
      </c>
      <c r="AC34" s="427"/>
      <c r="AD34" s="427">
        <f t="shared" si="4"/>
        <v>352.7</v>
      </c>
      <c r="AE34" s="419"/>
      <c r="AF34" s="427">
        <v>260.0</v>
      </c>
      <c r="AG34" s="428" t="s">
        <v>145</v>
      </c>
      <c r="AH34" s="434">
        <v>20.0</v>
      </c>
      <c r="AI34" s="427"/>
      <c r="AJ34" s="427"/>
      <c r="AK34" s="427">
        <f t="shared" si="5"/>
        <v>573.2</v>
      </c>
      <c r="AL34" s="419"/>
      <c r="AM34" s="427">
        <v>260.0</v>
      </c>
      <c r="AN34" s="428" t="s">
        <v>145</v>
      </c>
      <c r="AO34" s="429">
        <v>15.0</v>
      </c>
      <c r="AP34" s="431">
        <v>2.5</v>
      </c>
      <c r="AQ34" s="427"/>
      <c r="AR34" s="427">
        <f t="shared" si="6"/>
        <v>573.2</v>
      </c>
      <c r="AS34" s="419"/>
      <c r="AT34" s="427">
        <v>360.0</v>
      </c>
      <c r="AU34" s="428" t="s">
        <v>146</v>
      </c>
      <c r="AV34" s="434">
        <v>20.0</v>
      </c>
      <c r="AW34" s="427"/>
      <c r="AX34" s="427"/>
      <c r="AY34" s="427">
        <f t="shared" si="7"/>
        <v>793.7</v>
      </c>
      <c r="AZ34" s="419"/>
      <c r="BA34" s="427">
        <v>360.0</v>
      </c>
      <c r="BB34" s="428" t="s">
        <v>146</v>
      </c>
      <c r="BC34" s="429">
        <v>15.0</v>
      </c>
      <c r="BD34" s="431">
        <v>2.5</v>
      </c>
      <c r="BE34" s="427"/>
      <c r="BF34" s="427">
        <f t="shared" si="8"/>
        <v>793.7</v>
      </c>
      <c r="BG34" s="419"/>
      <c r="BH34" s="427">
        <v>460.0</v>
      </c>
      <c r="BI34" s="428" t="s">
        <v>147</v>
      </c>
      <c r="BJ34" s="434">
        <v>20.0</v>
      </c>
      <c r="BK34" s="427"/>
      <c r="BL34" s="427"/>
      <c r="BM34" s="427">
        <f t="shared" si="9"/>
        <v>1014.1</v>
      </c>
      <c r="BN34" s="419"/>
      <c r="BO34" s="427">
        <v>460.0</v>
      </c>
      <c r="BP34" s="428" t="s">
        <v>147</v>
      </c>
      <c r="BQ34" s="429">
        <v>15.0</v>
      </c>
      <c r="BR34" s="431">
        <v>2.5</v>
      </c>
      <c r="BS34" s="427"/>
      <c r="BT34" s="427">
        <f t="shared" si="10"/>
        <v>1014.1</v>
      </c>
    </row>
    <row r="35" ht="14.25" customHeight="1">
      <c r="A35" s="216"/>
      <c r="B35" s="435"/>
      <c r="C35" s="216"/>
      <c r="D35" s="427">
        <v>82.5</v>
      </c>
      <c r="E35" s="428">
        <v>25.0</v>
      </c>
      <c r="F35" s="433">
        <v>5.0</v>
      </c>
      <c r="G35" s="432">
        <v>1.25</v>
      </c>
      <c r="H35" s="427"/>
      <c r="I35" s="427">
        <f t="shared" si="1"/>
        <v>181.9</v>
      </c>
      <c r="J35" s="419"/>
      <c r="K35" s="427">
        <v>87.5</v>
      </c>
      <c r="L35" s="428">
        <v>25.0</v>
      </c>
      <c r="M35" s="433">
        <v>5.0</v>
      </c>
      <c r="N35" s="432">
        <v>1.25</v>
      </c>
      <c r="O35" s="427"/>
      <c r="P35" s="427">
        <f t="shared" si="2"/>
        <v>192.9</v>
      </c>
      <c r="Q35" s="419"/>
      <c r="R35" s="427">
        <v>162.5</v>
      </c>
      <c r="S35" s="428" t="s">
        <v>144</v>
      </c>
      <c r="T35" s="434">
        <v>20.0</v>
      </c>
      <c r="U35" s="432">
        <v>1.25</v>
      </c>
      <c r="V35" s="427"/>
      <c r="W35" s="427">
        <f t="shared" si="3"/>
        <v>358.2</v>
      </c>
      <c r="X35" s="419"/>
      <c r="Y35" s="427">
        <v>162.5</v>
      </c>
      <c r="Z35" s="428" t="s">
        <v>144</v>
      </c>
      <c r="AA35" s="429">
        <v>15.0</v>
      </c>
      <c r="AB35" s="431">
        <v>2.5</v>
      </c>
      <c r="AC35" s="432">
        <v>1.25</v>
      </c>
      <c r="AD35" s="427">
        <f t="shared" si="4"/>
        <v>358.2</v>
      </c>
      <c r="AE35" s="419"/>
      <c r="AF35" s="427">
        <v>262.5</v>
      </c>
      <c r="AG35" s="428" t="s">
        <v>145</v>
      </c>
      <c r="AH35" s="434">
        <v>20.0</v>
      </c>
      <c r="AI35" s="432">
        <v>1.25</v>
      </c>
      <c r="AJ35" s="427"/>
      <c r="AK35" s="427">
        <f t="shared" si="5"/>
        <v>578.7</v>
      </c>
      <c r="AL35" s="419"/>
      <c r="AM35" s="427">
        <v>262.5</v>
      </c>
      <c r="AN35" s="428" t="s">
        <v>145</v>
      </c>
      <c r="AO35" s="429">
        <v>15.0</v>
      </c>
      <c r="AP35" s="431">
        <v>2.5</v>
      </c>
      <c r="AQ35" s="432">
        <v>1.25</v>
      </c>
      <c r="AR35" s="427">
        <f t="shared" si="6"/>
        <v>578.7</v>
      </c>
      <c r="AS35" s="419"/>
      <c r="AT35" s="427">
        <v>362.5</v>
      </c>
      <c r="AU35" s="428" t="s">
        <v>146</v>
      </c>
      <c r="AV35" s="434">
        <v>20.0</v>
      </c>
      <c r="AW35" s="432">
        <v>1.25</v>
      </c>
      <c r="AX35" s="427"/>
      <c r="AY35" s="427">
        <f t="shared" si="7"/>
        <v>799.2</v>
      </c>
      <c r="AZ35" s="419"/>
      <c r="BA35" s="427">
        <v>362.5</v>
      </c>
      <c r="BB35" s="428" t="s">
        <v>146</v>
      </c>
      <c r="BC35" s="429">
        <v>15.0</v>
      </c>
      <c r="BD35" s="431">
        <v>2.5</v>
      </c>
      <c r="BE35" s="432">
        <v>1.25</v>
      </c>
      <c r="BF35" s="427">
        <f t="shared" si="8"/>
        <v>799.2</v>
      </c>
      <c r="BG35" s="419"/>
      <c r="BH35" s="427">
        <v>462.5</v>
      </c>
      <c r="BI35" s="428" t="s">
        <v>147</v>
      </c>
      <c r="BJ35" s="434">
        <v>20.0</v>
      </c>
      <c r="BK35" s="432">
        <v>1.25</v>
      </c>
      <c r="BL35" s="427"/>
      <c r="BM35" s="427">
        <f t="shared" si="9"/>
        <v>1019.6</v>
      </c>
      <c r="BN35" s="419"/>
      <c r="BO35" s="427">
        <v>462.5</v>
      </c>
      <c r="BP35" s="428" t="s">
        <v>147</v>
      </c>
      <c r="BQ35" s="429">
        <v>15.0</v>
      </c>
      <c r="BR35" s="431">
        <v>2.5</v>
      </c>
      <c r="BS35" s="432">
        <v>1.25</v>
      </c>
      <c r="BT35" s="427">
        <f t="shared" si="10"/>
        <v>1019.6</v>
      </c>
    </row>
    <row r="36" ht="14.25" customHeight="1">
      <c r="A36" s="216"/>
      <c r="B36" s="435"/>
      <c r="C36" s="216"/>
      <c r="D36" s="427">
        <v>85.0</v>
      </c>
      <c r="E36" s="428">
        <v>25.0</v>
      </c>
      <c r="F36" s="433">
        <v>5.0</v>
      </c>
      <c r="G36" s="431">
        <v>2.5</v>
      </c>
      <c r="H36" s="427"/>
      <c r="I36" s="427">
        <f t="shared" si="1"/>
        <v>187.4</v>
      </c>
      <c r="J36" s="419"/>
      <c r="K36" s="427">
        <v>90.0</v>
      </c>
      <c r="L36" s="428">
        <v>25.0</v>
      </c>
      <c r="M36" s="433">
        <v>5.0</v>
      </c>
      <c r="N36" s="431">
        <v>2.5</v>
      </c>
      <c r="O36" s="427"/>
      <c r="P36" s="427">
        <f t="shared" si="2"/>
        <v>198.4</v>
      </c>
      <c r="Q36" s="419"/>
      <c r="R36" s="427">
        <v>165.0</v>
      </c>
      <c r="S36" s="428" t="s">
        <v>144</v>
      </c>
      <c r="T36" s="434">
        <v>20.0</v>
      </c>
      <c r="U36" s="431">
        <v>2.5</v>
      </c>
      <c r="V36" s="427"/>
      <c r="W36" s="427">
        <f t="shared" si="3"/>
        <v>363.8</v>
      </c>
      <c r="X36" s="419"/>
      <c r="Y36" s="427">
        <v>165.0</v>
      </c>
      <c r="Z36" s="428" t="s">
        <v>144</v>
      </c>
      <c r="AA36" s="434">
        <v>20.0</v>
      </c>
      <c r="AB36" s="427"/>
      <c r="AC36" s="427"/>
      <c r="AD36" s="427">
        <f t="shared" si="4"/>
        <v>363.8</v>
      </c>
      <c r="AE36" s="419"/>
      <c r="AF36" s="427">
        <v>265.0</v>
      </c>
      <c r="AG36" s="428" t="s">
        <v>145</v>
      </c>
      <c r="AH36" s="434">
        <v>20.0</v>
      </c>
      <c r="AI36" s="431">
        <v>2.5</v>
      </c>
      <c r="AJ36" s="427"/>
      <c r="AK36" s="427">
        <f t="shared" si="5"/>
        <v>584.2</v>
      </c>
      <c r="AL36" s="419"/>
      <c r="AM36" s="427">
        <v>265.0</v>
      </c>
      <c r="AN36" s="428" t="s">
        <v>145</v>
      </c>
      <c r="AO36" s="434">
        <v>20.0</v>
      </c>
      <c r="AP36" s="427"/>
      <c r="AQ36" s="427"/>
      <c r="AR36" s="427">
        <f t="shared" si="6"/>
        <v>584.2</v>
      </c>
      <c r="AS36" s="419"/>
      <c r="AT36" s="427">
        <v>365.0</v>
      </c>
      <c r="AU36" s="428" t="s">
        <v>146</v>
      </c>
      <c r="AV36" s="434">
        <v>20.0</v>
      </c>
      <c r="AW36" s="431">
        <v>2.5</v>
      </c>
      <c r="AX36" s="427"/>
      <c r="AY36" s="427">
        <f t="shared" si="7"/>
        <v>804.7</v>
      </c>
      <c r="AZ36" s="419"/>
      <c r="BA36" s="427">
        <v>365.0</v>
      </c>
      <c r="BB36" s="428" t="s">
        <v>146</v>
      </c>
      <c r="BC36" s="434">
        <v>20.0</v>
      </c>
      <c r="BD36" s="427"/>
      <c r="BE36" s="427"/>
      <c r="BF36" s="427">
        <f t="shared" si="8"/>
        <v>804.7</v>
      </c>
      <c r="BG36" s="419"/>
      <c r="BH36" s="427">
        <v>465.0</v>
      </c>
      <c r="BI36" s="428" t="s">
        <v>147</v>
      </c>
      <c r="BJ36" s="434">
        <v>20.0</v>
      </c>
      <c r="BK36" s="431">
        <v>2.5</v>
      </c>
      <c r="BL36" s="427"/>
      <c r="BM36" s="427">
        <f t="shared" si="9"/>
        <v>1025.1</v>
      </c>
      <c r="BN36" s="419"/>
      <c r="BO36" s="427">
        <v>465.0</v>
      </c>
      <c r="BP36" s="428" t="s">
        <v>147</v>
      </c>
      <c r="BQ36" s="434">
        <v>20.0</v>
      </c>
      <c r="BR36" s="427"/>
      <c r="BS36" s="427"/>
      <c r="BT36" s="427">
        <f t="shared" si="10"/>
        <v>1025.1</v>
      </c>
    </row>
    <row r="37" ht="14.25" customHeight="1">
      <c r="A37" s="216"/>
      <c r="B37" s="435"/>
      <c r="C37" s="216"/>
      <c r="D37" s="427">
        <v>87.5</v>
      </c>
      <c r="E37" s="428">
        <v>25.0</v>
      </c>
      <c r="F37" s="433">
        <v>5.0</v>
      </c>
      <c r="G37" s="431">
        <v>2.5</v>
      </c>
      <c r="H37" s="432">
        <v>1.25</v>
      </c>
      <c r="I37" s="427">
        <f t="shared" si="1"/>
        <v>192.9</v>
      </c>
      <c r="J37" s="419"/>
      <c r="K37" s="427">
        <v>92.5</v>
      </c>
      <c r="L37" s="428">
        <v>25.0</v>
      </c>
      <c r="M37" s="433">
        <v>5.0</v>
      </c>
      <c r="N37" s="431">
        <v>2.5</v>
      </c>
      <c r="O37" s="432">
        <v>1.25</v>
      </c>
      <c r="P37" s="427">
        <f t="shared" si="2"/>
        <v>203.9</v>
      </c>
      <c r="Q37" s="419"/>
      <c r="R37" s="427">
        <v>167.5</v>
      </c>
      <c r="S37" s="428" t="s">
        <v>144</v>
      </c>
      <c r="T37" s="434">
        <v>20.0</v>
      </c>
      <c r="U37" s="431">
        <v>2.5</v>
      </c>
      <c r="V37" s="432">
        <v>1.25</v>
      </c>
      <c r="W37" s="427">
        <f t="shared" si="3"/>
        <v>369.3</v>
      </c>
      <c r="X37" s="419"/>
      <c r="Y37" s="427">
        <v>167.5</v>
      </c>
      <c r="Z37" s="428" t="s">
        <v>144</v>
      </c>
      <c r="AA37" s="434">
        <v>20.0</v>
      </c>
      <c r="AB37" s="432">
        <v>1.25</v>
      </c>
      <c r="AC37" s="427"/>
      <c r="AD37" s="427">
        <f t="shared" si="4"/>
        <v>369.3</v>
      </c>
      <c r="AE37" s="419"/>
      <c r="AF37" s="427">
        <v>267.5</v>
      </c>
      <c r="AG37" s="428" t="s">
        <v>145</v>
      </c>
      <c r="AH37" s="434">
        <v>20.0</v>
      </c>
      <c r="AI37" s="431">
        <v>2.5</v>
      </c>
      <c r="AJ37" s="432">
        <v>1.25</v>
      </c>
      <c r="AK37" s="427">
        <f t="shared" si="5"/>
        <v>589.7</v>
      </c>
      <c r="AL37" s="419"/>
      <c r="AM37" s="427">
        <v>267.5</v>
      </c>
      <c r="AN37" s="428" t="s">
        <v>145</v>
      </c>
      <c r="AO37" s="434">
        <v>20.0</v>
      </c>
      <c r="AP37" s="432">
        <v>1.25</v>
      </c>
      <c r="AQ37" s="427"/>
      <c r="AR37" s="427">
        <f t="shared" si="6"/>
        <v>589.7</v>
      </c>
      <c r="AS37" s="419"/>
      <c r="AT37" s="427">
        <v>367.5</v>
      </c>
      <c r="AU37" s="428" t="s">
        <v>146</v>
      </c>
      <c r="AV37" s="434">
        <v>20.0</v>
      </c>
      <c r="AW37" s="431">
        <v>2.5</v>
      </c>
      <c r="AX37" s="432">
        <v>1.25</v>
      </c>
      <c r="AY37" s="427">
        <f t="shared" si="7"/>
        <v>810.2</v>
      </c>
      <c r="AZ37" s="419"/>
      <c r="BA37" s="427">
        <v>367.5</v>
      </c>
      <c r="BB37" s="428" t="s">
        <v>146</v>
      </c>
      <c r="BC37" s="434">
        <v>20.0</v>
      </c>
      <c r="BD37" s="432">
        <v>1.25</v>
      </c>
      <c r="BE37" s="427"/>
      <c r="BF37" s="427">
        <f t="shared" si="8"/>
        <v>810.2</v>
      </c>
      <c r="BG37" s="419"/>
      <c r="BH37" s="427">
        <v>467.5</v>
      </c>
      <c r="BI37" s="428" t="s">
        <v>147</v>
      </c>
      <c r="BJ37" s="434">
        <v>20.0</v>
      </c>
      <c r="BK37" s="431">
        <v>2.5</v>
      </c>
      <c r="BL37" s="432">
        <v>1.25</v>
      </c>
      <c r="BM37" s="427">
        <f t="shared" si="9"/>
        <v>1030.7</v>
      </c>
      <c r="BN37" s="419"/>
      <c r="BO37" s="427">
        <v>467.5</v>
      </c>
      <c r="BP37" s="428" t="s">
        <v>147</v>
      </c>
      <c r="BQ37" s="434">
        <v>20.0</v>
      </c>
      <c r="BR37" s="432">
        <v>1.25</v>
      </c>
      <c r="BS37" s="427"/>
      <c r="BT37" s="427">
        <f t="shared" si="10"/>
        <v>1030.7</v>
      </c>
    </row>
    <row r="38" ht="14.25" customHeight="1">
      <c r="A38" s="216"/>
      <c r="B38" s="435"/>
      <c r="C38" s="216"/>
      <c r="D38" s="427">
        <v>90.0</v>
      </c>
      <c r="E38" s="428">
        <v>25.0</v>
      </c>
      <c r="F38" s="430">
        <v>10.0</v>
      </c>
      <c r="G38" s="427"/>
      <c r="H38" s="427"/>
      <c r="I38" s="427">
        <f t="shared" si="1"/>
        <v>198.4</v>
      </c>
      <c r="J38" s="419"/>
      <c r="K38" s="427">
        <v>95.0</v>
      </c>
      <c r="L38" s="428">
        <v>25.0</v>
      </c>
      <c r="M38" s="430">
        <v>10.0</v>
      </c>
      <c r="N38" s="427"/>
      <c r="O38" s="427"/>
      <c r="P38" s="427">
        <f t="shared" si="2"/>
        <v>209.4</v>
      </c>
      <c r="Q38" s="419"/>
      <c r="R38" s="427">
        <v>170.0</v>
      </c>
      <c r="S38" s="428" t="s">
        <v>141</v>
      </c>
      <c r="T38" s="427"/>
      <c r="U38" s="427"/>
      <c r="V38" s="427"/>
      <c r="W38" s="427">
        <f t="shared" si="3"/>
        <v>374.8</v>
      </c>
      <c r="X38" s="419"/>
      <c r="Y38" s="427">
        <v>170.0</v>
      </c>
      <c r="Z38" s="428" t="s">
        <v>144</v>
      </c>
      <c r="AA38" s="434">
        <v>20.0</v>
      </c>
      <c r="AB38" s="431">
        <v>2.5</v>
      </c>
      <c r="AC38" s="427"/>
      <c r="AD38" s="427">
        <f t="shared" si="4"/>
        <v>374.8</v>
      </c>
      <c r="AE38" s="419"/>
      <c r="AF38" s="427">
        <v>270.0</v>
      </c>
      <c r="AG38" s="428" t="s">
        <v>142</v>
      </c>
      <c r="AH38" s="427"/>
      <c r="AI38" s="427"/>
      <c r="AJ38" s="427"/>
      <c r="AK38" s="427">
        <f t="shared" si="5"/>
        <v>595.2</v>
      </c>
      <c r="AL38" s="419"/>
      <c r="AM38" s="427">
        <v>270.0</v>
      </c>
      <c r="AN38" s="428" t="s">
        <v>142</v>
      </c>
      <c r="AO38" s="434">
        <v>20.0</v>
      </c>
      <c r="AP38" s="431">
        <v>2.5</v>
      </c>
      <c r="AQ38" s="427"/>
      <c r="AR38" s="427">
        <f t="shared" si="6"/>
        <v>595.2</v>
      </c>
      <c r="AS38" s="419"/>
      <c r="AT38" s="427">
        <v>370.0</v>
      </c>
      <c r="AU38" s="428" t="s">
        <v>143</v>
      </c>
      <c r="AV38" s="427"/>
      <c r="AW38" s="427"/>
      <c r="AX38" s="427"/>
      <c r="AY38" s="427">
        <f t="shared" si="7"/>
        <v>815.7</v>
      </c>
      <c r="AZ38" s="419"/>
      <c r="BA38" s="427">
        <v>370.0</v>
      </c>
      <c r="BB38" s="428" t="s">
        <v>143</v>
      </c>
      <c r="BC38" s="434">
        <v>20.0</v>
      </c>
      <c r="BD38" s="431">
        <v>2.5</v>
      </c>
      <c r="BE38" s="427"/>
      <c r="BF38" s="427">
        <f t="shared" si="8"/>
        <v>815.7</v>
      </c>
      <c r="BG38" s="419"/>
      <c r="BH38" s="427">
        <v>470.0</v>
      </c>
      <c r="BI38" s="428" t="s">
        <v>148</v>
      </c>
      <c r="BJ38" s="427"/>
      <c r="BK38" s="427"/>
      <c r="BL38" s="427"/>
      <c r="BM38" s="427">
        <f t="shared" si="9"/>
        <v>1036.2</v>
      </c>
      <c r="BN38" s="419"/>
      <c r="BO38" s="427">
        <v>470.0</v>
      </c>
      <c r="BP38" s="428" t="s">
        <v>148</v>
      </c>
      <c r="BQ38" s="434">
        <v>20.0</v>
      </c>
      <c r="BR38" s="431">
        <v>2.5</v>
      </c>
      <c r="BS38" s="427"/>
      <c r="BT38" s="427">
        <f t="shared" si="10"/>
        <v>1036.2</v>
      </c>
    </row>
    <row r="39" ht="14.25" customHeight="1">
      <c r="A39" s="216"/>
      <c r="B39" s="435"/>
      <c r="C39" s="216"/>
      <c r="D39" s="427">
        <v>92.5</v>
      </c>
      <c r="E39" s="428">
        <v>25.0</v>
      </c>
      <c r="F39" s="430">
        <v>10.0</v>
      </c>
      <c r="G39" s="432">
        <v>1.25</v>
      </c>
      <c r="H39" s="427"/>
      <c r="I39" s="427">
        <f t="shared" si="1"/>
        <v>203.9</v>
      </c>
      <c r="J39" s="419"/>
      <c r="K39" s="427">
        <v>97.5</v>
      </c>
      <c r="L39" s="428">
        <v>25.0</v>
      </c>
      <c r="M39" s="430">
        <v>10.0</v>
      </c>
      <c r="N39" s="432">
        <v>1.25</v>
      </c>
      <c r="O39" s="427"/>
      <c r="P39" s="427">
        <f t="shared" si="2"/>
        <v>214.9</v>
      </c>
      <c r="Q39" s="419"/>
      <c r="R39" s="427">
        <v>172.5</v>
      </c>
      <c r="S39" s="428" t="s">
        <v>141</v>
      </c>
      <c r="T39" s="432">
        <v>1.25</v>
      </c>
      <c r="U39" s="427"/>
      <c r="V39" s="427"/>
      <c r="W39" s="427">
        <f t="shared" si="3"/>
        <v>380.3</v>
      </c>
      <c r="X39" s="419"/>
      <c r="Y39" s="427">
        <v>172.5</v>
      </c>
      <c r="Z39" s="428" t="s">
        <v>144</v>
      </c>
      <c r="AA39" s="434">
        <v>20.0</v>
      </c>
      <c r="AB39" s="431">
        <v>2.5</v>
      </c>
      <c r="AC39" s="432">
        <v>1.25</v>
      </c>
      <c r="AD39" s="427">
        <f t="shared" si="4"/>
        <v>380.3</v>
      </c>
      <c r="AE39" s="419"/>
      <c r="AF39" s="427">
        <v>272.5</v>
      </c>
      <c r="AG39" s="428" t="s">
        <v>142</v>
      </c>
      <c r="AH39" s="432">
        <v>1.25</v>
      </c>
      <c r="AI39" s="427"/>
      <c r="AJ39" s="427"/>
      <c r="AK39" s="427">
        <f t="shared" si="5"/>
        <v>600.8</v>
      </c>
      <c r="AL39" s="419"/>
      <c r="AM39" s="427">
        <v>272.5</v>
      </c>
      <c r="AN39" s="428" t="s">
        <v>142</v>
      </c>
      <c r="AO39" s="434">
        <v>20.0</v>
      </c>
      <c r="AP39" s="431">
        <v>2.5</v>
      </c>
      <c r="AQ39" s="432">
        <v>1.25</v>
      </c>
      <c r="AR39" s="427">
        <f t="shared" si="6"/>
        <v>600.8</v>
      </c>
      <c r="AS39" s="419"/>
      <c r="AT39" s="427">
        <v>372.5</v>
      </c>
      <c r="AU39" s="428" t="s">
        <v>143</v>
      </c>
      <c r="AV39" s="432">
        <v>1.25</v>
      </c>
      <c r="AW39" s="427"/>
      <c r="AX39" s="427"/>
      <c r="AY39" s="427">
        <f t="shared" si="7"/>
        <v>821.2</v>
      </c>
      <c r="AZ39" s="419"/>
      <c r="BA39" s="427">
        <v>372.5</v>
      </c>
      <c r="BB39" s="428" t="s">
        <v>143</v>
      </c>
      <c r="BC39" s="434">
        <v>20.0</v>
      </c>
      <c r="BD39" s="431">
        <v>2.5</v>
      </c>
      <c r="BE39" s="432">
        <v>1.25</v>
      </c>
      <c r="BF39" s="427">
        <f t="shared" si="8"/>
        <v>821.2</v>
      </c>
      <c r="BG39" s="419"/>
      <c r="BH39" s="427">
        <v>472.5</v>
      </c>
      <c r="BI39" s="428" t="s">
        <v>148</v>
      </c>
      <c r="BJ39" s="432">
        <v>1.25</v>
      </c>
      <c r="BK39" s="427"/>
      <c r="BL39" s="427"/>
      <c r="BM39" s="427">
        <f t="shared" si="9"/>
        <v>1041.7</v>
      </c>
      <c r="BN39" s="419"/>
      <c r="BO39" s="427">
        <v>472.5</v>
      </c>
      <c r="BP39" s="428" t="s">
        <v>148</v>
      </c>
      <c r="BQ39" s="434">
        <v>20.0</v>
      </c>
      <c r="BR39" s="431">
        <v>2.5</v>
      </c>
      <c r="BS39" s="432">
        <v>1.25</v>
      </c>
      <c r="BT39" s="427">
        <f t="shared" si="10"/>
        <v>1041.7</v>
      </c>
    </row>
    <row r="40" ht="14.25" customHeight="1">
      <c r="A40" s="216"/>
      <c r="B40" s="435"/>
      <c r="C40" s="216"/>
      <c r="D40" s="427">
        <v>95.0</v>
      </c>
      <c r="E40" s="428">
        <v>25.0</v>
      </c>
      <c r="F40" s="430">
        <v>10.0</v>
      </c>
      <c r="G40" s="431">
        <v>2.5</v>
      </c>
      <c r="H40" s="427"/>
      <c r="I40" s="427">
        <f t="shared" si="1"/>
        <v>209.4</v>
      </c>
      <c r="J40" s="419"/>
      <c r="K40" s="419"/>
      <c r="L40" s="419"/>
      <c r="M40" s="419"/>
      <c r="N40" s="419"/>
      <c r="O40" s="419"/>
      <c r="P40" s="419"/>
      <c r="Q40" s="419"/>
      <c r="R40" s="427">
        <v>175.0</v>
      </c>
      <c r="S40" s="428" t="s">
        <v>141</v>
      </c>
      <c r="T40" s="431">
        <v>2.5</v>
      </c>
      <c r="U40" s="427"/>
      <c r="V40" s="427"/>
      <c r="W40" s="427">
        <f t="shared" si="3"/>
        <v>385.8</v>
      </c>
      <c r="X40" s="419"/>
      <c r="Y40" s="427">
        <v>175.0</v>
      </c>
      <c r="Z40" s="428" t="s">
        <v>141</v>
      </c>
      <c r="AA40" s="427"/>
      <c r="AB40" s="427"/>
      <c r="AC40" s="427"/>
      <c r="AD40" s="427">
        <f t="shared" si="4"/>
        <v>385.8</v>
      </c>
      <c r="AE40" s="419"/>
      <c r="AF40" s="427">
        <v>275.0</v>
      </c>
      <c r="AG40" s="428" t="s">
        <v>142</v>
      </c>
      <c r="AH40" s="431">
        <v>2.5</v>
      </c>
      <c r="AI40" s="427"/>
      <c r="AJ40" s="427"/>
      <c r="AK40" s="427">
        <f t="shared" si="5"/>
        <v>606.3</v>
      </c>
      <c r="AL40" s="419"/>
      <c r="AM40" s="427">
        <v>275.0</v>
      </c>
      <c r="AN40" s="428" t="s">
        <v>142</v>
      </c>
      <c r="AO40" s="427"/>
      <c r="AP40" s="427"/>
      <c r="AQ40" s="427"/>
      <c r="AR40" s="427">
        <f t="shared" si="6"/>
        <v>606.3</v>
      </c>
      <c r="AS40" s="419"/>
      <c r="AT40" s="427">
        <v>375.0</v>
      </c>
      <c r="AU40" s="428" t="s">
        <v>143</v>
      </c>
      <c r="AV40" s="431">
        <v>2.5</v>
      </c>
      <c r="AW40" s="427"/>
      <c r="AX40" s="427"/>
      <c r="AY40" s="427">
        <f t="shared" si="7"/>
        <v>826.7</v>
      </c>
      <c r="AZ40" s="419"/>
      <c r="BA40" s="427">
        <v>375.0</v>
      </c>
      <c r="BB40" s="428" t="s">
        <v>143</v>
      </c>
      <c r="BC40" s="427"/>
      <c r="BD40" s="427"/>
      <c r="BE40" s="427"/>
      <c r="BF40" s="427">
        <f t="shared" si="8"/>
        <v>826.7</v>
      </c>
      <c r="BG40" s="419"/>
      <c r="BH40" s="427">
        <v>475.0</v>
      </c>
      <c r="BI40" s="428" t="s">
        <v>148</v>
      </c>
      <c r="BJ40" s="431">
        <v>2.5</v>
      </c>
      <c r="BK40" s="427"/>
      <c r="BL40" s="427"/>
      <c r="BM40" s="427">
        <f t="shared" si="9"/>
        <v>1047.2</v>
      </c>
      <c r="BN40" s="419"/>
      <c r="BO40" s="427">
        <v>475.0</v>
      </c>
      <c r="BP40" s="428" t="s">
        <v>148</v>
      </c>
      <c r="BQ40" s="427"/>
      <c r="BR40" s="427"/>
      <c r="BS40" s="427"/>
      <c r="BT40" s="427">
        <f t="shared" si="10"/>
        <v>1047.2</v>
      </c>
    </row>
    <row r="41" ht="14.25" customHeight="1">
      <c r="A41" s="216"/>
      <c r="B41" s="435"/>
      <c r="C41" s="216"/>
      <c r="D41" s="427">
        <v>97.5</v>
      </c>
      <c r="E41" s="428">
        <v>25.0</v>
      </c>
      <c r="F41" s="430">
        <v>10.0</v>
      </c>
      <c r="G41" s="431">
        <v>2.5</v>
      </c>
      <c r="H41" s="432">
        <v>1.25</v>
      </c>
      <c r="I41" s="427">
        <f t="shared" si="1"/>
        <v>214.9</v>
      </c>
      <c r="J41" s="419"/>
      <c r="K41" s="419"/>
      <c r="L41" s="419"/>
      <c r="M41" s="419"/>
      <c r="N41" s="419"/>
      <c r="O41" s="419"/>
      <c r="P41" s="419"/>
      <c r="Q41" s="419"/>
      <c r="R41" s="427">
        <v>177.5</v>
      </c>
      <c r="S41" s="428" t="s">
        <v>141</v>
      </c>
      <c r="T41" s="431">
        <v>2.5</v>
      </c>
      <c r="U41" s="432">
        <v>1.25</v>
      </c>
      <c r="V41" s="427"/>
      <c r="W41" s="427">
        <f t="shared" si="3"/>
        <v>391.3</v>
      </c>
      <c r="X41" s="419"/>
      <c r="Y41" s="427">
        <v>177.5</v>
      </c>
      <c r="Z41" s="428" t="s">
        <v>141</v>
      </c>
      <c r="AA41" s="432">
        <v>1.25</v>
      </c>
      <c r="AB41" s="427"/>
      <c r="AC41" s="427"/>
      <c r="AD41" s="427">
        <f t="shared" si="4"/>
        <v>391.3</v>
      </c>
      <c r="AE41" s="419"/>
      <c r="AF41" s="427">
        <v>277.5</v>
      </c>
      <c r="AG41" s="428" t="s">
        <v>142</v>
      </c>
      <c r="AH41" s="431">
        <v>2.5</v>
      </c>
      <c r="AI41" s="432">
        <v>1.25</v>
      </c>
      <c r="AJ41" s="427"/>
      <c r="AK41" s="427">
        <f t="shared" si="5"/>
        <v>611.8</v>
      </c>
      <c r="AL41" s="419"/>
      <c r="AM41" s="427">
        <v>277.5</v>
      </c>
      <c r="AN41" s="428" t="s">
        <v>142</v>
      </c>
      <c r="AO41" s="432">
        <v>1.25</v>
      </c>
      <c r="AP41" s="427"/>
      <c r="AQ41" s="427"/>
      <c r="AR41" s="427">
        <f t="shared" si="6"/>
        <v>611.8</v>
      </c>
      <c r="AS41" s="419"/>
      <c r="AT41" s="427">
        <v>377.5</v>
      </c>
      <c r="AU41" s="428" t="s">
        <v>143</v>
      </c>
      <c r="AV41" s="431">
        <v>2.5</v>
      </c>
      <c r="AW41" s="432">
        <v>1.25</v>
      </c>
      <c r="AX41" s="427"/>
      <c r="AY41" s="427">
        <f t="shared" si="7"/>
        <v>832.2</v>
      </c>
      <c r="AZ41" s="419"/>
      <c r="BA41" s="427">
        <v>377.5</v>
      </c>
      <c r="BB41" s="428" t="s">
        <v>143</v>
      </c>
      <c r="BC41" s="432">
        <v>1.25</v>
      </c>
      <c r="BD41" s="427"/>
      <c r="BE41" s="427"/>
      <c r="BF41" s="427">
        <f t="shared" si="8"/>
        <v>832.2</v>
      </c>
      <c r="BG41" s="419"/>
      <c r="BH41" s="427">
        <v>477.5</v>
      </c>
      <c r="BI41" s="428" t="s">
        <v>148</v>
      </c>
      <c r="BJ41" s="431">
        <v>2.5</v>
      </c>
      <c r="BK41" s="432">
        <v>1.25</v>
      </c>
      <c r="BL41" s="427"/>
      <c r="BM41" s="427">
        <f t="shared" si="9"/>
        <v>1052.7</v>
      </c>
      <c r="BN41" s="419"/>
      <c r="BO41" s="427">
        <v>477.5</v>
      </c>
      <c r="BP41" s="428" t="s">
        <v>148</v>
      </c>
      <c r="BQ41" s="432">
        <v>1.25</v>
      </c>
      <c r="BR41" s="427"/>
      <c r="BS41" s="427"/>
      <c r="BT41" s="427">
        <f t="shared" si="10"/>
        <v>1052.7</v>
      </c>
    </row>
    <row r="42" ht="14.25" customHeight="1">
      <c r="A42" s="216"/>
      <c r="B42" s="216"/>
      <c r="C42" s="216"/>
      <c r="D42" s="419"/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27">
        <v>180.0</v>
      </c>
      <c r="S42" s="428" t="s">
        <v>141</v>
      </c>
      <c r="T42" s="433">
        <v>5.0</v>
      </c>
      <c r="U42" s="427"/>
      <c r="V42" s="427"/>
      <c r="W42" s="427">
        <f t="shared" si="3"/>
        <v>396.8</v>
      </c>
      <c r="X42" s="419"/>
      <c r="Y42" s="427">
        <v>180.0</v>
      </c>
      <c r="Z42" s="428" t="s">
        <v>141</v>
      </c>
      <c r="AA42" s="431">
        <v>2.5</v>
      </c>
      <c r="AB42" s="427"/>
      <c r="AC42" s="427"/>
      <c r="AD42" s="427">
        <f t="shared" si="4"/>
        <v>396.8</v>
      </c>
      <c r="AE42" s="419"/>
      <c r="AF42" s="427">
        <v>280.0</v>
      </c>
      <c r="AG42" s="428" t="s">
        <v>142</v>
      </c>
      <c r="AH42" s="433">
        <v>5.0</v>
      </c>
      <c r="AI42" s="427"/>
      <c r="AJ42" s="427"/>
      <c r="AK42" s="427">
        <f t="shared" si="5"/>
        <v>617.3</v>
      </c>
      <c r="AL42" s="419"/>
      <c r="AM42" s="427">
        <v>280.0</v>
      </c>
      <c r="AN42" s="428" t="s">
        <v>142</v>
      </c>
      <c r="AO42" s="431">
        <v>2.5</v>
      </c>
      <c r="AP42" s="427"/>
      <c r="AQ42" s="427"/>
      <c r="AR42" s="427">
        <f t="shared" si="6"/>
        <v>617.3</v>
      </c>
      <c r="AS42" s="419"/>
      <c r="AT42" s="427">
        <v>380.0</v>
      </c>
      <c r="AU42" s="428" t="s">
        <v>143</v>
      </c>
      <c r="AV42" s="433">
        <v>5.0</v>
      </c>
      <c r="AW42" s="427"/>
      <c r="AX42" s="427"/>
      <c r="AY42" s="427">
        <f t="shared" si="7"/>
        <v>837.7</v>
      </c>
      <c r="AZ42" s="419"/>
      <c r="BA42" s="427">
        <v>380.0</v>
      </c>
      <c r="BB42" s="428" t="s">
        <v>143</v>
      </c>
      <c r="BC42" s="431">
        <v>2.5</v>
      </c>
      <c r="BD42" s="427"/>
      <c r="BE42" s="427"/>
      <c r="BF42" s="427">
        <f t="shared" si="8"/>
        <v>837.7</v>
      </c>
      <c r="BG42" s="419"/>
      <c r="BH42" s="427">
        <v>480.0</v>
      </c>
      <c r="BI42" s="428" t="s">
        <v>148</v>
      </c>
      <c r="BJ42" s="433">
        <v>5.0</v>
      </c>
      <c r="BK42" s="427"/>
      <c r="BL42" s="427"/>
      <c r="BM42" s="427">
        <f t="shared" si="9"/>
        <v>1058.2</v>
      </c>
      <c r="BN42" s="419"/>
      <c r="BO42" s="427">
        <v>480.0</v>
      </c>
      <c r="BP42" s="428" t="s">
        <v>148</v>
      </c>
      <c r="BQ42" s="431">
        <v>2.5</v>
      </c>
      <c r="BR42" s="427"/>
      <c r="BS42" s="427"/>
      <c r="BT42" s="427">
        <f t="shared" si="10"/>
        <v>1058.2</v>
      </c>
    </row>
    <row r="43" ht="14.25" customHeight="1">
      <c r="A43" s="216"/>
      <c r="B43" s="216"/>
      <c r="C43" s="216"/>
      <c r="D43" s="419"/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27">
        <v>182.5</v>
      </c>
      <c r="S43" s="428" t="s">
        <v>141</v>
      </c>
      <c r="T43" s="433">
        <v>5.0</v>
      </c>
      <c r="U43" s="432">
        <v>1.25</v>
      </c>
      <c r="V43" s="427"/>
      <c r="W43" s="427">
        <f t="shared" si="3"/>
        <v>402.3</v>
      </c>
      <c r="X43" s="419"/>
      <c r="Y43" s="427">
        <v>182.5</v>
      </c>
      <c r="Z43" s="428" t="s">
        <v>141</v>
      </c>
      <c r="AA43" s="431">
        <v>2.5</v>
      </c>
      <c r="AB43" s="432">
        <v>1.25</v>
      </c>
      <c r="AC43" s="427"/>
      <c r="AD43" s="427">
        <f t="shared" si="4"/>
        <v>402.3</v>
      </c>
      <c r="AE43" s="419"/>
      <c r="AF43" s="427">
        <v>282.5</v>
      </c>
      <c r="AG43" s="428" t="s">
        <v>142</v>
      </c>
      <c r="AH43" s="433">
        <v>5.0</v>
      </c>
      <c r="AI43" s="432">
        <v>1.25</v>
      </c>
      <c r="AJ43" s="427"/>
      <c r="AK43" s="427">
        <f t="shared" si="5"/>
        <v>622.8</v>
      </c>
      <c r="AL43" s="419"/>
      <c r="AM43" s="427">
        <v>282.5</v>
      </c>
      <c r="AN43" s="428" t="s">
        <v>142</v>
      </c>
      <c r="AO43" s="431">
        <v>2.5</v>
      </c>
      <c r="AP43" s="432">
        <v>1.25</v>
      </c>
      <c r="AQ43" s="427"/>
      <c r="AR43" s="427">
        <f t="shared" si="6"/>
        <v>622.8</v>
      </c>
      <c r="AS43" s="419"/>
      <c r="AT43" s="427">
        <v>382.5</v>
      </c>
      <c r="AU43" s="428" t="s">
        <v>143</v>
      </c>
      <c r="AV43" s="433">
        <v>5.0</v>
      </c>
      <c r="AW43" s="432">
        <v>1.25</v>
      </c>
      <c r="AX43" s="427"/>
      <c r="AY43" s="427">
        <f t="shared" si="7"/>
        <v>843.3</v>
      </c>
      <c r="AZ43" s="419"/>
      <c r="BA43" s="427">
        <v>382.5</v>
      </c>
      <c r="BB43" s="428" t="s">
        <v>143</v>
      </c>
      <c r="BC43" s="431">
        <v>2.5</v>
      </c>
      <c r="BD43" s="432">
        <v>1.25</v>
      </c>
      <c r="BE43" s="427"/>
      <c r="BF43" s="427">
        <f t="shared" si="8"/>
        <v>843.3</v>
      </c>
      <c r="BG43" s="419"/>
      <c r="BH43" s="427">
        <v>482.5</v>
      </c>
      <c r="BI43" s="428" t="s">
        <v>148</v>
      </c>
      <c r="BJ43" s="433">
        <v>5.0</v>
      </c>
      <c r="BK43" s="432">
        <v>1.25</v>
      </c>
      <c r="BL43" s="427"/>
      <c r="BM43" s="427">
        <f t="shared" si="9"/>
        <v>1063.7</v>
      </c>
      <c r="BN43" s="419"/>
      <c r="BO43" s="427">
        <v>482.5</v>
      </c>
      <c r="BP43" s="428" t="s">
        <v>148</v>
      </c>
      <c r="BQ43" s="431">
        <v>2.5</v>
      </c>
      <c r="BR43" s="432">
        <v>1.25</v>
      </c>
      <c r="BS43" s="427"/>
      <c r="BT43" s="427">
        <f t="shared" si="10"/>
        <v>1063.7</v>
      </c>
    </row>
    <row r="44" ht="14.25" customHeight="1">
      <c r="A44" s="216"/>
      <c r="B44" s="216"/>
      <c r="C44" s="216"/>
      <c r="D44" s="419"/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27">
        <v>185.0</v>
      </c>
      <c r="S44" s="428" t="s">
        <v>141</v>
      </c>
      <c r="T44" s="433">
        <v>5.0</v>
      </c>
      <c r="U44" s="431">
        <v>2.5</v>
      </c>
      <c r="V44" s="427"/>
      <c r="W44" s="427">
        <f t="shared" si="3"/>
        <v>407.9</v>
      </c>
      <c r="X44" s="419"/>
      <c r="Y44" s="427">
        <v>185.0</v>
      </c>
      <c r="Z44" s="428" t="s">
        <v>141</v>
      </c>
      <c r="AA44" s="433">
        <v>5.0</v>
      </c>
      <c r="AB44" s="427"/>
      <c r="AC44" s="427"/>
      <c r="AD44" s="427">
        <f t="shared" si="4"/>
        <v>407.9</v>
      </c>
      <c r="AE44" s="419"/>
      <c r="AF44" s="427">
        <v>285.0</v>
      </c>
      <c r="AG44" s="428" t="s">
        <v>142</v>
      </c>
      <c r="AH44" s="433">
        <v>5.0</v>
      </c>
      <c r="AI44" s="431">
        <v>2.5</v>
      </c>
      <c r="AJ44" s="427"/>
      <c r="AK44" s="427">
        <f t="shared" si="5"/>
        <v>628.3</v>
      </c>
      <c r="AL44" s="419"/>
      <c r="AM44" s="427">
        <v>285.0</v>
      </c>
      <c r="AN44" s="428" t="s">
        <v>142</v>
      </c>
      <c r="AO44" s="433">
        <v>5.0</v>
      </c>
      <c r="AP44" s="427"/>
      <c r="AQ44" s="427"/>
      <c r="AR44" s="427">
        <f t="shared" si="6"/>
        <v>628.3</v>
      </c>
      <c r="AS44" s="419"/>
      <c r="AT44" s="427">
        <v>385.0</v>
      </c>
      <c r="AU44" s="428" t="s">
        <v>143</v>
      </c>
      <c r="AV44" s="433">
        <v>5.0</v>
      </c>
      <c r="AW44" s="431">
        <v>2.5</v>
      </c>
      <c r="AX44" s="427"/>
      <c r="AY44" s="427">
        <f t="shared" si="7"/>
        <v>848.8</v>
      </c>
      <c r="AZ44" s="419"/>
      <c r="BA44" s="427">
        <v>385.0</v>
      </c>
      <c r="BB44" s="428" t="s">
        <v>143</v>
      </c>
      <c r="BC44" s="433">
        <v>5.0</v>
      </c>
      <c r="BD44" s="427"/>
      <c r="BE44" s="427"/>
      <c r="BF44" s="427">
        <f t="shared" si="8"/>
        <v>848.8</v>
      </c>
      <c r="BG44" s="419"/>
      <c r="BH44" s="427">
        <v>485.0</v>
      </c>
      <c r="BI44" s="428" t="s">
        <v>148</v>
      </c>
      <c r="BJ44" s="433">
        <v>5.0</v>
      </c>
      <c r="BK44" s="431">
        <v>2.5</v>
      </c>
      <c r="BL44" s="427"/>
      <c r="BM44" s="427">
        <f t="shared" si="9"/>
        <v>1069.2</v>
      </c>
      <c r="BN44" s="419"/>
      <c r="BO44" s="427">
        <v>485.0</v>
      </c>
      <c r="BP44" s="428" t="s">
        <v>148</v>
      </c>
      <c r="BQ44" s="433">
        <v>5.0</v>
      </c>
      <c r="BR44" s="427"/>
      <c r="BS44" s="427"/>
      <c r="BT44" s="427">
        <f t="shared" si="10"/>
        <v>1069.2</v>
      </c>
    </row>
    <row r="45" ht="14.25" customHeight="1">
      <c r="A45" s="216"/>
      <c r="B45" s="216"/>
      <c r="C45" s="216"/>
      <c r="D45" s="419"/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27">
        <v>187.5</v>
      </c>
      <c r="S45" s="428" t="s">
        <v>141</v>
      </c>
      <c r="T45" s="433">
        <v>5.0</v>
      </c>
      <c r="U45" s="431">
        <v>2.5</v>
      </c>
      <c r="V45" s="432">
        <v>1.25</v>
      </c>
      <c r="W45" s="427">
        <f t="shared" si="3"/>
        <v>413.4</v>
      </c>
      <c r="X45" s="419"/>
      <c r="Y45" s="427">
        <v>187.5</v>
      </c>
      <c r="Z45" s="428" t="s">
        <v>141</v>
      </c>
      <c r="AA45" s="433">
        <v>5.0</v>
      </c>
      <c r="AB45" s="432">
        <v>1.25</v>
      </c>
      <c r="AC45" s="427"/>
      <c r="AD45" s="427">
        <f t="shared" si="4"/>
        <v>413.4</v>
      </c>
      <c r="AE45" s="419"/>
      <c r="AF45" s="427">
        <v>287.5</v>
      </c>
      <c r="AG45" s="428" t="s">
        <v>142</v>
      </c>
      <c r="AH45" s="433">
        <v>5.0</v>
      </c>
      <c r="AI45" s="431">
        <v>2.5</v>
      </c>
      <c r="AJ45" s="432">
        <v>1.25</v>
      </c>
      <c r="AK45" s="427">
        <f t="shared" si="5"/>
        <v>633.8</v>
      </c>
      <c r="AL45" s="419"/>
      <c r="AM45" s="427">
        <v>287.5</v>
      </c>
      <c r="AN45" s="428" t="s">
        <v>142</v>
      </c>
      <c r="AO45" s="433">
        <v>5.0</v>
      </c>
      <c r="AP45" s="432">
        <v>1.25</v>
      </c>
      <c r="AQ45" s="427"/>
      <c r="AR45" s="427">
        <f t="shared" si="6"/>
        <v>633.8</v>
      </c>
      <c r="AS45" s="419"/>
      <c r="AT45" s="427">
        <v>387.5</v>
      </c>
      <c r="AU45" s="428" t="s">
        <v>143</v>
      </c>
      <c r="AV45" s="433">
        <v>5.0</v>
      </c>
      <c r="AW45" s="431">
        <v>2.5</v>
      </c>
      <c r="AX45" s="432">
        <v>1.25</v>
      </c>
      <c r="AY45" s="427">
        <f t="shared" si="7"/>
        <v>854.3</v>
      </c>
      <c r="AZ45" s="419"/>
      <c r="BA45" s="427">
        <v>387.5</v>
      </c>
      <c r="BB45" s="428" t="s">
        <v>143</v>
      </c>
      <c r="BC45" s="433">
        <v>5.0</v>
      </c>
      <c r="BD45" s="432">
        <v>1.25</v>
      </c>
      <c r="BE45" s="427"/>
      <c r="BF45" s="427">
        <f t="shared" si="8"/>
        <v>854.3</v>
      </c>
      <c r="BG45" s="419"/>
      <c r="BH45" s="427">
        <v>487.5</v>
      </c>
      <c r="BI45" s="428" t="s">
        <v>148</v>
      </c>
      <c r="BJ45" s="433">
        <v>5.0</v>
      </c>
      <c r="BK45" s="431">
        <v>2.5</v>
      </c>
      <c r="BL45" s="432">
        <v>1.25</v>
      </c>
      <c r="BM45" s="427">
        <f t="shared" si="9"/>
        <v>1074.7</v>
      </c>
      <c r="BN45" s="419"/>
      <c r="BO45" s="427">
        <v>487.5</v>
      </c>
      <c r="BP45" s="428" t="s">
        <v>148</v>
      </c>
      <c r="BQ45" s="433">
        <v>5.0</v>
      </c>
      <c r="BR45" s="432">
        <v>1.25</v>
      </c>
      <c r="BS45" s="427"/>
      <c r="BT45" s="427">
        <f t="shared" si="10"/>
        <v>1074.7</v>
      </c>
    </row>
    <row r="46" ht="14.25" customHeight="1">
      <c r="A46" s="216"/>
      <c r="B46" s="216"/>
      <c r="C46" s="216"/>
      <c r="D46" s="419"/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27">
        <v>190.0</v>
      </c>
      <c r="S46" s="428" t="s">
        <v>141</v>
      </c>
      <c r="T46" s="430">
        <v>10.0</v>
      </c>
      <c r="U46" s="427"/>
      <c r="V46" s="427"/>
      <c r="W46" s="427">
        <f t="shared" si="3"/>
        <v>418.9</v>
      </c>
      <c r="X46" s="419"/>
      <c r="Y46" s="427">
        <v>190.0</v>
      </c>
      <c r="Z46" s="428" t="s">
        <v>141</v>
      </c>
      <c r="AA46" s="433">
        <v>5.0</v>
      </c>
      <c r="AB46" s="431">
        <v>2.5</v>
      </c>
      <c r="AC46" s="427"/>
      <c r="AD46" s="427">
        <f t="shared" si="4"/>
        <v>418.9</v>
      </c>
      <c r="AE46" s="419"/>
      <c r="AF46" s="427">
        <v>290.0</v>
      </c>
      <c r="AG46" s="428" t="s">
        <v>142</v>
      </c>
      <c r="AH46" s="430">
        <v>10.0</v>
      </c>
      <c r="AI46" s="427"/>
      <c r="AJ46" s="427"/>
      <c r="AK46" s="427">
        <f t="shared" si="5"/>
        <v>639.3</v>
      </c>
      <c r="AL46" s="419"/>
      <c r="AM46" s="427">
        <v>290.0</v>
      </c>
      <c r="AN46" s="428" t="s">
        <v>142</v>
      </c>
      <c r="AO46" s="433">
        <v>5.0</v>
      </c>
      <c r="AP46" s="431">
        <v>2.5</v>
      </c>
      <c r="AQ46" s="427"/>
      <c r="AR46" s="427">
        <f t="shared" si="6"/>
        <v>639.3</v>
      </c>
      <c r="AS46" s="419"/>
      <c r="AT46" s="427">
        <v>390.0</v>
      </c>
      <c r="AU46" s="428" t="s">
        <v>143</v>
      </c>
      <c r="AV46" s="430">
        <v>10.0</v>
      </c>
      <c r="AW46" s="427"/>
      <c r="AX46" s="427"/>
      <c r="AY46" s="427">
        <f t="shared" si="7"/>
        <v>859.8</v>
      </c>
      <c r="AZ46" s="419"/>
      <c r="BA46" s="427">
        <v>390.0</v>
      </c>
      <c r="BB46" s="428" t="s">
        <v>143</v>
      </c>
      <c r="BC46" s="433">
        <v>5.0</v>
      </c>
      <c r="BD46" s="431">
        <v>2.5</v>
      </c>
      <c r="BE46" s="427"/>
      <c r="BF46" s="427">
        <f t="shared" si="8"/>
        <v>859.8</v>
      </c>
      <c r="BG46" s="419"/>
      <c r="BH46" s="427">
        <v>490.0</v>
      </c>
      <c r="BI46" s="428" t="s">
        <v>148</v>
      </c>
      <c r="BJ46" s="430">
        <v>10.0</v>
      </c>
      <c r="BK46" s="427"/>
      <c r="BL46" s="427"/>
      <c r="BM46" s="427">
        <f t="shared" si="9"/>
        <v>1080.3</v>
      </c>
      <c r="BN46" s="419"/>
      <c r="BO46" s="427">
        <v>490.0</v>
      </c>
      <c r="BP46" s="428" t="s">
        <v>148</v>
      </c>
      <c r="BQ46" s="433">
        <v>5.0</v>
      </c>
      <c r="BR46" s="431">
        <v>2.5</v>
      </c>
      <c r="BS46" s="427"/>
      <c r="BT46" s="427">
        <f t="shared" si="10"/>
        <v>1080.3</v>
      </c>
    </row>
    <row r="47" ht="14.25" customHeight="1">
      <c r="A47" s="216"/>
      <c r="B47" s="216"/>
      <c r="C47" s="216"/>
      <c r="D47" s="419"/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27">
        <v>192.5</v>
      </c>
      <c r="S47" s="428" t="s">
        <v>141</v>
      </c>
      <c r="T47" s="430">
        <v>10.0</v>
      </c>
      <c r="U47" s="432">
        <v>1.25</v>
      </c>
      <c r="V47" s="427"/>
      <c r="W47" s="427">
        <f t="shared" si="3"/>
        <v>424.4</v>
      </c>
      <c r="X47" s="419"/>
      <c r="Y47" s="427">
        <v>192.5</v>
      </c>
      <c r="Z47" s="428" t="s">
        <v>141</v>
      </c>
      <c r="AA47" s="433">
        <v>5.0</v>
      </c>
      <c r="AB47" s="431">
        <v>2.5</v>
      </c>
      <c r="AC47" s="432">
        <v>1.25</v>
      </c>
      <c r="AD47" s="427">
        <f t="shared" si="4"/>
        <v>424.4</v>
      </c>
      <c r="AE47" s="419"/>
      <c r="AF47" s="427">
        <v>292.5</v>
      </c>
      <c r="AG47" s="428" t="s">
        <v>142</v>
      </c>
      <c r="AH47" s="430">
        <v>10.0</v>
      </c>
      <c r="AI47" s="432">
        <v>1.25</v>
      </c>
      <c r="AJ47" s="427"/>
      <c r="AK47" s="427">
        <f t="shared" si="5"/>
        <v>644.8</v>
      </c>
      <c r="AL47" s="419"/>
      <c r="AM47" s="427">
        <v>292.5</v>
      </c>
      <c r="AN47" s="428" t="s">
        <v>142</v>
      </c>
      <c r="AO47" s="433">
        <v>5.0</v>
      </c>
      <c r="AP47" s="431">
        <v>2.5</v>
      </c>
      <c r="AQ47" s="432">
        <v>1.25</v>
      </c>
      <c r="AR47" s="427">
        <f t="shared" si="6"/>
        <v>644.8</v>
      </c>
      <c r="AS47" s="419"/>
      <c r="AT47" s="427">
        <v>392.5</v>
      </c>
      <c r="AU47" s="428" t="s">
        <v>143</v>
      </c>
      <c r="AV47" s="430">
        <v>10.0</v>
      </c>
      <c r="AW47" s="432">
        <v>1.25</v>
      </c>
      <c r="AX47" s="427"/>
      <c r="AY47" s="427">
        <f t="shared" si="7"/>
        <v>865.3</v>
      </c>
      <c r="AZ47" s="419"/>
      <c r="BA47" s="427">
        <v>392.5</v>
      </c>
      <c r="BB47" s="428" t="s">
        <v>143</v>
      </c>
      <c r="BC47" s="433">
        <v>5.0</v>
      </c>
      <c r="BD47" s="431">
        <v>2.5</v>
      </c>
      <c r="BE47" s="432">
        <v>1.25</v>
      </c>
      <c r="BF47" s="427">
        <f t="shared" si="8"/>
        <v>865.3</v>
      </c>
      <c r="BG47" s="419"/>
      <c r="BH47" s="427">
        <v>492.5</v>
      </c>
      <c r="BI47" s="428" t="s">
        <v>148</v>
      </c>
      <c r="BJ47" s="430">
        <v>10.0</v>
      </c>
      <c r="BK47" s="432">
        <v>1.25</v>
      </c>
      <c r="BL47" s="427"/>
      <c r="BM47" s="427">
        <f t="shared" si="9"/>
        <v>1085.8</v>
      </c>
      <c r="BN47" s="419"/>
      <c r="BO47" s="427">
        <v>492.5</v>
      </c>
      <c r="BP47" s="428" t="s">
        <v>148</v>
      </c>
      <c r="BQ47" s="433">
        <v>5.0</v>
      </c>
      <c r="BR47" s="431">
        <v>2.5</v>
      </c>
      <c r="BS47" s="432">
        <v>1.25</v>
      </c>
      <c r="BT47" s="427">
        <f t="shared" si="10"/>
        <v>1085.8</v>
      </c>
    </row>
    <row r="48" ht="14.25" customHeight="1">
      <c r="A48" s="216"/>
      <c r="B48" s="216"/>
      <c r="C48" s="216"/>
      <c r="D48" s="419"/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27">
        <v>195.0</v>
      </c>
      <c r="S48" s="428" t="s">
        <v>141</v>
      </c>
      <c r="T48" s="430">
        <v>10.0</v>
      </c>
      <c r="U48" s="431">
        <v>2.5</v>
      </c>
      <c r="V48" s="427"/>
      <c r="W48" s="427">
        <f t="shared" si="3"/>
        <v>429.9</v>
      </c>
      <c r="X48" s="419"/>
      <c r="Y48" s="427">
        <v>195.0</v>
      </c>
      <c r="Z48" s="428" t="s">
        <v>141</v>
      </c>
      <c r="AA48" s="430">
        <v>10.0</v>
      </c>
      <c r="AB48" s="427"/>
      <c r="AC48" s="427"/>
      <c r="AD48" s="427">
        <f t="shared" si="4"/>
        <v>429.9</v>
      </c>
      <c r="AE48" s="419"/>
      <c r="AF48" s="427">
        <v>295.0</v>
      </c>
      <c r="AG48" s="428" t="s">
        <v>142</v>
      </c>
      <c r="AH48" s="430">
        <v>10.0</v>
      </c>
      <c r="AI48" s="431">
        <v>2.5</v>
      </c>
      <c r="AJ48" s="427"/>
      <c r="AK48" s="427">
        <f t="shared" si="5"/>
        <v>650.4</v>
      </c>
      <c r="AL48" s="419"/>
      <c r="AM48" s="427">
        <v>295.0</v>
      </c>
      <c r="AN48" s="428" t="s">
        <v>142</v>
      </c>
      <c r="AO48" s="430">
        <v>10.0</v>
      </c>
      <c r="AP48" s="427"/>
      <c r="AQ48" s="427"/>
      <c r="AR48" s="427">
        <f t="shared" si="6"/>
        <v>650.4</v>
      </c>
      <c r="AS48" s="419"/>
      <c r="AT48" s="427">
        <v>395.0</v>
      </c>
      <c r="AU48" s="428" t="s">
        <v>143</v>
      </c>
      <c r="AV48" s="430">
        <v>10.0</v>
      </c>
      <c r="AW48" s="431">
        <v>2.5</v>
      </c>
      <c r="AX48" s="427"/>
      <c r="AY48" s="427">
        <f t="shared" si="7"/>
        <v>870.8</v>
      </c>
      <c r="AZ48" s="419"/>
      <c r="BA48" s="427">
        <v>395.0</v>
      </c>
      <c r="BB48" s="428" t="s">
        <v>143</v>
      </c>
      <c r="BC48" s="430">
        <v>10.0</v>
      </c>
      <c r="BD48" s="427"/>
      <c r="BE48" s="427"/>
      <c r="BF48" s="427">
        <f t="shared" si="8"/>
        <v>870.8</v>
      </c>
      <c r="BG48" s="419"/>
      <c r="BH48" s="427">
        <v>495.0</v>
      </c>
      <c r="BI48" s="428" t="s">
        <v>148</v>
      </c>
      <c r="BJ48" s="430">
        <v>10.0</v>
      </c>
      <c r="BK48" s="431">
        <v>2.5</v>
      </c>
      <c r="BL48" s="427"/>
      <c r="BM48" s="427">
        <f t="shared" si="9"/>
        <v>1091.3</v>
      </c>
      <c r="BN48" s="419"/>
      <c r="BO48" s="427">
        <v>495.0</v>
      </c>
      <c r="BP48" s="428" t="s">
        <v>148</v>
      </c>
      <c r="BQ48" s="430">
        <v>10.0</v>
      </c>
      <c r="BR48" s="427"/>
      <c r="BS48" s="427"/>
      <c r="BT48" s="427">
        <f t="shared" si="10"/>
        <v>1091.3</v>
      </c>
    </row>
    <row r="49" ht="14.25" customHeight="1">
      <c r="A49" s="216"/>
      <c r="B49" s="216"/>
      <c r="C49" s="216"/>
      <c r="D49" s="419"/>
      <c r="E49" s="419"/>
      <c r="F49" s="419"/>
      <c r="G49" s="419"/>
      <c r="H49" s="419"/>
      <c r="I49" s="419"/>
      <c r="J49" s="419"/>
      <c r="K49" s="419"/>
      <c r="L49" s="419"/>
      <c r="M49" s="419"/>
      <c r="N49" s="419"/>
      <c r="O49" s="419"/>
      <c r="P49" s="419"/>
      <c r="Q49" s="419"/>
      <c r="R49" s="427">
        <v>197.5</v>
      </c>
      <c r="S49" s="428" t="s">
        <v>141</v>
      </c>
      <c r="T49" s="430">
        <v>10.0</v>
      </c>
      <c r="U49" s="431">
        <v>2.5</v>
      </c>
      <c r="V49" s="432">
        <v>1.25</v>
      </c>
      <c r="W49" s="427">
        <f t="shared" si="3"/>
        <v>435.4</v>
      </c>
      <c r="X49" s="419"/>
      <c r="Y49" s="427">
        <v>197.5</v>
      </c>
      <c r="Z49" s="428" t="s">
        <v>141</v>
      </c>
      <c r="AA49" s="430">
        <v>10.0</v>
      </c>
      <c r="AB49" s="432">
        <v>1.25</v>
      </c>
      <c r="AC49" s="427"/>
      <c r="AD49" s="427">
        <f t="shared" si="4"/>
        <v>435.4</v>
      </c>
      <c r="AE49" s="419"/>
      <c r="AF49" s="427">
        <v>297.5</v>
      </c>
      <c r="AG49" s="428" t="s">
        <v>142</v>
      </c>
      <c r="AH49" s="430">
        <v>10.0</v>
      </c>
      <c r="AI49" s="431">
        <v>2.5</v>
      </c>
      <c r="AJ49" s="432">
        <v>1.25</v>
      </c>
      <c r="AK49" s="427">
        <f t="shared" si="5"/>
        <v>655.9</v>
      </c>
      <c r="AL49" s="419"/>
      <c r="AM49" s="427">
        <v>297.5</v>
      </c>
      <c r="AN49" s="428" t="s">
        <v>142</v>
      </c>
      <c r="AO49" s="430">
        <v>10.0</v>
      </c>
      <c r="AP49" s="432">
        <v>1.25</v>
      </c>
      <c r="AQ49" s="427"/>
      <c r="AR49" s="427">
        <f t="shared" si="6"/>
        <v>655.9</v>
      </c>
      <c r="AS49" s="419"/>
      <c r="AT49" s="427">
        <v>397.5</v>
      </c>
      <c r="AU49" s="428" t="s">
        <v>143</v>
      </c>
      <c r="AV49" s="430">
        <v>10.0</v>
      </c>
      <c r="AW49" s="431">
        <v>2.5</v>
      </c>
      <c r="AX49" s="432">
        <v>1.25</v>
      </c>
      <c r="AY49" s="427">
        <f t="shared" si="7"/>
        <v>876.3</v>
      </c>
      <c r="AZ49" s="419"/>
      <c r="BA49" s="427">
        <v>397.5</v>
      </c>
      <c r="BB49" s="428" t="s">
        <v>143</v>
      </c>
      <c r="BC49" s="430">
        <v>10.0</v>
      </c>
      <c r="BD49" s="432">
        <v>1.25</v>
      </c>
      <c r="BE49" s="427"/>
      <c r="BF49" s="427">
        <f t="shared" si="8"/>
        <v>876.3</v>
      </c>
      <c r="BG49" s="419"/>
      <c r="BH49" s="427">
        <v>497.5</v>
      </c>
      <c r="BI49" s="428" t="s">
        <v>148</v>
      </c>
      <c r="BJ49" s="430">
        <v>10.0</v>
      </c>
      <c r="BK49" s="431">
        <v>2.5</v>
      </c>
      <c r="BL49" s="432">
        <v>1.25</v>
      </c>
      <c r="BM49" s="427">
        <f t="shared" si="9"/>
        <v>1096.8</v>
      </c>
      <c r="BN49" s="419"/>
      <c r="BO49" s="427">
        <v>497.5</v>
      </c>
      <c r="BP49" s="428" t="s">
        <v>148</v>
      </c>
      <c r="BQ49" s="430">
        <v>10.0</v>
      </c>
      <c r="BR49" s="432">
        <v>1.25</v>
      </c>
      <c r="BS49" s="427"/>
      <c r="BT49" s="427">
        <f t="shared" si="10"/>
        <v>1096.8</v>
      </c>
    </row>
    <row r="50" ht="14.25" customHeight="1">
      <c r="A50" s="216"/>
      <c r="B50" s="216"/>
      <c r="C50" s="216"/>
      <c r="D50" s="267"/>
      <c r="E50" s="267"/>
      <c r="F50" s="267"/>
      <c r="G50" s="267"/>
      <c r="H50" s="267"/>
      <c r="I50" s="267"/>
      <c r="J50" s="267"/>
      <c r="K50" s="267"/>
      <c r="L50" s="267"/>
      <c r="M50" s="267"/>
      <c r="N50" s="267"/>
      <c r="O50" s="267"/>
      <c r="P50" s="267"/>
      <c r="Q50" s="267"/>
      <c r="R50" s="267"/>
      <c r="S50" s="216"/>
      <c r="T50" s="216"/>
      <c r="U50" s="216"/>
      <c r="V50" s="216"/>
      <c r="W50" s="216"/>
      <c r="X50" s="216"/>
      <c r="Y50" s="216"/>
      <c r="Z50" s="216"/>
      <c r="AA50" s="216"/>
      <c r="AB50" s="216"/>
      <c r="AC50" s="216"/>
      <c r="AD50" s="216"/>
      <c r="AE50" s="216"/>
      <c r="AF50" s="216"/>
      <c r="AG50" s="216"/>
      <c r="AH50" s="216"/>
      <c r="AI50" s="216"/>
      <c r="AJ50" s="216"/>
      <c r="AK50" s="216"/>
      <c r="AL50" s="216"/>
      <c r="AM50" s="216"/>
      <c r="AN50" s="216"/>
      <c r="AO50" s="216"/>
      <c r="AP50" s="216"/>
      <c r="AQ50" s="216"/>
      <c r="AR50" s="216"/>
      <c r="AS50" s="216"/>
      <c r="AT50" s="216"/>
      <c r="AU50" s="216"/>
      <c r="AV50" s="216"/>
      <c r="AW50" s="216"/>
      <c r="AX50" s="216"/>
      <c r="AY50" s="216"/>
      <c r="AZ50" s="216"/>
      <c r="BA50" s="216"/>
      <c r="BB50" s="216"/>
      <c r="BC50" s="216"/>
      <c r="BD50" s="216"/>
      <c r="BE50" s="216"/>
      <c r="BF50" s="216"/>
      <c r="BG50" s="216"/>
      <c r="BH50" s="216"/>
      <c r="BI50" s="216"/>
      <c r="BJ50" s="216"/>
      <c r="BK50" s="216"/>
      <c r="BL50" s="216"/>
      <c r="BM50" s="216"/>
      <c r="BN50" s="216"/>
      <c r="BO50" s="216"/>
      <c r="BP50" s="216"/>
      <c r="BQ50" s="216"/>
      <c r="BR50" s="216"/>
      <c r="BS50" s="216"/>
      <c r="BT50" s="216"/>
    </row>
    <row r="51" ht="14.25" customHeight="1">
      <c r="A51" s="216"/>
      <c r="B51" s="216"/>
      <c r="C51" s="216"/>
      <c r="D51" s="267"/>
      <c r="E51" s="267"/>
      <c r="F51" s="267"/>
      <c r="G51" s="267"/>
      <c r="H51" s="267"/>
      <c r="I51" s="267"/>
      <c r="J51" s="267"/>
      <c r="K51" s="267"/>
      <c r="L51" s="267"/>
      <c r="M51" s="267"/>
      <c r="N51" s="267"/>
      <c r="O51" s="267"/>
      <c r="P51" s="267"/>
      <c r="Q51" s="267"/>
      <c r="R51" s="267"/>
      <c r="S51" s="216"/>
      <c r="T51" s="216"/>
      <c r="U51" s="216"/>
      <c r="V51" s="216"/>
      <c r="W51" s="216"/>
      <c r="X51" s="216"/>
      <c r="Y51" s="216"/>
      <c r="Z51" s="216"/>
      <c r="AA51" s="216"/>
      <c r="AB51" s="216"/>
      <c r="AC51" s="216"/>
      <c r="AD51" s="216"/>
      <c r="AE51" s="216"/>
      <c r="AF51" s="216"/>
      <c r="AG51" s="216"/>
      <c r="AH51" s="216"/>
      <c r="AI51" s="216"/>
      <c r="AJ51" s="216"/>
      <c r="AK51" s="216"/>
      <c r="AL51" s="216"/>
      <c r="AM51" s="216"/>
      <c r="AN51" s="216"/>
      <c r="AO51" s="216"/>
      <c r="AP51" s="216"/>
      <c r="AQ51" s="216"/>
      <c r="AR51" s="216"/>
      <c r="AS51" s="216"/>
      <c r="AT51" s="216"/>
      <c r="AU51" s="216"/>
      <c r="AV51" s="216"/>
      <c r="AW51" s="216"/>
      <c r="AX51" s="216"/>
      <c r="AY51" s="216"/>
      <c r="AZ51" s="216"/>
      <c r="BA51" s="216"/>
      <c r="BB51" s="216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6"/>
      <c r="BS51" s="216"/>
      <c r="BT51" s="216"/>
    </row>
    <row r="52" ht="14.25" customHeight="1">
      <c r="A52" s="216"/>
      <c r="B52" s="216"/>
      <c r="C52" s="216"/>
      <c r="D52" s="267"/>
      <c r="E52" s="267"/>
      <c r="F52" s="267"/>
      <c r="G52" s="267"/>
      <c r="H52" s="267"/>
      <c r="I52" s="267"/>
      <c r="J52" s="267"/>
      <c r="K52" s="267"/>
      <c r="L52" s="267"/>
      <c r="M52" s="267"/>
      <c r="N52" s="267"/>
      <c r="O52" s="267"/>
      <c r="P52" s="267"/>
      <c r="Q52" s="267"/>
      <c r="R52" s="267"/>
      <c r="S52" s="216"/>
      <c r="T52" s="216"/>
      <c r="U52" s="216"/>
      <c r="V52" s="216"/>
      <c r="W52" s="216"/>
      <c r="X52" s="216"/>
      <c r="Y52" s="216"/>
      <c r="Z52" s="216"/>
      <c r="AA52" s="216"/>
      <c r="AB52" s="216"/>
      <c r="AC52" s="216"/>
      <c r="AD52" s="216"/>
      <c r="AE52" s="216"/>
      <c r="AF52" s="216"/>
      <c r="AG52" s="216"/>
      <c r="AH52" s="216"/>
      <c r="AI52" s="216"/>
      <c r="AJ52" s="216"/>
      <c r="AK52" s="216"/>
      <c r="AL52" s="216"/>
      <c r="AM52" s="216"/>
      <c r="AN52" s="216"/>
      <c r="AO52" s="216"/>
      <c r="AP52" s="216"/>
      <c r="AQ52" s="216"/>
      <c r="AR52" s="216"/>
      <c r="AS52" s="216"/>
      <c r="AT52" s="216"/>
      <c r="AU52" s="216"/>
      <c r="AV52" s="216"/>
      <c r="AW52" s="216"/>
      <c r="AX52" s="216"/>
      <c r="AY52" s="216"/>
      <c r="AZ52" s="216"/>
      <c r="BA52" s="216"/>
      <c r="BB52" s="216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6"/>
      <c r="BS52" s="216"/>
      <c r="BT52" s="216"/>
    </row>
    <row r="53" ht="14.25" customHeight="1">
      <c r="A53" s="216"/>
      <c r="B53" s="216"/>
      <c r="C53" s="216"/>
      <c r="D53" s="267"/>
      <c r="E53" s="267"/>
      <c r="F53" s="267"/>
      <c r="G53" s="267"/>
      <c r="H53" s="267"/>
      <c r="I53" s="267"/>
      <c r="J53" s="267"/>
      <c r="K53" s="267"/>
      <c r="L53" s="267"/>
      <c r="M53" s="267"/>
      <c r="N53" s="267"/>
      <c r="O53" s="267"/>
      <c r="P53" s="267"/>
      <c r="Q53" s="267"/>
      <c r="R53" s="267"/>
      <c r="S53" s="216"/>
      <c r="T53" s="216"/>
      <c r="U53" s="216"/>
      <c r="V53" s="216"/>
      <c r="W53" s="216"/>
      <c r="X53" s="216"/>
      <c r="Y53" s="216"/>
      <c r="Z53" s="216"/>
      <c r="AA53" s="216"/>
      <c r="AB53" s="216"/>
      <c r="AC53" s="216"/>
      <c r="AD53" s="216"/>
      <c r="AE53" s="216"/>
      <c r="AF53" s="216"/>
      <c r="AG53" s="216"/>
      <c r="AH53" s="216"/>
      <c r="AI53" s="216"/>
      <c r="AJ53" s="216"/>
      <c r="AK53" s="216"/>
      <c r="AL53" s="216"/>
      <c r="AM53" s="216"/>
      <c r="AN53" s="216"/>
      <c r="AO53" s="216"/>
      <c r="AP53" s="216"/>
      <c r="AQ53" s="216"/>
      <c r="AR53" s="216"/>
      <c r="AS53" s="216"/>
      <c r="AT53" s="216"/>
      <c r="AU53" s="216"/>
      <c r="AV53" s="216"/>
      <c r="AW53" s="216"/>
      <c r="AX53" s="216"/>
      <c r="AY53" s="216"/>
      <c r="AZ53" s="216"/>
      <c r="BA53" s="216"/>
      <c r="BB53" s="216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6"/>
      <c r="BS53" s="216"/>
      <c r="BT53" s="216"/>
    </row>
    <row r="54" ht="14.25" customHeight="1">
      <c r="A54" s="216"/>
      <c r="B54" s="216"/>
      <c r="C54" s="216"/>
      <c r="D54" s="267"/>
      <c r="E54" s="267"/>
      <c r="F54" s="267"/>
      <c r="G54" s="267"/>
      <c r="H54" s="267"/>
      <c r="I54" s="267"/>
      <c r="J54" s="267"/>
      <c r="K54" s="267"/>
      <c r="L54" s="267"/>
      <c r="M54" s="267"/>
      <c r="N54" s="267"/>
      <c r="O54" s="267"/>
      <c r="P54" s="267"/>
      <c r="Q54" s="267"/>
      <c r="R54" s="267"/>
      <c r="S54" s="216"/>
      <c r="T54" s="216"/>
      <c r="U54" s="216"/>
      <c r="V54" s="216"/>
      <c r="W54" s="216"/>
      <c r="X54" s="216"/>
      <c r="Y54" s="216"/>
      <c r="Z54" s="216"/>
      <c r="AA54" s="216"/>
      <c r="AB54" s="216"/>
      <c r="AC54" s="216"/>
      <c r="AD54" s="216"/>
      <c r="AE54" s="216"/>
      <c r="AF54" s="216"/>
      <c r="AG54" s="216"/>
      <c r="AH54" s="216"/>
      <c r="AI54" s="216"/>
      <c r="AJ54" s="216"/>
      <c r="AK54" s="216"/>
      <c r="AL54" s="216"/>
      <c r="AM54" s="216"/>
      <c r="AN54" s="216"/>
      <c r="AO54" s="216"/>
      <c r="AP54" s="216"/>
      <c r="AQ54" s="216"/>
      <c r="AR54" s="216"/>
      <c r="AS54" s="216"/>
      <c r="AT54" s="216"/>
      <c r="AU54" s="216"/>
      <c r="AV54" s="216"/>
      <c r="AW54" s="216"/>
      <c r="AX54" s="216"/>
      <c r="AY54" s="216"/>
      <c r="AZ54" s="216"/>
      <c r="BA54" s="216"/>
      <c r="BB54" s="216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6"/>
      <c r="BS54" s="216"/>
      <c r="BT54" s="216"/>
    </row>
    <row r="55" ht="14.25" customHeight="1">
      <c r="A55" s="216"/>
      <c r="B55" s="216"/>
      <c r="C55" s="216"/>
      <c r="D55" s="267"/>
      <c r="E55" s="267"/>
      <c r="F55" s="267"/>
      <c r="G55" s="267"/>
      <c r="H55" s="267"/>
      <c r="I55" s="267"/>
      <c r="J55" s="267"/>
      <c r="K55" s="267"/>
      <c r="L55" s="267"/>
      <c r="M55" s="267"/>
      <c r="N55" s="267"/>
      <c r="O55" s="267"/>
      <c r="P55" s="267"/>
      <c r="Q55" s="267"/>
      <c r="R55" s="267"/>
      <c r="S55" s="216"/>
      <c r="T55" s="216"/>
      <c r="U55" s="216"/>
      <c r="V55" s="216"/>
      <c r="W55" s="216"/>
      <c r="X55" s="216"/>
      <c r="Y55" s="216"/>
      <c r="Z55" s="216"/>
      <c r="AA55" s="216"/>
      <c r="AB55" s="216"/>
      <c r="AC55" s="216"/>
      <c r="AD55" s="216"/>
      <c r="AE55" s="216"/>
      <c r="AF55" s="216"/>
      <c r="AG55" s="216"/>
      <c r="AH55" s="216"/>
      <c r="AI55" s="216"/>
      <c r="AJ55" s="216"/>
      <c r="AK55" s="216"/>
      <c r="AL55" s="216"/>
      <c r="AM55" s="216"/>
      <c r="AN55" s="216"/>
      <c r="AO55" s="216"/>
      <c r="AP55" s="216"/>
      <c r="AQ55" s="216"/>
      <c r="AR55" s="216"/>
      <c r="AS55" s="216"/>
      <c r="AT55" s="216"/>
      <c r="AU55" s="216"/>
      <c r="AV55" s="216"/>
      <c r="AW55" s="216"/>
      <c r="AX55" s="216"/>
      <c r="AY55" s="216"/>
      <c r="AZ55" s="216"/>
      <c r="BA55" s="216"/>
      <c r="BB55" s="216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6"/>
      <c r="BS55" s="216"/>
      <c r="BT55" s="216"/>
    </row>
    <row r="56" ht="14.25" customHeight="1">
      <c r="A56" s="216"/>
      <c r="B56" s="216"/>
      <c r="C56" s="216"/>
      <c r="D56" s="267"/>
      <c r="E56" s="267"/>
      <c r="F56" s="267"/>
      <c r="G56" s="267"/>
      <c r="H56" s="267"/>
      <c r="I56" s="267"/>
      <c r="J56" s="267"/>
      <c r="K56" s="267"/>
      <c r="L56" s="267"/>
      <c r="M56" s="267"/>
      <c r="N56" s="267"/>
      <c r="O56" s="267"/>
      <c r="P56" s="267"/>
      <c r="Q56" s="267"/>
      <c r="R56" s="267"/>
      <c r="S56" s="216"/>
      <c r="T56" s="216"/>
      <c r="U56" s="216"/>
      <c r="V56" s="216"/>
      <c r="W56" s="216"/>
      <c r="X56" s="216"/>
      <c r="Y56" s="216"/>
      <c r="Z56" s="216"/>
      <c r="AA56" s="216"/>
      <c r="AB56" s="216"/>
      <c r="AC56" s="216"/>
      <c r="AD56" s="216"/>
      <c r="AE56" s="216"/>
      <c r="AF56" s="216"/>
      <c r="AG56" s="216"/>
      <c r="AH56" s="216"/>
      <c r="AI56" s="216"/>
      <c r="AJ56" s="216"/>
      <c r="AK56" s="216"/>
      <c r="AL56" s="216"/>
      <c r="AM56" s="216"/>
      <c r="AN56" s="216"/>
      <c r="AO56" s="216"/>
      <c r="AP56" s="216"/>
      <c r="AQ56" s="216"/>
      <c r="AR56" s="216"/>
      <c r="AS56" s="216"/>
      <c r="AT56" s="216"/>
      <c r="AU56" s="216"/>
      <c r="AV56" s="216"/>
      <c r="AW56" s="216"/>
      <c r="AX56" s="216"/>
      <c r="AY56" s="216"/>
      <c r="AZ56" s="216"/>
      <c r="BA56" s="216"/>
      <c r="BB56" s="216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6"/>
      <c r="BS56" s="216"/>
      <c r="BT56" s="216"/>
    </row>
    <row r="57" ht="14.25" customHeight="1">
      <c r="A57" s="216"/>
      <c r="B57" s="216"/>
      <c r="C57" s="216"/>
      <c r="D57" s="267"/>
      <c r="E57" s="267"/>
      <c r="F57" s="267"/>
      <c r="G57" s="267"/>
      <c r="H57" s="267"/>
      <c r="I57" s="267"/>
      <c r="J57" s="267"/>
      <c r="K57" s="267"/>
      <c r="L57" s="267"/>
      <c r="M57" s="267"/>
      <c r="N57" s="267"/>
      <c r="O57" s="267"/>
      <c r="P57" s="267"/>
      <c r="Q57" s="267"/>
      <c r="R57" s="267"/>
      <c r="S57" s="216"/>
      <c r="T57" s="216"/>
      <c r="U57" s="216"/>
      <c r="V57" s="216"/>
      <c r="W57" s="216"/>
      <c r="X57" s="216"/>
      <c r="Y57" s="216"/>
      <c r="Z57" s="216"/>
      <c r="AA57" s="216"/>
      <c r="AB57" s="216"/>
      <c r="AC57" s="216"/>
      <c r="AD57" s="216"/>
      <c r="AE57" s="216"/>
      <c r="AF57" s="216"/>
      <c r="AG57" s="216"/>
      <c r="AH57" s="216"/>
      <c r="AI57" s="216"/>
      <c r="AJ57" s="216"/>
      <c r="AK57" s="216"/>
      <c r="AL57" s="216"/>
      <c r="AM57" s="216"/>
      <c r="AN57" s="216"/>
      <c r="AO57" s="216"/>
      <c r="AP57" s="216"/>
      <c r="AQ57" s="216"/>
      <c r="AR57" s="216"/>
      <c r="AS57" s="216"/>
      <c r="AT57" s="216"/>
      <c r="AU57" s="216"/>
      <c r="AV57" s="216"/>
      <c r="AW57" s="216"/>
      <c r="AX57" s="216"/>
      <c r="AY57" s="216"/>
      <c r="AZ57" s="216"/>
      <c r="BA57" s="216"/>
      <c r="BB57" s="216"/>
      <c r="BC57" s="216"/>
      <c r="BD57" s="216"/>
      <c r="BE57" s="216"/>
      <c r="BF57" s="216"/>
      <c r="BG57" s="216"/>
      <c r="BH57" s="216"/>
      <c r="BI57" s="216"/>
      <c r="BJ57" s="216"/>
      <c r="BK57" s="216"/>
      <c r="BL57" s="216"/>
      <c r="BM57" s="216"/>
      <c r="BN57" s="216"/>
      <c r="BO57" s="216"/>
      <c r="BP57" s="216"/>
      <c r="BQ57" s="216"/>
      <c r="BR57" s="216"/>
      <c r="BS57" s="216"/>
      <c r="BT57" s="216"/>
    </row>
    <row r="58" ht="14.25" customHeight="1">
      <c r="A58" s="216"/>
      <c r="B58" s="216"/>
      <c r="C58" s="216"/>
      <c r="D58" s="267"/>
      <c r="E58" s="267"/>
      <c r="F58" s="267"/>
      <c r="G58" s="267"/>
      <c r="H58" s="267"/>
      <c r="I58" s="267"/>
      <c r="J58" s="267"/>
      <c r="K58" s="267"/>
      <c r="L58" s="267"/>
      <c r="M58" s="267"/>
      <c r="N58" s="267"/>
      <c r="O58" s="267"/>
      <c r="P58" s="267"/>
      <c r="Q58" s="267"/>
      <c r="R58" s="267"/>
      <c r="S58" s="216"/>
      <c r="T58" s="216"/>
      <c r="U58" s="216"/>
      <c r="V58" s="216"/>
      <c r="W58" s="216"/>
      <c r="X58" s="216"/>
      <c r="Y58" s="216"/>
      <c r="Z58" s="216"/>
      <c r="AA58" s="216"/>
      <c r="AB58" s="216"/>
      <c r="AC58" s="216"/>
      <c r="AD58" s="216"/>
      <c r="AE58" s="216"/>
      <c r="AF58" s="216"/>
      <c r="AG58" s="216"/>
      <c r="AH58" s="216"/>
      <c r="AI58" s="216"/>
      <c r="AJ58" s="216"/>
      <c r="AK58" s="216"/>
      <c r="AL58" s="216"/>
      <c r="AM58" s="216"/>
      <c r="AN58" s="216"/>
      <c r="AO58" s="216"/>
      <c r="AP58" s="216"/>
      <c r="AQ58" s="216"/>
      <c r="AR58" s="216"/>
      <c r="AS58" s="216"/>
      <c r="AT58" s="216"/>
      <c r="AU58" s="216"/>
      <c r="AV58" s="216"/>
      <c r="AW58" s="216"/>
      <c r="AX58" s="216"/>
      <c r="AY58" s="216"/>
      <c r="AZ58" s="216"/>
      <c r="BA58" s="216"/>
      <c r="BB58" s="216"/>
      <c r="BC58" s="216"/>
      <c r="BD58" s="216"/>
      <c r="BE58" s="216"/>
      <c r="BF58" s="216"/>
      <c r="BG58" s="216"/>
      <c r="BH58" s="216"/>
      <c r="BI58" s="216"/>
      <c r="BJ58" s="216"/>
      <c r="BK58" s="216"/>
      <c r="BL58" s="216"/>
      <c r="BM58" s="216"/>
      <c r="BN58" s="216"/>
      <c r="BO58" s="216"/>
      <c r="BP58" s="216"/>
      <c r="BQ58" s="216"/>
      <c r="BR58" s="216"/>
      <c r="BS58" s="216"/>
      <c r="BT58" s="216"/>
    </row>
    <row r="59" ht="14.25" customHeight="1">
      <c r="A59" s="216"/>
      <c r="B59" s="216"/>
      <c r="C59" s="216"/>
      <c r="D59" s="267"/>
      <c r="E59" s="267"/>
      <c r="F59" s="267"/>
      <c r="G59" s="267"/>
      <c r="H59" s="267"/>
      <c r="I59" s="267"/>
      <c r="J59" s="267"/>
      <c r="K59" s="267"/>
      <c r="L59" s="267"/>
      <c r="M59" s="267"/>
      <c r="N59" s="267"/>
      <c r="O59" s="267"/>
      <c r="P59" s="267"/>
      <c r="Q59" s="267"/>
      <c r="R59" s="267"/>
      <c r="S59" s="216"/>
      <c r="T59" s="216"/>
      <c r="U59" s="216"/>
      <c r="V59" s="216"/>
      <c r="W59" s="216"/>
      <c r="X59" s="216"/>
      <c r="Y59" s="216"/>
      <c r="Z59" s="216"/>
      <c r="AA59" s="216"/>
      <c r="AB59" s="216"/>
      <c r="AC59" s="216"/>
      <c r="AD59" s="216"/>
      <c r="AE59" s="216"/>
      <c r="AF59" s="216"/>
      <c r="AG59" s="216"/>
      <c r="AH59" s="216"/>
      <c r="AI59" s="216"/>
      <c r="AJ59" s="216"/>
      <c r="AK59" s="216"/>
      <c r="AL59" s="216"/>
      <c r="AM59" s="216"/>
      <c r="AN59" s="216"/>
      <c r="AO59" s="216"/>
      <c r="AP59" s="216"/>
      <c r="AQ59" s="216"/>
      <c r="AR59" s="216"/>
      <c r="AS59" s="216"/>
      <c r="AT59" s="216"/>
      <c r="AU59" s="216"/>
      <c r="AV59" s="216"/>
      <c r="AW59" s="216"/>
      <c r="AX59" s="216"/>
      <c r="AY59" s="216"/>
      <c r="AZ59" s="216"/>
      <c r="BA59" s="216"/>
      <c r="BB59" s="216"/>
      <c r="BC59" s="216"/>
      <c r="BD59" s="216"/>
      <c r="BE59" s="216"/>
      <c r="BF59" s="216"/>
      <c r="BG59" s="216"/>
      <c r="BH59" s="216"/>
      <c r="BI59" s="216"/>
      <c r="BJ59" s="216"/>
      <c r="BK59" s="216"/>
      <c r="BL59" s="216"/>
      <c r="BM59" s="216"/>
      <c r="BN59" s="216"/>
      <c r="BO59" s="216"/>
      <c r="BP59" s="216"/>
      <c r="BQ59" s="216"/>
      <c r="BR59" s="216"/>
      <c r="BS59" s="216"/>
      <c r="BT59" s="216"/>
    </row>
    <row r="60" ht="14.25" customHeight="1">
      <c r="A60" s="216"/>
      <c r="B60" s="216"/>
      <c r="C60" s="216"/>
      <c r="D60" s="267"/>
      <c r="E60" s="267"/>
      <c r="F60" s="267"/>
      <c r="G60" s="267"/>
      <c r="H60" s="267"/>
      <c r="I60" s="267"/>
      <c r="J60" s="267"/>
      <c r="K60" s="267"/>
      <c r="L60" s="267"/>
      <c r="M60" s="267"/>
      <c r="N60" s="267"/>
      <c r="O60" s="267"/>
      <c r="P60" s="267"/>
      <c r="Q60" s="267"/>
      <c r="R60" s="267"/>
      <c r="S60" s="216"/>
      <c r="T60" s="216"/>
      <c r="U60" s="216"/>
      <c r="V60" s="216"/>
      <c r="W60" s="216"/>
      <c r="X60" s="216"/>
      <c r="Y60" s="216"/>
      <c r="Z60" s="216"/>
      <c r="AA60" s="216"/>
      <c r="AB60" s="216"/>
      <c r="AC60" s="216"/>
      <c r="AD60" s="216"/>
      <c r="AE60" s="216"/>
      <c r="AF60" s="216"/>
      <c r="AG60" s="216"/>
      <c r="AH60" s="216"/>
      <c r="AI60" s="216"/>
      <c r="AJ60" s="216"/>
      <c r="AK60" s="216"/>
      <c r="AL60" s="216"/>
      <c r="AM60" s="216"/>
      <c r="AN60" s="216"/>
      <c r="AO60" s="216"/>
      <c r="AP60" s="216"/>
      <c r="AQ60" s="216"/>
      <c r="AR60" s="216"/>
      <c r="AS60" s="216"/>
      <c r="AT60" s="216"/>
      <c r="AU60" s="216"/>
      <c r="AV60" s="216"/>
      <c r="AW60" s="216"/>
      <c r="AX60" s="216"/>
      <c r="AY60" s="216"/>
      <c r="AZ60" s="216"/>
      <c r="BA60" s="216"/>
      <c r="BB60" s="216"/>
      <c r="BC60" s="216"/>
      <c r="BD60" s="216"/>
      <c r="BE60" s="216"/>
      <c r="BF60" s="216"/>
      <c r="BG60" s="216"/>
      <c r="BH60" s="216"/>
      <c r="BI60" s="216"/>
      <c r="BJ60" s="216"/>
      <c r="BK60" s="216"/>
      <c r="BL60" s="216"/>
      <c r="BM60" s="216"/>
      <c r="BN60" s="216"/>
      <c r="BO60" s="216"/>
      <c r="BP60" s="216"/>
      <c r="BQ60" s="216"/>
      <c r="BR60" s="216"/>
      <c r="BS60" s="216"/>
      <c r="BT60" s="216"/>
    </row>
    <row r="61" ht="14.25" customHeight="1">
      <c r="A61" s="216"/>
      <c r="B61" s="216"/>
      <c r="C61" s="216"/>
      <c r="D61" s="267"/>
      <c r="E61" s="267"/>
      <c r="F61" s="267"/>
      <c r="G61" s="267"/>
      <c r="H61" s="267"/>
      <c r="I61" s="267"/>
      <c r="J61" s="267"/>
      <c r="K61" s="267"/>
      <c r="L61" s="267"/>
      <c r="M61" s="267"/>
      <c r="N61" s="267"/>
      <c r="O61" s="267"/>
      <c r="P61" s="267"/>
      <c r="Q61" s="267"/>
      <c r="R61" s="267"/>
      <c r="S61" s="216"/>
      <c r="T61" s="216"/>
      <c r="U61" s="216"/>
      <c r="V61" s="216"/>
      <c r="W61" s="216"/>
      <c r="X61" s="216"/>
      <c r="Y61" s="216"/>
      <c r="Z61" s="216"/>
      <c r="AA61" s="216"/>
      <c r="AB61" s="216"/>
      <c r="AC61" s="216"/>
      <c r="AD61" s="216"/>
      <c r="AE61" s="216"/>
      <c r="AF61" s="216"/>
      <c r="AG61" s="216"/>
      <c r="AH61" s="216"/>
      <c r="AI61" s="216"/>
      <c r="AJ61" s="216"/>
      <c r="AK61" s="216"/>
      <c r="AL61" s="216"/>
      <c r="AM61" s="216"/>
      <c r="AN61" s="216"/>
      <c r="AO61" s="216"/>
      <c r="AP61" s="216"/>
      <c r="AQ61" s="216"/>
      <c r="AR61" s="216"/>
      <c r="AS61" s="216"/>
      <c r="AT61" s="216"/>
      <c r="AU61" s="216"/>
      <c r="AV61" s="216"/>
      <c r="AW61" s="216"/>
      <c r="AX61" s="216"/>
      <c r="AY61" s="216"/>
      <c r="AZ61" s="216"/>
      <c r="BA61" s="216"/>
      <c r="BB61" s="216"/>
      <c r="BC61" s="216"/>
      <c r="BD61" s="216"/>
      <c r="BE61" s="216"/>
      <c r="BF61" s="216"/>
      <c r="BG61" s="216"/>
      <c r="BH61" s="216"/>
      <c r="BI61" s="216"/>
      <c r="BJ61" s="216"/>
      <c r="BK61" s="216"/>
      <c r="BL61" s="216"/>
      <c r="BM61" s="216"/>
      <c r="BN61" s="216"/>
      <c r="BO61" s="216"/>
      <c r="BP61" s="216"/>
      <c r="BQ61" s="216"/>
      <c r="BR61" s="216"/>
      <c r="BS61" s="216"/>
      <c r="BT61" s="216"/>
    </row>
    <row r="62" ht="14.25" customHeight="1">
      <c r="A62" s="216"/>
      <c r="B62" s="216"/>
      <c r="C62" s="216"/>
      <c r="D62" s="267"/>
      <c r="E62" s="267"/>
      <c r="F62" s="267"/>
      <c r="G62" s="267"/>
      <c r="H62" s="267"/>
      <c r="I62" s="267"/>
      <c r="J62" s="267"/>
      <c r="K62" s="267"/>
      <c r="L62" s="267"/>
      <c r="M62" s="267"/>
      <c r="N62" s="267"/>
      <c r="O62" s="267"/>
      <c r="P62" s="267"/>
      <c r="Q62" s="267"/>
      <c r="R62" s="267"/>
      <c r="S62" s="216"/>
      <c r="T62" s="216"/>
      <c r="U62" s="216"/>
      <c r="V62" s="216"/>
      <c r="W62" s="216"/>
      <c r="X62" s="216"/>
      <c r="Y62" s="216"/>
      <c r="Z62" s="216"/>
      <c r="AA62" s="216"/>
      <c r="AB62" s="216"/>
      <c r="AC62" s="216"/>
      <c r="AD62" s="216"/>
      <c r="AE62" s="216"/>
      <c r="AF62" s="216"/>
      <c r="AG62" s="216"/>
      <c r="AH62" s="216"/>
      <c r="AI62" s="216"/>
      <c r="AJ62" s="216"/>
      <c r="AK62" s="216"/>
      <c r="AL62" s="216"/>
      <c r="AM62" s="216"/>
      <c r="AN62" s="216"/>
      <c r="AO62" s="216"/>
      <c r="AP62" s="216"/>
      <c r="AQ62" s="216"/>
      <c r="AR62" s="216"/>
      <c r="AS62" s="216"/>
      <c r="AT62" s="216"/>
      <c r="AU62" s="216"/>
      <c r="AV62" s="216"/>
      <c r="AW62" s="216"/>
      <c r="AX62" s="216"/>
      <c r="AY62" s="216"/>
      <c r="AZ62" s="216"/>
      <c r="BA62" s="216"/>
      <c r="BB62" s="216"/>
      <c r="BC62" s="216"/>
      <c r="BD62" s="216"/>
      <c r="BE62" s="216"/>
      <c r="BF62" s="216"/>
      <c r="BG62" s="216"/>
      <c r="BH62" s="216"/>
      <c r="BI62" s="216"/>
      <c r="BJ62" s="216"/>
      <c r="BK62" s="216"/>
      <c r="BL62" s="216"/>
      <c r="BM62" s="216"/>
      <c r="BN62" s="216"/>
      <c r="BO62" s="216"/>
      <c r="BP62" s="216"/>
      <c r="BQ62" s="216"/>
      <c r="BR62" s="216"/>
      <c r="BS62" s="216"/>
      <c r="BT62" s="216"/>
    </row>
    <row r="63" ht="14.25" customHeight="1">
      <c r="A63" s="216"/>
      <c r="B63" s="216"/>
      <c r="C63" s="216"/>
      <c r="D63" s="267"/>
      <c r="E63" s="267"/>
      <c r="F63" s="267"/>
      <c r="G63" s="267"/>
      <c r="H63" s="267"/>
      <c r="I63" s="267"/>
      <c r="J63" s="267"/>
      <c r="K63" s="267"/>
      <c r="L63" s="267"/>
      <c r="M63" s="267"/>
      <c r="N63" s="267"/>
      <c r="O63" s="267"/>
      <c r="P63" s="267"/>
      <c r="Q63" s="267"/>
      <c r="R63" s="267"/>
      <c r="S63" s="216"/>
      <c r="T63" s="216"/>
      <c r="U63" s="216"/>
      <c r="V63" s="216"/>
      <c r="W63" s="216"/>
      <c r="X63" s="216"/>
      <c r="Y63" s="216"/>
      <c r="Z63" s="216"/>
      <c r="AA63" s="216"/>
      <c r="AB63" s="216"/>
      <c r="AC63" s="216"/>
      <c r="AD63" s="216"/>
      <c r="AE63" s="216"/>
      <c r="AF63" s="216"/>
      <c r="AG63" s="216"/>
      <c r="AH63" s="216"/>
      <c r="AI63" s="216"/>
      <c r="AJ63" s="216"/>
      <c r="AK63" s="216"/>
      <c r="AL63" s="216"/>
      <c r="AM63" s="216"/>
      <c r="AN63" s="216"/>
      <c r="AO63" s="216"/>
      <c r="AP63" s="216"/>
      <c r="AQ63" s="216"/>
      <c r="AR63" s="216"/>
      <c r="AS63" s="216"/>
      <c r="AT63" s="216"/>
      <c r="AU63" s="216"/>
      <c r="AV63" s="216"/>
      <c r="AW63" s="216"/>
      <c r="AX63" s="216"/>
      <c r="AY63" s="216"/>
      <c r="AZ63" s="216"/>
      <c r="BA63" s="216"/>
      <c r="BB63" s="216"/>
      <c r="BC63" s="216"/>
      <c r="BD63" s="216"/>
      <c r="BE63" s="216"/>
      <c r="BF63" s="216"/>
      <c r="BG63" s="216"/>
      <c r="BH63" s="216"/>
      <c r="BI63" s="216"/>
      <c r="BJ63" s="216"/>
      <c r="BK63" s="216"/>
      <c r="BL63" s="216"/>
      <c r="BM63" s="216"/>
      <c r="BN63" s="216"/>
      <c r="BO63" s="216"/>
      <c r="BP63" s="216"/>
      <c r="BQ63" s="216"/>
      <c r="BR63" s="216"/>
      <c r="BS63" s="216"/>
      <c r="BT63" s="216"/>
    </row>
    <row r="64" ht="14.25" customHeight="1">
      <c r="A64" s="216"/>
      <c r="B64" s="216"/>
      <c r="C64" s="216"/>
      <c r="D64" s="267"/>
      <c r="E64" s="267"/>
      <c r="F64" s="267"/>
      <c r="G64" s="267"/>
      <c r="H64" s="267"/>
      <c r="I64" s="267"/>
      <c r="J64" s="267"/>
      <c r="K64" s="267"/>
      <c r="L64" s="267"/>
      <c r="M64" s="267"/>
      <c r="N64" s="267"/>
      <c r="O64" s="267"/>
      <c r="P64" s="267"/>
      <c r="Q64" s="267"/>
      <c r="R64" s="267"/>
      <c r="S64" s="216"/>
      <c r="T64" s="216"/>
      <c r="U64" s="216"/>
      <c r="V64" s="216"/>
      <c r="W64" s="216"/>
      <c r="X64" s="216"/>
      <c r="Y64" s="216"/>
      <c r="Z64" s="216"/>
      <c r="AA64" s="216"/>
      <c r="AB64" s="216"/>
      <c r="AC64" s="216"/>
      <c r="AD64" s="216"/>
      <c r="AE64" s="216"/>
      <c r="AF64" s="216"/>
      <c r="AG64" s="216"/>
      <c r="AH64" s="216"/>
      <c r="AI64" s="216"/>
      <c r="AJ64" s="216"/>
      <c r="AK64" s="216"/>
      <c r="AL64" s="216"/>
      <c r="AM64" s="216"/>
      <c r="AN64" s="216"/>
      <c r="AO64" s="216"/>
      <c r="AP64" s="216"/>
      <c r="AQ64" s="216"/>
      <c r="AR64" s="216"/>
      <c r="AS64" s="216"/>
      <c r="AT64" s="216"/>
      <c r="AU64" s="216"/>
      <c r="AV64" s="216"/>
      <c r="AW64" s="216"/>
      <c r="AX64" s="216"/>
      <c r="AY64" s="216"/>
      <c r="AZ64" s="216"/>
      <c r="BA64" s="216"/>
      <c r="BB64" s="216"/>
      <c r="BC64" s="216"/>
      <c r="BD64" s="216"/>
      <c r="BE64" s="216"/>
      <c r="BF64" s="216"/>
      <c r="BG64" s="216"/>
      <c r="BH64" s="216"/>
      <c r="BI64" s="216"/>
      <c r="BJ64" s="216"/>
      <c r="BK64" s="216"/>
      <c r="BL64" s="216"/>
      <c r="BM64" s="216"/>
      <c r="BN64" s="216"/>
      <c r="BO64" s="216"/>
      <c r="BP64" s="216"/>
      <c r="BQ64" s="216"/>
      <c r="BR64" s="216"/>
      <c r="BS64" s="216"/>
      <c r="BT64" s="216"/>
    </row>
    <row r="65" ht="14.25" customHeight="1">
      <c r="A65" s="216"/>
      <c r="B65" s="216"/>
      <c r="C65" s="216"/>
      <c r="D65" s="267"/>
      <c r="E65" s="267"/>
      <c r="F65" s="267"/>
      <c r="G65" s="267"/>
      <c r="H65" s="267"/>
      <c r="I65" s="267"/>
      <c r="J65" s="267"/>
      <c r="K65" s="267"/>
      <c r="L65" s="267"/>
      <c r="M65" s="267"/>
      <c r="N65" s="267"/>
      <c r="O65" s="267"/>
      <c r="P65" s="267"/>
      <c r="Q65" s="267"/>
      <c r="R65" s="267"/>
      <c r="S65" s="216"/>
      <c r="T65" s="216"/>
      <c r="U65" s="216"/>
      <c r="V65" s="216"/>
      <c r="W65" s="216"/>
      <c r="X65" s="216"/>
      <c r="Y65" s="216"/>
      <c r="Z65" s="216"/>
      <c r="AA65" s="216"/>
      <c r="AB65" s="216"/>
      <c r="AC65" s="216"/>
      <c r="AD65" s="216"/>
      <c r="AE65" s="216"/>
      <c r="AF65" s="216"/>
      <c r="AG65" s="216"/>
      <c r="AH65" s="216"/>
      <c r="AI65" s="216"/>
      <c r="AJ65" s="216"/>
      <c r="AK65" s="216"/>
      <c r="AL65" s="216"/>
      <c r="AM65" s="216"/>
      <c r="AN65" s="216"/>
      <c r="AO65" s="216"/>
      <c r="AP65" s="216"/>
      <c r="AQ65" s="216"/>
      <c r="AR65" s="216"/>
      <c r="AS65" s="216"/>
      <c r="AT65" s="216"/>
      <c r="AU65" s="216"/>
      <c r="AV65" s="216"/>
      <c r="AW65" s="216"/>
      <c r="AX65" s="216"/>
      <c r="AY65" s="216"/>
      <c r="AZ65" s="216"/>
      <c r="BA65" s="216"/>
      <c r="BB65" s="216"/>
      <c r="BC65" s="216"/>
      <c r="BD65" s="216"/>
      <c r="BE65" s="216"/>
      <c r="BF65" s="216"/>
      <c r="BG65" s="216"/>
      <c r="BH65" s="216"/>
      <c r="BI65" s="216"/>
      <c r="BJ65" s="216"/>
      <c r="BK65" s="216"/>
      <c r="BL65" s="216"/>
      <c r="BM65" s="216"/>
      <c r="BN65" s="216"/>
      <c r="BO65" s="216"/>
      <c r="BP65" s="216"/>
      <c r="BQ65" s="216"/>
      <c r="BR65" s="216"/>
      <c r="BS65" s="216"/>
      <c r="BT65" s="216"/>
    </row>
    <row r="66" ht="14.25" customHeight="1">
      <c r="A66" s="216"/>
      <c r="B66" s="216"/>
      <c r="C66" s="216"/>
      <c r="D66" s="267"/>
      <c r="E66" s="267"/>
      <c r="F66" s="267"/>
      <c r="G66" s="267"/>
      <c r="H66" s="267"/>
      <c r="I66" s="267"/>
      <c r="J66" s="267"/>
      <c r="K66" s="267"/>
      <c r="L66" s="267"/>
      <c r="M66" s="267"/>
      <c r="N66" s="267"/>
      <c r="O66" s="267"/>
      <c r="P66" s="267"/>
      <c r="Q66" s="267"/>
      <c r="R66" s="267"/>
      <c r="S66" s="216"/>
      <c r="T66" s="216"/>
      <c r="U66" s="216"/>
      <c r="V66" s="216"/>
      <c r="W66" s="216"/>
      <c r="X66" s="216"/>
      <c r="Y66" s="216"/>
      <c r="Z66" s="216"/>
      <c r="AA66" s="216"/>
      <c r="AB66" s="216"/>
      <c r="AC66" s="216"/>
      <c r="AD66" s="216"/>
      <c r="AE66" s="216"/>
      <c r="AF66" s="216"/>
      <c r="AG66" s="216"/>
      <c r="AH66" s="216"/>
      <c r="AI66" s="216"/>
      <c r="AJ66" s="216"/>
      <c r="AK66" s="216"/>
      <c r="AL66" s="216"/>
      <c r="AM66" s="216"/>
      <c r="AN66" s="216"/>
      <c r="AO66" s="216"/>
      <c r="AP66" s="216"/>
      <c r="AQ66" s="216"/>
      <c r="AR66" s="216"/>
      <c r="AS66" s="216"/>
      <c r="AT66" s="216"/>
      <c r="AU66" s="216"/>
      <c r="AV66" s="216"/>
      <c r="AW66" s="216"/>
      <c r="AX66" s="216"/>
      <c r="AY66" s="216"/>
      <c r="AZ66" s="216"/>
      <c r="BA66" s="216"/>
      <c r="BB66" s="216"/>
      <c r="BC66" s="216"/>
      <c r="BD66" s="216"/>
      <c r="BE66" s="216"/>
      <c r="BF66" s="216"/>
      <c r="BG66" s="216"/>
      <c r="BH66" s="216"/>
      <c r="BI66" s="216"/>
      <c r="BJ66" s="216"/>
      <c r="BK66" s="216"/>
      <c r="BL66" s="216"/>
      <c r="BM66" s="216"/>
      <c r="BN66" s="216"/>
      <c r="BO66" s="216"/>
      <c r="BP66" s="216"/>
      <c r="BQ66" s="216"/>
      <c r="BR66" s="216"/>
      <c r="BS66" s="216"/>
      <c r="BT66" s="216"/>
    </row>
    <row r="67" ht="14.25" customHeight="1">
      <c r="A67" s="216"/>
      <c r="B67" s="216"/>
      <c r="C67" s="216"/>
      <c r="D67" s="267"/>
      <c r="E67" s="267"/>
      <c r="F67" s="267"/>
      <c r="G67" s="267"/>
      <c r="H67" s="267"/>
      <c r="I67" s="267"/>
      <c r="J67" s="267"/>
      <c r="K67" s="267"/>
      <c r="L67" s="267"/>
      <c r="M67" s="267"/>
      <c r="N67" s="267"/>
      <c r="O67" s="267"/>
      <c r="P67" s="267"/>
      <c r="Q67" s="267"/>
      <c r="R67" s="267"/>
      <c r="S67" s="216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216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216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</row>
    <row r="68" ht="14.25" customHeight="1">
      <c r="A68" s="216"/>
      <c r="B68" s="216"/>
      <c r="C68" s="216"/>
      <c r="D68" s="267"/>
      <c r="E68" s="267"/>
      <c r="F68" s="267"/>
      <c r="G68" s="267"/>
      <c r="H68" s="267"/>
      <c r="I68" s="267"/>
      <c r="J68" s="267"/>
      <c r="K68" s="267"/>
      <c r="L68" s="267"/>
      <c r="M68" s="267"/>
      <c r="N68" s="267"/>
      <c r="O68" s="267"/>
      <c r="P68" s="267"/>
      <c r="Q68" s="267"/>
      <c r="R68" s="267"/>
      <c r="S68" s="216"/>
      <c r="T68" s="216"/>
      <c r="U68" s="216"/>
      <c r="V68" s="216"/>
      <c r="W68" s="216"/>
      <c r="X68" s="216"/>
      <c r="Y68" s="216"/>
      <c r="Z68" s="216"/>
      <c r="AA68" s="216"/>
      <c r="AB68" s="216"/>
      <c r="AC68" s="216"/>
      <c r="AD68" s="216"/>
      <c r="AE68" s="216"/>
      <c r="AF68" s="216"/>
      <c r="AG68" s="216"/>
      <c r="AH68" s="216"/>
      <c r="AI68" s="216"/>
      <c r="AJ68" s="216"/>
      <c r="AK68" s="216"/>
      <c r="AL68" s="216"/>
      <c r="AM68" s="216"/>
      <c r="AN68" s="216"/>
      <c r="AO68" s="216"/>
      <c r="AP68" s="216"/>
      <c r="AQ68" s="216"/>
      <c r="AR68" s="216"/>
      <c r="AS68" s="216"/>
      <c r="AT68" s="216"/>
      <c r="AU68" s="216"/>
      <c r="AV68" s="216"/>
      <c r="AW68" s="216"/>
      <c r="AX68" s="216"/>
      <c r="AY68" s="216"/>
      <c r="AZ68" s="216"/>
      <c r="BA68" s="216"/>
      <c r="BB68" s="216"/>
      <c r="BC68" s="216"/>
      <c r="BD68" s="216"/>
      <c r="BE68" s="216"/>
      <c r="BF68" s="216"/>
      <c r="BG68" s="216"/>
      <c r="BH68" s="216"/>
      <c r="BI68" s="216"/>
      <c r="BJ68" s="216"/>
      <c r="BK68" s="216"/>
      <c r="BL68" s="216"/>
      <c r="BM68" s="216"/>
      <c r="BN68" s="216"/>
      <c r="BO68" s="216"/>
      <c r="BP68" s="216"/>
      <c r="BQ68" s="216"/>
      <c r="BR68" s="216"/>
      <c r="BS68" s="216"/>
      <c r="BT68" s="216"/>
    </row>
    <row r="69" ht="14.25" customHeight="1">
      <c r="A69" s="216"/>
      <c r="B69" s="216"/>
      <c r="C69" s="216"/>
      <c r="D69" s="267"/>
      <c r="E69" s="267"/>
      <c r="F69" s="267"/>
      <c r="G69" s="267"/>
      <c r="H69" s="267"/>
      <c r="I69" s="267"/>
      <c r="J69" s="267"/>
      <c r="K69" s="267"/>
      <c r="L69" s="267"/>
      <c r="M69" s="267"/>
      <c r="N69" s="267"/>
      <c r="O69" s="267"/>
      <c r="P69" s="267"/>
      <c r="Q69" s="267"/>
      <c r="R69" s="267"/>
      <c r="S69" s="216"/>
      <c r="T69" s="216"/>
      <c r="U69" s="216"/>
      <c r="V69" s="216"/>
      <c r="W69" s="216"/>
      <c r="X69" s="216"/>
      <c r="Y69" s="216"/>
      <c r="Z69" s="216"/>
      <c r="AA69" s="216"/>
      <c r="AB69" s="216"/>
      <c r="AC69" s="216"/>
      <c r="AD69" s="216"/>
      <c r="AE69" s="216"/>
      <c r="AF69" s="216"/>
      <c r="AG69" s="216"/>
      <c r="AH69" s="216"/>
      <c r="AI69" s="216"/>
      <c r="AJ69" s="216"/>
      <c r="AK69" s="216"/>
      <c r="AL69" s="216"/>
      <c r="AM69" s="216"/>
      <c r="AN69" s="216"/>
      <c r="AO69" s="216"/>
      <c r="AP69" s="216"/>
      <c r="AQ69" s="216"/>
      <c r="AR69" s="216"/>
      <c r="AS69" s="216"/>
      <c r="AT69" s="216"/>
      <c r="AU69" s="216"/>
      <c r="AV69" s="216"/>
      <c r="AW69" s="216"/>
      <c r="AX69" s="216"/>
      <c r="AY69" s="216"/>
      <c r="AZ69" s="216"/>
      <c r="BA69" s="216"/>
      <c r="BB69" s="216"/>
      <c r="BC69" s="216"/>
      <c r="BD69" s="216"/>
      <c r="BE69" s="216"/>
      <c r="BF69" s="216"/>
      <c r="BG69" s="216"/>
      <c r="BH69" s="216"/>
      <c r="BI69" s="216"/>
      <c r="BJ69" s="216"/>
      <c r="BK69" s="216"/>
      <c r="BL69" s="216"/>
      <c r="BM69" s="216"/>
      <c r="BN69" s="216"/>
      <c r="BO69" s="216"/>
      <c r="BP69" s="216"/>
      <c r="BQ69" s="216"/>
      <c r="BR69" s="216"/>
      <c r="BS69" s="216"/>
      <c r="BT69" s="216"/>
    </row>
    <row r="70" ht="14.25" customHeight="1">
      <c r="A70" s="216"/>
      <c r="B70" s="216"/>
      <c r="C70" s="216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16"/>
      <c r="T70" s="216"/>
      <c r="U70" s="216"/>
      <c r="V70" s="216"/>
      <c r="W70" s="216"/>
      <c r="X70" s="216"/>
      <c r="Y70" s="216"/>
      <c r="Z70" s="216"/>
      <c r="AA70" s="216"/>
      <c r="AB70" s="216"/>
      <c r="AC70" s="216"/>
      <c r="AD70" s="216"/>
      <c r="AE70" s="216"/>
      <c r="AF70" s="216"/>
      <c r="AG70" s="216"/>
      <c r="AH70" s="216"/>
      <c r="AI70" s="216"/>
      <c r="AJ70" s="216"/>
      <c r="AK70" s="216"/>
      <c r="AL70" s="216"/>
      <c r="AM70" s="216"/>
      <c r="AN70" s="216"/>
      <c r="AO70" s="216"/>
      <c r="AP70" s="216"/>
      <c r="AQ70" s="216"/>
      <c r="AR70" s="216"/>
      <c r="AS70" s="216"/>
      <c r="AT70" s="216"/>
      <c r="AU70" s="216"/>
      <c r="AV70" s="216"/>
      <c r="AW70" s="216"/>
      <c r="AX70" s="216"/>
      <c r="AY70" s="216"/>
      <c r="AZ70" s="216"/>
      <c r="BA70" s="216"/>
      <c r="BB70" s="216"/>
      <c r="BC70" s="216"/>
      <c r="BD70" s="216"/>
      <c r="BE70" s="216"/>
      <c r="BF70" s="216"/>
      <c r="BG70" s="216"/>
      <c r="BH70" s="216"/>
      <c r="BI70" s="216"/>
      <c r="BJ70" s="216"/>
      <c r="BK70" s="216"/>
      <c r="BL70" s="216"/>
      <c r="BM70" s="216"/>
      <c r="BN70" s="216"/>
      <c r="BO70" s="216"/>
      <c r="BP70" s="216"/>
      <c r="BQ70" s="216"/>
      <c r="BR70" s="216"/>
      <c r="BS70" s="216"/>
      <c r="BT70" s="216"/>
    </row>
    <row r="71" ht="14.25" customHeight="1">
      <c r="A71" s="216"/>
      <c r="B71" s="216"/>
      <c r="C71" s="216"/>
      <c r="D71" s="267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16"/>
      <c r="T71" s="216"/>
      <c r="U71" s="216"/>
      <c r="V71" s="216"/>
      <c r="W71" s="216"/>
      <c r="X71" s="216"/>
      <c r="Y71" s="216"/>
      <c r="Z71" s="216"/>
      <c r="AA71" s="216"/>
      <c r="AB71" s="216"/>
      <c r="AC71" s="216"/>
      <c r="AD71" s="216"/>
      <c r="AE71" s="216"/>
      <c r="AF71" s="216"/>
      <c r="AG71" s="216"/>
      <c r="AH71" s="216"/>
      <c r="AI71" s="216"/>
      <c r="AJ71" s="216"/>
      <c r="AK71" s="216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6"/>
      <c r="BB71" s="216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6"/>
      <c r="BS71" s="216"/>
      <c r="BT71" s="216"/>
    </row>
    <row r="72" ht="14.25" customHeight="1">
      <c r="A72" s="216"/>
      <c r="B72" s="216"/>
      <c r="C72" s="216"/>
      <c r="D72" s="267"/>
      <c r="E72" s="267"/>
      <c r="F72" s="267"/>
      <c r="G72" s="267"/>
      <c r="H72" s="267"/>
      <c r="I72" s="267"/>
      <c r="J72" s="267"/>
      <c r="K72" s="267"/>
      <c r="L72" s="267"/>
      <c r="M72" s="267"/>
      <c r="N72" s="267"/>
      <c r="O72" s="267"/>
      <c r="P72" s="267"/>
      <c r="Q72" s="267"/>
      <c r="R72" s="267"/>
      <c r="S72" s="216"/>
      <c r="T72" s="216"/>
      <c r="U72" s="216"/>
      <c r="V72" s="216"/>
      <c r="W72" s="216"/>
      <c r="X72" s="216"/>
      <c r="Y72" s="216"/>
      <c r="Z72" s="216"/>
      <c r="AA72" s="216"/>
      <c r="AB72" s="216"/>
      <c r="AC72" s="216"/>
      <c r="AD72" s="216"/>
      <c r="AE72" s="216"/>
      <c r="AF72" s="216"/>
      <c r="AG72" s="216"/>
      <c r="AH72" s="216"/>
      <c r="AI72" s="216"/>
      <c r="AJ72" s="216"/>
      <c r="AK72" s="216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6"/>
      <c r="BB72" s="216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6"/>
      <c r="BS72" s="216"/>
      <c r="BT72" s="216"/>
    </row>
    <row r="73" ht="14.25" customHeight="1">
      <c r="A73" s="216"/>
      <c r="B73" s="216"/>
      <c r="C73" s="216"/>
      <c r="D73" s="267"/>
      <c r="E73" s="267"/>
      <c r="F73" s="267"/>
      <c r="G73" s="267"/>
      <c r="H73" s="267"/>
      <c r="I73" s="267"/>
      <c r="J73" s="267"/>
      <c r="K73" s="267"/>
      <c r="L73" s="267"/>
      <c r="M73" s="267"/>
      <c r="N73" s="267"/>
      <c r="O73" s="267"/>
      <c r="P73" s="267"/>
      <c r="Q73" s="267"/>
      <c r="R73" s="267"/>
      <c r="S73" s="216"/>
      <c r="T73" s="216"/>
      <c r="U73" s="216"/>
      <c r="V73" s="216"/>
      <c r="W73" s="216"/>
      <c r="X73" s="216"/>
      <c r="Y73" s="216"/>
      <c r="Z73" s="216"/>
      <c r="AA73" s="216"/>
      <c r="AB73" s="216"/>
      <c r="AC73" s="216"/>
      <c r="AD73" s="216"/>
      <c r="AE73" s="216"/>
      <c r="AF73" s="216"/>
      <c r="AG73" s="216"/>
      <c r="AH73" s="216"/>
      <c r="AI73" s="216"/>
      <c r="AJ73" s="216"/>
      <c r="AK73" s="216"/>
      <c r="AL73" s="216"/>
      <c r="AM73" s="216"/>
      <c r="AN73" s="216"/>
      <c r="AO73" s="216"/>
      <c r="AP73" s="216"/>
      <c r="AQ73" s="216"/>
      <c r="AR73" s="216"/>
      <c r="AS73" s="216"/>
      <c r="AT73" s="216"/>
      <c r="AU73" s="216"/>
      <c r="AV73" s="216"/>
      <c r="AW73" s="216"/>
      <c r="AX73" s="216"/>
      <c r="AY73" s="216"/>
      <c r="AZ73" s="216"/>
      <c r="BA73" s="216"/>
      <c r="BB73" s="216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6"/>
      <c r="BS73" s="216"/>
      <c r="BT73" s="216"/>
    </row>
    <row r="74" ht="14.25" customHeight="1">
      <c r="A74" s="216"/>
      <c r="B74" s="216"/>
      <c r="C74" s="216"/>
      <c r="D74" s="267"/>
      <c r="E74" s="267"/>
      <c r="F74" s="267"/>
      <c r="G74" s="267"/>
      <c r="H74" s="267"/>
      <c r="I74" s="267"/>
      <c r="J74" s="267"/>
      <c r="K74" s="267"/>
      <c r="L74" s="267"/>
      <c r="M74" s="267"/>
      <c r="N74" s="267"/>
      <c r="O74" s="267"/>
      <c r="P74" s="267"/>
      <c r="Q74" s="267"/>
      <c r="R74" s="267"/>
      <c r="S74" s="216"/>
      <c r="T74" s="216"/>
      <c r="U74" s="216"/>
      <c r="V74" s="216"/>
      <c r="W74" s="216"/>
      <c r="X74" s="216"/>
      <c r="Y74" s="216"/>
      <c r="Z74" s="216"/>
      <c r="AA74" s="216"/>
      <c r="AB74" s="216"/>
      <c r="AC74" s="216"/>
      <c r="AD74" s="216"/>
      <c r="AE74" s="216"/>
      <c r="AF74" s="216"/>
      <c r="AG74" s="216"/>
      <c r="AH74" s="216"/>
      <c r="AI74" s="216"/>
      <c r="AJ74" s="216"/>
      <c r="AK74" s="216"/>
      <c r="AL74" s="216"/>
      <c r="AM74" s="216"/>
      <c r="AN74" s="216"/>
      <c r="AO74" s="216"/>
      <c r="AP74" s="216"/>
      <c r="AQ74" s="216"/>
      <c r="AR74" s="216"/>
      <c r="AS74" s="216"/>
      <c r="AT74" s="216"/>
      <c r="AU74" s="216"/>
      <c r="AV74" s="216"/>
      <c r="AW74" s="216"/>
      <c r="AX74" s="216"/>
      <c r="AY74" s="216"/>
      <c r="AZ74" s="216"/>
      <c r="BA74" s="216"/>
      <c r="BB74" s="216"/>
      <c r="BC74" s="216"/>
      <c r="BD74" s="216"/>
      <c r="BE74" s="216"/>
      <c r="BF74" s="216"/>
      <c r="BG74" s="216"/>
      <c r="BH74" s="216"/>
      <c r="BI74" s="216"/>
      <c r="BJ74" s="216"/>
      <c r="BK74" s="216"/>
      <c r="BL74" s="216"/>
      <c r="BM74" s="216"/>
      <c r="BN74" s="216"/>
      <c r="BO74" s="216"/>
      <c r="BP74" s="216"/>
      <c r="BQ74" s="216"/>
      <c r="BR74" s="216"/>
      <c r="BS74" s="216"/>
      <c r="BT74" s="216"/>
    </row>
    <row r="75" ht="14.25" customHeight="1">
      <c r="A75" s="216"/>
      <c r="B75" s="216"/>
      <c r="C75" s="216"/>
      <c r="D75" s="267"/>
      <c r="E75" s="267"/>
      <c r="F75" s="267"/>
      <c r="G75" s="267"/>
      <c r="H75" s="267"/>
      <c r="I75" s="267"/>
      <c r="J75" s="267"/>
      <c r="K75" s="267"/>
      <c r="L75" s="267"/>
      <c r="M75" s="267"/>
      <c r="N75" s="267"/>
      <c r="O75" s="267"/>
      <c r="P75" s="267"/>
      <c r="Q75" s="267"/>
      <c r="R75" s="267"/>
      <c r="S75" s="21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216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216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</row>
    <row r="76" ht="14.25" customHeight="1">
      <c r="A76" s="216"/>
      <c r="B76" s="216"/>
      <c r="C76" s="216"/>
      <c r="D76" s="267"/>
      <c r="E76" s="267"/>
      <c r="F76" s="267"/>
      <c r="G76" s="267"/>
      <c r="H76" s="267"/>
      <c r="I76" s="267"/>
      <c r="J76" s="267"/>
      <c r="K76" s="267"/>
      <c r="L76" s="267"/>
      <c r="M76" s="267"/>
      <c r="N76" s="267"/>
      <c r="O76" s="267"/>
      <c r="P76" s="267"/>
      <c r="Q76" s="267"/>
      <c r="R76" s="267"/>
      <c r="S76" s="216"/>
      <c r="T76" s="216"/>
      <c r="U76" s="216"/>
      <c r="V76" s="216"/>
      <c r="W76" s="216"/>
      <c r="X76" s="216"/>
      <c r="Y76" s="216"/>
      <c r="Z76" s="216"/>
      <c r="AA76" s="216"/>
      <c r="AB76" s="216"/>
      <c r="AC76" s="216"/>
      <c r="AD76" s="216"/>
      <c r="AE76" s="216"/>
      <c r="AF76" s="216"/>
      <c r="AG76" s="216"/>
      <c r="AH76" s="216"/>
      <c r="AI76" s="216"/>
      <c r="AJ76" s="216"/>
      <c r="AK76" s="216"/>
      <c r="AL76" s="216"/>
      <c r="AM76" s="216"/>
      <c r="AN76" s="216"/>
      <c r="AO76" s="216"/>
      <c r="AP76" s="216"/>
      <c r="AQ76" s="216"/>
      <c r="AR76" s="216"/>
      <c r="AS76" s="216"/>
      <c r="AT76" s="216"/>
      <c r="AU76" s="216"/>
      <c r="AV76" s="216"/>
      <c r="AW76" s="216"/>
      <c r="AX76" s="216"/>
      <c r="AY76" s="216"/>
      <c r="AZ76" s="216"/>
      <c r="BA76" s="216"/>
      <c r="BB76" s="216"/>
      <c r="BC76" s="216"/>
      <c r="BD76" s="216"/>
      <c r="BE76" s="216"/>
      <c r="BF76" s="216"/>
      <c r="BG76" s="216"/>
      <c r="BH76" s="216"/>
      <c r="BI76" s="216"/>
      <c r="BJ76" s="216"/>
      <c r="BK76" s="216"/>
      <c r="BL76" s="216"/>
      <c r="BM76" s="216"/>
      <c r="BN76" s="216"/>
      <c r="BO76" s="216"/>
      <c r="BP76" s="216"/>
      <c r="BQ76" s="216"/>
      <c r="BR76" s="216"/>
      <c r="BS76" s="216"/>
      <c r="BT76" s="216"/>
    </row>
    <row r="77" ht="14.25" customHeight="1">
      <c r="A77" s="216"/>
      <c r="B77" s="216"/>
      <c r="C77" s="216"/>
      <c r="D77" s="267"/>
      <c r="E77" s="267"/>
      <c r="F77" s="267"/>
      <c r="G77" s="267"/>
      <c r="H77" s="267"/>
      <c r="I77" s="267"/>
      <c r="J77" s="267"/>
      <c r="K77" s="267"/>
      <c r="L77" s="267"/>
      <c r="M77" s="267"/>
      <c r="N77" s="267"/>
      <c r="O77" s="267"/>
      <c r="P77" s="267"/>
      <c r="Q77" s="267"/>
      <c r="R77" s="267"/>
      <c r="S77" s="216"/>
      <c r="T77" s="216"/>
      <c r="U77" s="216"/>
      <c r="V77" s="216"/>
      <c r="W77" s="216"/>
      <c r="X77" s="216"/>
      <c r="Y77" s="216"/>
      <c r="Z77" s="216"/>
      <c r="AA77" s="216"/>
      <c r="AB77" s="216"/>
      <c r="AC77" s="216"/>
      <c r="AD77" s="216"/>
      <c r="AE77" s="216"/>
      <c r="AF77" s="216"/>
      <c r="AG77" s="216"/>
      <c r="AH77" s="216"/>
      <c r="AI77" s="216"/>
      <c r="AJ77" s="216"/>
      <c r="AK77" s="216"/>
      <c r="AL77" s="216"/>
      <c r="AM77" s="216"/>
      <c r="AN77" s="216"/>
      <c r="AO77" s="216"/>
      <c r="AP77" s="216"/>
      <c r="AQ77" s="216"/>
      <c r="AR77" s="216"/>
      <c r="AS77" s="216"/>
      <c r="AT77" s="216"/>
      <c r="AU77" s="216"/>
      <c r="AV77" s="216"/>
      <c r="AW77" s="216"/>
      <c r="AX77" s="216"/>
      <c r="AY77" s="216"/>
      <c r="AZ77" s="216"/>
      <c r="BA77" s="216"/>
      <c r="BB77" s="216"/>
      <c r="BC77" s="216"/>
      <c r="BD77" s="216"/>
      <c r="BE77" s="216"/>
      <c r="BF77" s="216"/>
      <c r="BG77" s="216"/>
      <c r="BH77" s="216"/>
      <c r="BI77" s="216"/>
      <c r="BJ77" s="216"/>
      <c r="BK77" s="216"/>
      <c r="BL77" s="216"/>
      <c r="BM77" s="216"/>
      <c r="BN77" s="216"/>
      <c r="BO77" s="216"/>
      <c r="BP77" s="216"/>
      <c r="BQ77" s="216"/>
      <c r="BR77" s="216"/>
      <c r="BS77" s="216"/>
      <c r="BT77" s="216"/>
    </row>
    <row r="78" ht="14.25" customHeight="1">
      <c r="A78" s="216"/>
      <c r="B78" s="216"/>
      <c r="C78" s="216"/>
      <c r="D78" s="267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16"/>
      <c r="T78" s="216"/>
      <c r="U78" s="216"/>
      <c r="V78" s="216"/>
      <c r="W78" s="216"/>
      <c r="X78" s="216"/>
      <c r="Y78" s="216"/>
      <c r="Z78" s="216"/>
      <c r="AA78" s="216"/>
      <c r="AB78" s="216"/>
      <c r="AC78" s="216"/>
      <c r="AD78" s="216"/>
      <c r="AE78" s="216"/>
      <c r="AF78" s="216"/>
      <c r="AG78" s="216"/>
      <c r="AH78" s="216"/>
      <c r="AI78" s="216"/>
      <c r="AJ78" s="216"/>
      <c r="AK78" s="216"/>
      <c r="AL78" s="216"/>
      <c r="AM78" s="216"/>
      <c r="AN78" s="216"/>
      <c r="AO78" s="216"/>
      <c r="AP78" s="216"/>
      <c r="AQ78" s="216"/>
      <c r="AR78" s="216"/>
      <c r="AS78" s="216"/>
      <c r="AT78" s="216"/>
      <c r="AU78" s="216"/>
      <c r="AV78" s="216"/>
      <c r="AW78" s="216"/>
      <c r="AX78" s="216"/>
      <c r="AY78" s="216"/>
      <c r="AZ78" s="216"/>
      <c r="BA78" s="216"/>
      <c r="BB78" s="216"/>
      <c r="BC78" s="216"/>
      <c r="BD78" s="216"/>
      <c r="BE78" s="216"/>
      <c r="BF78" s="216"/>
      <c r="BG78" s="216"/>
      <c r="BH78" s="216"/>
      <c r="BI78" s="216"/>
      <c r="BJ78" s="216"/>
      <c r="BK78" s="216"/>
      <c r="BL78" s="216"/>
      <c r="BM78" s="216"/>
      <c r="BN78" s="216"/>
      <c r="BO78" s="216"/>
      <c r="BP78" s="216"/>
      <c r="BQ78" s="216"/>
      <c r="BR78" s="216"/>
      <c r="BS78" s="216"/>
      <c r="BT78" s="216"/>
    </row>
    <row r="79" ht="14.25" customHeight="1">
      <c r="A79" s="216"/>
      <c r="B79" s="216"/>
      <c r="C79" s="216"/>
      <c r="D79" s="267"/>
      <c r="E79" s="267"/>
      <c r="F79" s="267"/>
      <c r="G79" s="267"/>
      <c r="H79" s="267"/>
      <c r="I79" s="267"/>
      <c r="J79" s="267"/>
      <c r="K79" s="267"/>
      <c r="L79" s="267"/>
      <c r="M79" s="267"/>
      <c r="N79" s="267"/>
      <c r="O79" s="267"/>
      <c r="P79" s="267"/>
      <c r="Q79" s="267"/>
      <c r="R79" s="267"/>
      <c r="S79" s="216"/>
      <c r="T79" s="216"/>
      <c r="U79" s="216"/>
      <c r="V79" s="216"/>
      <c r="W79" s="216"/>
      <c r="X79" s="216"/>
      <c r="Y79" s="216"/>
      <c r="Z79" s="216"/>
      <c r="AA79" s="216"/>
      <c r="AB79" s="216"/>
      <c r="AC79" s="216"/>
      <c r="AD79" s="216"/>
      <c r="AE79" s="216"/>
      <c r="AF79" s="216"/>
      <c r="AG79" s="216"/>
      <c r="AH79" s="216"/>
      <c r="AI79" s="216"/>
      <c r="AJ79" s="216"/>
      <c r="AK79" s="216"/>
      <c r="AL79" s="216"/>
      <c r="AM79" s="216"/>
      <c r="AN79" s="216"/>
      <c r="AO79" s="216"/>
      <c r="AP79" s="216"/>
      <c r="AQ79" s="216"/>
      <c r="AR79" s="216"/>
      <c r="AS79" s="216"/>
      <c r="AT79" s="216"/>
      <c r="AU79" s="216"/>
      <c r="AV79" s="216"/>
      <c r="AW79" s="216"/>
      <c r="AX79" s="216"/>
      <c r="AY79" s="216"/>
      <c r="AZ79" s="216"/>
      <c r="BA79" s="216"/>
      <c r="BB79" s="216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6"/>
      <c r="BS79" s="216"/>
      <c r="BT79" s="216"/>
    </row>
    <row r="80" ht="14.25" customHeight="1">
      <c r="A80" s="216"/>
      <c r="B80" s="216"/>
      <c r="C80" s="216"/>
      <c r="D80" s="267"/>
      <c r="E80" s="267"/>
      <c r="F80" s="267"/>
      <c r="G80" s="267"/>
      <c r="H80" s="267"/>
      <c r="I80" s="267"/>
      <c r="J80" s="267"/>
      <c r="K80" s="267"/>
      <c r="L80" s="267"/>
      <c r="M80" s="267"/>
      <c r="N80" s="267"/>
      <c r="O80" s="267"/>
      <c r="P80" s="267"/>
      <c r="Q80" s="267"/>
      <c r="R80" s="267"/>
      <c r="S80" s="216"/>
      <c r="T80" s="216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216"/>
      <c r="AI80" s="216"/>
      <c r="AJ80" s="216"/>
      <c r="AK80" s="216"/>
      <c r="AL80" s="216"/>
      <c r="AM80" s="216"/>
      <c r="AN80" s="216"/>
      <c r="AO80" s="216"/>
      <c r="AP80" s="216"/>
      <c r="AQ80" s="216"/>
      <c r="AR80" s="216"/>
      <c r="AS80" s="216"/>
      <c r="AT80" s="216"/>
      <c r="AU80" s="216"/>
      <c r="AV80" s="216"/>
      <c r="AW80" s="216"/>
      <c r="AX80" s="216"/>
      <c r="AY80" s="216"/>
      <c r="AZ80" s="216"/>
      <c r="BA80" s="216"/>
      <c r="BB80" s="216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6"/>
      <c r="BS80" s="216"/>
      <c r="BT80" s="216"/>
    </row>
    <row r="81" ht="14.25" customHeight="1">
      <c r="A81" s="216"/>
      <c r="B81" s="216"/>
      <c r="C81" s="216"/>
      <c r="D81" s="267"/>
      <c r="E81" s="267"/>
      <c r="F81" s="267"/>
      <c r="G81" s="267"/>
      <c r="H81" s="267"/>
      <c r="I81" s="267"/>
      <c r="J81" s="267"/>
      <c r="K81" s="267"/>
      <c r="L81" s="267"/>
      <c r="M81" s="267"/>
      <c r="N81" s="267"/>
      <c r="O81" s="267"/>
      <c r="P81" s="267"/>
      <c r="Q81" s="267"/>
      <c r="R81" s="267"/>
      <c r="S81" s="216"/>
      <c r="T81" s="216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216"/>
      <c r="AI81" s="216"/>
      <c r="AJ81" s="216"/>
      <c r="AK81" s="216"/>
      <c r="AL81" s="216"/>
      <c r="AM81" s="216"/>
      <c r="AN81" s="216"/>
      <c r="AO81" s="216"/>
      <c r="AP81" s="216"/>
      <c r="AQ81" s="216"/>
      <c r="AR81" s="216"/>
      <c r="AS81" s="216"/>
      <c r="AT81" s="216"/>
      <c r="AU81" s="216"/>
      <c r="AV81" s="216"/>
      <c r="AW81" s="216"/>
      <c r="AX81" s="216"/>
      <c r="AY81" s="216"/>
      <c r="AZ81" s="216"/>
      <c r="BA81" s="216"/>
      <c r="BB81" s="216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6"/>
      <c r="BS81" s="216"/>
      <c r="BT81" s="216"/>
    </row>
    <row r="82" ht="14.25" customHeight="1">
      <c r="A82" s="216"/>
      <c r="B82" s="216"/>
      <c r="C82" s="216"/>
      <c r="D82" s="267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16"/>
      <c r="T82" s="216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216"/>
      <c r="AI82" s="216"/>
      <c r="AJ82" s="216"/>
      <c r="AK82" s="216"/>
      <c r="AL82" s="216"/>
      <c r="AM82" s="216"/>
      <c r="AN82" s="216"/>
      <c r="AO82" s="216"/>
      <c r="AP82" s="216"/>
      <c r="AQ82" s="216"/>
      <c r="AR82" s="216"/>
      <c r="AS82" s="216"/>
      <c r="AT82" s="216"/>
      <c r="AU82" s="216"/>
      <c r="AV82" s="216"/>
      <c r="AW82" s="216"/>
      <c r="AX82" s="216"/>
      <c r="AY82" s="216"/>
      <c r="AZ82" s="216"/>
      <c r="BA82" s="216"/>
      <c r="BB82" s="216"/>
      <c r="BC82" s="216"/>
      <c r="BD82" s="216"/>
      <c r="BE82" s="216"/>
      <c r="BF82" s="216"/>
      <c r="BG82" s="216"/>
      <c r="BH82" s="216"/>
      <c r="BI82" s="216"/>
      <c r="BJ82" s="216"/>
      <c r="BK82" s="216"/>
      <c r="BL82" s="216"/>
      <c r="BM82" s="216"/>
      <c r="BN82" s="216"/>
      <c r="BO82" s="216"/>
      <c r="BP82" s="216"/>
      <c r="BQ82" s="216"/>
      <c r="BR82" s="216"/>
      <c r="BS82" s="216"/>
      <c r="BT82" s="216"/>
    </row>
    <row r="83" ht="14.25" customHeight="1">
      <c r="A83" s="216"/>
      <c r="B83" s="216"/>
      <c r="C83" s="216"/>
      <c r="D83" s="267"/>
      <c r="E83" s="267"/>
      <c r="F83" s="267"/>
      <c r="G83" s="267"/>
      <c r="H83" s="267"/>
      <c r="I83" s="267"/>
      <c r="J83" s="267"/>
      <c r="K83" s="267"/>
      <c r="L83" s="267"/>
      <c r="M83" s="267"/>
      <c r="N83" s="267"/>
      <c r="O83" s="267"/>
      <c r="P83" s="267"/>
      <c r="Q83" s="267"/>
      <c r="R83" s="267"/>
      <c r="S83" s="216"/>
      <c r="T83" s="216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216"/>
      <c r="AI83" s="216"/>
      <c r="AJ83" s="216"/>
      <c r="AK83" s="216"/>
      <c r="AL83" s="216"/>
      <c r="AM83" s="216"/>
      <c r="AN83" s="216"/>
      <c r="AO83" s="216"/>
      <c r="AP83" s="216"/>
      <c r="AQ83" s="216"/>
      <c r="AR83" s="216"/>
      <c r="AS83" s="216"/>
      <c r="AT83" s="216"/>
      <c r="AU83" s="216"/>
      <c r="AV83" s="216"/>
      <c r="AW83" s="216"/>
      <c r="AX83" s="216"/>
      <c r="AY83" s="216"/>
      <c r="AZ83" s="216"/>
      <c r="BA83" s="216"/>
      <c r="BB83" s="216"/>
      <c r="BC83" s="216"/>
      <c r="BD83" s="216"/>
      <c r="BE83" s="216"/>
      <c r="BF83" s="216"/>
      <c r="BG83" s="216"/>
      <c r="BH83" s="216"/>
      <c r="BI83" s="216"/>
      <c r="BJ83" s="216"/>
      <c r="BK83" s="216"/>
      <c r="BL83" s="216"/>
      <c r="BM83" s="216"/>
      <c r="BN83" s="216"/>
      <c r="BO83" s="216"/>
      <c r="BP83" s="216"/>
      <c r="BQ83" s="216"/>
      <c r="BR83" s="216"/>
      <c r="BS83" s="216"/>
      <c r="BT83" s="216"/>
    </row>
    <row r="84" ht="14.25" customHeight="1">
      <c r="A84" s="216"/>
      <c r="B84" s="216"/>
      <c r="C84" s="216"/>
      <c r="D84" s="267"/>
      <c r="E84" s="267"/>
      <c r="F84" s="267"/>
      <c r="G84" s="267"/>
      <c r="H84" s="267"/>
      <c r="I84" s="267"/>
      <c r="J84" s="267"/>
      <c r="K84" s="267"/>
      <c r="L84" s="267"/>
      <c r="M84" s="267"/>
      <c r="N84" s="267"/>
      <c r="O84" s="267"/>
      <c r="P84" s="267"/>
      <c r="Q84" s="267"/>
      <c r="R84" s="267"/>
      <c r="S84" s="216"/>
      <c r="T84" s="216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216"/>
      <c r="AI84" s="216"/>
      <c r="AJ84" s="216"/>
      <c r="AK84" s="216"/>
      <c r="AL84" s="216"/>
      <c r="AM84" s="216"/>
      <c r="AN84" s="216"/>
      <c r="AO84" s="216"/>
      <c r="AP84" s="216"/>
      <c r="AQ84" s="216"/>
      <c r="AR84" s="216"/>
      <c r="AS84" s="216"/>
      <c r="AT84" s="216"/>
      <c r="AU84" s="216"/>
      <c r="AV84" s="216"/>
      <c r="AW84" s="216"/>
      <c r="AX84" s="216"/>
      <c r="AY84" s="216"/>
      <c r="AZ84" s="216"/>
      <c r="BA84" s="216"/>
      <c r="BB84" s="216"/>
      <c r="BC84" s="216"/>
      <c r="BD84" s="216"/>
      <c r="BE84" s="216"/>
      <c r="BF84" s="216"/>
      <c r="BG84" s="216"/>
      <c r="BH84" s="216"/>
      <c r="BI84" s="216"/>
      <c r="BJ84" s="216"/>
      <c r="BK84" s="216"/>
      <c r="BL84" s="216"/>
      <c r="BM84" s="216"/>
      <c r="BN84" s="216"/>
      <c r="BO84" s="216"/>
      <c r="BP84" s="216"/>
      <c r="BQ84" s="216"/>
      <c r="BR84" s="216"/>
      <c r="BS84" s="216"/>
      <c r="BT84" s="216"/>
    </row>
    <row r="85" ht="14.25" customHeight="1">
      <c r="A85" s="216"/>
      <c r="B85" s="216"/>
      <c r="C85" s="216"/>
      <c r="D85" s="267"/>
      <c r="E85" s="267"/>
      <c r="F85" s="267"/>
      <c r="G85" s="267"/>
      <c r="H85" s="267"/>
      <c r="I85" s="267"/>
      <c r="J85" s="267"/>
      <c r="K85" s="267"/>
      <c r="L85" s="267"/>
      <c r="M85" s="267"/>
      <c r="N85" s="267"/>
      <c r="O85" s="267"/>
      <c r="P85" s="267"/>
      <c r="Q85" s="267"/>
      <c r="R85" s="267"/>
      <c r="S85" s="216"/>
      <c r="T85" s="216"/>
      <c r="U85" s="216"/>
      <c r="V85" s="216"/>
      <c r="W85" s="216"/>
      <c r="X85" s="216"/>
      <c r="Y85" s="216"/>
      <c r="Z85" s="216"/>
      <c r="AA85" s="216"/>
      <c r="AB85" s="216"/>
      <c r="AC85" s="216"/>
      <c r="AD85" s="216"/>
      <c r="AE85" s="216"/>
      <c r="AF85" s="216"/>
      <c r="AG85" s="216"/>
      <c r="AH85" s="216"/>
      <c r="AI85" s="216"/>
      <c r="AJ85" s="216"/>
      <c r="AK85" s="216"/>
      <c r="AL85" s="216"/>
      <c r="AM85" s="216"/>
      <c r="AN85" s="216"/>
      <c r="AO85" s="216"/>
      <c r="AP85" s="216"/>
      <c r="AQ85" s="216"/>
      <c r="AR85" s="216"/>
      <c r="AS85" s="216"/>
      <c r="AT85" s="216"/>
      <c r="AU85" s="216"/>
      <c r="AV85" s="216"/>
      <c r="AW85" s="216"/>
      <c r="AX85" s="216"/>
      <c r="AY85" s="216"/>
      <c r="AZ85" s="216"/>
      <c r="BA85" s="216"/>
      <c r="BB85" s="216"/>
      <c r="BC85" s="216"/>
      <c r="BD85" s="216"/>
      <c r="BE85" s="216"/>
      <c r="BF85" s="216"/>
      <c r="BG85" s="216"/>
      <c r="BH85" s="216"/>
      <c r="BI85" s="216"/>
      <c r="BJ85" s="216"/>
      <c r="BK85" s="216"/>
      <c r="BL85" s="216"/>
      <c r="BM85" s="216"/>
      <c r="BN85" s="216"/>
      <c r="BO85" s="216"/>
      <c r="BP85" s="216"/>
      <c r="BQ85" s="216"/>
      <c r="BR85" s="216"/>
      <c r="BS85" s="216"/>
      <c r="BT85" s="216"/>
    </row>
    <row r="86" ht="14.25" customHeight="1">
      <c r="A86" s="216"/>
      <c r="B86" s="216"/>
      <c r="C86" s="216"/>
      <c r="D86" s="267"/>
      <c r="E86" s="267"/>
      <c r="F86" s="267"/>
      <c r="G86" s="267"/>
      <c r="H86" s="267"/>
      <c r="I86" s="267"/>
      <c r="J86" s="267"/>
      <c r="K86" s="267"/>
      <c r="L86" s="267"/>
      <c r="M86" s="267"/>
      <c r="N86" s="267"/>
      <c r="O86" s="267"/>
      <c r="P86" s="267"/>
      <c r="Q86" s="267"/>
      <c r="R86" s="267"/>
      <c r="S86" s="216"/>
      <c r="T86" s="216"/>
      <c r="U86" s="216"/>
      <c r="V86" s="216"/>
      <c r="W86" s="216"/>
      <c r="X86" s="216"/>
      <c r="Y86" s="216"/>
      <c r="Z86" s="216"/>
      <c r="AA86" s="216"/>
      <c r="AB86" s="216"/>
      <c r="AC86" s="216"/>
      <c r="AD86" s="216"/>
      <c r="AE86" s="216"/>
      <c r="AF86" s="216"/>
      <c r="AG86" s="216"/>
      <c r="AH86" s="216"/>
      <c r="AI86" s="216"/>
      <c r="AJ86" s="216"/>
      <c r="AK86" s="216"/>
      <c r="AL86" s="216"/>
      <c r="AM86" s="216"/>
      <c r="AN86" s="216"/>
      <c r="AO86" s="216"/>
      <c r="AP86" s="216"/>
      <c r="AQ86" s="216"/>
      <c r="AR86" s="216"/>
      <c r="AS86" s="216"/>
      <c r="AT86" s="216"/>
      <c r="AU86" s="216"/>
      <c r="AV86" s="216"/>
      <c r="AW86" s="216"/>
      <c r="AX86" s="216"/>
      <c r="AY86" s="216"/>
      <c r="AZ86" s="216"/>
      <c r="BA86" s="216"/>
      <c r="BB86" s="216"/>
      <c r="BC86" s="216"/>
      <c r="BD86" s="216"/>
      <c r="BE86" s="216"/>
      <c r="BF86" s="216"/>
      <c r="BG86" s="216"/>
      <c r="BH86" s="216"/>
      <c r="BI86" s="216"/>
      <c r="BJ86" s="216"/>
      <c r="BK86" s="216"/>
      <c r="BL86" s="216"/>
      <c r="BM86" s="216"/>
      <c r="BN86" s="216"/>
      <c r="BO86" s="216"/>
      <c r="BP86" s="216"/>
      <c r="BQ86" s="216"/>
      <c r="BR86" s="216"/>
      <c r="BS86" s="216"/>
      <c r="BT86" s="216"/>
    </row>
    <row r="87" ht="14.25" customHeight="1">
      <c r="A87" s="216"/>
      <c r="B87" s="216"/>
      <c r="C87" s="216"/>
      <c r="D87" s="267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16"/>
      <c r="T87" s="216"/>
      <c r="U87" s="216"/>
      <c r="V87" s="216"/>
      <c r="W87" s="216"/>
      <c r="X87" s="216"/>
      <c r="Y87" s="216"/>
      <c r="Z87" s="216"/>
      <c r="AA87" s="216"/>
      <c r="AB87" s="216"/>
      <c r="AC87" s="216"/>
      <c r="AD87" s="216"/>
      <c r="AE87" s="216"/>
      <c r="AF87" s="216"/>
      <c r="AG87" s="216"/>
      <c r="AH87" s="216"/>
      <c r="AI87" s="216"/>
      <c r="AJ87" s="216"/>
      <c r="AK87" s="216"/>
      <c r="AL87" s="216"/>
      <c r="AM87" s="216"/>
      <c r="AN87" s="216"/>
      <c r="AO87" s="216"/>
      <c r="AP87" s="216"/>
      <c r="AQ87" s="216"/>
      <c r="AR87" s="216"/>
      <c r="AS87" s="216"/>
      <c r="AT87" s="216"/>
      <c r="AU87" s="216"/>
      <c r="AV87" s="216"/>
      <c r="AW87" s="216"/>
      <c r="AX87" s="216"/>
      <c r="AY87" s="216"/>
      <c r="AZ87" s="216"/>
      <c r="BA87" s="216"/>
      <c r="BB87" s="216"/>
      <c r="BC87" s="216"/>
      <c r="BD87" s="216"/>
      <c r="BE87" s="216"/>
      <c r="BF87" s="216"/>
      <c r="BG87" s="216"/>
      <c r="BH87" s="216"/>
      <c r="BI87" s="216"/>
      <c r="BJ87" s="216"/>
      <c r="BK87" s="216"/>
      <c r="BL87" s="216"/>
      <c r="BM87" s="216"/>
      <c r="BN87" s="216"/>
      <c r="BO87" s="216"/>
      <c r="BP87" s="216"/>
      <c r="BQ87" s="216"/>
      <c r="BR87" s="216"/>
      <c r="BS87" s="216"/>
      <c r="BT87" s="216"/>
    </row>
    <row r="88" ht="14.25" customHeight="1">
      <c r="A88" s="216"/>
      <c r="B88" s="216"/>
      <c r="C88" s="216"/>
      <c r="D88" s="267"/>
      <c r="E88" s="267"/>
      <c r="F88" s="267"/>
      <c r="G88" s="267"/>
      <c r="H88" s="267"/>
      <c r="I88" s="267"/>
      <c r="J88" s="267"/>
      <c r="K88" s="267"/>
      <c r="L88" s="267"/>
      <c r="M88" s="267"/>
      <c r="N88" s="267"/>
      <c r="O88" s="267"/>
      <c r="P88" s="267"/>
      <c r="Q88" s="267"/>
      <c r="R88" s="267"/>
      <c r="S88" s="216"/>
      <c r="T88" s="216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216"/>
      <c r="AI88" s="216"/>
      <c r="AJ88" s="216"/>
      <c r="AK88" s="216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6"/>
      <c r="BB88" s="216"/>
      <c r="BC88" s="216"/>
      <c r="BD88" s="216"/>
      <c r="BE88" s="216"/>
      <c r="BF88" s="216"/>
      <c r="BG88" s="216"/>
      <c r="BH88" s="216"/>
      <c r="BI88" s="216"/>
      <c r="BJ88" s="216"/>
      <c r="BK88" s="216"/>
      <c r="BL88" s="216"/>
      <c r="BM88" s="216"/>
      <c r="BN88" s="216"/>
      <c r="BO88" s="216"/>
      <c r="BP88" s="216"/>
      <c r="BQ88" s="216"/>
      <c r="BR88" s="216"/>
      <c r="BS88" s="216"/>
      <c r="BT88" s="216"/>
    </row>
    <row r="89" ht="14.25" customHeight="1">
      <c r="A89" s="216"/>
      <c r="B89" s="216"/>
      <c r="C89" s="216"/>
      <c r="D89" s="267"/>
      <c r="E89" s="267"/>
      <c r="F89" s="267"/>
      <c r="G89" s="267"/>
      <c r="H89" s="267"/>
      <c r="I89" s="267"/>
      <c r="J89" s="267"/>
      <c r="K89" s="267"/>
      <c r="L89" s="267"/>
      <c r="M89" s="267"/>
      <c r="N89" s="267"/>
      <c r="O89" s="267"/>
      <c r="P89" s="267"/>
      <c r="Q89" s="267"/>
      <c r="R89" s="267"/>
      <c r="S89" s="216"/>
      <c r="T89" s="216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216"/>
      <c r="AI89" s="216"/>
      <c r="AJ89" s="216"/>
      <c r="AK89" s="216"/>
      <c r="AL89" s="216"/>
      <c r="AM89" s="216"/>
      <c r="AN89" s="216"/>
      <c r="AO89" s="216"/>
      <c r="AP89" s="216"/>
      <c r="AQ89" s="216"/>
      <c r="AR89" s="216"/>
      <c r="AS89" s="216"/>
      <c r="AT89" s="216"/>
      <c r="AU89" s="216"/>
      <c r="AV89" s="216"/>
      <c r="AW89" s="216"/>
      <c r="AX89" s="216"/>
      <c r="AY89" s="216"/>
      <c r="AZ89" s="216"/>
      <c r="BA89" s="216"/>
      <c r="BB89" s="216"/>
      <c r="BC89" s="216"/>
      <c r="BD89" s="216"/>
      <c r="BE89" s="216"/>
      <c r="BF89" s="216"/>
      <c r="BG89" s="216"/>
      <c r="BH89" s="216"/>
      <c r="BI89" s="216"/>
      <c r="BJ89" s="216"/>
      <c r="BK89" s="216"/>
      <c r="BL89" s="216"/>
      <c r="BM89" s="216"/>
      <c r="BN89" s="216"/>
      <c r="BO89" s="216"/>
      <c r="BP89" s="216"/>
      <c r="BQ89" s="216"/>
      <c r="BR89" s="216"/>
      <c r="BS89" s="216"/>
      <c r="BT89" s="216"/>
    </row>
    <row r="90" ht="14.25" customHeight="1">
      <c r="A90" s="216"/>
      <c r="B90" s="216"/>
      <c r="C90" s="216"/>
      <c r="D90" s="267"/>
      <c r="E90" s="267"/>
      <c r="F90" s="267"/>
      <c r="G90" s="267"/>
      <c r="H90" s="267"/>
      <c r="I90" s="267"/>
      <c r="J90" s="267"/>
      <c r="K90" s="267"/>
      <c r="L90" s="267"/>
      <c r="M90" s="267"/>
      <c r="N90" s="267"/>
      <c r="O90" s="267"/>
      <c r="P90" s="267"/>
      <c r="Q90" s="267"/>
      <c r="R90" s="267"/>
      <c r="S90" s="216"/>
      <c r="T90" s="216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216"/>
      <c r="AI90" s="216"/>
      <c r="AJ90" s="216"/>
      <c r="AK90" s="216"/>
      <c r="AL90" s="216"/>
      <c r="AM90" s="216"/>
      <c r="AN90" s="216"/>
      <c r="AO90" s="216"/>
      <c r="AP90" s="216"/>
      <c r="AQ90" s="216"/>
      <c r="AR90" s="216"/>
      <c r="AS90" s="216"/>
      <c r="AT90" s="216"/>
      <c r="AU90" s="216"/>
      <c r="AV90" s="216"/>
      <c r="AW90" s="216"/>
      <c r="AX90" s="216"/>
      <c r="AY90" s="216"/>
      <c r="AZ90" s="216"/>
      <c r="BA90" s="216"/>
      <c r="BB90" s="216"/>
      <c r="BC90" s="216"/>
      <c r="BD90" s="216"/>
      <c r="BE90" s="216"/>
      <c r="BF90" s="216"/>
      <c r="BG90" s="216"/>
      <c r="BH90" s="216"/>
      <c r="BI90" s="216"/>
      <c r="BJ90" s="216"/>
      <c r="BK90" s="216"/>
      <c r="BL90" s="216"/>
      <c r="BM90" s="216"/>
      <c r="BN90" s="216"/>
      <c r="BO90" s="216"/>
      <c r="BP90" s="216"/>
      <c r="BQ90" s="216"/>
      <c r="BR90" s="216"/>
      <c r="BS90" s="216"/>
      <c r="BT90" s="216"/>
    </row>
    <row r="91" ht="14.25" customHeight="1">
      <c r="A91" s="216"/>
      <c r="B91" s="216"/>
      <c r="C91" s="216"/>
      <c r="D91" s="267"/>
      <c r="E91" s="267"/>
      <c r="F91" s="267"/>
      <c r="G91" s="267"/>
      <c r="H91" s="267"/>
      <c r="I91" s="267"/>
      <c r="J91" s="267"/>
      <c r="K91" s="267"/>
      <c r="L91" s="267"/>
      <c r="M91" s="267"/>
      <c r="N91" s="267"/>
      <c r="O91" s="267"/>
      <c r="P91" s="267"/>
      <c r="Q91" s="267"/>
      <c r="R91" s="267"/>
      <c r="S91" s="216"/>
      <c r="T91" s="216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216"/>
      <c r="AI91" s="216"/>
      <c r="AJ91" s="216"/>
      <c r="AK91" s="216"/>
      <c r="AL91" s="216"/>
      <c r="AM91" s="216"/>
      <c r="AN91" s="216"/>
      <c r="AO91" s="216"/>
      <c r="AP91" s="216"/>
      <c r="AQ91" s="216"/>
      <c r="AR91" s="216"/>
      <c r="AS91" s="216"/>
      <c r="AT91" s="216"/>
      <c r="AU91" s="216"/>
      <c r="AV91" s="216"/>
      <c r="AW91" s="216"/>
      <c r="AX91" s="216"/>
      <c r="AY91" s="216"/>
      <c r="AZ91" s="216"/>
      <c r="BA91" s="216"/>
      <c r="BB91" s="216"/>
      <c r="BC91" s="216"/>
      <c r="BD91" s="216"/>
      <c r="BE91" s="216"/>
      <c r="BF91" s="216"/>
      <c r="BG91" s="216"/>
      <c r="BH91" s="216"/>
      <c r="BI91" s="216"/>
      <c r="BJ91" s="216"/>
      <c r="BK91" s="216"/>
      <c r="BL91" s="216"/>
      <c r="BM91" s="216"/>
      <c r="BN91" s="216"/>
      <c r="BO91" s="216"/>
      <c r="BP91" s="216"/>
      <c r="BQ91" s="216"/>
      <c r="BR91" s="216"/>
      <c r="BS91" s="216"/>
      <c r="BT91" s="216"/>
    </row>
    <row r="92" ht="14.25" customHeight="1">
      <c r="A92" s="216"/>
      <c r="B92" s="216"/>
      <c r="C92" s="216"/>
      <c r="D92" s="267"/>
      <c r="E92" s="267"/>
      <c r="F92" s="267"/>
      <c r="G92" s="267"/>
      <c r="H92" s="267"/>
      <c r="I92" s="267"/>
      <c r="J92" s="267"/>
      <c r="K92" s="267"/>
      <c r="L92" s="267"/>
      <c r="M92" s="267"/>
      <c r="N92" s="267"/>
      <c r="O92" s="267"/>
      <c r="P92" s="267"/>
      <c r="Q92" s="267"/>
      <c r="R92" s="267"/>
      <c r="S92" s="216"/>
      <c r="T92" s="216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216"/>
      <c r="AI92" s="216"/>
      <c r="AJ92" s="216"/>
      <c r="AK92" s="216"/>
      <c r="AL92" s="216"/>
      <c r="AM92" s="216"/>
      <c r="AN92" s="216"/>
      <c r="AO92" s="216"/>
      <c r="AP92" s="216"/>
      <c r="AQ92" s="216"/>
      <c r="AR92" s="216"/>
      <c r="AS92" s="216"/>
      <c r="AT92" s="216"/>
      <c r="AU92" s="216"/>
      <c r="AV92" s="216"/>
      <c r="AW92" s="216"/>
      <c r="AX92" s="216"/>
      <c r="AY92" s="216"/>
      <c r="AZ92" s="216"/>
      <c r="BA92" s="216"/>
      <c r="BB92" s="216"/>
      <c r="BC92" s="216"/>
      <c r="BD92" s="216"/>
      <c r="BE92" s="216"/>
      <c r="BF92" s="216"/>
      <c r="BG92" s="216"/>
      <c r="BH92" s="216"/>
      <c r="BI92" s="216"/>
      <c r="BJ92" s="216"/>
      <c r="BK92" s="216"/>
      <c r="BL92" s="216"/>
      <c r="BM92" s="216"/>
      <c r="BN92" s="216"/>
      <c r="BO92" s="216"/>
      <c r="BP92" s="216"/>
      <c r="BQ92" s="216"/>
      <c r="BR92" s="216"/>
      <c r="BS92" s="216"/>
      <c r="BT92" s="216"/>
    </row>
    <row r="93" ht="14.25" customHeight="1">
      <c r="A93" s="216"/>
      <c r="B93" s="216"/>
      <c r="C93" s="216"/>
      <c r="D93" s="267"/>
      <c r="E93" s="267"/>
      <c r="F93" s="267"/>
      <c r="G93" s="267"/>
      <c r="H93" s="267"/>
      <c r="I93" s="267"/>
      <c r="J93" s="267"/>
      <c r="K93" s="267"/>
      <c r="L93" s="267"/>
      <c r="M93" s="267"/>
      <c r="N93" s="267"/>
      <c r="O93" s="267"/>
      <c r="P93" s="267"/>
      <c r="Q93" s="267"/>
      <c r="R93" s="267"/>
      <c r="S93" s="216"/>
      <c r="T93" s="216"/>
      <c r="U93" s="216"/>
      <c r="V93" s="216"/>
      <c r="W93" s="216"/>
      <c r="X93" s="216"/>
      <c r="Y93" s="216"/>
      <c r="Z93" s="216"/>
      <c r="AA93" s="216"/>
      <c r="AB93" s="216"/>
      <c r="AC93" s="216"/>
      <c r="AD93" s="216"/>
      <c r="AE93" s="216"/>
      <c r="AF93" s="216"/>
      <c r="AG93" s="216"/>
      <c r="AH93" s="216"/>
      <c r="AI93" s="216"/>
      <c r="AJ93" s="216"/>
      <c r="AK93" s="216"/>
      <c r="AL93" s="216"/>
      <c r="AM93" s="216"/>
      <c r="AN93" s="216"/>
      <c r="AO93" s="216"/>
      <c r="AP93" s="216"/>
      <c r="AQ93" s="216"/>
      <c r="AR93" s="216"/>
      <c r="AS93" s="216"/>
      <c r="AT93" s="216"/>
      <c r="AU93" s="216"/>
      <c r="AV93" s="216"/>
      <c r="AW93" s="216"/>
      <c r="AX93" s="216"/>
      <c r="AY93" s="216"/>
      <c r="AZ93" s="216"/>
      <c r="BA93" s="216"/>
      <c r="BB93" s="216"/>
      <c r="BC93" s="216"/>
      <c r="BD93" s="216"/>
      <c r="BE93" s="216"/>
      <c r="BF93" s="216"/>
      <c r="BG93" s="216"/>
      <c r="BH93" s="216"/>
      <c r="BI93" s="216"/>
      <c r="BJ93" s="216"/>
      <c r="BK93" s="216"/>
      <c r="BL93" s="216"/>
      <c r="BM93" s="216"/>
      <c r="BN93" s="216"/>
      <c r="BO93" s="216"/>
      <c r="BP93" s="216"/>
      <c r="BQ93" s="216"/>
      <c r="BR93" s="216"/>
      <c r="BS93" s="216"/>
      <c r="BT93" s="216"/>
    </row>
    <row r="94" ht="14.25" customHeight="1">
      <c r="A94" s="216"/>
      <c r="B94" s="216"/>
      <c r="C94" s="216"/>
      <c r="D94" s="267"/>
      <c r="E94" s="267"/>
      <c r="F94" s="267"/>
      <c r="G94" s="267"/>
      <c r="H94" s="267"/>
      <c r="I94" s="267"/>
      <c r="J94" s="267"/>
      <c r="K94" s="267"/>
      <c r="L94" s="267"/>
      <c r="M94" s="267"/>
      <c r="N94" s="267"/>
      <c r="O94" s="267"/>
      <c r="P94" s="267"/>
      <c r="Q94" s="267"/>
      <c r="R94" s="267"/>
      <c r="S94" s="216"/>
      <c r="T94" s="216"/>
      <c r="U94" s="216"/>
      <c r="V94" s="216"/>
      <c r="W94" s="216"/>
      <c r="X94" s="216"/>
      <c r="Y94" s="216"/>
      <c r="Z94" s="216"/>
      <c r="AA94" s="216"/>
      <c r="AB94" s="216"/>
      <c r="AC94" s="216"/>
      <c r="AD94" s="216"/>
      <c r="AE94" s="216"/>
      <c r="AF94" s="216"/>
      <c r="AG94" s="216"/>
      <c r="AH94" s="216"/>
      <c r="AI94" s="216"/>
      <c r="AJ94" s="216"/>
      <c r="AK94" s="216"/>
      <c r="AL94" s="216"/>
      <c r="AM94" s="216"/>
      <c r="AN94" s="216"/>
      <c r="AO94" s="216"/>
      <c r="AP94" s="216"/>
      <c r="AQ94" s="216"/>
      <c r="AR94" s="216"/>
      <c r="AS94" s="216"/>
      <c r="AT94" s="216"/>
      <c r="AU94" s="216"/>
      <c r="AV94" s="216"/>
      <c r="AW94" s="216"/>
      <c r="AX94" s="216"/>
      <c r="AY94" s="216"/>
      <c r="AZ94" s="216"/>
      <c r="BA94" s="216"/>
      <c r="BB94" s="216"/>
      <c r="BC94" s="216"/>
      <c r="BD94" s="216"/>
      <c r="BE94" s="216"/>
      <c r="BF94" s="216"/>
      <c r="BG94" s="216"/>
      <c r="BH94" s="216"/>
      <c r="BI94" s="216"/>
      <c r="BJ94" s="216"/>
      <c r="BK94" s="216"/>
      <c r="BL94" s="216"/>
      <c r="BM94" s="216"/>
      <c r="BN94" s="216"/>
      <c r="BO94" s="216"/>
      <c r="BP94" s="216"/>
      <c r="BQ94" s="216"/>
      <c r="BR94" s="216"/>
      <c r="BS94" s="216"/>
      <c r="BT94" s="216"/>
    </row>
    <row r="95" ht="14.25" customHeight="1">
      <c r="A95" s="216"/>
      <c r="B95" s="216"/>
      <c r="C95" s="216"/>
      <c r="D95" s="267"/>
      <c r="E95" s="267"/>
      <c r="F95" s="267"/>
      <c r="G95" s="267"/>
      <c r="H95" s="267"/>
      <c r="I95" s="267"/>
      <c r="J95" s="267"/>
      <c r="K95" s="267"/>
      <c r="L95" s="267"/>
      <c r="M95" s="267"/>
      <c r="N95" s="267"/>
      <c r="O95" s="267"/>
      <c r="P95" s="267"/>
      <c r="Q95" s="267"/>
      <c r="R95" s="267"/>
      <c r="S95" s="216"/>
      <c r="T95" s="216"/>
      <c r="U95" s="216"/>
      <c r="V95" s="216"/>
      <c r="W95" s="216"/>
      <c r="X95" s="216"/>
      <c r="Y95" s="216"/>
      <c r="Z95" s="216"/>
      <c r="AA95" s="216"/>
      <c r="AB95" s="216"/>
      <c r="AC95" s="216"/>
      <c r="AD95" s="216"/>
      <c r="AE95" s="216"/>
      <c r="AF95" s="216"/>
      <c r="AG95" s="216"/>
      <c r="AH95" s="216"/>
      <c r="AI95" s="216"/>
      <c r="AJ95" s="216"/>
      <c r="AK95" s="216"/>
      <c r="AL95" s="216"/>
      <c r="AM95" s="216"/>
      <c r="AN95" s="216"/>
      <c r="AO95" s="216"/>
      <c r="AP95" s="216"/>
      <c r="AQ95" s="216"/>
      <c r="AR95" s="216"/>
      <c r="AS95" s="216"/>
      <c r="AT95" s="216"/>
      <c r="AU95" s="216"/>
      <c r="AV95" s="216"/>
      <c r="AW95" s="216"/>
      <c r="AX95" s="216"/>
      <c r="AY95" s="216"/>
      <c r="AZ95" s="216"/>
      <c r="BA95" s="216"/>
      <c r="BB95" s="216"/>
      <c r="BC95" s="216"/>
      <c r="BD95" s="216"/>
      <c r="BE95" s="216"/>
      <c r="BF95" s="216"/>
      <c r="BG95" s="216"/>
      <c r="BH95" s="216"/>
      <c r="BI95" s="216"/>
      <c r="BJ95" s="216"/>
      <c r="BK95" s="216"/>
      <c r="BL95" s="216"/>
      <c r="BM95" s="216"/>
      <c r="BN95" s="216"/>
      <c r="BO95" s="216"/>
      <c r="BP95" s="216"/>
      <c r="BQ95" s="216"/>
      <c r="BR95" s="216"/>
      <c r="BS95" s="216"/>
      <c r="BT95" s="216"/>
    </row>
    <row r="96" ht="14.25" customHeight="1">
      <c r="A96" s="216"/>
      <c r="B96" s="216"/>
      <c r="C96" s="216"/>
      <c r="D96" s="267"/>
      <c r="E96" s="267"/>
      <c r="F96" s="267"/>
      <c r="G96" s="267"/>
      <c r="H96" s="267"/>
      <c r="I96" s="267"/>
      <c r="J96" s="267"/>
      <c r="K96" s="267"/>
      <c r="L96" s="267"/>
      <c r="M96" s="267"/>
      <c r="N96" s="267"/>
      <c r="O96" s="267"/>
      <c r="P96" s="267"/>
      <c r="Q96" s="267"/>
      <c r="R96" s="267"/>
      <c r="S96" s="216"/>
      <c r="T96" s="216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216"/>
      <c r="AI96" s="216"/>
      <c r="AJ96" s="216"/>
      <c r="AK96" s="216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6"/>
      <c r="BB96" s="216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6"/>
      <c r="BS96" s="216"/>
      <c r="BT96" s="216"/>
    </row>
    <row r="97" ht="14.25" customHeight="1">
      <c r="A97" s="216"/>
      <c r="B97" s="216"/>
      <c r="C97" s="216"/>
      <c r="D97" s="267"/>
      <c r="E97" s="267"/>
      <c r="F97" s="267"/>
      <c r="G97" s="267"/>
      <c r="H97" s="267"/>
      <c r="I97" s="267"/>
      <c r="J97" s="267"/>
      <c r="K97" s="267"/>
      <c r="L97" s="267"/>
      <c r="M97" s="267"/>
      <c r="N97" s="267"/>
      <c r="O97" s="267"/>
      <c r="P97" s="267"/>
      <c r="Q97" s="267"/>
      <c r="R97" s="267"/>
      <c r="S97" s="216"/>
      <c r="T97" s="216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216"/>
      <c r="AI97" s="216"/>
      <c r="AJ97" s="216"/>
      <c r="AK97" s="216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6"/>
      <c r="BB97" s="216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6"/>
      <c r="BS97" s="216"/>
      <c r="BT97" s="216"/>
    </row>
    <row r="98" ht="14.25" customHeight="1">
      <c r="A98" s="216"/>
      <c r="B98" s="216"/>
      <c r="C98" s="216"/>
      <c r="D98" s="267"/>
      <c r="E98" s="267"/>
      <c r="F98" s="267"/>
      <c r="G98" s="267"/>
      <c r="H98" s="267"/>
      <c r="I98" s="267"/>
      <c r="J98" s="267"/>
      <c r="K98" s="267"/>
      <c r="L98" s="267"/>
      <c r="M98" s="267"/>
      <c r="N98" s="267"/>
      <c r="O98" s="267"/>
      <c r="P98" s="267"/>
      <c r="Q98" s="267"/>
      <c r="R98" s="267"/>
      <c r="S98" s="216"/>
      <c r="T98" s="216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216"/>
      <c r="AI98" s="216"/>
      <c r="AJ98" s="216"/>
      <c r="AK98" s="216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6"/>
      <c r="BB98" s="216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6"/>
      <c r="BS98" s="216"/>
      <c r="BT98" s="216"/>
    </row>
    <row r="99" ht="14.25" customHeight="1">
      <c r="A99" s="216"/>
      <c r="B99" s="216"/>
      <c r="C99" s="216"/>
      <c r="D99" s="267"/>
      <c r="E99" s="267"/>
      <c r="F99" s="267"/>
      <c r="G99" s="267"/>
      <c r="H99" s="267"/>
      <c r="I99" s="267"/>
      <c r="J99" s="267"/>
      <c r="K99" s="267"/>
      <c r="L99" s="267"/>
      <c r="M99" s="267"/>
      <c r="N99" s="267"/>
      <c r="O99" s="267"/>
      <c r="P99" s="267"/>
      <c r="Q99" s="267"/>
      <c r="R99" s="267"/>
      <c r="S99" s="216"/>
      <c r="T99" s="216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216"/>
      <c r="AI99" s="216"/>
      <c r="AJ99" s="216"/>
      <c r="AK99" s="216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6"/>
      <c r="BB99" s="216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6"/>
      <c r="BS99" s="216"/>
      <c r="BT99" s="216"/>
    </row>
    <row r="100" ht="14.25" customHeight="1">
      <c r="A100" s="216"/>
      <c r="B100" s="216"/>
      <c r="C100" s="216"/>
      <c r="D100" s="267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16"/>
      <c r="T100" s="216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216"/>
      <c r="AI100" s="216"/>
      <c r="AJ100" s="216"/>
      <c r="AK100" s="216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6"/>
      <c r="BB100" s="216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6"/>
      <c r="BS100" s="216"/>
      <c r="BT100" s="216"/>
    </row>
    <row r="101" ht="14.25" customHeight="1">
      <c r="A101" s="216"/>
      <c r="B101" s="216"/>
      <c r="C101" s="216"/>
      <c r="D101" s="267"/>
      <c r="E101" s="267"/>
      <c r="F101" s="267"/>
      <c r="G101" s="267"/>
      <c r="H101" s="267"/>
      <c r="I101" s="267"/>
      <c r="J101" s="267"/>
      <c r="K101" s="267"/>
      <c r="L101" s="267"/>
      <c r="M101" s="267"/>
      <c r="N101" s="267"/>
      <c r="O101" s="267"/>
      <c r="P101" s="267"/>
      <c r="Q101" s="267"/>
      <c r="R101" s="267"/>
      <c r="S101" s="216"/>
      <c r="T101" s="216"/>
      <c r="U101" s="216"/>
      <c r="V101" s="216"/>
      <c r="W101" s="216"/>
      <c r="X101" s="216"/>
      <c r="Y101" s="216"/>
      <c r="Z101" s="216"/>
      <c r="AA101" s="216"/>
      <c r="AB101" s="216"/>
      <c r="AC101" s="216"/>
      <c r="AD101" s="216"/>
      <c r="AE101" s="216"/>
      <c r="AF101" s="216"/>
      <c r="AG101" s="216"/>
      <c r="AH101" s="216"/>
      <c r="AI101" s="216"/>
      <c r="AJ101" s="216"/>
      <c r="AK101" s="216"/>
      <c r="AL101" s="216"/>
      <c r="AM101" s="216"/>
      <c r="AN101" s="216"/>
      <c r="AO101" s="216"/>
      <c r="AP101" s="216"/>
      <c r="AQ101" s="216"/>
      <c r="AR101" s="216"/>
      <c r="AS101" s="216"/>
      <c r="AT101" s="216"/>
      <c r="AU101" s="216"/>
      <c r="AV101" s="216"/>
      <c r="AW101" s="216"/>
      <c r="AX101" s="216"/>
      <c r="AY101" s="216"/>
      <c r="AZ101" s="216"/>
      <c r="BA101" s="216"/>
      <c r="BB101" s="216"/>
      <c r="BC101" s="216"/>
      <c r="BD101" s="216"/>
      <c r="BE101" s="216"/>
      <c r="BF101" s="216"/>
      <c r="BG101" s="216"/>
      <c r="BH101" s="216"/>
      <c r="BI101" s="216"/>
      <c r="BJ101" s="216"/>
      <c r="BK101" s="216"/>
      <c r="BL101" s="216"/>
      <c r="BM101" s="216"/>
      <c r="BN101" s="216"/>
      <c r="BO101" s="216"/>
      <c r="BP101" s="216"/>
      <c r="BQ101" s="216"/>
      <c r="BR101" s="216"/>
      <c r="BS101" s="216"/>
      <c r="BT101" s="216"/>
    </row>
    <row r="102" ht="14.25" customHeight="1">
      <c r="A102" s="216"/>
      <c r="B102" s="216"/>
      <c r="C102" s="216"/>
      <c r="D102" s="267"/>
      <c r="E102" s="267"/>
      <c r="F102" s="267"/>
      <c r="G102" s="267"/>
      <c r="H102" s="267"/>
      <c r="I102" s="267"/>
      <c r="J102" s="267"/>
      <c r="K102" s="267"/>
      <c r="L102" s="267"/>
      <c r="M102" s="267"/>
      <c r="N102" s="267"/>
      <c r="O102" s="267"/>
      <c r="P102" s="267"/>
      <c r="Q102" s="267"/>
      <c r="R102" s="267"/>
      <c r="S102" s="216"/>
      <c r="T102" s="216"/>
      <c r="U102" s="216"/>
      <c r="V102" s="216"/>
      <c r="W102" s="216"/>
      <c r="X102" s="216"/>
      <c r="Y102" s="216"/>
      <c r="Z102" s="216"/>
      <c r="AA102" s="216"/>
      <c r="AB102" s="216"/>
      <c r="AC102" s="216"/>
      <c r="AD102" s="216"/>
      <c r="AE102" s="216"/>
      <c r="AF102" s="216"/>
      <c r="AG102" s="216"/>
      <c r="AH102" s="216"/>
      <c r="AI102" s="216"/>
      <c r="AJ102" s="216"/>
      <c r="AK102" s="216"/>
      <c r="AL102" s="216"/>
      <c r="AM102" s="216"/>
      <c r="AN102" s="216"/>
      <c r="AO102" s="216"/>
      <c r="AP102" s="216"/>
      <c r="AQ102" s="216"/>
      <c r="AR102" s="216"/>
      <c r="AS102" s="216"/>
      <c r="AT102" s="216"/>
      <c r="AU102" s="216"/>
      <c r="AV102" s="216"/>
      <c r="AW102" s="216"/>
      <c r="AX102" s="216"/>
      <c r="AY102" s="216"/>
      <c r="AZ102" s="216"/>
      <c r="BA102" s="216"/>
      <c r="BB102" s="216"/>
      <c r="BC102" s="216"/>
      <c r="BD102" s="216"/>
      <c r="BE102" s="216"/>
      <c r="BF102" s="216"/>
      <c r="BG102" s="216"/>
      <c r="BH102" s="216"/>
      <c r="BI102" s="216"/>
      <c r="BJ102" s="216"/>
      <c r="BK102" s="216"/>
      <c r="BL102" s="216"/>
      <c r="BM102" s="216"/>
      <c r="BN102" s="216"/>
      <c r="BO102" s="216"/>
      <c r="BP102" s="216"/>
      <c r="BQ102" s="216"/>
      <c r="BR102" s="216"/>
      <c r="BS102" s="216"/>
      <c r="BT102" s="216"/>
    </row>
    <row r="103" ht="14.25" customHeight="1">
      <c r="A103" s="216"/>
      <c r="B103" s="216"/>
      <c r="C103" s="216"/>
      <c r="D103" s="267"/>
      <c r="E103" s="267"/>
      <c r="F103" s="267"/>
      <c r="G103" s="267"/>
      <c r="H103" s="267"/>
      <c r="I103" s="267"/>
      <c r="J103" s="267"/>
      <c r="K103" s="267"/>
      <c r="L103" s="267"/>
      <c r="M103" s="267"/>
      <c r="N103" s="267"/>
      <c r="O103" s="267"/>
      <c r="P103" s="267"/>
      <c r="Q103" s="267"/>
      <c r="R103" s="267"/>
      <c r="S103" s="216"/>
      <c r="T103" s="216"/>
      <c r="U103" s="216"/>
      <c r="V103" s="216"/>
      <c r="W103" s="216"/>
      <c r="X103" s="216"/>
      <c r="Y103" s="216"/>
      <c r="Z103" s="216"/>
      <c r="AA103" s="216"/>
      <c r="AB103" s="216"/>
      <c r="AC103" s="216"/>
      <c r="AD103" s="216"/>
      <c r="AE103" s="216"/>
      <c r="AF103" s="216"/>
      <c r="AG103" s="216"/>
      <c r="AH103" s="216"/>
      <c r="AI103" s="216"/>
      <c r="AJ103" s="216"/>
      <c r="AK103" s="216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6"/>
      <c r="BB103" s="216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6"/>
      <c r="BS103" s="216"/>
      <c r="BT103" s="216"/>
    </row>
    <row r="104" ht="14.25" customHeight="1">
      <c r="A104" s="216"/>
      <c r="B104" s="216"/>
      <c r="C104" s="216"/>
      <c r="D104" s="267"/>
      <c r="E104" s="267"/>
      <c r="F104" s="267"/>
      <c r="G104" s="267"/>
      <c r="H104" s="267"/>
      <c r="I104" s="267"/>
      <c r="J104" s="267"/>
      <c r="K104" s="267"/>
      <c r="L104" s="267"/>
      <c r="M104" s="267"/>
      <c r="N104" s="267"/>
      <c r="O104" s="267"/>
      <c r="P104" s="267"/>
      <c r="Q104" s="267"/>
      <c r="R104" s="267"/>
      <c r="S104" s="216"/>
      <c r="T104" s="216"/>
      <c r="U104" s="216"/>
      <c r="V104" s="216"/>
      <c r="W104" s="216"/>
      <c r="X104" s="216"/>
      <c r="Y104" s="216"/>
      <c r="Z104" s="216"/>
      <c r="AA104" s="216"/>
      <c r="AB104" s="216"/>
      <c r="AC104" s="216"/>
      <c r="AD104" s="216"/>
      <c r="AE104" s="216"/>
      <c r="AF104" s="216"/>
      <c r="AG104" s="216"/>
      <c r="AH104" s="216"/>
      <c r="AI104" s="216"/>
      <c r="AJ104" s="216"/>
      <c r="AK104" s="216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6"/>
      <c r="BB104" s="216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6"/>
      <c r="BS104" s="216"/>
      <c r="BT104" s="216"/>
    </row>
    <row r="105" ht="14.25" customHeight="1">
      <c r="A105" s="216"/>
      <c r="B105" s="216"/>
      <c r="C105" s="216"/>
      <c r="D105" s="267"/>
      <c r="E105" s="267"/>
      <c r="F105" s="267"/>
      <c r="G105" s="267"/>
      <c r="H105" s="267"/>
      <c r="I105" s="267"/>
      <c r="J105" s="267"/>
      <c r="K105" s="267"/>
      <c r="L105" s="267"/>
      <c r="M105" s="267"/>
      <c r="N105" s="267"/>
      <c r="O105" s="267"/>
      <c r="P105" s="267"/>
      <c r="Q105" s="267"/>
      <c r="R105" s="267"/>
      <c r="S105" s="216"/>
      <c r="T105" s="216"/>
      <c r="U105" s="216"/>
      <c r="V105" s="216"/>
      <c r="W105" s="216"/>
      <c r="X105" s="216"/>
      <c r="Y105" s="216"/>
      <c r="Z105" s="216"/>
      <c r="AA105" s="216"/>
      <c r="AB105" s="216"/>
      <c r="AC105" s="216"/>
      <c r="AD105" s="216"/>
      <c r="AE105" s="216"/>
      <c r="AF105" s="216"/>
      <c r="AG105" s="216"/>
      <c r="AH105" s="216"/>
      <c r="AI105" s="216"/>
      <c r="AJ105" s="216"/>
      <c r="AK105" s="216"/>
      <c r="AL105" s="216"/>
      <c r="AM105" s="216"/>
      <c r="AN105" s="216"/>
      <c r="AO105" s="216"/>
      <c r="AP105" s="216"/>
      <c r="AQ105" s="216"/>
      <c r="AR105" s="216"/>
      <c r="AS105" s="216"/>
      <c r="AT105" s="216"/>
      <c r="AU105" s="216"/>
      <c r="AV105" s="216"/>
      <c r="AW105" s="216"/>
      <c r="AX105" s="216"/>
      <c r="AY105" s="216"/>
      <c r="AZ105" s="216"/>
      <c r="BA105" s="216"/>
      <c r="BB105" s="216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6"/>
      <c r="BS105" s="216"/>
      <c r="BT105" s="216"/>
    </row>
    <row r="106" ht="14.25" customHeight="1">
      <c r="A106" s="216"/>
      <c r="B106" s="216"/>
      <c r="C106" s="216"/>
      <c r="D106" s="267"/>
      <c r="E106" s="267"/>
      <c r="F106" s="267"/>
      <c r="G106" s="267"/>
      <c r="H106" s="267"/>
      <c r="I106" s="267"/>
      <c r="J106" s="267"/>
      <c r="K106" s="267"/>
      <c r="L106" s="267"/>
      <c r="M106" s="267"/>
      <c r="N106" s="267"/>
      <c r="O106" s="267"/>
      <c r="P106" s="267"/>
      <c r="Q106" s="267"/>
      <c r="R106" s="267"/>
      <c r="S106" s="216"/>
      <c r="T106" s="216"/>
      <c r="U106" s="216"/>
      <c r="V106" s="216"/>
      <c r="W106" s="216"/>
      <c r="X106" s="216"/>
      <c r="Y106" s="216"/>
      <c r="Z106" s="216"/>
      <c r="AA106" s="216"/>
      <c r="AB106" s="216"/>
      <c r="AC106" s="216"/>
      <c r="AD106" s="216"/>
      <c r="AE106" s="216"/>
      <c r="AF106" s="216"/>
      <c r="AG106" s="216"/>
      <c r="AH106" s="216"/>
      <c r="AI106" s="216"/>
      <c r="AJ106" s="216"/>
      <c r="AK106" s="216"/>
      <c r="AL106" s="216"/>
      <c r="AM106" s="216"/>
      <c r="AN106" s="216"/>
      <c r="AO106" s="216"/>
      <c r="AP106" s="216"/>
      <c r="AQ106" s="216"/>
      <c r="AR106" s="216"/>
      <c r="AS106" s="216"/>
      <c r="AT106" s="216"/>
      <c r="AU106" s="216"/>
      <c r="AV106" s="216"/>
      <c r="AW106" s="216"/>
      <c r="AX106" s="216"/>
      <c r="AY106" s="216"/>
      <c r="AZ106" s="216"/>
      <c r="BA106" s="216"/>
      <c r="BB106" s="216"/>
      <c r="BC106" s="216"/>
      <c r="BD106" s="216"/>
      <c r="BE106" s="216"/>
      <c r="BF106" s="216"/>
      <c r="BG106" s="216"/>
      <c r="BH106" s="216"/>
      <c r="BI106" s="216"/>
      <c r="BJ106" s="216"/>
      <c r="BK106" s="216"/>
      <c r="BL106" s="216"/>
      <c r="BM106" s="216"/>
      <c r="BN106" s="216"/>
      <c r="BO106" s="216"/>
      <c r="BP106" s="216"/>
      <c r="BQ106" s="216"/>
      <c r="BR106" s="216"/>
      <c r="BS106" s="216"/>
      <c r="BT106" s="216"/>
    </row>
    <row r="107" ht="15.75" customHeight="1">
      <c r="A107" s="216"/>
      <c r="B107" s="216"/>
      <c r="C107" s="216"/>
      <c r="D107" s="267"/>
      <c r="E107" s="267"/>
      <c r="F107" s="267"/>
      <c r="G107" s="392"/>
      <c r="H107" s="267"/>
      <c r="I107" s="392"/>
      <c r="J107" s="392"/>
      <c r="K107" s="392"/>
      <c r="L107" s="392"/>
      <c r="M107" s="392"/>
      <c r="N107" s="392"/>
      <c r="O107" s="392"/>
      <c r="P107" s="392"/>
      <c r="Q107" s="392"/>
      <c r="R107" s="392"/>
      <c r="S107" s="392"/>
      <c r="T107" s="392"/>
      <c r="U107" s="392"/>
      <c r="V107" s="392"/>
      <c r="W107" s="392"/>
      <c r="X107" s="392"/>
      <c r="Y107" s="392"/>
      <c r="Z107" s="392"/>
      <c r="AA107" s="392"/>
      <c r="AB107" s="392"/>
      <c r="AC107" s="392"/>
      <c r="AD107" s="392"/>
      <c r="AE107" s="392"/>
      <c r="AF107" s="392"/>
      <c r="AG107" s="392"/>
      <c r="AH107" s="392"/>
      <c r="AI107" s="392"/>
      <c r="AJ107" s="392"/>
      <c r="AK107" s="392"/>
      <c r="AL107" s="392"/>
      <c r="AM107" s="392"/>
      <c r="AN107" s="392"/>
      <c r="AO107" s="392"/>
      <c r="AP107" s="392"/>
      <c r="AQ107" s="392"/>
      <c r="AR107" s="392"/>
      <c r="AS107" s="392"/>
      <c r="AT107" s="392"/>
      <c r="AU107" s="392"/>
      <c r="AV107" s="392"/>
      <c r="AW107" s="392"/>
      <c r="AX107" s="392"/>
      <c r="AY107" s="392"/>
      <c r="AZ107" s="392"/>
      <c r="BA107" s="392"/>
      <c r="BB107" s="392"/>
      <c r="BC107" s="392"/>
      <c r="BD107" s="392"/>
      <c r="BE107" s="392"/>
      <c r="BF107" s="392"/>
      <c r="BG107" s="392"/>
      <c r="BH107" s="392"/>
      <c r="BI107" s="392"/>
      <c r="BJ107" s="392"/>
      <c r="BK107" s="392"/>
      <c r="BL107" s="392"/>
      <c r="BM107" s="392"/>
      <c r="BN107" s="392"/>
      <c r="BO107" s="392"/>
      <c r="BP107" s="392"/>
      <c r="BQ107" s="392"/>
      <c r="BR107" s="392"/>
      <c r="BS107" s="392"/>
      <c r="BT107" s="392"/>
    </row>
    <row r="108" ht="15.75" customHeight="1">
      <c r="A108" s="216"/>
      <c r="B108" s="216"/>
      <c r="C108" s="216"/>
      <c r="D108" s="267"/>
      <c r="E108" s="392"/>
      <c r="F108" s="267"/>
      <c r="G108" s="392"/>
      <c r="H108" s="267"/>
      <c r="I108" s="392"/>
      <c r="J108" s="392"/>
      <c r="K108" s="392"/>
      <c r="L108" s="392"/>
      <c r="M108" s="392"/>
      <c r="N108" s="392"/>
      <c r="O108" s="392"/>
      <c r="P108" s="392"/>
      <c r="Q108" s="392"/>
      <c r="R108" s="392"/>
      <c r="S108" s="392"/>
      <c r="T108" s="392"/>
      <c r="U108" s="392"/>
      <c r="V108" s="392"/>
      <c r="W108" s="392"/>
      <c r="X108" s="392"/>
      <c r="Y108" s="392"/>
      <c r="Z108" s="392"/>
      <c r="AA108" s="392"/>
      <c r="AB108" s="392"/>
      <c r="AC108" s="392"/>
      <c r="AD108" s="392"/>
      <c r="AE108" s="392"/>
      <c r="AF108" s="392"/>
      <c r="AG108" s="392"/>
      <c r="AH108" s="392"/>
      <c r="AI108" s="392"/>
      <c r="AJ108" s="392"/>
      <c r="AK108" s="392"/>
      <c r="AL108" s="392"/>
      <c r="AM108" s="392"/>
      <c r="AN108" s="392"/>
      <c r="AO108" s="392"/>
      <c r="AP108" s="392"/>
      <c r="AQ108" s="392"/>
      <c r="AR108" s="392"/>
      <c r="AS108" s="392"/>
      <c r="AT108" s="392"/>
      <c r="AU108" s="392"/>
      <c r="AV108" s="392"/>
      <c r="AW108" s="392"/>
      <c r="AX108" s="392"/>
      <c r="AY108" s="392"/>
      <c r="AZ108" s="392"/>
      <c r="BA108" s="392"/>
      <c r="BB108" s="392"/>
      <c r="BC108" s="392"/>
      <c r="BD108" s="392"/>
      <c r="BE108" s="392"/>
      <c r="BF108" s="392"/>
      <c r="BG108" s="392"/>
      <c r="BH108" s="392"/>
      <c r="BI108" s="392"/>
      <c r="BJ108" s="392"/>
      <c r="BK108" s="392"/>
      <c r="BL108" s="392"/>
      <c r="BM108" s="392"/>
      <c r="BN108" s="392"/>
      <c r="BO108" s="392"/>
      <c r="BP108" s="392"/>
      <c r="BQ108" s="392"/>
      <c r="BR108" s="392"/>
      <c r="BS108" s="392"/>
      <c r="BT108" s="392"/>
    </row>
    <row r="109" ht="15.75" customHeight="1">
      <c r="A109" s="216"/>
      <c r="B109" s="216"/>
      <c r="C109" s="216"/>
      <c r="D109" s="267"/>
      <c r="E109" s="392"/>
      <c r="F109" s="267"/>
      <c r="G109" s="392"/>
      <c r="H109" s="267"/>
      <c r="I109" s="392"/>
      <c r="J109" s="392"/>
      <c r="K109" s="392"/>
      <c r="L109" s="392"/>
      <c r="M109" s="392"/>
      <c r="N109" s="392"/>
      <c r="O109" s="392"/>
      <c r="P109" s="392"/>
      <c r="Q109" s="392"/>
      <c r="R109" s="392"/>
      <c r="S109" s="392"/>
      <c r="T109" s="392"/>
      <c r="U109" s="392"/>
      <c r="V109" s="392"/>
      <c r="W109" s="392"/>
      <c r="X109" s="392"/>
      <c r="Y109" s="392"/>
      <c r="Z109" s="392"/>
      <c r="AA109" s="392"/>
      <c r="AB109" s="392"/>
      <c r="AC109" s="392"/>
      <c r="AD109" s="392"/>
      <c r="AE109" s="392"/>
      <c r="AF109" s="392"/>
      <c r="AG109" s="392"/>
      <c r="AH109" s="392"/>
      <c r="AI109" s="392"/>
      <c r="AJ109" s="392"/>
      <c r="AK109" s="392"/>
      <c r="AL109" s="392"/>
      <c r="AM109" s="392"/>
      <c r="AN109" s="392"/>
      <c r="AO109" s="392"/>
      <c r="AP109" s="392"/>
      <c r="AQ109" s="392"/>
      <c r="AR109" s="392"/>
      <c r="AS109" s="392"/>
      <c r="AT109" s="392"/>
      <c r="AU109" s="392"/>
      <c r="AV109" s="392"/>
      <c r="AW109" s="392"/>
      <c r="AX109" s="392"/>
      <c r="AY109" s="392"/>
      <c r="AZ109" s="392"/>
      <c r="BA109" s="392"/>
      <c r="BB109" s="392"/>
      <c r="BC109" s="392"/>
      <c r="BD109" s="392"/>
      <c r="BE109" s="392"/>
      <c r="BF109" s="392"/>
      <c r="BG109" s="392"/>
      <c r="BH109" s="392"/>
      <c r="BI109" s="392"/>
      <c r="BJ109" s="392"/>
      <c r="BK109" s="392"/>
      <c r="BL109" s="392"/>
      <c r="BM109" s="392"/>
      <c r="BN109" s="392"/>
      <c r="BO109" s="392"/>
      <c r="BP109" s="392"/>
      <c r="BQ109" s="392"/>
      <c r="BR109" s="392"/>
      <c r="BS109" s="392"/>
      <c r="BT109" s="392"/>
    </row>
    <row r="110" ht="15.75" customHeight="1">
      <c r="A110" s="216"/>
      <c r="B110" s="216"/>
      <c r="C110" s="216"/>
      <c r="D110" s="267"/>
      <c r="E110" s="392"/>
      <c r="F110" s="267"/>
      <c r="G110" s="392"/>
      <c r="H110" s="267"/>
      <c r="I110" s="392"/>
      <c r="J110" s="392"/>
      <c r="K110" s="392"/>
      <c r="L110" s="392"/>
      <c r="M110" s="392"/>
      <c r="N110" s="392"/>
      <c r="O110" s="392"/>
      <c r="P110" s="392"/>
      <c r="Q110" s="392"/>
      <c r="R110" s="392"/>
      <c r="S110" s="392"/>
      <c r="T110" s="392"/>
      <c r="U110" s="392"/>
      <c r="V110" s="392"/>
      <c r="W110" s="392"/>
      <c r="X110" s="392"/>
      <c r="Y110" s="392"/>
      <c r="Z110" s="392"/>
      <c r="AA110" s="392"/>
      <c r="AB110" s="392"/>
      <c r="AC110" s="392"/>
      <c r="AD110" s="392"/>
      <c r="AE110" s="392"/>
      <c r="AF110" s="392"/>
      <c r="AG110" s="392"/>
      <c r="AH110" s="392"/>
      <c r="AI110" s="392"/>
      <c r="AJ110" s="392"/>
      <c r="AK110" s="392"/>
      <c r="AL110" s="392"/>
      <c r="AM110" s="392"/>
      <c r="AN110" s="392"/>
      <c r="AO110" s="392"/>
      <c r="AP110" s="392"/>
      <c r="AQ110" s="392"/>
      <c r="AR110" s="392"/>
      <c r="AS110" s="392"/>
      <c r="AT110" s="392"/>
      <c r="AU110" s="392"/>
      <c r="AV110" s="392"/>
      <c r="AW110" s="392"/>
      <c r="AX110" s="392"/>
      <c r="AY110" s="392"/>
      <c r="AZ110" s="392"/>
      <c r="BA110" s="392"/>
      <c r="BB110" s="392"/>
      <c r="BC110" s="392"/>
      <c r="BD110" s="392"/>
      <c r="BE110" s="392"/>
      <c r="BF110" s="392"/>
      <c r="BG110" s="392"/>
      <c r="BH110" s="392"/>
      <c r="BI110" s="392"/>
      <c r="BJ110" s="392"/>
      <c r="BK110" s="392"/>
      <c r="BL110" s="392"/>
      <c r="BM110" s="392"/>
      <c r="BN110" s="392"/>
      <c r="BO110" s="392"/>
      <c r="BP110" s="392"/>
      <c r="BQ110" s="392"/>
      <c r="BR110" s="392"/>
      <c r="BS110" s="392"/>
      <c r="BT110" s="392"/>
    </row>
    <row r="111" ht="15.75" customHeight="1">
      <c r="A111" s="216"/>
      <c r="B111" s="216"/>
      <c r="C111" s="216"/>
      <c r="D111" s="267"/>
      <c r="E111" s="392"/>
      <c r="F111" s="267"/>
      <c r="G111" s="392"/>
      <c r="H111" s="267"/>
      <c r="I111" s="392"/>
      <c r="J111" s="392"/>
      <c r="K111" s="392"/>
      <c r="L111" s="392"/>
      <c r="M111" s="392"/>
      <c r="N111" s="392"/>
      <c r="O111" s="392"/>
      <c r="P111" s="392"/>
      <c r="Q111" s="392"/>
      <c r="R111" s="392"/>
      <c r="S111" s="392"/>
      <c r="T111" s="392"/>
      <c r="U111" s="392"/>
      <c r="V111" s="392"/>
      <c r="W111" s="392"/>
      <c r="X111" s="392"/>
      <c r="Y111" s="392"/>
      <c r="Z111" s="392"/>
      <c r="AA111" s="392"/>
      <c r="AB111" s="392"/>
      <c r="AC111" s="392"/>
      <c r="AD111" s="392"/>
      <c r="AE111" s="392"/>
      <c r="AF111" s="392"/>
      <c r="AG111" s="392"/>
      <c r="AH111" s="392"/>
      <c r="AI111" s="392"/>
      <c r="AJ111" s="392"/>
      <c r="AK111" s="392"/>
      <c r="AL111" s="392"/>
      <c r="AM111" s="392"/>
      <c r="AN111" s="392"/>
      <c r="AO111" s="392"/>
      <c r="AP111" s="392"/>
      <c r="AQ111" s="392"/>
      <c r="AR111" s="392"/>
      <c r="AS111" s="392"/>
      <c r="AT111" s="392"/>
      <c r="AU111" s="392"/>
      <c r="AV111" s="392"/>
      <c r="AW111" s="392"/>
      <c r="AX111" s="392"/>
      <c r="AY111" s="392"/>
      <c r="AZ111" s="392"/>
      <c r="BA111" s="392"/>
      <c r="BB111" s="392"/>
      <c r="BC111" s="392"/>
      <c r="BD111" s="392"/>
      <c r="BE111" s="392"/>
      <c r="BF111" s="392"/>
      <c r="BG111" s="392"/>
      <c r="BH111" s="392"/>
      <c r="BI111" s="392"/>
      <c r="BJ111" s="392"/>
      <c r="BK111" s="392"/>
      <c r="BL111" s="392"/>
      <c r="BM111" s="392"/>
      <c r="BN111" s="392"/>
      <c r="BO111" s="392"/>
      <c r="BP111" s="392"/>
      <c r="BQ111" s="392"/>
      <c r="BR111" s="392"/>
      <c r="BS111" s="392"/>
      <c r="BT111" s="392"/>
    </row>
    <row r="112" ht="15.75" customHeight="1">
      <c r="A112" s="216"/>
      <c r="B112" s="216"/>
      <c r="C112" s="216"/>
      <c r="D112" s="267"/>
      <c r="E112" s="392"/>
      <c r="F112" s="267"/>
      <c r="G112" s="392"/>
      <c r="H112" s="267"/>
      <c r="I112" s="392"/>
      <c r="J112" s="392"/>
      <c r="K112" s="392"/>
      <c r="L112" s="392"/>
      <c r="M112" s="392"/>
      <c r="N112" s="392"/>
      <c r="O112" s="392"/>
      <c r="P112" s="392"/>
      <c r="Q112" s="392"/>
      <c r="R112" s="392"/>
      <c r="S112" s="392"/>
      <c r="T112" s="392"/>
      <c r="U112" s="392"/>
      <c r="V112" s="392"/>
      <c r="W112" s="392"/>
      <c r="X112" s="392"/>
      <c r="Y112" s="392"/>
      <c r="Z112" s="392"/>
      <c r="AA112" s="392"/>
      <c r="AB112" s="392"/>
      <c r="AC112" s="392"/>
      <c r="AD112" s="392"/>
      <c r="AE112" s="392"/>
      <c r="AF112" s="392"/>
      <c r="AG112" s="392"/>
      <c r="AH112" s="392"/>
      <c r="AI112" s="392"/>
      <c r="AJ112" s="392"/>
      <c r="AK112" s="392"/>
      <c r="AL112" s="392"/>
      <c r="AM112" s="392"/>
      <c r="AN112" s="392"/>
      <c r="AO112" s="392"/>
      <c r="AP112" s="392"/>
      <c r="AQ112" s="392"/>
      <c r="AR112" s="392"/>
      <c r="AS112" s="392"/>
      <c r="AT112" s="392"/>
      <c r="AU112" s="392"/>
      <c r="AV112" s="392"/>
      <c r="AW112" s="392"/>
      <c r="AX112" s="392"/>
      <c r="AY112" s="392"/>
      <c r="AZ112" s="392"/>
      <c r="BA112" s="392"/>
      <c r="BB112" s="392"/>
      <c r="BC112" s="392"/>
      <c r="BD112" s="392"/>
      <c r="BE112" s="392"/>
      <c r="BF112" s="392"/>
      <c r="BG112" s="392"/>
      <c r="BH112" s="392"/>
      <c r="BI112" s="392"/>
      <c r="BJ112" s="392"/>
      <c r="BK112" s="392"/>
      <c r="BL112" s="392"/>
      <c r="BM112" s="392"/>
      <c r="BN112" s="392"/>
      <c r="BO112" s="392"/>
      <c r="BP112" s="392"/>
      <c r="BQ112" s="392"/>
      <c r="BR112" s="392"/>
      <c r="BS112" s="392"/>
      <c r="BT112" s="392"/>
    </row>
    <row r="113" ht="15.75" customHeight="1">
      <c r="A113" s="216"/>
      <c r="B113" s="216"/>
      <c r="C113" s="216"/>
      <c r="D113" s="267"/>
      <c r="E113" s="392"/>
      <c r="F113" s="267"/>
      <c r="G113" s="392"/>
      <c r="H113" s="267"/>
      <c r="I113" s="392"/>
      <c r="J113" s="392"/>
      <c r="K113" s="392"/>
      <c r="L113" s="392"/>
      <c r="M113" s="392"/>
      <c r="N113" s="392"/>
      <c r="O113" s="392"/>
      <c r="P113" s="392"/>
      <c r="Q113" s="392"/>
      <c r="R113" s="392"/>
      <c r="S113" s="392"/>
      <c r="T113" s="392"/>
      <c r="U113" s="392"/>
      <c r="V113" s="392"/>
      <c r="W113" s="392"/>
      <c r="X113" s="392"/>
      <c r="Y113" s="392"/>
      <c r="Z113" s="392"/>
      <c r="AA113" s="392"/>
      <c r="AB113" s="392"/>
      <c r="AC113" s="392"/>
      <c r="AD113" s="392"/>
      <c r="AE113" s="392"/>
      <c r="AF113" s="392"/>
      <c r="AG113" s="392"/>
      <c r="AH113" s="392"/>
      <c r="AI113" s="392"/>
      <c r="AJ113" s="392"/>
      <c r="AK113" s="392"/>
      <c r="AL113" s="392"/>
      <c r="AM113" s="392"/>
      <c r="AN113" s="392"/>
      <c r="AO113" s="392"/>
      <c r="AP113" s="392"/>
      <c r="AQ113" s="392"/>
      <c r="AR113" s="392"/>
      <c r="AS113" s="392"/>
      <c r="AT113" s="392"/>
      <c r="AU113" s="392"/>
      <c r="AV113" s="392"/>
      <c r="AW113" s="392"/>
      <c r="AX113" s="392"/>
      <c r="AY113" s="392"/>
      <c r="AZ113" s="392"/>
      <c r="BA113" s="392"/>
      <c r="BB113" s="392"/>
      <c r="BC113" s="392"/>
      <c r="BD113" s="392"/>
      <c r="BE113" s="392"/>
      <c r="BF113" s="392"/>
      <c r="BG113" s="392"/>
      <c r="BH113" s="392"/>
      <c r="BI113" s="392"/>
      <c r="BJ113" s="392"/>
      <c r="BK113" s="392"/>
      <c r="BL113" s="392"/>
      <c r="BM113" s="392"/>
      <c r="BN113" s="392"/>
      <c r="BO113" s="392"/>
      <c r="BP113" s="392"/>
      <c r="BQ113" s="392"/>
      <c r="BR113" s="392"/>
      <c r="BS113" s="392"/>
      <c r="BT113" s="392"/>
    </row>
    <row r="114" ht="15.75" customHeight="1">
      <c r="A114" s="216"/>
      <c r="B114" s="216"/>
      <c r="C114" s="216"/>
      <c r="D114" s="267"/>
      <c r="E114" s="392"/>
      <c r="F114" s="267"/>
      <c r="G114" s="392"/>
      <c r="H114" s="267"/>
      <c r="I114" s="392"/>
      <c r="J114" s="392"/>
      <c r="K114" s="392"/>
      <c r="L114" s="392"/>
      <c r="M114" s="392"/>
      <c r="N114" s="392"/>
      <c r="O114" s="392"/>
      <c r="P114" s="392"/>
      <c r="Q114" s="392"/>
      <c r="R114" s="392"/>
      <c r="S114" s="392"/>
      <c r="T114" s="392"/>
      <c r="U114" s="392"/>
      <c r="V114" s="392"/>
      <c r="W114" s="392"/>
      <c r="X114" s="392"/>
      <c r="Y114" s="392"/>
      <c r="Z114" s="392"/>
      <c r="AA114" s="392"/>
      <c r="AB114" s="392"/>
      <c r="AC114" s="392"/>
      <c r="AD114" s="392"/>
      <c r="AE114" s="392"/>
      <c r="AF114" s="392"/>
      <c r="AG114" s="392"/>
      <c r="AH114" s="392"/>
      <c r="AI114" s="392"/>
      <c r="AJ114" s="392"/>
      <c r="AK114" s="392"/>
      <c r="AL114" s="392"/>
      <c r="AM114" s="392"/>
      <c r="AN114" s="392"/>
      <c r="AO114" s="392"/>
      <c r="AP114" s="392"/>
      <c r="AQ114" s="392"/>
      <c r="AR114" s="392"/>
      <c r="AS114" s="392"/>
      <c r="AT114" s="392"/>
      <c r="AU114" s="392"/>
      <c r="AV114" s="392"/>
      <c r="AW114" s="392"/>
      <c r="AX114" s="392"/>
      <c r="AY114" s="392"/>
      <c r="AZ114" s="392"/>
      <c r="BA114" s="392"/>
      <c r="BB114" s="392"/>
      <c r="BC114" s="392"/>
      <c r="BD114" s="392"/>
      <c r="BE114" s="392"/>
      <c r="BF114" s="392"/>
      <c r="BG114" s="392"/>
      <c r="BH114" s="392"/>
      <c r="BI114" s="392"/>
      <c r="BJ114" s="392"/>
      <c r="BK114" s="392"/>
      <c r="BL114" s="392"/>
      <c r="BM114" s="392"/>
      <c r="BN114" s="392"/>
      <c r="BO114" s="392"/>
      <c r="BP114" s="392"/>
      <c r="BQ114" s="392"/>
      <c r="BR114" s="392"/>
      <c r="BS114" s="392"/>
      <c r="BT114" s="392"/>
    </row>
    <row r="115" ht="15.75" customHeight="1">
      <c r="A115" s="216"/>
      <c r="B115" s="216"/>
      <c r="C115" s="216"/>
      <c r="D115" s="267"/>
      <c r="E115" s="392"/>
      <c r="F115" s="267"/>
      <c r="G115" s="392"/>
      <c r="H115" s="267"/>
      <c r="I115" s="392"/>
      <c r="J115" s="392"/>
      <c r="K115" s="392"/>
      <c r="L115" s="392"/>
      <c r="M115" s="392"/>
      <c r="N115" s="392"/>
      <c r="O115" s="392"/>
      <c r="P115" s="392"/>
      <c r="Q115" s="392"/>
      <c r="R115" s="392"/>
      <c r="S115" s="392"/>
      <c r="T115" s="392"/>
      <c r="U115" s="392"/>
      <c r="V115" s="392"/>
      <c r="W115" s="392"/>
      <c r="X115" s="392"/>
      <c r="Y115" s="392"/>
      <c r="Z115" s="392"/>
      <c r="AA115" s="392"/>
      <c r="AB115" s="392"/>
      <c r="AC115" s="392"/>
      <c r="AD115" s="392"/>
      <c r="AE115" s="392"/>
      <c r="AF115" s="392"/>
      <c r="AG115" s="392"/>
      <c r="AH115" s="392"/>
      <c r="AI115" s="392"/>
      <c r="AJ115" s="392"/>
      <c r="AK115" s="392"/>
      <c r="AL115" s="392"/>
      <c r="AM115" s="392"/>
      <c r="AN115" s="392"/>
      <c r="AO115" s="392"/>
      <c r="AP115" s="392"/>
      <c r="AQ115" s="392"/>
      <c r="AR115" s="392"/>
      <c r="AS115" s="392"/>
      <c r="AT115" s="392"/>
      <c r="AU115" s="392"/>
      <c r="AV115" s="392"/>
      <c r="AW115" s="392"/>
      <c r="AX115" s="392"/>
      <c r="AY115" s="392"/>
      <c r="AZ115" s="392"/>
      <c r="BA115" s="392"/>
      <c r="BB115" s="392"/>
      <c r="BC115" s="392"/>
      <c r="BD115" s="392"/>
      <c r="BE115" s="392"/>
      <c r="BF115" s="392"/>
      <c r="BG115" s="392"/>
      <c r="BH115" s="392"/>
      <c r="BI115" s="392"/>
      <c r="BJ115" s="392"/>
      <c r="BK115" s="392"/>
      <c r="BL115" s="392"/>
      <c r="BM115" s="392"/>
      <c r="BN115" s="392"/>
      <c r="BO115" s="392"/>
      <c r="BP115" s="392"/>
      <c r="BQ115" s="392"/>
      <c r="BR115" s="392"/>
      <c r="BS115" s="392"/>
      <c r="BT115" s="392"/>
    </row>
    <row r="116" ht="15.75" customHeight="1">
      <c r="A116" s="216"/>
      <c r="B116" s="216"/>
      <c r="C116" s="216"/>
      <c r="D116" s="267"/>
      <c r="E116" s="392"/>
      <c r="F116" s="267"/>
      <c r="G116" s="392"/>
      <c r="H116" s="267"/>
      <c r="I116" s="392"/>
      <c r="J116" s="392"/>
      <c r="K116" s="392"/>
      <c r="L116" s="392"/>
      <c r="M116" s="392"/>
      <c r="N116" s="392"/>
      <c r="O116" s="392"/>
      <c r="P116" s="392"/>
      <c r="Q116" s="392"/>
      <c r="R116" s="392"/>
      <c r="S116" s="392"/>
      <c r="T116" s="392"/>
      <c r="U116" s="392"/>
      <c r="V116" s="392"/>
      <c r="W116" s="392"/>
      <c r="X116" s="392"/>
      <c r="Y116" s="392"/>
      <c r="Z116" s="392"/>
      <c r="AA116" s="392"/>
      <c r="AB116" s="392"/>
      <c r="AC116" s="392"/>
      <c r="AD116" s="392"/>
      <c r="AE116" s="392"/>
      <c r="AF116" s="392"/>
      <c r="AG116" s="392"/>
      <c r="AH116" s="392"/>
      <c r="AI116" s="392"/>
      <c r="AJ116" s="392"/>
      <c r="AK116" s="392"/>
      <c r="AL116" s="392"/>
      <c r="AM116" s="392"/>
      <c r="AN116" s="392"/>
      <c r="AO116" s="392"/>
      <c r="AP116" s="392"/>
      <c r="AQ116" s="392"/>
      <c r="AR116" s="392"/>
      <c r="AS116" s="392"/>
      <c r="AT116" s="392"/>
      <c r="AU116" s="392"/>
      <c r="AV116" s="392"/>
      <c r="AW116" s="392"/>
      <c r="AX116" s="392"/>
      <c r="AY116" s="392"/>
      <c r="AZ116" s="392"/>
      <c r="BA116" s="392"/>
      <c r="BB116" s="392"/>
      <c r="BC116" s="392"/>
      <c r="BD116" s="392"/>
      <c r="BE116" s="392"/>
      <c r="BF116" s="392"/>
      <c r="BG116" s="392"/>
      <c r="BH116" s="392"/>
      <c r="BI116" s="392"/>
      <c r="BJ116" s="392"/>
      <c r="BK116" s="392"/>
      <c r="BL116" s="392"/>
      <c r="BM116" s="392"/>
      <c r="BN116" s="392"/>
      <c r="BO116" s="392"/>
      <c r="BP116" s="392"/>
      <c r="BQ116" s="392"/>
      <c r="BR116" s="392"/>
      <c r="BS116" s="392"/>
      <c r="BT116" s="392"/>
    </row>
    <row r="117" ht="15.75" customHeight="1">
      <c r="A117" s="216"/>
      <c r="B117" s="216"/>
      <c r="C117" s="216"/>
      <c r="D117" s="267"/>
      <c r="E117" s="392"/>
      <c r="F117" s="267"/>
      <c r="G117" s="392"/>
      <c r="H117" s="267"/>
      <c r="I117" s="392"/>
      <c r="J117" s="392"/>
      <c r="K117" s="392"/>
      <c r="L117" s="392"/>
      <c r="M117" s="392"/>
      <c r="N117" s="392"/>
      <c r="O117" s="392"/>
      <c r="P117" s="392"/>
      <c r="Q117" s="392"/>
      <c r="R117" s="392"/>
      <c r="S117" s="392"/>
      <c r="T117" s="392"/>
      <c r="U117" s="392"/>
      <c r="V117" s="392"/>
      <c r="W117" s="392"/>
      <c r="X117" s="392"/>
      <c r="Y117" s="392"/>
      <c r="Z117" s="392"/>
      <c r="AA117" s="392"/>
      <c r="AB117" s="392"/>
      <c r="AC117" s="392"/>
      <c r="AD117" s="392"/>
      <c r="AE117" s="392"/>
      <c r="AF117" s="392"/>
      <c r="AG117" s="392"/>
      <c r="AH117" s="392"/>
      <c r="AI117" s="392"/>
      <c r="AJ117" s="392"/>
      <c r="AK117" s="392"/>
      <c r="AL117" s="392"/>
      <c r="AM117" s="392"/>
      <c r="AN117" s="392"/>
      <c r="AO117" s="392"/>
      <c r="AP117" s="392"/>
      <c r="AQ117" s="392"/>
      <c r="AR117" s="392"/>
      <c r="AS117" s="392"/>
      <c r="AT117" s="392"/>
      <c r="AU117" s="392"/>
      <c r="AV117" s="392"/>
      <c r="AW117" s="392"/>
      <c r="AX117" s="392"/>
      <c r="AY117" s="392"/>
      <c r="AZ117" s="392"/>
      <c r="BA117" s="392"/>
      <c r="BB117" s="392"/>
      <c r="BC117" s="392"/>
      <c r="BD117" s="392"/>
      <c r="BE117" s="392"/>
      <c r="BF117" s="392"/>
      <c r="BG117" s="392"/>
      <c r="BH117" s="392"/>
      <c r="BI117" s="392"/>
      <c r="BJ117" s="392"/>
      <c r="BK117" s="392"/>
      <c r="BL117" s="392"/>
      <c r="BM117" s="392"/>
      <c r="BN117" s="392"/>
      <c r="BO117" s="392"/>
      <c r="BP117" s="392"/>
      <c r="BQ117" s="392"/>
      <c r="BR117" s="392"/>
      <c r="BS117" s="392"/>
      <c r="BT117" s="392"/>
    </row>
    <row r="118" ht="15.75" customHeight="1">
      <c r="A118" s="216"/>
      <c r="B118" s="216"/>
      <c r="C118" s="216"/>
      <c r="D118" s="267"/>
      <c r="E118" s="392"/>
      <c r="F118" s="267"/>
      <c r="G118" s="392"/>
      <c r="H118" s="267"/>
      <c r="I118" s="392"/>
      <c r="J118" s="392"/>
      <c r="K118" s="392"/>
      <c r="L118" s="392"/>
      <c r="M118" s="392"/>
      <c r="N118" s="392"/>
      <c r="O118" s="392"/>
      <c r="P118" s="392"/>
      <c r="Q118" s="392"/>
      <c r="R118" s="392"/>
      <c r="S118" s="392"/>
      <c r="T118" s="392"/>
      <c r="U118" s="392"/>
      <c r="V118" s="392"/>
      <c r="W118" s="392"/>
      <c r="X118" s="392"/>
      <c r="Y118" s="392"/>
      <c r="Z118" s="392"/>
      <c r="AA118" s="392"/>
      <c r="AB118" s="392"/>
      <c r="AC118" s="392"/>
      <c r="AD118" s="392"/>
      <c r="AE118" s="392"/>
      <c r="AF118" s="392"/>
      <c r="AG118" s="392"/>
      <c r="AH118" s="392"/>
      <c r="AI118" s="392"/>
      <c r="AJ118" s="392"/>
      <c r="AK118" s="392"/>
      <c r="AL118" s="392"/>
      <c r="AM118" s="392"/>
      <c r="AN118" s="392"/>
      <c r="AO118" s="392"/>
      <c r="AP118" s="392"/>
      <c r="AQ118" s="392"/>
      <c r="AR118" s="392"/>
      <c r="AS118" s="392"/>
      <c r="AT118" s="392"/>
      <c r="AU118" s="392"/>
      <c r="AV118" s="392"/>
      <c r="AW118" s="392"/>
      <c r="AX118" s="392"/>
      <c r="AY118" s="392"/>
      <c r="AZ118" s="392"/>
      <c r="BA118" s="392"/>
      <c r="BB118" s="392"/>
      <c r="BC118" s="392"/>
      <c r="BD118" s="392"/>
      <c r="BE118" s="392"/>
      <c r="BF118" s="392"/>
      <c r="BG118" s="392"/>
      <c r="BH118" s="392"/>
      <c r="BI118" s="392"/>
      <c r="BJ118" s="392"/>
      <c r="BK118" s="392"/>
      <c r="BL118" s="392"/>
      <c r="BM118" s="392"/>
      <c r="BN118" s="392"/>
      <c r="BO118" s="392"/>
      <c r="BP118" s="392"/>
      <c r="BQ118" s="392"/>
      <c r="BR118" s="392"/>
      <c r="BS118" s="392"/>
      <c r="BT118" s="392"/>
    </row>
    <row r="119" ht="15.75" customHeight="1">
      <c r="A119" s="216"/>
      <c r="B119" s="216"/>
      <c r="C119" s="216"/>
      <c r="D119" s="267"/>
      <c r="E119" s="392"/>
      <c r="F119" s="267"/>
      <c r="G119" s="392"/>
      <c r="H119" s="267"/>
      <c r="I119" s="392"/>
      <c r="J119" s="392"/>
      <c r="K119" s="392"/>
      <c r="L119" s="392"/>
      <c r="M119" s="392"/>
      <c r="N119" s="392"/>
      <c r="O119" s="392"/>
      <c r="P119" s="392"/>
      <c r="Q119" s="392"/>
      <c r="R119" s="392"/>
      <c r="S119" s="392"/>
      <c r="T119" s="392"/>
      <c r="U119" s="392"/>
      <c r="V119" s="392"/>
      <c r="W119" s="392"/>
      <c r="X119" s="392"/>
      <c r="Y119" s="392"/>
      <c r="Z119" s="392"/>
      <c r="AA119" s="392"/>
      <c r="AB119" s="392"/>
      <c r="AC119" s="392"/>
      <c r="AD119" s="392"/>
      <c r="AE119" s="392"/>
      <c r="AF119" s="392"/>
      <c r="AG119" s="392"/>
      <c r="AH119" s="392"/>
      <c r="AI119" s="392"/>
      <c r="AJ119" s="392"/>
      <c r="AK119" s="392"/>
      <c r="AL119" s="392"/>
      <c r="AM119" s="392"/>
      <c r="AN119" s="392"/>
      <c r="AO119" s="392"/>
      <c r="AP119" s="392"/>
      <c r="AQ119" s="392"/>
      <c r="AR119" s="392"/>
      <c r="AS119" s="392"/>
      <c r="AT119" s="392"/>
      <c r="AU119" s="392"/>
      <c r="AV119" s="392"/>
      <c r="AW119" s="392"/>
      <c r="AX119" s="392"/>
      <c r="AY119" s="392"/>
      <c r="AZ119" s="392"/>
      <c r="BA119" s="392"/>
      <c r="BB119" s="392"/>
      <c r="BC119" s="392"/>
      <c r="BD119" s="392"/>
      <c r="BE119" s="392"/>
      <c r="BF119" s="392"/>
      <c r="BG119" s="392"/>
      <c r="BH119" s="392"/>
      <c r="BI119" s="392"/>
      <c r="BJ119" s="392"/>
      <c r="BK119" s="392"/>
      <c r="BL119" s="392"/>
      <c r="BM119" s="392"/>
      <c r="BN119" s="392"/>
      <c r="BO119" s="392"/>
      <c r="BP119" s="392"/>
      <c r="BQ119" s="392"/>
      <c r="BR119" s="392"/>
      <c r="BS119" s="392"/>
      <c r="BT119" s="392"/>
    </row>
    <row r="120" ht="15.75" customHeight="1">
      <c r="A120" s="216"/>
      <c r="B120" s="216"/>
      <c r="C120" s="216"/>
      <c r="D120" s="267"/>
      <c r="E120" s="392"/>
      <c r="F120" s="267"/>
      <c r="G120" s="392"/>
      <c r="H120" s="267"/>
      <c r="I120" s="392"/>
      <c r="J120" s="392"/>
      <c r="K120" s="392"/>
      <c r="L120" s="392"/>
      <c r="M120" s="392"/>
      <c r="N120" s="392"/>
      <c r="O120" s="392"/>
      <c r="P120" s="392"/>
      <c r="Q120" s="392"/>
      <c r="R120" s="392"/>
      <c r="S120" s="392"/>
      <c r="T120" s="392"/>
      <c r="U120" s="392"/>
      <c r="V120" s="392"/>
      <c r="W120" s="392"/>
      <c r="X120" s="392"/>
      <c r="Y120" s="392"/>
      <c r="Z120" s="392"/>
      <c r="AA120" s="392"/>
      <c r="AB120" s="392"/>
      <c r="AC120" s="392"/>
      <c r="AD120" s="392"/>
      <c r="AE120" s="392"/>
      <c r="AF120" s="392"/>
      <c r="AG120" s="392"/>
      <c r="AH120" s="392"/>
      <c r="AI120" s="392"/>
      <c r="AJ120" s="392"/>
      <c r="AK120" s="392"/>
      <c r="AL120" s="392"/>
      <c r="AM120" s="392"/>
      <c r="AN120" s="392"/>
      <c r="AO120" s="392"/>
      <c r="AP120" s="392"/>
      <c r="AQ120" s="392"/>
      <c r="AR120" s="392"/>
      <c r="AS120" s="392"/>
      <c r="AT120" s="392"/>
      <c r="AU120" s="392"/>
      <c r="AV120" s="392"/>
      <c r="AW120" s="392"/>
      <c r="AX120" s="392"/>
      <c r="AY120" s="392"/>
      <c r="AZ120" s="392"/>
      <c r="BA120" s="392"/>
      <c r="BB120" s="392"/>
      <c r="BC120" s="392"/>
      <c r="BD120" s="392"/>
      <c r="BE120" s="392"/>
      <c r="BF120" s="392"/>
      <c r="BG120" s="392"/>
      <c r="BH120" s="392"/>
      <c r="BI120" s="392"/>
      <c r="BJ120" s="392"/>
      <c r="BK120" s="392"/>
      <c r="BL120" s="392"/>
      <c r="BM120" s="392"/>
      <c r="BN120" s="392"/>
      <c r="BO120" s="392"/>
      <c r="BP120" s="392"/>
      <c r="BQ120" s="392"/>
      <c r="BR120" s="392"/>
      <c r="BS120" s="392"/>
      <c r="BT120" s="392"/>
    </row>
    <row r="121" ht="15.75" customHeight="1">
      <c r="A121" s="216"/>
      <c r="B121" s="216"/>
      <c r="C121" s="216"/>
      <c r="D121" s="267"/>
      <c r="E121" s="392"/>
      <c r="F121" s="267"/>
      <c r="G121" s="392"/>
      <c r="H121" s="267"/>
      <c r="I121" s="392"/>
      <c r="J121" s="392"/>
      <c r="K121" s="392"/>
      <c r="L121" s="392"/>
      <c r="M121" s="392"/>
      <c r="N121" s="392"/>
      <c r="O121" s="392"/>
      <c r="P121" s="392"/>
      <c r="Q121" s="392"/>
      <c r="R121" s="392"/>
      <c r="S121" s="392"/>
      <c r="T121" s="392"/>
      <c r="U121" s="392"/>
      <c r="V121" s="392"/>
      <c r="W121" s="392"/>
      <c r="X121" s="392"/>
      <c r="Y121" s="392"/>
      <c r="Z121" s="392"/>
      <c r="AA121" s="392"/>
      <c r="AB121" s="392"/>
      <c r="AC121" s="392"/>
      <c r="AD121" s="392"/>
      <c r="AE121" s="392"/>
      <c r="AF121" s="392"/>
      <c r="AG121" s="392"/>
      <c r="AH121" s="392"/>
      <c r="AI121" s="392"/>
      <c r="AJ121" s="392"/>
      <c r="AK121" s="392"/>
      <c r="AL121" s="392"/>
      <c r="AM121" s="392"/>
      <c r="AN121" s="392"/>
      <c r="AO121" s="392"/>
      <c r="AP121" s="392"/>
      <c r="AQ121" s="392"/>
      <c r="AR121" s="392"/>
      <c r="AS121" s="392"/>
      <c r="AT121" s="392"/>
      <c r="AU121" s="392"/>
      <c r="AV121" s="392"/>
      <c r="AW121" s="392"/>
      <c r="AX121" s="392"/>
      <c r="AY121" s="392"/>
      <c r="AZ121" s="392"/>
      <c r="BA121" s="392"/>
      <c r="BB121" s="392"/>
      <c r="BC121" s="392"/>
      <c r="BD121" s="392"/>
      <c r="BE121" s="392"/>
      <c r="BF121" s="392"/>
      <c r="BG121" s="392"/>
      <c r="BH121" s="392"/>
      <c r="BI121" s="392"/>
      <c r="BJ121" s="392"/>
      <c r="BK121" s="392"/>
      <c r="BL121" s="392"/>
      <c r="BM121" s="392"/>
      <c r="BN121" s="392"/>
      <c r="BO121" s="392"/>
      <c r="BP121" s="392"/>
      <c r="BQ121" s="392"/>
      <c r="BR121" s="392"/>
      <c r="BS121" s="392"/>
      <c r="BT121" s="392"/>
    </row>
    <row r="122" ht="15.75" customHeight="1">
      <c r="A122" s="216"/>
      <c r="B122" s="216"/>
      <c r="C122" s="216"/>
      <c r="D122" s="267"/>
      <c r="E122" s="392"/>
      <c r="F122" s="267"/>
      <c r="G122" s="392"/>
      <c r="H122" s="267"/>
      <c r="I122" s="392"/>
      <c r="J122" s="392"/>
      <c r="K122" s="392"/>
      <c r="L122" s="392"/>
      <c r="M122" s="392"/>
      <c r="N122" s="392"/>
      <c r="O122" s="392"/>
      <c r="P122" s="392"/>
      <c r="Q122" s="392"/>
      <c r="R122" s="392"/>
      <c r="S122" s="392"/>
      <c r="T122" s="392"/>
      <c r="U122" s="392"/>
      <c r="V122" s="392"/>
      <c r="W122" s="392"/>
      <c r="X122" s="392"/>
      <c r="Y122" s="392"/>
      <c r="Z122" s="392"/>
      <c r="AA122" s="392"/>
      <c r="AB122" s="392"/>
      <c r="AC122" s="392"/>
      <c r="AD122" s="392"/>
      <c r="AE122" s="392"/>
      <c r="AF122" s="392"/>
      <c r="AG122" s="392"/>
      <c r="AH122" s="392"/>
      <c r="AI122" s="392"/>
      <c r="AJ122" s="392"/>
      <c r="AK122" s="392"/>
      <c r="AL122" s="392"/>
      <c r="AM122" s="392"/>
      <c r="AN122" s="392"/>
      <c r="AO122" s="392"/>
      <c r="AP122" s="392"/>
      <c r="AQ122" s="392"/>
      <c r="AR122" s="392"/>
      <c r="AS122" s="392"/>
      <c r="AT122" s="392"/>
      <c r="AU122" s="392"/>
      <c r="AV122" s="392"/>
      <c r="AW122" s="392"/>
      <c r="AX122" s="392"/>
      <c r="AY122" s="392"/>
      <c r="AZ122" s="392"/>
      <c r="BA122" s="392"/>
      <c r="BB122" s="392"/>
      <c r="BC122" s="392"/>
      <c r="BD122" s="392"/>
      <c r="BE122" s="392"/>
      <c r="BF122" s="392"/>
      <c r="BG122" s="392"/>
      <c r="BH122" s="392"/>
      <c r="BI122" s="392"/>
      <c r="BJ122" s="392"/>
      <c r="BK122" s="392"/>
      <c r="BL122" s="392"/>
      <c r="BM122" s="392"/>
      <c r="BN122" s="392"/>
      <c r="BO122" s="392"/>
      <c r="BP122" s="392"/>
      <c r="BQ122" s="392"/>
      <c r="BR122" s="392"/>
      <c r="BS122" s="392"/>
      <c r="BT122" s="392"/>
    </row>
    <row r="123" ht="15.75" customHeight="1">
      <c r="A123" s="216"/>
      <c r="B123" s="216"/>
      <c r="C123" s="216"/>
      <c r="D123" s="267"/>
      <c r="E123" s="392"/>
      <c r="F123" s="267"/>
      <c r="G123" s="392"/>
      <c r="H123" s="267"/>
      <c r="I123" s="392"/>
      <c r="J123" s="392"/>
      <c r="K123" s="392"/>
      <c r="L123" s="392"/>
      <c r="M123" s="392"/>
      <c r="N123" s="392"/>
      <c r="O123" s="392"/>
      <c r="P123" s="392"/>
      <c r="Q123" s="392"/>
      <c r="R123" s="392"/>
      <c r="S123" s="392"/>
      <c r="T123" s="392"/>
      <c r="U123" s="392"/>
      <c r="V123" s="392"/>
      <c r="W123" s="392"/>
      <c r="X123" s="392"/>
      <c r="Y123" s="392"/>
      <c r="Z123" s="392"/>
      <c r="AA123" s="392"/>
      <c r="AB123" s="392"/>
      <c r="AC123" s="392"/>
      <c r="AD123" s="392"/>
      <c r="AE123" s="392"/>
      <c r="AF123" s="392"/>
      <c r="AG123" s="392"/>
      <c r="AH123" s="392"/>
      <c r="AI123" s="392"/>
      <c r="AJ123" s="392"/>
      <c r="AK123" s="392"/>
      <c r="AL123" s="392"/>
      <c r="AM123" s="392"/>
      <c r="AN123" s="392"/>
      <c r="AO123" s="392"/>
      <c r="AP123" s="392"/>
      <c r="AQ123" s="392"/>
      <c r="AR123" s="392"/>
      <c r="AS123" s="392"/>
      <c r="AT123" s="392"/>
      <c r="AU123" s="392"/>
      <c r="AV123" s="392"/>
      <c r="AW123" s="392"/>
      <c r="AX123" s="392"/>
      <c r="AY123" s="392"/>
      <c r="AZ123" s="392"/>
      <c r="BA123" s="392"/>
      <c r="BB123" s="392"/>
      <c r="BC123" s="392"/>
      <c r="BD123" s="392"/>
      <c r="BE123" s="392"/>
      <c r="BF123" s="392"/>
      <c r="BG123" s="392"/>
      <c r="BH123" s="392"/>
      <c r="BI123" s="392"/>
      <c r="BJ123" s="392"/>
      <c r="BK123" s="392"/>
      <c r="BL123" s="392"/>
      <c r="BM123" s="392"/>
      <c r="BN123" s="392"/>
      <c r="BO123" s="392"/>
      <c r="BP123" s="392"/>
      <c r="BQ123" s="392"/>
      <c r="BR123" s="392"/>
      <c r="BS123" s="392"/>
      <c r="BT123" s="392"/>
    </row>
    <row r="124" ht="15.75" customHeight="1">
      <c r="A124" s="216"/>
      <c r="B124" s="216"/>
      <c r="C124" s="216"/>
      <c r="D124" s="267"/>
      <c r="E124" s="392"/>
      <c r="F124" s="267"/>
      <c r="G124" s="392"/>
      <c r="H124" s="267"/>
      <c r="I124" s="392"/>
      <c r="J124" s="392"/>
      <c r="K124" s="392"/>
      <c r="L124" s="392"/>
      <c r="M124" s="392"/>
      <c r="N124" s="392"/>
      <c r="O124" s="392"/>
      <c r="P124" s="392"/>
      <c r="Q124" s="392"/>
      <c r="R124" s="392"/>
      <c r="S124" s="392"/>
      <c r="T124" s="392"/>
      <c r="U124" s="392"/>
      <c r="V124" s="392"/>
      <c r="W124" s="392"/>
      <c r="X124" s="392"/>
      <c r="Y124" s="392"/>
      <c r="Z124" s="392"/>
      <c r="AA124" s="392"/>
      <c r="AB124" s="392"/>
      <c r="AC124" s="392"/>
      <c r="AD124" s="392"/>
      <c r="AE124" s="392"/>
      <c r="AF124" s="392"/>
      <c r="AG124" s="392"/>
      <c r="AH124" s="392"/>
      <c r="AI124" s="392"/>
      <c r="AJ124" s="392"/>
      <c r="AK124" s="392"/>
      <c r="AL124" s="392"/>
      <c r="AM124" s="392"/>
      <c r="AN124" s="392"/>
      <c r="AO124" s="392"/>
      <c r="AP124" s="392"/>
      <c r="AQ124" s="392"/>
      <c r="AR124" s="392"/>
      <c r="AS124" s="392"/>
      <c r="AT124" s="392"/>
      <c r="AU124" s="392"/>
      <c r="AV124" s="392"/>
      <c r="AW124" s="392"/>
      <c r="AX124" s="392"/>
      <c r="AY124" s="392"/>
      <c r="AZ124" s="392"/>
      <c r="BA124" s="392"/>
      <c r="BB124" s="392"/>
      <c r="BC124" s="392"/>
      <c r="BD124" s="392"/>
      <c r="BE124" s="392"/>
      <c r="BF124" s="392"/>
      <c r="BG124" s="392"/>
      <c r="BH124" s="392"/>
      <c r="BI124" s="392"/>
      <c r="BJ124" s="392"/>
      <c r="BK124" s="392"/>
      <c r="BL124" s="392"/>
      <c r="BM124" s="392"/>
      <c r="BN124" s="392"/>
      <c r="BO124" s="392"/>
      <c r="BP124" s="392"/>
      <c r="BQ124" s="392"/>
      <c r="BR124" s="392"/>
      <c r="BS124" s="392"/>
      <c r="BT124" s="392"/>
    </row>
    <row r="125" ht="15.75" customHeight="1">
      <c r="A125" s="216"/>
      <c r="B125" s="216"/>
      <c r="C125" s="216"/>
      <c r="D125" s="267"/>
      <c r="E125" s="392"/>
      <c r="F125" s="267"/>
      <c r="G125" s="392"/>
      <c r="H125" s="267"/>
      <c r="I125" s="392"/>
      <c r="J125" s="392"/>
      <c r="K125" s="392"/>
      <c r="L125" s="392"/>
      <c r="M125" s="392"/>
      <c r="N125" s="392"/>
      <c r="O125" s="392"/>
      <c r="P125" s="392"/>
      <c r="Q125" s="392"/>
      <c r="R125" s="392"/>
      <c r="S125" s="392"/>
      <c r="T125" s="392"/>
      <c r="U125" s="392"/>
      <c r="V125" s="392"/>
      <c r="W125" s="392"/>
      <c r="X125" s="392"/>
      <c r="Y125" s="392"/>
      <c r="Z125" s="392"/>
      <c r="AA125" s="392"/>
      <c r="AB125" s="392"/>
      <c r="AC125" s="392"/>
      <c r="AD125" s="392"/>
      <c r="AE125" s="392"/>
      <c r="AF125" s="392"/>
      <c r="AG125" s="392"/>
      <c r="AH125" s="392"/>
      <c r="AI125" s="392"/>
      <c r="AJ125" s="392"/>
      <c r="AK125" s="392"/>
      <c r="AL125" s="392"/>
      <c r="AM125" s="392"/>
      <c r="AN125" s="392"/>
      <c r="AO125" s="392"/>
      <c r="AP125" s="392"/>
      <c r="AQ125" s="392"/>
      <c r="AR125" s="392"/>
      <c r="AS125" s="392"/>
      <c r="AT125" s="392"/>
      <c r="AU125" s="392"/>
      <c r="AV125" s="392"/>
      <c r="AW125" s="392"/>
      <c r="AX125" s="392"/>
      <c r="AY125" s="392"/>
      <c r="AZ125" s="392"/>
      <c r="BA125" s="392"/>
      <c r="BB125" s="392"/>
      <c r="BC125" s="392"/>
      <c r="BD125" s="392"/>
      <c r="BE125" s="392"/>
      <c r="BF125" s="392"/>
      <c r="BG125" s="392"/>
      <c r="BH125" s="392"/>
      <c r="BI125" s="392"/>
      <c r="BJ125" s="392"/>
      <c r="BK125" s="392"/>
      <c r="BL125" s="392"/>
      <c r="BM125" s="392"/>
      <c r="BN125" s="392"/>
      <c r="BO125" s="392"/>
      <c r="BP125" s="392"/>
      <c r="BQ125" s="392"/>
      <c r="BR125" s="392"/>
      <c r="BS125" s="392"/>
      <c r="BT125" s="392"/>
    </row>
    <row r="126" ht="15.75" customHeight="1">
      <c r="A126" s="216"/>
      <c r="B126" s="216"/>
      <c r="C126" s="216"/>
      <c r="D126" s="267"/>
      <c r="E126" s="392"/>
      <c r="F126" s="267"/>
      <c r="G126" s="392"/>
      <c r="H126" s="267"/>
      <c r="I126" s="392"/>
      <c r="J126" s="392"/>
      <c r="K126" s="392"/>
      <c r="L126" s="392"/>
      <c r="M126" s="392"/>
      <c r="N126" s="392"/>
      <c r="O126" s="392"/>
      <c r="P126" s="392"/>
      <c r="Q126" s="392"/>
      <c r="R126" s="392"/>
      <c r="S126" s="392"/>
      <c r="T126" s="392"/>
      <c r="U126" s="392"/>
      <c r="V126" s="392"/>
      <c r="W126" s="392"/>
      <c r="X126" s="392"/>
      <c r="Y126" s="392"/>
      <c r="Z126" s="392"/>
      <c r="AA126" s="392"/>
      <c r="AB126" s="392"/>
      <c r="AC126" s="392"/>
      <c r="AD126" s="392"/>
      <c r="AE126" s="392"/>
      <c r="AF126" s="392"/>
      <c r="AG126" s="392"/>
      <c r="AH126" s="392"/>
      <c r="AI126" s="392"/>
      <c r="AJ126" s="392"/>
      <c r="AK126" s="392"/>
      <c r="AL126" s="392"/>
      <c r="AM126" s="392"/>
      <c r="AN126" s="392"/>
      <c r="AO126" s="392"/>
      <c r="AP126" s="392"/>
      <c r="AQ126" s="392"/>
      <c r="AR126" s="392"/>
      <c r="AS126" s="392"/>
      <c r="AT126" s="392"/>
      <c r="AU126" s="392"/>
      <c r="AV126" s="392"/>
      <c r="AW126" s="392"/>
      <c r="AX126" s="392"/>
      <c r="AY126" s="392"/>
      <c r="AZ126" s="392"/>
      <c r="BA126" s="392"/>
      <c r="BB126" s="392"/>
      <c r="BC126" s="392"/>
      <c r="BD126" s="392"/>
      <c r="BE126" s="392"/>
      <c r="BF126" s="392"/>
      <c r="BG126" s="392"/>
      <c r="BH126" s="392"/>
      <c r="BI126" s="392"/>
      <c r="BJ126" s="392"/>
      <c r="BK126" s="392"/>
      <c r="BL126" s="392"/>
      <c r="BM126" s="392"/>
      <c r="BN126" s="392"/>
      <c r="BO126" s="392"/>
      <c r="BP126" s="392"/>
      <c r="BQ126" s="392"/>
      <c r="BR126" s="392"/>
      <c r="BS126" s="392"/>
      <c r="BT126" s="392"/>
    </row>
    <row r="127" ht="15.75" customHeight="1">
      <c r="A127" s="216"/>
      <c r="B127" s="216"/>
      <c r="C127" s="216"/>
      <c r="D127" s="267"/>
      <c r="E127" s="392"/>
      <c r="F127" s="267"/>
      <c r="G127" s="392"/>
      <c r="H127" s="267"/>
      <c r="I127" s="392"/>
      <c r="J127" s="392"/>
      <c r="K127" s="392"/>
      <c r="L127" s="392"/>
      <c r="M127" s="392"/>
      <c r="N127" s="392"/>
      <c r="O127" s="392"/>
      <c r="P127" s="392"/>
      <c r="Q127" s="392"/>
      <c r="R127" s="392"/>
      <c r="S127" s="392"/>
      <c r="T127" s="392"/>
      <c r="U127" s="392"/>
      <c r="V127" s="392"/>
      <c r="W127" s="392"/>
      <c r="X127" s="392"/>
      <c r="Y127" s="392"/>
      <c r="Z127" s="392"/>
      <c r="AA127" s="392"/>
      <c r="AB127" s="392"/>
      <c r="AC127" s="392"/>
      <c r="AD127" s="392"/>
      <c r="AE127" s="392"/>
      <c r="AF127" s="392"/>
      <c r="AG127" s="392"/>
      <c r="AH127" s="392"/>
      <c r="AI127" s="392"/>
      <c r="AJ127" s="392"/>
      <c r="AK127" s="392"/>
      <c r="AL127" s="392"/>
      <c r="AM127" s="392"/>
      <c r="AN127" s="392"/>
      <c r="AO127" s="392"/>
      <c r="AP127" s="392"/>
      <c r="AQ127" s="392"/>
      <c r="AR127" s="392"/>
      <c r="AS127" s="392"/>
      <c r="AT127" s="392"/>
      <c r="AU127" s="392"/>
      <c r="AV127" s="392"/>
      <c r="AW127" s="392"/>
      <c r="AX127" s="392"/>
      <c r="AY127" s="392"/>
      <c r="AZ127" s="392"/>
      <c r="BA127" s="392"/>
      <c r="BB127" s="392"/>
      <c r="BC127" s="392"/>
      <c r="BD127" s="392"/>
      <c r="BE127" s="392"/>
      <c r="BF127" s="392"/>
      <c r="BG127" s="392"/>
      <c r="BH127" s="392"/>
      <c r="BI127" s="392"/>
      <c r="BJ127" s="392"/>
      <c r="BK127" s="392"/>
      <c r="BL127" s="392"/>
      <c r="BM127" s="392"/>
      <c r="BN127" s="392"/>
      <c r="BO127" s="392"/>
      <c r="BP127" s="392"/>
      <c r="BQ127" s="392"/>
      <c r="BR127" s="392"/>
      <c r="BS127" s="392"/>
      <c r="BT127" s="392"/>
    </row>
    <row r="128" ht="15.75" customHeight="1">
      <c r="A128" s="216"/>
      <c r="B128" s="216"/>
      <c r="C128" s="216"/>
      <c r="D128" s="267"/>
      <c r="E128" s="392"/>
      <c r="F128" s="267"/>
      <c r="G128" s="392"/>
      <c r="H128" s="267"/>
      <c r="I128" s="392"/>
      <c r="J128" s="392"/>
      <c r="K128" s="392"/>
      <c r="L128" s="392"/>
      <c r="M128" s="392"/>
      <c r="N128" s="392"/>
      <c r="O128" s="392"/>
      <c r="P128" s="392"/>
      <c r="Q128" s="392"/>
      <c r="R128" s="392"/>
      <c r="S128" s="392"/>
      <c r="T128" s="392"/>
      <c r="U128" s="392"/>
      <c r="V128" s="392"/>
      <c r="W128" s="392"/>
      <c r="X128" s="392"/>
      <c r="Y128" s="392"/>
      <c r="Z128" s="392"/>
      <c r="AA128" s="392"/>
      <c r="AB128" s="392"/>
      <c r="AC128" s="392"/>
      <c r="AD128" s="392"/>
      <c r="AE128" s="392"/>
      <c r="AF128" s="392"/>
      <c r="AG128" s="392"/>
      <c r="AH128" s="392"/>
      <c r="AI128" s="392"/>
      <c r="AJ128" s="392"/>
      <c r="AK128" s="392"/>
      <c r="AL128" s="392"/>
      <c r="AM128" s="392"/>
      <c r="AN128" s="392"/>
      <c r="AO128" s="392"/>
      <c r="AP128" s="392"/>
      <c r="AQ128" s="392"/>
      <c r="AR128" s="392"/>
      <c r="AS128" s="392"/>
      <c r="AT128" s="392"/>
      <c r="AU128" s="392"/>
      <c r="AV128" s="392"/>
      <c r="AW128" s="392"/>
      <c r="AX128" s="392"/>
      <c r="AY128" s="392"/>
      <c r="AZ128" s="392"/>
      <c r="BA128" s="392"/>
      <c r="BB128" s="392"/>
      <c r="BC128" s="392"/>
      <c r="BD128" s="392"/>
      <c r="BE128" s="392"/>
      <c r="BF128" s="392"/>
      <c r="BG128" s="392"/>
      <c r="BH128" s="392"/>
      <c r="BI128" s="392"/>
      <c r="BJ128" s="392"/>
      <c r="BK128" s="392"/>
      <c r="BL128" s="392"/>
      <c r="BM128" s="392"/>
      <c r="BN128" s="392"/>
      <c r="BO128" s="392"/>
      <c r="BP128" s="392"/>
      <c r="BQ128" s="392"/>
      <c r="BR128" s="392"/>
      <c r="BS128" s="392"/>
      <c r="BT128" s="392"/>
    </row>
    <row r="129" ht="15.75" customHeight="1">
      <c r="A129" s="216"/>
      <c r="B129" s="216"/>
      <c r="C129" s="216"/>
      <c r="D129" s="267"/>
      <c r="E129" s="392"/>
      <c r="F129" s="267"/>
      <c r="G129" s="392"/>
      <c r="H129" s="267"/>
      <c r="I129" s="392"/>
      <c r="J129" s="392"/>
      <c r="K129" s="392"/>
      <c r="L129" s="392"/>
      <c r="M129" s="392"/>
      <c r="N129" s="392"/>
      <c r="O129" s="392"/>
      <c r="P129" s="392"/>
      <c r="Q129" s="392"/>
      <c r="R129" s="392"/>
      <c r="S129" s="392"/>
      <c r="T129" s="392"/>
      <c r="U129" s="392"/>
      <c r="V129" s="392"/>
      <c r="W129" s="392"/>
      <c r="X129" s="392"/>
      <c r="Y129" s="392"/>
      <c r="Z129" s="392"/>
      <c r="AA129" s="392"/>
      <c r="AB129" s="392"/>
      <c r="AC129" s="392"/>
      <c r="AD129" s="392"/>
      <c r="AE129" s="392"/>
      <c r="AF129" s="392"/>
      <c r="AG129" s="392"/>
      <c r="AH129" s="392"/>
      <c r="AI129" s="392"/>
      <c r="AJ129" s="392"/>
      <c r="AK129" s="392"/>
      <c r="AL129" s="392"/>
      <c r="AM129" s="392"/>
      <c r="AN129" s="392"/>
      <c r="AO129" s="392"/>
      <c r="AP129" s="392"/>
      <c r="AQ129" s="392"/>
      <c r="AR129" s="392"/>
      <c r="AS129" s="392"/>
      <c r="AT129" s="392"/>
      <c r="AU129" s="392"/>
      <c r="AV129" s="392"/>
      <c r="AW129" s="392"/>
      <c r="AX129" s="392"/>
      <c r="AY129" s="392"/>
      <c r="AZ129" s="392"/>
      <c r="BA129" s="392"/>
      <c r="BB129" s="392"/>
      <c r="BC129" s="392"/>
      <c r="BD129" s="392"/>
      <c r="BE129" s="392"/>
      <c r="BF129" s="392"/>
      <c r="BG129" s="392"/>
      <c r="BH129" s="392"/>
      <c r="BI129" s="392"/>
      <c r="BJ129" s="392"/>
      <c r="BK129" s="392"/>
      <c r="BL129" s="392"/>
      <c r="BM129" s="392"/>
      <c r="BN129" s="392"/>
      <c r="BO129" s="392"/>
      <c r="BP129" s="392"/>
      <c r="BQ129" s="392"/>
      <c r="BR129" s="392"/>
      <c r="BS129" s="392"/>
      <c r="BT129" s="392"/>
    </row>
    <row r="130" ht="15.75" customHeight="1">
      <c r="A130" s="216"/>
      <c r="B130" s="216"/>
      <c r="C130" s="216"/>
      <c r="D130" s="267"/>
      <c r="E130" s="392"/>
      <c r="F130" s="267"/>
      <c r="G130" s="392"/>
      <c r="H130" s="267"/>
      <c r="I130" s="392"/>
      <c r="J130" s="392"/>
      <c r="K130" s="392"/>
      <c r="L130" s="392"/>
      <c r="M130" s="392"/>
      <c r="N130" s="392"/>
      <c r="O130" s="392"/>
      <c r="P130" s="392"/>
      <c r="Q130" s="392"/>
      <c r="R130" s="392"/>
      <c r="S130" s="392"/>
      <c r="T130" s="392"/>
      <c r="U130" s="392"/>
      <c r="V130" s="392"/>
      <c r="W130" s="392"/>
      <c r="X130" s="392"/>
      <c r="Y130" s="392"/>
      <c r="Z130" s="392"/>
      <c r="AA130" s="392"/>
      <c r="AB130" s="392"/>
      <c r="AC130" s="392"/>
      <c r="AD130" s="392"/>
      <c r="AE130" s="392"/>
      <c r="AF130" s="392"/>
      <c r="AG130" s="392"/>
      <c r="AH130" s="392"/>
      <c r="AI130" s="392"/>
      <c r="AJ130" s="392"/>
      <c r="AK130" s="392"/>
      <c r="AL130" s="392"/>
      <c r="AM130" s="392"/>
      <c r="AN130" s="392"/>
      <c r="AO130" s="392"/>
      <c r="AP130" s="392"/>
      <c r="AQ130" s="392"/>
      <c r="AR130" s="392"/>
      <c r="AS130" s="392"/>
      <c r="AT130" s="392"/>
      <c r="AU130" s="392"/>
      <c r="AV130" s="392"/>
      <c r="AW130" s="392"/>
      <c r="AX130" s="392"/>
      <c r="AY130" s="392"/>
      <c r="AZ130" s="392"/>
      <c r="BA130" s="392"/>
      <c r="BB130" s="392"/>
      <c r="BC130" s="392"/>
      <c r="BD130" s="392"/>
      <c r="BE130" s="392"/>
      <c r="BF130" s="392"/>
      <c r="BG130" s="392"/>
      <c r="BH130" s="392"/>
      <c r="BI130" s="392"/>
      <c r="BJ130" s="392"/>
      <c r="BK130" s="392"/>
      <c r="BL130" s="392"/>
      <c r="BM130" s="392"/>
      <c r="BN130" s="392"/>
      <c r="BO130" s="392"/>
      <c r="BP130" s="392"/>
      <c r="BQ130" s="392"/>
      <c r="BR130" s="392"/>
      <c r="BS130" s="392"/>
      <c r="BT130" s="392"/>
    </row>
    <row r="131" ht="15.75" customHeight="1">
      <c r="A131" s="216"/>
      <c r="B131" s="216"/>
      <c r="C131" s="216"/>
      <c r="D131" s="267"/>
      <c r="E131" s="392"/>
      <c r="F131" s="267"/>
      <c r="G131" s="392"/>
      <c r="H131" s="267"/>
      <c r="I131" s="392"/>
      <c r="J131" s="392"/>
      <c r="K131" s="392"/>
      <c r="L131" s="392"/>
      <c r="M131" s="392"/>
      <c r="N131" s="392"/>
      <c r="O131" s="392"/>
      <c r="P131" s="392"/>
      <c r="Q131" s="392"/>
      <c r="R131" s="392"/>
      <c r="S131" s="392"/>
      <c r="T131" s="392"/>
      <c r="U131" s="392"/>
      <c r="V131" s="392"/>
      <c r="W131" s="392"/>
      <c r="X131" s="392"/>
      <c r="Y131" s="392"/>
      <c r="Z131" s="392"/>
      <c r="AA131" s="392"/>
      <c r="AB131" s="392"/>
      <c r="AC131" s="392"/>
      <c r="AD131" s="392"/>
      <c r="AE131" s="392"/>
      <c r="AF131" s="392"/>
      <c r="AG131" s="392"/>
      <c r="AH131" s="392"/>
      <c r="AI131" s="392"/>
      <c r="AJ131" s="392"/>
      <c r="AK131" s="392"/>
      <c r="AL131" s="392"/>
      <c r="AM131" s="392"/>
      <c r="AN131" s="392"/>
      <c r="AO131" s="392"/>
      <c r="AP131" s="392"/>
      <c r="AQ131" s="392"/>
      <c r="AR131" s="392"/>
      <c r="AS131" s="392"/>
      <c r="AT131" s="392"/>
      <c r="AU131" s="392"/>
      <c r="AV131" s="392"/>
      <c r="AW131" s="392"/>
      <c r="AX131" s="392"/>
      <c r="AY131" s="392"/>
      <c r="AZ131" s="392"/>
      <c r="BA131" s="392"/>
      <c r="BB131" s="392"/>
      <c r="BC131" s="392"/>
      <c r="BD131" s="392"/>
      <c r="BE131" s="392"/>
      <c r="BF131" s="392"/>
      <c r="BG131" s="392"/>
      <c r="BH131" s="392"/>
      <c r="BI131" s="392"/>
      <c r="BJ131" s="392"/>
      <c r="BK131" s="392"/>
      <c r="BL131" s="392"/>
      <c r="BM131" s="392"/>
      <c r="BN131" s="392"/>
      <c r="BO131" s="392"/>
      <c r="BP131" s="392"/>
      <c r="BQ131" s="392"/>
      <c r="BR131" s="392"/>
      <c r="BS131" s="392"/>
      <c r="BT131" s="392"/>
    </row>
    <row r="132" ht="15.75" customHeight="1">
      <c r="A132" s="216"/>
      <c r="B132" s="216"/>
      <c r="C132" s="216"/>
      <c r="D132" s="267"/>
      <c r="E132" s="392"/>
      <c r="F132" s="267"/>
      <c r="G132" s="392"/>
      <c r="H132" s="267"/>
      <c r="I132" s="392"/>
      <c r="J132" s="392"/>
      <c r="K132" s="392"/>
      <c r="L132" s="392"/>
      <c r="M132" s="392"/>
      <c r="N132" s="392"/>
      <c r="O132" s="392"/>
      <c r="P132" s="392"/>
      <c r="Q132" s="392"/>
      <c r="R132" s="392"/>
      <c r="S132" s="392"/>
      <c r="T132" s="392"/>
      <c r="U132" s="392"/>
      <c r="V132" s="392"/>
      <c r="W132" s="392"/>
      <c r="X132" s="392"/>
      <c r="Y132" s="392"/>
      <c r="Z132" s="392"/>
      <c r="AA132" s="392"/>
      <c r="AB132" s="392"/>
      <c r="AC132" s="392"/>
      <c r="AD132" s="392"/>
      <c r="AE132" s="392"/>
      <c r="AF132" s="392"/>
      <c r="AG132" s="392"/>
      <c r="AH132" s="392"/>
      <c r="AI132" s="392"/>
      <c r="AJ132" s="392"/>
      <c r="AK132" s="392"/>
      <c r="AL132" s="392"/>
      <c r="AM132" s="392"/>
      <c r="AN132" s="392"/>
      <c r="AO132" s="392"/>
      <c r="AP132" s="392"/>
      <c r="AQ132" s="392"/>
      <c r="AR132" s="392"/>
      <c r="AS132" s="392"/>
      <c r="AT132" s="392"/>
      <c r="AU132" s="392"/>
      <c r="AV132" s="392"/>
      <c r="AW132" s="392"/>
      <c r="AX132" s="392"/>
      <c r="AY132" s="392"/>
      <c r="AZ132" s="392"/>
      <c r="BA132" s="392"/>
      <c r="BB132" s="392"/>
      <c r="BC132" s="392"/>
      <c r="BD132" s="392"/>
      <c r="BE132" s="392"/>
      <c r="BF132" s="392"/>
      <c r="BG132" s="392"/>
      <c r="BH132" s="392"/>
      <c r="BI132" s="392"/>
      <c r="BJ132" s="392"/>
      <c r="BK132" s="392"/>
      <c r="BL132" s="392"/>
      <c r="BM132" s="392"/>
      <c r="BN132" s="392"/>
      <c r="BO132" s="392"/>
      <c r="BP132" s="392"/>
      <c r="BQ132" s="392"/>
      <c r="BR132" s="392"/>
      <c r="BS132" s="392"/>
      <c r="BT132" s="392"/>
    </row>
    <row r="133" ht="15.75" customHeight="1">
      <c r="A133" s="216"/>
      <c r="B133" s="216"/>
      <c r="C133" s="216"/>
      <c r="D133" s="267"/>
      <c r="E133" s="392"/>
      <c r="F133" s="267"/>
      <c r="G133" s="392"/>
      <c r="H133" s="267"/>
      <c r="I133" s="392"/>
      <c r="J133" s="392"/>
      <c r="K133" s="392"/>
      <c r="L133" s="392"/>
      <c r="M133" s="392"/>
      <c r="N133" s="392"/>
      <c r="O133" s="392"/>
      <c r="P133" s="392"/>
      <c r="Q133" s="392"/>
      <c r="R133" s="392"/>
      <c r="S133" s="392"/>
      <c r="T133" s="392"/>
      <c r="U133" s="392"/>
      <c r="V133" s="392"/>
      <c r="W133" s="392"/>
      <c r="X133" s="392"/>
      <c r="Y133" s="392"/>
      <c r="Z133" s="392"/>
      <c r="AA133" s="392"/>
      <c r="AB133" s="392"/>
      <c r="AC133" s="392"/>
      <c r="AD133" s="392"/>
      <c r="AE133" s="392"/>
      <c r="AF133" s="392"/>
      <c r="AG133" s="392"/>
      <c r="AH133" s="392"/>
      <c r="AI133" s="392"/>
      <c r="AJ133" s="392"/>
      <c r="AK133" s="392"/>
      <c r="AL133" s="392"/>
      <c r="AM133" s="392"/>
      <c r="AN133" s="392"/>
      <c r="AO133" s="392"/>
      <c r="AP133" s="392"/>
      <c r="AQ133" s="392"/>
      <c r="AR133" s="392"/>
      <c r="AS133" s="392"/>
      <c r="AT133" s="392"/>
      <c r="AU133" s="392"/>
      <c r="AV133" s="392"/>
      <c r="AW133" s="392"/>
      <c r="AX133" s="392"/>
      <c r="AY133" s="392"/>
      <c r="AZ133" s="392"/>
      <c r="BA133" s="392"/>
      <c r="BB133" s="392"/>
      <c r="BC133" s="392"/>
      <c r="BD133" s="392"/>
      <c r="BE133" s="392"/>
      <c r="BF133" s="392"/>
      <c r="BG133" s="392"/>
      <c r="BH133" s="392"/>
      <c r="BI133" s="392"/>
      <c r="BJ133" s="392"/>
      <c r="BK133" s="392"/>
      <c r="BL133" s="392"/>
      <c r="BM133" s="392"/>
      <c r="BN133" s="392"/>
      <c r="BO133" s="392"/>
      <c r="BP133" s="392"/>
      <c r="BQ133" s="392"/>
      <c r="BR133" s="392"/>
      <c r="BS133" s="392"/>
      <c r="BT133" s="392"/>
    </row>
    <row r="134" ht="15.75" customHeight="1">
      <c r="A134" s="216"/>
      <c r="B134" s="216"/>
      <c r="C134" s="216"/>
      <c r="D134" s="267"/>
      <c r="E134" s="392"/>
      <c r="F134" s="267"/>
      <c r="G134" s="392"/>
      <c r="H134" s="267"/>
      <c r="I134" s="392"/>
      <c r="J134" s="392"/>
      <c r="K134" s="392"/>
      <c r="L134" s="392"/>
      <c r="M134" s="392"/>
      <c r="N134" s="392"/>
      <c r="O134" s="392"/>
      <c r="P134" s="392"/>
      <c r="Q134" s="392"/>
      <c r="R134" s="392"/>
      <c r="S134" s="392"/>
      <c r="T134" s="392"/>
      <c r="U134" s="392"/>
      <c r="V134" s="392"/>
      <c r="W134" s="392"/>
      <c r="X134" s="392"/>
      <c r="Y134" s="392"/>
      <c r="Z134" s="392"/>
      <c r="AA134" s="392"/>
      <c r="AB134" s="392"/>
      <c r="AC134" s="392"/>
      <c r="AD134" s="392"/>
      <c r="AE134" s="392"/>
      <c r="AF134" s="392"/>
      <c r="AG134" s="392"/>
      <c r="AH134" s="392"/>
      <c r="AI134" s="392"/>
      <c r="AJ134" s="392"/>
      <c r="AK134" s="392"/>
      <c r="AL134" s="392"/>
      <c r="AM134" s="392"/>
      <c r="AN134" s="392"/>
      <c r="AO134" s="392"/>
      <c r="AP134" s="392"/>
      <c r="AQ134" s="392"/>
      <c r="AR134" s="392"/>
      <c r="AS134" s="392"/>
      <c r="AT134" s="392"/>
      <c r="AU134" s="392"/>
      <c r="AV134" s="392"/>
      <c r="AW134" s="392"/>
      <c r="AX134" s="392"/>
      <c r="AY134" s="392"/>
      <c r="AZ134" s="392"/>
      <c r="BA134" s="392"/>
      <c r="BB134" s="392"/>
      <c r="BC134" s="392"/>
      <c r="BD134" s="392"/>
      <c r="BE134" s="392"/>
      <c r="BF134" s="392"/>
      <c r="BG134" s="392"/>
      <c r="BH134" s="392"/>
      <c r="BI134" s="392"/>
      <c r="BJ134" s="392"/>
      <c r="BK134" s="392"/>
      <c r="BL134" s="392"/>
      <c r="BM134" s="392"/>
      <c r="BN134" s="392"/>
      <c r="BO134" s="392"/>
      <c r="BP134" s="392"/>
      <c r="BQ134" s="392"/>
      <c r="BR134" s="392"/>
      <c r="BS134" s="392"/>
      <c r="BT134" s="392"/>
    </row>
    <row r="135" ht="15.75" customHeight="1">
      <c r="A135" s="216"/>
      <c r="B135" s="216"/>
      <c r="C135" s="216"/>
      <c r="D135" s="267"/>
      <c r="E135" s="392"/>
      <c r="F135" s="267"/>
      <c r="G135" s="392"/>
      <c r="H135" s="267"/>
      <c r="I135" s="392"/>
      <c r="J135" s="392"/>
      <c r="K135" s="392"/>
      <c r="L135" s="392"/>
      <c r="M135" s="392"/>
      <c r="N135" s="392"/>
      <c r="O135" s="392"/>
      <c r="P135" s="392"/>
      <c r="Q135" s="392"/>
      <c r="R135" s="392"/>
      <c r="S135" s="392"/>
      <c r="T135" s="392"/>
      <c r="U135" s="392"/>
      <c r="V135" s="392"/>
      <c r="W135" s="392"/>
      <c r="X135" s="392"/>
      <c r="Y135" s="392"/>
      <c r="Z135" s="392"/>
      <c r="AA135" s="392"/>
      <c r="AB135" s="392"/>
      <c r="AC135" s="392"/>
      <c r="AD135" s="392"/>
      <c r="AE135" s="392"/>
      <c r="AF135" s="392"/>
      <c r="AG135" s="392"/>
      <c r="AH135" s="392"/>
      <c r="AI135" s="392"/>
      <c r="AJ135" s="392"/>
      <c r="AK135" s="392"/>
      <c r="AL135" s="392"/>
      <c r="AM135" s="392"/>
      <c r="AN135" s="392"/>
      <c r="AO135" s="392"/>
      <c r="AP135" s="392"/>
      <c r="AQ135" s="392"/>
      <c r="AR135" s="392"/>
      <c r="AS135" s="392"/>
      <c r="AT135" s="392"/>
      <c r="AU135" s="392"/>
      <c r="AV135" s="392"/>
      <c r="AW135" s="392"/>
      <c r="AX135" s="392"/>
      <c r="AY135" s="392"/>
      <c r="AZ135" s="392"/>
      <c r="BA135" s="392"/>
      <c r="BB135" s="392"/>
      <c r="BC135" s="392"/>
      <c r="BD135" s="392"/>
      <c r="BE135" s="392"/>
      <c r="BF135" s="392"/>
      <c r="BG135" s="392"/>
      <c r="BH135" s="392"/>
      <c r="BI135" s="392"/>
      <c r="BJ135" s="392"/>
      <c r="BK135" s="392"/>
      <c r="BL135" s="392"/>
      <c r="BM135" s="392"/>
      <c r="BN135" s="392"/>
      <c r="BO135" s="392"/>
      <c r="BP135" s="392"/>
      <c r="BQ135" s="392"/>
      <c r="BR135" s="392"/>
      <c r="BS135" s="392"/>
      <c r="BT135" s="392"/>
    </row>
    <row r="136" ht="15.75" customHeight="1">
      <c r="A136" s="216"/>
      <c r="B136" s="216"/>
      <c r="C136" s="216"/>
      <c r="D136" s="267"/>
      <c r="E136" s="392"/>
      <c r="F136" s="267"/>
      <c r="G136" s="392"/>
      <c r="H136" s="267"/>
      <c r="I136" s="392"/>
      <c r="J136" s="392"/>
      <c r="K136" s="392"/>
      <c r="L136" s="392"/>
      <c r="M136" s="392"/>
      <c r="N136" s="392"/>
      <c r="O136" s="392"/>
      <c r="P136" s="392"/>
      <c r="Q136" s="392"/>
      <c r="R136" s="392"/>
      <c r="S136" s="392"/>
      <c r="T136" s="392"/>
      <c r="U136" s="392"/>
      <c r="V136" s="392"/>
      <c r="W136" s="392"/>
      <c r="X136" s="392"/>
      <c r="Y136" s="392"/>
      <c r="Z136" s="392"/>
      <c r="AA136" s="392"/>
      <c r="AB136" s="392"/>
      <c r="AC136" s="392"/>
      <c r="AD136" s="392"/>
      <c r="AE136" s="392"/>
      <c r="AF136" s="392"/>
      <c r="AG136" s="392"/>
      <c r="AH136" s="392"/>
      <c r="AI136" s="392"/>
      <c r="AJ136" s="392"/>
      <c r="AK136" s="392"/>
      <c r="AL136" s="392"/>
      <c r="AM136" s="392"/>
      <c r="AN136" s="392"/>
      <c r="AO136" s="392"/>
      <c r="AP136" s="392"/>
      <c r="AQ136" s="392"/>
      <c r="AR136" s="392"/>
      <c r="AS136" s="392"/>
      <c r="AT136" s="392"/>
      <c r="AU136" s="392"/>
      <c r="AV136" s="392"/>
      <c r="AW136" s="392"/>
      <c r="AX136" s="392"/>
      <c r="AY136" s="392"/>
      <c r="AZ136" s="392"/>
      <c r="BA136" s="392"/>
      <c r="BB136" s="392"/>
      <c r="BC136" s="392"/>
      <c r="BD136" s="392"/>
      <c r="BE136" s="392"/>
      <c r="BF136" s="392"/>
      <c r="BG136" s="392"/>
      <c r="BH136" s="392"/>
      <c r="BI136" s="392"/>
      <c r="BJ136" s="392"/>
      <c r="BK136" s="392"/>
      <c r="BL136" s="392"/>
      <c r="BM136" s="392"/>
      <c r="BN136" s="392"/>
      <c r="BO136" s="392"/>
      <c r="BP136" s="392"/>
      <c r="BQ136" s="392"/>
      <c r="BR136" s="392"/>
      <c r="BS136" s="392"/>
      <c r="BT136" s="392"/>
    </row>
    <row r="137" ht="15.75" customHeight="1">
      <c r="A137" s="216"/>
      <c r="B137" s="216"/>
      <c r="C137" s="216"/>
      <c r="D137" s="267"/>
      <c r="E137" s="392"/>
      <c r="F137" s="267"/>
      <c r="G137" s="392"/>
      <c r="H137" s="267"/>
      <c r="I137" s="392"/>
      <c r="J137" s="392"/>
      <c r="K137" s="392"/>
      <c r="L137" s="392"/>
      <c r="M137" s="392"/>
      <c r="N137" s="392"/>
      <c r="O137" s="392"/>
      <c r="P137" s="392"/>
      <c r="Q137" s="392"/>
      <c r="R137" s="392"/>
      <c r="S137" s="392"/>
      <c r="T137" s="392"/>
      <c r="U137" s="392"/>
      <c r="V137" s="392"/>
      <c r="W137" s="392"/>
      <c r="X137" s="392"/>
      <c r="Y137" s="392"/>
      <c r="Z137" s="392"/>
      <c r="AA137" s="392"/>
      <c r="AB137" s="392"/>
      <c r="AC137" s="392"/>
      <c r="AD137" s="392"/>
      <c r="AE137" s="392"/>
      <c r="AF137" s="392"/>
      <c r="AG137" s="392"/>
      <c r="AH137" s="392"/>
      <c r="AI137" s="392"/>
      <c r="AJ137" s="392"/>
      <c r="AK137" s="392"/>
      <c r="AL137" s="392"/>
      <c r="AM137" s="392"/>
      <c r="AN137" s="392"/>
      <c r="AO137" s="392"/>
      <c r="AP137" s="392"/>
      <c r="AQ137" s="392"/>
      <c r="AR137" s="392"/>
      <c r="AS137" s="392"/>
      <c r="AT137" s="392"/>
      <c r="AU137" s="392"/>
      <c r="AV137" s="392"/>
      <c r="AW137" s="392"/>
      <c r="AX137" s="392"/>
      <c r="AY137" s="392"/>
      <c r="AZ137" s="392"/>
      <c r="BA137" s="392"/>
      <c r="BB137" s="392"/>
      <c r="BC137" s="392"/>
      <c r="BD137" s="392"/>
      <c r="BE137" s="392"/>
      <c r="BF137" s="392"/>
      <c r="BG137" s="392"/>
      <c r="BH137" s="392"/>
      <c r="BI137" s="392"/>
      <c r="BJ137" s="392"/>
      <c r="BK137" s="392"/>
      <c r="BL137" s="392"/>
      <c r="BM137" s="392"/>
      <c r="BN137" s="392"/>
      <c r="BO137" s="392"/>
      <c r="BP137" s="392"/>
      <c r="BQ137" s="392"/>
      <c r="BR137" s="392"/>
      <c r="BS137" s="392"/>
      <c r="BT137" s="392"/>
    </row>
    <row r="138" ht="15.75" customHeight="1">
      <c r="A138" s="216"/>
      <c r="B138" s="216"/>
      <c r="C138" s="216"/>
      <c r="D138" s="267"/>
      <c r="E138" s="392"/>
      <c r="F138" s="267"/>
      <c r="G138" s="392"/>
      <c r="H138" s="267"/>
      <c r="I138" s="392"/>
      <c r="J138" s="392"/>
      <c r="K138" s="392"/>
      <c r="L138" s="392"/>
      <c r="M138" s="392"/>
      <c r="N138" s="392"/>
      <c r="O138" s="392"/>
      <c r="P138" s="392"/>
      <c r="Q138" s="392"/>
      <c r="R138" s="392"/>
      <c r="S138" s="392"/>
      <c r="T138" s="392"/>
      <c r="U138" s="392"/>
      <c r="V138" s="392"/>
      <c r="W138" s="392"/>
      <c r="X138" s="392"/>
      <c r="Y138" s="392"/>
      <c r="Z138" s="392"/>
      <c r="AA138" s="392"/>
      <c r="AB138" s="392"/>
      <c r="AC138" s="392"/>
      <c r="AD138" s="392"/>
      <c r="AE138" s="392"/>
      <c r="AF138" s="392"/>
      <c r="AG138" s="392"/>
      <c r="AH138" s="392"/>
      <c r="AI138" s="392"/>
      <c r="AJ138" s="392"/>
      <c r="AK138" s="392"/>
      <c r="AL138" s="392"/>
      <c r="AM138" s="392"/>
      <c r="AN138" s="392"/>
      <c r="AO138" s="392"/>
      <c r="AP138" s="392"/>
      <c r="AQ138" s="392"/>
      <c r="AR138" s="392"/>
      <c r="AS138" s="392"/>
      <c r="AT138" s="392"/>
      <c r="AU138" s="392"/>
      <c r="AV138" s="392"/>
      <c r="AW138" s="392"/>
      <c r="AX138" s="392"/>
      <c r="AY138" s="392"/>
      <c r="AZ138" s="392"/>
      <c r="BA138" s="392"/>
      <c r="BB138" s="392"/>
      <c r="BC138" s="392"/>
      <c r="BD138" s="392"/>
      <c r="BE138" s="392"/>
      <c r="BF138" s="392"/>
      <c r="BG138" s="392"/>
      <c r="BH138" s="392"/>
      <c r="BI138" s="392"/>
      <c r="BJ138" s="392"/>
      <c r="BK138" s="392"/>
      <c r="BL138" s="392"/>
      <c r="BM138" s="392"/>
      <c r="BN138" s="392"/>
      <c r="BO138" s="392"/>
      <c r="BP138" s="392"/>
      <c r="BQ138" s="392"/>
      <c r="BR138" s="392"/>
      <c r="BS138" s="392"/>
      <c r="BT138" s="392"/>
    </row>
    <row r="139" ht="15.75" customHeight="1">
      <c r="A139" s="216"/>
      <c r="B139" s="216"/>
      <c r="C139" s="216"/>
      <c r="D139" s="267"/>
      <c r="E139" s="392"/>
      <c r="F139" s="267"/>
      <c r="G139" s="392"/>
      <c r="H139" s="267"/>
      <c r="I139" s="392"/>
      <c r="J139" s="392"/>
      <c r="K139" s="392"/>
      <c r="L139" s="392"/>
      <c r="M139" s="392"/>
      <c r="N139" s="392"/>
      <c r="O139" s="392"/>
      <c r="P139" s="392"/>
      <c r="Q139" s="392"/>
      <c r="R139" s="392"/>
      <c r="S139" s="392"/>
      <c r="T139" s="392"/>
      <c r="U139" s="392"/>
      <c r="V139" s="392"/>
      <c r="W139" s="392"/>
      <c r="X139" s="392"/>
      <c r="Y139" s="392"/>
      <c r="Z139" s="392"/>
      <c r="AA139" s="392"/>
      <c r="AB139" s="392"/>
      <c r="AC139" s="392"/>
      <c r="AD139" s="392"/>
      <c r="AE139" s="392"/>
      <c r="AF139" s="392"/>
      <c r="AG139" s="392"/>
      <c r="AH139" s="392"/>
      <c r="AI139" s="392"/>
      <c r="AJ139" s="392"/>
      <c r="AK139" s="392"/>
      <c r="AL139" s="392"/>
      <c r="AM139" s="392"/>
      <c r="AN139" s="392"/>
      <c r="AO139" s="392"/>
      <c r="AP139" s="392"/>
      <c r="AQ139" s="392"/>
      <c r="AR139" s="392"/>
      <c r="AS139" s="392"/>
      <c r="AT139" s="392"/>
      <c r="AU139" s="392"/>
      <c r="AV139" s="392"/>
      <c r="AW139" s="392"/>
      <c r="AX139" s="392"/>
      <c r="AY139" s="392"/>
      <c r="AZ139" s="392"/>
      <c r="BA139" s="392"/>
      <c r="BB139" s="392"/>
      <c r="BC139" s="392"/>
      <c r="BD139" s="392"/>
      <c r="BE139" s="392"/>
      <c r="BF139" s="392"/>
      <c r="BG139" s="392"/>
      <c r="BH139" s="392"/>
      <c r="BI139" s="392"/>
      <c r="BJ139" s="392"/>
      <c r="BK139" s="392"/>
      <c r="BL139" s="392"/>
      <c r="BM139" s="392"/>
      <c r="BN139" s="392"/>
      <c r="BO139" s="392"/>
      <c r="BP139" s="392"/>
      <c r="BQ139" s="392"/>
      <c r="BR139" s="392"/>
      <c r="BS139" s="392"/>
      <c r="BT139" s="392"/>
    </row>
    <row r="140" ht="15.75" customHeight="1">
      <c r="A140" s="216"/>
      <c r="B140" s="216"/>
      <c r="C140" s="216"/>
      <c r="D140" s="267"/>
      <c r="E140" s="392"/>
      <c r="F140" s="267"/>
      <c r="G140" s="392"/>
      <c r="H140" s="267"/>
      <c r="I140" s="392"/>
      <c r="J140" s="392"/>
      <c r="K140" s="392"/>
      <c r="L140" s="392"/>
      <c r="M140" s="392"/>
      <c r="N140" s="392"/>
      <c r="O140" s="392"/>
      <c r="P140" s="392"/>
      <c r="Q140" s="392"/>
      <c r="R140" s="392"/>
      <c r="S140" s="392"/>
      <c r="T140" s="392"/>
      <c r="U140" s="392"/>
      <c r="V140" s="392"/>
      <c r="W140" s="392"/>
      <c r="X140" s="392"/>
      <c r="Y140" s="392"/>
      <c r="Z140" s="392"/>
      <c r="AA140" s="392"/>
      <c r="AB140" s="392"/>
      <c r="AC140" s="392"/>
      <c r="AD140" s="392"/>
      <c r="AE140" s="392"/>
      <c r="AF140" s="392"/>
      <c r="AG140" s="392"/>
      <c r="AH140" s="392"/>
      <c r="AI140" s="392"/>
      <c r="AJ140" s="392"/>
      <c r="AK140" s="392"/>
      <c r="AL140" s="392"/>
      <c r="AM140" s="392"/>
      <c r="AN140" s="392"/>
      <c r="AO140" s="392"/>
      <c r="AP140" s="392"/>
      <c r="AQ140" s="392"/>
      <c r="AR140" s="392"/>
      <c r="AS140" s="392"/>
      <c r="AT140" s="392"/>
      <c r="AU140" s="392"/>
      <c r="AV140" s="392"/>
      <c r="AW140" s="392"/>
      <c r="AX140" s="392"/>
      <c r="AY140" s="392"/>
      <c r="AZ140" s="392"/>
      <c r="BA140" s="392"/>
      <c r="BB140" s="392"/>
      <c r="BC140" s="392"/>
      <c r="BD140" s="392"/>
      <c r="BE140" s="392"/>
      <c r="BF140" s="392"/>
      <c r="BG140" s="392"/>
      <c r="BH140" s="392"/>
      <c r="BI140" s="392"/>
      <c r="BJ140" s="392"/>
      <c r="BK140" s="392"/>
      <c r="BL140" s="392"/>
      <c r="BM140" s="392"/>
      <c r="BN140" s="392"/>
      <c r="BO140" s="392"/>
      <c r="BP140" s="392"/>
      <c r="BQ140" s="392"/>
      <c r="BR140" s="392"/>
      <c r="BS140" s="392"/>
      <c r="BT140" s="392"/>
    </row>
    <row r="141" ht="15.75" customHeight="1">
      <c r="A141" s="216"/>
      <c r="B141" s="216"/>
      <c r="C141" s="216"/>
      <c r="D141" s="267"/>
      <c r="E141" s="392"/>
      <c r="F141" s="267"/>
      <c r="G141" s="392"/>
      <c r="H141" s="267"/>
      <c r="I141" s="392"/>
      <c r="J141" s="392"/>
      <c r="K141" s="392"/>
      <c r="L141" s="392"/>
      <c r="M141" s="392"/>
      <c r="N141" s="392"/>
      <c r="O141" s="392"/>
      <c r="P141" s="392"/>
      <c r="Q141" s="392"/>
      <c r="R141" s="392"/>
      <c r="S141" s="392"/>
      <c r="T141" s="392"/>
      <c r="U141" s="392"/>
      <c r="V141" s="392"/>
      <c r="W141" s="392"/>
      <c r="X141" s="392"/>
      <c r="Y141" s="392"/>
      <c r="Z141" s="392"/>
      <c r="AA141" s="392"/>
      <c r="AB141" s="392"/>
      <c r="AC141" s="392"/>
      <c r="AD141" s="392"/>
      <c r="AE141" s="392"/>
      <c r="AF141" s="392"/>
      <c r="AG141" s="392"/>
      <c r="AH141" s="392"/>
      <c r="AI141" s="392"/>
      <c r="AJ141" s="392"/>
      <c r="AK141" s="392"/>
      <c r="AL141" s="392"/>
      <c r="AM141" s="392"/>
      <c r="AN141" s="392"/>
      <c r="AO141" s="392"/>
      <c r="AP141" s="392"/>
      <c r="AQ141" s="392"/>
      <c r="AR141" s="392"/>
      <c r="AS141" s="392"/>
      <c r="AT141" s="392"/>
      <c r="AU141" s="392"/>
      <c r="AV141" s="392"/>
      <c r="AW141" s="392"/>
      <c r="AX141" s="392"/>
      <c r="AY141" s="392"/>
      <c r="AZ141" s="392"/>
      <c r="BA141" s="392"/>
      <c r="BB141" s="392"/>
      <c r="BC141" s="392"/>
      <c r="BD141" s="392"/>
      <c r="BE141" s="392"/>
      <c r="BF141" s="392"/>
      <c r="BG141" s="392"/>
      <c r="BH141" s="392"/>
      <c r="BI141" s="392"/>
      <c r="BJ141" s="392"/>
      <c r="BK141" s="392"/>
      <c r="BL141" s="392"/>
      <c r="BM141" s="392"/>
      <c r="BN141" s="392"/>
      <c r="BO141" s="392"/>
      <c r="BP141" s="392"/>
      <c r="BQ141" s="392"/>
      <c r="BR141" s="392"/>
      <c r="BS141" s="392"/>
      <c r="BT141" s="392"/>
    </row>
    <row r="142" ht="15.75" customHeight="1">
      <c r="A142" s="216"/>
      <c r="B142" s="216"/>
      <c r="C142" s="216"/>
      <c r="D142" s="267"/>
      <c r="E142" s="392"/>
      <c r="F142" s="267"/>
      <c r="G142" s="392"/>
      <c r="H142" s="267"/>
      <c r="I142" s="392"/>
      <c r="J142" s="392"/>
      <c r="K142" s="392"/>
      <c r="L142" s="392"/>
      <c r="M142" s="392"/>
      <c r="N142" s="392"/>
      <c r="O142" s="392"/>
      <c r="P142" s="392"/>
      <c r="Q142" s="392"/>
      <c r="R142" s="392"/>
      <c r="S142" s="392"/>
      <c r="T142" s="392"/>
      <c r="U142" s="392"/>
      <c r="V142" s="392"/>
      <c r="W142" s="392"/>
      <c r="X142" s="392"/>
      <c r="Y142" s="392"/>
      <c r="Z142" s="392"/>
      <c r="AA142" s="392"/>
      <c r="AB142" s="392"/>
      <c r="AC142" s="392"/>
      <c r="AD142" s="392"/>
      <c r="AE142" s="392"/>
      <c r="AF142" s="392"/>
      <c r="AG142" s="392"/>
      <c r="AH142" s="392"/>
      <c r="AI142" s="392"/>
      <c r="AJ142" s="392"/>
      <c r="AK142" s="392"/>
      <c r="AL142" s="392"/>
      <c r="AM142" s="392"/>
      <c r="AN142" s="392"/>
      <c r="AO142" s="392"/>
      <c r="AP142" s="392"/>
      <c r="AQ142" s="392"/>
      <c r="AR142" s="392"/>
      <c r="AS142" s="392"/>
      <c r="AT142" s="392"/>
      <c r="AU142" s="392"/>
      <c r="AV142" s="392"/>
      <c r="AW142" s="392"/>
      <c r="AX142" s="392"/>
      <c r="AY142" s="392"/>
      <c r="AZ142" s="392"/>
      <c r="BA142" s="392"/>
      <c r="BB142" s="392"/>
      <c r="BC142" s="392"/>
      <c r="BD142" s="392"/>
      <c r="BE142" s="392"/>
      <c r="BF142" s="392"/>
      <c r="BG142" s="392"/>
      <c r="BH142" s="392"/>
      <c r="BI142" s="392"/>
      <c r="BJ142" s="392"/>
      <c r="BK142" s="392"/>
      <c r="BL142" s="392"/>
      <c r="BM142" s="392"/>
      <c r="BN142" s="392"/>
      <c r="BO142" s="392"/>
      <c r="BP142" s="392"/>
      <c r="BQ142" s="392"/>
      <c r="BR142" s="392"/>
      <c r="BS142" s="392"/>
      <c r="BT142" s="392"/>
    </row>
    <row r="143" ht="15.75" customHeight="1">
      <c r="A143" s="216"/>
      <c r="B143" s="216"/>
      <c r="C143" s="216"/>
      <c r="D143" s="267"/>
      <c r="E143" s="392"/>
      <c r="F143" s="267"/>
      <c r="G143" s="392"/>
      <c r="H143" s="267"/>
      <c r="I143" s="392"/>
      <c r="J143" s="392"/>
      <c r="K143" s="392"/>
      <c r="L143" s="392"/>
      <c r="M143" s="392"/>
      <c r="N143" s="392"/>
      <c r="O143" s="392"/>
      <c r="P143" s="392"/>
      <c r="Q143" s="392"/>
      <c r="R143" s="392"/>
      <c r="S143" s="392"/>
      <c r="T143" s="392"/>
      <c r="U143" s="392"/>
      <c r="V143" s="392"/>
      <c r="W143" s="392"/>
      <c r="X143" s="392"/>
      <c r="Y143" s="392"/>
      <c r="Z143" s="392"/>
      <c r="AA143" s="392"/>
      <c r="AB143" s="392"/>
      <c r="AC143" s="392"/>
      <c r="AD143" s="392"/>
      <c r="AE143" s="392"/>
      <c r="AF143" s="392"/>
      <c r="AG143" s="392"/>
      <c r="AH143" s="392"/>
      <c r="AI143" s="392"/>
      <c r="AJ143" s="392"/>
      <c r="AK143" s="392"/>
      <c r="AL143" s="392"/>
      <c r="AM143" s="392"/>
      <c r="AN143" s="392"/>
      <c r="AO143" s="392"/>
      <c r="AP143" s="392"/>
      <c r="AQ143" s="392"/>
      <c r="AR143" s="392"/>
      <c r="AS143" s="392"/>
      <c r="AT143" s="392"/>
      <c r="AU143" s="392"/>
      <c r="AV143" s="392"/>
      <c r="AW143" s="392"/>
      <c r="AX143" s="392"/>
      <c r="AY143" s="392"/>
      <c r="AZ143" s="392"/>
      <c r="BA143" s="392"/>
      <c r="BB143" s="392"/>
      <c r="BC143" s="392"/>
      <c r="BD143" s="392"/>
      <c r="BE143" s="392"/>
      <c r="BF143" s="392"/>
      <c r="BG143" s="392"/>
      <c r="BH143" s="392"/>
      <c r="BI143" s="392"/>
      <c r="BJ143" s="392"/>
      <c r="BK143" s="392"/>
      <c r="BL143" s="392"/>
      <c r="BM143" s="392"/>
      <c r="BN143" s="392"/>
      <c r="BO143" s="392"/>
      <c r="BP143" s="392"/>
      <c r="BQ143" s="392"/>
      <c r="BR143" s="392"/>
      <c r="BS143" s="392"/>
      <c r="BT143" s="392"/>
    </row>
    <row r="144" ht="15.75" customHeight="1">
      <c r="A144" s="216"/>
      <c r="B144" s="216"/>
      <c r="C144" s="216"/>
      <c r="D144" s="267"/>
      <c r="E144" s="392"/>
      <c r="F144" s="267"/>
      <c r="G144" s="392"/>
      <c r="H144" s="267"/>
      <c r="I144" s="392"/>
      <c r="J144" s="392"/>
      <c r="K144" s="392"/>
      <c r="L144" s="392"/>
      <c r="M144" s="392"/>
      <c r="N144" s="392"/>
      <c r="O144" s="392"/>
      <c r="P144" s="392"/>
      <c r="Q144" s="392"/>
      <c r="R144" s="392"/>
      <c r="S144" s="392"/>
      <c r="T144" s="392"/>
      <c r="U144" s="392"/>
      <c r="V144" s="392"/>
      <c r="W144" s="392"/>
      <c r="X144" s="392"/>
      <c r="Y144" s="392"/>
      <c r="Z144" s="392"/>
      <c r="AA144" s="392"/>
      <c r="AB144" s="392"/>
      <c r="AC144" s="392"/>
      <c r="AD144" s="392"/>
      <c r="AE144" s="392"/>
      <c r="AF144" s="392"/>
      <c r="AG144" s="392"/>
      <c r="AH144" s="392"/>
      <c r="AI144" s="392"/>
      <c r="AJ144" s="392"/>
      <c r="AK144" s="392"/>
      <c r="AL144" s="392"/>
      <c r="AM144" s="392"/>
      <c r="AN144" s="392"/>
      <c r="AO144" s="392"/>
      <c r="AP144" s="392"/>
      <c r="AQ144" s="392"/>
      <c r="AR144" s="392"/>
      <c r="AS144" s="392"/>
      <c r="AT144" s="392"/>
      <c r="AU144" s="392"/>
      <c r="AV144" s="392"/>
      <c r="AW144" s="392"/>
      <c r="AX144" s="392"/>
      <c r="AY144" s="392"/>
      <c r="AZ144" s="392"/>
      <c r="BA144" s="392"/>
      <c r="BB144" s="392"/>
      <c r="BC144" s="392"/>
      <c r="BD144" s="392"/>
      <c r="BE144" s="392"/>
      <c r="BF144" s="392"/>
      <c r="BG144" s="392"/>
      <c r="BH144" s="392"/>
      <c r="BI144" s="392"/>
      <c r="BJ144" s="392"/>
      <c r="BK144" s="392"/>
      <c r="BL144" s="392"/>
      <c r="BM144" s="392"/>
      <c r="BN144" s="392"/>
      <c r="BO144" s="392"/>
      <c r="BP144" s="392"/>
      <c r="BQ144" s="392"/>
      <c r="BR144" s="392"/>
      <c r="BS144" s="392"/>
      <c r="BT144" s="392"/>
    </row>
    <row r="145" ht="15.75" customHeight="1">
      <c r="A145" s="216"/>
      <c r="B145" s="216"/>
      <c r="C145" s="216"/>
      <c r="D145" s="267"/>
      <c r="E145" s="392"/>
      <c r="F145" s="267"/>
      <c r="G145" s="392"/>
      <c r="H145" s="267"/>
      <c r="I145" s="392"/>
      <c r="J145" s="392"/>
      <c r="K145" s="392"/>
      <c r="L145" s="392"/>
      <c r="M145" s="392"/>
      <c r="N145" s="392"/>
      <c r="O145" s="392"/>
      <c r="P145" s="392"/>
      <c r="Q145" s="392"/>
      <c r="R145" s="392"/>
      <c r="S145" s="392"/>
      <c r="T145" s="392"/>
      <c r="U145" s="392"/>
      <c r="V145" s="392"/>
      <c r="W145" s="392"/>
      <c r="X145" s="392"/>
      <c r="Y145" s="392"/>
      <c r="Z145" s="392"/>
      <c r="AA145" s="392"/>
      <c r="AB145" s="392"/>
      <c r="AC145" s="392"/>
      <c r="AD145" s="392"/>
      <c r="AE145" s="392"/>
      <c r="AF145" s="392"/>
      <c r="AG145" s="392"/>
      <c r="AH145" s="392"/>
      <c r="AI145" s="392"/>
      <c r="AJ145" s="392"/>
      <c r="AK145" s="392"/>
      <c r="AL145" s="392"/>
      <c r="AM145" s="392"/>
      <c r="AN145" s="392"/>
      <c r="AO145" s="392"/>
      <c r="AP145" s="392"/>
      <c r="AQ145" s="392"/>
      <c r="AR145" s="392"/>
      <c r="AS145" s="392"/>
      <c r="AT145" s="392"/>
      <c r="AU145" s="392"/>
      <c r="AV145" s="392"/>
      <c r="AW145" s="392"/>
      <c r="AX145" s="392"/>
      <c r="AY145" s="392"/>
      <c r="AZ145" s="392"/>
      <c r="BA145" s="392"/>
      <c r="BB145" s="392"/>
      <c r="BC145" s="392"/>
      <c r="BD145" s="392"/>
      <c r="BE145" s="392"/>
      <c r="BF145" s="392"/>
      <c r="BG145" s="392"/>
      <c r="BH145" s="392"/>
      <c r="BI145" s="392"/>
      <c r="BJ145" s="392"/>
      <c r="BK145" s="392"/>
      <c r="BL145" s="392"/>
      <c r="BM145" s="392"/>
      <c r="BN145" s="392"/>
      <c r="BO145" s="392"/>
      <c r="BP145" s="392"/>
      <c r="BQ145" s="392"/>
      <c r="BR145" s="392"/>
      <c r="BS145" s="392"/>
      <c r="BT145" s="392"/>
    </row>
    <row r="146" ht="15.75" customHeight="1">
      <c r="A146" s="216"/>
      <c r="B146" s="216"/>
      <c r="C146" s="216"/>
      <c r="D146" s="267"/>
      <c r="E146" s="392"/>
      <c r="F146" s="267"/>
      <c r="G146" s="392"/>
      <c r="H146" s="267"/>
      <c r="I146" s="392"/>
      <c r="J146" s="392"/>
      <c r="K146" s="392"/>
      <c r="L146" s="392"/>
      <c r="M146" s="392"/>
      <c r="N146" s="392"/>
      <c r="O146" s="392"/>
      <c r="P146" s="392"/>
      <c r="Q146" s="392"/>
      <c r="R146" s="392"/>
      <c r="S146" s="392"/>
      <c r="T146" s="392"/>
      <c r="U146" s="392"/>
      <c r="V146" s="392"/>
      <c r="W146" s="392"/>
      <c r="X146" s="392"/>
      <c r="Y146" s="392"/>
      <c r="Z146" s="392"/>
      <c r="AA146" s="392"/>
      <c r="AB146" s="392"/>
      <c r="AC146" s="392"/>
      <c r="AD146" s="392"/>
      <c r="AE146" s="392"/>
      <c r="AF146" s="392"/>
      <c r="AG146" s="392"/>
      <c r="AH146" s="392"/>
      <c r="AI146" s="392"/>
      <c r="AJ146" s="392"/>
      <c r="AK146" s="392"/>
      <c r="AL146" s="392"/>
      <c r="AM146" s="392"/>
      <c r="AN146" s="392"/>
      <c r="AO146" s="392"/>
      <c r="AP146" s="392"/>
      <c r="AQ146" s="392"/>
      <c r="AR146" s="392"/>
      <c r="AS146" s="392"/>
      <c r="AT146" s="392"/>
      <c r="AU146" s="392"/>
      <c r="AV146" s="392"/>
      <c r="AW146" s="392"/>
      <c r="AX146" s="392"/>
      <c r="AY146" s="392"/>
      <c r="AZ146" s="392"/>
      <c r="BA146" s="392"/>
      <c r="BB146" s="392"/>
      <c r="BC146" s="392"/>
      <c r="BD146" s="392"/>
      <c r="BE146" s="392"/>
      <c r="BF146" s="392"/>
      <c r="BG146" s="392"/>
      <c r="BH146" s="392"/>
      <c r="BI146" s="392"/>
      <c r="BJ146" s="392"/>
      <c r="BK146" s="392"/>
      <c r="BL146" s="392"/>
      <c r="BM146" s="392"/>
      <c r="BN146" s="392"/>
      <c r="BO146" s="392"/>
      <c r="BP146" s="392"/>
      <c r="BQ146" s="392"/>
      <c r="BR146" s="392"/>
      <c r="BS146" s="392"/>
      <c r="BT146" s="392"/>
    </row>
    <row r="147" ht="15.75" customHeight="1">
      <c r="A147" s="216"/>
      <c r="B147" s="216"/>
      <c r="C147" s="216"/>
      <c r="D147" s="267"/>
      <c r="E147" s="392"/>
      <c r="F147" s="267"/>
      <c r="G147" s="392"/>
      <c r="H147" s="267"/>
      <c r="I147" s="392"/>
      <c r="J147" s="392"/>
      <c r="K147" s="392"/>
      <c r="L147" s="392"/>
      <c r="M147" s="392"/>
      <c r="N147" s="392"/>
      <c r="O147" s="392"/>
      <c r="P147" s="392"/>
      <c r="Q147" s="392"/>
      <c r="R147" s="392"/>
      <c r="S147" s="392"/>
      <c r="T147" s="392"/>
      <c r="U147" s="392"/>
      <c r="V147" s="392"/>
      <c r="W147" s="392"/>
      <c r="X147" s="392"/>
      <c r="Y147" s="392"/>
      <c r="Z147" s="392"/>
      <c r="AA147" s="392"/>
      <c r="AB147" s="392"/>
      <c r="AC147" s="392"/>
      <c r="AD147" s="392"/>
      <c r="AE147" s="392"/>
      <c r="AF147" s="392"/>
      <c r="AG147" s="392"/>
      <c r="AH147" s="392"/>
      <c r="AI147" s="392"/>
      <c r="AJ147" s="392"/>
      <c r="AK147" s="392"/>
      <c r="AL147" s="392"/>
      <c r="AM147" s="392"/>
      <c r="AN147" s="392"/>
      <c r="AO147" s="392"/>
      <c r="AP147" s="392"/>
      <c r="AQ147" s="392"/>
      <c r="AR147" s="392"/>
      <c r="AS147" s="392"/>
      <c r="AT147" s="392"/>
      <c r="AU147" s="392"/>
      <c r="AV147" s="392"/>
      <c r="AW147" s="392"/>
      <c r="AX147" s="392"/>
      <c r="AY147" s="392"/>
      <c r="AZ147" s="392"/>
      <c r="BA147" s="392"/>
      <c r="BB147" s="392"/>
      <c r="BC147" s="392"/>
      <c r="BD147" s="392"/>
      <c r="BE147" s="392"/>
      <c r="BF147" s="392"/>
      <c r="BG147" s="392"/>
      <c r="BH147" s="392"/>
      <c r="BI147" s="392"/>
      <c r="BJ147" s="392"/>
      <c r="BK147" s="392"/>
      <c r="BL147" s="392"/>
      <c r="BM147" s="392"/>
      <c r="BN147" s="392"/>
      <c r="BO147" s="392"/>
      <c r="BP147" s="392"/>
      <c r="BQ147" s="392"/>
      <c r="BR147" s="392"/>
      <c r="BS147" s="392"/>
      <c r="BT147" s="392"/>
    </row>
    <row r="148" ht="15.75" customHeight="1">
      <c r="A148" s="216"/>
      <c r="B148" s="216"/>
      <c r="C148" s="216"/>
      <c r="D148" s="267"/>
      <c r="E148" s="392"/>
      <c r="F148" s="267"/>
      <c r="G148" s="392"/>
      <c r="H148" s="267"/>
      <c r="I148" s="392"/>
      <c r="J148" s="392"/>
      <c r="K148" s="392"/>
      <c r="L148" s="392"/>
      <c r="M148" s="392"/>
      <c r="N148" s="392"/>
      <c r="O148" s="392"/>
      <c r="P148" s="392"/>
      <c r="Q148" s="392"/>
      <c r="R148" s="392"/>
      <c r="S148" s="392"/>
      <c r="T148" s="392"/>
      <c r="U148" s="392"/>
      <c r="V148" s="392"/>
      <c r="W148" s="392"/>
      <c r="X148" s="392"/>
      <c r="Y148" s="392"/>
      <c r="Z148" s="392"/>
      <c r="AA148" s="392"/>
      <c r="AB148" s="392"/>
      <c r="AC148" s="392"/>
      <c r="AD148" s="392"/>
      <c r="AE148" s="392"/>
      <c r="AF148" s="392"/>
      <c r="AG148" s="392"/>
      <c r="AH148" s="392"/>
      <c r="AI148" s="392"/>
      <c r="AJ148" s="392"/>
      <c r="AK148" s="392"/>
      <c r="AL148" s="392"/>
      <c r="AM148" s="392"/>
      <c r="AN148" s="392"/>
      <c r="AO148" s="392"/>
      <c r="AP148" s="392"/>
      <c r="AQ148" s="392"/>
      <c r="AR148" s="392"/>
      <c r="AS148" s="392"/>
      <c r="AT148" s="392"/>
      <c r="AU148" s="392"/>
      <c r="AV148" s="392"/>
      <c r="AW148" s="392"/>
      <c r="AX148" s="392"/>
      <c r="AY148" s="392"/>
      <c r="AZ148" s="392"/>
      <c r="BA148" s="392"/>
      <c r="BB148" s="392"/>
      <c r="BC148" s="392"/>
      <c r="BD148" s="392"/>
      <c r="BE148" s="392"/>
      <c r="BF148" s="392"/>
      <c r="BG148" s="392"/>
      <c r="BH148" s="392"/>
      <c r="BI148" s="392"/>
      <c r="BJ148" s="392"/>
      <c r="BK148" s="392"/>
      <c r="BL148" s="392"/>
      <c r="BM148" s="392"/>
      <c r="BN148" s="392"/>
      <c r="BO148" s="392"/>
      <c r="BP148" s="392"/>
      <c r="BQ148" s="392"/>
      <c r="BR148" s="392"/>
      <c r="BS148" s="392"/>
      <c r="BT148" s="392"/>
    </row>
    <row r="149" ht="15.75" customHeight="1">
      <c r="A149" s="216"/>
      <c r="B149" s="216"/>
      <c r="C149" s="216"/>
      <c r="D149" s="267"/>
      <c r="E149" s="392"/>
      <c r="F149" s="267"/>
      <c r="G149" s="392"/>
      <c r="H149" s="267"/>
      <c r="I149" s="392"/>
      <c r="J149" s="392"/>
      <c r="K149" s="392"/>
      <c r="L149" s="392"/>
      <c r="M149" s="392"/>
      <c r="N149" s="392"/>
      <c r="O149" s="392"/>
      <c r="P149" s="392"/>
      <c r="Q149" s="392"/>
      <c r="R149" s="392"/>
      <c r="S149" s="392"/>
      <c r="T149" s="392"/>
      <c r="U149" s="392"/>
      <c r="V149" s="392"/>
      <c r="W149" s="392"/>
      <c r="X149" s="392"/>
      <c r="Y149" s="392"/>
      <c r="Z149" s="392"/>
      <c r="AA149" s="392"/>
      <c r="AB149" s="392"/>
      <c r="AC149" s="392"/>
      <c r="AD149" s="392"/>
      <c r="AE149" s="392"/>
      <c r="AF149" s="392"/>
      <c r="AG149" s="392"/>
      <c r="AH149" s="392"/>
      <c r="AI149" s="392"/>
      <c r="AJ149" s="392"/>
      <c r="AK149" s="392"/>
      <c r="AL149" s="392"/>
      <c r="AM149" s="392"/>
      <c r="AN149" s="392"/>
      <c r="AO149" s="392"/>
      <c r="AP149" s="392"/>
      <c r="AQ149" s="392"/>
      <c r="AR149" s="392"/>
      <c r="AS149" s="392"/>
      <c r="AT149" s="392"/>
      <c r="AU149" s="392"/>
      <c r="AV149" s="392"/>
      <c r="AW149" s="392"/>
      <c r="AX149" s="392"/>
      <c r="AY149" s="392"/>
      <c r="AZ149" s="392"/>
      <c r="BA149" s="392"/>
      <c r="BB149" s="392"/>
      <c r="BC149" s="392"/>
      <c r="BD149" s="392"/>
      <c r="BE149" s="392"/>
      <c r="BF149" s="392"/>
      <c r="BG149" s="392"/>
      <c r="BH149" s="392"/>
      <c r="BI149" s="392"/>
      <c r="BJ149" s="392"/>
      <c r="BK149" s="392"/>
      <c r="BL149" s="392"/>
      <c r="BM149" s="392"/>
      <c r="BN149" s="392"/>
      <c r="BO149" s="392"/>
      <c r="BP149" s="392"/>
      <c r="BQ149" s="392"/>
      <c r="BR149" s="392"/>
      <c r="BS149" s="392"/>
      <c r="BT149" s="392"/>
    </row>
    <row r="150" ht="15.75" customHeight="1">
      <c r="A150" s="216"/>
      <c r="B150" s="216"/>
      <c r="C150" s="216"/>
      <c r="D150" s="267"/>
      <c r="E150" s="392"/>
      <c r="F150" s="267"/>
      <c r="G150" s="392"/>
      <c r="H150" s="267"/>
      <c r="I150" s="392"/>
      <c r="J150" s="392"/>
      <c r="K150" s="392"/>
      <c r="L150" s="392"/>
      <c r="M150" s="392"/>
      <c r="N150" s="392"/>
      <c r="O150" s="392"/>
      <c r="P150" s="392"/>
      <c r="Q150" s="392"/>
      <c r="R150" s="392"/>
      <c r="S150" s="392"/>
      <c r="T150" s="392"/>
      <c r="U150" s="392"/>
      <c r="V150" s="392"/>
      <c r="W150" s="392"/>
      <c r="X150" s="392"/>
      <c r="Y150" s="392"/>
      <c r="Z150" s="392"/>
      <c r="AA150" s="392"/>
      <c r="AB150" s="392"/>
      <c r="AC150" s="392"/>
      <c r="AD150" s="392"/>
      <c r="AE150" s="392"/>
      <c r="AF150" s="392"/>
      <c r="AG150" s="392"/>
      <c r="AH150" s="392"/>
      <c r="AI150" s="392"/>
      <c r="AJ150" s="392"/>
      <c r="AK150" s="392"/>
      <c r="AL150" s="392"/>
      <c r="AM150" s="392"/>
      <c r="AN150" s="392"/>
      <c r="AO150" s="392"/>
      <c r="AP150" s="392"/>
      <c r="AQ150" s="392"/>
      <c r="AR150" s="392"/>
      <c r="AS150" s="392"/>
      <c r="AT150" s="392"/>
      <c r="AU150" s="392"/>
      <c r="AV150" s="392"/>
      <c r="AW150" s="392"/>
      <c r="AX150" s="392"/>
      <c r="AY150" s="392"/>
      <c r="AZ150" s="392"/>
      <c r="BA150" s="392"/>
      <c r="BB150" s="392"/>
      <c r="BC150" s="392"/>
      <c r="BD150" s="392"/>
      <c r="BE150" s="392"/>
      <c r="BF150" s="392"/>
      <c r="BG150" s="392"/>
      <c r="BH150" s="392"/>
      <c r="BI150" s="392"/>
      <c r="BJ150" s="392"/>
      <c r="BK150" s="392"/>
      <c r="BL150" s="392"/>
      <c r="BM150" s="392"/>
      <c r="BN150" s="392"/>
      <c r="BO150" s="392"/>
      <c r="BP150" s="392"/>
      <c r="BQ150" s="392"/>
      <c r="BR150" s="392"/>
      <c r="BS150" s="392"/>
      <c r="BT150" s="392"/>
    </row>
    <row r="151" ht="15.75" customHeight="1">
      <c r="A151" s="216"/>
      <c r="B151" s="216"/>
      <c r="C151" s="216"/>
      <c r="D151" s="267"/>
      <c r="E151" s="392"/>
      <c r="F151" s="267"/>
      <c r="G151" s="392"/>
      <c r="H151" s="267"/>
      <c r="I151" s="392"/>
      <c r="J151" s="392"/>
      <c r="K151" s="392"/>
      <c r="L151" s="392"/>
      <c r="M151" s="392"/>
      <c r="N151" s="392"/>
      <c r="O151" s="392"/>
      <c r="P151" s="392"/>
      <c r="Q151" s="392"/>
      <c r="R151" s="392"/>
      <c r="S151" s="392"/>
      <c r="T151" s="392"/>
      <c r="U151" s="392"/>
      <c r="V151" s="392"/>
      <c r="W151" s="392"/>
      <c r="X151" s="392"/>
      <c r="Y151" s="392"/>
      <c r="Z151" s="392"/>
      <c r="AA151" s="392"/>
      <c r="AB151" s="392"/>
      <c r="AC151" s="392"/>
      <c r="AD151" s="392"/>
      <c r="AE151" s="392"/>
      <c r="AF151" s="392"/>
      <c r="AG151" s="392"/>
      <c r="AH151" s="392"/>
      <c r="AI151" s="392"/>
      <c r="AJ151" s="392"/>
      <c r="AK151" s="392"/>
      <c r="AL151" s="392"/>
      <c r="AM151" s="392"/>
      <c r="AN151" s="392"/>
      <c r="AO151" s="392"/>
      <c r="AP151" s="392"/>
      <c r="AQ151" s="392"/>
      <c r="AR151" s="392"/>
      <c r="AS151" s="392"/>
      <c r="AT151" s="392"/>
      <c r="AU151" s="392"/>
      <c r="AV151" s="392"/>
      <c r="AW151" s="392"/>
      <c r="AX151" s="392"/>
      <c r="AY151" s="392"/>
      <c r="AZ151" s="392"/>
      <c r="BA151" s="392"/>
      <c r="BB151" s="392"/>
      <c r="BC151" s="392"/>
      <c r="BD151" s="392"/>
      <c r="BE151" s="392"/>
      <c r="BF151" s="392"/>
      <c r="BG151" s="392"/>
      <c r="BH151" s="392"/>
      <c r="BI151" s="392"/>
      <c r="BJ151" s="392"/>
      <c r="BK151" s="392"/>
      <c r="BL151" s="392"/>
      <c r="BM151" s="392"/>
      <c r="BN151" s="392"/>
      <c r="BO151" s="392"/>
      <c r="BP151" s="392"/>
      <c r="BQ151" s="392"/>
      <c r="BR151" s="392"/>
      <c r="BS151" s="392"/>
      <c r="BT151" s="392"/>
    </row>
    <row r="152" ht="15.75" customHeight="1">
      <c r="A152" s="216"/>
      <c r="B152" s="156"/>
      <c r="C152" s="156"/>
      <c r="D152" s="156"/>
      <c r="E152" s="392"/>
      <c r="F152" s="392"/>
      <c r="G152" s="392"/>
      <c r="H152" s="392"/>
      <c r="I152" s="392"/>
      <c r="J152" s="392"/>
      <c r="K152" s="392"/>
      <c r="L152" s="392"/>
      <c r="M152" s="392"/>
      <c r="N152" s="392"/>
      <c r="O152" s="392"/>
      <c r="P152" s="392"/>
      <c r="Q152" s="392"/>
      <c r="R152" s="392"/>
      <c r="S152" s="392"/>
      <c r="T152" s="392"/>
      <c r="U152" s="392"/>
      <c r="V152" s="392"/>
      <c r="W152" s="392"/>
      <c r="X152" s="392"/>
      <c r="Y152" s="392"/>
      <c r="Z152" s="392"/>
      <c r="AA152" s="392"/>
      <c r="AB152" s="392"/>
      <c r="AC152" s="392"/>
      <c r="AD152" s="392"/>
      <c r="AE152" s="392"/>
      <c r="AF152" s="392"/>
      <c r="AG152" s="392"/>
      <c r="AH152" s="392"/>
      <c r="AI152" s="392"/>
      <c r="AJ152" s="392"/>
      <c r="AK152" s="392"/>
      <c r="AL152" s="392"/>
      <c r="AM152" s="392"/>
      <c r="AN152" s="392"/>
      <c r="AO152" s="392"/>
      <c r="AP152" s="392"/>
      <c r="AQ152" s="392"/>
      <c r="AR152" s="392"/>
      <c r="AS152" s="392"/>
      <c r="AT152" s="392"/>
      <c r="AU152" s="392"/>
      <c r="AV152" s="392"/>
      <c r="AW152" s="392"/>
      <c r="AX152" s="392"/>
      <c r="AY152" s="392"/>
      <c r="AZ152" s="392"/>
      <c r="BA152" s="392"/>
      <c r="BB152" s="392"/>
      <c r="BC152" s="392"/>
      <c r="BD152" s="392"/>
      <c r="BE152" s="392"/>
      <c r="BF152" s="392"/>
      <c r="BG152" s="392"/>
      <c r="BH152" s="392"/>
      <c r="BI152" s="392"/>
      <c r="BJ152" s="392"/>
      <c r="BK152" s="392"/>
      <c r="BL152" s="392"/>
      <c r="BM152" s="392"/>
      <c r="BN152" s="392"/>
      <c r="BO152" s="392"/>
      <c r="BP152" s="392"/>
      <c r="BQ152" s="392"/>
      <c r="BR152" s="392"/>
      <c r="BS152" s="392"/>
      <c r="BT152" s="392"/>
    </row>
    <row r="153" ht="15.75" customHeight="1">
      <c r="A153" s="216"/>
      <c r="B153" s="156"/>
      <c r="C153" s="156"/>
      <c r="D153" s="156"/>
      <c r="E153" s="392"/>
      <c r="F153" s="392"/>
      <c r="G153" s="392"/>
      <c r="H153" s="392"/>
      <c r="I153" s="392"/>
      <c r="J153" s="392"/>
      <c r="K153" s="392"/>
      <c r="L153" s="392"/>
      <c r="M153" s="392"/>
      <c r="N153" s="392"/>
      <c r="O153" s="392"/>
      <c r="P153" s="392"/>
      <c r="Q153" s="392"/>
      <c r="R153" s="392"/>
      <c r="S153" s="392"/>
      <c r="T153" s="392"/>
      <c r="U153" s="392"/>
      <c r="V153" s="392"/>
      <c r="W153" s="392"/>
      <c r="X153" s="392"/>
      <c r="Y153" s="392"/>
      <c r="Z153" s="392"/>
      <c r="AA153" s="392"/>
      <c r="AB153" s="392"/>
      <c r="AC153" s="392"/>
      <c r="AD153" s="392"/>
      <c r="AE153" s="392"/>
      <c r="AF153" s="392"/>
      <c r="AG153" s="392"/>
      <c r="AH153" s="392"/>
      <c r="AI153" s="392"/>
      <c r="AJ153" s="392"/>
      <c r="AK153" s="392"/>
      <c r="AL153" s="392"/>
      <c r="AM153" s="392"/>
      <c r="AN153" s="392"/>
      <c r="AO153" s="392"/>
      <c r="AP153" s="392"/>
      <c r="AQ153" s="392"/>
      <c r="AR153" s="392"/>
      <c r="AS153" s="392"/>
      <c r="AT153" s="392"/>
      <c r="AU153" s="392"/>
      <c r="AV153" s="392"/>
      <c r="AW153" s="392"/>
      <c r="AX153" s="392"/>
      <c r="AY153" s="392"/>
      <c r="AZ153" s="392"/>
      <c r="BA153" s="392"/>
      <c r="BB153" s="392"/>
      <c r="BC153" s="392"/>
      <c r="BD153" s="392"/>
      <c r="BE153" s="392"/>
      <c r="BF153" s="392"/>
      <c r="BG153" s="392"/>
      <c r="BH153" s="392"/>
      <c r="BI153" s="392"/>
      <c r="BJ153" s="392"/>
      <c r="BK153" s="392"/>
      <c r="BL153" s="392"/>
      <c r="BM153" s="392"/>
      <c r="BN153" s="392"/>
      <c r="BO153" s="392"/>
      <c r="BP153" s="392"/>
      <c r="BQ153" s="392"/>
      <c r="BR153" s="392"/>
      <c r="BS153" s="392"/>
      <c r="BT153" s="392"/>
    </row>
    <row r="154" ht="15.75" customHeight="1">
      <c r="A154" s="216"/>
      <c r="B154" s="156"/>
      <c r="C154" s="156"/>
      <c r="D154" s="156"/>
      <c r="E154" s="392"/>
      <c r="F154" s="392"/>
      <c r="G154" s="392"/>
      <c r="H154" s="392"/>
      <c r="I154" s="392"/>
      <c r="J154" s="392"/>
      <c r="K154" s="392"/>
      <c r="L154" s="392"/>
      <c r="M154" s="392"/>
      <c r="N154" s="392"/>
      <c r="O154" s="392"/>
      <c r="P154" s="392"/>
      <c r="Q154" s="392"/>
      <c r="R154" s="392"/>
      <c r="S154" s="392"/>
      <c r="T154" s="392"/>
      <c r="U154" s="392"/>
      <c r="V154" s="392"/>
      <c r="W154" s="392"/>
      <c r="X154" s="392"/>
      <c r="Y154" s="392"/>
      <c r="Z154" s="392"/>
      <c r="AA154" s="392"/>
      <c r="AB154" s="392"/>
      <c r="AC154" s="392"/>
      <c r="AD154" s="392"/>
      <c r="AE154" s="392"/>
      <c r="AF154" s="392"/>
      <c r="AG154" s="392"/>
      <c r="AH154" s="392"/>
      <c r="AI154" s="392"/>
      <c r="AJ154" s="392"/>
      <c r="AK154" s="392"/>
      <c r="AL154" s="392"/>
      <c r="AM154" s="392"/>
      <c r="AN154" s="392"/>
      <c r="AO154" s="392"/>
      <c r="AP154" s="392"/>
      <c r="AQ154" s="392"/>
      <c r="AR154" s="392"/>
      <c r="AS154" s="392"/>
      <c r="AT154" s="392"/>
      <c r="AU154" s="392"/>
      <c r="AV154" s="392"/>
      <c r="AW154" s="392"/>
      <c r="AX154" s="392"/>
      <c r="AY154" s="392"/>
      <c r="AZ154" s="392"/>
      <c r="BA154" s="392"/>
      <c r="BB154" s="392"/>
      <c r="BC154" s="392"/>
      <c r="BD154" s="392"/>
      <c r="BE154" s="392"/>
      <c r="BF154" s="392"/>
      <c r="BG154" s="392"/>
      <c r="BH154" s="392"/>
      <c r="BI154" s="392"/>
      <c r="BJ154" s="392"/>
      <c r="BK154" s="392"/>
      <c r="BL154" s="392"/>
      <c r="BM154" s="392"/>
      <c r="BN154" s="392"/>
      <c r="BO154" s="392"/>
      <c r="BP154" s="392"/>
      <c r="BQ154" s="392"/>
      <c r="BR154" s="392"/>
      <c r="BS154" s="392"/>
      <c r="BT154" s="392"/>
    </row>
    <row r="155" ht="15.75" customHeight="1">
      <c r="A155" s="216"/>
      <c r="B155" s="156"/>
      <c r="C155" s="156"/>
      <c r="D155" s="156"/>
      <c r="E155" s="392"/>
      <c r="F155" s="392"/>
      <c r="G155" s="392"/>
      <c r="H155" s="392"/>
      <c r="I155" s="392"/>
      <c r="J155" s="392"/>
      <c r="K155" s="392"/>
      <c r="L155" s="392"/>
      <c r="M155" s="392"/>
      <c r="N155" s="392"/>
      <c r="O155" s="392"/>
      <c r="P155" s="392"/>
      <c r="Q155" s="392"/>
      <c r="R155" s="392"/>
      <c r="S155" s="392"/>
      <c r="T155" s="392"/>
      <c r="U155" s="392"/>
      <c r="V155" s="392"/>
      <c r="W155" s="392"/>
      <c r="X155" s="392"/>
      <c r="Y155" s="392"/>
      <c r="Z155" s="392"/>
      <c r="AA155" s="392"/>
      <c r="AB155" s="392"/>
      <c r="AC155" s="392"/>
      <c r="AD155" s="392"/>
      <c r="AE155" s="392"/>
      <c r="AF155" s="392"/>
      <c r="AG155" s="392"/>
      <c r="AH155" s="392"/>
      <c r="AI155" s="392"/>
      <c r="AJ155" s="392"/>
      <c r="AK155" s="392"/>
      <c r="AL155" s="392"/>
      <c r="AM155" s="392"/>
      <c r="AN155" s="392"/>
      <c r="AO155" s="392"/>
      <c r="AP155" s="392"/>
      <c r="AQ155" s="392"/>
      <c r="AR155" s="392"/>
      <c r="AS155" s="392"/>
      <c r="AT155" s="392"/>
      <c r="AU155" s="392"/>
      <c r="AV155" s="392"/>
      <c r="AW155" s="392"/>
      <c r="AX155" s="392"/>
      <c r="AY155" s="392"/>
      <c r="AZ155" s="392"/>
      <c r="BA155" s="392"/>
      <c r="BB155" s="392"/>
      <c r="BC155" s="392"/>
      <c r="BD155" s="392"/>
      <c r="BE155" s="392"/>
      <c r="BF155" s="392"/>
      <c r="BG155" s="392"/>
      <c r="BH155" s="392"/>
      <c r="BI155" s="392"/>
      <c r="BJ155" s="392"/>
      <c r="BK155" s="392"/>
      <c r="BL155" s="392"/>
      <c r="BM155" s="392"/>
      <c r="BN155" s="392"/>
      <c r="BO155" s="392"/>
      <c r="BP155" s="392"/>
      <c r="BQ155" s="392"/>
      <c r="BR155" s="392"/>
      <c r="BS155" s="392"/>
      <c r="BT155" s="392"/>
    </row>
    <row r="156" ht="15.75" customHeight="1">
      <c r="A156" s="216"/>
      <c r="B156" s="156"/>
      <c r="C156" s="156"/>
      <c r="D156" s="156"/>
      <c r="E156" s="392"/>
      <c r="F156" s="392"/>
      <c r="G156" s="392"/>
      <c r="H156" s="392"/>
      <c r="I156" s="392"/>
      <c r="J156" s="392"/>
      <c r="K156" s="392"/>
      <c r="L156" s="392"/>
      <c r="M156" s="392"/>
      <c r="N156" s="392"/>
      <c r="O156" s="392"/>
      <c r="P156" s="392"/>
      <c r="Q156" s="392"/>
      <c r="R156" s="392"/>
      <c r="S156" s="392"/>
      <c r="T156" s="392"/>
      <c r="U156" s="392"/>
      <c r="V156" s="392"/>
      <c r="W156" s="392"/>
      <c r="X156" s="392"/>
      <c r="Y156" s="392"/>
      <c r="Z156" s="392"/>
      <c r="AA156" s="392"/>
      <c r="AB156" s="392"/>
      <c r="AC156" s="392"/>
      <c r="AD156" s="392"/>
      <c r="AE156" s="392"/>
      <c r="AF156" s="392"/>
      <c r="AG156" s="392"/>
      <c r="AH156" s="392"/>
      <c r="AI156" s="392"/>
      <c r="AJ156" s="392"/>
      <c r="AK156" s="392"/>
      <c r="AL156" s="392"/>
      <c r="AM156" s="392"/>
      <c r="AN156" s="392"/>
      <c r="AO156" s="392"/>
      <c r="AP156" s="392"/>
      <c r="AQ156" s="392"/>
      <c r="AR156" s="392"/>
      <c r="AS156" s="392"/>
      <c r="AT156" s="392"/>
      <c r="AU156" s="392"/>
      <c r="AV156" s="392"/>
      <c r="AW156" s="392"/>
      <c r="AX156" s="392"/>
      <c r="AY156" s="392"/>
      <c r="AZ156" s="392"/>
      <c r="BA156" s="392"/>
      <c r="BB156" s="392"/>
      <c r="BC156" s="392"/>
      <c r="BD156" s="392"/>
      <c r="BE156" s="392"/>
      <c r="BF156" s="392"/>
      <c r="BG156" s="392"/>
      <c r="BH156" s="392"/>
      <c r="BI156" s="392"/>
      <c r="BJ156" s="392"/>
      <c r="BK156" s="392"/>
      <c r="BL156" s="392"/>
      <c r="BM156" s="392"/>
      <c r="BN156" s="392"/>
      <c r="BO156" s="392"/>
      <c r="BP156" s="392"/>
      <c r="BQ156" s="392"/>
      <c r="BR156" s="392"/>
      <c r="BS156" s="392"/>
      <c r="BT156" s="392"/>
    </row>
    <row r="157" ht="15.75" customHeight="1">
      <c r="A157" s="216"/>
      <c r="B157" s="156"/>
      <c r="C157" s="156"/>
      <c r="D157" s="156"/>
      <c r="E157" s="392"/>
      <c r="F157" s="392"/>
      <c r="G157" s="392"/>
      <c r="H157" s="392"/>
      <c r="I157" s="392"/>
      <c r="J157" s="392"/>
      <c r="K157" s="392"/>
      <c r="L157" s="392"/>
      <c r="M157" s="392"/>
      <c r="N157" s="392"/>
      <c r="O157" s="392"/>
      <c r="P157" s="392"/>
      <c r="Q157" s="392"/>
      <c r="R157" s="392"/>
      <c r="S157" s="392"/>
      <c r="T157" s="392"/>
      <c r="U157" s="392"/>
      <c r="V157" s="392"/>
      <c r="W157" s="392"/>
      <c r="X157" s="392"/>
      <c r="Y157" s="392"/>
      <c r="Z157" s="392"/>
      <c r="AA157" s="392"/>
      <c r="AB157" s="392"/>
      <c r="AC157" s="392"/>
      <c r="AD157" s="392"/>
      <c r="AE157" s="392"/>
      <c r="AF157" s="392"/>
      <c r="AG157" s="392"/>
      <c r="AH157" s="392"/>
      <c r="AI157" s="392"/>
      <c r="AJ157" s="392"/>
      <c r="AK157" s="392"/>
      <c r="AL157" s="392"/>
      <c r="AM157" s="392"/>
      <c r="AN157" s="392"/>
      <c r="AO157" s="392"/>
      <c r="AP157" s="392"/>
      <c r="AQ157" s="392"/>
      <c r="AR157" s="392"/>
      <c r="AS157" s="392"/>
      <c r="AT157" s="392"/>
      <c r="AU157" s="392"/>
      <c r="AV157" s="392"/>
      <c r="AW157" s="392"/>
      <c r="AX157" s="392"/>
      <c r="AY157" s="392"/>
      <c r="AZ157" s="392"/>
      <c r="BA157" s="392"/>
      <c r="BB157" s="392"/>
      <c r="BC157" s="392"/>
      <c r="BD157" s="392"/>
      <c r="BE157" s="392"/>
      <c r="BF157" s="392"/>
      <c r="BG157" s="392"/>
      <c r="BH157" s="392"/>
      <c r="BI157" s="392"/>
      <c r="BJ157" s="392"/>
      <c r="BK157" s="392"/>
      <c r="BL157" s="392"/>
      <c r="BM157" s="392"/>
      <c r="BN157" s="392"/>
      <c r="BO157" s="392"/>
      <c r="BP157" s="392"/>
      <c r="BQ157" s="392"/>
      <c r="BR157" s="392"/>
      <c r="BS157" s="392"/>
      <c r="BT157" s="392"/>
    </row>
    <row r="158" ht="15.75" customHeight="1">
      <c r="A158" s="216"/>
      <c r="B158" s="156"/>
      <c r="C158" s="156"/>
      <c r="D158" s="156"/>
      <c r="E158" s="392"/>
      <c r="F158" s="392"/>
      <c r="G158" s="392"/>
      <c r="H158" s="392"/>
      <c r="I158" s="392"/>
      <c r="J158" s="392"/>
      <c r="K158" s="392"/>
      <c r="L158" s="392"/>
      <c r="M158" s="392"/>
      <c r="N158" s="392"/>
      <c r="O158" s="392"/>
      <c r="P158" s="392"/>
      <c r="Q158" s="392"/>
      <c r="R158" s="392"/>
      <c r="S158" s="392"/>
      <c r="T158" s="392"/>
      <c r="U158" s="392"/>
      <c r="V158" s="392"/>
      <c r="W158" s="392"/>
      <c r="X158" s="392"/>
      <c r="Y158" s="392"/>
      <c r="Z158" s="392"/>
      <c r="AA158" s="392"/>
      <c r="AB158" s="392"/>
      <c r="AC158" s="392"/>
      <c r="AD158" s="392"/>
      <c r="AE158" s="392"/>
      <c r="AF158" s="392"/>
      <c r="AG158" s="392"/>
      <c r="AH158" s="392"/>
      <c r="AI158" s="392"/>
      <c r="AJ158" s="392"/>
      <c r="AK158" s="392"/>
      <c r="AL158" s="392"/>
      <c r="AM158" s="392"/>
      <c r="AN158" s="392"/>
      <c r="AO158" s="392"/>
      <c r="AP158" s="392"/>
      <c r="AQ158" s="392"/>
      <c r="AR158" s="392"/>
      <c r="AS158" s="392"/>
      <c r="AT158" s="392"/>
      <c r="AU158" s="392"/>
      <c r="AV158" s="392"/>
      <c r="AW158" s="392"/>
      <c r="AX158" s="392"/>
      <c r="AY158" s="392"/>
      <c r="AZ158" s="392"/>
      <c r="BA158" s="392"/>
      <c r="BB158" s="392"/>
      <c r="BC158" s="392"/>
      <c r="BD158" s="392"/>
      <c r="BE158" s="392"/>
      <c r="BF158" s="392"/>
      <c r="BG158" s="392"/>
      <c r="BH158" s="392"/>
      <c r="BI158" s="392"/>
      <c r="BJ158" s="392"/>
      <c r="BK158" s="392"/>
      <c r="BL158" s="392"/>
      <c r="BM158" s="392"/>
      <c r="BN158" s="392"/>
      <c r="BO158" s="392"/>
      <c r="BP158" s="392"/>
      <c r="BQ158" s="392"/>
      <c r="BR158" s="392"/>
      <c r="BS158" s="392"/>
      <c r="BT158" s="392"/>
    </row>
    <row r="159" ht="15.75" customHeight="1">
      <c r="A159" s="216"/>
      <c r="B159" s="156"/>
      <c r="C159" s="156"/>
      <c r="D159" s="156"/>
      <c r="E159" s="392"/>
      <c r="F159" s="392"/>
      <c r="G159" s="392"/>
      <c r="H159" s="392"/>
      <c r="I159" s="392"/>
      <c r="J159" s="392"/>
      <c r="K159" s="392"/>
      <c r="L159" s="392"/>
      <c r="M159" s="392"/>
      <c r="N159" s="392"/>
      <c r="O159" s="392"/>
      <c r="P159" s="392"/>
      <c r="Q159" s="392"/>
      <c r="R159" s="392"/>
      <c r="S159" s="392"/>
      <c r="T159" s="392"/>
      <c r="U159" s="392"/>
      <c r="V159" s="392"/>
      <c r="W159" s="392"/>
      <c r="X159" s="392"/>
      <c r="Y159" s="392"/>
      <c r="Z159" s="392"/>
      <c r="AA159" s="392"/>
      <c r="AB159" s="392"/>
      <c r="AC159" s="392"/>
      <c r="AD159" s="392"/>
      <c r="AE159" s="392"/>
      <c r="AF159" s="392"/>
      <c r="AG159" s="392"/>
      <c r="AH159" s="392"/>
      <c r="AI159" s="392"/>
      <c r="AJ159" s="392"/>
      <c r="AK159" s="392"/>
      <c r="AL159" s="392"/>
      <c r="AM159" s="392"/>
      <c r="AN159" s="392"/>
      <c r="AO159" s="392"/>
      <c r="AP159" s="392"/>
      <c r="AQ159" s="392"/>
      <c r="AR159" s="392"/>
      <c r="AS159" s="392"/>
      <c r="AT159" s="392"/>
      <c r="AU159" s="392"/>
      <c r="AV159" s="392"/>
      <c r="AW159" s="392"/>
      <c r="AX159" s="392"/>
      <c r="AY159" s="392"/>
      <c r="AZ159" s="392"/>
      <c r="BA159" s="392"/>
      <c r="BB159" s="392"/>
      <c r="BC159" s="392"/>
      <c r="BD159" s="392"/>
      <c r="BE159" s="392"/>
      <c r="BF159" s="392"/>
      <c r="BG159" s="392"/>
      <c r="BH159" s="392"/>
      <c r="BI159" s="392"/>
      <c r="BJ159" s="392"/>
      <c r="BK159" s="392"/>
      <c r="BL159" s="392"/>
      <c r="BM159" s="392"/>
      <c r="BN159" s="392"/>
      <c r="BO159" s="392"/>
      <c r="BP159" s="392"/>
      <c r="BQ159" s="392"/>
      <c r="BR159" s="392"/>
      <c r="BS159" s="392"/>
      <c r="BT159" s="392"/>
    </row>
    <row r="160" ht="15.75" customHeight="1">
      <c r="A160" s="216"/>
      <c r="B160" s="156"/>
      <c r="C160" s="156"/>
      <c r="D160" s="156"/>
      <c r="E160" s="392"/>
      <c r="F160" s="392"/>
      <c r="G160" s="392"/>
      <c r="H160" s="392"/>
      <c r="I160" s="392"/>
      <c r="J160" s="392"/>
      <c r="K160" s="392"/>
      <c r="L160" s="392"/>
      <c r="M160" s="392"/>
      <c r="N160" s="392"/>
      <c r="O160" s="392"/>
      <c r="P160" s="392"/>
      <c r="Q160" s="392"/>
      <c r="R160" s="392"/>
      <c r="S160" s="392"/>
      <c r="T160" s="392"/>
      <c r="U160" s="392"/>
      <c r="V160" s="392"/>
      <c r="W160" s="392"/>
      <c r="X160" s="392"/>
      <c r="Y160" s="392"/>
      <c r="Z160" s="392"/>
      <c r="AA160" s="392"/>
      <c r="AB160" s="392"/>
      <c r="AC160" s="392"/>
      <c r="AD160" s="392"/>
      <c r="AE160" s="392"/>
      <c r="AF160" s="392"/>
      <c r="AG160" s="392"/>
      <c r="AH160" s="392"/>
      <c r="AI160" s="392"/>
      <c r="AJ160" s="392"/>
      <c r="AK160" s="392"/>
      <c r="AL160" s="392"/>
      <c r="AM160" s="392"/>
      <c r="AN160" s="392"/>
      <c r="AO160" s="392"/>
      <c r="AP160" s="392"/>
      <c r="AQ160" s="392"/>
      <c r="AR160" s="392"/>
      <c r="AS160" s="392"/>
      <c r="AT160" s="392"/>
      <c r="AU160" s="392"/>
      <c r="AV160" s="392"/>
      <c r="AW160" s="392"/>
      <c r="AX160" s="392"/>
      <c r="AY160" s="392"/>
      <c r="AZ160" s="392"/>
      <c r="BA160" s="392"/>
      <c r="BB160" s="392"/>
      <c r="BC160" s="392"/>
      <c r="BD160" s="392"/>
      <c r="BE160" s="392"/>
      <c r="BF160" s="392"/>
      <c r="BG160" s="392"/>
      <c r="BH160" s="392"/>
      <c r="BI160" s="392"/>
      <c r="BJ160" s="392"/>
      <c r="BK160" s="392"/>
      <c r="BL160" s="392"/>
      <c r="BM160" s="392"/>
      <c r="BN160" s="392"/>
      <c r="BO160" s="392"/>
      <c r="BP160" s="392"/>
      <c r="BQ160" s="392"/>
      <c r="BR160" s="392"/>
      <c r="BS160" s="392"/>
      <c r="BT160" s="392"/>
    </row>
    <row r="161" ht="15.75" customHeight="1">
      <c r="A161" s="216"/>
      <c r="B161" s="156"/>
      <c r="C161" s="156"/>
      <c r="D161" s="156"/>
      <c r="E161" s="392"/>
      <c r="F161" s="392"/>
      <c r="G161" s="392"/>
      <c r="H161" s="392"/>
      <c r="I161" s="392"/>
      <c r="J161" s="392"/>
      <c r="K161" s="392"/>
      <c r="L161" s="392"/>
      <c r="M161" s="392"/>
      <c r="N161" s="392"/>
      <c r="O161" s="392"/>
      <c r="P161" s="392"/>
      <c r="Q161" s="392"/>
      <c r="R161" s="392"/>
      <c r="S161" s="392"/>
      <c r="T161" s="392"/>
      <c r="U161" s="392"/>
      <c r="V161" s="392"/>
      <c r="W161" s="392"/>
      <c r="X161" s="392"/>
      <c r="Y161" s="392"/>
      <c r="Z161" s="392"/>
      <c r="AA161" s="392"/>
      <c r="AB161" s="392"/>
      <c r="AC161" s="392"/>
      <c r="AD161" s="392"/>
      <c r="AE161" s="392"/>
      <c r="AF161" s="392"/>
      <c r="AG161" s="392"/>
      <c r="AH161" s="392"/>
      <c r="AI161" s="392"/>
      <c r="AJ161" s="392"/>
      <c r="AK161" s="392"/>
      <c r="AL161" s="392"/>
      <c r="AM161" s="392"/>
      <c r="AN161" s="392"/>
      <c r="AO161" s="392"/>
      <c r="AP161" s="392"/>
      <c r="AQ161" s="392"/>
      <c r="AR161" s="392"/>
      <c r="AS161" s="392"/>
      <c r="AT161" s="392"/>
      <c r="AU161" s="392"/>
      <c r="AV161" s="392"/>
      <c r="AW161" s="392"/>
      <c r="AX161" s="392"/>
      <c r="AY161" s="392"/>
      <c r="AZ161" s="392"/>
      <c r="BA161" s="392"/>
      <c r="BB161" s="392"/>
      <c r="BC161" s="392"/>
      <c r="BD161" s="392"/>
      <c r="BE161" s="392"/>
      <c r="BF161" s="392"/>
      <c r="BG161" s="392"/>
      <c r="BH161" s="392"/>
      <c r="BI161" s="392"/>
      <c r="BJ161" s="392"/>
      <c r="BK161" s="392"/>
      <c r="BL161" s="392"/>
      <c r="BM161" s="392"/>
      <c r="BN161" s="392"/>
      <c r="BO161" s="392"/>
      <c r="BP161" s="392"/>
      <c r="BQ161" s="392"/>
      <c r="BR161" s="392"/>
      <c r="BS161" s="392"/>
      <c r="BT161" s="392"/>
    </row>
    <row r="162" ht="15.75" customHeight="1">
      <c r="A162" s="216"/>
      <c r="B162" s="156"/>
      <c r="C162" s="156"/>
      <c r="D162" s="156"/>
      <c r="E162" s="392"/>
      <c r="F162" s="392"/>
      <c r="G162" s="392"/>
      <c r="H162" s="392"/>
      <c r="I162" s="392"/>
      <c r="J162" s="392"/>
      <c r="K162" s="392"/>
      <c r="L162" s="392"/>
      <c r="M162" s="392"/>
      <c r="N162" s="392"/>
      <c r="O162" s="392"/>
      <c r="P162" s="392"/>
      <c r="Q162" s="392"/>
      <c r="R162" s="392"/>
      <c r="S162" s="392"/>
      <c r="T162" s="392"/>
      <c r="U162" s="392"/>
      <c r="V162" s="392"/>
      <c r="W162" s="392"/>
      <c r="X162" s="392"/>
      <c r="Y162" s="392"/>
      <c r="Z162" s="392"/>
      <c r="AA162" s="392"/>
      <c r="AB162" s="392"/>
      <c r="AC162" s="392"/>
      <c r="AD162" s="392"/>
      <c r="AE162" s="392"/>
      <c r="AF162" s="392"/>
      <c r="AG162" s="392"/>
      <c r="AH162" s="392"/>
      <c r="AI162" s="392"/>
      <c r="AJ162" s="392"/>
      <c r="AK162" s="392"/>
      <c r="AL162" s="392"/>
      <c r="AM162" s="392"/>
      <c r="AN162" s="392"/>
      <c r="AO162" s="392"/>
      <c r="AP162" s="392"/>
      <c r="AQ162" s="392"/>
      <c r="AR162" s="392"/>
      <c r="AS162" s="392"/>
      <c r="AT162" s="392"/>
      <c r="AU162" s="392"/>
      <c r="AV162" s="392"/>
      <c r="AW162" s="392"/>
      <c r="AX162" s="392"/>
      <c r="AY162" s="392"/>
      <c r="AZ162" s="392"/>
      <c r="BA162" s="392"/>
      <c r="BB162" s="392"/>
      <c r="BC162" s="392"/>
      <c r="BD162" s="392"/>
      <c r="BE162" s="392"/>
      <c r="BF162" s="392"/>
      <c r="BG162" s="392"/>
      <c r="BH162" s="392"/>
      <c r="BI162" s="392"/>
      <c r="BJ162" s="392"/>
      <c r="BK162" s="392"/>
      <c r="BL162" s="392"/>
      <c r="BM162" s="392"/>
      <c r="BN162" s="392"/>
      <c r="BO162" s="392"/>
      <c r="BP162" s="392"/>
      <c r="BQ162" s="392"/>
      <c r="BR162" s="392"/>
      <c r="BS162" s="392"/>
      <c r="BT162" s="392"/>
    </row>
    <row r="163" ht="15.75" customHeight="1">
      <c r="A163" s="216"/>
      <c r="B163" s="156"/>
      <c r="C163" s="156"/>
      <c r="D163" s="156"/>
      <c r="E163" s="392"/>
      <c r="F163" s="392"/>
      <c r="G163" s="392"/>
      <c r="H163" s="392"/>
      <c r="I163" s="392"/>
      <c r="J163" s="392"/>
      <c r="K163" s="392"/>
      <c r="L163" s="392"/>
      <c r="M163" s="392"/>
      <c r="N163" s="392"/>
      <c r="O163" s="392"/>
      <c r="P163" s="392"/>
      <c r="Q163" s="392"/>
      <c r="R163" s="392"/>
      <c r="S163" s="392"/>
      <c r="T163" s="392"/>
      <c r="U163" s="392"/>
      <c r="V163" s="392"/>
      <c r="W163" s="392"/>
      <c r="X163" s="392"/>
      <c r="Y163" s="392"/>
      <c r="Z163" s="392"/>
      <c r="AA163" s="392"/>
      <c r="AB163" s="392"/>
      <c r="AC163" s="392"/>
      <c r="AD163" s="392"/>
      <c r="AE163" s="392"/>
      <c r="AF163" s="392"/>
      <c r="AG163" s="392"/>
      <c r="AH163" s="392"/>
      <c r="AI163" s="392"/>
      <c r="AJ163" s="392"/>
      <c r="AK163" s="392"/>
      <c r="AL163" s="392"/>
      <c r="AM163" s="392"/>
      <c r="AN163" s="392"/>
      <c r="AO163" s="392"/>
      <c r="AP163" s="392"/>
      <c r="AQ163" s="392"/>
      <c r="AR163" s="392"/>
      <c r="AS163" s="392"/>
      <c r="AT163" s="392"/>
      <c r="AU163" s="392"/>
      <c r="AV163" s="392"/>
      <c r="AW163" s="392"/>
      <c r="AX163" s="392"/>
      <c r="AY163" s="392"/>
      <c r="AZ163" s="392"/>
      <c r="BA163" s="392"/>
      <c r="BB163" s="392"/>
      <c r="BC163" s="392"/>
      <c r="BD163" s="392"/>
      <c r="BE163" s="392"/>
      <c r="BF163" s="392"/>
      <c r="BG163" s="392"/>
      <c r="BH163" s="392"/>
      <c r="BI163" s="392"/>
      <c r="BJ163" s="392"/>
      <c r="BK163" s="392"/>
      <c r="BL163" s="392"/>
      <c r="BM163" s="392"/>
      <c r="BN163" s="392"/>
      <c r="BO163" s="392"/>
      <c r="BP163" s="392"/>
      <c r="BQ163" s="392"/>
      <c r="BR163" s="392"/>
      <c r="BS163" s="392"/>
      <c r="BT163" s="392"/>
    </row>
    <row r="164" ht="15.75" customHeight="1">
      <c r="A164" s="216"/>
      <c r="B164" s="156"/>
      <c r="C164" s="156"/>
      <c r="D164" s="156"/>
      <c r="E164" s="392"/>
      <c r="F164" s="392"/>
      <c r="G164" s="392"/>
      <c r="H164" s="392"/>
      <c r="I164" s="392"/>
      <c r="J164" s="392"/>
      <c r="K164" s="392"/>
      <c r="L164" s="392"/>
      <c r="M164" s="392"/>
      <c r="N164" s="392"/>
      <c r="O164" s="392"/>
      <c r="P164" s="392"/>
      <c r="Q164" s="392"/>
      <c r="R164" s="392"/>
      <c r="S164" s="392"/>
      <c r="T164" s="392"/>
      <c r="U164" s="392"/>
      <c r="V164" s="392"/>
      <c r="W164" s="392"/>
      <c r="X164" s="392"/>
      <c r="Y164" s="392"/>
      <c r="Z164" s="392"/>
      <c r="AA164" s="392"/>
      <c r="AB164" s="392"/>
      <c r="AC164" s="392"/>
      <c r="AD164" s="392"/>
      <c r="AE164" s="392"/>
      <c r="AF164" s="392"/>
      <c r="AG164" s="392"/>
      <c r="AH164" s="392"/>
      <c r="AI164" s="392"/>
      <c r="AJ164" s="392"/>
      <c r="AK164" s="392"/>
      <c r="AL164" s="392"/>
      <c r="AM164" s="392"/>
      <c r="AN164" s="392"/>
      <c r="AO164" s="392"/>
      <c r="AP164" s="392"/>
      <c r="AQ164" s="392"/>
      <c r="AR164" s="392"/>
      <c r="AS164" s="392"/>
      <c r="AT164" s="392"/>
      <c r="AU164" s="392"/>
      <c r="AV164" s="392"/>
      <c r="AW164" s="392"/>
      <c r="AX164" s="392"/>
      <c r="AY164" s="392"/>
      <c r="AZ164" s="392"/>
      <c r="BA164" s="392"/>
      <c r="BB164" s="392"/>
      <c r="BC164" s="392"/>
      <c r="BD164" s="392"/>
      <c r="BE164" s="392"/>
      <c r="BF164" s="392"/>
      <c r="BG164" s="392"/>
      <c r="BH164" s="392"/>
      <c r="BI164" s="392"/>
      <c r="BJ164" s="392"/>
      <c r="BK164" s="392"/>
      <c r="BL164" s="392"/>
      <c r="BM164" s="392"/>
      <c r="BN164" s="392"/>
      <c r="BO164" s="392"/>
      <c r="BP164" s="392"/>
      <c r="BQ164" s="392"/>
      <c r="BR164" s="392"/>
      <c r="BS164" s="392"/>
      <c r="BT164" s="392"/>
    </row>
    <row r="165" ht="15.75" customHeight="1">
      <c r="A165" s="216"/>
      <c r="B165" s="156"/>
      <c r="C165" s="156"/>
      <c r="D165" s="156"/>
      <c r="E165" s="392"/>
      <c r="F165" s="392"/>
      <c r="G165" s="392"/>
      <c r="H165" s="392"/>
      <c r="I165" s="392"/>
      <c r="J165" s="392"/>
      <c r="K165" s="392"/>
      <c r="L165" s="392"/>
      <c r="M165" s="392"/>
      <c r="N165" s="392"/>
      <c r="O165" s="392"/>
      <c r="P165" s="392"/>
      <c r="Q165" s="392"/>
      <c r="R165" s="392"/>
      <c r="S165" s="392"/>
      <c r="T165" s="392"/>
      <c r="U165" s="392"/>
      <c r="V165" s="392"/>
      <c r="W165" s="392"/>
      <c r="X165" s="392"/>
      <c r="Y165" s="392"/>
      <c r="Z165" s="392"/>
      <c r="AA165" s="392"/>
      <c r="AB165" s="392"/>
      <c r="AC165" s="392"/>
      <c r="AD165" s="392"/>
      <c r="AE165" s="392"/>
      <c r="AF165" s="392"/>
      <c r="AG165" s="392"/>
      <c r="AH165" s="392"/>
      <c r="AI165" s="392"/>
      <c r="AJ165" s="392"/>
      <c r="AK165" s="392"/>
      <c r="AL165" s="392"/>
      <c r="AM165" s="392"/>
      <c r="AN165" s="392"/>
      <c r="AO165" s="392"/>
      <c r="AP165" s="392"/>
      <c r="AQ165" s="392"/>
      <c r="AR165" s="392"/>
      <c r="AS165" s="392"/>
      <c r="AT165" s="392"/>
      <c r="AU165" s="392"/>
      <c r="AV165" s="392"/>
      <c r="AW165" s="392"/>
      <c r="AX165" s="392"/>
      <c r="AY165" s="392"/>
      <c r="AZ165" s="392"/>
      <c r="BA165" s="392"/>
      <c r="BB165" s="392"/>
      <c r="BC165" s="392"/>
      <c r="BD165" s="392"/>
      <c r="BE165" s="392"/>
      <c r="BF165" s="392"/>
      <c r="BG165" s="392"/>
      <c r="BH165" s="392"/>
      <c r="BI165" s="392"/>
      <c r="BJ165" s="392"/>
      <c r="BK165" s="392"/>
      <c r="BL165" s="392"/>
      <c r="BM165" s="392"/>
      <c r="BN165" s="392"/>
      <c r="BO165" s="392"/>
      <c r="BP165" s="392"/>
      <c r="BQ165" s="392"/>
      <c r="BR165" s="392"/>
      <c r="BS165" s="392"/>
      <c r="BT165" s="392"/>
    </row>
    <row r="166" ht="15.75" customHeight="1">
      <c r="A166" s="216"/>
      <c r="B166" s="156"/>
      <c r="C166" s="156"/>
      <c r="D166" s="156"/>
      <c r="E166" s="392"/>
      <c r="F166" s="392"/>
      <c r="G166" s="392"/>
      <c r="H166" s="392"/>
      <c r="I166" s="392"/>
      <c r="J166" s="392"/>
      <c r="K166" s="392"/>
      <c r="L166" s="392"/>
      <c r="M166" s="392"/>
      <c r="N166" s="392"/>
      <c r="O166" s="392"/>
      <c r="P166" s="392"/>
      <c r="Q166" s="392"/>
      <c r="R166" s="392"/>
      <c r="S166" s="392"/>
      <c r="T166" s="392"/>
      <c r="U166" s="392"/>
      <c r="V166" s="392"/>
      <c r="W166" s="392"/>
      <c r="X166" s="392"/>
      <c r="Y166" s="392"/>
      <c r="Z166" s="392"/>
      <c r="AA166" s="392"/>
      <c r="AB166" s="392"/>
      <c r="AC166" s="392"/>
      <c r="AD166" s="392"/>
      <c r="AE166" s="392"/>
      <c r="AF166" s="392"/>
      <c r="AG166" s="392"/>
      <c r="AH166" s="392"/>
      <c r="AI166" s="392"/>
      <c r="AJ166" s="392"/>
      <c r="AK166" s="392"/>
      <c r="AL166" s="392"/>
      <c r="AM166" s="392"/>
      <c r="AN166" s="392"/>
      <c r="AO166" s="392"/>
      <c r="AP166" s="392"/>
      <c r="AQ166" s="392"/>
      <c r="AR166" s="392"/>
      <c r="AS166" s="392"/>
      <c r="AT166" s="392"/>
      <c r="AU166" s="392"/>
      <c r="AV166" s="392"/>
      <c r="AW166" s="392"/>
      <c r="AX166" s="392"/>
      <c r="AY166" s="392"/>
      <c r="AZ166" s="392"/>
      <c r="BA166" s="392"/>
      <c r="BB166" s="392"/>
      <c r="BC166" s="392"/>
      <c r="BD166" s="392"/>
      <c r="BE166" s="392"/>
      <c r="BF166" s="392"/>
      <c r="BG166" s="392"/>
      <c r="BH166" s="392"/>
      <c r="BI166" s="392"/>
      <c r="BJ166" s="392"/>
      <c r="BK166" s="392"/>
      <c r="BL166" s="392"/>
      <c r="BM166" s="392"/>
      <c r="BN166" s="392"/>
      <c r="BO166" s="392"/>
      <c r="BP166" s="392"/>
      <c r="BQ166" s="392"/>
      <c r="BR166" s="392"/>
      <c r="BS166" s="392"/>
      <c r="BT166" s="392"/>
    </row>
    <row r="167" ht="15.75" customHeight="1">
      <c r="A167" s="216"/>
      <c r="B167" s="156"/>
      <c r="C167" s="156"/>
      <c r="D167" s="156"/>
      <c r="E167" s="392"/>
      <c r="F167" s="392"/>
      <c r="G167" s="392"/>
      <c r="H167" s="392"/>
      <c r="I167" s="392"/>
      <c r="J167" s="392"/>
      <c r="K167" s="392"/>
      <c r="L167" s="392"/>
      <c r="M167" s="392"/>
      <c r="N167" s="392"/>
      <c r="O167" s="392"/>
      <c r="P167" s="392"/>
      <c r="Q167" s="392"/>
      <c r="R167" s="392"/>
      <c r="S167" s="392"/>
      <c r="T167" s="392"/>
      <c r="U167" s="392"/>
      <c r="V167" s="392"/>
      <c r="W167" s="392"/>
      <c r="X167" s="392"/>
      <c r="Y167" s="392"/>
      <c r="Z167" s="392"/>
      <c r="AA167" s="392"/>
      <c r="AB167" s="392"/>
      <c r="AC167" s="392"/>
      <c r="AD167" s="392"/>
      <c r="AE167" s="392"/>
      <c r="AF167" s="392"/>
      <c r="AG167" s="392"/>
      <c r="AH167" s="392"/>
      <c r="AI167" s="392"/>
      <c r="AJ167" s="392"/>
      <c r="AK167" s="392"/>
      <c r="AL167" s="392"/>
      <c r="AM167" s="392"/>
      <c r="AN167" s="392"/>
      <c r="AO167" s="392"/>
      <c r="AP167" s="392"/>
      <c r="AQ167" s="392"/>
      <c r="AR167" s="392"/>
      <c r="AS167" s="392"/>
      <c r="AT167" s="392"/>
      <c r="AU167" s="392"/>
      <c r="AV167" s="392"/>
      <c r="AW167" s="392"/>
      <c r="AX167" s="392"/>
      <c r="AY167" s="392"/>
      <c r="AZ167" s="392"/>
      <c r="BA167" s="392"/>
      <c r="BB167" s="392"/>
      <c r="BC167" s="392"/>
      <c r="BD167" s="392"/>
      <c r="BE167" s="392"/>
      <c r="BF167" s="392"/>
      <c r="BG167" s="392"/>
      <c r="BH167" s="392"/>
      <c r="BI167" s="392"/>
      <c r="BJ167" s="392"/>
      <c r="BK167" s="392"/>
      <c r="BL167" s="392"/>
      <c r="BM167" s="392"/>
      <c r="BN167" s="392"/>
      <c r="BO167" s="392"/>
      <c r="BP167" s="392"/>
      <c r="BQ167" s="392"/>
      <c r="BR167" s="392"/>
      <c r="BS167" s="392"/>
      <c r="BT167" s="392"/>
    </row>
    <row r="168" ht="15.75" customHeight="1">
      <c r="A168" s="216"/>
      <c r="B168" s="156"/>
      <c r="C168" s="156"/>
      <c r="D168" s="156"/>
      <c r="E168" s="392"/>
      <c r="F168" s="392"/>
      <c r="G168" s="392"/>
      <c r="H168" s="392"/>
      <c r="I168" s="392"/>
      <c r="J168" s="392"/>
      <c r="K168" s="392"/>
      <c r="L168" s="392"/>
      <c r="M168" s="392"/>
      <c r="N168" s="392"/>
      <c r="O168" s="392"/>
      <c r="P168" s="392"/>
      <c r="Q168" s="392"/>
      <c r="R168" s="392"/>
      <c r="S168" s="392"/>
      <c r="T168" s="392"/>
      <c r="U168" s="392"/>
      <c r="V168" s="392"/>
      <c r="W168" s="392"/>
      <c r="X168" s="392"/>
      <c r="Y168" s="392"/>
      <c r="Z168" s="392"/>
      <c r="AA168" s="392"/>
      <c r="AB168" s="392"/>
      <c r="AC168" s="392"/>
      <c r="AD168" s="392"/>
      <c r="AE168" s="392"/>
      <c r="AF168" s="392"/>
      <c r="AG168" s="392"/>
      <c r="AH168" s="392"/>
      <c r="AI168" s="392"/>
      <c r="AJ168" s="392"/>
      <c r="AK168" s="392"/>
      <c r="AL168" s="392"/>
      <c r="AM168" s="392"/>
      <c r="AN168" s="392"/>
      <c r="AO168" s="392"/>
      <c r="AP168" s="392"/>
      <c r="AQ168" s="392"/>
      <c r="AR168" s="392"/>
      <c r="AS168" s="392"/>
      <c r="AT168" s="392"/>
      <c r="AU168" s="392"/>
      <c r="AV168" s="392"/>
      <c r="AW168" s="392"/>
      <c r="AX168" s="392"/>
      <c r="AY168" s="392"/>
      <c r="AZ168" s="392"/>
      <c r="BA168" s="392"/>
      <c r="BB168" s="392"/>
      <c r="BC168" s="392"/>
      <c r="BD168" s="392"/>
      <c r="BE168" s="392"/>
      <c r="BF168" s="392"/>
      <c r="BG168" s="392"/>
      <c r="BH168" s="392"/>
      <c r="BI168" s="392"/>
      <c r="BJ168" s="392"/>
      <c r="BK168" s="392"/>
      <c r="BL168" s="392"/>
      <c r="BM168" s="392"/>
      <c r="BN168" s="392"/>
      <c r="BO168" s="392"/>
      <c r="BP168" s="392"/>
      <c r="BQ168" s="392"/>
      <c r="BR168" s="392"/>
      <c r="BS168" s="392"/>
      <c r="BT168" s="392"/>
    </row>
    <row r="169" ht="15.75" customHeight="1">
      <c r="A169" s="216"/>
      <c r="B169" s="156"/>
      <c r="C169" s="156"/>
      <c r="D169" s="156"/>
      <c r="E169" s="392"/>
      <c r="F169" s="392"/>
      <c r="G169" s="392"/>
      <c r="H169" s="392"/>
      <c r="I169" s="392"/>
      <c r="J169" s="392"/>
      <c r="K169" s="392"/>
      <c r="L169" s="392"/>
      <c r="M169" s="392"/>
      <c r="N169" s="392"/>
      <c r="O169" s="392"/>
      <c r="P169" s="392"/>
      <c r="Q169" s="392"/>
      <c r="R169" s="392"/>
      <c r="S169" s="392"/>
      <c r="T169" s="392"/>
      <c r="U169" s="392"/>
      <c r="V169" s="392"/>
      <c r="W169" s="392"/>
      <c r="X169" s="392"/>
      <c r="Y169" s="392"/>
      <c r="Z169" s="392"/>
      <c r="AA169" s="392"/>
      <c r="AB169" s="392"/>
      <c r="AC169" s="392"/>
      <c r="AD169" s="392"/>
      <c r="AE169" s="392"/>
      <c r="AF169" s="392"/>
      <c r="AG169" s="392"/>
      <c r="AH169" s="392"/>
      <c r="AI169" s="392"/>
      <c r="AJ169" s="392"/>
      <c r="AK169" s="392"/>
      <c r="AL169" s="392"/>
      <c r="AM169" s="392"/>
      <c r="AN169" s="392"/>
      <c r="AO169" s="392"/>
      <c r="AP169" s="392"/>
      <c r="AQ169" s="392"/>
      <c r="AR169" s="392"/>
      <c r="AS169" s="392"/>
      <c r="AT169" s="392"/>
      <c r="AU169" s="392"/>
      <c r="AV169" s="392"/>
      <c r="AW169" s="392"/>
      <c r="AX169" s="392"/>
      <c r="AY169" s="392"/>
      <c r="AZ169" s="392"/>
      <c r="BA169" s="392"/>
      <c r="BB169" s="392"/>
      <c r="BC169" s="392"/>
      <c r="BD169" s="392"/>
      <c r="BE169" s="392"/>
      <c r="BF169" s="392"/>
      <c r="BG169" s="392"/>
      <c r="BH169" s="392"/>
      <c r="BI169" s="392"/>
      <c r="BJ169" s="392"/>
      <c r="BK169" s="392"/>
      <c r="BL169" s="392"/>
      <c r="BM169" s="392"/>
      <c r="BN169" s="392"/>
      <c r="BO169" s="392"/>
      <c r="BP169" s="392"/>
      <c r="BQ169" s="392"/>
      <c r="BR169" s="392"/>
      <c r="BS169" s="392"/>
      <c r="BT169" s="392"/>
    </row>
    <row r="170" ht="15.75" customHeight="1">
      <c r="A170" s="216"/>
      <c r="B170" s="156"/>
      <c r="C170" s="156"/>
      <c r="D170" s="156"/>
      <c r="E170" s="392"/>
      <c r="F170" s="392"/>
      <c r="G170" s="392"/>
      <c r="H170" s="392"/>
      <c r="I170" s="392"/>
      <c r="J170" s="392"/>
      <c r="K170" s="392"/>
      <c r="L170" s="392"/>
      <c r="M170" s="392"/>
      <c r="N170" s="392"/>
      <c r="O170" s="392"/>
      <c r="P170" s="392"/>
      <c r="Q170" s="392"/>
      <c r="R170" s="392"/>
      <c r="S170" s="392"/>
      <c r="T170" s="392"/>
      <c r="U170" s="392"/>
      <c r="V170" s="392"/>
      <c r="W170" s="392"/>
      <c r="X170" s="392"/>
      <c r="Y170" s="392"/>
      <c r="Z170" s="392"/>
      <c r="AA170" s="392"/>
      <c r="AB170" s="392"/>
      <c r="AC170" s="392"/>
      <c r="AD170" s="392"/>
      <c r="AE170" s="392"/>
      <c r="AF170" s="392"/>
      <c r="AG170" s="392"/>
      <c r="AH170" s="392"/>
      <c r="AI170" s="392"/>
      <c r="AJ170" s="392"/>
      <c r="AK170" s="392"/>
      <c r="AL170" s="392"/>
      <c r="AM170" s="392"/>
      <c r="AN170" s="392"/>
      <c r="AO170" s="392"/>
      <c r="AP170" s="392"/>
      <c r="AQ170" s="392"/>
      <c r="AR170" s="392"/>
      <c r="AS170" s="392"/>
      <c r="AT170" s="392"/>
      <c r="AU170" s="392"/>
      <c r="AV170" s="392"/>
      <c r="AW170" s="392"/>
      <c r="AX170" s="392"/>
      <c r="AY170" s="392"/>
      <c r="AZ170" s="392"/>
      <c r="BA170" s="392"/>
      <c r="BB170" s="392"/>
      <c r="BC170" s="392"/>
      <c r="BD170" s="392"/>
      <c r="BE170" s="392"/>
      <c r="BF170" s="392"/>
      <c r="BG170" s="392"/>
      <c r="BH170" s="392"/>
      <c r="BI170" s="392"/>
      <c r="BJ170" s="392"/>
      <c r="BK170" s="392"/>
      <c r="BL170" s="392"/>
      <c r="BM170" s="392"/>
      <c r="BN170" s="392"/>
      <c r="BO170" s="392"/>
      <c r="BP170" s="392"/>
      <c r="BQ170" s="392"/>
      <c r="BR170" s="392"/>
      <c r="BS170" s="392"/>
      <c r="BT170" s="392"/>
    </row>
    <row r="171" ht="15.75" customHeight="1">
      <c r="A171" s="216"/>
      <c r="B171" s="156"/>
      <c r="C171" s="156"/>
      <c r="D171" s="156"/>
      <c r="E171" s="392"/>
      <c r="F171" s="392"/>
      <c r="G171" s="392"/>
      <c r="H171" s="392"/>
      <c r="I171" s="392"/>
      <c r="J171" s="392"/>
      <c r="K171" s="392"/>
      <c r="L171" s="392"/>
      <c r="M171" s="392"/>
      <c r="N171" s="392"/>
      <c r="O171" s="392"/>
      <c r="P171" s="392"/>
      <c r="Q171" s="392"/>
      <c r="R171" s="392"/>
      <c r="S171" s="392"/>
      <c r="T171" s="392"/>
      <c r="U171" s="392"/>
      <c r="V171" s="392"/>
      <c r="W171" s="392"/>
      <c r="X171" s="392"/>
      <c r="Y171" s="392"/>
      <c r="Z171" s="392"/>
      <c r="AA171" s="392"/>
      <c r="AB171" s="392"/>
      <c r="AC171" s="392"/>
      <c r="AD171" s="392"/>
      <c r="AE171" s="392"/>
      <c r="AF171" s="392"/>
      <c r="AG171" s="392"/>
      <c r="AH171" s="392"/>
      <c r="AI171" s="392"/>
      <c r="AJ171" s="392"/>
      <c r="AK171" s="392"/>
      <c r="AL171" s="392"/>
      <c r="AM171" s="392"/>
      <c r="AN171" s="392"/>
      <c r="AO171" s="392"/>
      <c r="AP171" s="392"/>
      <c r="AQ171" s="392"/>
      <c r="AR171" s="392"/>
      <c r="AS171" s="392"/>
      <c r="AT171" s="392"/>
      <c r="AU171" s="392"/>
      <c r="AV171" s="392"/>
      <c r="AW171" s="392"/>
      <c r="AX171" s="392"/>
      <c r="AY171" s="392"/>
      <c r="AZ171" s="392"/>
      <c r="BA171" s="392"/>
      <c r="BB171" s="392"/>
      <c r="BC171" s="392"/>
      <c r="BD171" s="392"/>
      <c r="BE171" s="392"/>
      <c r="BF171" s="392"/>
      <c r="BG171" s="392"/>
      <c r="BH171" s="392"/>
      <c r="BI171" s="392"/>
      <c r="BJ171" s="392"/>
      <c r="BK171" s="392"/>
      <c r="BL171" s="392"/>
      <c r="BM171" s="392"/>
      <c r="BN171" s="392"/>
      <c r="BO171" s="392"/>
      <c r="BP171" s="392"/>
      <c r="BQ171" s="392"/>
      <c r="BR171" s="392"/>
      <c r="BS171" s="392"/>
      <c r="BT171" s="392"/>
    </row>
    <row r="172" ht="15.75" customHeight="1">
      <c r="A172" s="216"/>
      <c r="B172" s="156"/>
      <c r="C172" s="156"/>
      <c r="D172" s="156"/>
      <c r="E172" s="392"/>
      <c r="F172" s="392"/>
      <c r="G172" s="392"/>
      <c r="H172" s="392"/>
      <c r="I172" s="392"/>
      <c r="J172" s="392"/>
      <c r="K172" s="392"/>
      <c r="L172" s="392"/>
      <c r="M172" s="392"/>
      <c r="N172" s="392"/>
      <c r="O172" s="392"/>
      <c r="P172" s="392"/>
      <c r="Q172" s="392"/>
      <c r="R172" s="392"/>
      <c r="S172" s="392"/>
      <c r="T172" s="392"/>
      <c r="U172" s="392"/>
      <c r="V172" s="392"/>
      <c r="W172" s="392"/>
      <c r="X172" s="392"/>
      <c r="Y172" s="392"/>
      <c r="Z172" s="392"/>
      <c r="AA172" s="392"/>
      <c r="AB172" s="392"/>
      <c r="AC172" s="392"/>
      <c r="AD172" s="392"/>
      <c r="AE172" s="392"/>
      <c r="AF172" s="392"/>
      <c r="AG172" s="392"/>
      <c r="AH172" s="392"/>
      <c r="AI172" s="392"/>
      <c r="AJ172" s="392"/>
      <c r="AK172" s="392"/>
      <c r="AL172" s="392"/>
      <c r="AM172" s="392"/>
      <c r="AN172" s="392"/>
      <c r="AO172" s="392"/>
      <c r="AP172" s="392"/>
      <c r="AQ172" s="392"/>
      <c r="AR172" s="392"/>
      <c r="AS172" s="392"/>
      <c r="AT172" s="392"/>
      <c r="AU172" s="392"/>
      <c r="AV172" s="392"/>
      <c r="AW172" s="392"/>
      <c r="AX172" s="392"/>
      <c r="AY172" s="392"/>
      <c r="AZ172" s="392"/>
      <c r="BA172" s="392"/>
      <c r="BB172" s="392"/>
      <c r="BC172" s="392"/>
      <c r="BD172" s="392"/>
      <c r="BE172" s="392"/>
      <c r="BF172" s="392"/>
      <c r="BG172" s="392"/>
      <c r="BH172" s="392"/>
      <c r="BI172" s="392"/>
      <c r="BJ172" s="392"/>
      <c r="BK172" s="392"/>
      <c r="BL172" s="392"/>
      <c r="BM172" s="392"/>
      <c r="BN172" s="392"/>
      <c r="BO172" s="392"/>
      <c r="BP172" s="392"/>
      <c r="BQ172" s="392"/>
      <c r="BR172" s="392"/>
      <c r="BS172" s="392"/>
      <c r="BT172" s="392"/>
    </row>
    <row r="173" ht="15.75" customHeight="1">
      <c r="A173" s="216"/>
      <c r="B173" s="156"/>
      <c r="C173" s="156"/>
      <c r="D173" s="156"/>
      <c r="E173" s="392"/>
      <c r="F173" s="392"/>
      <c r="G173" s="392"/>
      <c r="H173" s="392"/>
      <c r="I173" s="392"/>
      <c r="J173" s="392"/>
      <c r="K173" s="392"/>
      <c r="L173" s="392"/>
      <c r="M173" s="392"/>
      <c r="N173" s="392"/>
      <c r="O173" s="392"/>
      <c r="P173" s="392"/>
      <c r="Q173" s="392"/>
      <c r="R173" s="392"/>
      <c r="S173" s="392"/>
      <c r="T173" s="392"/>
      <c r="U173" s="392"/>
      <c r="V173" s="392"/>
      <c r="W173" s="392"/>
      <c r="X173" s="392"/>
      <c r="Y173" s="392"/>
      <c r="Z173" s="392"/>
      <c r="AA173" s="392"/>
      <c r="AB173" s="392"/>
      <c r="AC173" s="392"/>
      <c r="AD173" s="392"/>
      <c r="AE173" s="392"/>
      <c r="AF173" s="392"/>
      <c r="AG173" s="392"/>
      <c r="AH173" s="392"/>
      <c r="AI173" s="392"/>
      <c r="AJ173" s="392"/>
      <c r="AK173" s="392"/>
      <c r="AL173" s="392"/>
      <c r="AM173" s="392"/>
      <c r="AN173" s="392"/>
      <c r="AO173" s="392"/>
      <c r="AP173" s="392"/>
      <c r="AQ173" s="392"/>
      <c r="AR173" s="392"/>
      <c r="AS173" s="392"/>
      <c r="AT173" s="392"/>
      <c r="AU173" s="392"/>
      <c r="AV173" s="392"/>
      <c r="AW173" s="392"/>
      <c r="AX173" s="392"/>
      <c r="AY173" s="392"/>
      <c r="AZ173" s="392"/>
      <c r="BA173" s="392"/>
      <c r="BB173" s="392"/>
      <c r="BC173" s="392"/>
      <c r="BD173" s="392"/>
      <c r="BE173" s="392"/>
      <c r="BF173" s="392"/>
      <c r="BG173" s="392"/>
      <c r="BH173" s="392"/>
      <c r="BI173" s="392"/>
      <c r="BJ173" s="392"/>
      <c r="BK173" s="392"/>
      <c r="BL173" s="392"/>
      <c r="BM173" s="392"/>
      <c r="BN173" s="392"/>
      <c r="BO173" s="392"/>
      <c r="BP173" s="392"/>
      <c r="BQ173" s="392"/>
      <c r="BR173" s="392"/>
      <c r="BS173" s="392"/>
      <c r="BT173" s="392"/>
    </row>
    <row r="174" ht="15.75" customHeight="1">
      <c r="A174" s="216"/>
      <c r="B174" s="156"/>
      <c r="C174" s="156"/>
      <c r="D174" s="156"/>
      <c r="E174" s="392"/>
      <c r="F174" s="392"/>
      <c r="G174" s="392"/>
      <c r="H174" s="392"/>
      <c r="I174" s="392"/>
      <c r="J174" s="392"/>
      <c r="K174" s="392"/>
      <c r="L174" s="392"/>
      <c r="M174" s="392"/>
      <c r="N174" s="392"/>
      <c r="O174" s="392"/>
      <c r="P174" s="392"/>
      <c r="Q174" s="392"/>
      <c r="R174" s="392"/>
      <c r="S174" s="392"/>
      <c r="T174" s="392"/>
      <c r="U174" s="392"/>
      <c r="V174" s="392"/>
      <c r="W174" s="392"/>
      <c r="X174" s="392"/>
      <c r="Y174" s="392"/>
      <c r="Z174" s="392"/>
      <c r="AA174" s="392"/>
      <c r="AB174" s="392"/>
      <c r="AC174" s="392"/>
      <c r="AD174" s="392"/>
      <c r="AE174" s="392"/>
      <c r="AF174" s="392"/>
      <c r="AG174" s="392"/>
      <c r="AH174" s="392"/>
      <c r="AI174" s="392"/>
      <c r="AJ174" s="392"/>
      <c r="AK174" s="392"/>
      <c r="AL174" s="392"/>
      <c r="AM174" s="392"/>
      <c r="AN174" s="392"/>
      <c r="AO174" s="392"/>
      <c r="AP174" s="392"/>
      <c r="AQ174" s="392"/>
      <c r="AR174" s="392"/>
      <c r="AS174" s="392"/>
      <c r="AT174" s="392"/>
      <c r="AU174" s="392"/>
      <c r="AV174" s="392"/>
      <c r="AW174" s="392"/>
      <c r="AX174" s="392"/>
      <c r="AY174" s="392"/>
      <c r="AZ174" s="392"/>
      <c r="BA174" s="392"/>
      <c r="BB174" s="392"/>
      <c r="BC174" s="392"/>
      <c r="BD174" s="392"/>
      <c r="BE174" s="392"/>
      <c r="BF174" s="392"/>
      <c r="BG174" s="392"/>
      <c r="BH174" s="392"/>
      <c r="BI174" s="392"/>
      <c r="BJ174" s="392"/>
      <c r="BK174" s="392"/>
      <c r="BL174" s="392"/>
      <c r="BM174" s="392"/>
      <c r="BN174" s="392"/>
      <c r="BO174" s="392"/>
      <c r="BP174" s="392"/>
      <c r="BQ174" s="392"/>
      <c r="BR174" s="392"/>
      <c r="BS174" s="392"/>
      <c r="BT174" s="392"/>
    </row>
    <row r="175" ht="15.75" customHeight="1">
      <c r="A175" s="216"/>
      <c r="B175" s="156"/>
      <c r="C175" s="156"/>
      <c r="D175" s="156"/>
      <c r="E175" s="392"/>
      <c r="F175" s="392"/>
      <c r="G175" s="392"/>
      <c r="H175" s="392"/>
      <c r="I175" s="392"/>
      <c r="J175" s="392"/>
      <c r="K175" s="392"/>
      <c r="L175" s="392"/>
      <c r="M175" s="392"/>
      <c r="N175" s="392"/>
      <c r="O175" s="392"/>
      <c r="P175" s="392"/>
      <c r="Q175" s="392"/>
      <c r="R175" s="392"/>
      <c r="S175" s="392"/>
      <c r="T175" s="392"/>
      <c r="U175" s="392"/>
      <c r="V175" s="392"/>
      <c r="W175" s="392"/>
      <c r="X175" s="392"/>
      <c r="Y175" s="392"/>
      <c r="Z175" s="392"/>
      <c r="AA175" s="392"/>
      <c r="AB175" s="392"/>
      <c r="AC175" s="392"/>
      <c r="AD175" s="392"/>
      <c r="AE175" s="392"/>
      <c r="AF175" s="392"/>
      <c r="AG175" s="392"/>
      <c r="AH175" s="392"/>
      <c r="AI175" s="392"/>
      <c r="AJ175" s="392"/>
      <c r="AK175" s="392"/>
      <c r="AL175" s="392"/>
      <c r="AM175" s="392"/>
      <c r="AN175" s="392"/>
      <c r="AO175" s="392"/>
      <c r="AP175" s="392"/>
      <c r="AQ175" s="392"/>
      <c r="AR175" s="392"/>
      <c r="AS175" s="392"/>
      <c r="AT175" s="392"/>
      <c r="AU175" s="392"/>
      <c r="AV175" s="392"/>
      <c r="AW175" s="392"/>
      <c r="AX175" s="392"/>
      <c r="AY175" s="392"/>
      <c r="AZ175" s="392"/>
      <c r="BA175" s="392"/>
      <c r="BB175" s="392"/>
      <c r="BC175" s="392"/>
      <c r="BD175" s="392"/>
      <c r="BE175" s="392"/>
      <c r="BF175" s="392"/>
      <c r="BG175" s="392"/>
      <c r="BH175" s="392"/>
      <c r="BI175" s="392"/>
      <c r="BJ175" s="392"/>
      <c r="BK175" s="392"/>
      <c r="BL175" s="392"/>
      <c r="BM175" s="392"/>
      <c r="BN175" s="392"/>
      <c r="BO175" s="392"/>
      <c r="BP175" s="392"/>
      <c r="BQ175" s="392"/>
      <c r="BR175" s="392"/>
      <c r="BS175" s="392"/>
      <c r="BT175" s="392"/>
    </row>
    <row r="176" ht="15.75" customHeight="1">
      <c r="A176" s="216"/>
      <c r="B176" s="156"/>
      <c r="C176" s="156"/>
      <c r="D176" s="156"/>
      <c r="E176" s="392"/>
      <c r="F176" s="392"/>
      <c r="G176" s="392"/>
      <c r="H176" s="392"/>
      <c r="I176" s="392"/>
      <c r="J176" s="392"/>
      <c r="K176" s="392"/>
      <c r="L176" s="392"/>
      <c r="M176" s="392"/>
      <c r="N176" s="392"/>
      <c r="O176" s="392"/>
      <c r="P176" s="392"/>
      <c r="Q176" s="392"/>
      <c r="R176" s="392"/>
      <c r="S176" s="392"/>
      <c r="T176" s="392"/>
      <c r="U176" s="392"/>
      <c r="V176" s="392"/>
      <c r="W176" s="392"/>
      <c r="X176" s="392"/>
      <c r="Y176" s="392"/>
      <c r="Z176" s="392"/>
      <c r="AA176" s="392"/>
      <c r="AB176" s="392"/>
      <c r="AC176" s="392"/>
      <c r="AD176" s="392"/>
      <c r="AE176" s="392"/>
      <c r="AF176" s="392"/>
      <c r="AG176" s="392"/>
      <c r="AH176" s="392"/>
      <c r="AI176" s="392"/>
      <c r="AJ176" s="392"/>
      <c r="AK176" s="392"/>
      <c r="AL176" s="392"/>
      <c r="AM176" s="392"/>
      <c r="AN176" s="392"/>
      <c r="AO176" s="392"/>
      <c r="AP176" s="392"/>
      <c r="AQ176" s="392"/>
      <c r="AR176" s="392"/>
      <c r="AS176" s="392"/>
      <c r="AT176" s="392"/>
      <c r="AU176" s="392"/>
      <c r="AV176" s="392"/>
      <c r="AW176" s="392"/>
      <c r="AX176" s="392"/>
      <c r="AY176" s="392"/>
      <c r="AZ176" s="392"/>
      <c r="BA176" s="392"/>
      <c r="BB176" s="392"/>
      <c r="BC176" s="392"/>
      <c r="BD176" s="392"/>
      <c r="BE176" s="392"/>
      <c r="BF176" s="392"/>
      <c r="BG176" s="392"/>
      <c r="BH176" s="392"/>
      <c r="BI176" s="392"/>
      <c r="BJ176" s="392"/>
      <c r="BK176" s="392"/>
      <c r="BL176" s="392"/>
      <c r="BM176" s="392"/>
      <c r="BN176" s="392"/>
      <c r="BO176" s="392"/>
      <c r="BP176" s="392"/>
      <c r="BQ176" s="392"/>
      <c r="BR176" s="392"/>
      <c r="BS176" s="392"/>
      <c r="BT176" s="392"/>
    </row>
    <row r="177" ht="15.75" customHeight="1">
      <c r="A177" s="216"/>
      <c r="B177" s="156"/>
      <c r="C177" s="156"/>
      <c r="D177" s="156"/>
      <c r="E177" s="392"/>
      <c r="F177" s="392"/>
      <c r="G177" s="392"/>
      <c r="H177" s="392"/>
      <c r="I177" s="392"/>
      <c r="J177" s="392"/>
      <c r="K177" s="392"/>
      <c r="L177" s="392"/>
      <c r="M177" s="392"/>
      <c r="N177" s="392"/>
      <c r="O177" s="392"/>
      <c r="P177" s="392"/>
      <c r="Q177" s="392"/>
      <c r="R177" s="392"/>
      <c r="S177" s="392"/>
      <c r="T177" s="392"/>
      <c r="U177" s="392"/>
      <c r="V177" s="392"/>
      <c r="W177" s="392"/>
      <c r="X177" s="392"/>
      <c r="Y177" s="392"/>
      <c r="Z177" s="392"/>
      <c r="AA177" s="392"/>
      <c r="AB177" s="392"/>
      <c r="AC177" s="392"/>
      <c r="AD177" s="392"/>
      <c r="AE177" s="392"/>
      <c r="AF177" s="392"/>
      <c r="AG177" s="392"/>
      <c r="AH177" s="392"/>
      <c r="AI177" s="392"/>
      <c r="AJ177" s="392"/>
      <c r="AK177" s="392"/>
      <c r="AL177" s="392"/>
      <c r="AM177" s="392"/>
      <c r="AN177" s="392"/>
      <c r="AO177" s="392"/>
      <c r="AP177" s="392"/>
      <c r="AQ177" s="392"/>
      <c r="AR177" s="392"/>
      <c r="AS177" s="392"/>
      <c r="AT177" s="392"/>
      <c r="AU177" s="392"/>
      <c r="AV177" s="392"/>
      <c r="AW177" s="392"/>
      <c r="AX177" s="392"/>
      <c r="AY177" s="392"/>
      <c r="AZ177" s="392"/>
      <c r="BA177" s="392"/>
      <c r="BB177" s="392"/>
      <c r="BC177" s="392"/>
      <c r="BD177" s="392"/>
      <c r="BE177" s="392"/>
      <c r="BF177" s="392"/>
      <c r="BG177" s="392"/>
      <c r="BH177" s="392"/>
      <c r="BI177" s="392"/>
      <c r="BJ177" s="392"/>
      <c r="BK177" s="392"/>
      <c r="BL177" s="392"/>
      <c r="BM177" s="392"/>
      <c r="BN177" s="392"/>
      <c r="BO177" s="392"/>
      <c r="BP177" s="392"/>
      <c r="BQ177" s="392"/>
      <c r="BR177" s="392"/>
      <c r="BS177" s="392"/>
      <c r="BT177" s="392"/>
    </row>
    <row r="178" ht="15.75" customHeight="1">
      <c r="A178" s="216"/>
      <c r="B178" s="156"/>
      <c r="C178" s="156"/>
      <c r="D178" s="156"/>
      <c r="E178" s="392"/>
      <c r="F178" s="392"/>
      <c r="G178" s="392"/>
      <c r="H178" s="392"/>
      <c r="I178" s="392"/>
      <c r="J178" s="392"/>
      <c r="K178" s="392"/>
      <c r="L178" s="392"/>
      <c r="M178" s="392"/>
      <c r="N178" s="392"/>
      <c r="O178" s="392"/>
      <c r="P178" s="392"/>
      <c r="Q178" s="392"/>
      <c r="R178" s="392"/>
      <c r="S178" s="392"/>
      <c r="T178" s="392"/>
      <c r="U178" s="392"/>
      <c r="V178" s="392"/>
      <c r="W178" s="392"/>
      <c r="X178" s="392"/>
      <c r="Y178" s="392"/>
      <c r="Z178" s="392"/>
      <c r="AA178" s="392"/>
      <c r="AB178" s="392"/>
      <c r="AC178" s="392"/>
      <c r="AD178" s="392"/>
      <c r="AE178" s="392"/>
      <c r="AF178" s="392"/>
      <c r="AG178" s="392"/>
      <c r="AH178" s="392"/>
      <c r="AI178" s="392"/>
      <c r="AJ178" s="392"/>
      <c r="AK178" s="392"/>
      <c r="AL178" s="392"/>
      <c r="AM178" s="392"/>
      <c r="AN178" s="392"/>
      <c r="AO178" s="392"/>
      <c r="AP178" s="392"/>
      <c r="AQ178" s="392"/>
      <c r="AR178" s="392"/>
      <c r="AS178" s="392"/>
      <c r="AT178" s="392"/>
      <c r="AU178" s="392"/>
      <c r="AV178" s="392"/>
      <c r="AW178" s="392"/>
      <c r="AX178" s="392"/>
      <c r="AY178" s="392"/>
      <c r="AZ178" s="392"/>
      <c r="BA178" s="392"/>
      <c r="BB178" s="392"/>
      <c r="BC178" s="392"/>
      <c r="BD178" s="392"/>
      <c r="BE178" s="392"/>
      <c r="BF178" s="392"/>
      <c r="BG178" s="392"/>
      <c r="BH178" s="392"/>
      <c r="BI178" s="392"/>
      <c r="BJ178" s="392"/>
      <c r="BK178" s="392"/>
      <c r="BL178" s="392"/>
      <c r="BM178" s="392"/>
      <c r="BN178" s="392"/>
      <c r="BO178" s="392"/>
      <c r="BP178" s="392"/>
      <c r="BQ178" s="392"/>
      <c r="BR178" s="392"/>
      <c r="BS178" s="392"/>
      <c r="BT178" s="392"/>
    </row>
    <row r="179" ht="15.75" customHeight="1">
      <c r="A179" s="216"/>
      <c r="B179" s="156"/>
      <c r="C179" s="156"/>
      <c r="D179" s="156"/>
      <c r="E179" s="392"/>
      <c r="F179" s="392"/>
      <c r="G179" s="392"/>
      <c r="H179" s="392"/>
      <c r="I179" s="392"/>
      <c r="J179" s="392"/>
      <c r="K179" s="392"/>
      <c r="L179" s="392"/>
      <c r="M179" s="392"/>
      <c r="N179" s="392"/>
      <c r="O179" s="392"/>
      <c r="P179" s="392"/>
      <c r="Q179" s="392"/>
      <c r="R179" s="392"/>
      <c r="S179" s="392"/>
      <c r="T179" s="392"/>
      <c r="U179" s="392"/>
      <c r="V179" s="392"/>
      <c r="W179" s="392"/>
      <c r="X179" s="392"/>
      <c r="Y179" s="392"/>
      <c r="Z179" s="392"/>
      <c r="AA179" s="392"/>
      <c r="AB179" s="392"/>
      <c r="AC179" s="392"/>
      <c r="AD179" s="392"/>
      <c r="AE179" s="392"/>
      <c r="AF179" s="392"/>
      <c r="AG179" s="392"/>
      <c r="AH179" s="392"/>
      <c r="AI179" s="392"/>
      <c r="AJ179" s="392"/>
      <c r="AK179" s="392"/>
      <c r="AL179" s="392"/>
      <c r="AM179" s="392"/>
      <c r="AN179" s="392"/>
      <c r="AO179" s="392"/>
      <c r="AP179" s="392"/>
      <c r="AQ179" s="392"/>
      <c r="AR179" s="392"/>
      <c r="AS179" s="392"/>
      <c r="AT179" s="392"/>
      <c r="AU179" s="392"/>
      <c r="AV179" s="392"/>
      <c r="AW179" s="392"/>
      <c r="AX179" s="392"/>
      <c r="AY179" s="392"/>
      <c r="AZ179" s="392"/>
      <c r="BA179" s="392"/>
      <c r="BB179" s="392"/>
      <c r="BC179" s="392"/>
      <c r="BD179" s="392"/>
      <c r="BE179" s="392"/>
      <c r="BF179" s="392"/>
      <c r="BG179" s="392"/>
      <c r="BH179" s="392"/>
      <c r="BI179" s="392"/>
      <c r="BJ179" s="392"/>
      <c r="BK179" s="392"/>
      <c r="BL179" s="392"/>
      <c r="BM179" s="392"/>
      <c r="BN179" s="392"/>
      <c r="BO179" s="392"/>
      <c r="BP179" s="392"/>
      <c r="BQ179" s="392"/>
      <c r="BR179" s="392"/>
      <c r="BS179" s="392"/>
      <c r="BT179" s="392"/>
    </row>
    <row r="180" ht="15.75" customHeight="1">
      <c r="A180" s="216"/>
      <c r="B180" s="156"/>
      <c r="C180" s="156"/>
      <c r="D180" s="156"/>
      <c r="E180" s="392"/>
      <c r="F180" s="392"/>
      <c r="G180" s="392"/>
      <c r="H180" s="392"/>
      <c r="I180" s="392"/>
      <c r="J180" s="392"/>
      <c r="K180" s="392"/>
      <c r="L180" s="392"/>
      <c r="M180" s="392"/>
      <c r="N180" s="392"/>
      <c r="O180" s="392"/>
      <c r="P180" s="392"/>
      <c r="Q180" s="392"/>
      <c r="R180" s="392"/>
      <c r="S180" s="392"/>
      <c r="T180" s="392"/>
      <c r="U180" s="392"/>
      <c r="V180" s="392"/>
      <c r="W180" s="392"/>
      <c r="X180" s="392"/>
      <c r="Y180" s="392"/>
      <c r="Z180" s="392"/>
      <c r="AA180" s="392"/>
      <c r="AB180" s="392"/>
      <c r="AC180" s="392"/>
      <c r="AD180" s="392"/>
      <c r="AE180" s="392"/>
      <c r="AF180" s="392"/>
      <c r="AG180" s="392"/>
      <c r="AH180" s="392"/>
      <c r="AI180" s="392"/>
      <c r="AJ180" s="392"/>
      <c r="AK180" s="392"/>
      <c r="AL180" s="392"/>
      <c r="AM180" s="392"/>
      <c r="AN180" s="392"/>
      <c r="AO180" s="392"/>
      <c r="AP180" s="392"/>
      <c r="AQ180" s="392"/>
      <c r="AR180" s="392"/>
      <c r="AS180" s="392"/>
      <c r="AT180" s="392"/>
      <c r="AU180" s="392"/>
      <c r="AV180" s="392"/>
      <c r="AW180" s="392"/>
      <c r="AX180" s="392"/>
      <c r="AY180" s="392"/>
      <c r="AZ180" s="392"/>
      <c r="BA180" s="392"/>
      <c r="BB180" s="392"/>
      <c r="BC180" s="392"/>
      <c r="BD180" s="392"/>
      <c r="BE180" s="392"/>
      <c r="BF180" s="392"/>
      <c r="BG180" s="392"/>
      <c r="BH180" s="392"/>
      <c r="BI180" s="392"/>
      <c r="BJ180" s="392"/>
      <c r="BK180" s="392"/>
      <c r="BL180" s="392"/>
      <c r="BM180" s="392"/>
      <c r="BN180" s="392"/>
      <c r="BO180" s="392"/>
      <c r="BP180" s="392"/>
      <c r="BQ180" s="392"/>
      <c r="BR180" s="392"/>
      <c r="BS180" s="392"/>
      <c r="BT180" s="392"/>
    </row>
    <row r="181" ht="15.75" customHeight="1">
      <c r="A181" s="216"/>
      <c r="B181" s="156"/>
      <c r="C181" s="156"/>
      <c r="D181" s="156"/>
      <c r="E181" s="392"/>
      <c r="F181" s="392"/>
      <c r="G181" s="392"/>
      <c r="H181" s="392"/>
      <c r="I181" s="392"/>
      <c r="J181" s="392"/>
      <c r="K181" s="392"/>
      <c r="L181" s="392"/>
      <c r="M181" s="392"/>
      <c r="N181" s="392"/>
      <c r="O181" s="392"/>
      <c r="P181" s="392"/>
      <c r="Q181" s="392"/>
      <c r="R181" s="392"/>
      <c r="S181" s="392"/>
      <c r="T181" s="392"/>
      <c r="U181" s="392"/>
      <c r="V181" s="392"/>
      <c r="W181" s="392"/>
      <c r="X181" s="392"/>
      <c r="Y181" s="392"/>
      <c r="Z181" s="392"/>
      <c r="AA181" s="392"/>
      <c r="AB181" s="392"/>
      <c r="AC181" s="392"/>
      <c r="AD181" s="392"/>
      <c r="AE181" s="392"/>
      <c r="AF181" s="392"/>
      <c r="AG181" s="392"/>
      <c r="AH181" s="392"/>
      <c r="AI181" s="392"/>
      <c r="AJ181" s="392"/>
      <c r="AK181" s="392"/>
      <c r="AL181" s="392"/>
      <c r="AM181" s="392"/>
      <c r="AN181" s="392"/>
      <c r="AO181" s="392"/>
      <c r="AP181" s="392"/>
      <c r="AQ181" s="392"/>
      <c r="AR181" s="392"/>
      <c r="AS181" s="392"/>
      <c r="AT181" s="392"/>
      <c r="AU181" s="392"/>
      <c r="AV181" s="392"/>
      <c r="AW181" s="392"/>
      <c r="AX181" s="392"/>
      <c r="AY181" s="392"/>
      <c r="AZ181" s="392"/>
      <c r="BA181" s="392"/>
      <c r="BB181" s="392"/>
      <c r="BC181" s="392"/>
      <c r="BD181" s="392"/>
      <c r="BE181" s="392"/>
      <c r="BF181" s="392"/>
      <c r="BG181" s="392"/>
      <c r="BH181" s="392"/>
      <c r="BI181" s="392"/>
      <c r="BJ181" s="392"/>
      <c r="BK181" s="392"/>
      <c r="BL181" s="392"/>
      <c r="BM181" s="392"/>
      <c r="BN181" s="392"/>
      <c r="BO181" s="392"/>
      <c r="BP181" s="392"/>
      <c r="BQ181" s="392"/>
      <c r="BR181" s="392"/>
      <c r="BS181" s="392"/>
      <c r="BT181" s="392"/>
    </row>
    <row r="182" ht="15.75" customHeight="1">
      <c r="A182" s="216"/>
      <c r="B182" s="156"/>
      <c r="C182" s="156"/>
      <c r="D182" s="156"/>
      <c r="E182" s="392"/>
      <c r="F182" s="392"/>
      <c r="G182" s="392"/>
      <c r="H182" s="392"/>
      <c r="I182" s="392"/>
      <c r="J182" s="392"/>
      <c r="K182" s="392"/>
      <c r="L182" s="392"/>
      <c r="M182" s="392"/>
      <c r="N182" s="392"/>
      <c r="O182" s="392"/>
      <c r="P182" s="392"/>
      <c r="Q182" s="392"/>
      <c r="R182" s="392"/>
      <c r="S182" s="392"/>
      <c r="T182" s="392"/>
      <c r="U182" s="392"/>
      <c r="V182" s="392"/>
      <c r="W182" s="392"/>
      <c r="X182" s="392"/>
      <c r="Y182" s="392"/>
      <c r="Z182" s="392"/>
      <c r="AA182" s="392"/>
      <c r="AB182" s="392"/>
      <c r="AC182" s="392"/>
      <c r="AD182" s="392"/>
      <c r="AE182" s="392"/>
      <c r="AF182" s="392"/>
      <c r="AG182" s="392"/>
      <c r="AH182" s="392"/>
      <c r="AI182" s="392"/>
      <c r="AJ182" s="392"/>
      <c r="AK182" s="392"/>
      <c r="AL182" s="392"/>
      <c r="AM182" s="392"/>
      <c r="AN182" s="392"/>
      <c r="AO182" s="392"/>
      <c r="AP182" s="392"/>
      <c r="AQ182" s="392"/>
      <c r="AR182" s="392"/>
      <c r="AS182" s="392"/>
      <c r="AT182" s="392"/>
      <c r="AU182" s="392"/>
      <c r="AV182" s="392"/>
      <c r="AW182" s="392"/>
      <c r="AX182" s="392"/>
      <c r="AY182" s="392"/>
      <c r="AZ182" s="392"/>
      <c r="BA182" s="392"/>
      <c r="BB182" s="392"/>
      <c r="BC182" s="392"/>
      <c r="BD182" s="392"/>
      <c r="BE182" s="392"/>
      <c r="BF182" s="392"/>
      <c r="BG182" s="392"/>
      <c r="BH182" s="392"/>
      <c r="BI182" s="392"/>
      <c r="BJ182" s="392"/>
      <c r="BK182" s="392"/>
      <c r="BL182" s="392"/>
      <c r="BM182" s="392"/>
      <c r="BN182" s="392"/>
      <c r="BO182" s="392"/>
      <c r="BP182" s="392"/>
      <c r="BQ182" s="392"/>
      <c r="BR182" s="392"/>
      <c r="BS182" s="392"/>
      <c r="BT182" s="392"/>
    </row>
    <row r="183" ht="15.75" customHeight="1">
      <c r="A183" s="216"/>
      <c r="B183" s="156"/>
      <c r="C183" s="156"/>
      <c r="D183" s="156"/>
      <c r="E183" s="392"/>
      <c r="F183" s="392"/>
      <c r="G183" s="392"/>
      <c r="H183" s="392"/>
      <c r="I183" s="392"/>
      <c r="J183" s="392"/>
      <c r="K183" s="392"/>
      <c r="L183" s="392"/>
      <c r="M183" s="392"/>
      <c r="N183" s="392"/>
      <c r="O183" s="392"/>
      <c r="P183" s="392"/>
      <c r="Q183" s="392"/>
      <c r="R183" s="392"/>
      <c r="S183" s="392"/>
      <c r="T183" s="392"/>
      <c r="U183" s="392"/>
      <c r="V183" s="392"/>
      <c r="W183" s="392"/>
      <c r="X183" s="392"/>
      <c r="Y183" s="392"/>
      <c r="Z183" s="392"/>
      <c r="AA183" s="392"/>
      <c r="AB183" s="392"/>
      <c r="AC183" s="392"/>
      <c r="AD183" s="392"/>
      <c r="AE183" s="392"/>
      <c r="AF183" s="392"/>
      <c r="AG183" s="392"/>
      <c r="AH183" s="392"/>
      <c r="AI183" s="392"/>
      <c r="AJ183" s="392"/>
      <c r="AK183" s="392"/>
      <c r="AL183" s="392"/>
      <c r="AM183" s="392"/>
      <c r="AN183" s="392"/>
      <c r="AO183" s="392"/>
      <c r="AP183" s="392"/>
      <c r="AQ183" s="392"/>
      <c r="AR183" s="392"/>
      <c r="AS183" s="392"/>
      <c r="AT183" s="392"/>
      <c r="AU183" s="392"/>
      <c r="AV183" s="392"/>
      <c r="AW183" s="392"/>
      <c r="AX183" s="392"/>
      <c r="AY183" s="392"/>
      <c r="AZ183" s="392"/>
      <c r="BA183" s="392"/>
      <c r="BB183" s="392"/>
      <c r="BC183" s="392"/>
      <c r="BD183" s="392"/>
      <c r="BE183" s="392"/>
      <c r="BF183" s="392"/>
      <c r="BG183" s="392"/>
      <c r="BH183" s="392"/>
      <c r="BI183" s="392"/>
      <c r="BJ183" s="392"/>
      <c r="BK183" s="392"/>
      <c r="BL183" s="392"/>
      <c r="BM183" s="392"/>
      <c r="BN183" s="392"/>
      <c r="BO183" s="392"/>
      <c r="BP183" s="392"/>
      <c r="BQ183" s="392"/>
      <c r="BR183" s="392"/>
      <c r="BS183" s="392"/>
      <c r="BT183" s="392"/>
    </row>
    <row r="184" ht="15.75" customHeight="1">
      <c r="A184" s="216"/>
      <c r="B184" s="156"/>
      <c r="C184" s="156"/>
      <c r="D184" s="156"/>
      <c r="E184" s="392"/>
      <c r="F184" s="392"/>
      <c r="G184" s="392"/>
      <c r="H184" s="392"/>
      <c r="I184" s="392"/>
      <c r="J184" s="392"/>
      <c r="K184" s="392"/>
      <c r="L184" s="392"/>
      <c r="M184" s="392"/>
      <c r="N184" s="392"/>
      <c r="O184" s="392"/>
      <c r="P184" s="392"/>
      <c r="Q184" s="392"/>
      <c r="R184" s="392"/>
      <c r="S184" s="392"/>
      <c r="T184" s="392"/>
      <c r="U184" s="392"/>
      <c r="V184" s="392"/>
      <c r="W184" s="392"/>
      <c r="X184" s="392"/>
      <c r="Y184" s="392"/>
      <c r="Z184" s="392"/>
      <c r="AA184" s="392"/>
      <c r="AB184" s="392"/>
      <c r="AC184" s="392"/>
      <c r="AD184" s="392"/>
      <c r="AE184" s="392"/>
      <c r="AF184" s="392"/>
      <c r="AG184" s="392"/>
      <c r="AH184" s="392"/>
      <c r="AI184" s="392"/>
      <c r="AJ184" s="392"/>
      <c r="AK184" s="392"/>
      <c r="AL184" s="392"/>
      <c r="AM184" s="392"/>
      <c r="AN184" s="392"/>
      <c r="AO184" s="392"/>
      <c r="AP184" s="392"/>
      <c r="AQ184" s="392"/>
      <c r="AR184" s="392"/>
      <c r="AS184" s="392"/>
      <c r="AT184" s="392"/>
      <c r="AU184" s="392"/>
      <c r="AV184" s="392"/>
      <c r="AW184" s="392"/>
      <c r="AX184" s="392"/>
      <c r="AY184" s="392"/>
      <c r="AZ184" s="392"/>
      <c r="BA184" s="392"/>
      <c r="BB184" s="392"/>
      <c r="BC184" s="392"/>
      <c r="BD184" s="392"/>
      <c r="BE184" s="392"/>
      <c r="BF184" s="392"/>
      <c r="BG184" s="392"/>
      <c r="BH184" s="392"/>
      <c r="BI184" s="392"/>
      <c r="BJ184" s="392"/>
      <c r="BK184" s="392"/>
      <c r="BL184" s="392"/>
      <c r="BM184" s="392"/>
      <c r="BN184" s="392"/>
      <c r="BO184" s="392"/>
      <c r="BP184" s="392"/>
      <c r="BQ184" s="392"/>
      <c r="BR184" s="392"/>
      <c r="BS184" s="392"/>
      <c r="BT184" s="392"/>
    </row>
    <row r="185" ht="15.75" customHeight="1">
      <c r="A185" s="216"/>
      <c r="B185" s="156"/>
      <c r="C185" s="156"/>
      <c r="D185" s="156"/>
      <c r="E185" s="392"/>
      <c r="F185" s="392"/>
      <c r="G185" s="392"/>
      <c r="H185" s="392"/>
      <c r="I185" s="392"/>
      <c r="J185" s="392"/>
      <c r="K185" s="392"/>
      <c r="L185" s="392"/>
      <c r="M185" s="392"/>
      <c r="N185" s="392"/>
      <c r="O185" s="392"/>
      <c r="P185" s="392"/>
      <c r="Q185" s="392"/>
      <c r="R185" s="392"/>
      <c r="S185" s="392"/>
      <c r="T185" s="392"/>
      <c r="U185" s="392"/>
      <c r="V185" s="392"/>
      <c r="W185" s="392"/>
      <c r="X185" s="392"/>
      <c r="Y185" s="392"/>
      <c r="Z185" s="392"/>
      <c r="AA185" s="392"/>
      <c r="AB185" s="392"/>
      <c r="AC185" s="392"/>
      <c r="AD185" s="392"/>
      <c r="AE185" s="392"/>
      <c r="AF185" s="392"/>
      <c r="AG185" s="392"/>
      <c r="AH185" s="392"/>
      <c r="AI185" s="392"/>
      <c r="AJ185" s="392"/>
      <c r="AK185" s="392"/>
      <c r="AL185" s="392"/>
      <c r="AM185" s="392"/>
      <c r="AN185" s="392"/>
      <c r="AO185" s="392"/>
      <c r="AP185" s="392"/>
      <c r="AQ185" s="392"/>
      <c r="AR185" s="392"/>
      <c r="AS185" s="392"/>
      <c r="AT185" s="392"/>
      <c r="AU185" s="392"/>
      <c r="AV185" s="392"/>
      <c r="AW185" s="392"/>
      <c r="AX185" s="392"/>
      <c r="AY185" s="392"/>
      <c r="AZ185" s="392"/>
      <c r="BA185" s="392"/>
      <c r="BB185" s="392"/>
      <c r="BC185" s="392"/>
      <c r="BD185" s="392"/>
      <c r="BE185" s="392"/>
      <c r="BF185" s="392"/>
      <c r="BG185" s="392"/>
      <c r="BH185" s="392"/>
      <c r="BI185" s="392"/>
      <c r="BJ185" s="392"/>
      <c r="BK185" s="392"/>
      <c r="BL185" s="392"/>
      <c r="BM185" s="392"/>
      <c r="BN185" s="392"/>
      <c r="BO185" s="392"/>
      <c r="BP185" s="392"/>
      <c r="BQ185" s="392"/>
      <c r="BR185" s="392"/>
      <c r="BS185" s="392"/>
      <c r="BT185" s="392"/>
    </row>
    <row r="186" ht="15.75" customHeight="1">
      <c r="A186" s="216"/>
      <c r="B186" s="156"/>
      <c r="C186" s="156"/>
      <c r="D186" s="156"/>
      <c r="E186" s="392"/>
      <c r="F186" s="392"/>
      <c r="G186" s="392"/>
      <c r="H186" s="392"/>
      <c r="I186" s="392"/>
      <c r="J186" s="392"/>
      <c r="K186" s="392"/>
      <c r="L186" s="392"/>
      <c r="M186" s="392"/>
      <c r="N186" s="392"/>
      <c r="O186" s="392"/>
      <c r="P186" s="392"/>
      <c r="Q186" s="392"/>
      <c r="R186" s="392"/>
      <c r="S186" s="392"/>
      <c r="T186" s="392"/>
      <c r="U186" s="392"/>
      <c r="V186" s="392"/>
      <c r="W186" s="392"/>
      <c r="X186" s="392"/>
      <c r="Y186" s="392"/>
      <c r="Z186" s="392"/>
      <c r="AA186" s="392"/>
      <c r="AB186" s="392"/>
      <c r="AC186" s="392"/>
      <c r="AD186" s="392"/>
      <c r="AE186" s="392"/>
      <c r="AF186" s="392"/>
      <c r="AG186" s="392"/>
      <c r="AH186" s="392"/>
      <c r="AI186" s="392"/>
      <c r="AJ186" s="392"/>
      <c r="AK186" s="392"/>
      <c r="AL186" s="392"/>
      <c r="AM186" s="392"/>
      <c r="AN186" s="392"/>
      <c r="AO186" s="392"/>
      <c r="AP186" s="392"/>
      <c r="AQ186" s="392"/>
      <c r="AR186" s="392"/>
      <c r="AS186" s="392"/>
      <c r="AT186" s="392"/>
      <c r="AU186" s="392"/>
      <c r="AV186" s="392"/>
      <c r="AW186" s="392"/>
      <c r="AX186" s="392"/>
      <c r="AY186" s="392"/>
      <c r="AZ186" s="392"/>
      <c r="BA186" s="392"/>
      <c r="BB186" s="392"/>
      <c r="BC186" s="392"/>
      <c r="BD186" s="392"/>
      <c r="BE186" s="392"/>
      <c r="BF186" s="392"/>
      <c r="BG186" s="392"/>
      <c r="BH186" s="392"/>
      <c r="BI186" s="392"/>
      <c r="BJ186" s="392"/>
      <c r="BK186" s="392"/>
      <c r="BL186" s="392"/>
      <c r="BM186" s="392"/>
      <c r="BN186" s="392"/>
      <c r="BO186" s="392"/>
      <c r="BP186" s="392"/>
      <c r="BQ186" s="392"/>
      <c r="BR186" s="392"/>
      <c r="BS186" s="392"/>
      <c r="BT186" s="392"/>
    </row>
    <row r="187" ht="15.75" customHeight="1">
      <c r="A187" s="216"/>
      <c r="B187" s="156"/>
      <c r="C187" s="156"/>
      <c r="D187" s="156"/>
      <c r="E187" s="392"/>
      <c r="F187" s="392"/>
      <c r="G187" s="392"/>
      <c r="H187" s="392"/>
      <c r="I187" s="392"/>
      <c r="J187" s="392"/>
      <c r="K187" s="392"/>
      <c r="L187" s="392"/>
      <c r="M187" s="392"/>
      <c r="N187" s="392"/>
      <c r="O187" s="392"/>
      <c r="P187" s="392"/>
      <c r="Q187" s="392"/>
      <c r="R187" s="392"/>
      <c r="S187" s="392"/>
      <c r="T187" s="392"/>
      <c r="U187" s="392"/>
      <c r="V187" s="392"/>
      <c r="W187" s="392"/>
      <c r="X187" s="392"/>
      <c r="Y187" s="392"/>
      <c r="Z187" s="392"/>
      <c r="AA187" s="392"/>
      <c r="AB187" s="392"/>
      <c r="AC187" s="392"/>
      <c r="AD187" s="392"/>
      <c r="AE187" s="392"/>
      <c r="AF187" s="392"/>
      <c r="AG187" s="392"/>
      <c r="AH187" s="392"/>
      <c r="AI187" s="392"/>
      <c r="AJ187" s="392"/>
      <c r="AK187" s="392"/>
      <c r="AL187" s="392"/>
      <c r="AM187" s="392"/>
      <c r="AN187" s="392"/>
      <c r="AO187" s="392"/>
      <c r="AP187" s="392"/>
      <c r="AQ187" s="392"/>
      <c r="AR187" s="392"/>
      <c r="AS187" s="392"/>
      <c r="AT187" s="392"/>
      <c r="AU187" s="392"/>
      <c r="AV187" s="392"/>
      <c r="AW187" s="392"/>
      <c r="AX187" s="392"/>
      <c r="AY187" s="392"/>
      <c r="AZ187" s="392"/>
      <c r="BA187" s="392"/>
      <c r="BB187" s="392"/>
      <c r="BC187" s="392"/>
      <c r="BD187" s="392"/>
      <c r="BE187" s="392"/>
      <c r="BF187" s="392"/>
      <c r="BG187" s="392"/>
      <c r="BH187" s="392"/>
      <c r="BI187" s="392"/>
      <c r="BJ187" s="392"/>
      <c r="BK187" s="392"/>
      <c r="BL187" s="392"/>
      <c r="BM187" s="392"/>
      <c r="BN187" s="392"/>
      <c r="BO187" s="392"/>
      <c r="BP187" s="392"/>
      <c r="BQ187" s="392"/>
      <c r="BR187" s="392"/>
      <c r="BS187" s="392"/>
      <c r="BT187" s="392"/>
    </row>
    <row r="188" ht="15.75" customHeight="1">
      <c r="A188" s="216"/>
      <c r="B188" s="156"/>
      <c r="C188" s="156"/>
      <c r="D188" s="156"/>
      <c r="E188" s="392"/>
      <c r="F188" s="392"/>
      <c r="G188" s="392"/>
      <c r="H188" s="392"/>
      <c r="I188" s="392"/>
      <c r="J188" s="392"/>
      <c r="K188" s="392"/>
      <c r="L188" s="392"/>
      <c r="M188" s="392"/>
      <c r="N188" s="392"/>
      <c r="O188" s="392"/>
      <c r="P188" s="392"/>
      <c r="Q188" s="392"/>
      <c r="R188" s="392"/>
      <c r="S188" s="392"/>
      <c r="T188" s="392"/>
      <c r="U188" s="392"/>
      <c r="V188" s="392"/>
      <c r="W188" s="392"/>
      <c r="X188" s="392"/>
      <c r="Y188" s="392"/>
      <c r="Z188" s="392"/>
      <c r="AA188" s="392"/>
      <c r="AB188" s="392"/>
      <c r="AC188" s="392"/>
      <c r="AD188" s="392"/>
      <c r="AE188" s="392"/>
      <c r="AF188" s="392"/>
      <c r="AG188" s="392"/>
      <c r="AH188" s="392"/>
      <c r="AI188" s="392"/>
      <c r="AJ188" s="392"/>
      <c r="AK188" s="392"/>
      <c r="AL188" s="392"/>
      <c r="AM188" s="392"/>
      <c r="AN188" s="392"/>
      <c r="AO188" s="392"/>
      <c r="AP188" s="392"/>
      <c r="AQ188" s="392"/>
      <c r="AR188" s="392"/>
      <c r="AS188" s="392"/>
      <c r="AT188" s="392"/>
      <c r="AU188" s="392"/>
      <c r="AV188" s="392"/>
      <c r="AW188" s="392"/>
      <c r="AX188" s="392"/>
      <c r="AY188" s="392"/>
      <c r="AZ188" s="392"/>
      <c r="BA188" s="392"/>
      <c r="BB188" s="392"/>
      <c r="BC188" s="392"/>
      <c r="BD188" s="392"/>
      <c r="BE188" s="392"/>
      <c r="BF188" s="392"/>
      <c r="BG188" s="392"/>
      <c r="BH188" s="392"/>
      <c r="BI188" s="392"/>
      <c r="BJ188" s="392"/>
      <c r="BK188" s="392"/>
      <c r="BL188" s="392"/>
      <c r="BM188" s="392"/>
      <c r="BN188" s="392"/>
      <c r="BO188" s="392"/>
      <c r="BP188" s="392"/>
      <c r="BQ188" s="392"/>
      <c r="BR188" s="392"/>
      <c r="BS188" s="392"/>
      <c r="BT188" s="392"/>
    </row>
    <row r="189" ht="15.75" customHeight="1">
      <c r="A189" s="216"/>
      <c r="B189" s="156"/>
      <c r="C189" s="156"/>
      <c r="D189" s="156"/>
      <c r="E189" s="392"/>
      <c r="F189" s="392"/>
      <c r="G189" s="392"/>
      <c r="H189" s="392"/>
      <c r="I189" s="392"/>
      <c r="J189" s="392"/>
      <c r="K189" s="392"/>
      <c r="L189" s="392"/>
      <c r="M189" s="392"/>
      <c r="N189" s="392"/>
      <c r="O189" s="392"/>
      <c r="P189" s="392"/>
      <c r="Q189" s="392"/>
      <c r="R189" s="392"/>
      <c r="S189" s="392"/>
      <c r="T189" s="392"/>
      <c r="U189" s="392"/>
      <c r="V189" s="392"/>
      <c r="W189" s="392"/>
      <c r="X189" s="392"/>
      <c r="Y189" s="392"/>
      <c r="Z189" s="392"/>
      <c r="AA189" s="392"/>
      <c r="AB189" s="392"/>
      <c r="AC189" s="392"/>
      <c r="AD189" s="392"/>
      <c r="AE189" s="392"/>
      <c r="AF189" s="392"/>
      <c r="AG189" s="392"/>
      <c r="AH189" s="392"/>
      <c r="AI189" s="392"/>
      <c r="AJ189" s="392"/>
      <c r="AK189" s="392"/>
      <c r="AL189" s="392"/>
      <c r="AM189" s="392"/>
      <c r="AN189" s="392"/>
      <c r="AO189" s="392"/>
      <c r="AP189" s="392"/>
      <c r="AQ189" s="392"/>
      <c r="AR189" s="392"/>
      <c r="AS189" s="392"/>
      <c r="AT189" s="392"/>
      <c r="AU189" s="392"/>
      <c r="AV189" s="392"/>
      <c r="AW189" s="392"/>
      <c r="AX189" s="392"/>
      <c r="AY189" s="392"/>
      <c r="AZ189" s="392"/>
      <c r="BA189" s="392"/>
      <c r="BB189" s="392"/>
      <c r="BC189" s="392"/>
      <c r="BD189" s="392"/>
      <c r="BE189" s="392"/>
      <c r="BF189" s="392"/>
      <c r="BG189" s="392"/>
      <c r="BH189" s="392"/>
      <c r="BI189" s="392"/>
      <c r="BJ189" s="392"/>
      <c r="BK189" s="392"/>
      <c r="BL189" s="392"/>
      <c r="BM189" s="392"/>
      <c r="BN189" s="392"/>
      <c r="BO189" s="392"/>
      <c r="BP189" s="392"/>
      <c r="BQ189" s="392"/>
      <c r="BR189" s="392"/>
      <c r="BS189" s="392"/>
      <c r="BT189" s="392"/>
    </row>
    <row r="190" ht="15.75" customHeight="1">
      <c r="A190" s="216"/>
      <c r="B190" s="156"/>
      <c r="C190" s="156"/>
      <c r="D190" s="156"/>
      <c r="E190" s="392"/>
      <c r="F190" s="392"/>
      <c r="G190" s="392"/>
      <c r="H190" s="392"/>
      <c r="I190" s="392"/>
      <c r="J190" s="392"/>
      <c r="K190" s="392"/>
      <c r="L190" s="392"/>
      <c r="M190" s="392"/>
      <c r="N190" s="392"/>
      <c r="O190" s="392"/>
      <c r="P190" s="392"/>
      <c r="Q190" s="392"/>
      <c r="R190" s="392"/>
      <c r="S190" s="392"/>
      <c r="T190" s="392"/>
      <c r="U190" s="392"/>
      <c r="V190" s="392"/>
      <c r="W190" s="392"/>
      <c r="X190" s="392"/>
      <c r="Y190" s="392"/>
      <c r="Z190" s="392"/>
      <c r="AA190" s="392"/>
      <c r="AB190" s="392"/>
      <c r="AC190" s="392"/>
      <c r="AD190" s="392"/>
      <c r="AE190" s="392"/>
      <c r="AF190" s="392"/>
      <c r="AG190" s="392"/>
      <c r="AH190" s="392"/>
      <c r="AI190" s="392"/>
      <c r="AJ190" s="392"/>
      <c r="AK190" s="392"/>
      <c r="AL190" s="392"/>
      <c r="AM190" s="392"/>
      <c r="AN190" s="392"/>
      <c r="AO190" s="392"/>
      <c r="AP190" s="392"/>
      <c r="AQ190" s="392"/>
      <c r="AR190" s="392"/>
      <c r="AS190" s="392"/>
      <c r="AT190" s="392"/>
      <c r="AU190" s="392"/>
      <c r="AV190" s="392"/>
      <c r="AW190" s="392"/>
      <c r="AX190" s="392"/>
      <c r="AY190" s="392"/>
      <c r="AZ190" s="392"/>
      <c r="BA190" s="392"/>
      <c r="BB190" s="392"/>
      <c r="BC190" s="392"/>
      <c r="BD190" s="392"/>
      <c r="BE190" s="392"/>
      <c r="BF190" s="392"/>
      <c r="BG190" s="392"/>
      <c r="BH190" s="392"/>
      <c r="BI190" s="392"/>
      <c r="BJ190" s="392"/>
      <c r="BK190" s="392"/>
      <c r="BL190" s="392"/>
      <c r="BM190" s="392"/>
      <c r="BN190" s="392"/>
      <c r="BO190" s="392"/>
      <c r="BP190" s="392"/>
      <c r="BQ190" s="392"/>
      <c r="BR190" s="392"/>
      <c r="BS190" s="392"/>
      <c r="BT190" s="392"/>
    </row>
    <row r="191" ht="15.75" customHeight="1">
      <c r="A191" s="216"/>
      <c r="B191" s="156"/>
      <c r="C191" s="156"/>
      <c r="D191" s="156"/>
      <c r="E191" s="392"/>
      <c r="F191" s="392"/>
      <c r="G191" s="392"/>
      <c r="H191" s="392"/>
      <c r="I191" s="392"/>
      <c r="J191" s="392"/>
      <c r="K191" s="392"/>
      <c r="L191" s="392"/>
      <c r="M191" s="392"/>
      <c r="N191" s="392"/>
      <c r="O191" s="392"/>
      <c r="P191" s="392"/>
      <c r="Q191" s="392"/>
      <c r="R191" s="392"/>
      <c r="S191" s="392"/>
      <c r="T191" s="392"/>
      <c r="U191" s="392"/>
      <c r="V191" s="392"/>
      <c r="W191" s="392"/>
      <c r="X191" s="392"/>
      <c r="Y191" s="392"/>
      <c r="Z191" s="392"/>
      <c r="AA191" s="392"/>
      <c r="AB191" s="392"/>
      <c r="AC191" s="392"/>
      <c r="AD191" s="392"/>
      <c r="AE191" s="392"/>
      <c r="AF191" s="392"/>
      <c r="AG191" s="392"/>
      <c r="AH191" s="392"/>
      <c r="AI191" s="392"/>
      <c r="AJ191" s="392"/>
      <c r="AK191" s="392"/>
      <c r="AL191" s="392"/>
      <c r="AM191" s="392"/>
      <c r="AN191" s="392"/>
      <c r="AO191" s="392"/>
      <c r="AP191" s="392"/>
      <c r="AQ191" s="392"/>
      <c r="AR191" s="392"/>
      <c r="AS191" s="392"/>
      <c r="AT191" s="392"/>
      <c r="AU191" s="392"/>
      <c r="AV191" s="392"/>
      <c r="AW191" s="392"/>
      <c r="AX191" s="392"/>
      <c r="AY191" s="392"/>
      <c r="AZ191" s="392"/>
      <c r="BA191" s="392"/>
      <c r="BB191" s="392"/>
      <c r="BC191" s="392"/>
      <c r="BD191" s="392"/>
      <c r="BE191" s="392"/>
      <c r="BF191" s="392"/>
      <c r="BG191" s="392"/>
      <c r="BH191" s="392"/>
      <c r="BI191" s="392"/>
      <c r="BJ191" s="392"/>
      <c r="BK191" s="392"/>
      <c r="BL191" s="392"/>
      <c r="BM191" s="392"/>
      <c r="BN191" s="392"/>
      <c r="BO191" s="392"/>
      <c r="BP191" s="392"/>
      <c r="BQ191" s="392"/>
      <c r="BR191" s="392"/>
      <c r="BS191" s="392"/>
      <c r="BT191" s="392"/>
    </row>
    <row r="192" ht="15.75" customHeight="1">
      <c r="A192" s="216"/>
      <c r="B192" s="156"/>
      <c r="C192" s="156"/>
      <c r="D192" s="156"/>
      <c r="E192" s="392"/>
      <c r="F192" s="392"/>
      <c r="G192" s="392"/>
      <c r="H192" s="392"/>
      <c r="I192" s="392"/>
      <c r="J192" s="392"/>
      <c r="K192" s="392"/>
      <c r="L192" s="392"/>
      <c r="M192" s="392"/>
      <c r="N192" s="392"/>
      <c r="O192" s="392"/>
      <c r="P192" s="392"/>
      <c r="Q192" s="392"/>
      <c r="R192" s="392"/>
      <c r="S192" s="392"/>
      <c r="T192" s="392"/>
      <c r="U192" s="392"/>
      <c r="V192" s="392"/>
      <c r="W192" s="392"/>
      <c r="X192" s="392"/>
      <c r="Y192" s="392"/>
      <c r="Z192" s="392"/>
      <c r="AA192" s="392"/>
      <c r="AB192" s="392"/>
      <c r="AC192" s="392"/>
      <c r="AD192" s="392"/>
      <c r="AE192" s="392"/>
      <c r="AF192" s="392"/>
      <c r="AG192" s="392"/>
      <c r="AH192" s="392"/>
      <c r="AI192" s="392"/>
      <c r="AJ192" s="392"/>
      <c r="AK192" s="392"/>
      <c r="AL192" s="392"/>
      <c r="AM192" s="392"/>
      <c r="AN192" s="392"/>
      <c r="AO192" s="392"/>
      <c r="AP192" s="392"/>
      <c r="AQ192" s="392"/>
      <c r="AR192" s="392"/>
      <c r="AS192" s="392"/>
      <c r="AT192" s="392"/>
      <c r="AU192" s="392"/>
      <c r="AV192" s="392"/>
      <c r="AW192" s="392"/>
      <c r="AX192" s="392"/>
      <c r="AY192" s="392"/>
      <c r="AZ192" s="392"/>
      <c r="BA192" s="392"/>
      <c r="BB192" s="392"/>
      <c r="BC192" s="392"/>
      <c r="BD192" s="392"/>
      <c r="BE192" s="392"/>
      <c r="BF192" s="392"/>
      <c r="BG192" s="392"/>
      <c r="BH192" s="392"/>
      <c r="BI192" s="392"/>
      <c r="BJ192" s="392"/>
      <c r="BK192" s="392"/>
      <c r="BL192" s="392"/>
      <c r="BM192" s="392"/>
      <c r="BN192" s="392"/>
      <c r="BO192" s="392"/>
      <c r="BP192" s="392"/>
      <c r="BQ192" s="392"/>
      <c r="BR192" s="392"/>
      <c r="BS192" s="392"/>
      <c r="BT192" s="392"/>
    </row>
    <row r="193" ht="15.75" customHeight="1">
      <c r="A193" s="216"/>
      <c r="B193" s="156"/>
      <c r="C193" s="156"/>
      <c r="D193" s="156"/>
      <c r="E193" s="392"/>
      <c r="F193" s="392"/>
      <c r="G193" s="392"/>
      <c r="H193" s="392"/>
      <c r="I193" s="392"/>
      <c r="J193" s="392"/>
      <c r="K193" s="392"/>
      <c r="L193" s="392"/>
      <c r="M193" s="392"/>
      <c r="N193" s="392"/>
      <c r="O193" s="392"/>
      <c r="P193" s="392"/>
      <c r="Q193" s="392"/>
      <c r="R193" s="392"/>
      <c r="S193" s="392"/>
      <c r="T193" s="392"/>
      <c r="U193" s="392"/>
      <c r="V193" s="392"/>
      <c r="W193" s="392"/>
      <c r="X193" s="392"/>
      <c r="Y193" s="392"/>
      <c r="Z193" s="392"/>
      <c r="AA193" s="392"/>
      <c r="AB193" s="392"/>
      <c r="AC193" s="392"/>
      <c r="AD193" s="392"/>
      <c r="AE193" s="392"/>
      <c r="AF193" s="392"/>
      <c r="AG193" s="392"/>
      <c r="AH193" s="392"/>
      <c r="AI193" s="392"/>
      <c r="AJ193" s="392"/>
      <c r="AK193" s="392"/>
      <c r="AL193" s="392"/>
      <c r="AM193" s="392"/>
      <c r="AN193" s="392"/>
      <c r="AO193" s="392"/>
      <c r="AP193" s="392"/>
      <c r="AQ193" s="392"/>
      <c r="AR193" s="392"/>
      <c r="AS193" s="392"/>
      <c r="AT193" s="392"/>
      <c r="AU193" s="392"/>
      <c r="AV193" s="392"/>
      <c r="AW193" s="392"/>
      <c r="AX193" s="392"/>
      <c r="AY193" s="392"/>
      <c r="AZ193" s="392"/>
      <c r="BA193" s="392"/>
      <c r="BB193" s="392"/>
      <c r="BC193" s="392"/>
      <c r="BD193" s="392"/>
      <c r="BE193" s="392"/>
      <c r="BF193" s="392"/>
      <c r="BG193" s="392"/>
      <c r="BH193" s="392"/>
      <c r="BI193" s="392"/>
      <c r="BJ193" s="392"/>
      <c r="BK193" s="392"/>
      <c r="BL193" s="392"/>
      <c r="BM193" s="392"/>
      <c r="BN193" s="392"/>
      <c r="BO193" s="392"/>
      <c r="BP193" s="392"/>
      <c r="BQ193" s="392"/>
      <c r="BR193" s="392"/>
      <c r="BS193" s="392"/>
      <c r="BT193" s="392"/>
    </row>
    <row r="194" ht="15.75" customHeight="1">
      <c r="A194" s="216"/>
      <c r="B194" s="156"/>
      <c r="C194" s="156"/>
      <c r="D194" s="156"/>
      <c r="E194" s="392"/>
      <c r="F194" s="392"/>
      <c r="G194" s="392"/>
      <c r="H194" s="392"/>
      <c r="I194" s="392"/>
      <c r="J194" s="392"/>
      <c r="K194" s="392"/>
      <c r="L194" s="392"/>
      <c r="M194" s="392"/>
      <c r="N194" s="392"/>
      <c r="O194" s="392"/>
      <c r="P194" s="392"/>
      <c r="Q194" s="392"/>
      <c r="R194" s="392"/>
      <c r="S194" s="392"/>
      <c r="T194" s="392"/>
      <c r="U194" s="392"/>
      <c r="V194" s="392"/>
      <c r="W194" s="392"/>
      <c r="X194" s="392"/>
      <c r="Y194" s="392"/>
      <c r="Z194" s="392"/>
      <c r="AA194" s="392"/>
      <c r="AB194" s="392"/>
      <c r="AC194" s="392"/>
      <c r="AD194" s="392"/>
      <c r="AE194" s="392"/>
      <c r="AF194" s="392"/>
      <c r="AG194" s="392"/>
      <c r="AH194" s="392"/>
      <c r="AI194" s="392"/>
      <c r="AJ194" s="392"/>
      <c r="AK194" s="392"/>
      <c r="AL194" s="392"/>
      <c r="AM194" s="392"/>
      <c r="AN194" s="392"/>
      <c r="AO194" s="392"/>
      <c r="AP194" s="392"/>
      <c r="AQ194" s="392"/>
      <c r="AR194" s="392"/>
      <c r="AS194" s="392"/>
      <c r="AT194" s="392"/>
      <c r="AU194" s="392"/>
      <c r="AV194" s="392"/>
      <c r="AW194" s="392"/>
      <c r="AX194" s="392"/>
      <c r="AY194" s="392"/>
      <c r="AZ194" s="392"/>
      <c r="BA194" s="392"/>
      <c r="BB194" s="392"/>
      <c r="BC194" s="392"/>
      <c r="BD194" s="392"/>
      <c r="BE194" s="392"/>
      <c r="BF194" s="392"/>
      <c r="BG194" s="392"/>
      <c r="BH194" s="392"/>
      <c r="BI194" s="392"/>
      <c r="BJ194" s="392"/>
      <c r="BK194" s="392"/>
      <c r="BL194" s="392"/>
      <c r="BM194" s="392"/>
      <c r="BN194" s="392"/>
      <c r="BO194" s="392"/>
      <c r="BP194" s="392"/>
      <c r="BQ194" s="392"/>
      <c r="BR194" s="392"/>
      <c r="BS194" s="392"/>
      <c r="BT194" s="392"/>
    </row>
    <row r="195" ht="15.75" customHeight="1">
      <c r="A195" s="216"/>
      <c r="B195" s="156"/>
      <c r="C195" s="156"/>
      <c r="D195" s="156"/>
      <c r="E195" s="392"/>
      <c r="F195" s="392"/>
      <c r="G195" s="392"/>
      <c r="H195" s="392"/>
      <c r="I195" s="392"/>
      <c r="J195" s="392"/>
      <c r="K195" s="392"/>
      <c r="L195" s="392"/>
      <c r="M195" s="392"/>
      <c r="N195" s="392"/>
      <c r="O195" s="392"/>
      <c r="P195" s="392"/>
      <c r="Q195" s="392"/>
      <c r="R195" s="392"/>
      <c r="S195" s="392"/>
      <c r="T195" s="392"/>
      <c r="U195" s="392"/>
      <c r="V195" s="392"/>
      <c r="W195" s="392"/>
      <c r="X195" s="392"/>
      <c r="Y195" s="392"/>
      <c r="Z195" s="392"/>
      <c r="AA195" s="392"/>
      <c r="AB195" s="392"/>
      <c r="AC195" s="392"/>
      <c r="AD195" s="392"/>
      <c r="AE195" s="392"/>
      <c r="AF195" s="392"/>
      <c r="AG195" s="392"/>
      <c r="AH195" s="392"/>
      <c r="AI195" s="392"/>
      <c r="AJ195" s="392"/>
      <c r="AK195" s="392"/>
      <c r="AL195" s="392"/>
      <c r="AM195" s="392"/>
      <c r="AN195" s="392"/>
      <c r="AO195" s="392"/>
      <c r="AP195" s="392"/>
      <c r="AQ195" s="392"/>
      <c r="AR195" s="392"/>
      <c r="AS195" s="392"/>
      <c r="AT195" s="392"/>
      <c r="AU195" s="392"/>
      <c r="AV195" s="392"/>
      <c r="AW195" s="392"/>
      <c r="AX195" s="392"/>
      <c r="AY195" s="392"/>
      <c r="AZ195" s="392"/>
      <c r="BA195" s="392"/>
      <c r="BB195" s="392"/>
      <c r="BC195" s="392"/>
      <c r="BD195" s="392"/>
      <c r="BE195" s="392"/>
      <c r="BF195" s="392"/>
      <c r="BG195" s="392"/>
      <c r="BH195" s="392"/>
      <c r="BI195" s="392"/>
      <c r="BJ195" s="392"/>
      <c r="BK195" s="392"/>
      <c r="BL195" s="392"/>
      <c r="BM195" s="392"/>
      <c r="BN195" s="392"/>
      <c r="BO195" s="392"/>
      <c r="BP195" s="392"/>
      <c r="BQ195" s="392"/>
      <c r="BR195" s="392"/>
      <c r="BS195" s="392"/>
      <c r="BT195" s="392"/>
    </row>
    <row r="196" ht="15.75" customHeight="1">
      <c r="A196" s="216"/>
      <c r="B196" s="156"/>
      <c r="C196" s="156"/>
      <c r="D196" s="156"/>
      <c r="E196" s="392"/>
      <c r="F196" s="392"/>
      <c r="G196" s="392"/>
      <c r="H196" s="392"/>
      <c r="I196" s="392"/>
      <c r="J196" s="392"/>
      <c r="K196" s="392"/>
      <c r="L196" s="392"/>
      <c r="M196" s="392"/>
      <c r="N196" s="392"/>
      <c r="O196" s="392"/>
      <c r="P196" s="392"/>
      <c r="Q196" s="392"/>
      <c r="R196" s="392"/>
      <c r="S196" s="392"/>
      <c r="T196" s="392"/>
      <c r="U196" s="392"/>
      <c r="V196" s="392"/>
      <c r="W196" s="392"/>
      <c r="X196" s="392"/>
      <c r="Y196" s="392"/>
      <c r="Z196" s="392"/>
      <c r="AA196" s="392"/>
      <c r="AB196" s="392"/>
      <c r="AC196" s="392"/>
      <c r="AD196" s="392"/>
      <c r="AE196" s="392"/>
      <c r="AF196" s="392"/>
      <c r="AG196" s="392"/>
      <c r="AH196" s="392"/>
      <c r="AI196" s="392"/>
      <c r="AJ196" s="392"/>
      <c r="AK196" s="392"/>
      <c r="AL196" s="392"/>
      <c r="AM196" s="392"/>
      <c r="AN196" s="392"/>
      <c r="AO196" s="392"/>
      <c r="AP196" s="392"/>
      <c r="AQ196" s="392"/>
      <c r="AR196" s="392"/>
      <c r="AS196" s="392"/>
      <c r="AT196" s="392"/>
      <c r="AU196" s="392"/>
      <c r="AV196" s="392"/>
      <c r="AW196" s="392"/>
      <c r="AX196" s="392"/>
      <c r="AY196" s="392"/>
      <c r="AZ196" s="392"/>
      <c r="BA196" s="392"/>
      <c r="BB196" s="392"/>
      <c r="BC196" s="392"/>
      <c r="BD196" s="392"/>
      <c r="BE196" s="392"/>
      <c r="BF196" s="392"/>
      <c r="BG196" s="392"/>
      <c r="BH196" s="392"/>
      <c r="BI196" s="392"/>
      <c r="BJ196" s="392"/>
      <c r="BK196" s="392"/>
      <c r="BL196" s="392"/>
      <c r="BM196" s="392"/>
      <c r="BN196" s="392"/>
      <c r="BO196" s="392"/>
      <c r="BP196" s="392"/>
      <c r="BQ196" s="392"/>
      <c r="BR196" s="392"/>
      <c r="BS196" s="392"/>
      <c r="BT196" s="392"/>
    </row>
    <row r="197" ht="15.75" customHeight="1">
      <c r="A197" s="216"/>
      <c r="B197" s="156"/>
      <c r="C197" s="156"/>
      <c r="D197" s="156"/>
      <c r="E197" s="392"/>
      <c r="F197" s="392"/>
      <c r="G197" s="392"/>
      <c r="H197" s="392"/>
      <c r="I197" s="392"/>
      <c r="J197" s="392"/>
      <c r="K197" s="392"/>
      <c r="L197" s="392"/>
      <c r="M197" s="392"/>
      <c r="N197" s="392"/>
      <c r="O197" s="392"/>
      <c r="P197" s="392"/>
      <c r="Q197" s="392"/>
      <c r="R197" s="392"/>
      <c r="S197" s="392"/>
      <c r="T197" s="392"/>
      <c r="U197" s="392"/>
      <c r="V197" s="392"/>
      <c r="W197" s="392"/>
      <c r="X197" s="392"/>
      <c r="Y197" s="392"/>
      <c r="Z197" s="392"/>
      <c r="AA197" s="392"/>
      <c r="AB197" s="392"/>
      <c r="AC197" s="392"/>
      <c r="AD197" s="392"/>
      <c r="AE197" s="392"/>
      <c r="AF197" s="392"/>
      <c r="AG197" s="392"/>
      <c r="AH197" s="392"/>
      <c r="AI197" s="392"/>
      <c r="AJ197" s="392"/>
      <c r="AK197" s="392"/>
      <c r="AL197" s="392"/>
      <c r="AM197" s="392"/>
      <c r="AN197" s="392"/>
      <c r="AO197" s="392"/>
      <c r="AP197" s="392"/>
      <c r="AQ197" s="392"/>
      <c r="AR197" s="392"/>
      <c r="AS197" s="392"/>
      <c r="AT197" s="392"/>
      <c r="AU197" s="392"/>
      <c r="AV197" s="392"/>
      <c r="AW197" s="392"/>
      <c r="AX197" s="392"/>
      <c r="AY197" s="392"/>
      <c r="AZ197" s="392"/>
      <c r="BA197" s="392"/>
      <c r="BB197" s="392"/>
      <c r="BC197" s="392"/>
      <c r="BD197" s="392"/>
      <c r="BE197" s="392"/>
      <c r="BF197" s="392"/>
      <c r="BG197" s="392"/>
      <c r="BH197" s="392"/>
      <c r="BI197" s="392"/>
      <c r="BJ197" s="392"/>
      <c r="BK197" s="392"/>
      <c r="BL197" s="392"/>
      <c r="BM197" s="392"/>
      <c r="BN197" s="392"/>
      <c r="BO197" s="392"/>
      <c r="BP197" s="392"/>
      <c r="BQ197" s="392"/>
      <c r="BR197" s="392"/>
      <c r="BS197" s="392"/>
      <c r="BT197" s="392"/>
    </row>
    <row r="198" ht="15.75" customHeight="1">
      <c r="A198" s="216"/>
      <c r="B198" s="156"/>
      <c r="C198" s="156"/>
      <c r="D198" s="156"/>
      <c r="E198" s="392"/>
      <c r="F198" s="392"/>
      <c r="G198" s="392"/>
      <c r="H198" s="392"/>
      <c r="I198" s="392"/>
      <c r="J198" s="392"/>
      <c r="K198" s="392"/>
      <c r="L198" s="392"/>
      <c r="M198" s="392"/>
      <c r="N198" s="392"/>
      <c r="O198" s="392"/>
      <c r="P198" s="392"/>
      <c r="Q198" s="392"/>
      <c r="R198" s="392"/>
      <c r="S198" s="392"/>
      <c r="T198" s="392"/>
      <c r="U198" s="392"/>
      <c r="V198" s="392"/>
      <c r="W198" s="392"/>
      <c r="X198" s="392"/>
      <c r="Y198" s="392"/>
      <c r="Z198" s="392"/>
      <c r="AA198" s="392"/>
      <c r="AB198" s="392"/>
      <c r="AC198" s="392"/>
      <c r="AD198" s="392"/>
      <c r="AE198" s="392"/>
      <c r="AF198" s="392"/>
      <c r="AG198" s="392"/>
      <c r="AH198" s="392"/>
      <c r="AI198" s="392"/>
      <c r="AJ198" s="392"/>
      <c r="AK198" s="392"/>
      <c r="AL198" s="392"/>
      <c r="AM198" s="392"/>
      <c r="AN198" s="392"/>
      <c r="AO198" s="392"/>
      <c r="AP198" s="392"/>
      <c r="AQ198" s="392"/>
      <c r="AR198" s="392"/>
      <c r="AS198" s="392"/>
      <c r="AT198" s="392"/>
      <c r="AU198" s="392"/>
      <c r="AV198" s="392"/>
      <c r="AW198" s="392"/>
      <c r="AX198" s="392"/>
      <c r="AY198" s="392"/>
      <c r="AZ198" s="392"/>
      <c r="BA198" s="392"/>
      <c r="BB198" s="392"/>
      <c r="BC198" s="392"/>
      <c r="BD198" s="392"/>
      <c r="BE198" s="392"/>
      <c r="BF198" s="392"/>
      <c r="BG198" s="392"/>
      <c r="BH198" s="392"/>
      <c r="BI198" s="392"/>
      <c r="BJ198" s="392"/>
      <c r="BK198" s="392"/>
      <c r="BL198" s="392"/>
      <c r="BM198" s="392"/>
      <c r="BN198" s="392"/>
      <c r="BO198" s="392"/>
      <c r="BP198" s="392"/>
      <c r="BQ198" s="392"/>
      <c r="BR198" s="392"/>
      <c r="BS198" s="392"/>
      <c r="BT198" s="392"/>
    </row>
    <row r="199" ht="15.75" customHeight="1">
      <c r="A199" s="216"/>
      <c r="B199" s="156"/>
      <c r="C199" s="156"/>
      <c r="D199" s="156"/>
      <c r="E199" s="392"/>
      <c r="F199" s="392"/>
      <c r="G199" s="392"/>
      <c r="H199" s="392"/>
      <c r="I199" s="392"/>
      <c r="J199" s="392"/>
      <c r="K199" s="392"/>
      <c r="L199" s="392"/>
      <c r="M199" s="392"/>
      <c r="N199" s="392"/>
      <c r="O199" s="392"/>
      <c r="P199" s="392"/>
      <c r="Q199" s="392"/>
      <c r="R199" s="392"/>
      <c r="S199" s="392"/>
      <c r="T199" s="392"/>
      <c r="U199" s="392"/>
      <c r="V199" s="392"/>
      <c r="W199" s="392"/>
      <c r="X199" s="392"/>
      <c r="Y199" s="392"/>
      <c r="Z199" s="392"/>
      <c r="AA199" s="392"/>
      <c r="AB199" s="392"/>
      <c r="AC199" s="392"/>
      <c r="AD199" s="392"/>
      <c r="AE199" s="392"/>
      <c r="AF199" s="392"/>
      <c r="AG199" s="392"/>
      <c r="AH199" s="392"/>
      <c r="AI199" s="392"/>
      <c r="AJ199" s="392"/>
      <c r="AK199" s="392"/>
      <c r="AL199" s="392"/>
      <c r="AM199" s="392"/>
      <c r="AN199" s="392"/>
      <c r="AO199" s="392"/>
      <c r="AP199" s="392"/>
      <c r="AQ199" s="392"/>
      <c r="AR199" s="392"/>
      <c r="AS199" s="392"/>
      <c r="AT199" s="392"/>
      <c r="AU199" s="392"/>
      <c r="AV199" s="392"/>
      <c r="AW199" s="392"/>
      <c r="AX199" s="392"/>
      <c r="AY199" s="392"/>
      <c r="AZ199" s="392"/>
      <c r="BA199" s="392"/>
      <c r="BB199" s="392"/>
      <c r="BC199" s="392"/>
      <c r="BD199" s="392"/>
      <c r="BE199" s="392"/>
      <c r="BF199" s="392"/>
      <c r="BG199" s="392"/>
      <c r="BH199" s="392"/>
      <c r="BI199" s="392"/>
      <c r="BJ199" s="392"/>
      <c r="BK199" s="392"/>
      <c r="BL199" s="392"/>
      <c r="BM199" s="392"/>
      <c r="BN199" s="392"/>
      <c r="BO199" s="392"/>
      <c r="BP199" s="392"/>
      <c r="BQ199" s="392"/>
      <c r="BR199" s="392"/>
      <c r="BS199" s="392"/>
      <c r="BT199" s="392"/>
    </row>
    <row r="200" ht="15.75" customHeight="1">
      <c r="A200" s="216"/>
      <c r="B200" s="156"/>
      <c r="C200" s="156"/>
      <c r="D200" s="156"/>
      <c r="E200" s="392"/>
      <c r="F200" s="392"/>
      <c r="G200" s="392"/>
      <c r="H200" s="392"/>
      <c r="I200" s="392"/>
      <c r="J200" s="392"/>
      <c r="K200" s="392"/>
      <c r="L200" s="392"/>
      <c r="M200" s="392"/>
      <c r="N200" s="392"/>
      <c r="O200" s="392"/>
      <c r="P200" s="392"/>
      <c r="Q200" s="392"/>
      <c r="R200" s="392"/>
      <c r="S200" s="392"/>
      <c r="T200" s="392"/>
      <c r="U200" s="392"/>
      <c r="V200" s="392"/>
      <c r="W200" s="392"/>
      <c r="X200" s="392"/>
      <c r="Y200" s="392"/>
      <c r="Z200" s="392"/>
      <c r="AA200" s="392"/>
      <c r="AB200" s="392"/>
      <c r="AC200" s="392"/>
      <c r="AD200" s="392"/>
      <c r="AE200" s="392"/>
      <c r="AF200" s="392"/>
      <c r="AG200" s="392"/>
      <c r="AH200" s="392"/>
      <c r="AI200" s="392"/>
      <c r="AJ200" s="392"/>
      <c r="AK200" s="392"/>
      <c r="AL200" s="392"/>
      <c r="AM200" s="392"/>
      <c r="AN200" s="392"/>
      <c r="AO200" s="392"/>
      <c r="AP200" s="392"/>
      <c r="AQ200" s="392"/>
      <c r="AR200" s="392"/>
      <c r="AS200" s="392"/>
      <c r="AT200" s="392"/>
      <c r="AU200" s="392"/>
      <c r="AV200" s="392"/>
      <c r="AW200" s="392"/>
      <c r="AX200" s="392"/>
      <c r="AY200" s="392"/>
      <c r="AZ200" s="392"/>
      <c r="BA200" s="392"/>
      <c r="BB200" s="392"/>
      <c r="BC200" s="392"/>
      <c r="BD200" s="392"/>
      <c r="BE200" s="392"/>
      <c r="BF200" s="392"/>
      <c r="BG200" s="392"/>
      <c r="BH200" s="392"/>
      <c r="BI200" s="392"/>
      <c r="BJ200" s="392"/>
      <c r="BK200" s="392"/>
      <c r="BL200" s="392"/>
      <c r="BM200" s="392"/>
      <c r="BN200" s="392"/>
      <c r="BO200" s="392"/>
      <c r="BP200" s="392"/>
      <c r="BQ200" s="392"/>
      <c r="BR200" s="392"/>
      <c r="BS200" s="392"/>
      <c r="BT200" s="392"/>
    </row>
    <row r="201" ht="15.75" customHeight="1">
      <c r="A201" s="216"/>
      <c r="B201" s="156"/>
      <c r="C201" s="156"/>
      <c r="D201" s="156"/>
      <c r="E201" s="392"/>
      <c r="F201" s="392"/>
      <c r="G201" s="392"/>
      <c r="H201" s="392"/>
      <c r="I201" s="392"/>
      <c r="J201" s="392"/>
      <c r="K201" s="392"/>
      <c r="L201" s="392"/>
      <c r="M201" s="392"/>
      <c r="N201" s="392"/>
      <c r="O201" s="392"/>
      <c r="P201" s="392"/>
      <c r="Q201" s="392"/>
      <c r="R201" s="392"/>
      <c r="S201" s="392"/>
      <c r="T201" s="392"/>
      <c r="U201" s="392"/>
      <c r="V201" s="392"/>
      <c r="W201" s="392"/>
      <c r="X201" s="392"/>
      <c r="Y201" s="392"/>
      <c r="Z201" s="392"/>
      <c r="AA201" s="392"/>
      <c r="AB201" s="392"/>
      <c r="AC201" s="392"/>
      <c r="AD201" s="392"/>
      <c r="AE201" s="392"/>
      <c r="AF201" s="392"/>
      <c r="AG201" s="392"/>
      <c r="AH201" s="392"/>
      <c r="AI201" s="392"/>
      <c r="AJ201" s="392"/>
      <c r="AK201" s="392"/>
      <c r="AL201" s="392"/>
      <c r="AM201" s="392"/>
      <c r="AN201" s="392"/>
      <c r="AO201" s="392"/>
      <c r="AP201" s="392"/>
      <c r="AQ201" s="392"/>
      <c r="AR201" s="392"/>
      <c r="AS201" s="392"/>
      <c r="AT201" s="392"/>
      <c r="AU201" s="392"/>
      <c r="AV201" s="392"/>
      <c r="AW201" s="392"/>
      <c r="AX201" s="392"/>
      <c r="AY201" s="392"/>
      <c r="AZ201" s="392"/>
      <c r="BA201" s="392"/>
      <c r="BB201" s="392"/>
      <c r="BC201" s="392"/>
      <c r="BD201" s="392"/>
      <c r="BE201" s="392"/>
      <c r="BF201" s="392"/>
      <c r="BG201" s="392"/>
      <c r="BH201" s="392"/>
      <c r="BI201" s="392"/>
      <c r="BJ201" s="392"/>
      <c r="BK201" s="392"/>
      <c r="BL201" s="392"/>
      <c r="BM201" s="392"/>
      <c r="BN201" s="392"/>
      <c r="BO201" s="392"/>
      <c r="BP201" s="392"/>
      <c r="BQ201" s="392"/>
      <c r="BR201" s="392"/>
      <c r="BS201" s="392"/>
      <c r="BT201" s="392"/>
    </row>
    <row r="202" ht="15.75" customHeight="1">
      <c r="A202" s="216"/>
      <c r="B202" s="156"/>
      <c r="C202" s="156"/>
      <c r="D202" s="156"/>
      <c r="E202" s="392"/>
      <c r="F202" s="392"/>
      <c r="G202" s="392"/>
      <c r="H202" s="392"/>
      <c r="I202" s="392"/>
      <c r="J202" s="392"/>
      <c r="K202" s="392"/>
      <c r="L202" s="392"/>
      <c r="M202" s="392"/>
      <c r="N202" s="392"/>
      <c r="O202" s="392"/>
      <c r="P202" s="392"/>
      <c r="Q202" s="392"/>
      <c r="R202" s="392"/>
      <c r="S202" s="392"/>
      <c r="T202" s="392"/>
      <c r="U202" s="392"/>
      <c r="V202" s="392"/>
      <c r="W202" s="392"/>
      <c r="X202" s="392"/>
      <c r="Y202" s="392"/>
      <c r="Z202" s="392"/>
      <c r="AA202" s="392"/>
      <c r="AB202" s="392"/>
      <c r="AC202" s="392"/>
      <c r="AD202" s="392"/>
      <c r="AE202" s="392"/>
      <c r="AF202" s="392"/>
      <c r="AG202" s="392"/>
      <c r="AH202" s="392"/>
      <c r="AI202" s="392"/>
      <c r="AJ202" s="392"/>
      <c r="AK202" s="392"/>
      <c r="AL202" s="392"/>
      <c r="AM202" s="392"/>
      <c r="AN202" s="392"/>
      <c r="AO202" s="392"/>
      <c r="AP202" s="392"/>
      <c r="AQ202" s="392"/>
      <c r="AR202" s="392"/>
      <c r="AS202" s="392"/>
      <c r="AT202" s="392"/>
      <c r="AU202" s="392"/>
      <c r="AV202" s="392"/>
      <c r="AW202" s="392"/>
      <c r="AX202" s="392"/>
      <c r="AY202" s="392"/>
      <c r="AZ202" s="392"/>
      <c r="BA202" s="392"/>
      <c r="BB202" s="392"/>
      <c r="BC202" s="392"/>
      <c r="BD202" s="392"/>
      <c r="BE202" s="392"/>
      <c r="BF202" s="392"/>
      <c r="BG202" s="392"/>
      <c r="BH202" s="392"/>
      <c r="BI202" s="392"/>
      <c r="BJ202" s="392"/>
      <c r="BK202" s="392"/>
      <c r="BL202" s="392"/>
      <c r="BM202" s="392"/>
      <c r="BN202" s="392"/>
      <c r="BO202" s="392"/>
      <c r="BP202" s="392"/>
      <c r="BQ202" s="392"/>
      <c r="BR202" s="392"/>
      <c r="BS202" s="392"/>
      <c r="BT202" s="392"/>
    </row>
    <row r="203" ht="15.75" customHeight="1">
      <c r="A203" s="216"/>
      <c r="B203" s="156"/>
      <c r="C203" s="156"/>
      <c r="D203" s="156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2"/>
      <c r="T203" s="392"/>
      <c r="U203" s="392"/>
      <c r="V203" s="392"/>
      <c r="W203" s="392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2"/>
      <c r="AK203" s="392"/>
      <c r="AL203" s="392"/>
      <c r="AM203" s="392"/>
      <c r="AN203" s="392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2"/>
      <c r="BA203" s="392"/>
      <c r="BB203" s="392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92"/>
      <c r="BQ203" s="392"/>
      <c r="BR203" s="392"/>
      <c r="BS203" s="392"/>
      <c r="BT203" s="392"/>
    </row>
    <row r="204" ht="15.75" customHeight="1">
      <c r="A204" s="216"/>
      <c r="B204" s="156"/>
      <c r="C204" s="156"/>
      <c r="D204" s="156"/>
      <c r="E204" s="392"/>
      <c r="F204" s="392"/>
      <c r="G204" s="392"/>
      <c r="H204" s="392"/>
      <c r="I204" s="392"/>
      <c r="J204" s="392"/>
      <c r="K204" s="392"/>
      <c r="L204" s="392"/>
      <c r="M204" s="392"/>
      <c r="N204" s="392"/>
      <c r="O204" s="392"/>
      <c r="P204" s="392"/>
      <c r="Q204" s="392"/>
      <c r="R204" s="392"/>
      <c r="S204" s="392"/>
      <c r="T204" s="392"/>
      <c r="U204" s="392"/>
      <c r="V204" s="392"/>
      <c r="W204" s="392"/>
      <c r="X204" s="392"/>
      <c r="Y204" s="392"/>
      <c r="Z204" s="392"/>
      <c r="AA204" s="392"/>
      <c r="AB204" s="392"/>
      <c r="AC204" s="392"/>
      <c r="AD204" s="392"/>
      <c r="AE204" s="392"/>
      <c r="AF204" s="392"/>
      <c r="AG204" s="392"/>
      <c r="AH204" s="392"/>
      <c r="AI204" s="392"/>
      <c r="AJ204" s="392"/>
      <c r="AK204" s="392"/>
      <c r="AL204" s="392"/>
      <c r="AM204" s="392"/>
      <c r="AN204" s="392"/>
      <c r="AO204" s="392"/>
      <c r="AP204" s="392"/>
      <c r="AQ204" s="392"/>
      <c r="AR204" s="392"/>
      <c r="AS204" s="392"/>
      <c r="AT204" s="392"/>
      <c r="AU204" s="392"/>
      <c r="AV204" s="392"/>
      <c r="AW204" s="392"/>
      <c r="AX204" s="392"/>
      <c r="AY204" s="392"/>
      <c r="AZ204" s="392"/>
      <c r="BA204" s="392"/>
      <c r="BB204" s="392"/>
      <c r="BC204" s="392"/>
      <c r="BD204" s="392"/>
      <c r="BE204" s="392"/>
      <c r="BF204" s="392"/>
      <c r="BG204" s="392"/>
      <c r="BH204" s="392"/>
      <c r="BI204" s="392"/>
      <c r="BJ204" s="392"/>
      <c r="BK204" s="392"/>
      <c r="BL204" s="392"/>
      <c r="BM204" s="392"/>
      <c r="BN204" s="392"/>
      <c r="BO204" s="392"/>
      <c r="BP204" s="392"/>
      <c r="BQ204" s="392"/>
      <c r="BR204" s="392"/>
      <c r="BS204" s="392"/>
      <c r="BT204" s="392"/>
    </row>
    <row r="205" ht="15.75" customHeight="1">
      <c r="A205" s="216"/>
      <c r="B205" s="156"/>
      <c r="C205" s="156"/>
      <c r="D205" s="156"/>
      <c r="E205" s="392"/>
      <c r="F205" s="392"/>
      <c r="G205" s="392"/>
      <c r="H205" s="392"/>
      <c r="I205" s="392"/>
      <c r="J205" s="392"/>
      <c r="K205" s="392"/>
      <c r="L205" s="392"/>
      <c r="M205" s="392"/>
      <c r="N205" s="392"/>
      <c r="O205" s="392"/>
      <c r="P205" s="392"/>
      <c r="Q205" s="392"/>
      <c r="R205" s="392"/>
      <c r="S205" s="392"/>
      <c r="T205" s="392"/>
      <c r="U205" s="392"/>
      <c r="V205" s="392"/>
      <c r="W205" s="392"/>
      <c r="X205" s="392"/>
      <c r="Y205" s="392"/>
      <c r="Z205" s="392"/>
      <c r="AA205" s="392"/>
      <c r="AB205" s="392"/>
      <c r="AC205" s="392"/>
      <c r="AD205" s="392"/>
      <c r="AE205" s="392"/>
      <c r="AF205" s="392"/>
      <c r="AG205" s="392"/>
      <c r="AH205" s="392"/>
      <c r="AI205" s="392"/>
      <c r="AJ205" s="392"/>
      <c r="AK205" s="392"/>
      <c r="AL205" s="392"/>
      <c r="AM205" s="392"/>
      <c r="AN205" s="392"/>
      <c r="AO205" s="392"/>
      <c r="AP205" s="392"/>
      <c r="AQ205" s="392"/>
      <c r="AR205" s="392"/>
      <c r="AS205" s="392"/>
      <c r="AT205" s="392"/>
      <c r="AU205" s="392"/>
      <c r="AV205" s="392"/>
      <c r="AW205" s="392"/>
      <c r="AX205" s="392"/>
      <c r="AY205" s="392"/>
      <c r="AZ205" s="392"/>
      <c r="BA205" s="392"/>
      <c r="BB205" s="392"/>
      <c r="BC205" s="392"/>
      <c r="BD205" s="392"/>
      <c r="BE205" s="392"/>
      <c r="BF205" s="392"/>
      <c r="BG205" s="392"/>
      <c r="BH205" s="392"/>
      <c r="BI205" s="392"/>
      <c r="BJ205" s="392"/>
      <c r="BK205" s="392"/>
      <c r="BL205" s="392"/>
      <c r="BM205" s="392"/>
      <c r="BN205" s="392"/>
      <c r="BO205" s="392"/>
      <c r="BP205" s="392"/>
      <c r="BQ205" s="392"/>
      <c r="BR205" s="392"/>
      <c r="BS205" s="392"/>
      <c r="BT205" s="392"/>
    </row>
    <row r="206" ht="15.75" customHeight="1">
      <c r="A206" s="216"/>
      <c r="B206" s="156"/>
      <c r="C206" s="156"/>
      <c r="D206" s="156"/>
      <c r="E206" s="392"/>
      <c r="F206" s="392"/>
      <c r="G206" s="392"/>
      <c r="H206" s="392"/>
      <c r="I206" s="392"/>
      <c r="J206" s="392"/>
      <c r="K206" s="392"/>
      <c r="L206" s="392"/>
      <c r="M206" s="392"/>
      <c r="N206" s="392"/>
      <c r="O206" s="392"/>
      <c r="P206" s="392"/>
      <c r="Q206" s="392"/>
      <c r="R206" s="392"/>
      <c r="S206" s="392"/>
      <c r="T206" s="392"/>
      <c r="U206" s="392"/>
      <c r="V206" s="392"/>
      <c r="W206" s="392"/>
      <c r="X206" s="392"/>
      <c r="Y206" s="392"/>
      <c r="Z206" s="392"/>
      <c r="AA206" s="392"/>
      <c r="AB206" s="392"/>
      <c r="AC206" s="392"/>
      <c r="AD206" s="392"/>
      <c r="AE206" s="392"/>
      <c r="AF206" s="392"/>
      <c r="AG206" s="392"/>
      <c r="AH206" s="392"/>
      <c r="AI206" s="392"/>
      <c r="AJ206" s="392"/>
      <c r="AK206" s="392"/>
      <c r="AL206" s="392"/>
      <c r="AM206" s="392"/>
      <c r="AN206" s="392"/>
      <c r="AO206" s="392"/>
      <c r="AP206" s="392"/>
      <c r="AQ206" s="392"/>
      <c r="AR206" s="392"/>
      <c r="AS206" s="392"/>
      <c r="AT206" s="392"/>
      <c r="AU206" s="392"/>
      <c r="AV206" s="392"/>
      <c r="AW206" s="392"/>
      <c r="AX206" s="392"/>
      <c r="AY206" s="392"/>
      <c r="AZ206" s="392"/>
      <c r="BA206" s="392"/>
      <c r="BB206" s="392"/>
      <c r="BC206" s="392"/>
      <c r="BD206" s="392"/>
      <c r="BE206" s="392"/>
      <c r="BF206" s="392"/>
      <c r="BG206" s="392"/>
      <c r="BH206" s="392"/>
      <c r="BI206" s="392"/>
      <c r="BJ206" s="392"/>
      <c r="BK206" s="392"/>
      <c r="BL206" s="392"/>
      <c r="BM206" s="392"/>
      <c r="BN206" s="392"/>
      <c r="BO206" s="392"/>
      <c r="BP206" s="392"/>
      <c r="BQ206" s="392"/>
      <c r="BR206" s="392"/>
      <c r="BS206" s="392"/>
      <c r="BT206" s="392"/>
    </row>
    <row r="207" ht="15.75" customHeight="1">
      <c r="A207" s="216"/>
      <c r="B207" s="156"/>
      <c r="C207" s="156"/>
      <c r="D207" s="156"/>
      <c r="E207" s="392"/>
      <c r="F207" s="392"/>
      <c r="G207" s="392"/>
      <c r="H207" s="392"/>
      <c r="I207" s="392"/>
      <c r="J207" s="392"/>
      <c r="K207" s="392"/>
      <c r="L207" s="392"/>
      <c r="M207" s="392"/>
      <c r="N207" s="392"/>
      <c r="O207" s="392"/>
      <c r="P207" s="392"/>
      <c r="Q207" s="392"/>
      <c r="R207" s="392"/>
      <c r="S207" s="392"/>
      <c r="T207" s="392"/>
      <c r="U207" s="392"/>
      <c r="V207" s="392"/>
      <c r="W207" s="392"/>
      <c r="X207" s="392"/>
      <c r="Y207" s="392"/>
      <c r="Z207" s="392"/>
      <c r="AA207" s="392"/>
      <c r="AB207" s="392"/>
      <c r="AC207" s="392"/>
      <c r="AD207" s="392"/>
      <c r="AE207" s="392"/>
      <c r="AF207" s="392"/>
      <c r="AG207" s="392"/>
      <c r="AH207" s="392"/>
      <c r="AI207" s="392"/>
      <c r="AJ207" s="392"/>
      <c r="AK207" s="392"/>
      <c r="AL207" s="392"/>
      <c r="AM207" s="392"/>
      <c r="AN207" s="392"/>
      <c r="AO207" s="392"/>
      <c r="AP207" s="392"/>
      <c r="AQ207" s="392"/>
      <c r="AR207" s="392"/>
      <c r="AS207" s="392"/>
      <c r="AT207" s="392"/>
      <c r="AU207" s="392"/>
      <c r="AV207" s="392"/>
      <c r="AW207" s="392"/>
      <c r="AX207" s="392"/>
      <c r="AY207" s="392"/>
      <c r="AZ207" s="392"/>
      <c r="BA207" s="392"/>
      <c r="BB207" s="392"/>
      <c r="BC207" s="392"/>
      <c r="BD207" s="392"/>
      <c r="BE207" s="392"/>
      <c r="BF207" s="392"/>
      <c r="BG207" s="392"/>
      <c r="BH207" s="392"/>
      <c r="BI207" s="392"/>
      <c r="BJ207" s="392"/>
      <c r="BK207" s="392"/>
      <c r="BL207" s="392"/>
      <c r="BM207" s="392"/>
      <c r="BN207" s="392"/>
      <c r="BO207" s="392"/>
      <c r="BP207" s="392"/>
      <c r="BQ207" s="392"/>
      <c r="BR207" s="392"/>
      <c r="BS207" s="392"/>
      <c r="BT207" s="392"/>
    </row>
    <row r="208" ht="15.75" customHeight="1">
      <c r="A208" s="216"/>
      <c r="B208" s="156"/>
      <c r="C208" s="156"/>
      <c r="D208" s="156"/>
      <c r="E208" s="392"/>
      <c r="F208" s="392"/>
      <c r="G208" s="392"/>
      <c r="H208" s="392"/>
      <c r="I208" s="392"/>
      <c r="J208" s="392"/>
      <c r="K208" s="392"/>
      <c r="L208" s="392"/>
      <c r="M208" s="392"/>
      <c r="N208" s="392"/>
      <c r="O208" s="392"/>
      <c r="P208" s="392"/>
      <c r="Q208" s="392"/>
      <c r="R208" s="392"/>
      <c r="S208" s="392"/>
      <c r="T208" s="392"/>
      <c r="U208" s="392"/>
      <c r="V208" s="392"/>
      <c r="W208" s="392"/>
      <c r="X208" s="392"/>
      <c r="Y208" s="392"/>
      <c r="Z208" s="392"/>
      <c r="AA208" s="392"/>
      <c r="AB208" s="392"/>
      <c r="AC208" s="392"/>
      <c r="AD208" s="392"/>
      <c r="AE208" s="392"/>
      <c r="AF208" s="392"/>
      <c r="AG208" s="392"/>
      <c r="AH208" s="392"/>
      <c r="AI208" s="392"/>
      <c r="AJ208" s="392"/>
      <c r="AK208" s="392"/>
      <c r="AL208" s="392"/>
      <c r="AM208" s="392"/>
      <c r="AN208" s="392"/>
      <c r="AO208" s="392"/>
      <c r="AP208" s="392"/>
      <c r="AQ208" s="392"/>
      <c r="AR208" s="392"/>
      <c r="AS208" s="392"/>
      <c r="AT208" s="392"/>
      <c r="AU208" s="392"/>
      <c r="AV208" s="392"/>
      <c r="AW208" s="392"/>
      <c r="AX208" s="392"/>
      <c r="AY208" s="392"/>
      <c r="AZ208" s="392"/>
      <c r="BA208" s="392"/>
      <c r="BB208" s="392"/>
      <c r="BC208" s="392"/>
      <c r="BD208" s="392"/>
      <c r="BE208" s="392"/>
      <c r="BF208" s="392"/>
      <c r="BG208" s="392"/>
      <c r="BH208" s="392"/>
      <c r="BI208" s="392"/>
      <c r="BJ208" s="392"/>
      <c r="BK208" s="392"/>
      <c r="BL208" s="392"/>
      <c r="BM208" s="392"/>
      <c r="BN208" s="392"/>
      <c r="BO208" s="392"/>
      <c r="BP208" s="392"/>
      <c r="BQ208" s="392"/>
      <c r="BR208" s="392"/>
      <c r="BS208" s="392"/>
      <c r="BT208" s="392"/>
    </row>
    <row r="209" ht="15.75" customHeight="1">
      <c r="A209" s="216"/>
      <c r="B209" s="156"/>
      <c r="C209" s="156"/>
      <c r="D209" s="156"/>
      <c r="E209" s="392"/>
      <c r="F209" s="392"/>
      <c r="G209" s="392"/>
      <c r="H209" s="392"/>
      <c r="I209" s="392"/>
      <c r="J209" s="392"/>
      <c r="K209" s="392"/>
      <c r="L209" s="392"/>
      <c r="M209" s="392"/>
      <c r="N209" s="392"/>
      <c r="O209" s="392"/>
      <c r="P209" s="392"/>
      <c r="Q209" s="392"/>
      <c r="R209" s="392"/>
      <c r="S209" s="392"/>
      <c r="T209" s="392"/>
      <c r="U209" s="392"/>
      <c r="V209" s="392"/>
      <c r="W209" s="392"/>
      <c r="X209" s="392"/>
      <c r="Y209" s="392"/>
      <c r="Z209" s="392"/>
      <c r="AA209" s="392"/>
      <c r="AB209" s="392"/>
      <c r="AC209" s="392"/>
      <c r="AD209" s="392"/>
      <c r="AE209" s="392"/>
      <c r="AF209" s="392"/>
      <c r="AG209" s="392"/>
      <c r="AH209" s="392"/>
      <c r="AI209" s="392"/>
      <c r="AJ209" s="392"/>
      <c r="AK209" s="392"/>
      <c r="AL209" s="392"/>
      <c r="AM209" s="392"/>
      <c r="AN209" s="392"/>
      <c r="AO209" s="392"/>
      <c r="AP209" s="392"/>
      <c r="AQ209" s="392"/>
      <c r="AR209" s="392"/>
      <c r="AS209" s="392"/>
      <c r="AT209" s="392"/>
      <c r="AU209" s="392"/>
      <c r="AV209" s="392"/>
      <c r="AW209" s="392"/>
      <c r="AX209" s="392"/>
      <c r="AY209" s="392"/>
      <c r="AZ209" s="392"/>
      <c r="BA209" s="392"/>
      <c r="BB209" s="392"/>
      <c r="BC209" s="392"/>
      <c r="BD209" s="392"/>
      <c r="BE209" s="392"/>
      <c r="BF209" s="392"/>
      <c r="BG209" s="392"/>
      <c r="BH209" s="392"/>
      <c r="BI209" s="392"/>
      <c r="BJ209" s="392"/>
      <c r="BK209" s="392"/>
      <c r="BL209" s="392"/>
      <c r="BM209" s="392"/>
      <c r="BN209" s="392"/>
      <c r="BO209" s="392"/>
      <c r="BP209" s="392"/>
      <c r="BQ209" s="392"/>
      <c r="BR209" s="392"/>
      <c r="BS209" s="392"/>
      <c r="BT209" s="392"/>
    </row>
    <row r="210" ht="15.75" customHeight="1">
      <c r="A210" s="216"/>
      <c r="B210" s="156"/>
      <c r="C210" s="156"/>
      <c r="D210" s="156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2"/>
      <c r="T210" s="392"/>
      <c r="U210" s="392"/>
      <c r="V210" s="392"/>
      <c r="W210" s="392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2"/>
      <c r="AK210" s="392"/>
      <c r="AL210" s="392"/>
      <c r="AM210" s="392"/>
      <c r="AN210" s="392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2"/>
      <c r="BA210" s="392"/>
      <c r="BB210" s="392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92"/>
      <c r="BQ210" s="392"/>
      <c r="BR210" s="392"/>
      <c r="BS210" s="392"/>
      <c r="BT210" s="392"/>
    </row>
    <row r="211" ht="15.75" customHeight="1">
      <c r="A211" s="216"/>
      <c r="B211" s="156"/>
      <c r="C211" s="156"/>
      <c r="D211" s="156"/>
      <c r="E211" s="392"/>
      <c r="F211" s="392"/>
      <c r="G211" s="392"/>
      <c r="H211" s="392"/>
      <c r="I211" s="392"/>
      <c r="J211" s="392"/>
      <c r="K211" s="392"/>
      <c r="L211" s="392"/>
      <c r="M211" s="392"/>
      <c r="N211" s="392"/>
      <c r="O211" s="392"/>
      <c r="P211" s="392"/>
      <c r="Q211" s="392"/>
      <c r="R211" s="392"/>
      <c r="S211" s="392"/>
      <c r="T211" s="392"/>
      <c r="U211" s="392"/>
      <c r="V211" s="392"/>
      <c r="W211" s="392"/>
      <c r="X211" s="392"/>
      <c r="Y211" s="392"/>
      <c r="Z211" s="392"/>
      <c r="AA211" s="392"/>
      <c r="AB211" s="392"/>
      <c r="AC211" s="392"/>
      <c r="AD211" s="392"/>
      <c r="AE211" s="392"/>
      <c r="AF211" s="392"/>
      <c r="AG211" s="392"/>
      <c r="AH211" s="392"/>
      <c r="AI211" s="392"/>
      <c r="AJ211" s="392"/>
      <c r="AK211" s="392"/>
      <c r="AL211" s="392"/>
      <c r="AM211" s="392"/>
      <c r="AN211" s="392"/>
      <c r="AO211" s="392"/>
      <c r="AP211" s="392"/>
      <c r="AQ211" s="392"/>
      <c r="AR211" s="392"/>
      <c r="AS211" s="392"/>
      <c r="AT211" s="392"/>
      <c r="AU211" s="392"/>
      <c r="AV211" s="392"/>
      <c r="AW211" s="392"/>
      <c r="AX211" s="392"/>
      <c r="AY211" s="392"/>
      <c r="AZ211" s="392"/>
      <c r="BA211" s="392"/>
      <c r="BB211" s="392"/>
      <c r="BC211" s="392"/>
      <c r="BD211" s="392"/>
      <c r="BE211" s="392"/>
      <c r="BF211" s="392"/>
      <c r="BG211" s="392"/>
      <c r="BH211" s="392"/>
      <c r="BI211" s="392"/>
      <c r="BJ211" s="392"/>
      <c r="BK211" s="392"/>
      <c r="BL211" s="392"/>
      <c r="BM211" s="392"/>
      <c r="BN211" s="392"/>
      <c r="BO211" s="392"/>
      <c r="BP211" s="392"/>
      <c r="BQ211" s="392"/>
      <c r="BR211" s="392"/>
      <c r="BS211" s="392"/>
      <c r="BT211" s="392"/>
    </row>
    <row r="212" ht="15.75" customHeight="1">
      <c r="A212" s="216"/>
      <c r="B212" s="156"/>
      <c r="C212" s="156"/>
      <c r="D212" s="156"/>
      <c r="E212" s="392"/>
      <c r="F212" s="392"/>
      <c r="G212" s="392"/>
      <c r="H212" s="392"/>
      <c r="I212" s="392"/>
      <c r="J212" s="392"/>
      <c r="K212" s="392"/>
      <c r="L212" s="392"/>
      <c r="M212" s="392"/>
      <c r="N212" s="392"/>
      <c r="O212" s="392"/>
      <c r="P212" s="392"/>
      <c r="Q212" s="392"/>
      <c r="R212" s="392"/>
      <c r="S212" s="392"/>
      <c r="T212" s="392"/>
      <c r="U212" s="392"/>
      <c r="V212" s="392"/>
      <c r="W212" s="392"/>
      <c r="X212" s="392"/>
      <c r="Y212" s="392"/>
      <c r="Z212" s="392"/>
      <c r="AA212" s="392"/>
      <c r="AB212" s="392"/>
      <c r="AC212" s="392"/>
      <c r="AD212" s="392"/>
      <c r="AE212" s="392"/>
      <c r="AF212" s="392"/>
      <c r="AG212" s="392"/>
      <c r="AH212" s="392"/>
      <c r="AI212" s="392"/>
      <c r="AJ212" s="392"/>
      <c r="AK212" s="392"/>
      <c r="AL212" s="392"/>
      <c r="AM212" s="392"/>
      <c r="AN212" s="392"/>
      <c r="AO212" s="392"/>
      <c r="AP212" s="392"/>
      <c r="AQ212" s="392"/>
      <c r="AR212" s="392"/>
      <c r="AS212" s="392"/>
      <c r="AT212" s="392"/>
      <c r="AU212" s="392"/>
      <c r="AV212" s="392"/>
      <c r="AW212" s="392"/>
      <c r="AX212" s="392"/>
      <c r="AY212" s="392"/>
      <c r="AZ212" s="392"/>
      <c r="BA212" s="392"/>
      <c r="BB212" s="392"/>
      <c r="BC212" s="392"/>
      <c r="BD212" s="392"/>
      <c r="BE212" s="392"/>
      <c r="BF212" s="392"/>
      <c r="BG212" s="392"/>
      <c r="BH212" s="392"/>
      <c r="BI212" s="392"/>
      <c r="BJ212" s="392"/>
      <c r="BK212" s="392"/>
      <c r="BL212" s="392"/>
      <c r="BM212" s="392"/>
      <c r="BN212" s="392"/>
      <c r="BO212" s="392"/>
      <c r="BP212" s="392"/>
      <c r="BQ212" s="392"/>
      <c r="BR212" s="392"/>
      <c r="BS212" s="392"/>
      <c r="BT212" s="392"/>
    </row>
    <row r="213" ht="15.75" customHeight="1">
      <c r="A213" s="216"/>
      <c r="B213" s="156"/>
      <c r="C213" s="156"/>
      <c r="D213" s="156"/>
      <c r="E213" s="392"/>
      <c r="F213" s="392"/>
      <c r="G213" s="392"/>
      <c r="H213" s="392"/>
      <c r="I213" s="392"/>
      <c r="J213" s="392"/>
      <c r="K213" s="392"/>
      <c r="L213" s="392"/>
      <c r="M213" s="392"/>
      <c r="N213" s="392"/>
      <c r="O213" s="392"/>
      <c r="P213" s="392"/>
      <c r="Q213" s="392"/>
      <c r="R213" s="392"/>
      <c r="S213" s="392"/>
      <c r="T213" s="392"/>
      <c r="U213" s="392"/>
      <c r="V213" s="392"/>
      <c r="W213" s="392"/>
      <c r="X213" s="392"/>
      <c r="Y213" s="392"/>
      <c r="Z213" s="392"/>
      <c r="AA213" s="392"/>
      <c r="AB213" s="392"/>
      <c r="AC213" s="392"/>
      <c r="AD213" s="392"/>
      <c r="AE213" s="392"/>
      <c r="AF213" s="392"/>
      <c r="AG213" s="392"/>
      <c r="AH213" s="392"/>
      <c r="AI213" s="392"/>
      <c r="AJ213" s="392"/>
      <c r="AK213" s="392"/>
      <c r="AL213" s="392"/>
      <c r="AM213" s="392"/>
      <c r="AN213" s="392"/>
      <c r="AO213" s="392"/>
      <c r="AP213" s="392"/>
      <c r="AQ213" s="392"/>
      <c r="AR213" s="392"/>
      <c r="AS213" s="392"/>
      <c r="AT213" s="392"/>
      <c r="AU213" s="392"/>
      <c r="AV213" s="392"/>
      <c r="AW213" s="392"/>
      <c r="AX213" s="392"/>
      <c r="AY213" s="392"/>
      <c r="AZ213" s="392"/>
      <c r="BA213" s="392"/>
      <c r="BB213" s="392"/>
      <c r="BC213" s="392"/>
      <c r="BD213" s="392"/>
      <c r="BE213" s="392"/>
      <c r="BF213" s="392"/>
      <c r="BG213" s="392"/>
      <c r="BH213" s="392"/>
      <c r="BI213" s="392"/>
      <c r="BJ213" s="392"/>
      <c r="BK213" s="392"/>
      <c r="BL213" s="392"/>
      <c r="BM213" s="392"/>
      <c r="BN213" s="392"/>
      <c r="BO213" s="392"/>
      <c r="BP213" s="392"/>
      <c r="BQ213" s="392"/>
      <c r="BR213" s="392"/>
      <c r="BS213" s="392"/>
      <c r="BT213" s="392"/>
    </row>
    <row r="214" ht="15.75" customHeight="1">
      <c r="A214" s="216"/>
      <c r="B214" s="156"/>
      <c r="C214" s="156"/>
      <c r="D214" s="156"/>
      <c r="E214" s="392"/>
      <c r="F214" s="392"/>
      <c r="G214" s="392"/>
      <c r="H214" s="392"/>
      <c r="I214" s="392"/>
      <c r="J214" s="392"/>
      <c r="K214" s="392"/>
      <c r="L214" s="392"/>
      <c r="M214" s="392"/>
      <c r="N214" s="392"/>
      <c r="O214" s="392"/>
      <c r="P214" s="392"/>
      <c r="Q214" s="392"/>
      <c r="R214" s="392"/>
      <c r="S214" s="392"/>
      <c r="T214" s="392"/>
      <c r="U214" s="392"/>
      <c r="V214" s="392"/>
      <c r="W214" s="392"/>
      <c r="X214" s="392"/>
      <c r="Y214" s="392"/>
      <c r="Z214" s="392"/>
      <c r="AA214" s="392"/>
      <c r="AB214" s="392"/>
      <c r="AC214" s="392"/>
      <c r="AD214" s="392"/>
      <c r="AE214" s="392"/>
      <c r="AF214" s="392"/>
      <c r="AG214" s="392"/>
      <c r="AH214" s="392"/>
      <c r="AI214" s="392"/>
      <c r="AJ214" s="392"/>
      <c r="AK214" s="392"/>
      <c r="AL214" s="392"/>
      <c r="AM214" s="392"/>
      <c r="AN214" s="392"/>
      <c r="AO214" s="392"/>
      <c r="AP214" s="392"/>
      <c r="AQ214" s="392"/>
      <c r="AR214" s="392"/>
      <c r="AS214" s="392"/>
      <c r="AT214" s="392"/>
      <c r="AU214" s="392"/>
      <c r="AV214" s="392"/>
      <c r="AW214" s="392"/>
      <c r="AX214" s="392"/>
      <c r="AY214" s="392"/>
      <c r="AZ214" s="392"/>
      <c r="BA214" s="392"/>
      <c r="BB214" s="392"/>
      <c r="BC214" s="392"/>
      <c r="BD214" s="392"/>
      <c r="BE214" s="392"/>
      <c r="BF214" s="392"/>
      <c r="BG214" s="392"/>
      <c r="BH214" s="392"/>
      <c r="BI214" s="392"/>
      <c r="BJ214" s="392"/>
      <c r="BK214" s="392"/>
      <c r="BL214" s="392"/>
      <c r="BM214" s="392"/>
      <c r="BN214" s="392"/>
      <c r="BO214" s="392"/>
      <c r="BP214" s="392"/>
      <c r="BQ214" s="392"/>
      <c r="BR214" s="392"/>
      <c r="BS214" s="392"/>
      <c r="BT214" s="392"/>
    </row>
    <row r="215" ht="15.75" customHeight="1">
      <c r="A215" s="216"/>
      <c r="B215" s="156"/>
      <c r="C215" s="156"/>
      <c r="D215" s="156"/>
      <c r="E215" s="392"/>
      <c r="F215" s="392"/>
      <c r="G215" s="392"/>
      <c r="H215" s="392"/>
      <c r="I215" s="392"/>
      <c r="J215" s="392"/>
      <c r="K215" s="392"/>
      <c r="L215" s="392"/>
      <c r="M215" s="392"/>
      <c r="N215" s="392"/>
      <c r="O215" s="392"/>
      <c r="P215" s="392"/>
      <c r="Q215" s="392"/>
      <c r="R215" s="392"/>
      <c r="S215" s="392"/>
      <c r="T215" s="392"/>
      <c r="U215" s="392"/>
      <c r="V215" s="392"/>
      <c r="W215" s="392"/>
      <c r="X215" s="392"/>
      <c r="Y215" s="392"/>
      <c r="Z215" s="392"/>
      <c r="AA215" s="392"/>
      <c r="AB215" s="392"/>
      <c r="AC215" s="392"/>
      <c r="AD215" s="392"/>
      <c r="AE215" s="392"/>
      <c r="AF215" s="392"/>
      <c r="AG215" s="392"/>
      <c r="AH215" s="392"/>
      <c r="AI215" s="392"/>
      <c r="AJ215" s="392"/>
      <c r="AK215" s="392"/>
      <c r="AL215" s="392"/>
      <c r="AM215" s="392"/>
      <c r="AN215" s="392"/>
      <c r="AO215" s="392"/>
      <c r="AP215" s="392"/>
      <c r="AQ215" s="392"/>
      <c r="AR215" s="392"/>
      <c r="AS215" s="392"/>
      <c r="AT215" s="392"/>
      <c r="AU215" s="392"/>
      <c r="AV215" s="392"/>
      <c r="AW215" s="392"/>
      <c r="AX215" s="392"/>
      <c r="AY215" s="392"/>
      <c r="AZ215" s="392"/>
      <c r="BA215" s="392"/>
      <c r="BB215" s="392"/>
      <c r="BC215" s="392"/>
      <c r="BD215" s="392"/>
      <c r="BE215" s="392"/>
      <c r="BF215" s="392"/>
      <c r="BG215" s="392"/>
      <c r="BH215" s="392"/>
      <c r="BI215" s="392"/>
      <c r="BJ215" s="392"/>
      <c r="BK215" s="392"/>
      <c r="BL215" s="392"/>
      <c r="BM215" s="392"/>
      <c r="BN215" s="392"/>
      <c r="BO215" s="392"/>
      <c r="BP215" s="392"/>
      <c r="BQ215" s="392"/>
      <c r="BR215" s="392"/>
      <c r="BS215" s="392"/>
      <c r="BT215" s="392"/>
    </row>
    <row r="216" ht="15.75" customHeight="1">
      <c r="A216" s="216"/>
      <c r="B216" s="156"/>
      <c r="C216" s="156"/>
      <c r="D216" s="156"/>
      <c r="E216" s="392"/>
      <c r="F216" s="392"/>
      <c r="G216" s="392"/>
      <c r="H216" s="392"/>
      <c r="I216" s="392"/>
      <c r="J216" s="392"/>
      <c r="K216" s="392"/>
      <c r="L216" s="392"/>
      <c r="M216" s="392"/>
      <c r="N216" s="392"/>
      <c r="O216" s="392"/>
      <c r="P216" s="392"/>
      <c r="Q216" s="392"/>
      <c r="R216" s="392"/>
      <c r="S216" s="392"/>
      <c r="T216" s="392"/>
      <c r="U216" s="392"/>
      <c r="V216" s="392"/>
      <c r="W216" s="392"/>
      <c r="X216" s="392"/>
      <c r="Y216" s="392"/>
      <c r="Z216" s="392"/>
      <c r="AA216" s="392"/>
      <c r="AB216" s="392"/>
      <c r="AC216" s="392"/>
      <c r="AD216" s="392"/>
      <c r="AE216" s="392"/>
      <c r="AF216" s="392"/>
      <c r="AG216" s="392"/>
      <c r="AH216" s="392"/>
      <c r="AI216" s="392"/>
      <c r="AJ216" s="392"/>
      <c r="AK216" s="392"/>
      <c r="AL216" s="392"/>
      <c r="AM216" s="392"/>
      <c r="AN216" s="392"/>
      <c r="AO216" s="392"/>
      <c r="AP216" s="392"/>
      <c r="AQ216" s="392"/>
      <c r="AR216" s="392"/>
      <c r="AS216" s="392"/>
      <c r="AT216" s="392"/>
      <c r="AU216" s="392"/>
      <c r="AV216" s="392"/>
      <c r="AW216" s="392"/>
      <c r="AX216" s="392"/>
      <c r="AY216" s="392"/>
      <c r="AZ216" s="392"/>
      <c r="BA216" s="392"/>
      <c r="BB216" s="392"/>
      <c r="BC216" s="392"/>
      <c r="BD216" s="392"/>
      <c r="BE216" s="392"/>
      <c r="BF216" s="392"/>
      <c r="BG216" s="392"/>
      <c r="BH216" s="392"/>
      <c r="BI216" s="392"/>
      <c r="BJ216" s="392"/>
      <c r="BK216" s="392"/>
      <c r="BL216" s="392"/>
      <c r="BM216" s="392"/>
      <c r="BN216" s="392"/>
      <c r="BO216" s="392"/>
      <c r="BP216" s="392"/>
      <c r="BQ216" s="392"/>
      <c r="BR216" s="392"/>
      <c r="BS216" s="392"/>
      <c r="BT216" s="392"/>
    </row>
    <row r="217" ht="15.75" customHeight="1">
      <c r="A217" s="216"/>
      <c r="B217" s="156"/>
      <c r="C217" s="156"/>
      <c r="D217" s="156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2"/>
      <c r="T217" s="392"/>
      <c r="U217" s="392"/>
      <c r="V217" s="392"/>
      <c r="W217" s="392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2"/>
      <c r="AK217" s="392"/>
      <c r="AL217" s="392"/>
      <c r="AM217" s="392"/>
      <c r="AN217" s="392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2"/>
      <c r="BA217" s="392"/>
      <c r="BB217" s="392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92"/>
      <c r="BQ217" s="392"/>
      <c r="BR217" s="392"/>
      <c r="BS217" s="392"/>
      <c r="BT217" s="392"/>
    </row>
    <row r="218" ht="15.75" customHeight="1">
      <c r="A218" s="216"/>
      <c r="B218" s="156"/>
      <c r="C218" s="156"/>
      <c r="D218" s="156"/>
      <c r="E218" s="392"/>
      <c r="F218" s="392"/>
      <c r="G218" s="392"/>
      <c r="H218" s="392"/>
      <c r="I218" s="392"/>
      <c r="J218" s="392"/>
      <c r="K218" s="392"/>
      <c r="L218" s="392"/>
      <c r="M218" s="392"/>
      <c r="N218" s="392"/>
      <c r="O218" s="392"/>
      <c r="P218" s="392"/>
      <c r="Q218" s="392"/>
      <c r="R218" s="392"/>
      <c r="S218" s="392"/>
      <c r="T218" s="392"/>
      <c r="U218" s="392"/>
      <c r="V218" s="392"/>
      <c r="W218" s="392"/>
      <c r="X218" s="392"/>
      <c r="Y218" s="392"/>
      <c r="Z218" s="392"/>
      <c r="AA218" s="392"/>
      <c r="AB218" s="392"/>
      <c r="AC218" s="392"/>
      <c r="AD218" s="392"/>
      <c r="AE218" s="392"/>
      <c r="AF218" s="392"/>
      <c r="AG218" s="392"/>
      <c r="AH218" s="392"/>
      <c r="AI218" s="392"/>
      <c r="AJ218" s="392"/>
      <c r="AK218" s="392"/>
      <c r="AL218" s="392"/>
      <c r="AM218" s="392"/>
      <c r="AN218" s="392"/>
      <c r="AO218" s="392"/>
      <c r="AP218" s="392"/>
      <c r="AQ218" s="392"/>
      <c r="AR218" s="392"/>
      <c r="AS218" s="392"/>
      <c r="AT218" s="392"/>
      <c r="AU218" s="392"/>
      <c r="AV218" s="392"/>
      <c r="AW218" s="392"/>
      <c r="AX218" s="392"/>
      <c r="AY218" s="392"/>
      <c r="AZ218" s="392"/>
      <c r="BA218" s="392"/>
      <c r="BB218" s="392"/>
      <c r="BC218" s="392"/>
      <c r="BD218" s="392"/>
      <c r="BE218" s="392"/>
      <c r="BF218" s="392"/>
      <c r="BG218" s="392"/>
      <c r="BH218" s="392"/>
      <c r="BI218" s="392"/>
      <c r="BJ218" s="392"/>
      <c r="BK218" s="392"/>
      <c r="BL218" s="392"/>
      <c r="BM218" s="392"/>
      <c r="BN218" s="392"/>
      <c r="BO218" s="392"/>
      <c r="BP218" s="392"/>
      <c r="BQ218" s="392"/>
      <c r="BR218" s="392"/>
      <c r="BS218" s="392"/>
      <c r="BT218" s="392"/>
    </row>
    <row r="219" ht="15.75" customHeight="1">
      <c r="A219" s="216"/>
      <c r="B219" s="156"/>
      <c r="C219" s="156"/>
      <c r="D219" s="156"/>
      <c r="E219" s="392"/>
      <c r="F219" s="392"/>
      <c r="G219" s="392"/>
      <c r="H219" s="392"/>
      <c r="I219" s="392"/>
      <c r="J219" s="392"/>
      <c r="K219" s="392"/>
      <c r="L219" s="392"/>
      <c r="M219" s="392"/>
      <c r="N219" s="392"/>
      <c r="O219" s="392"/>
      <c r="P219" s="392"/>
      <c r="Q219" s="392"/>
      <c r="R219" s="392"/>
      <c r="S219" s="392"/>
      <c r="T219" s="392"/>
      <c r="U219" s="392"/>
      <c r="V219" s="392"/>
      <c r="W219" s="392"/>
      <c r="X219" s="392"/>
      <c r="Y219" s="392"/>
      <c r="Z219" s="392"/>
      <c r="AA219" s="392"/>
      <c r="AB219" s="392"/>
      <c r="AC219" s="392"/>
      <c r="AD219" s="392"/>
      <c r="AE219" s="392"/>
      <c r="AF219" s="392"/>
      <c r="AG219" s="392"/>
      <c r="AH219" s="392"/>
      <c r="AI219" s="392"/>
      <c r="AJ219" s="392"/>
      <c r="AK219" s="392"/>
      <c r="AL219" s="392"/>
      <c r="AM219" s="392"/>
      <c r="AN219" s="392"/>
      <c r="AO219" s="392"/>
      <c r="AP219" s="392"/>
      <c r="AQ219" s="392"/>
      <c r="AR219" s="392"/>
      <c r="AS219" s="392"/>
      <c r="AT219" s="392"/>
      <c r="AU219" s="392"/>
      <c r="AV219" s="392"/>
      <c r="AW219" s="392"/>
      <c r="AX219" s="392"/>
      <c r="AY219" s="392"/>
      <c r="AZ219" s="392"/>
      <c r="BA219" s="392"/>
      <c r="BB219" s="392"/>
      <c r="BC219" s="392"/>
      <c r="BD219" s="392"/>
      <c r="BE219" s="392"/>
      <c r="BF219" s="392"/>
      <c r="BG219" s="392"/>
      <c r="BH219" s="392"/>
      <c r="BI219" s="392"/>
      <c r="BJ219" s="392"/>
      <c r="BK219" s="392"/>
      <c r="BL219" s="392"/>
      <c r="BM219" s="392"/>
      <c r="BN219" s="392"/>
      <c r="BO219" s="392"/>
      <c r="BP219" s="392"/>
      <c r="BQ219" s="392"/>
      <c r="BR219" s="392"/>
      <c r="BS219" s="392"/>
      <c r="BT219" s="392"/>
    </row>
    <row r="220" ht="15.75" customHeight="1">
      <c r="A220" s="216"/>
      <c r="B220" s="156"/>
      <c r="C220" s="156"/>
      <c r="D220" s="156"/>
      <c r="E220" s="392"/>
      <c r="F220" s="392"/>
      <c r="G220" s="392"/>
      <c r="H220" s="392"/>
      <c r="I220" s="392"/>
      <c r="J220" s="392"/>
      <c r="K220" s="392"/>
      <c r="L220" s="392"/>
      <c r="M220" s="392"/>
      <c r="N220" s="392"/>
      <c r="O220" s="392"/>
      <c r="P220" s="392"/>
      <c r="Q220" s="392"/>
      <c r="R220" s="392"/>
      <c r="S220" s="392"/>
      <c r="T220" s="392"/>
      <c r="U220" s="392"/>
      <c r="V220" s="392"/>
      <c r="W220" s="392"/>
      <c r="X220" s="392"/>
      <c r="Y220" s="392"/>
      <c r="Z220" s="392"/>
      <c r="AA220" s="392"/>
      <c r="AB220" s="392"/>
      <c r="AC220" s="392"/>
      <c r="AD220" s="392"/>
      <c r="AE220" s="392"/>
      <c r="AF220" s="392"/>
      <c r="AG220" s="392"/>
      <c r="AH220" s="392"/>
      <c r="AI220" s="392"/>
      <c r="AJ220" s="392"/>
      <c r="AK220" s="392"/>
      <c r="AL220" s="392"/>
      <c r="AM220" s="392"/>
      <c r="AN220" s="392"/>
      <c r="AO220" s="392"/>
      <c r="AP220" s="392"/>
      <c r="AQ220" s="392"/>
      <c r="AR220" s="392"/>
      <c r="AS220" s="392"/>
      <c r="AT220" s="392"/>
      <c r="AU220" s="392"/>
      <c r="AV220" s="392"/>
      <c r="AW220" s="392"/>
      <c r="AX220" s="392"/>
      <c r="AY220" s="392"/>
      <c r="AZ220" s="392"/>
      <c r="BA220" s="392"/>
      <c r="BB220" s="392"/>
      <c r="BC220" s="392"/>
      <c r="BD220" s="392"/>
      <c r="BE220" s="392"/>
      <c r="BF220" s="392"/>
      <c r="BG220" s="392"/>
      <c r="BH220" s="392"/>
      <c r="BI220" s="392"/>
      <c r="BJ220" s="392"/>
      <c r="BK220" s="392"/>
      <c r="BL220" s="392"/>
      <c r="BM220" s="392"/>
      <c r="BN220" s="392"/>
      <c r="BO220" s="392"/>
      <c r="BP220" s="392"/>
      <c r="BQ220" s="392"/>
      <c r="BR220" s="392"/>
      <c r="BS220" s="392"/>
      <c r="BT220" s="392"/>
    </row>
    <row r="221" ht="15.75" customHeight="1">
      <c r="A221" s="216"/>
      <c r="B221" s="156"/>
      <c r="C221" s="156"/>
      <c r="D221" s="156"/>
      <c r="E221" s="392"/>
      <c r="F221" s="392"/>
      <c r="G221" s="392"/>
      <c r="H221" s="392"/>
      <c r="I221" s="392"/>
      <c r="J221" s="392"/>
      <c r="K221" s="392"/>
      <c r="L221" s="392"/>
      <c r="M221" s="392"/>
      <c r="N221" s="392"/>
      <c r="O221" s="392"/>
      <c r="P221" s="392"/>
      <c r="Q221" s="392"/>
      <c r="R221" s="392"/>
      <c r="S221" s="392"/>
      <c r="T221" s="392"/>
      <c r="U221" s="392"/>
      <c r="V221" s="392"/>
      <c r="W221" s="392"/>
      <c r="X221" s="392"/>
      <c r="Y221" s="392"/>
      <c r="Z221" s="392"/>
      <c r="AA221" s="392"/>
      <c r="AB221" s="392"/>
      <c r="AC221" s="392"/>
      <c r="AD221" s="392"/>
      <c r="AE221" s="392"/>
      <c r="AF221" s="392"/>
      <c r="AG221" s="392"/>
      <c r="AH221" s="392"/>
      <c r="AI221" s="392"/>
      <c r="AJ221" s="392"/>
      <c r="AK221" s="392"/>
      <c r="AL221" s="392"/>
      <c r="AM221" s="392"/>
      <c r="AN221" s="392"/>
      <c r="AO221" s="392"/>
      <c r="AP221" s="392"/>
      <c r="AQ221" s="392"/>
      <c r="AR221" s="392"/>
      <c r="AS221" s="392"/>
      <c r="AT221" s="392"/>
      <c r="AU221" s="392"/>
      <c r="AV221" s="392"/>
      <c r="AW221" s="392"/>
      <c r="AX221" s="392"/>
      <c r="AY221" s="392"/>
      <c r="AZ221" s="392"/>
      <c r="BA221" s="392"/>
      <c r="BB221" s="392"/>
      <c r="BC221" s="392"/>
      <c r="BD221" s="392"/>
      <c r="BE221" s="392"/>
      <c r="BF221" s="392"/>
      <c r="BG221" s="392"/>
      <c r="BH221" s="392"/>
      <c r="BI221" s="392"/>
      <c r="BJ221" s="392"/>
      <c r="BK221" s="392"/>
      <c r="BL221" s="392"/>
      <c r="BM221" s="392"/>
      <c r="BN221" s="392"/>
      <c r="BO221" s="392"/>
      <c r="BP221" s="392"/>
      <c r="BQ221" s="392"/>
      <c r="BR221" s="392"/>
      <c r="BS221" s="392"/>
      <c r="BT221" s="392"/>
    </row>
    <row r="222" ht="15.75" customHeight="1">
      <c r="A222" s="216"/>
      <c r="B222" s="156"/>
      <c r="C222" s="156"/>
      <c r="D222" s="156"/>
      <c r="E222" s="392"/>
      <c r="F222" s="392"/>
      <c r="G222" s="392"/>
      <c r="H222" s="392"/>
      <c r="I222" s="392"/>
      <c r="J222" s="392"/>
      <c r="K222" s="392"/>
      <c r="L222" s="392"/>
      <c r="M222" s="392"/>
      <c r="N222" s="392"/>
      <c r="O222" s="392"/>
      <c r="P222" s="392"/>
      <c r="Q222" s="392"/>
      <c r="R222" s="392"/>
      <c r="S222" s="392"/>
      <c r="T222" s="392"/>
      <c r="U222" s="392"/>
      <c r="V222" s="392"/>
      <c r="W222" s="392"/>
      <c r="X222" s="392"/>
      <c r="Y222" s="392"/>
      <c r="Z222" s="392"/>
      <c r="AA222" s="392"/>
      <c r="AB222" s="392"/>
      <c r="AC222" s="392"/>
      <c r="AD222" s="392"/>
      <c r="AE222" s="392"/>
      <c r="AF222" s="392"/>
      <c r="AG222" s="392"/>
      <c r="AH222" s="392"/>
      <c r="AI222" s="392"/>
      <c r="AJ222" s="392"/>
      <c r="AK222" s="392"/>
      <c r="AL222" s="392"/>
      <c r="AM222" s="392"/>
      <c r="AN222" s="392"/>
      <c r="AO222" s="392"/>
      <c r="AP222" s="392"/>
      <c r="AQ222" s="392"/>
      <c r="AR222" s="392"/>
      <c r="AS222" s="392"/>
      <c r="AT222" s="392"/>
      <c r="AU222" s="392"/>
      <c r="AV222" s="392"/>
      <c r="AW222" s="392"/>
      <c r="AX222" s="392"/>
      <c r="AY222" s="392"/>
      <c r="AZ222" s="392"/>
      <c r="BA222" s="392"/>
      <c r="BB222" s="392"/>
      <c r="BC222" s="392"/>
      <c r="BD222" s="392"/>
      <c r="BE222" s="392"/>
      <c r="BF222" s="392"/>
      <c r="BG222" s="392"/>
      <c r="BH222" s="392"/>
      <c r="BI222" s="392"/>
      <c r="BJ222" s="392"/>
      <c r="BK222" s="392"/>
      <c r="BL222" s="392"/>
      <c r="BM222" s="392"/>
      <c r="BN222" s="392"/>
      <c r="BO222" s="392"/>
      <c r="BP222" s="392"/>
      <c r="BQ222" s="392"/>
      <c r="BR222" s="392"/>
      <c r="BS222" s="392"/>
      <c r="BT222" s="392"/>
    </row>
    <row r="223" ht="15.75" customHeight="1">
      <c r="A223" s="216"/>
      <c r="B223" s="156"/>
      <c r="C223" s="156"/>
      <c r="D223" s="156"/>
      <c r="E223" s="392"/>
      <c r="F223" s="392"/>
      <c r="G223" s="392"/>
      <c r="H223" s="392"/>
      <c r="I223" s="392"/>
      <c r="J223" s="392"/>
      <c r="K223" s="392"/>
      <c r="L223" s="392"/>
      <c r="M223" s="392"/>
      <c r="N223" s="392"/>
      <c r="O223" s="392"/>
      <c r="P223" s="392"/>
      <c r="Q223" s="392"/>
      <c r="R223" s="392"/>
      <c r="S223" s="392"/>
      <c r="T223" s="392"/>
      <c r="U223" s="392"/>
      <c r="V223" s="392"/>
      <c r="W223" s="392"/>
      <c r="X223" s="392"/>
      <c r="Y223" s="392"/>
      <c r="Z223" s="392"/>
      <c r="AA223" s="392"/>
      <c r="AB223" s="392"/>
      <c r="AC223" s="392"/>
      <c r="AD223" s="392"/>
      <c r="AE223" s="392"/>
      <c r="AF223" s="392"/>
      <c r="AG223" s="392"/>
      <c r="AH223" s="392"/>
      <c r="AI223" s="392"/>
      <c r="AJ223" s="392"/>
      <c r="AK223" s="392"/>
      <c r="AL223" s="392"/>
      <c r="AM223" s="392"/>
      <c r="AN223" s="392"/>
      <c r="AO223" s="392"/>
      <c r="AP223" s="392"/>
      <c r="AQ223" s="392"/>
      <c r="AR223" s="392"/>
      <c r="AS223" s="392"/>
      <c r="AT223" s="392"/>
      <c r="AU223" s="392"/>
      <c r="AV223" s="392"/>
      <c r="AW223" s="392"/>
      <c r="AX223" s="392"/>
      <c r="AY223" s="392"/>
      <c r="AZ223" s="392"/>
      <c r="BA223" s="392"/>
      <c r="BB223" s="392"/>
      <c r="BC223" s="392"/>
      <c r="BD223" s="392"/>
      <c r="BE223" s="392"/>
      <c r="BF223" s="392"/>
      <c r="BG223" s="392"/>
      <c r="BH223" s="392"/>
      <c r="BI223" s="392"/>
      <c r="BJ223" s="392"/>
      <c r="BK223" s="392"/>
      <c r="BL223" s="392"/>
      <c r="BM223" s="392"/>
      <c r="BN223" s="392"/>
      <c r="BO223" s="392"/>
      <c r="BP223" s="392"/>
      <c r="BQ223" s="392"/>
      <c r="BR223" s="392"/>
      <c r="BS223" s="392"/>
      <c r="BT223" s="392"/>
    </row>
    <row r="224" ht="15.75" customHeight="1">
      <c r="A224" s="216"/>
      <c r="B224" s="156"/>
      <c r="C224" s="156"/>
      <c r="D224" s="156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2"/>
      <c r="T224" s="392"/>
      <c r="U224" s="392"/>
      <c r="V224" s="392"/>
      <c r="W224" s="392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2"/>
      <c r="AK224" s="392"/>
      <c r="AL224" s="392"/>
      <c r="AM224" s="392"/>
      <c r="AN224" s="392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2"/>
      <c r="BA224" s="392"/>
      <c r="BB224" s="392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92"/>
      <c r="BQ224" s="392"/>
      <c r="BR224" s="392"/>
      <c r="BS224" s="392"/>
      <c r="BT224" s="392"/>
    </row>
    <row r="225" ht="15.75" customHeight="1">
      <c r="A225" s="216"/>
      <c r="B225" s="156"/>
      <c r="C225" s="156"/>
      <c r="D225" s="156"/>
      <c r="E225" s="392"/>
      <c r="F225" s="392"/>
      <c r="G225" s="392"/>
      <c r="H225" s="392"/>
      <c r="I225" s="392"/>
      <c r="J225" s="392"/>
      <c r="K225" s="392"/>
      <c r="L225" s="392"/>
      <c r="M225" s="392"/>
      <c r="N225" s="392"/>
      <c r="O225" s="392"/>
      <c r="P225" s="392"/>
      <c r="Q225" s="392"/>
      <c r="R225" s="392"/>
      <c r="S225" s="392"/>
      <c r="T225" s="392"/>
      <c r="U225" s="392"/>
      <c r="V225" s="392"/>
      <c r="W225" s="392"/>
      <c r="X225" s="392"/>
      <c r="Y225" s="392"/>
      <c r="Z225" s="392"/>
      <c r="AA225" s="392"/>
      <c r="AB225" s="392"/>
      <c r="AC225" s="392"/>
      <c r="AD225" s="392"/>
      <c r="AE225" s="392"/>
      <c r="AF225" s="392"/>
      <c r="AG225" s="392"/>
      <c r="AH225" s="392"/>
      <c r="AI225" s="392"/>
      <c r="AJ225" s="392"/>
      <c r="AK225" s="392"/>
      <c r="AL225" s="392"/>
      <c r="AM225" s="392"/>
      <c r="AN225" s="392"/>
      <c r="AO225" s="392"/>
      <c r="AP225" s="392"/>
      <c r="AQ225" s="392"/>
      <c r="AR225" s="392"/>
      <c r="AS225" s="392"/>
      <c r="AT225" s="392"/>
      <c r="AU225" s="392"/>
      <c r="AV225" s="392"/>
      <c r="AW225" s="392"/>
      <c r="AX225" s="392"/>
      <c r="AY225" s="392"/>
      <c r="AZ225" s="392"/>
      <c r="BA225" s="392"/>
      <c r="BB225" s="392"/>
      <c r="BC225" s="392"/>
      <c r="BD225" s="392"/>
      <c r="BE225" s="392"/>
      <c r="BF225" s="392"/>
      <c r="BG225" s="392"/>
      <c r="BH225" s="392"/>
      <c r="BI225" s="392"/>
      <c r="BJ225" s="392"/>
      <c r="BK225" s="392"/>
      <c r="BL225" s="392"/>
      <c r="BM225" s="392"/>
      <c r="BN225" s="392"/>
      <c r="BO225" s="392"/>
      <c r="BP225" s="392"/>
      <c r="BQ225" s="392"/>
      <c r="BR225" s="392"/>
      <c r="BS225" s="392"/>
      <c r="BT225" s="392"/>
    </row>
    <row r="226" ht="15.75" customHeight="1">
      <c r="A226" s="216"/>
      <c r="B226" s="156"/>
      <c r="C226" s="156"/>
      <c r="D226" s="156"/>
      <c r="E226" s="392"/>
      <c r="F226" s="392"/>
      <c r="G226" s="392"/>
      <c r="H226" s="392"/>
      <c r="I226" s="392"/>
      <c r="J226" s="392"/>
      <c r="K226" s="392"/>
      <c r="L226" s="392"/>
      <c r="M226" s="392"/>
      <c r="N226" s="392"/>
      <c r="O226" s="392"/>
      <c r="P226" s="392"/>
      <c r="Q226" s="392"/>
      <c r="R226" s="392"/>
      <c r="S226" s="392"/>
      <c r="T226" s="392"/>
      <c r="U226" s="392"/>
      <c r="V226" s="392"/>
      <c r="W226" s="392"/>
      <c r="X226" s="392"/>
      <c r="Y226" s="392"/>
      <c r="Z226" s="392"/>
      <c r="AA226" s="392"/>
      <c r="AB226" s="392"/>
      <c r="AC226" s="392"/>
      <c r="AD226" s="392"/>
      <c r="AE226" s="392"/>
      <c r="AF226" s="392"/>
      <c r="AG226" s="392"/>
      <c r="AH226" s="392"/>
      <c r="AI226" s="392"/>
      <c r="AJ226" s="392"/>
      <c r="AK226" s="392"/>
      <c r="AL226" s="392"/>
      <c r="AM226" s="392"/>
      <c r="AN226" s="392"/>
      <c r="AO226" s="392"/>
      <c r="AP226" s="392"/>
      <c r="AQ226" s="392"/>
      <c r="AR226" s="392"/>
      <c r="AS226" s="392"/>
      <c r="AT226" s="392"/>
      <c r="AU226" s="392"/>
      <c r="AV226" s="392"/>
      <c r="AW226" s="392"/>
      <c r="AX226" s="392"/>
      <c r="AY226" s="392"/>
      <c r="AZ226" s="392"/>
      <c r="BA226" s="392"/>
      <c r="BB226" s="392"/>
      <c r="BC226" s="392"/>
      <c r="BD226" s="392"/>
      <c r="BE226" s="392"/>
      <c r="BF226" s="392"/>
      <c r="BG226" s="392"/>
      <c r="BH226" s="392"/>
      <c r="BI226" s="392"/>
      <c r="BJ226" s="392"/>
      <c r="BK226" s="392"/>
      <c r="BL226" s="392"/>
      <c r="BM226" s="392"/>
      <c r="BN226" s="392"/>
      <c r="BO226" s="392"/>
      <c r="BP226" s="392"/>
      <c r="BQ226" s="392"/>
      <c r="BR226" s="392"/>
      <c r="BS226" s="392"/>
      <c r="BT226" s="392"/>
    </row>
    <row r="227" ht="15.75" customHeight="1">
      <c r="A227" s="216"/>
      <c r="B227" s="156"/>
      <c r="C227" s="156"/>
      <c r="D227" s="156"/>
      <c r="E227" s="392"/>
      <c r="F227" s="392"/>
      <c r="G227" s="392"/>
      <c r="H227" s="392"/>
      <c r="I227" s="392"/>
      <c r="J227" s="392"/>
      <c r="K227" s="392"/>
      <c r="L227" s="392"/>
      <c r="M227" s="392"/>
      <c r="N227" s="392"/>
      <c r="O227" s="392"/>
      <c r="P227" s="392"/>
      <c r="Q227" s="392"/>
      <c r="R227" s="392"/>
      <c r="S227" s="392"/>
      <c r="T227" s="392"/>
      <c r="U227" s="392"/>
      <c r="V227" s="392"/>
      <c r="W227" s="392"/>
      <c r="X227" s="392"/>
      <c r="Y227" s="392"/>
      <c r="Z227" s="392"/>
      <c r="AA227" s="392"/>
      <c r="AB227" s="392"/>
      <c r="AC227" s="392"/>
      <c r="AD227" s="392"/>
      <c r="AE227" s="392"/>
      <c r="AF227" s="392"/>
      <c r="AG227" s="392"/>
      <c r="AH227" s="392"/>
      <c r="AI227" s="392"/>
      <c r="AJ227" s="392"/>
      <c r="AK227" s="392"/>
      <c r="AL227" s="392"/>
      <c r="AM227" s="392"/>
      <c r="AN227" s="392"/>
      <c r="AO227" s="392"/>
      <c r="AP227" s="392"/>
      <c r="AQ227" s="392"/>
      <c r="AR227" s="392"/>
      <c r="AS227" s="392"/>
      <c r="AT227" s="392"/>
      <c r="AU227" s="392"/>
      <c r="AV227" s="392"/>
      <c r="AW227" s="392"/>
      <c r="AX227" s="392"/>
      <c r="AY227" s="392"/>
      <c r="AZ227" s="392"/>
      <c r="BA227" s="392"/>
      <c r="BB227" s="392"/>
      <c r="BC227" s="392"/>
      <c r="BD227" s="392"/>
      <c r="BE227" s="392"/>
      <c r="BF227" s="392"/>
      <c r="BG227" s="392"/>
      <c r="BH227" s="392"/>
      <c r="BI227" s="392"/>
      <c r="BJ227" s="392"/>
      <c r="BK227" s="392"/>
      <c r="BL227" s="392"/>
      <c r="BM227" s="392"/>
      <c r="BN227" s="392"/>
      <c r="BO227" s="392"/>
      <c r="BP227" s="392"/>
      <c r="BQ227" s="392"/>
      <c r="BR227" s="392"/>
      <c r="BS227" s="392"/>
      <c r="BT227" s="392"/>
    </row>
    <row r="228" ht="15.75" customHeight="1">
      <c r="A228" s="216"/>
      <c r="B228" s="156"/>
      <c r="C228" s="156"/>
      <c r="D228" s="156"/>
      <c r="E228" s="392"/>
      <c r="F228" s="392"/>
      <c r="G228" s="392"/>
      <c r="H228" s="392"/>
      <c r="I228" s="392"/>
      <c r="J228" s="392"/>
      <c r="K228" s="392"/>
      <c r="L228" s="392"/>
      <c r="M228" s="392"/>
      <c r="N228" s="392"/>
      <c r="O228" s="392"/>
      <c r="P228" s="392"/>
      <c r="Q228" s="392"/>
      <c r="R228" s="392"/>
      <c r="S228" s="392"/>
      <c r="T228" s="392"/>
      <c r="U228" s="392"/>
      <c r="V228" s="392"/>
      <c r="W228" s="392"/>
      <c r="X228" s="392"/>
      <c r="Y228" s="392"/>
      <c r="Z228" s="392"/>
      <c r="AA228" s="392"/>
      <c r="AB228" s="392"/>
      <c r="AC228" s="392"/>
      <c r="AD228" s="392"/>
      <c r="AE228" s="392"/>
      <c r="AF228" s="392"/>
      <c r="AG228" s="392"/>
      <c r="AH228" s="392"/>
      <c r="AI228" s="392"/>
      <c r="AJ228" s="392"/>
      <c r="AK228" s="392"/>
      <c r="AL228" s="392"/>
      <c r="AM228" s="392"/>
      <c r="AN228" s="392"/>
      <c r="AO228" s="392"/>
      <c r="AP228" s="392"/>
      <c r="AQ228" s="392"/>
      <c r="AR228" s="392"/>
      <c r="AS228" s="392"/>
      <c r="AT228" s="392"/>
      <c r="AU228" s="392"/>
      <c r="AV228" s="392"/>
      <c r="AW228" s="392"/>
      <c r="AX228" s="392"/>
      <c r="AY228" s="392"/>
      <c r="AZ228" s="392"/>
      <c r="BA228" s="392"/>
      <c r="BB228" s="392"/>
      <c r="BC228" s="392"/>
      <c r="BD228" s="392"/>
      <c r="BE228" s="392"/>
      <c r="BF228" s="392"/>
      <c r="BG228" s="392"/>
      <c r="BH228" s="392"/>
      <c r="BI228" s="392"/>
      <c r="BJ228" s="392"/>
      <c r="BK228" s="392"/>
      <c r="BL228" s="392"/>
      <c r="BM228" s="392"/>
      <c r="BN228" s="392"/>
      <c r="BO228" s="392"/>
      <c r="BP228" s="392"/>
      <c r="BQ228" s="392"/>
      <c r="BR228" s="392"/>
      <c r="BS228" s="392"/>
      <c r="BT228" s="392"/>
    </row>
    <row r="229" ht="15.75" customHeight="1">
      <c r="A229" s="216"/>
      <c r="B229" s="156"/>
      <c r="C229" s="156"/>
      <c r="D229" s="156"/>
      <c r="E229" s="392"/>
      <c r="F229" s="392"/>
      <c r="G229" s="392"/>
      <c r="H229" s="392"/>
      <c r="I229" s="392"/>
      <c r="J229" s="392"/>
      <c r="K229" s="392"/>
      <c r="L229" s="392"/>
      <c r="M229" s="392"/>
      <c r="N229" s="392"/>
      <c r="O229" s="392"/>
      <c r="P229" s="392"/>
      <c r="Q229" s="392"/>
      <c r="R229" s="392"/>
      <c r="S229" s="392"/>
      <c r="T229" s="392"/>
      <c r="U229" s="392"/>
      <c r="V229" s="392"/>
      <c r="W229" s="392"/>
      <c r="X229" s="392"/>
      <c r="Y229" s="392"/>
      <c r="Z229" s="392"/>
      <c r="AA229" s="392"/>
      <c r="AB229" s="392"/>
      <c r="AC229" s="392"/>
      <c r="AD229" s="392"/>
      <c r="AE229" s="392"/>
      <c r="AF229" s="392"/>
      <c r="AG229" s="392"/>
      <c r="AH229" s="392"/>
      <c r="AI229" s="392"/>
      <c r="AJ229" s="392"/>
      <c r="AK229" s="392"/>
      <c r="AL229" s="392"/>
      <c r="AM229" s="392"/>
      <c r="AN229" s="392"/>
      <c r="AO229" s="392"/>
      <c r="AP229" s="392"/>
      <c r="AQ229" s="392"/>
      <c r="AR229" s="392"/>
      <c r="AS229" s="392"/>
      <c r="AT229" s="392"/>
      <c r="AU229" s="392"/>
      <c r="AV229" s="392"/>
      <c r="AW229" s="392"/>
      <c r="AX229" s="392"/>
      <c r="AY229" s="392"/>
      <c r="AZ229" s="392"/>
      <c r="BA229" s="392"/>
      <c r="BB229" s="392"/>
      <c r="BC229" s="392"/>
      <c r="BD229" s="392"/>
      <c r="BE229" s="392"/>
      <c r="BF229" s="392"/>
      <c r="BG229" s="392"/>
      <c r="BH229" s="392"/>
      <c r="BI229" s="392"/>
      <c r="BJ229" s="392"/>
      <c r="BK229" s="392"/>
      <c r="BL229" s="392"/>
      <c r="BM229" s="392"/>
      <c r="BN229" s="392"/>
      <c r="BO229" s="392"/>
      <c r="BP229" s="392"/>
      <c r="BQ229" s="392"/>
      <c r="BR229" s="392"/>
      <c r="BS229" s="392"/>
      <c r="BT229" s="392"/>
    </row>
    <row r="230" ht="15.75" customHeight="1">
      <c r="A230" s="216"/>
      <c r="B230" s="156"/>
      <c r="C230" s="156"/>
      <c r="D230" s="156"/>
      <c r="E230" s="392"/>
      <c r="F230" s="392"/>
      <c r="G230" s="392"/>
      <c r="H230" s="392"/>
      <c r="I230" s="392"/>
      <c r="J230" s="392"/>
      <c r="K230" s="392"/>
      <c r="L230" s="392"/>
      <c r="M230" s="392"/>
      <c r="N230" s="392"/>
      <c r="O230" s="392"/>
      <c r="P230" s="392"/>
      <c r="Q230" s="392"/>
      <c r="R230" s="392"/>
      <c r="S230" s="392"/>
      <c r="T230" s="392"/>
      <c r="U230" s="392"/>
      <c r="V230" s="392"/>
      <c r="W230" s="392"/>
      <c r="X230" s="392"/>
      <c r="Y230" s="392"/>
      <c r="Z230" s="392"/>
      <c r="AA230" s="392"/>
      <c r="AB230" s="392"/>
      <c r="AC230" s="392"/>
      <c r="AD230" s="392"/>
      <c r="AE230" s="392"/>
      <c r="AF230" s="392"/>
      <c r="AG230" s="392"/>
      <c r="AH230" s="392"/>
      <c r="AI230" s="392"/>
      <c r="AJ230" s="392"/>
      <c r="AK230" s="392"/>
      <c r="AL230" s="392"/>
      <c r="AM230" s="392"/>
      <c r="AN230" s="392"/>
      <c r="AO230" s="392"/>
      <c r="AP230" s="392"/>
      <c r="AQ230" s="392"/>
      <c r="AR230" s="392"/>
      <c r="AS230" s="392"/>
      <c r="AT230" s="392"/>
      <c r="AU230" s="392"/>
      <c r="AV230" s="392"/>
      <c r="AW230" s="392"/>
      <c r="AX230" s="392"/>
      <c r="AY230" s="392"/>
      <c r="AZ230" s="392"/>
      <c r="BA230" s="392"/>
      <c r="BB230" s="392"/>
      <c r="BC230" s="392"/>
      <c r="BD230" s="392"/>
      <c r="BE230" s="392"/>
      <c r="BF230" s="392"/>
      <c r="BG230" s="392"/>
      <c r="BH230" s="392"/>
      <c r="BI230" s="392"/>
      <c r="BJ230" s="392"/>
      <c r="BK230" s="392"/>
      <c r="BL230" s="392"/>
      <c r="BM230" s="392"/>
      <c r="BN230" s="392"/>
      <c r="BO230" s="392"/>
      <c r="BP230" s="392"/>
      <c r="BQ230" s="392"/>
      <c r="BR230" s="392"/>
      <c r="BS230" s="392"/>
      <c r="BT230" s="392"/>
    </row>
    <row r="231" ht="15.75" customHeight="1">
      <c r="A231" s="216"/>
      <c r="B231" s="156"/>
      <c r="C231" s="156"/>
      <c r="D231" s="156"/>
      <c r="E231" s="392"/>
      <c r="F231" s="392"/>
      <c r="G231" s="392"/>
      <c r="H231" s="392"/>
      <c r="I231" s="392"/>
      <c r="J231" s="392"/>
      <c r="K231" s="392"/>
      <c r="L231" s="392"/>
      <c r="M231" s="392"/>
      <c r="N231" s="392"/>
      <c r="O231" s="392"/>
      <c r="P231" s="392"/>
      <c r="Q231" s="392"/>
      <c r="R231" s="392"/>
      <c r="S231" s="392"/>
      <c r="T231" s="392"/>
      <c r="U231" s="392"/>
      <c r="V231" s="392"/>
      <c r="W231" s="392"/>
      <c r="X231" s="392"/>
      <c r="Y231" s="392"/>
      <c r="Z231" s="392"/>
      <c r="AA231" s="392"/>
      <c r="AB231" s="392"/>
      <c r="AC231" s="392"/>
      <c r="AD231" s="392"/>
      <c r="AE231" s="392"/>
      <c r="AF231" s="392"/>
      <c r="AG231" s="392"/>
      <c r="AH231" s="392"/>
      <c r="AI231" s="392"/>
      <c r="AJ231" s="392"/>
      <c r="AK231" s="392"/>
      <c r="AL231" s="392"/>
      <c r="AM231" s="392"/>
      <c r="AN231" s="392"/>
      <c r="AO231" s="392"/>
      <c r="AP231" s="392"/>
      <c r="AQ231" s="392"/>
      <c r="AR231" s="392"/>
      <c r="AS231" s="392"/>
      <c r="AT231" s="392"/>
      <c r="AU231" s="392"/>
      <c r="AV231" s="392"/>
      <c r="AW231" s="392"/>
      <c r="AX231" s="392"/>
      <c r="AY231" s="392"/>
      <c r="AZ231" s="392"/>
      <c r="BA231" s="392"/>
      <c r="BB231" s="392"/>
      <c r="BC231" s="392"/>
      <c r="BD231" s="392"/>
      <c r="BE231" s="392"/>
      <c r="BF231" s="392"/>
      <c r="BG231" s="392"/>
      <c r="BH231" s="392"/>
      <c r="BI231" s="392"/>
      <c r="BJ231" s="392"/>
      <c r="BK231" s="392"/>
      <c r="BL231" s="392"/>
      <c r="BM231" s="392"/>
      <c r="BN231" s="392"/>
      <c r="BO231" s="392"/>
      <c r="BP231" s="392"/>
      <c r="BQ231" s="392"/>
      <c r="BR231" s="392"/>
      <c r="BS231" s="392"/>
      <c r="BT231" s="392"/>
    </row>
    <row r="232" ht="15.75" customHeight="1">
      <c r="A232" s="216"/>
      <c r="B232" s="156"/>
      <c r="C232" s="156"/>
      <c r="D232" s="156"/>
      <c r="E232" s="392"/>
      <c r="F232" s="392"/>
      <c r="G232" s="392"/>
      <c r="H232" s="392"/>
      <c r="I232" s="392"/>
      <c r="J232" s="392"/>
      <c r="K232" s="392"/>
      <c r="L232" s="392"/>
      <c r="M232" s="392"/>
      <c r="N232" s="392"/>
      <c r="O232" s="392"/>
      <c r="P232" s="392"/>
      <c r="Q232" s="392"/>
      <c r="R232" s="392"/>
      <c r="S232" s="392"/>
      <c r="T232" s="392"/>
      <c r="U232" s="392"/>
      <c r="V232" s="392"/>
      <c r="W232" s="392"/>
      <c r="X232" s="392"/>
      <c r="Y232" s="392"/>
      <c r="Z232" s="392"/>
      <c r="AA232" s="392"/>
      <c r="AB232" s="392"/>
      <c r="AC232" s="392"/>
      <c r="AD232" s="392"/>
      <c r="AE232" s="392"/>
      <c r="AF232" s="392"/>
      <c r="AG232" s="392"/>
      <c r="AH232" s="392"/>
      <c r="AI232" s="392"/>
      <c r="AJ232" s="392"/>
      <c r="AK232" s="392"/>
      <c r="AL232" s="392"/>
      <c r="AM232" s="392"/>
      <c r="AN232" s="392"/>
      <c r="AO232" s="392"/>
      <c r="AP232" s="392"/>
      <c r="AQ232" s="392"/>
      <c r="AR232" s="392"/>
      <c r="AS232" s="392"/>
      <c r="AT232" s="392"/>
      <c r="AU232" s="392"/>
      <c r="AV232" s="392"/>
      <c r="AW232" s="392"/>
      <c r="AX232" s="392"/>
      <c r="AY232" s="392"/>
      <c r="AZ232" s="392"/>
      <c r="BA232" s="392"/>
      <c r="BB232" s="392"/>
      <c r="BC232" s="392"/>
      <c r="BD232" s="392"/>
      <c r="BE232" s="392"/>
      <c r="BF232" s="392"/>
      <c r="BG232" s="392"/>
      <c r="BH232" s="392"/>
      <c r="BI232" s="392"/>
      <c r="BJ232" s="392"/>
      <c r="BK232" s="392"/>
      <c r="BL232" s="392"/>
      <c r="BM232" s="392"/>
      <c r="BN232" s="392"/>
      <c r="BO232" s="392"/>
      <c r="BP232" s="392"/>
      <c r="BQ232" s="392"/>
      <c r="BR232" s="392"/>
      <c r="BS232" s="392"/>
      <c r="BT232" s="392"/>
    </row>
    <row r="233" ht="15.75" customHeight="1">
      <c r="A233" s="216"/>
      <c r="B233" s="156"/>
      <c r="C233" s="156"/>
      <c r="D233" s="156"/>
      <c r="E233" s="392"/>
      <c r="F233" s="392"/>
      <c r="G233" s="392"/>
      <c r="H233" s="392"/>
      <c r="I233" s="392"/>
      <c r="J233" s="392"/>
      <c r="K233" s="392"/>
      <c r="L233" s="392"/>
      <c r="M233" s="392"/>
      <c r="N233" s="392"/>
      <c r="O233" s="392"/>
      <c r="P233" s="392"/>
      <c r="Q233" s="392"/>
      <c r="R233" s="392"/>
      <c r="S233" s="392"/>
      <c r="T233" s="392"/>
      <c r="U233" s="392"/>
      <c r="V233" s="392"/>
      <c r="W233" s="392"/>
      <c r="X233" s="392"/>
      <c r="Y233" s="392"/>
      <c r="Z233" s="392"/>
      <c r="AA233" s="392"/>
      <c r="AB233" s="392"/>
      <c r="AC233" s="392"/>
      <c r="AD233" s="392"/>
      <c r="AE233" s="392"/>
      <c r="AF233" s="392"/>
      <c r="AG233" s="392"/>
      <c r="AH233" s="392"/>
      <c r="AI233" s="392"/>
      <c r="AJ233" s="392"/>
      <c r="AK233" s="392"/>
      <c r="AL233" s="392"/>
      <c r="AM233" s="392"/>
      <c r="AN233" s="392"/>
      <c r="AO233" s="392"/>
      <c r="AP233" s="392"/>
      <c r="AQ233" s="392"/>
      <c r="AR233" s="392"/>
      <c r="AS233" s="392"/>
      <c r="AT233" s="392"/>
      <c r="AU233" s="392"/>
      <c r="AV233" s="392"/>
      <c r="AW233" s="392"/>
      <c r="AX233" s="392"/>
      <c r="AY233" s="392"/>
      <c r="AZ233" s="392"/>
      <c r="BA233" s="392"/>
      <c r="BB233" s="392"/>
      <c r="BC233" s="392"/>
      <c r="BD233" s="392"/>
      <c r="BE233" s="392"/>
      <c r="BF233" s="392"/>
      <c r="BG233" s="392"/>
      <c r="BH233" s="392"/>
      <c r="BI233" s="392"/>
      <c r="BJ233" s="392"/>
      <c r="BK233" s="392"/>
      <c r="BL233" s="392"/>
      <c r="BM233" s="392"/>
      <c r="BN233" s="392"/>
      <c r="BO233" s="392"/>
      <c r="BP233" s="392"/>
      <c r="BQ233" s="392"/>
      <c r="BR233" s="392"/>
      <c r="BS233" s="392"/>
      <c r="BT233" s="392"/>
    </row>
    <row r="234" ht="15.75" customHeight="1">
      <c r="A234" s="216"/>
      <c r="B234" s="156"/>
      <c r="C234" s="156"/>
      <c r="D234" s="156"/>
      <c r="E234" s="392"/>
      <c r="F234" s="392"/>
      <c r="G234" s="392"/>
      <c r="H234" s="392"/>
      <c r="I234" s="392"/>
      <c r="J234" s="392"/>
      <c r="K234" s="392"/>
      <c r="L234" s="392"/>
      <c r="M234" s="392"/>
      <c r="N234" s="392"/>
      <c r="O234" s="392"/>
      <c r="P234" s="392"/>
      <c r="Q234" s="392"/>
      <c r="R234" s="392"/>
      <c r="S234" s="392"/>
      <c r="T234" s="392"/>
      <c r="U234" s="392"/>
      <c r="V234" s="392"/>
      <c r="W234" s="392"/>
      <c r="X234" s="392"/>
      <c r="Y234" s="392"/>
      <c r="Z234" s="392"/>
      <c r="AA234" s="392"/>
      <c r="AB234" s="392"/>
      <c r="AC234" s="392"/>
      <c r="AD234" s="392"/>
      <c r="AE234" s="392"/>
      <c r="AF234" s="392"/>
      <c r="AG234" s="392"/>
      <c r="AH234" s="392"/>
      <c r="AI234" s="392"/>
      <c r="AJ234" s="392"/>
      <c r="AK234" s="392"/>
      <c r="AL234" s="392"/>
      <c r="AM234" s="392"/>
      <c r="AN234" s="392"/>
      <c r="AO234" s="392"/>
      <c r="AP234" s="392"/>
      <c r="AQ234" s="392"/>
      <c r="AR234" s="392"/>
      <c r="AS234" s="392"/>
      <c r="AT234" s="392"/>
      <c r="AU234" s="392"/>
      <c r="AV234" s="392"/>
      <c r="AW234" s="392"/>
      <c r="AX234" s="392"/>
      <c r="AY234" s="392"/>
      <c r="AZ234" s="392"/>
      <c r="BA234" s="392"/>
      <c r="BB234" s="392"/>
      <c r="BC234" s="392"/>
      <c r="BD234" s="392"/>
      <c r="BE234" s="392"/>
      <c r="BF234" s="392"/>
      <c r="BG234" s="392"/>
      <c r="BH234" s="392"/>
      <c r="BI234" s="392"/>
      <c r="BJ234" s="392"/>
      <c r="BK234" s="392"/>
      <c r="BL234" s="392"/>
      <c r="BM234" s="392"/>
      <c r="BN234" s="392"/>
      <c r="BO234" s="392"/>
      <c r="BP234" s="392"/>
      <c r="BQ234" s="392"/>
      <c r="BR234" s="392"/>
      <c r="BS234" s="392"/>
      <c r="BT234" s="392"/>
    </row>
    <row r="235" ht="15.75" customHeight="1">
      <c r="A235" s="216"/>
      <c r="B235" s="156"/>
      <c r="C235" s="156"/>
      <c r="D235" s="156"/>
      <c r="E235" s="392"/>
      <c r="F235" s="392"/>
      <c r="G235" s="392"/>
      <c r="H235" s="392"/>
      <c r="I235" s="392"/>
      <c r="J235" s="392"/>
      <c r="K235" s="392"/>
      <c r="L235" s="392"/>
      <c r="M235" s="392"/>
      <c r="N235" s="392"/>
      <c r="O235" s="392"/>
      <c r="P235" s="392"/>
      <c r="Q235" s="392"/>
      <c r="R235" s="392"/>
      <c r="S235" s="392"/>
      <c r="T235" s="392"/>
      <c r="U235" s="392"/>
      <c r="V235" s="392"/>
      <c r="W235" s="392"/>
      <c r="X235" s="392"/>
      <c r="Y235" s="392"/>
      <c r="Z235" s="392"/>
      <c r="AA235" s="392"/>
      <c r="AB235" s="392"/>
      <c r="AC235" s="392"/>
      <c r="AD235" s="392"/>
      <c r="AE235" s="392"/>
      <c r="AF235" s="392"/>
      <c r="AG235" s="392"/>
      <c r="AH235" s="392"/>
      <c r="AI235" s="392"/>
      <c r="AJ235" s="392"/>
      <c r="AK235" s="392"/>
      <c r="AL235" s="392"/>
      <c r="AM235" s="392"/>
      <c r="AN235" s="392"/>
      <c r="AO235" s="392"/>
      <c r="AP235" s="392"/>
      <c r="AQ235" s="392"/>
      <c r="AR235" s="392"/>
      <c r="AS235" s="392"/>
      <c r="AT235" s="392"/>
      <c r="AU235" s="392"/>
      <c r="AV235" s="392"/>
      <c r="AW235" s="392"/>
      <c r="AX235" s="392"/>
      <c r="AY235" s="392"/>
      <c r="AZ235" s="392"/>
      <c r="BA235" s="392"/>
      <c r="BB235" s="392"/>
      <c r="BC235" s="392"/>
      <c r="BD235" s="392"/>
      <c r="BE235" s="392"/>
      <c r="BF235" s="392"/>
      <c r="BG235" s="392"/>
      <c r="BH235" s="392"/>
      <c r="BI235" s="392"/>
      <c r="BJ235" s="392"/>
      <c r="BK235" s="392"/>
      <c r="BL235" s="392"/>
      <c r="BM235" s="392"/>
      <c r="BN235" s="392"/>
      <c r="BO235" s="392"/>
      <c r="BP235" s="392"/>
      <c r="BQ235" s="392"/>
      <c r="BR235" s="392"/>
      <c r="BS235" s="392"/>
      <c r="BT235" s="392"/>
    </row>
    <row r="236" ht="15.75" customHeight="1">
      <c r="A236" s="216"/>
      <c r="B236" s="156"/>
      <c r="C236" s="156"/>
      <c r="D236" s="156"/>
      <c r="E236" s="392"/>
      <c r="F236" s="392"/>
      <c r="G236" s="392"/>
      <c r="H236" s="392"/>
      <c r="I236" s="392"/>
      <c r="J236" s="392"/>
      <c r="K236" s="392"/>
      <c r="L236" s="392"/>
      <c r="M236" s="392"/>
      <c r="N236" s="392"/>
      <c r="O236" s="392"/>
      <c r="P236" s="392"/>
      <c r="Q236" s="392"/>
      <c r="R236" s="392"/>
      <c r="S236" s="392"/>
      <c r="T236" s="392"/>
      <c r="U236" s="392"/>
      <c r="V236" s="392"/>
      <c r="W236" s="392"/>
      <c r="X236" s="392"/>
      <c r="Y236" s="392"/>
      <c r="Z236" s="392"/>
      <c r="AA236" s="392"/>
      <c r="AB236" s="392"/>
      <c r="AC236" s="392"/>
      <c r="AD236" s="392"/>
      <c r="AE236" s="392"/>
      <c r="AF236" s="392"/>
      <c r="AG236" s="392"/>
      <c r="AH236" s="392"/>
      <c r="AI236" s="392"/>
      <c r="AJ236" s="392"/>
      <c r="AK236" s="392"/>
      <c r="AL236" s="392"/>
      <c r="AM236" s="392"/>
      <c r="AN236" s="392"/>
      <c r="AO236" s="392"/>
      <c r="AP236" s="392"/>
      <c r="AQ236" s="392"/>
      <c r="AR236" s="392"/>
      <c r="AS236" s="392"/>
      <c r="AT236" s="392"/>
      <c r="AU236" s="392"/>
      <c r="AV236" s="392"/>
      <c r="AW236" s="392"/>
      <c r="AX236" s="392"/>
      <c r="AY236" s="392"/>
      <c r="AZ236" s="392"/>
      <c r="BA236" s="392"/>
      <c r="BB236" s="392"/>
      <c r="BC236" s="392"/>
      <c r="BD236" s="392"/>
      <c r="BE236" s="392"/>
      <c r="BF236" s="392"/>
      <c r="BG236" s="392"/>
      <c r="BH236" s="392"/>
      <c r="BI236" s="392"/>
      <c r="BJ236" s="392"/>
      <c r="BK236" s="392"/>
      <c r="BL236" s="392"/>
      <c r="BM236" s="392"/>
      <c r="BN236" s="392"/>
      <c r="BO236" s="392"/>
      <c r="BP236" s="392"/>
      <c r="BQ236" s="392"/>
      <c r="BR236" s="392"/>
      <c r="BS236" s="392"/>
      <c r="BT236" s="392"/>
    </row>
    <row r="237" ht="15.75" customHeight="1">
      <c r="A237" s="216"/>
      <c r="B237" s="156"/>
      <c r="C237" s="156"/>
      <c r="D237" s="156"/>
      <c r="E237" s="392"/>
      <c r="F237" s="392"/>
      <c r="G237" s="392"/>
      <c r="H237" s="392"/>
      <c r="I237" s="392"/>
      <c r="J237" s="392"/>
      <c r="K237" s="392"/>
      <c r="L237" s="392"/>
      <c r="M237" s="392"/>
      <c r="N237" s="392"/>
      <c r="O237" s="392"/>
      <c r="P237" s="392"/>
      <c r="Q237" s="392"/>
      <c r="R237" s="392"/>
      <c r="S237" s="392"/>
      <c r="T237" s="392"/>
      <c r="U237" s="392"/>
      <c r="V237" s="392"/>
      <c r="W237" s="392"/>
      <c r="X237" s="392"/>
      <c r="Y237" s="392"/>
      <c r="Z237" s="392"/>
      <c r="AA237" s="392"/>
      <c r="AB237" s="392"/>
      <c r="AC237" s="392"/>
      <c r="AD237" s="392"/>
      <c r="AE237" s="392"/>
      <c r="AF237" s="392"/>
      <c r="AG237" s="392"/>
      <c r="AH237" s="392"/>
      <c r="AI237" s="392"/>
      <c r="AJ237" s="392"/>
      <c r="AK237" s="392"/>
      <c r="AL237" s="392"/>
      <c r="AM237" s="392"/>
      <c r="AN237" s="392"/>
      <c r="AO237" s="392"/>
      <c r="AP237" s="392"/>
      <c r="AQ237" s="392"/>
      <c r="AR237" s="392"/>
      <c r="AS237" s="392"/>
      <c r="AT237" s="392"/>
      <c r="AU237" s="392"/>
      <c r="AV237" s="392"/>
      <c r="AW237" s="392"/>
      <c r="AX237" s="392"/>
      <c r="AY237" s="392"/>
      <c r="AZ237" s="392"/>
      <c r="BA237" s="392"/>
      <c r="BB237" s="392"/>
      <c r="BC237" s="392"/>
      <c r="BD237" s="392"/>
      <c r="BE237" s="392"/>
      <c r="BF237" s="392"/>
      <c r="BG237" s="392"/>
      <c r="BH237" s="392"/>
      <c r="BI237" s="392"/>
      <c r="BJ237" s="392"/>
      <c r="BK237" s="392"/>
      <c r="BL237" s="392"/>
      <c r="BM237" s="392"/>
      <c r="BN237" s="392"/>
      <c r="BO237" s="392"/>
      <c r="BP237" s="392"/>
      <c r="BQ237" s="392"/>
      <c r="BR237" s="392"/>
      <c r="BS237" s="392"/>
      <c r="BT237" s="392"/>
    </row>
    <row r="238" ht="15.75" customHeight="1">
      <c r="A238" s="216"/>
      <c r="B238" s="156"/>
      <c r="C238" s="156"/>
      <c r="D238" s="156"/>
      <c r="E238" s="392"/>
      <c r="F238" s="392"/>
      <c r="G238" s="392"/>
      <c r="H238" s="392"/>
      <c r="I238" s="392"/>
      <c r="J238" s="392"/>
      <c r="K238" s="392"/>
      <c r="L238" s="392"/>
      <c r="M238" s="392"/>
      <c r="N238" s="392"/>
      <c r="O238" s="392"/>
      <c r="P238" s="392"/>
      <c r="Q238" s="392"/>
      <c r="R238" s="392"/>
      <c r="S238" s="392"/>
      <c r="T238" s="392"/>
      <c r="U238" s="392"/>
      <c r="V238" s="392"/>
      <c r="W238" s="392"/>
      <c r="X238" s="392"/>
      <c r="Y238" s="392"/>
      <c r="Z238" s="392"/>
      <c r="AA238" s="392"/>
      <c r="AB238" s="392"/>
      <c r="AC238" s="392"/>
      <c r="AD238" s="392"/>
      <c r="AE238" s="392"/>
      <c r="AF238" s="392"/>
      <c r="AG238" s="392"/>
      <c r="AH238" s="392"/>
      <c r="AI238" s="392"/>
      <c r="AJ238" s="392"/>
      <c r="AK238" s="392"/>
      <c r="AL238" s="392"/>
      <c r="AM238" s="392"/>
      <c r="AN238" s="392"/>
      <c r="AO238" s="392"/>
      <c r="AP238" s="392"/>
      <c r="AQ238" s="392"/>
      <c r="AR238" s="392"/>
      <c r="AS238" s="392"/>
      <c r="AT238" s="392"/>
      <c r="AU238" s="392"/>
      <c r="AV238" s="392"/>
      <c r="AW238" s="392"/>
      <c r="AX238" s="392"/>
      <c r="AY238" s="392"/>
      <c r="AZ238" s="392"/>
      <c r="BA238" s="392"/>
      <c r="BB238" s="392"/>
      <c r="BC238" s="392"/>
      <c r="BD238" s="392"/>
      <c r="BE238" s="392"/>
      <c r="BF238" s="392"/>
      <c r="BG238" s="392"/>
      <c r="BH238" s="392"/>
      <c r="BI238" s="392"/>
      <c r="BJ238" s="392"/>
      <c r="BK238" s="392"/>
      <c r="BL238" s="392"/>
      <c r="BM238" s="392"/>
      <c r="BN238" s="392"/>
      <c r="BO238" s="392"/>
      <c r="BP238" s="392"/>
      <c r="BQ238" s="392"/>
      <c r="BR238" s="392"/>
      <c r="BS238" s="392"/>
      <c r="BT238" s="392"/>
    </row>
    <row r="239" ht="15.75" customHeight="1">
      <c r="A239" s="216"/>
      <c r="B239" s="156"/>
      <c r="C239" s="156"/>
      <c r="D239" s="156"/>
      <c r="E239" s="392"/>
      <c r="F239" s="392"/>
      <c r="G239" s="392"/>
      <c r="H239" s="392"/>
      <c r="I239" s="392"/>
      <c r="J239" s="392"/>
      <c r="K239" s="392"/>
      <c r="L239" s="392"/>
      <c r="M239" s="392"/>
      <c r="N239" s="392"/>
      <c r="O239" s="392"/>
      <c r="P239" s="392"/>
      <c r="Q239" s="392"/>
      <c r="R239" s="392"/>
      <c r="S239" s="392"/>
      <c r="T239" s="392"/>
      <c r="U239" s="392"/>
      <c r="V239" s="392"/>
      <c r="W239" s="392"/>
      <c r="X239" s="392"/>
      <c r="Y239" s="392"/>
      <c r="Z239" s="392"/>
      <c r="AA239" s="392"/>
      <c r="AB239" s="392"/>
      <c r="AC239" s="392"/>
      <c r="AD239" s="392"/>
      <c r="AE239" s="392"/>
      <c r="AF239" s="392"/>
      <c r="AG239" s="392"/>
      <c r="AH239" s="392"/>
      <c r="AI239" s="392"/>
      <c r="AJ239" s="392"/>
      <c r="AK239" s="392"/>
      <c r="AL239" s="392"/>
      <c r="AM239" s="392"/>
      <c r="AN239" s="392"/>
      <c r="AO239" s="392"/>
      <c r="AP239" s="392"/>
      <c r="AQ239" s="392"/>
      <c r="AR239" s="392"/>
      <c r="AS239" s="392"/>
      <c r="AT239" s="392"/>
      <c r="AU239" s="392"/>
      <c r="AV239" s="392"/>
      <c r="AW239" s="392"/>
      <c r="AX239" s="392"/>
      <c r="AY239" s="392"/>
      <c r="AZ239" s="392"/>
      <c r="BA239" s="392"/>
      <c r="BB239" s="392"/>
      <c r="BC239" s="392"/>
      <c r="BD239" s="392"/>
      <c r="BE239" s="392"/>
      <c r="BF239" s="392"/>
      <c r="BG239" s="392"/>
      <c r="BH239" s="392"/>
      <c r="BI239" s="392"/>
      <c r="BJ239" s="392"/>
      <c r="BK239" s="392"/>
      <c r="BL239" s="392"/>
      <c r="BM239" s="392"/>
      <c r="BN239" s="392"/>
      <c r="BO239" s="392"/>
      <c r="BP239" s="392"/>
      <c r="BQ239" s="392"/>
      <c r="BR239" s="392"/>
      <c r="BS239" s="392"/>
      <c r="BT239" s="392"/>
    </row>
    <row r="240" ht="15.75" customHeight="1">
      <c r="A240" s="216"/>
      <c r="B240" s="156"/>
      <c r="C240" s="156"/>
      <c r="D240" s="156"/>
      <c r="E240" s="392"/>
      <c r="F240" s="392"/>
      <c r="G240" s="392"/>
      <c r="H240" s="392"/>
      <c r="I240" s="392"/>
      <c r="J240" s="392"/>
      <c r="K240" s="392"/>
      <c r="L240" s="392"/>
      <c r="M240" s="392"/>
      <c r="N240" s="392"/>
      <c r="O240" s="392"/>
      <c r="P240" s="392"/>
      <c r="Q240" s="392"/>
      <c r="R240" s="392"/>
      <c r="S240" s="392"/>
      <c r="T240" s="392"/>
      <c r="U240" s="392"/>
      <c r="V240" s="392"/>
      <c r="W240" s="392"/>
      <c r="X240" s="392"/>
      <c r="Y240" s="392"/>
      <c r="Z240" s="392"/>
      <c r="AA240" s="392"/>
      <c r="AB240" s="392"/>
      <c r="AC240" s="392"/>
      <c r="AD240" s="392"/>
      <c r="AE240" s="392"/>
      <c r="AF240" s="392"/>
      <c r="AG240" s="392"/>
      <c r="AH240" s="392"/>
      <c r="AI240" s="392"/>
      <c r="AJ240" s="392"/>
      <c r="AK240" s="392"/>
      <c r="AL240" s="392"/>
      <c r="AM240" s="392"/>
      <c r="AN240" s="392"/>
      <c r="AO240" s="392"/>
      <c r="AP240" s="392"/>
      <c r="AQ240" s="392"/>
      <c r="AR240" s="392"/>
      <c r="AS240" s="392"/>
      <c r="AT240" s="392"/>
      <c r="AU240" s="392"/>
      <c r="AV240" s="392"/>
      <c r="AW240" s="392"/>
      <c r="AX240" s="392"/>
      <c r="AY240" s="392"/>
      <c r="AZ240" s="392"/>
      <c r="BA240" s="392"/>
      <c r="BB240" s="392"/>
      <c r="BC240" s="392"/>
      <c r="BD240" s="392"/>
      <c r="BE240" s="392"/>
      <c r="BF240" s="392"/>
      <c r="BG240" s="392"/>
      <c r="BH240" s="392"/>
      <c r="BI240" s="392"/>
      <c r="BJ240" s="392"/>
      <c r="BK240" s="392"/>
      <c r="BL240" s="392"/>
      <c r="BM240" s="392"/>
      <c r="BN240" s="392"/>
      <c r="BO240" s="392"/>
      <c r="BP240" s="392"/>
      <c r="BQ240" s="392"/>
      <c r="BR240" s="392"/>
      <c r="BS240" s="392"/>
      <c r="BT240" s="392"/>
    </row>
    <row r="241" ht="15.75" customHeight="1">
      <c r="A241" s="216"/>
      <c r="B241" s="156"/>
      <c r="C241" s="156"/>
      <c r="D241" s="156"/>
      <c r="E241" s="392"/>
      <c r="F241" s="392"/>
      <c r="G241" s="392"/>
      <c r="H241" s="392"/>
      <c r="I241" s="392"/>
      <c r="J241" s="392"/>
      <c r="K241" s="392"/>
      <c r="L241" s="392"/>
      <c r="M241" s="392"/>
      <c r="N241" s="392"/>
      <c r="O241" s="392"/>
      <c r="P241" s="392"/>
      <c r="Q241" s="392"/>
      <c r="R241" s="392"/>
      <c r="S241" s="392"/>
      <c r="T241" s="392"/>
      <c r="U241" s="392"/>
      <c r="V241" s="392"/>
      <c r="W241" s="392"/>
      <c r="X241" s="392"/>
      <c r="Y241" s="392"/>
      <c r="Z241" s="392"/>
      <c r="AA241" s="392"/>
      <c r="AB241" s="392"/>
      <c r="AC241" s="392"/>
      <c r="AD241" s="392"/>
      <c r="AE241" s="392"/>
      <c r="AF241" s="392"/>
      <c r="AG241" s="392"/>
      <c r="AH241" s="392"/>
      <c r="AI241" s="392"/>
      <c r="AJ241" s="392"/>
      <c r="AK241" s="392"/>
      <c r="AL241" s="392"/>
      <c r="AM241" s="392"/>
      <c r="AN241" s="392"/>
      <c r="AO241" s="392"/>
      <c r="AP241" s="392"/>
      <c r="AQ241" s="392"/>
      <c r="AR241" s="392"/>
      <c r="AS241" s="392"/>
      <c r="AT241" s="392"/>
      <c r="AU241" s="392"/>
      <c r="AV241" s="392"/>
      <c r="AW241" s="392"/>
      <c r="AX241" s="392"/>
      <c r="AY241" s="392"/>
      <c r="AZ241" s="392"/>
      <c r="BA241" s="392"/>
      <c r="BB241" s="392"/>
      <c r="BC241" s="392"/>
      <c r="BD241" s="392"/>
      <c r="BE241" s="392"/>
      <c r="BF241" s="392"/>
      <c r="BG241" s="392"/>
      <c r="BH241" s="392"/>
      <c r="BI241" s="392"/>
      <c r="BJ241" s="392"/>
      <c r="BK241" s="392"/>
      <c r="BL241" s="392"/>
      <c r="BM241" s="392"/>
      <c r="BN241" s="392"/>
      <c r="BO241" s="392"/>
      <c r="BP241" s="392"/>
      <c r="BQ241" s="392"/>
      <c r="BR241" s="392"/>
      <c r="BS241" s="392"/>
      <c r="BT241" s="392"/>
    </row>
    <row r="242" ht="15.75" customHeight="1">
      <c r="A242" s="216"/>
      <c r="B242" s="156"/>
      <c r="C242" s="156"/>
      <c r="D242" s="156"/>
      <c r="E242" s="392"/>
      <c r="F242" s="392"/>
      <c r="G242" s="392"/>
      <c r="H242" s="392"/>
      <c r="I242" s="392"/>
      <c r="J242" s="392"/>
      <c r="K242" s="392"/>
      <c r="L242" s="392"/>
      <c r="M242" s="392"/>
      <c r="N242" s="392"/>
      <c r="O242" s="392"/>
      <c r="P242" s="392"/>
      <c r="Q242" s="392"/>
      <c r="R242" s="392"/>
      <c r="S242" s="392"/>
      <c r="T242" s="392"/>
      <c r="U242" s="392"/>
      <c r="V242" s="392"/>
      <c r="W242" s="392"/>
      <c r="X242" s="392"/>
      <c r="Y242" s="392"/>
      <c r="Z242" s="392"/>
      <c r="AA242" s="392"/>
      <c r="AB242" s="392"/>
      <c r="AC242" s="392"/>
      <c r="AD242" s="392"/>
      <c r="AE242" s="392"/>
      <c r="AF242" s="392"/>
      <c r="AG242" s="392"/>
      <c r="AH242" s="392"/>
      <c r="AI242" s="392"/>
      <c r="AJ242" s="392"/>
      <c r="AK242" s="392"/>
      <c r="AL242" s="392"/>
      <c r="AM242" s="392"/>
      <c r="AN242" s="392"/>
      <c r="AO242" s="392"/>
      <c r="AP242" s="392"/>
      <c r="AQ242" s="392"/>
      <c r="AR242" s="392"/>
      <c r="AS242" s="392"/>
      <c r="AT242" s="392"/>
      <c r="AU242" s="392"/>
      <c r="AV242" s="392"/>
      <c r="AW242" s="392"/>
      <c r="AX242" s="392"/>
      <c r="AY242" s="392"/>
      <c r="AZ242" s="392"/>
      <c r="BA242" s="392"/>
      <c r="BB242" s="392"/>
      <c r="BC242" s="392"/>
      <c r="BD242" s="392"/>
      <c r="BE242" s="392"/>
      <c r="BF242" s="392"/>
      <c r="BG242" s="392"/>
      <c r="BH242" s="392"/>
      <c r="BI242" s="392"/>
      <c r="BJ242" s="392"/>
      <c r="BK242" s="392"/>
      <c r="BL242" s="392"/>
      <c r="BM242" s="392"/>
      <c r="BN242" s="392"/>
      <c r="BO242" s="392"/>
      <c r="BP242" s="392"/>
      <c r="BQ242" s="392"/>
      <c r="BR242" s="392"/>
      <c r="BS242" s="392"/>
      <c r="BT242" s="392"/>
    </row>
    <row r="243" ht="15.75" customHeight="1">
      <c r="A243" s="216"/>
      <c r="B243" s="156"/>
      <c r="C243" s="156"/>
      <c r="D243" s="156"/>
      <c r="E243" s="392"/>
      <c r="F243" s="392"/>
      <c r="G243" s="392"/>
      <c r="H243" s="392"/>
      <c r="I243" s="392"/>
      <c r="J243" s="392"/>
      <c r="K243" s="392"/>
      <c r="L243" s="392"/>
      <c r="M243" s="392"/>
      <c r="N243" s="392"/>
      <c r="O243" s="392"/>
      <c r="P243" s="392"/>
      <c r="Q243" s="392"/>
      <c r="R243" s="392"/>
      <c r="S243" s="392"/>
      <c r="T243" s="392"/>
      <c r="U243" s="392"/>
      <c r="V243" s="392"/>
      <c r="W243" s="392"/>
      <c r="X243" s="392"/>
      <c r="Y243" s="392"/>
      <c r="Z243" s="392"/>
      <c r="AA243" s="392"/>
      <c r="AB243" s="392"/>
      <c r="AC243" s="392"/>
      <c r="AD243" s="392"/>
      <c r="AE243" s="392"/>
      <c r="AF243" s="392"/>
      <c r="AG243" s="392"/>
      <c r="AH243" s="392"/>
      <c r="AI243" s="392"/>
      <c r="AJ243" s="392"/>
      <c r="AK243" s="392"/>
      <c r="AL243" s="392"/>
      <c r="AM243" s="392"/>
      <c r="AN243" s="392"/>
      <c r="AO243" s="392"/>
      <c r="AP243" s="392"/>
      <c r="AQ243" s="392"/>
      <c r="AR243" s="392"/>
      <c r="AS243" s="392"/>
      <c r="AT243" s="392"/>
      <c r="AU243" s="392"/>
      <c r="AV243" s="392"/>
      <c r="AW243" s="392"/>
      <c r="AX243" s="392"/>
      <c r="AY243" s="392"/>
      <c r="AZ243" s="392"/>
      <c r="BA243" s="392"/>
      <c r="BB243" s="392"/>
      <c r="BC243" s="392"/>
      <c r="BD243" s="392"/>
      <c r="BE243" s="392"/>
      <c r="BF243" s="392"/>
      <c r="BG243" s="392"/>
      <c r="BH243" s="392"/>
      <c r="BI243" s="392"/>
      <c r="BJ243" s="392"/>
      <c r="BK243" s="392"/>
      <c r="BL243" s="392"/>
      <c r="BM243" s="392"/>
      <c r="BN243" s="392"/>
      <c r="BO243" s="392"/>
      <c r="BP243" s="392"/>
      <c r="BQ243" s="392"/>
      <c r="BR243" s="392"/>
      <c r="BS243" s="392"/>
      <c r="BT243" s="392"/>
    </row>
    <row r="244" ht="15.75" customHeight="1">
      <c r="A244" s="216"/>
      <c r="B244" s="156"/>
      <c r="C244" s="156"/>
      <c r="D244" s="156"/>
      <c r="E244" s="392"/>
      <c r="F244" s="392"/>
      <c r="G244" s="392"/>
      <c r="H244" s="392"/>
      <c r="I244" s="392"/>
      <c r="J244" s="392"/>
      <c r="K244" s="392"/>
      <c r="L244" s="392"/>
      <c r="M244" s="392"/>
      <c r="N244" s="392"/>
      <c r="O244" s="392"/>
      <c r="P244" s="392"/>
      <c r="Q244" s="392"/>
      <c r="R244" s="392"/>
      <c r="S244" s="392"/>
      <c r="T244" s="392"/>
      <c r="U244" s="392"/>
      <c r="V244" s="392"/>
      <c r="W244" s="392"/>
      <c r="X244" s="392"/>
      <c r="Y244" s="392"/>
      <c r="Z244" s="392"/>
      <c r="AA244" s="392"/>
      <c r="AB244" s="392"/>
      <c r="AC244" s="392"/>
      <c r="AD244" s="392"/>
      <c r="AE244" s="392"/>
      <c r="AF244" s="392"/>
      <c r="AG244" s="392"/>
      <c r="AH244" s="392"/>
      <c r="AI244" s="392"/>
      <c r="AJ244" s="392"/>
      <c r="AK244" s="392"/>
      <c r="AL244" s="392"/>
      <c r="AM244" s="392"/>
      <c r="AN244" s="392"/>
      <c r="AO244" s="392"/>
      <c r="AP244" s="392"/>
      <c r="AQ244" s="392"/>
      <c r="AR244" s="392"/>
      <c r="AS244" s="392"/>
      <c r="AT244" s="392"/>
      <c r="AU244" s="392"/>
      <c r="AV244" s="392"/>
      <c r="AW244" s="392"/>
      <c r="AX244" s="392"/>
      <c r="AY244" s="392"/>
      <c r="AZ244" s="392"/>
      <c r="BA244" s="392"/>
      <c r="BB244" s="392"/>
      <c r="BC244" s="392"/>
      <c r="BD244" s="392"/>
      <c r="BE244" s="392"/>
      <c r="BF244" s="392"/>
      <c r="BG244" s="392"/>
      <c r="BH244" s="392"/>
      <c r="BI244" s="392"/>
      <c r="BJ244" s="392"/>
      <c r="BK244" s="392"/>
      <c r="BL244" s="392"/>
      <c r="BM244" s="392"/>
      <c r="BN244" s="392"/>
      <c r="BO244" s="392"/>
      <c r="BP244" s="392"/>
      <c r="BQ244" s="392"/>
      <c r="BR244" s="392"/>
      <c r="BS244" s="392"/>
      <c r="BT244" s="392"/>
    </row>
    <row r="245" ht="15.75" customHeight="1">
      <c r="A245" s="216"/>
      <c r="B245" s="156"/>
      <c r="C245" s="156"/>
      <c r="D245" s="156"/>
      <c r="E245" s="392"/>
      <c r="F245" s="392"/>
      <c r="G245" s="392"/>
      <c r="H245" s="392"/>
      <c r="I245" s="392"/>
      <c r="J245" s="392"/>
      <c r="K245" s="392"/>
      <c r="L245" s="392"/>
      <c r="M245" s="392"/>
      <c r="N245" s="392"/>
      <c r="O245" s="392"/>
      <c r="P245" s="392"/>
      <c r="Q245" s="392"/>
      <c r="R245" s="392"/>
      <c r="S245" s="392"/>
      <c r="T245" s="392"/>
      <c r="U245" s="392"/>
      <c r="V245" s="392"/>
      <c r="W245" s="392"/>
      <c r="X245" s="392"/>
      <c r="Y245" s="392"/>
      <c r="Z245" s="392"/>
      <c r="AA245" s="392"/>
      <c r="AB245" s="392"/>
      <c r="AC245" s="392"/>
      <c r="AD245" s="392"/>
      <c r="AE245" s="392"/>
      <c r="AF245" s="392"/>
      <c r="AG245" s="392"/>
      <c r="AH245" s="392"/>
      <c r="AI245" s="392"/>
      <c r="AJ245" s="392"/>
      <c r="AK245" s="392"/>
      <c r="AL245" s="392"/>
      <c r="AM245" s="392"/>
      <c r="AN245" s="392"/>
      <c r="AO245" s="392"/>
      <c r="AP245" s="392"/>
      <c r="AQ245" s="392"/>
      <c r="AR245" s="392"/>
      <c r="AS245" s="392"/>
      <c r="AT245" s="392"/>
      <c r="AU245" s="392"/>
      <c r="AV245" s="392"/>
      <c r="AW245" s="392"/>
      <c r="AX245" s="392"/>
      <c r="AY245" s="392"/>
      <c r="AZ245" s="392"/>
      <c r="BA245" s="392"/>
      <c r="BB245" s="392"/>
      <c r="BC245" s="392"/>
      <c r="BD245" s="392"/>
      <c r="BE245" s="392"/>
      <c r="BF245" s="392"/>
      <c r="BG245" s="392"/>
      <c r="BH245" s="392"/>
      <c r="BI245" s="392"/>
      <c r="BJ245" s="392"/>
      <c r="BK245" s="392"/>
      <c r="BL245" s="392"/>
      <c r="BM245" s="392"/>
      <c r="BN245" s="392"/>
      <c r="BO245" s="392"/>
      <c r="BP245" s="392"/>
      <c r="BQ245" s="392"/>
      <c r="BR245" s="392"/>
      <c r="BS245" s="392"/>
      <c r="BT245" s="392"/>
    </row>
    <row r="246" ht="15.75" customHeight="1">
      <c r="A246" s="216"/>
      <c r="B246" s="156"/>
      <c r="C246" s="156"/>
      <c r="D246" s="156"/>
      <c r="E246" s="392"/>
      <c r="F246" s="392"/>
      <c r="G246" s="392"/>
      <c r="H246" s="392"/>
      <c r="I246" s="392"/>
      <c r="J246" s="392"/>
      <c r="K246" s="392"/>
      <c r="L246" s="392"/>
      <c r="M246" s="392"/>
      <c r="N246" s="392"/>
      <c r="O246" s="392"/>
      <c r="P246" s="392"/>
      <c r="Q246" s="392"/>
      <c r="R246" s="392"/>
      <c r="S246" s="392"/>
      <c r="T246" s="392"/>
      <c r="U246" s="392"/>
      <c r="V246" s="392"/>
      <c r="W246" s="392"/>
      <c r="X246" s="392"/>
      <c r="Y246" s="392"/>
      <c r="Z246" s="392"/>
      <c r="AA246" s="392"/>
      <c r="AB246" s="392"/>
      <c r="AC246" s="392"/>
      <c r="AD246" s="392"/>
      <c r="AE246" s="392"/>
      <c r="AF246" s="392"/>
      <c r="AG246" s="392"/>
      <c r="AH246" s="392"/>
      <c r="AI246" s="392"/>
      <c r="AJ246" s="392"/>
      <c r="AK246" s="392"/>
      <c r="AL246" s="392"/>
      <c r="AM246" s="392"/>
      <c r="AN246" s="392"/>
      <c r="AO246" s="392"/>
      <c r="AP246" s="392"/>
      <c r="AQ246" s="392"/>
      <c r="AR246" s="392"/>
      <c r="AS246" s="392"/>
      <c r="AT246" s="392"/>
      <c r="AU246" s="392"/>
      <c r="AV246" s="392"/>
      <c r="AW246" s="392"/>
      <c r="AX246" s="392"/>
      <c r="AY246" s="392"/>
      <c r="AZ246" s="392"/>
      <c r="BA246" s="392"/>
      <c r="BB246" s="392"/>
      <c r="BC246" s="392"/>
      <c r="BD246" s="392"/>
      <c r="BE246" s="392"/>
      <c r="BF246" s="392"/>
      <c r="BG246" s="392"/>
      <c r="BH246" s="392"/>
      <c r="BI246" s="392"/>
      <c r="BJ246" s="392"/>
      <c r="BK246" s="392"/>
      <c r="BL246" s="392"/>
      <c r="BM246" s="392"/>
      <c r="BN246" s="392"/>
      <c r="BO246" s="392"/>
      <c r="BP246" s="392"/>
      <c r="BQ246" s="392"/>
      <c r="BR246" s="392"/>
      <c r="BS246" s="392"/>
      <c r="BT246" s="392"/>
    </row>
    <row r="247" ht="15.75" customHeight="1">
      <c r="A247" s="216"/>
      <c r="B247" s="156"/>
      <c r="C247" s="156"/>
      <c r="D247" s="156"/>
      <c r="E247" s="392"/>
      <c r="F247" s="392"/>
      <c r="G247" s="392"/>
      <c r="H247" s="392"/>
      <c r="I247" s="392"/>
      <c r="J247" s="392"/>
      <c r="K247" s="392"/>
      <c r="L247" s="392"/>
      <c r="M247" s="392"/>
      <c r="N247" s="392"/>
      <c r="O247" s="392"/>
      <c r="P247" s="392"/>
      <c r="Q247" s="392"/>
      <c r="R247" s="392"/>
      <c r="S247" s="392"/>
      <c r="T247" s="392"/>
      <c r="U247" s="392"/>
      <c r="V247" s="392"/>
      <c r="W247" s="392"/>
      <c r="X247" s="392"/>
      <c r="Y247" s="392"/>
      <c r="Z247" s="392"/>
      <c r="AA247" s="392"/>
      <c r="AB247" s="392"/>
      <c r="AC247" s="392"/>
      <c r="AD247" s="392"/>
      <c r="AE247" s="392"/>
      <c r="AF247" s="392"/>
      <c r="AG247" s="392"/>
      <c r="AH247" s="392"/>
      <c r="AI247" s="392"/>
      <c r="AJ247" s="392"/>
      <c r="AK247" s="392"/>
      <c r="AL247" s="392"/>
      <c r="AM247" s="392"/>
      <c r="AN247" s="392"/>
      <c r="AO247" s="392"/>
      <c r="AP247" s="392"/>
      <c r="AQ247" s="392"/>
      <c r="AR247" s="392"/>
      <c r="AS247" s="392"/>
      <c r="AT247" s="392"/>
      <c r="AU247" s="392"/>
      <c r="AV247" s="392"/>
      <c r="AW247" s="392"/>
      <c r="AX247" s="392"/>
      <c r="AY247" s="392"/>
      <c r="AZ247" s="392"/>
      <c r="BA247" s="392"/>
      <c r="BB247" s="392"/>
      <c r="BC247" s="392"/>
      <c r="BD247" s="392"/>
      <c r="BE247" s="392"/>
      <c r="BF247" s="392"/>
      <c r="BG247" s="392"/>
      <c r="BH247" s="392"/>
      <c r="BI247" s="392"/>
      <c r="BJ247" s="392"/>
      <c r="BK247" s="392"/>
      <c r="BL247" s="392"/>
      <c r="BM247" s="392"/>
      <c r="BN247" s="392"/>
      <c r="BO247" s="392"/>
      <c r="BP247" s="392"/>
      <c r="BQ247" s="392"/>
      <c r="BR247" s="392"/>
      <c r="BS247" s="392"/>
      <c r="BT247" s="392"/>
    </row>
    <row r="248" ht="15.75" customHeight="1">
      <c r="A248" s="216"/>
      <c r="B248" s="156"/>
      <c r="C248" s="156"/>
      <c r="D248" s="156"/>
      <c r="E248" s="392"/>
      <c r="F248" s="392"/>
      <c r="G248" s="392"/>
      <c r="H248" s="392"/>
      <c r="I248" s="392"/>
      <c r="J248" s="392"/>
      <c r="K248" s="392"/>
      <c r="L248" s="392"/>
      <c r="M248" s="392"/>
      <c r="N248" s="392"/>
      <c r="O248" s="392"/>
      <c r="P248" s="392"/>
      <c r="Q248" s="392"/>
      <c r="R248" s="392"/>
      <c r="S248" s="392"/>
      <c r="T248" s="392"/>
      <c r="U248" s="392"/>
      <c r="V248" s="392"/>
      <c r="W248" s="392"/>
      <c r="X248" s="392"/>
      <c r="Y248" s="392"/>
      <c r="Z248" s="392"/>
      <c r="AA248" s="392"/>
      <c r="AB248" s="392"/>
      <c r="AC248" s="392"/>
      <c r="AD248" s="392"/>
      <c r="AE248" s="392"/>
      <c r="AF248" s="392"/>
      <c r="AG248" s="392"/>
      <c r="AH248" s="392"/>
      <c r="AI248" s="392"/>
      <c r="AJ248" s="392"/>
      <c r="AK248" s="392"/>
      <c r="AL248" s="392"/>
      <c r="AM248" s="392"/>
      <c r="AN248" s="392"/>
      <c r="AO248" s="392"/>
      <c r="AP248" s="392"/>
      <c r="AQ248" s="392"/>
      <c r="AR248" s="392"/>
      <c r="AS248" s="392"/>
      <c r="AT248" s="392"/>
      <c r="AU248" s="392"/>
      <c r="AV248" s="392"/>
      <c r="AW248" s="392"/>
      <c r="AX248" s="392"/>
      <c r="AY248" s="392"/>
      <c r="AZ248" s="392"/>
      <c r="BA248" s="392"/>
      <c r="BB248" s="392"/>
      <c r="BC248" s="392"/>
      <c r="BD248" s="392"/>
      <c r="BE248" s="392"/>
      <c r="BF248" s="392"/>
      <c r="BG248" s="392"/>
      <c r="BH248" s="392"/>
      <c r="BI248" s="392"/>
      <c r="BJ248" s="392"/>
      <c r="BK248" s="392"/>
      <c r="BL248" s="392"/>
      <c r="BM248" s="392"/>
      <c r="BN248" s="392"/>
      <c r="BO248" s="392"/>
      <c r="BP248" s="392"/>
      <c r="BQ248" s="392"/>
      <c r="BR248" s="392"/>
      <c r="BS248" s="392"/>
      <c r="BT248" s="392"/>
    </row>
    <row r="249" ht="15.75" customHeight="1">
      <c r="A249" s="216"/>
      <c r="B249" s="156"/>
      <c r="C249" s="156"/>
      <c r="D249" s="156"/>
      <c r="E249" s="392"/>
      <c r="F249" s="392"/>
      <c r="G249" s="392"/>
      <c r="H249" s="392"/>
      <c r="I249" s="392"/>
      <c r="J249" s="392"/>
      <c r="K249" s="392"/>
      <c r="L249" s="392"/>
      <c r="M249" s="392"/>
      <c r="N249" s="392"/>
      <c r="O249" s="392"/>
      <c r="P249" s="392"/>
      <c r="Q249" s="392"/>
      <c r="R249" s="392"/>
      <c r="S249" s="392"/>
      <c r="T249" s="392"/>
      <c r="U249" s="392"/>
      <c r="V249" s="392"/>
      <c r="W249" s="392"/>
      <c r="X249" s="392"/>
      <c r="Y249" s="392"/>
      <c r="Z249" s="392"/>
      <c r="AA249" s="392"/>
      <c r="AB249" s="392"/>
      <c r="AC249" s="392"/>
      <c r="AD249" s="392"/>
      <c r="AE249" s="392"/>
      <c r="AF249" s="392"/>
      <c r="AG249" s="392"/>
      <c r="AH249" s="392"/>
      <c r="AI249" s="392"/>
      <c r="AJ249" s="392"/>
      <c r="AK249" s="392"/>
      <c r="AL249" s="392"/>
      <c r="AM249" s="392"/>
      <c r="AN249" s="392"/>
      <c r="AO249" s="392"/>
      <c r="AP249" s="392"/>
      <c r="AQ249" s="392"/>
      <c r="AR249" s="392"/>
      <c r="AS249" s="392"/>
      <c r="AT249" s="392"/>
      <c r="AU249" s="392"/>
      <c r="AV249" s="392"/>
      <c r="AW249" s="392"/>
      <c r="AX249" s="392"/>
      <c r="AY249" s="392"/>
      <c r="AZ249" s="392"/>
      <c r="BA249" s="392"/>
      <c r="BB249" s="392"/>
      <c r="BC249" s="392"/>
      <c r="BD249" s="392"/>
      <c r="BE249" s="392"/>
      <c r="BF249" s="392"/>
      <c r="BG249" s="392"/>
      <c r="BH249" s="392"/>
      <c r="BI249" s="392"/>
      <c r="BJ249" s="392"/>
      <c r="BK249" s="392"/>
      <c r="BL249" s="392"/>
      <c r="BM249" s="392"/>
      <c r="BN249" s="392"/>
      <c r="BO249" s="392"/>
      <c r="BP249" s="392"/>
      <c r="BQ249" s="392"/>
      <c r="BR249" s="392"/>
      <c r="BS249" s="392"/>
      <c r="BT249" s="392"/>
    </row>
    <row r="250" ht="15.75" customHeight="1">
      <c r="A250" s="216"/>
      <c r="B250" s="156"/>
      <c r="C250" s="156"/>
      <c r="D250" s="156"/>
      <c r="E250" s="392"/>
      <c r="F250" s="392"/>
      <c r="G250" s="392"/>
      <c r="H250" s="392"/>
      <c r="I250" s="392"/>
      <c r="J250" s="392"/>
      <c r="K250" s="392"/>
      <c r="L250" s="392"/>
      <c r="M250" s="392"/>
      <c r="N250" s="392"/>
      <c r="O250" s="392"/>
      <c r="P250" s="392"/>
      <c r="Q250" s="392"/>
      <c r="R250" s="392"/>
      <c r="S250" s="392"/>
      <c r="T250" s="392"/>
      <c r="U250" s="392"/>
      <c r="V250" s="392"/>
      <c r="W250" s="392"/>
      <c r="X250" s="392"/>
      <c r="Y250" s="392"/>
      <c r="Z250" s="392"/>
      <c r="AA250" s="392"/>
      <c r="AB250" s="392"/>
      <c r="AC250" s="392"/>
      <c r="AD250" s="392"/>
      <c r="AE250" s="392"/>
      <c r="AF250" s="392"/>
      <c r="AG250" s="392"/>
      <c r="AH250" s="392"/>
      <c r="AI250" s="392"/>
      <c r="AJ250" s="392"/>
      <c r="AK250" s="392"/>
      <c r="AL250" s="392"/>
      <c r="AM250" s="392"/>
      <c r="AN250" s="392"/>
      <c r="AO250" s="392"/>
      <c r="AP250" s="392"/>
      <c r="AQ250" s="392"/>
      <c r="AR250" s="392"/>
      <c r="AS250" s="392"/>
      <c r="AT250" s="392"/>
      <c r="AU250" s="392"/>
      <c r="AV250" s="392"/>
      <c r="AW250" s="392"/>
      <c r="AX250" s="392"/>
      <c r="AY250" s="392"/>
      <c r="AZ250" s="392"/>
      <c r="BA250" s="392"/>
      <c r="BB250" s="392"/>
      <c r="BC250" s="392"/>
      <c r="BD250" s="392"/>
      <c r="BE250" s="392"/>
      <c r="BF250" s="392"/>
      <c r="BG250" s="392"/>
      <c r="BH250" s="392"/>
      <c r="BI250" s="392"/>
      <c r="BJ250" s="392"/>
      <c r="BK250" s="392"/>
      <c r="BL250" s="392"/>
      <c r="BM250" s="392"/>
      <c r="BN250" s="392"/>
      <c r="BO250" s="392"/>
      <c r="BP250" s="392"/>
      <c r="BQ250" s="392"/>
      <c r="BR250" s="392"/>
      <c r="BS250" s="392"/>
      <c r="BT250" s="392"/>
    </row>
    <row r="251" ht="15.75" customHeight="1">
      <c r="A251" s="216"/>
      <c r="B251" s="156"/>
      <c r="C251" s="156"/>
      <c r="D251" s="156"/>
      <c r="E251" s="392"/>
      <c r="F251" s="392"/>
      <c r="G251" s="392"/>
      <c r="H251" s="392"/>
      <c r="I251" s="392"/>
      <c r="J251" s="392"/>
      <c r="K251" s="392"/>
      <c r="L251" s="392"/>
      <c r="M251" s="392"/>
      <c r="N251" s="392"/>
      <c r="O251" s="392"/>
      <c r="P251" s="392"/>
      <c r="Q251" s="392"/>
      <c r="R251" s="392"/>
      <c r="S251" s="392"/>
      <c r="T251" s="392"/>
      <c r="U251" s="392"/>
      <c r="V251" s="392"/>
      <c r="W251" s="392"/>
      <c r="X251" s="392"/>
      <c r="Y251" s="392"/>
      <c r="Z251" s="392"/>
      <c r="AA251" s="392"/>
      <c r="AB251" s="392"/>
      <c r="AC251" s="392"/>
      <c r="AD251" s="392"/>
      <c r="AE251" s="392"/>
      <c r="AF251" s="392"/>
      <c r="AG251" s="392"/>
      <c r="AH251" s="392"/>
      <c r="AI251" s="392"/>
      <c r="AJ251" s="392"/>
      <c r="AK251" s="392"/>
      <c r="AL251" s="392"/>
      <c r="AM251" s="392"/>
      <c r="AN251" s="392"/>
      <c r="AO251" s="392"/>
      <c r="AP251" s="392"/>
      <c r="AQ251" s="392"/>
      <c r="AR251" s="392"/>
      <c r="AS251" s="392"/>
      <c r="AT251" s="392"/>
      <c r="AU251" s="392"/>
      <c r="AV251" s="392"/>
      <c r="AW251" s="392"/>
      <c r="AX251" s="392"/>
      <c r="AY251" s="392"/>
      <c r="AZ251" s="392"/>
      <c r="BA251" s="392"/>
      <c r="BB251" s="392"/>
      <c r="BC251" s="392"/>
      <c r="BD251" s="392"/>
      <c r="BE251" s="392"/>
      <c r="BF251" s="392"/>
      <c r="BG251" s="392"/>
      <c r="BH251" s="392"/>
      <c r="BI251" s="392"/>
      <c r="BJ251" s="392"/>
      <c r="BK251" s="392"/>
      <c r="BL251" s="392"/>
      <c r="BM251" s="392"/>
      <c r="BN251" s="392"/>
      <c r="BO251" s="392"/>
      <c r="BP251" s="392"/>
      <c r="BQ251" s="392"/>
      <c r="BR251" s="392"/>
      <c r="BS251" s="392"/>
      <c r="BT251" s="392"/>
    </row>
    <row r="252" ht="15.75" customHeight="1">
      <c r="A252" s="216"/>
      <c r="B252" s="156"/>
      <c r="C252" s="156"/>
      <c r="D252" s="156"/>
      <c r="E252" s="392"/>
      <c r="F252" s="392"/>
      <c r="G252" s="392"/>
      <c r="H252" s="392"/>
      <c r="I252" s="392"/>
      <c r="J252" s="392"/>
      <c r="K252" s="392"/>
      <c r="L252" s="392"/>
      <c r="M252" s="392"/>
      <c r="N252" s="392"/>
      <c r="O252" s="392"/>
      <c r="P252" s="392"/>
      <c r="Q252" s="392"/>
      <c r="R252" s="392"/>
      <c r="S252" s="392"/>
      <c r="T252" s="392"/>
      <c r="U252" s="392"/>
      <c r="V252" s="392"/>
      <c r="W252" s="392"/>
      <c r="X252" s="392"/>
      <c r="Y252" s="392"/>
      <c r="Z252" s="392"/>
      <c r="AA252" s="392"/>
      <c r="AB252" s="392"/>
      <c r="AC252" s="392"/>
      <c r="AD252" s="392"/>
      <c r="AE252" s="392"/>
      <c r="AF252" s="392"/>
      <c r="AG252" s="392"/>
      <c r="AH252" s="392"/>
      <c r="AI252" s="392"/>
      <c r="AJ252" s="392"/>
      <c r="AK252" s="392"/>
      <c r="AL252" s="392"/>
      <c r="AM252" s="392"/>
      <c r="AN252" s="392"/>
      <c r="AO252" s="392"/>
      <c r="AP252" s="392"/>
      <c r="AQ252" s="392"/>
      <c r="AR252" s="392"/>
      <c r="AS252" s="392"/>
      <c r="AT252" s="392"/>
      <c r="AU252" s="392"/>
      <c r="AV252" s="392"/>
      <c r="AW252" s="392"/>
      <c r="AX252" s="392"/>
      <c r="AY252" s="392"/>
      <c r="AZ252" s="392"/>
      <c r="BA252" s="392"/>
      <c r="BB252" s="392"/>
      <c r="BC252" s="392"/>
      <c r="BD252" s="392"/>
      <c r="BE252" s="392"/>
      <c r="BF252" s="392"/>
      <c r="BG252" s="392"/>
      <c r="BH252" s="392"/>
      <c r="BI252" s="392"/>
      <c r="BJ252" s="392"/>
      <c r="BK252" s="392"/>
      <c r="BL252" s="392"/>
      <c r="BM252" s="392"/>
      <c r="BN252" s="392"/>
      <c r="BO252" s="392"/>
      <c r="BP252" s="392"/>
      <c r="BQ252" s="392"/>
      <c r="BR252" s="392"/>
      <c r="BS252" s="392"/>
      <c r="BT252" s="392"/>
    </row>
    <row r="253" ht="15.75" customHeight="1">
      <c r="A253" s="216"/>
      <c r="B253" s="156"/>
      <c r="C253" s="156"/>
      <c r="D253" s="156"/>
      <c r="E253" s="392"/>
      <c r="F253" s="392"/>
      <c r="G253" s="392"/>
      <c r="H253" s="392"/>
      <c r="I253" s="392"/>
      <c r="J253" s="392"/>
      <c r="K253" s="392"/>
      <c r="L253" s="392"/>
      <c r="M253" s="392"/>
      <c r="N253" s="392"/>
      <c r="O253" s="392"/>
      <c r="P253" s="392"/>
      <c r="Q253" s="392"/>
      <c r="R253" s="392"/>
      <c r="S253" s="392"/>
      <c r="T253" s="392"/>
      <c r="U253" s="392"/>
      <c r="V253" s="392"/>
      <c r="W253" s="392"/>
      <c r="X253" s="392"/>
      <c r="Y253" s="392"/>
      <c r="Z253" s="392"/>
      <c r="AA253" s="392"/>
      <c r="AB253" s="392"/>
      <c r="AC253" s="392"/>
      <c r="AD253" s="392"/>
      <c r="AE253" s="392"/>
      <c r="AF253" s="392"/>
      <c r="AG253" s="392"/>
      <c r="AH253" s="392"/>
      <c r="AI253" s="392"/>
      <c r="AJ253" s="392"/>
      <c r="AK253" s="392"/>
      <c r="AL253" s="392"/>
      <c r="AM253" s="392"/>
      <c r="AN253" s="392"/>
      <c r="AO253" s="392"/>
      <c r="AP253" s="392"/>
      <c r="AQ253" s="392"/>
      <c r="AR253" s="392"/>
      <c r="AS253" s="392"/>
      <c r="AT253" s="392"/>
      <c r="AU253" s="392"/>
      <c r="AV253" s="392"/>
      <c r="AW253" s="392"/>
      <c r="AX253" s="392"/>
      <c r="AY253" s="392"/>
      <c r="AZ253" s="392"/>
      <c r="BA253" s="392"/>
      <c r="BB253" s="392"/>
      <c r="BC253" s="392"/>
      <c r="BD253" s="392"/>
      <c r="BE253" s="392"/>
      <c r="BF253" s="392"/>
      <c r="BG253" s="392"/>
      <c r="BH253" s="392"/>
      <c r="BI253" s="392"/>
      <c r="BJ253" s="392"/>
      <c r="BK253" s="392"/>
      <c r="BL253" s="392"/>
      <c r="BM253" s="392"/>
      <c r="BN253" s="392"/>
      <c r="BO253" s="392"/>
      <c r="BP253" s="392"/>
      <c r="BQ253" s="392"/>
      <c r="BR253" s="392"/>
      <c r="BS253" s="392"/>
      <c r="BT253" s="392"/>
    </row>
    <row r="254" ht="15.75" customHeight="1">
      <c r="A254" s="216"/>
      <c r="B254" s="156"/>
      <c r="C254" s="156"/>
      <c r="D254" s="156"/>
      <c r="E254" s="392"/>
      <c r="F254" s="392"/>
      <c r="G254" s="392"/>
      <c r="H254" s="392"/>
      <c r="I254" s="392"/>
      <c r="J254" s="392"/>
      <c r="K254" s="392"/>
      <c r="L254" s="392"/>
      <c r="M254" s="392"/>
      <c r="N254" s="392"/>
      <c r="O254" s="392"/>
      <c r="P254" s="392"/>
      <c r="Q254" s="392"/>
      <c r="R254" s="392"/>
      <c r="S254" s="392"/>
      <c r="T254" s="392"/>
      <c r="U254" s="392"/>
      <c r="V254" s="392"/>
      <c r="W254" s="392"/>
      <c r="X254" s="392"/>
      <c r="Y254" s="392"/>
      <c r="Z254" s="392"/>
      <c r="AA254" s="392"/>
      <c r="AB254" s="392"/>
      <c r="AC254" s="392"/>
      <c r="AD254" s="392"/>
      <c r="AE254" s="392"/>
      <c r="AF254" s="392"/>
      <c r="AG254" s="392"/>
      <c r="AH254" s="392"/>
      <c r="AI254" s="392"/>
      <c r="AJ254" s="392"/>
      <c r="AK254" s="392"/>
      <c r="AL254" s="392"/>
      <c r="AM254" s="392"/>
      <c r="AN254" s="392"/>
      <c r="AO254" s="392"/>
      <c r="AP254" s="392"/>
      <c r="AQ254" s="392"/>
      <c r="AR254" s="392"/>
      <c r="AS254" s="392"/>
      <c r="AT254" s="392"/>
      <c r="AU254" s="392"/>
      <c r="AV254" s="392"/>
      <c r="AW254" s="392"/>
      <c r="AX254" s="392"/>
      <c r="AY254" s="392"/>
      <c r="AZ254" s="392"/>
      <c r="BA254" s="392"/>
      <c r="BB254" s="392"/>
      <c r="BC254" s="392"/>
      <c r="BD254" s="392"/>
      <c r="BE254" s="392"/>
      <c r="BF254" s="392"/>
      <c r="BG254" s="392"/>
      <c r="BH254" s="392"/>
      <c r="BI254" s="392"/>
      <c r="BJ254" s="392"/>
      <c r="BK254" s="392"/>
      <c r="BL254" s="392"/>
      <c r="BM254" s="392"/>
      <c r="BN254" s="392"/>
      <c r="BO254" s="392"/>
      <c r="BP254" s="392"/>
      <c r="BQ254" s="392"/>
      <c r="BR254" s="392"/>
      <c r="BS254" s="392"/>
      <c r="BT254" s="392"/>
    </row>
    <row r="255" ht="15.75" customHeight="1">
      <c r="A255" s="216"/>
      <c r="B255" s="156"/>
      <c r="C255" s="156"/>
      <c r="D255" s="156"/>
      <c r="E255" s="392"/>
      <c r="F255" s="392"/>
      <c r="G255" s="392"/>
      <c r="H255" s="392"/>
      <c r="I255" s="392"/>
      <c r="J255" s="392"/>
      <c r="K255" s="392"/>
      <c r="L255" s="392"/>
      <c r="M255" s="392"/>
      <c r="N255" s="392"/>
      <c r="O255" s="392"/>
      <c r="P255" s="392"/>
      <c r="Q255" s="392"/>
      <c r="R255" s="392"/>
      <c r="S255" s="392"/>
      <c r="T255" s="392"/>
      <c r="U255" s="392"/>
      <c r="V255" s="392"/>
      <c r="W255" s="392"/>
      <c r="X255" s="392"/>
      <c r="Y255" s="392"/>
      <c r="Z255" s="392"/>
      <c r="AA255" s="392"/>
      <c r="AB255" s="392"/>
      <c r="AC255" s="392"/>
      <c r="AD255" s="392"/>
      <c r="AE255" s="392"/>
      <c r="AF255" s="392"/>
      <c r="AG255" s="392"/>
      <c r="AH255" s="392"/>
      <c r="AI255" s="392"/>
      <c r="AJ255" s="392"/>
      <c r="AK255" s="392"/>
      <c r="AL255" s="392"/>
      <c r="AM255" s="392"/>
      <c r="AN255" s="392"/>
      <c r="AO255" s="392"/>
      <c r="AP255" s="392"/>
      <c r="AQ255" s="392"/>
      <c r="AR255" s="392"/>
      <c r="AS255" s="392"/>
      <c r="AT255" s="392"/>
      <c r="AU255" s="392"/>
      <c r="AV255" s="392"/>
      <c r="AW255" s="392"/>
      <c r="AX255" s="392"/>
      <c r="AY255" s="392"/>
      <c r="AZ255" s="392"/>
      <c r="BA255" s="392"/>
      <c r="BB255" s="392"/>
      <c r="BC255" s="392"/>
      <c r="BD255" s="392"/>
      <c r="BE255" s="392"/>
      <c r="BF255" s="392"/>
      <c r="BG255" s="392"/>
      <c r="BH255" s="392"/>
      <c r="BI255" s="392"/>
      <c r="BJ255" s="392"/>
      <c r="BK255" s="392"/>
      <c r="BL255" s="392"/>
      <c r="BM255" s="392"/>
      <c r="BN255" s="392"/>
      <c r="BO255" s="392"/>
      <c r="BP255" s="392"/>
      <c r="BQ255" s="392"/>
      <c r="BR255" s="392"/>
      <c r="BS255" s="392"/>
      <c r="BT255" s="392"/>
    </row>
    <row r="256" ht="15.75" customHeight="1">
      <c r="A256" s="216"/>
      <c r="B256" s="156"/>
      <c r="C256" s="156"/>
      <c r="D256" s="156"/>
      <c r="E256" s="392"/>
      <c r="F256" s="392"/>
      <c r="G256" s="392"/>
      <c r="H256" s="392"/>
      <c r="I256" s="392"/>
      <c r="J256" s="392"/>
      <c r="K256" s="392"/>
      <c r="L256" s="392"/>
      <c r="M256" s="392"/>
      <c r="N256" s="392"/>
      <c r="O256" s="392"/>
      <c r="P256" s="392"/>
      <c r="Q256" s="392"/>
      <c r="R256" s="392"/>
      <c r="S256" s="392"/>
      <c r="T256" s="392"/>
      <c r="U256" s="392"/>
      <c r="V256" s="392"/>
      <c r="W256" s="392"/>
      <c r="X256" s="392"/>
      <c r="Y256" s="392"/>
      <c r="Z256" s="392"/>
      <c r="AA256" s="392"/>
      <c r="AB256" s="392"/>
      <c r="AC256" s="392"/>
      <c r="AD256" s="392"/>
      <c r="AE256" s="392"/>
      <c r="AF256" s="392"/>
      <c r="AG256" s="392"/>
      <c r="AH256" s="392"/>
      <c r="AI256" s="392"/>
      <c r="AJ256" s="392"/>
      <c r="AK256" s="392"/>
      <c r="AL256" s="392"/>
      <c r="AM256" s="392"/>
      <c r="AN256" s="392"/>
      <c r="AO256" s="392"/>
      <c r="AP256" s="392"/>
      <c r="AQ256" s="392"/>
      <c r="AR256" s="392"/>
      <c r="AS256" s="392"/>
      <c r="AT256" s="392"/>
      <c r="AU256" s="392"/>
      <c r="AV256" s="392"/>
      <c r="AW256" s="392"/>
      <c r="AX256" s="392"/>
      <c r="AY256" s="392"/>
      <c r="AZ256" s="392"/>
      <c r="BA256" s="392"/>
      <c r="BB256" s="392"/>
      <c r="BC256" s="392"/>
      <c r="BD256" s="392"/>
      <c r="BE256" s="392"/>
      <c r="BF256" s="392"/>
      <c r="BG256" s="392"/>
      <c r="BH256" s="392"/>
      <c r="BI256" s="392"/>
      <c r="BJ256" s="392"/>
      <c r="BK256" s="392"/>
      <c r="BL256" s="392"/>
      <c r="BM256" s="392"/>
      <c r="BN256" s="392"/>
      <c r="BO256" s="392"/>
      <c r="BP256" s="392"/>
      <c r="BQ256" s="392"/>
      <c r="BR256" s="392"/>
      <c r="BS256" s="392"/>
      <c r="BT256" s="392"/>
    </row>
    <row r="257" ht="15.75" customHeight="1">
      <c r="A257" s="216"/>
      <c r="B257" s="156"/>
      <c r="C257" s="156"/>
      <c r="D257" s="156"/>
      <c r="E257" s="392"/>
      <c r="F257" s="392"/>
      <c r="G257" s="392"/>
      <c r="H257" s="392"/>
      <c r="I257" s="392"/>
      <c r="J257" s="392"/>
      <c r="K257" s="392"/>
      <c r="L257" s="392"/>
      <c r="M257" s="392"/>
      <c r="N257" s="392"/>
      <c r="O257" s="392"/>
      <c r="P257" s="392"/>
      <c r="Q257" s="392"/>
      <c r="R257" s="392"/>
      <c r="S257" s="392"/>
      <c r="T257" s="392"/>
      <c r="U257" s="392"/>
      <c r="V257" s="392"/>
      <c r="W257" s="392"/>
      <c r="X257" s="392"/>
      <c r="Y257" s="392"/>
      <c r="Z257" s="392"/>
      <c r="AA257" s="392"/>
      <c r="AB257" s="392"/>
      <c r="AC257" s="392"/>
      <c r="AD257" s="392"/>
      <c r="AE257" s="392"/>
      <c r="AF257" s="392"/>
      <c r="AG257" s="392"/>
      <c r="AH257" s="392"/>
      <c r="AI257" s="392"/>
      <c r="AJ257" s="392"/>
      <c r="AK257" s="392"/>
      <c r="AL257" s="392"/>
      <c r="AM257" s="392"/>
      <c r="AN257" s="392"/>
      <c r="AO257" s="392"/>
      <c r="AP257" s="392"/>
      <c r="AQ257" s="392"/>
      <c r="AR257" s="392"/>
      <c r="AS257" s="392"/>
      <c r="AT257" s="392"/>
      <c r="AU257" s="392"/>
      <c r="AV257" s="392"/>
      <c r="AW257" s="392"/>
      <c r="AX257" s="392"/>
      <c r="AY257" s="392"/>
      <c r="AZ257" s="392"/>
      <c r="BA257" s="392"/>
      <c r="BB257" s="392"/>
      <c r="BC257" s="392"/>
      <c r="BD257" s="392"/>
      <c r="BE257" s="392"/>
      <c r="BF257" s="392"/>
      <c r="BG257" s="392"/>
      <c r="BH257" s="392"/>
      <c r="BI257" s="392"/>
      <c r="BJ257" s="392"/>
      <c r="BK257" s="392"/>
      <c r="BL257" s="392"/>
      <c r="BM257" s="392"/>
      <c r="BN257" s="392"/>
      <c r="BO257" s="392"/>
      <c r="BP257" s="392"/>
      <c r="BQ257" s="392"/>
      <c r="BR257" s="392"/>
      <c r="BS257" s="392"/>
      <c r="BT257" s="392"/>
    </row>
    <row r="258" ht="15.75" customHeight="1">
      <c r="A258" s="216"/>
      <c r="B258" s="156"/>
      <c r="C258" s="156"/>
      <c r="D258" s="156"/>
      <c r="E258" s="392"/>
      <c r="F258" s="392"/>
      <c r="G258" s="392"/>
      <c r="H258" s="392"/>
      <c r="I258" s="392"/>
      <c r="J258" s="392"/>
      <c r="K258" s="392"/>
      <c r="L258" s="392"/>
      <c r="M258" s="392"/>
      <c r="N258" s="392"/>
      <c r="O258" s="392"/>
      <c r="P258" s="392"/>
      <c r="Q258" s="392"/>
      <c r="R258" s="392"/>
      <c r="S258" s="392"/>
      <c r="T258" s="392"/>
      <c r="U258" s="392"/>
      <c r="V258" s="392"/>
      <c r="W258" s="392"/>
      <c r="X258" s="392"/>
      <c r="Y258" s="392"/>
      <c r="Z258" s="392"/>
      <c r="AA258" s="392"/>
      <c r="AB258" s="392"/>
      <c r="AC258" s="392"/>
      <c r="AD258" s="392"/>
      <c r="AE258" s="392"/>
      <c r="AF258" s="392"/>
      <c r="AG258" s="392"/>
      <c r="AH258" s="392"/>
      <c r="AI258" s="392"/>
      <c r="AJ258" s="392"/>
      <c r="AK258" s="392"/>
      <c r="AL258" s="392"/>
      <c r="AM258" s="392"/>
      <c r="AN258" s="392"/>
      <c r="AO258" s="392"/>
      <c r="AP258" s="392"/>
      <c r="AQ258" s="392"/>
      <c r="AR258" s="392"/>
      <c r="AS258" s="392"/>
      <c r="AT258" s="392"/>
      <c r="AU258" s="392"/>
      <c r="AV258" s="392"/>
      <c r="AW258" s="392"/>
      <c r="AX258" s="392"/>
      <c r="AY258" s="392"/>
      <c r="AZ258" s="392"/>
      <c r="BA258" s="392"/>
      <c r="BB258" s="392"/>
      <c r="BC258" s="392"/>
      <c r="BD258" s="392"/>
      <c r="BE258" s="392"/>
      <c r="BF258" s="392"/>
      <c r="BG258" s="392"/>
      <c r="BH258" s="392"/>
      <c r="BI258" s="392"/>
      <c r="BJ258" s="392"/>
      <c r="BK258" s="392"/>
      <c r="BL258" s="392"/>
      <c r="BM258" s="392"/>
      <c r="BN258" s="392"/>
      <c r="BO258" s="392"/>
      <c r="BP258" s="392"/>
      <c r="BQ258" s="392"/>
      <c r="BR258" s="392"/>
      <c r="BS258" s="392"/>
      <c r="BT258" s="392"/>
    </row>
    <row r="259" ht="15.75" customHeight="1">
      <c r="A259" s="216"/>
      <c r="B259" s="156"/>
      <c r="C259" s="156"/>
      <c r="D259" s="156"/>
      <c r="E259" s="392"/>
      <c r="F259" s="392"/>
      <c r="G259" s="392"/>
      <c r="H259" s="392"/>
      <c r="I259" s="392"/>
      <c r="J259" s="392"/>
      <c r="K259" s="392"/>
      <c r="L259" s="392"/>
      <c r="M259" s="392"/>
      <c r="N259" s="392"/>
      <c r="O259" s="392"/>
      <c r="P259" s="392"/>
      <c r="Q259" s="392"/>
      <c r="R259" s="392"/>
      <c r="S259" s="392"/>
      <c r="T259" s="392"/>
      <c r="U259" s="392"/>
      <c r="V259" s="392"/>
      <c r="W259" s="392"/>
      <c r="X259" s="392"/>
      <c r="Y259" s="392"/>
      <c r="Z259" s="392"/>
      <c r="AA259" s="392"/>
      <c r="AB259" s="392"/>
      <c r="AC259" s="392"/>
      <c r="AD259" s="392"/>
      <c r="AE259" s="392"/>
      <c r="AF259" s="392"/>
      <c r="AG259" s="392"/>
      <c r="AH259" s="392"/>
      <c r="AI259" s="392"/>
      <c r="AJ259" s="392"/>
      <c r="AK259" s="392"/>
      <c r="AL259" s="392"/>
      <c r="AM259" s="392"/>
      <c r="AN259" s="392"/>
      <c r="AO259" s="392"/>
      <c r="AP259" s="392"/>
      <c r="AQ259" s="392"/>
      <c r="AR259" s="392"/>
      <c r="AS259" s="392"/>
      <c r="AT259" s="392"/>
      <c r="AU259" s="392"/>
      <c r="AV259" s="392"/>
      <c r="AW259" s="392"/>
      <c r="AX259" s="392"/>
      <c r="AY259" s="392"/>
      <c r="AZ259" s="392"/>
      <c r="BA259" s="392"/>
      <c r="BB259" s="392"/>
      <c r="BC259" s="392"/>
      <c r="BD259" s="392"/>
      <c r="BE259" s="392"/>
      <c r="BF259" s="392"/>
      <c r="BG259" s="392"/>
      <c r="BH259" s="392"/>
      <c r="BI259" s="392"/>
      <c r="BJ259" s="392"/>
      <c r="BK259" s="392"/>
      <c r="BL259" s="392"/>
      <c r="BM259" s="392"/>
      <c r="BN259" s="392"/>
      <c r="BO259" s="392"/>
      <c r="BP259" s="392"/>
      <c r="BQ259" s="392"/>
      <c r="BR259" s="392"/>
      <c r="BS259" s="392"/>
      <c r="BT259" s="392"/>
    </row>
    <row r="260" ht="15.75" customHeight="1">
      <c r="A260" s="216"/>
      <c r="B260" s="156"/>
      <c r="C260" s="156"/>
      <c r="D260" s="156"/>
      <c r="E260" s="392"/>
      <c r="F260" s="392"/>
      <c r="G260" s="392"/>
      <c r="H260" s="392"/>
      <c r="I260" s="392"/>
      <c r="J260" s="392"/>
      <c r="K260" s="392"/>
      <c r="L260" s="392"/>
      <c r="M260" s="392"/>
      <c r="N260" s="392"/>
      <c r="O260" s="392"/>
      <c r="P260" s="392"/>
      <c r="Q260" s="392"/>
      <c r="R260" s="392"/>
      <c r="S260" s="392"/>
      <c r="T260" s="392"/>
      <c r="U260" s="392"/>
      <c r="V260" s="392"/>
      <c r="W260" s="392"/>
      <c r="X260" s="392"/>
      <c r="Y260" s="392"/>
      <c r="Z260" s="392"/>
      <c r="AA260" s="392"/>
      <c r="AB260" s="392"/>
      <c r="AC260" s="392"/>
      <c r="AD260" s="392"/>
      <c r="AE260" s="392"/>
      <c r="AF260" s="392"/>
      <c r="AG260" s="392"/>
      <c r="AH260" s="392"/>
      <c r="AI260" s="392"/>
      <c r="AJ260" s="392"/>
      <c r="AK260" s="392"/>
      <c r="AL260" s="392"/>
      <c r="AM260" s="392"/>
      <c r="AN260" s="392"/>
      <c r="AO260" s="392"/>
      <c r="AP260" s="392"/>
      <c r="AQ260" s="392"/>
      <c r="AR260" s="392"/>
      <c r="AS260" s="392"/>
      <c r="AT260" s="392"/>
      <c r="AU260" s="392"/>
      <c r="AV260" s="392"/>
      <c r="AW260" s="392"/>
      <c r="AX260" s="392"/>
      <c r="AY260" s="392"/>
      <c r="AZ260" s="392"/>
      <c r="BA260" s="392"/>
      <c r="BB260" s="392"/>
      <c r="BC260" s="392"/>
      <c r="BD260" s="392"/>
      <c r="BE260" s="392"/>
      <c r="BF260" s="392"/>
      <c r="BG260" s="392"/>
      <c r="BH260" s="392"/>
      <c r="BI260" s="392"/>
      <c r="BJ260" s="392"/>
      <c r="BK260" s="392"/>
      <c r="BL260" s="392"/>
      <c r="BM260" s="392"/>
      <c r="BN260" s="392"/>
      <c r="BO260" s="392"/>
      <c r="BP260" s="392"/>
      <c r="BQ260" s="392"/>
      <c r="BR260" s="392"/>
      <c r="BS260" s="392"/>
      <c r="BT260" s="392"/>
    </row>
    <row r="261" ht="15.75" customHeight="1">
      <c r="A261" s="216"/>
      <c r="B261" s="156"/>
      <c r="C261" s="156"/>
      <c r="D261" s="156"/>
      <c r="E261" s="392"/>
      <c r="F261" s="392"/>
      <c r="G261" s="392"/>
      <c r="H261" s="392"/>
      <c r="I261" s="392"/>
      <c r="J261" s="392"/>
      <c r="K261" s="392"/>
      <c r="L261" s="392"/>
      <c r="M261" s="392"/>
      <c r="N261" s="392"/>
      <c r="O261" s="392"/>
      <c r="P261" s="392"/>
      <c r="Q261" s="392"/>
      <c r="R261" s="392"/>
      <c r="S261" s="392"/>
      <c r="T261" s="392"/>
      <c r="U261" s="392"/>
      <c r="V261" s="392"/>
      <c r="W261" s="392"/>
      <c r="X261" s="392"/>
      <c r="Y261" s="392"/>
      <c r="Z261" s="392"/>
      <c r="AA261" s="392"/>
      <c r="AB261" s="392"/>
      <c r="AC261" s="392"/>
      <c r="AD261" s="392"/>
      <c r="AE261" s="392"/>
      <c r="AF261" s="392"/>
      <c r="AG261" s="392"/>
      <c r="AH261" s="392"/>
      <c r="AI261" s="392"/>
      <c r="AJ261" s="392"/>
      <c r="AK261" s="392"/>
      <c r="AL261" s="392"/>
      <c r="AM261" s="392"/>
      <c r="AN261" s="392"/>
      <c r="AO261" s="392"/>
      <c r="AP261" s="392"/>
      <c r="AQ261" s="392"/>
      <c r="AR261" s="392"/>
      <c r="AS261" s="392"/>
      <c r="AT261" s="392"/>
      <c r="AU261" s="392"/>
      <c r="AV261" s="392"/>
      <c r="AW261" s="392"/>
      <c r="AX261" s="392"/>
      <c r="AY261" s="392"/>
      <c r="AZ261" s="392"/>
      <c r="BA261" s="392"/>
      <c r="BB261" s="392"/>
      <c r="BC261" s="392"/>
      <c r="BD261" s="392"/>
      <c r="BE261" s="392"/>
      <c r="BF261" s="392"/>
      <c r="BG261" s="392"/>
      <c r="BH261" s="392"/>
      <c r="BI261" s="392"/>
      <c r="BJ261" s="392"/>
      <c r="BK261" s="392"/>
      <c r="BL261" s="392"/>
      <c r="BM261" s="392"/>
      <c r="BN261" s="392"/>
      <c r="BO261" s="392"/>
      <c r="BP261" s="392"/>
      <c r="BQ261" s="392"/>
      <c r="BR261" s="392"/>
      <c r="BS261" s="392"/>
      <c r="BT261" s="392"/>
    </row>
    <row r="262" ht="15.75" customHeight="1">
      <c r="A262" s="216"/>
      <c r="B262" s="156"/>
      <c r="C262" s="156"/>
      <c r="D262" s="156"/>
      <c r="E262" s="392"/>
      <c r="F262" s="392"/>
      <c r="G262" s="392"/>
      <c r="H262" s="392"/>
      <c r="I262" s="392"/>
      <c r="J262" s="392"/>
      <c r="K262" s="392"/>
      <c r="L262" s="392"/>
      <c r="M262" s="392"/>
      <c r="N262" s="392"/>
      <c r="O262" s="392"/>
      <c r="P262" s="392"/>
      <c r="Q262" s="392"/>
      <c r="R262" s="392"/>
      <c r="S262" s="392"/>
      <c r="T262" s="392"/>
      <c r="U262" s="392"/>
      <c r="V262" s="392"/>
      <c r="W262" s="392"/>
      <c r="X262" s="392"/>
      <c r="Y262" s="392"/>
      <c r="Z262" s="392"/>
      <c r="AA262" s="392"/>
      <c r="AB262" s="392"/>
      <c r="AC262" s="392"/>
      <c r="AD262" s="392"/>
      <c r="AE262" s="392"/>
      <c r="AF262" s="392"/>
      <c r="AG262" s="392"/>
      <c r="AH262" s="392"/>
      <c r="AI262" s="392"/>
      <c r="AJ262" s="392"/>
      <c r="AK262" s="392"/>
      <c r="AL262" s="392"/>
      <c r="AM262" s="392"/>
      <c r="AN262" s="392"/>
      <c r="AO262" s="392"/>
      <c r="AP262" s="392"/>
      <c r="AQ262" s="392"/>
      <c r="AR262" s="392"/>
      <c r="AS262" s="392"/>
      <c r="AT262" s="392"/>
      <c r="AU262" s="392"/>
      <c r="AV262" s="392"/>
      <c r="AW262" s="392"/>
      <c r="AX262" s="392"/>
      <c r="AY262" s="392"/>
      <c r="AZ262" s="392"/>
      <c r="BA262" s="392"/>
      <c r="BB262" s="392"/>
      <c r="BC262" s="392"/>
      <c r="BD262" s="392"/>
      <c r="BE262" s="392"/>
      <c r="BF262" s="392"/>
      <c r="BG262" s="392"/>
      <c r="BH262" s="392"/>
      <c r="BI262" s="392"/>
      <c r="BJ262" s="392"/>
      <c r="BK262" s="392"/>
      <c r="BL262" s="392"/>
      <c r="BM262" s="392"/>
      <c r="BN262" s="392"/>
      <c r="BO262" s="392"/>
      <c r="BP262" s="392"/>
      <c r="BQ262" s="392"/>
      <c r="BR262" s="392"/>
      <c r="BS262" s="392"/>
      <c r="BT262" s="392"/>
    </row>
    <row r="263" ht="15.75" customHeight="1">
      <c r="A263" s="216"/>
      <c r="B263" s="156"/>
      <c r="C263" s="156"/>
      <c r="D263" s="156"/>
      <c r="E263" s="392"/>
      <c r="F263" s="392"/>
      <c r="G263" s="392"/>
      <c r="H263" s="392"/>
      <c r="I263" s="392"/>
      <c r="J263" s="392"/>
      <c r="K263" s="392"/>
      <c r="L263" s="392"/>
      <c r="M263" s="392"/>
      <c r="N263" s="392"/>
      <c r="O263" s="392"/>
      <c r="P263" s="392"/>
      <c r="Q263" s="392"/>
      <c r="R263" s="392"/>
      <c r="S263" s="392"/>
      <c r="T263" s="392"/>
      <c r="U263" s="392"/>
      <c r="V263" s="392"/>
      <c r="W263" s="392"/>
      <c r="X263" s="392"/>
      <c r="Y263" s="392"/>
      <c r="Z263" s="392"/>
      <c r="AA263" s="392"/>
      <c r="AB263" s="392"/>
      <c r="AC263" s="392"/>
      <c r="AD263" s="392"/>
      <c r="AE263" s="392"/>
      <c r="AF263" s="392"/>
      <c r="AG263" s="392"/>
      <c r="AH263" s="392"/>
      <c r="AI263" s="392"/>
      <c r="AJ263" s="392"/>
      <c r="AK263" s="392"/>
      <c r="AL263" s="392"/>
      <c r="AM263" s="392"/>
      <c r="AN263" s="392"/>
      <c r="AO263" s="392"/>
      <c r="AP263" s="392"/>
      <c r="AQ263" s="392"/>
      <c r="AR263" s="392"/>
      <c r="AS263" s="392"/>
      <c r="AT263" s="392"/>
      <c r="AU263" s="392"/>
      <c r="AV263" s="392"/>
      <c r="AW263" s="392"/>
      <c r="AX263" s="392"/>
      <c r="AY263" s="392"/>
      <c r="AZ263" s="392"/>
      <c r="BA263" s="392"/>
      <c r="BB263" s="392"/>
      <c r="BC263" s="392"/>
      <c r="BD263" s="392"/>
      <c r="BE263" s="392"/>
      <c r="BF263" s="392"/>
      <c r="BG263" s="392"/>
      <c r="BH263" s="392"/>
      <c r="BI263" s="392"/>
      <c r="BJ263" s="392"/>
      <c r="BK263" s="392"/>
      <c r="BL263" s="392"/>
      <c r="BM263" s="392"/>
      <c r="BN263" s="392"/>
      <c r="BO263" s="392"/>
      <c r="BP263" s="392"/>
      <c r="BQ263" s="392"/>
      <c r="BR263" s="392"/>
      <c r="BS263" s="392"/>
      <c r="BT263" s="392"/>
    </row>
    <row r="264" ht="15.75" customHeight="1">
      <c r="A264" s="216"/>
      <c r="B264" s="156"/>
      <c r="C264" s="156"/>
      <c r="D264" s="156"/>
      <c r="E264" s="392"/>
      <c r="F264" s="392"/>
      <c r="G264" s="392"/>
      <c r="H264" s="392"/>
      <c r="I264" s="392"/>
      <c r="J264" s="392"/>
      <c r="K264" s="392"/>
      <c r="L264" s="392"/>
      <c r="M264" s="392"/>
      <c r="N264" s="392"/>
      <c r="O264" s="392"/>
      <c r="P264" s="392"/>
      <c r="Q264" s="392"/>
      <c r="R264" s="392"/>
      <c r="S264" s="392"/>
      <c r="T264" s="392"/>
      <c r="U264" s="392"/>
      <c r="V264" s="392"/>
      <c r="W264" s="392"/>
      <c r="X264" s="392"/>
      <c r="Y264" s="392"/>
      <c r="Z264" s="392"/>
      <c r="AA264" s="392"/>
      <c r="AB264" s="392"/>
      <c r="AC264" s="392"/>
      <c r="AD264" s="392"/>
      <c r="AE264" s="392"/>
      <c r="AF264" s="392"/>
      <c r="AG264" s="392"/>
      <c r="AH264" s="392"/>
      <c r="AI264" s="392"/>
      <c r="AJ264" s="392"/>
      <c r="AK264" s="392"/>
      <c r="AL264" s="392"/>
      <c r="AM264" s="392"/>
      <c r="AN264" s="392"/>
      <c r="AO264" s="392"/>
      <c r="AP264" s="392"/>
      <c r="AQ264" s="392"/>
      <c r="AR264" s="392"/>
      <c r="AS264" s="392"/>
      <c r="AT264" s="392"/>
      <c r="AU264" s="392"/>
      <c r="AV264" s="392"/>
      <c r="AW264" s="392"/>
      <c r="AX264" s="392"/>
      <c r="AY264" s="392"/>
      <c r="AZ264" s="392"/>
      <c r="BA264" s="392"/>
      <c r="BB264" s="392"/>
      <c r="BC264" s="392"/>
      <c r="BD264" s="392"/>
      <c r="BE264" s="392"/>
      <c r="BF264" s="392"/>
      <c r="BG264" s="392"/>
      <c r="BH264" s="392"/>
      <c r="BI264" s="392"/>
      <c r="BJ264" s="392"/>
      <c r="BK264" s="392"/>
      <c r="BL264" s="392"/>
      <c r="BM264" s="392"/>
      <c r="BN264" s="392"/>
      <c r="BO264" s="392"/>
      <c r="BP264" s="392"/>
      <c r="BQ264" s="392"/>
      <c r="BR264" s="392"/>
      <c r="BS264" s="392"/>
      <c r="BT264" s="392"/>
    </row>
    <row r="265" ht="15.75" customHeight="1">
      <c r="A265" s="216"/>
      <c r="B265" s="156"/>
      <c r="C265" s="156"/>
      <c r="D265" s="156"/>
      <c r="E265" s="392"/>
      <c r="F265" s="392"/>
      <c r="G265" s="392"/>
      <c r="H265" s="392"/>
      <c r="I265" s="392"/>
      <c r="J265" s="392"/>
      <c r="K265" s="392"/>
      <c r="L265" s="392"/>
      <c r="M265" s="392"/>
      <c r="N265" s="392"/>
      <c r="O265" s="392"/>
      <c r="P265" s="392"/>
      <c r="Q265" s="392"/>
      <c r="R265" s="392"/>
      <c r="S265" s="392"/>
      <c r="T265" s="392"/>
      <c r="U265" s="392"/>
      <c r="V265" s="392"/>
      <c r="W265" s="392"/>
      <c r="X265" s="392"/>
      <c r="Y265" s="392"/>
      <c r="Z265" s="392"/>
      <c r="AA265" s="392"/>
      <c r="AB265" s="392"/>
      <c r="AC265" s="392"/>
      <c r="AD265" s="392"/>
      <c r="AE265" s="392"/>
      <c r="AF265" s="392"/>
      <c r="AG265" s="392"/>
      <c r="AH265" s="392"/>
      <c r="AI265" s="392"/>
      <c r="AJ265" s="392"/>
      <c r="AK265" s="392"/>
      <c r="AL265" s="392"/>
      <c r="AM265" s="392"/>
      <c r="AN265" s="392"/>
      <c r="AO265" s="392"/>
      <c r="AP265" s="392"/>
      <c r="AQ265" s="392"/>
      <c r="AR265" s="392"/>
      <c r="AS265" s="392"/>
      <c r="AT265" s="392"/>
      <c r="AU265" s="392"/>
      <c r="AV265" s="392"/>
      <c r="AW265" s="392"/>
      <c r="AX265" s="392"/>
      <c r="AY265" s="392"/>
      <c r="AZ265" s="392"/>
      <c r="BA265" s="392"/>
      <c r="BB265" s="392"/>
      <c r="BC265" s="392"/>
      <c r="BD265" s="392"/>
      <c r="BE265" s="392"/>
      <c r="BF265" s="392"/>
      <c r="BG265" s="392"/>
      <c r="BH265" s="392"/>
      <c r="BI265" s="392"/>
      <c r="BJ265" s="392"/>
      <c r="BK265" s="392"/>
      <c r="BL265" s="392"/>
      <c r="BM265" s="392"/>
      <c r="BN265" s="392"/>
      <c r="BO265" s="392"/>
      <c r="BP265" s="392"/>
      <c r="BQ265" s="392"/>
      <c r="BR265" s="392"/>
      <c r="BS265" s="392"/>
      <c r="BT265" s="392"/>
    </row>
    <row r="266" ht="15.75" customHeight="1">
      <c r="A266" s="216"/>
      <c r="B266" s="156"/>
      <c r="C266" s="156"/>
      <c r="D266" s="156"/>
      <c r="E266" s="392"/>
      <c r="F266" s="392"/>
      <c r="G266" s="392"/>
      <c r="H266" s="392"/>
      <c r="I266" s="392"/>
      <c r="J266" s="392"/>
      <c r="K266" s="392"/>
      <c r="L266" s="392"/>
      <c r="M266" s="392"/>
      <c r="N266" s="392"/>
      <c r="O266" s="392"/>
      <c r="P266" s="392"/>
      <c r="Q266" s="392"/>
      <c r="R266" s="392"/>
      <c r="S266" s="392"/>
      <c r="T266" s="392"/>
      <c r="U266" s="392"/>
      <c r="V266" s="392"/>
      <c r="W266" s="392"/>
      <c r="X266" s="392"/>
      <c r="Y266" s="392"/>
      <c r="Z266" s="392"/>
      <c r="AA266" s="392"/>
      <c r="AB266" s="392"/>
      <c r="AC266" s="392"/>
      <c r="AD266" s="392"/>
      <c r="AE266" s="392"/>
      <c r="AF266" s="392"/>
      <c r="AG266" s="392"/>
      <c r="AH266" s="392"/>
      <c r="AI266" s="392"/>
      <c r="AJ266" s="392"/>
      <c r="AK266" s="392"/>
      <c r="AL266" s="392"/>
      <c r="AM266" s="392"/>
      <c r="AN266" s="392"/>
      <c r="AO266" s="392"/>
      <c r="AP266" s="392"/>
      <c r="AQ266" s="392"/>
      <c r="AR266" s="392"/>
      <c r="AS266" s="392"/>
      <c r="AT266" s="392"/>
      <c r="AU266" s="392"/>
      <c r="AV266" s="392"/>
      <c r="AW266" s="392"/>
      <c r="AX266" s="392"/>
      <c r="AY266" s="392"/>
      <c r="AZ266" s="392"/>
      <c r="BA266" s="392"/>
      <c r="BB266" s="392"/>
      <c r="BC266" s="392"/>
      <c r="BD266" s="392"/>
      <c r="BE266" s="392"/>
      <c r="BF266" s="392"/>
      <c r="BG266" s="392"/>
      <c r="BH266" s="392"/>
      <c r="BI266" s="392"/>
      <c r="BJ266" s="392"/>
      <c r="BK266" s="392"/>
      <c r="BL266" s="392"/>
      <c r="BM266" s="392"/>
      <c r="BN266" s="392"/>
      <c r="BO266" s="392"/>
      <c r="BP266" s="392"/>
      <c r="BQ266" s="392"/>
      <c r="BR266" s="392"/>
      <c r="BS266" s="392"/>
      <c r="BT266" s="392"/>
    </row>
    <row r="267" ht="15.75" customHeight="1">
      <c r="A267" s="216"/>
      <c r="B267" s="156"/>
      <c r="C267" s="156"/>
      <c r="D267" s="156"/>
      <c r="E267" s="392"/>
      <c r="F267" s="392"/>
      <c r="G267" s="392"/>
      <c r="H267" s="392"/>
      <c r="I267" s="392"/>
      <c r="J267" s="392"/>
      <c r="K267" s="392"/>
      <c r="L267" s="392"/>
      <c r="M267" s="392"/>
      <c r="N267" s="392"/>
      <c r="O267" s="392"/>
      <c r="P267" s="392"/>
      <c r="Q267" s="392"/>
      <c r="R267" s="392"/>
      <c r="S267" s="392"/>
      <c r="T267" s="392"/>
      <c r="U267" s="392"/>
      <c r="V267" s="392"/>
      <c r="W267" s="392"/>
      <c r="X267" s="392"/>
      <c r="Y267" s="392"/>
      <c r="Z267" s="392"/>
      <c r="AA267" s="392"/>
      <c r="AB267" s="392"/>
      <c r="AC267" s="392"/>
      <c r="AD267" s="392"/>
      <c r="AE267" s="392"/>
      <c r="AF267" s="392"/>
      <c r="AG267" s="392"/>
      <c r="AH267" s="392"/>
      <c r="AI267" s="392"/>
      <c r="AJ267" s="392"/>
      <c r="AK267" s="392"/>
      <c r="AL267" s="392"/>
      <c r="AM267" s="392"/>
      <c r="AN267" s="392"/>
      <c r="AO267" s="392"/>
      <c r="AP267" s="392"/>
      <c r="AQ267" s="392"/>
      <c r="AR267" s="392"/>
      <c r="AS267" s="392"/>
      <c r="AT267" s="392"/>
      <c r="AU267" s="392"/>
      <c r="AV267" s="392"/>
      <c r="AW267" s="392"/>
      <c r="AX267" s="392"/>
      <c r="AY267" s="392"/>
      <c r="AZ267" s="392"/>
      <c r="BA267" s="392"/>
      <c r="BB267" s="392"/>
      <c r="BC267" s="392"/>
      <c r="BD267" s="392"/>
      <c r="BE267" s="392"/>
      <c r="BF267" s="392"/>
      <c r="BG267" s="392"/>
      <c r="BH267" s="392"/>
      <c r="BI267" s="392"/>
      <c r="BJ267" s="392"/>
      <c r="BK267" s="392"/>
      <c r="BL267" s="392"/>
      <c r="BM267" s="392"/>
      <c r="BN267" s="392"/>
      <c r="BO267" s="392"/>
      <c r="BP267" s="392"/>
      <c r="BQ267" s="392"/>
      <c r="BR267" s="392"/>
      <c r="BS267" s="392"/>
      <c r="BT267" s="392"/>
    </row>
    <row r="268" ht="15.75" customHeight="1">
      <c r="A268" s="216"/>
      <c r="B268" s="156"/>
      <c r="C268" s="156"/>
      <c r="D268" s="156"/>
      <c r="E268" s="392"/>
      <c r="F268" s="392"/>
      <c r="G268" s="392"/>
      <c r="H268" s="392"/>
      <c r="I268" s="392"/>
      <c r="J268" s="392"/>
      <c r="K268" s="392"/>
      <c r="L268" s="392"/>
      <c r="M268" s="392"/>
      <c r="N268" s="392"/>
      <c r="O268" s="392"/>
      <c r="P268" s="392"/>
      <c r="Q268" s="392"/>
      <c r="R268" s="392"/>
      <c r="S268" s="392"/>
      <c r="T268" s="392"/>
      <c r="U268" s="392"/>
      <c r="V268" s="392"/>
      <c r="W268" s="392"/>
      <c r="X268" s="392"/>
      <c r="Y268" s="392"/>
      <c r="Z268" s="392"/>
      <c r="AA268" s="392"/>
      <c r="AB268" s="392"/>
      <c r="AC268" s="392"/>
      <c r="AD268" s="392"/>
      <c r="AE268" s="392"/>
      <c r="AF268" s="392"/>
      <c r="AG268" s="392"/>
      <c r="AH268" s="392"/>
      <c r="AI268" s="392"/>
      <c r="AJ268" s="392"/>
      <c r="AK268" s="392"/>
      <c r="AL268" s="392"/>
      <c r="AM268" s="392"/>
      <c r="AN268" s="392"/>
      <c r="AO268" s="392"/>
      <c r="AP268" s="392"/>
      <c r="AQ268" s="392"/>
      <c r="AR268" s="392"/>
      <c r="AS268" s="392"/>
      <c r="AT268" s="392"/>
      <c r="AU268" s="392"/>
      <c r="AV268" s="392"/>
      <c r="AW268" s="392"/>
      <c r="AX268" s="392"/>
      <c r="AY268" s="392"/>
      <c r="AZ268" s="392"/>
      <c r="BA268" s="392"/>
      <c r="BB268" s="392"/>
      <c r="BC268" s="392"/>
      <c r="BD268" s="392"/>
      <c r="BE268" s="392"/>
      <c r="BF268" s="392"/>
      <c r="BG268" s="392"/>
      <c r="BH268" s="392"/>
      <c r="BI268" s="392"/>
      <c r="BJ268" s="392"/>
      <c r="BK268" s="392"/>
      <c r="BL268" s="392"/>
      <c r="BM268" s="392"/>
      <c r="BN268" s="392"/>
      <c r="BO268" s="392"/>
      <c r="BP268" s="392"/>
      <c r="BQ268" s="392"/>
      <c r="BR268" s="392"/>
      <c r="BS268" s="392"/>
      <c r="BT268" s="392"/>
    </row>
    <row r="269" ht="15.75" customHeight="1">
      <c r="A269" s="216"/>
      <c r="B269" s="156"/>
      <c r="C269" s="156"/>
      <c r="D269" s="156"/>
      <c r="E269" s="392"/>
      <c r="F269" s="392"/>
      <c r="G269" s="392"/>
      <c r="H269" s="392"/>
      <c r="I269" s="392"/>
      <c r="J269" s="392"/>
      <c r="K269" s="392"/>
      <c r="L269" s="392"/>
      <c r="M269" s="392"/>
      <c r="N269" s="392"/>
      <c r="O269" s="392"/>
      <c r="P269" s="392"/>
      <c r="Q269" s="392"/>
      <c r="R269" s="392"/>
      <c r="S269" s="392"/>
      <c r="T269" s="392"/>
      <c r="U269" s="392"/>
      <c r="V269" s="392"/>
      <c r="W269" s="392"/>
      <c r="X269" s="392"/>
      <c r="Y269" s="392"/>
      <c r="Z269" s="392"/>
      <c r="AA269" s="392"/>
      <c r="AB269" s="392"/>
      <c r="AC269" s="392"/>
      <c r="AD269" s="392"/>
      <c r="AE269" s="392"/>
      <c r="AF269" s="392"/>
      <c r="AG269" s="392"/>
      <c r="AH269" s="392"/>
      <c r="AI269" s="392"/>
      <c r="AJ269" s="392"/>
      <c r="AK269" s="392"/>
      <c r="AL269" s="392"/>
      <c r="AM269" s="392"/>
      <c r="AN269" s="392"/>
      <c r="AO269" s="392"/>
      <c r="AP269" s="392"/>
      <c r="AQ269" s="392"/>
      <c r="AR269" s="392"/>
      <c r="AS269" s="392"/>
      <c r="AT269" s="392"/>
      <c r="AU269" s="392"/>
      <c r="AV269" s="392"/>
      <c r="AW269" s="392"/>
      <c r="AX269" s="392"/>
      <c r="AY269" s="392"/>
      <c r="AZ269" s="392"/>
      <c r="BA269" s="392"/>
      <c r="BB269" s="392"/>
      <c r="BC269" s="392"/>
      <c r="BD269" s="392"/>
      <c r="BE269" s="392"/>
      <c r="BF269" s="392"/>
      <c r="BG269" s="392"/>
      <c r="BH269" s="392"/>
      <c r="BI269" s="392"/>
      <c r="BJ269" s="392"/>
      <c r="BK269" s="392"/>
      <c r="BL269" s="392"/>
      <c r="BM269" s="392"/>
      <c r="BN269" s="392"/>
      <c r="BO269" s="392"/>
      <c r="BP269" s="392"/>
      <c r="BQ269" s="392"/>
      <c r="BR269" s="392"/>
      <c r="BS269" s="392"/>
      <c r="BT269" s="392"/>
    </row>
    <row r="270" ht="15.75" customHeight="1">
      <c r="A270" s="216"/>
      <c r="B270" s="156"/>
      <c r="C270" s="156"/>
      <c r="D270" s="156"/>
      <c r="E270" s="392"/>
      <c r="F270" s="392"/>
      <c r="G270" s="392"/>
      <c r="H270" s="392"/>
      <c r="I270" s="392"/>
      <c r="J270" s="392"/>
      <c r="K270" s="392"/>
      <c r="L270" s="392"/>
      <c r="M270" s="392"/>
      <c r="N270" s="392"/>
      <c r="O270" s="392"/>
      <c r="P270" s="392"/>
      <c r="Q270" s="392"/>
      <c r="R270" s="392"/>
      <c r="S270" s="392"/>
      <c r="T270" s="392"/>
      <c r="U270" s="392"/>
      <c r="V270" s="392"/>
      <c r="W270" s="392"/>
      <c r="X270" s="392"/>
      <c r="Y270" s="392"/>
      <c r="Z270" s="392"/>
      <c r="AA270" s="392"/>
      <c r="AB270" s="392"/>
      <c r="AC270" s="392"/>
      <c r="AD270" s="392"/>
      <c r="AE270" s="392"/>
      <c r="AF270" s="392"/>
      <c r="AG270" s="392"/>
      <c r="AH270" s="392"/>
      <c r="AI270" s="392"/>
      <c r="AJ270" s="392"/>
      <c r="AK270" s="392"/>
      <c r="AL270" s="392"/>
      <c r="AM270" s="392"/>
      <c r="AN270" s="392"/>
      <c r="AO270" s="392"/>
      <c r="AP270" s="392"/>
      <c r="AQ270" s="392"/>
      <c r="AR270" s="392"/>
      <c r="AS270" s="392"/>
      <c r="AT270" s="392"/>
      <c r="AU270" s="392"/>
      <c r="AV270" s="392"/>
      <c r="AW270" s="392"/>
      <c r="AX270" s="392"/>
      <c r="AY270" s="392"/>
      <c r="AZ270" s="392"/>
      <c r="BA270" s="392"/>
      <c r="BB270" s="392"/>
      <c r="BC270" s="392"/>
      <c r="BD270" s="392"/>
      <c r="BE270" s="392"/>
      <c r="BF270" s="392"/>
      <c r="BG270" s="392"/>
      <c r="BH270" s="392"/>
      <c r="BI270" s="392"/>
      <c r="BJ270" s="392"/>
      <c r="BK270" s="392"/>
      <c r="BL270" s="392"/>
      <c r="BM270" s="392"/>
      <c r="BN270" s="392"/>
      <c r="BO270" s="392"/>
      <c r="BP270" s="392"/>
      <c r="BQ270" s="392"/>
      <c r="BR270" s="392"/>
      <c r="BS270" s="392"/>
      <c r="BT270" s="392"/>
    </row>
    <row r="271" ht="15.75" customHeight="1">
      <c r="A271" s="216"/>
      <c r="B271" s="156"/>
      <c r="C271" s="156"/>
      <c r="D271" s="156"/>
      <c r="E271" s="392"/>
      <c r="F271" s="392"/>
      <c r="G271" s="392"/>
      <c r="H271" s="392"/>
      <c r="I271" s="392"/>
      <c r="J271" s="392"/>
      <c r="K271" s="392"/>
      <c r="L271" s="392"/>
      <c r="M271" s="392"/>
      <c r="N271" s="392"/>
      <c r="O271" s="392"/>
      <c r="P271" s="392"/>
      <c r="Q271" s="392"/>
      <c r="R271" s="392"/>
      <c r="S271" s="392"/>
      <c r="T271" s="392"/>
      <c r="U271" s="392"/>
      <c r="V271" s="392"/>
      <c r="W271" s="392"/>
      <c r="X271" s="392"/>
      <c r="Y271" s="392"/>
      <c r="Z271" s="392"/>
      <c r="AA271" s="392"/>
      <c r="AB271" s="392"/>
      <c r="AC271" s="392"/>
      <c r="AD271" s="392"/>
      <c r="AE271" s="392"/>
      <c r="AF271" s="392"/>
      <c r="AG271" s="392"/>
      <c r="AH271" s="392"/>
      <c r="AI271" s="392"/>
      <c r="AJ271" s="392"/>
      <c r="AK271" s="392"/>
      <c r="AL271" s="392"/>
      <c r="AM271" s="392"/>
      <c r="AN271" s="392"/>
      <c r="AO271" s="392"/>
      <c r="AP271" s="392"/>
      <c r="AQ271" s="392"/>
      <c r="AR271" s="392"/>
      <c r="AS271" s="392"/>
      <c r="AT271" s="392"/>
      <c r="AU271" s="392"/>
      <c r="AV271" s="392"/>
      <c r="AW271" s="392"/>
      <c r="AX271" s="392"/>
      <c r="AY271" s="392"/>
      <c r="AZ271" s="392"/>
      <c r="BA271" s="392"/>
      <c r="BB271" s="392"/>
      <c r="BC271" s="392"/>
      <c r="BD271" s="392"/>
      <c r="BE271" s="392"/>
      <c r="BF271" s="392"/>
      <c r="BG271" s="392"/>
      <c r="BH271" s="392"/>
      <c r="BI271" s="392"/>
      <c r="BJ271" s="392"/>
      <c r="BK271" s="392"/>
      <c r="BL271" s="392"/>
      <c r="BM271" s="392"/>
      <c r="BN271" s="392"/>
      <c r="BO271" s="392"/>
      <c r="BP271" s="392"/>
      <c r="BQ271" s="392"/>
      <c r="BR271" s="392"/>
      <c r="BS271" s="392"/>
      <c r="BT271" s="392"/>
    </row>
    <row r="272" ht="15.75" customHeight="1">
      <c r="A272" s="216"/>
      <c r="B272" s="156"/>
      <c r="C272" s="156"/>
      <c r="D272" s="156"/>
      <c r="E272" s="392"/>
      <c r="F272" s="392"/>
      <c r="G272" s="392"/>
      <c r="H272" s="392"/>
      <c r="I272" s="392"/>
      <c r="J272" s="392"/>
      <c r="K272" s="392"/>
      <c r="L272" s="392"/>
      <c r="M272" s="392"/>
      <c r="N272" s="392"/>
      <c r="O272" s="392"/>
      <c r="P272" s="392"/>
      <c r="Q272" s="392"/>
      <c r="R272" s="392"/>
      <c r="S272" s="392"/>
      <c r="T272" s="392"/>
      <c r="U272" s="392"/>
      <c r="V272" s="392"/>
      <c r="W272" s="392"/>
      <c r="X272" s="392"/>
      <c r="Y272" s="392"/>
      <c r="Z272" s="392"/>
      <c r="AA272" s="392"/>
      <c r="AB272" s="392"/>
      <c r="AC272" s="392"/>
      <c r="AD272" s="392"/>
      <c r="AE272" s="392"/>
      <c r="AF272" s="392"/>
      <c r="AG272" s="392"/>
      <c r="AH272" s="392"/>
      <c r="AI272" s="392"/>
      <c r="AJ272" s="392"/>
      <c r="AK272" s="392"/>
      <c r="AL272" s="392"/>
      <c r="AM272" s="392"/>
      <c r="AN272" s="392"/>
      <c r="AO272" s="392"/>
      <c r="AP272" s="392"/>
      <c r="AQ272" s="392"/>
      <c r="AR272" s="392"/>
      <c r="AS272" s="392"/>
      <c r="AT272" s="392"/>
      <c r="AU272" s="392"/>
      <c r="AV272" s="392"/>
      <c r="AW272" s="392"/>
      <c r="AX272" s="392"/>
      <c r="AY272" s="392"/>
      <c r="AZ272" s="392"/>
      <c r="BA272" s="392"/>
      <c r="BB272" s="392"/>
      <c r="BC272" s="392"/>
      <c r="BD272" s="392"/>
      <c r="BE272" s="392"/>
      <c r="BF272" s="392"/>
      <c r="BG272" s="392"/>
      <c r="BH272" s="392"/>
      <c r="BI272" s="392"/>
      <c r="BJ272" s="392"/>
      <c r="BK272" s="392"/>
      <c r="BL272" s="392"/>
      <c r="BM272" s="392"/>
      <c r="BN272" s="392"/>
      <c r="BO272" s="392"/>
      <c r="BP272" s="392"/>
      <c r="BQ272" s="392"/>
      <c r="BR272" s="392"/>
      <c r="BS272" s="392"/>
      <c r="BT272" s="392"/>
    </row>
    <row r="273" ht="15.75" customHeight="1">
      <c r="A273" s="216"/>
      <c r="B273" s="156"/>
      <c r="C273" s="156"/>
      <c r="D273" s="156"/>
      <c r="E273" s="392"/>
      <c r="F273" s="392"/>
      <c r="G273" s="392"/>
      <c r="H273" s="392"/>
      <c r="I273" s="392"/>
      <c r="J273" s="392"/>
      <c r="K273" s="392"/>
      <c r="L273" s="392"/>
      <c r="M273" s="392"/>
      <c r="N273" s="392"/>
      <c r="O273" s="392"/>
      <c r="P273" s="392"/>
      <c r="Q273" s="392"/>
      <c r="R273" s="392"/>
      <c r="S273" s="392"/>
      <c r="T273" s="392"/>
      <c r="U273" s="392"/>
      <c r="V273" s="392"/>
      <c r="W273" s="392"/>
      <c r="X273" s="392"/>
      <c r="Y273" s="392"/>
      <c r="Z273" s="392"/>
      <c r="AA273" s="392"/>
      <c r="AB273" s="392"/>
      <c r="AC273" s="392"/>
      <c r="AD273" s="392"/>
      <c r="AE273" s="392"/>
      <c r="AF273" s="392"/>
      <c r="AG273" s="392"/>
      <c r="AH273" s="392"/>
      <c r="AI273" s="392"/>
      <c r="AJ273" s="392"/>
      <c r="AK273" s="392"/>
      <c r="AL273" s="392"/>
      <c r="AM273" s="392"/>
      <c r="AN273" s="392"/>
      <c r="AO273" s="392"/>
      <c r="AP273" s="392"/>
      <c r="AQ273" s="392"/>
      <c r="AR273" s="392"/>
      <c r="AS273" s="392"/>
      <c r="AT273" s="392"/>
      <c r="AU273" s="392"/>
      <c r="AV273" s="392"/>
      <c r="AW273" s="392"/>
      <c r="AX273" s="392"/>
      <c r="AY273" s="392"/>
      <c r="AZ273" s="392"/>
      <c r="BA273" s="392"/>
      <c r="BB273" s="392"/>
      <c r="BC273" s="392"/>
      <c r="BD273" s="392"/>
      <c r="BE273" s="392"/>
      <c r="BF273" s="392"/>
      <c r="BG273" s="392"/>
      <c r="BH273" s="392"/>
      <c r="BI273" s="392"/>
      <c r="BJ273" s="392"/>
      <c r="BK273" s="392"/>
      <c r="BL273" s="392"/>
      <c r="BM273" s="392"/>
      <c r="BN273" s="392"/>
      <c r="BO273" s="392"/>
      <c r="BP273" s="392"/>
      <c r="BQ273" s="392"/>
      <c r="BR273" s="392"/>
      <c r="BS273" s="392"/>
      <c r="BT273" s="392"/>
    </row>
    <row r="274" ht="15.75" customHeight="1">
      <c r="A274" s="216"/>
      <c r="B274" s="156"/>
      <c r="C274" s="156"/>
      <c r="D274" s="156"/>
      <c r="E274" s="392"/>
      <c r="F274" s="392"/>
      <c r="G274" s="392"/>
      <c r="H274" s="392"/>
      <c r="I274" s="392"/>
      <c r="J274" s="392"/>
      <c r="K274" s="392"/>
      <c r="L274" s="392"/>
      <c r="M274" s="392"/>
      <c r="N274" s="392"/>
      <c r="O274" s="392"/>
      <c r="P274" s="392"/>
      <c r="Q274" s="392"/>
      <c r="R274" s="392"/>
      <c r="S274" s="392"/>
      <c r="T274" s="392"/>
      <c r="U274" s="392"/>
      <c r="V274" s="392"/>
      <c r="W274" s="392"/>
      <c r="X274" s="392"/>
      <c r="Y274" s="392"/>
      <c r="Z274" s="392"/>
      <c r="AA274" s="392"/>
      <c r="AB274" s="392"/>
      <c r="AC274" s="392"/>
      <c r="AD274" s="392"/>
      <c r="AE274" s="392"/>
      <c r="AF274" s="392"/>
      <c r="AG274" s="392"/>
      <c r="AH274" s="392"/>
      <c r="AI274" s="392"/>
      <c r="AJ274" s="392"/>
      <c r="AK274" s="392"/>
      <c r="AL274" s="392"/>
      <c r="AM274" s="392"/>
      <c r="AN274" s="392"/>
      <c r="AO274" s="392"/>
      <c r="AP274" s="392"/>
      <c r="AQ274" s="392"/>
      <c r="AR274" s="392"/>
      <c r="AS274" s="392"/>
      <c r="AT274" s="392"/>
      <c r="AU274" s="392"/>
      <c r="AV274" s="392"/>
      <c r="AW274" s="392"/>
      <c r="AX274" s="392"/>
      <c r="AY274" s="392"/>
      <c r="AZ274" s="392"/>
      <c r="BA274" s="392"/>
      <c r="BB274" s="392"/>
      <c r="BC274" s="392"/>
      <c r="BD274" s="392"/>
      <c r="BE274" s="392"/>
      <c r="BF274" s="392"/>
      <c r="BG274" s="392"/>
      <c r="BH274" s="392"/>
      <c r="BI274" s="392"/>
      <c r="BJ274" s="392"/>
      <c r="BK274" s="392"/>
      <c r="BL274" s="392"/>
      <c r="BM274" s="392"/>
      <c r="BN274" s="392"/>
      <c r="BO274" s="392"/>
      <c r="BP274" s="392"/>
      <c r="BQ274" s="392"/>
      <c r="BR274" s="392"/>
      <c r="BS274" s="392"/>
      <c r="BT274" s="392"/>
    </row>
    <row r="275" ht="15.75" customHeight="1">
      <c r="A275" s="216"/>
      <c r="B275" s="156"/>
      <c r="C275" s="156"/>
      <c r="D275" s="156"/>
      <c r="E275" s="392"/>
      <c r="F275" s="392"/>
      <c r="G275" s="392"/>
      <c r="H275" s="392"/>
      <c r="I275" s="392"/>
      <c r="J275" s="392"/>
      <c r="K275" s="392"/>
      <c r="L275" s="392"/>
      <c r="M275" s="392"/>
      <c r="N275" s="392"/>
      <c r="O275" s="392"/>
      <c r="P275" s="392"/>
      <c r="Q275" s="392"/>
      <c r="R275" s="392"/>
      <c r="S275" s="392"/>
      <c r="T275" s="392"/>
      <c r="U275" s="392"/>
      <c r="V275" s="392"/>
      <c r="W275" s="392"/>
      <c r="X275" s="392"/>
      <c r="Y275" s="392"/>
      <c r="Z275" s="392"/>
      <c r="AA275" s="392"/>
      <c r="AB275" s="392"/>
      <c r="AC275" s="392"/>
      <c r="AD275" s="392"/>
      <c r="AE275" s="392"/>
      <c r="AF275" s="392"/>
      <c r="AG275" s="392"/>
      <c r="AH275" s="392"/>
      <c r="AI275" s="392"/>
      <c r="AJ275" s="392"/>
      <c r="AK275" s="392"/>
      <c r="AL275" s="392"/>
      <c r="AM275" s="392"/>
      <c r="AN275" s="392"/>
      <c r="AO275" s="392"/>
      <c r="AP275" s="392"/>
      <c r="AQ275" s="392"/>
      <c r="AR275" s="392"/>
      <c r="AS275" s="392"/>
      <c r="AT275" s="392"/>
      <c r="AU275" s="392"/>
      <c r="AV275" s="392"/>
      <c r="AW275" s="392"/>
      <c r="AX275" s="392"/>
      <c r="AY275" s="392"/>
      <c r="AZ275" s="392"/>
      <c r="BA275" s="392"/>
      <c r="BB275" s="392"/>
      <c r="BC275" s="392"/>
      <c r="BD275" s="392"/>
      <c r="BE275" s="392"/>
      <c r="BF275" s="392"/>
      <c r="BG275" s="392"/>
      <c r="BH275" s="392"/>
      <c r="BI275" s="392"/>
      <c r="BJ275" s="392"/>
      <c r="BK275" s="392"/>
      <c r="BL275" s="392"/>
      <c r="BM275" s="392"/>
      <c r="BN275" s="392"/>
      <c r="BO275" s="392"/>
      <c r="BP275" s="392"/>
      <c r="BQ275" s="392"/>
      <c r="BR275" s="392"/>
      <c r="BS275" s="392"/>
      <c r="BT275" s="392"/>
    </row>
    <row r="276" ht="15.75" customHeight="1">
      <c r="A276" s="216"/>
      <c r="B276" s="156"/>
      <c r="C276" s="156"/>
      <c r="D276" s="156"/>
      <c r="E276" s="392"/>
      <c r="F276" s="392"/>
      <c r="G276" s="392"/>
      <c r="H276" s="392"/>
      <c r="I276" s="392"/>
      <c r="J276" s="392"/>
      <c r="K276" s="392"/>
      <c r="L276" s="392"/>
      <c r="M276" s="392"/>
      <c r="N276" s="392"/>
      <c r="O276" s="392"/>
      <c r="P276" s="392"/>
      <c r="Q276" s="392"/>
      <c r="R276" s="392"/>
      <c r="S276" s="392"/>
      <c r="T276" s="392"/>
      <c r="U276" s="392"/>
      <c r="V276" s="392"/>
      <c r="W276" s="392"/>
      <c r="X276" s="392"/>
      <c r="Y276" s="392"/>
      <c r="Z276" s="392"/>
      <c r="AA276" s="392"/>
      <c r="AB276" s="392"/>
      <c r="AC276" s="392"/>
      <c r="AD276" s="392"/>
      <c r="AE276" s="392"/>
      <c r="AF276" s="392"/>
      <c r="AG276" s="392"/>
      <c r="AH276" s="392"/>
      <c r="AI276" s="392"/>
      <c r="AJ276" s="392"/>
      <c r="AK276" s="392"/>
      <c r="AL276" s="392"/>
      <c r="AM276" s="392"/>
      <c r="AN276" s="392"/>
      <c r="AO276" s="392"/>
      <c r="AP276" s="392"/>
      <c r="AQ276" s="392"/>
      <c r="AR276" s="392"/>
      <c r="AS276" s="392"/>
      <c r="AT276" s="392"/>
      <c r="AU276" s="392"/>
      <c r="AV276" s="392"/>
      <c r="AW276" s="392"/>
      <c r="AX276" s="392"/>
      <c r="AY276" s="392"/>
      <c r="AZ276" s="392"/>
      <c r="BA276" s="392"/>
      <c r="BB276" s="392"/>
      <c r="BC276" s="392"/>
      <c r="BD276" s="392"/>
      <c r="BE276" s="392"/>
      <c r="BF276" s="392"/>
      <c r="BG276" s="392"/>
      <c r="BH276" s="392"/>
      <c r="BI276" s="392"/>
      <c r="BJ276" s="392"/>
      <c r="BK276" s="392"/>
      <c r="BL276" s="392"/>
      <c r="BM276" s="392"/>
      <c r="BN276" s="392"/>
      <c r="BO276" s="392"/>
      <c r="BP276" s="392"/>
      <c r="BQ276" s="392"/>
      <c r="BR276" s="392"/>
      <c r="BS276" s="392"/>
      <c r="BT276" s="392"/>
    </row>
    <row r="277" ht="15.75" customHeight="1">
      <c r="A277" s="216"/>
      <c r="B277" s="156"/>
      <c r="C277" s="156"/>
      <c r="D277" s="156"/>
      <c r="E277" s="392"/>
      <c r="F277" s="392"/>
      <c r="G277" s="392"/>
      <c r="H277" s="392"/>
      <c r="I277" s="392"/>
      <c r="J277" s="392"/>
      <c r="K277" s="392"/>
      <c r="L277" s="392"/>
      <c r="M277" s="392"/>
      <c r="N277" s="392"/>
      <c r="O277" s="392"/>
      <c r="P277" s="392"/>
      <c r="Q277" s="392"/>
      <c r="R277" s="392"/>
      <c r="S277" s="392"/>
      <c r="T277" s="392"/>
      <c r="U277" s="392"/>
      <c r="V277" s="392"/>
      <c r="W277" s="392"/>
      <c r="X277" s="392"/>
      <c r="Y277" s="392"/>
      <c r="Z277" s="392"/>
      <c r="AA277" s="392"/>
      <c r="AB277" s="392"/>
      <c r="AC277" s="392"/>
      <c r="AD277" s="392"/>
      <c r="AE277" s="392"/>
      <c r="AF277" s="392"/>
      <c r="AG277" s="392"/>
      <c r="AH277" s="392"/>
      <c r="AI277" s="392"/>
      <c r="AJ277" s="392"/>
      <c r="AK277" s="392"/>
      <c r="AL277" s="392"/>
      <c r="AM277" s="392"/>
      <c r="AN277" s="392"/>
      <c r="AO277" s="392"/>
      <c r="AP277" s="392"/>
      <c r="AQ277" s="392"/>
      <c r="AR277" s="392"/>
      <c r="AS277" s="392"/>
      <c r="AT277" s="392"/>
      <c r="AU277" s="392"/>
      <c r="AV277" s="392"/>
      <c r="AW277" s="392"/>
      <c r="AX277" s="392"/>
      <c r="AY277" s="392"/>
      <c r="AZ277" s="392"/>
      <c r="BA277" s="392"/>
      <c r="BB277" s="392"/>
      <c r="BC277" s="392"/>
      <c r="BD277" s="392"/>
      <c r="BE277" s="392"/>
      <c r="BF277" s="392"/>
      <c r="BG277" s="392"/>
      <c r="BH277" s="392"/>
      <c r="BI277" s="392"/>
      <c r="BJ277" s="392"/>
      <c r="BK277" s="392"/>
      <c r="BL277" s="392"/>
      <c r="BM277" s="392"/>
      <c r="BN277" s="392"/>
      <c r="BO277" s="392"/>
      <c r="BP277" s="392"/>
      <c r="BQ277" s="392"/>
      <c r="BR277" s="392"/>
      <c r="BS277" s="392"/>
      <c r="BT277" s="392"/>
    </row>
    <row r="278" ht="15.75" customHeight="1">
      <c r="A278" s="216"/>
      <c r="B278" s="156"/>
      <c r="C278" s="156"/>
      <c r="D278" s="156"/>
      <c r="E278" s="392"/>
      <c r="F278" s="392"/>
      <c r="G278" s="392"/>
      <c r="H278" s="392"/>
      <c r="I278" s="392"/>
      <c r="J278" s="392"/>
      <c r="K278" s="392"/>
      <c r="L278" s="392"/>
      <c r="M278" s="392"/>
      <c r="N278" s="392"/>
      <c r="O278" s="392"/>
      <c r="P278" s="392"/>
      <c r="Q278" s="392"/>
      <c r="R278" s="392"/>
      <c r="S278" s="392"/>
      <c r="T278" s="392"/>
      <c r="U278" s="392"/>
      <c r="V278" s="392"/>
      <c r="W278" s="392"/>
      <c r="X278" s="392"/>
      <c r="Y278" s="392"/>
      <c r="Z278" s="392"/>
      <c r="AA278" s="392"/>
      <c r="AB278" s="392"/>
      <c r="AC278" s="392"/>
      <c r="AD278" s="392"/>
      <c r="AE278" s="392"/>
      <c r="AF278" s="392"/>
      <c r="AG278" s="392"/>
      <c r="AH278" s="392"/>
      <c r="AI278" s="392"/>
      <c r="AJ278" s="392"/>
      <c r="AK278" s="392"/>
      <c r="AL278" s="392"/>
      <c r="AM278" s="392"/>
      <c r="AN278" s="392"/>
      <c r="AO278" s="392"/>
      <c r="AP278" s="392"/>
      <c r="AQ278" s="392"/>
      <c r="AR278" s="392"/>
      <c r="AS278" s="392"/>
      <c r="AT278" s="392"/>
      <c r="AU278" s="392"/>
      <c r="AV278" s="392"/>
      <c r="AW278" s="392"/>
      <c r="AX278" s="392"/>
      <c r="AY278" s="392"/>
      <c r="AZ278" s="392"/>
      <c r="BA278" s="392"/>
      <c r="BB278" s="392"/>
      <c r="BC278" s="392"/>
      <c r="BD278" s="392"/>
      <c r="BE278" s="392"/>
      <c r="BF278" s="392"/>
      <c r="BG278" s="392"/>
      <c r="BH278" s="392"/>
      <c r="BI278" s="392"/>
      <c r="BJ278" s="392"/>
      <c r="BK278" s="392"/>
      <c r="BL278" s="392"/>
      <c r="BM278" s="392"/>
      <c r="BN278" s="392"/>
      <c r="BO278" s="392"/>
      <c r="BP278" s="392"/>
      <c r="BQ278" s="392"/>
      <c r="BR278" s="392"/>
      <c r="BS278" s="392"/>
      <c r="BT278" s="392"/>
    </row>
    <row r="279" ht="15.75" customHeight="1">
      <c r="A279" s="216"/>
      <c r="B279" s="156"/>
      <c r="C279" s="156"/>
      <c r="D279" s="156"/>
      <c r="E279" s="392"/>
      <c r="F279" s="392"/>
      <c r="G279" s="392"/>
      <c r="H279" s="392"/>
      <c r="I279" s="392"/>
      <c r="J279" s="392"/>
      <c r="K279" s="392"/>
      <c r="L279" s="392"/>
      <c r="M279" s="392"/>
      <c r="N279" s="392"/>
      <c r="O279" s="392"/>
      <c r="P279" s="392"/>
      <c r="Q279" s="392"/>
      <c r="R279" s="392"/>
      <c r="S279" s="392"/>
      <c r="T279" s="392"/>
      <c r="U279" s="392"/>
      <c r="V279" s="392"/>
      <c r="W279" s="392"/>
      <c r="X279" s="392"/>
      <c r="Y279" s="392"/>
      <c r="Z279" s="392"/>
      <c r="AA279" s="392"/>
      <c r="AB279" s="392"/>
      <c r="AC279" s="392"/>
      <c r="AD279" s="392"/>
      <c r="AE279" s="392"/>
      <c r="AF279" s="392"/>
      <c r="AG279" s="392"/>
      <c r="AH279" s="392"/>
      <c r="AI279" s="392"/>
      <c r="AJ279" s="392"/>
      <c r="AK279" s="392"/>
      <c r="AL279" s="392"/>
      <c r="AM279" s="392"/>
      <c r="AN279" s="392"/>
      <c r="AO279" s="392"/>
      <c r="AP279" s="392"/>
      <c r="AQ279" s="392"/>
      <c r="AR279" s="392"/>
      <c r="AS279" s="392"/>
      <c r="AT279" s="392"/>
      <c r="AU279" s="392"/>
      <c r="AV279" s="392"/>
      <c r="AW279" s="392"/>
      <c r="AX279" s="392"/>
      <c r="AY279" s="392"/>
      <c r="AZ279" s="392"/>
      <c r="BA279" s="392"/>
      <c r="BB279" s="392"/>
      <c r="BC279" s="392"/>
      <c r="BD279" s="392"/>
      <c r="BE279" s="392"/>
      <c r="BF279" s="392"/>
      <c r="BG279" s="392"/>
      <c r="BH279" s="392"/>
      <c r="BI279" s="392"/>
      <c r="BJ279" s="392"/>
      <c r="BK279" s="392"/>
      <c r="BL279" s="392"/>
      <c r="BM279" s="392"/>
      <c r="BN279" s="392"/>
      <c r="BO279" s="392"/>
      <c r="BP279" s="392"/>
      <c r="BQ279" s="392"/>
      <c r="BR279" s="392"/>
      <c r="BS279" s="392"/>
      <c r="BT279" s="392"/>
    </row>
    <row r="280" ht="15.75" customHeight="1">
      <c r="A280" s="216"/>
      <c r="B280" s="156"/>
      <c r="C280" s="156"/>
      <c r="D280" s="156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392"/>
      <c r="Q280" s="392"/>
      <c r="R280" s="392"/>
      <c r="S280" s="392"/>
      <c r="T280" s="392"/>
      <c r="U280" s="392"/>
      <c r="V280" s="392"/>
      <c r="W280" s="392"/>
      <c r="X280" s="392"/>
      <c r="Y280" s="392"/>
      <c r="Z280" s="392"/>
      <c r="AA280" s="392"/>
      <c r="AB280" s="392"/>
      <c r="AC280" s="392"/>
      <c r="AD280" s="392"/>
      <c r="AE280" s="392"/>
      <c r="AF280" s="392"/>
      <c r="AG280" s="392"/>
      <c r="AH280" s="392"/>
      <c r="AI280" s="392"/>
      <c r="AJ280" s="392"/>
      <c r="AK280" s="392"/>
      <c r="AL280" s="392"/>
      <c r="AM280" s="392"/>
      <c r="AN280" s="392"/>
      <c r="AO280" s="392"/>
      <c r="AP280" s="392"/>
      <c r="AQ280" s="392"/>
      <c r="AR280" s="392"/>
      <c r="AS280" s="392"/>
      <c r="AT280" s="392"/>
      <c r="AU280" s="392"/>
      <c r="AV280" s="392"/>
      <c r="AW280" s="392"/>
      <c r="AX280" s="392"/>
      <c r="AY280" s="392"/>
      <c r="AZ280" s="392"/>
      <c r="BA280" s="392"/>
      <c r="BB280" s="392"/>
      <c r="BC280" s="392"/>
      <c r="BD280" s="392"/>
      <c r="BE280" s="392"/>
      <c r="BF280" s="392"/>
      <c r="BG280" s="392"/>
      <c r="BH280" s="392"/>
      <c r="BI280" s="392"/>
      <c r="BJ280" s="392"/>
      <c r="BK280" s="392"/>
      <c r="BL280" s="392"/>
      <c r="BM280" s="392"/>
      <c r="BN280" s="392"/>
      <c r="BO280" s="392"/>
      <c r="BP280" s="392"/>
      <c r="BQ280" s="392"/>
      <c r="BR280" s="392"/>
      <c r="BS280" s="392"/>
      <c r="BT280" s="392"/>
    </row>
    <row r="281" ht="15.75" customHeight="1">
      <c r="A281" s="216"/>
      <c r="B281" s="156"/>
      <c r="C281" s="156"/>
      <c r="D281" s="156"/>
      <c r="E281" s="392"/>
      <c r="F281" s="392"/>
      <c r="G281" s="392"/>
      <c r="H281" s="392"/>
      <c r="I281" s="392"/>
      <c r="J281" s="392"/>
      <c r="K281" s="392"/>
      <c r="L281" s="392"/>
      <c r="M281" s="392"/>
      <c r="N281" s="392"/>
      <c r="O281" s="392"/>
      <c r="P281" s="392"/>
      <c r="Q281" s="392"/>
      <c r="R281" s="392"/>
      <c r="S281" s="392"/>
      <c r="T281" s="392"/>
      <c r="U281" s="392"/>
      <c r="V281" s="392"/>
      <c r="W281" s="392"/>
      <c r="X281" s="392"/>
      <c r="Y281" s="392"/>
      <c r="Z281" s="392"/>
      <c r="AA281" s="392"/>
      <c r="AB281" s="392"/>
      <c r="AC281" s="392"/>
      <c r="AD281" s="392"/>
      <c r="AE281" s="392"/>
      <c r="AF281" s="392"/>
      <c r="AG281" s="392"/>
      <c r="AH281" s="392"/>
      <c r="AI281" s="392"/>
      <c r="AJ281" s="392"/>
      <c r="AK281" s="392"/>
      <c r="AL281" s="392"/>
      <c r="AM281" s="392"/>
      <c r="AN281" s="392"/>
      <c r="AO281" s="392"/>
      <c r="AP281" s="392"/>
      <c r="AQ281" s="392"/>
      <c r="AR281" s="392"/>
      <c r="AS281" s="392"/>
      <c r="AT281" s="392"/>
      <c r="AU281" s="392"/>
      <c r="AV281" s="392"/>
      <c r="AW281" s="392"/>
      <c r="AX281" s="392"/>
      <c r="AY281" s="392"/>
      <c r="AZ281" s="392"/>
      <c r="BA281" s="392"/>
      <c r="BB281" s="392"/>
      <c r="BC281" s="392"/>
      <c r="BD281" s="392"/>
      <c r="BE281" s="392"/>
      <c r="BF281" s="392"/>
      <c r="BG281" s="392"/>
      <c r="BH281" s="392"/>
      <c r="BI281" s="392"/>
      <c r="BJ281" s="392"/>
      <c r="BK281" s="392"/>
      <c r="BL281" s="392"/>
      <c r="BM281" s="392"/>
      <c r="BN281" s="392"/>
      <c r="BO281" s="392"/>
      <c r="BP281" s="392"/>
      <c r="BQ281" s="392"/>
      <c r="BR281" s="392"/>
      <c r="BS281" s="392"/>
      <c r="BT281" s="392"/>
    </row>
    <row r="282" ht="15.75" customHeight="1">
      <c r="A282" s="216"/>
      <c r="B282" s="156"/>
      <c r="C282" s="156"/>
      <c r="D282" s="156"/>
      <c r="E282" s="392"/>
      <c r="F282" s="392"/>
      <c r="G282" s="392"/>
      <c r="H282" s="392"/>
      <c r="I282" s="392"/>
      <c r="J282" s="392"/>
      <c r="K282" s="392"/>
      <c r="L282" s="392"/>
      <c r="M282" s="392"/>
      <c r="N282" s="392"/>
      <c r="O282" s="392"/>
      <c r="P282" s="392"/>
      <c r="Q282" s="392"/>
      <c r="R282" s="392"/>
      <c r="S282" s="392"/>
      <c r="T282" s="392"/>
      <c r="U282" s="392"/>
      <c r="V282" s="392"/>
      <c r="W282" s="392"/>
      <c r="X282" s="392"/>
      <c r="Y282" s="392"/>
      <c r="Z282" s="392"/>
      <c r="AA282" s="392"/>
      <c r="AB282" s="392"/>
      <c r="AC282" s="392"/>
      <c r="AD282" s="392"/>
      <c r="AE282" s="392"/>
      <c r="AF282" s="392"/>
      <c r="AG282" s="392"/>
      <c r="AH282" s="392"/>
      <c r="AI282" s="392"/>
      <c r="AJ282" s="392"/>
      <c r="AK282" s="392"/>
      <c r="AL282" s="392"/>
      <c r="AM282" s="392"/>
      <c r="AN282" s="392"/>
      <c r="AO282" s="392"/>
      <c r="AP282" s="392"/>
      <c r="AQ282" s="392"/>
      <c r="AR282" s="392"/>
      <c r="AS282" s="392"/>
      <c r="AT282" s="392"/>
      <c r="AU282" s="392"/>
      <c r="AV282" s="392"/>
      <c r="AW282" s="392"/>
      <c r="AX282" s="392"/>
      <c r="AY282" s="392"/>
      <c r="AZ282" s="392"/>
      <c r="BA282" s="392"/>
      <c r="BB282" s="392"/>
      <c r="BC282" s="392"/>
      <c r="BD282" s="392"/>
      <c r="BE282" s="392"/>
      <c r="BF282" s="392"/>
      <c r="BG282" s="392"/>
      <c r="BH282" s="392"/>
      <c r="BI282" s="392"/>
      <c r="BJ282" s="392"/>
      <c r="BK282" s="392"/>
      <c r="BL282" s="392"/>
      <c r="BM282" s="392"/>
      <c r="BN282" s="392"/>
      <c r="BO282" s="392"/>
      <c r="BP282" s="392"/>
      <c r="BQ282" s="392"/>
      <c r="BR282" s="392"/>
      <c r="BS282" s="392"/>
      <c r="BT282" s="392"/>
    </row>
    <row r="283" ht="15.75" customHeight="1">
      <c r="A283" s="216"/>
      <c r="B283" s="156"/>
      <c r="C283" s="156"/>
      <c r="D283" s="156"/>
      <c r="E283" s="392"/>
      <c r="F283" s="392"/>
      <c r="G283" s="392"/>
      <c r="H283" s="392"/>
      <c r="I283" s="392"/>
      <c r="J283" s="392"/>
      <c r="K283" s="392"/>
      <c r="L283" s="392"/>
      <c r="M283" s="392"/>
      <c r="N283" s="392"/>
      <c r="O283" s="392"/>
      <c r="P283" s="392"/>
      <c r="Q283" s="392"/>
      <c r="R283" s="392"/>
      <c r="S283" s="392"/>
      <c r="T283" s="392"/>
      <c r="U283" s="392"/>
      <c r="V283" s="392"/>
      <c r="W283" s="392"/>
      <c r="X283" s="392"/>
      <c r="Y283" s="392"/>
      <c r="Z283" s="392"/>
      <c r="AA283" s="392"/>
      <c r="AB283" s="392"/>
      <c r="AC283" s="392"/>
      <c r="AD283" s="392"/>
      <c r="AE283" s="392"/>
      <c r="AF283" s="392"/>
      <c r="AG283" s="392"/>
      <c r="AH283" s="392"/>
      <c r="AI283" s="392"/>
      <c r="AJ283" s="392"/>
      <c r="AK283" s="392"/>
      <c r="AL283" s="392"/>
      <c r="AM283" s="392"/>
      <c r="AN283" s="392"/>
      <c r="AO283" s="392"/>
      <c r="AP283" s="392"/>
      <c r="AQ283" s="392"/>
      <c r="AR283" s="392"/>
      <c r="AS283" s="392"/>
      <c r="AT283" s="392"/>
      <c r="AU283" s="392"/>
      <c r="AV283" s="392"/>
      <c r="AW283" s="392"/>
      <c r="AX283" s="392"/>
      <c r="AY283" s="392"/>
      <c r="AZ283" s="392"/>
      <c r="BA283" s="392"/>
      <c r="BB283" s="392"/>
      <c r="BC283" s="392"/>
      <c r="BD283" s="392"/>
      <c r="BE283" s="392"/>
      <c r="BF283" s="392"/>
      <c r="BG283" s="392"/>
      <c r="BH283" s="392"/>
      <c r="BI283" s="392"/>
      <c r="BJ283" s="392"/>
      <c r="BK283" s="392"/>
      <c r="BL283" s="392"/>
      <c r="BM283" s="392"/>
      <c r="BN283" s="392"/>
      <c r="BO283" s="392"/>
      <c r="BP283" s="392"/>
      <c r="BQ283" s="392"/>
      <c r="BR283" s="392"/>
      <c r="BS283" s="392"/>
      <c r="BT283" s="392"/>
    </row>
    <row r="284" ht="15.75" customHeight="1">
      <c r="A284" s="216"/>
      <c r="B284" s="156"/>
      <c r="C284" s="156"/>
      <c r="D284" s="156"/>
      <c r="E284" s="392"/>
      <c r="F284" s="392"/>
      <c r="G284" s="392"/>
      <c r="H284" s="392"/>
      <c r="I284" s="392"/>
      <c r="J284" s="392"/>
      <c r="K284" s="392"/>
      <c r="L284" s="392"/>
      <c r="M284" s="392"/>
      <c r="N284" s="392"/>
      <c r="O284" s="392"/>
      <c r="P284" s="392"/>
      <c r="Q284" s="392"/>
      <c r="R284" s="392"/>
      <c r="S284" s="392"/>
      <c r="T284" s="392"/>
      <c r="U284" s="392"/>
      <c r="V284" s="392"/>
      <c r="W284" s="392"/>
      <c r="X284" s="392"/>
      <c r="Y284" s="392"/>
      <c r="Z284" s="392"/>
      <c r="AA284" s="392"/>
      <c r="AB284" s="392"/>
      <c r="AC284" s="392"/>
      <c r="AD284" s="392"/>
      <c r="AE284" s="392"/>
      <c r="AF284" s="392"/>
      <c r="AG284" s="392"/>
      <c r="AH284" s="392"/>
      <c r="AI284" s="392"/>
      <c r="AJ284" s="392"/>
      <c r="AK284" s="392"/>
      <c r="AL284" s="392"/>
      <c r="AM284" s="392"/>
      <c r="AN284" s="392"/>
      <c r="AO284" s="392"/>
      <c r="AP284" s="392"/>
      <c r="AQ284" s="392"/>
      <c r="AR284" s="392"/>
      <c r="AS284" s="392"/>
      <c r="AT284" s="392"/>
      <c r="AU284" s="392"/>
      <c r="AV284" s="392"/>
      <c r="AW284" s="392"/>
      <c r="AX284" s="392"/>
      <c r="AY284" s="392"/>
      <c r="AZ284" s="392"/>
      <c r="BA284" s="392"/>
      <c r="BB284" s="392"/>
      <c r="BC284" s="392"/>
      <c r="BD284" s="392"/>
      <c r="BE284" s="392"/>
      <c r="BF284" s="392"/>
      <c r="BG284" s="392"/>
      <c r="BH284" s="392"/>
      <c r="BI284" s="392"/>
      <c r="BJ284" s="392"/>
      <c r="BK284" s="392"/>
      <c r="BL284" s="392"/>
      <c r="BM284" s="392"/>
      <c r="BN284" s="392"/>
      <c r="BO284" s="392"/>
      <c r="BP284" s="392"/>
      <c r="BQ284" s="392"/>
      <c r="BR284" s="392"/>
      <c r="BS284" s="392"/>
      <c r="BT284" s="392"/>
    </row>
    <row r="285" ht="15.75" customHeight="1">
      <c r="A285" s="216"/>
      <c r="B285" s="156"/>
      <c r="C285" s="156"/>
      <c r="D285" s="156"/>
      <c r="E285" s="392"/>
      <c r="F285" s="392"/>
      <c r="G285" s="392"/>
      <c r="H285" s="392"/>
      <c r="I285" s="392"/>
      <c r="J285" s="392"/>
      <c r="K285" s="392"/>
      <c r="L285" s="392"/>
      <c r="M285" s="392"/>
      <c r="N285" s="392"/>
      <c r="O285" s="392"/>
      <c r="P285" s="392"/>
      <c r="Q285" s="392"/>
      <c r="R285" s="392"/>
      <c r="S285" s="392"/>
      <c r="T285" s="392"/>
      <c r="U285" s="392"/>
      <c r="V285" s="392"/>
      <c r="W285" s="392"/>
      <c r="X285" s="392"/>
      <c r="Y285" s="392"/>
      <c r="Z285" s="392"/>
      <c r="AA285" s="392"/>
      <c r="AB285" s="392"/>
      <c r="AC285" s="392"/>
      <c r="AD285" s="392"/>
      <c r="AE285" s="392"/>
      <c r="AF285" s="392"/>
      <c r="AG285" s="392"/>
      <c r="AH285" s="392"/>
      <c r="AI285" s="392"/>
      <c r="AJ285" s="392"/>
      <c r="AK285" s="392"/>
      <c r="AL285" s="392"/>
      <c r="AM285" s="392"/>
      <c r="AN285" s="392"/>
      <c r="AO285" s="392"/>
      <c r="AP285" s="392"/>
      <c r="AQ285" s="392"/>
      <c r="AR285" s="392"/>
      <c r="AS285" s="392"/>
      <c r="AT285" s="392"/>
      <c r="AU285" s="392"/>
      <c r="AV285" s="392"/>
      <c r="AW285" s="392"/>
      <c r="AX285" s="392"/>
      <c r="AY285" s="392"/>
      <c r="AZ285" s="392"/>
      <c r="BA285" s="392"/>
      <c r="BB285" s="392"/>
      <c r="BC285" s="392"/>
      <c r="BD285" s="392"/>
      <c r="BE285" s="392"/>
      <c r="BF285" s="392"/>
      <c r="BG285" s="392"/>
      <c r="BH285" s="392"/>
      <c r="BI285" s="392"/>
      <c r="BJ285" s="392"/>
      <c r="BK285" s="392"/>
      <c r="BL285" s="392"/>
      <c r="BM285" s="392"/>
      <c r="BN285" s="392"/>
      <c r="BO285" s="392"/>
      <c r="BP285" s="392"/>
      <c r="BQ285" s="392"/>
      <c r="BR285" s="392"/>
      <c r="BS285" s="392"/>
      <c r="BT285" s="392"/>
    </row>
    <row r="286" ht="15.75" customHeight="1">
      <c r="A286" s="216"/>
      <c r="B286" s="156"/>
      <c r="C286" s="156"/>
      <c r="D286" s="156"/>
      <c r="E286" s="392"/>
      <c r="F286" s="392"/>
      <c r="G286" s="392"/>
      <c r="H286" s="392"/>
      <c r="I286" s="392"/>
      <c r="J286" s="392"/>
      <c r="K286" s="392"/>
      <c r="L286" s="392"/>
      <c r="M286" s="392"/>
      <c r="N286" s="392"/>
      <c r="O286" s="392"/>
      <c r="P286" s="392"/>
      <c r="Q286" s="392"/>
      <c r="R286" s="392"/>
      <c r="S286" s="392"/>
      <c r="T286" s="392"/>
      <c r="U286" s="392"/>
      <c r="V286" s="392"/>
      <c r="W286" s="392"/>
      <c r="X286" s="392"/>
      <c r="Y286" s="392"/>
      <c r="Z286" s="392"/>
      <c r="AA286" s="392"/>
      <c r="AB286" s="392"/>
      <c r="AC286" s="392"/>
      <c r="AD286" s="392"/>
      <c r="AE286" s="392"/>
      <c r="AF286" s="392"/>
      <c r="AG286" s="392"/>
      <c r="AH286" s="392"/>
      <c r="AI286" s="392"/>
      <c r="AJ286" s="392"/>
      <c r="AK286" s="392"/>
      <c r="AL286" s="392"/>
      <c r="AM286" s="392"/>
      <c r="AN286" s="392"/>
      <c r="AO286" s="392"/>
      <c r="AP286" s="392"/>
      <c r="AQ286" s="392"/>
      <c r="AR286" s="392"/>
      <c r="AS286" s="392"/>
      <c r="AT286" s="392"/>
      <c r="AU286" s="392"/>
      <c r="AV286" s="392"/>
      <c r="AW286" s="392"/>
      <c r="AX286" s="392"/>
      <c r="AY286" s="392"/>
      <c r="AZ286" s="392"/>
      <c r="BA286" s="392"/>
      <c r="BB286" s="392"/>
      <c r="BC286" s="392"/>
      <c r="BD286" s="392"/>
      <c r="BE286" s="392"/>
      <c r="BF286" s="392"/>
      <c r="BG286" s="392"/>
      <c r="BH286" s="392"/>
      <c r="BI286" s="392"/>
      <c r="BJ286" s="392"/>
      <c r="BK286" s="392"/>
      <c r="BL286" s="392"/>
      <c r="BM286" s="392"/>
      <c r="BN286" s="392"/>
      <c r="BO286" s="392"/>
      <c r="BP286" s="392"/>
      <c r="BQ286" s="392"/>
      <c r="BR286" s="392"/>
      <c r="BS286" s="392"/>
      <c r="BT286" s="392"/>
    </row>
    <row r="287" ht="15.75" customHeight="1">
      <c r="A287" s="216"/>
      <c r="B287" s="156"/>
      <c r="C287" s="156"/>
      <c r="D287" s="156"/>
      <c r="E287" s="392"/>
      <c r="F287" s="392"/>
      <c r="G287" s="392"/>
      <c r="H287" s="392"/>
      <c r="I287" s="392"/>
      <c r="J287" s="392"/>
      <c r="K287" s="392"/>
      <c r="L287" s="392"/>
      <c r="M287" s="392"/>
      <c r="N287" s="392"/>
      <c r="O287" s="392"/>
      <c r="P287" s="392"/>
      <c r="Q287" s="392"/>
      <c r="R287" s="392"/>
      <c r="S287" s="392"/>
      <c r="T287" s="392"/>
      <c r="U287" s="392"/>
      <c r="V287" s="392"/>
      <c r="W287" s="392"/>
      <c r="X287" s="392"/>
      <c r="Y287" s="392"/>
      <c r="Z287" s="392"/>
      <c r="AA287" s="392"/>
      <c r="AB287" s="392"/>
      <c r="AC287" s="392"/>
      <c r="AD287" s="392"/>
      <c r="AE287" s="392"/>
      <c r="AF287" s="392"/>
      <c r="AG287" s="392"/>
      <c r="AH287" s="392"/>
      <c r="AI287" s="392"/>
      <c r="AJ287" s="392"/>
      <c r="AK287" s="392"/>
      <c r="AL287" s="392"/>
      <c r="AM287" s="392"/>
      <c r="AN287" s="392"/>
      <c r="AO287" s="392"/>
      <c r="AP287" s="392"/>
      <c r="AQ287" s="392"/>
      <c r="AR287" s="392"/>
      <c r="AS287" s="392"/>
      <c r="AT287" s="392"/>
      <c r="AU287" s="392"/>
      <c r="AV287" s="392"/>
      <c r="AW287" s="392"/>
      <c r="AX287" s="392"/>
      <c r="AY287" s="392"/>
      <c r="AZ287" s="392"/>
      <c r="BA287" s="392"/>
      <c r="BB287" s="392"/>
      <c r="BC287" s="392"/>
      <c r="BD287" s="392"/>
      <c r="BE287" s="392"/>
      <c r="BF287" s="392"/>
      <c r="BG287" s="392"/>
      <c r="BH287" s="392"/>
      <c r="BI287" s="392"/>
      <c r="BJ287" s="392"/>
      <c r="BK287" s="392"/>
      <c r="BL287" s="392"/>
      <c r="BM287" s="392"/>
      <c r="BN287" s="392"/>
      <c r="BO287" s="392"/>
      <c r="BP287" s="392"/>
      <c r="BQ287" s="392"/>
      <c r="BR287" s="392"/>
      <c r="BS287" s="392"/>
      <c r="BT287" s="392"/>
    </row>
    <row r="288" ht="15.75" customHeight="1">
      <c r="A288" s="216"/>
      <c r="B288" s="156"/>
      <c r="C288" s="156"/>
      <c r="D288" s="156"/>
      <c r="E288" s="392"/>
      <c r="F288" s="392"/>
      <c r="G288" s="392"/>
      <c r="H288" s="392"/>
      <c r="I288" s="392"/>
      <c r="J288" s="392"/>
      <c r="K288" s="392"/>
      <c r="L288" s="392"/>
      <c r="M288" s="392"/>
      <c r="N288" s="392"/>
      <c r="O288" s="392"/>
      <c r="P288" s="392"/>
      <c r="Q288" s="392"/>
      <c r="R288" s="392"/>
      <c r="S288" s="392"/>
      <c r="T288" s="392"/>
      <c r="U288" s="392"/>
      <c r="V288" s="392"/>
      <c r="W288" s="392"/>
      <c r="X288" s="392"/>
      <c r="Y288" s="392"/>
      <c r="Z288" s="392"/>
      <c r="AA288" s="392"/>
      <c r="AB288" s="392"/>
      <c r="AC288" s="392"/>
      <c r="AD288" s="392"/>
      <c r="AE288" s="392"/>
      <c r="AF288" s="392"/>
      <c r="AG288" s="392"/>
      <c r="AH288" s="392"/>
      <c r="AI288" s="392"/>
      <c r="AJ288" s="392"/>
      <c r="AK288" s="392"/>
      <c r="AL288" s="392"/>
      <c r="AM288" s="392"/>
      <c r="AN288" s="392"/>
      <c r="AO288" s="392"/>
      <c r="AP288" s="392"/>
      <c r="AQ288" s="392"/>
      <c r="AR288" s="392"/>
      <c r="AS288" s="392"/>
      <c r="AT288" s="392"/>
      <c r="AU288" s="392"/>
      <c r="AV288" s="392"/>
      <c r="AW288" s="392"/>
      <c r="AX288" s="392"/>
      <c r="AY288" s="392"/>
      <c r="AZ288" s="392"/>
      <c r="BA288" s="392"/>
      <c r="BB288" s="392"/>
      <c r="BC288" s="392"/>
      <c r="BD288" s="392"/>
      <c r="BE288" s="392"/>
      <c r="BF288" s="392"/>
      <c r="BG288" s="392"/>
      <c r="BH288" s="392"/>
      <c r="BI288" s="392"/>
      <c r="BJ288" s="392"/>
      <c r="BK288" s="392"/>
      <c r="BL288" s="392"/>
      <c r="BM288" s="392"/>
      <c r="BN288" s="392"/>
      <c r="BO288" s="392"/>
      <c r="BP288" s="392"/>
      <c r="BQ288" s="392"/>
      <c r="BR288" s="392"/>
      <c r="BS288" s="392"/>
      <c r="BT288" s="392"/>
    </row>
    <row r="289" ht="15.75" customHeight="1">
      <c r="A289" s="216"/>
      <c r="B289" s="156"/>
      <c r="C289" s="156"/>
      <c r="D289" s="156"/>
      <c r="E289" s="392"/>
      <c r="F289" s="392"/>
      <c r="G289" s="392"/>
      <c r="H289" s="392"/>
      <c r="I289" s="392"/>
      <c r="J289" s="392"/>
      <c r="K289" s="392"/>
      <c r="L289" s="392"/>
      <c r="M289" s="392"/>
      <c r="N289" s="392"/>
      <c r="O289" s="392"/>
      <c r="P289" s="392"/>
      <c r="Q289" s="392"/>
      <c r="R289" s="392"/>
      <c r="S289" s="392"/>
      <c r="T289" s="392"/>
      <c r="U289" s="392"/>
      <c r="V289" s="392"/>
      <c r="W289" s="392"/>
      <c r="X289" s="392"/>
      <c r="Y289" s="392"/>
      <c r="Z289" s="392"/>
      <c r="AA289" s="392"/>
      <c r="AB289" s="392"/>
      <c r="AC289" s="392"/>
      <c r="AD289" s="392"/>
      <c r="AE289" s="392"/>
      <c r="AF289" s="392"/>
      <c r="AG289" s="392"/>
      <c r="AH289" s="392"/>
      <c r="AI289" s="392"/>
      <c r="AJ289" s="392"/>
      <c r="AK289" s="392"/>
      <c r="AL289" s="392"/>
      <c r="AM289" s="392"/>
      <c r="AN289" s="392"/>
      <c r="AO289" s="392"/>
      <c r="AP289" s="392"/>
      <c r="AQ289" s="392"/>
      <c r="AR289" s="392"/>
      <c r="AS289" s="392"/>
      <c r="AT289" s="392"/>
      <c r="AU289" s="392"/>
      <c r="AV289" s="392"/>
      <c r="AW289" s="392"/>
      <c r="AX289" s="392"/>
      <c r="AY289" s="392"/>
      <c r="AZ289" s="392"/>
      <c r="BA289" s="392"/>
      <c r="BB289" s="392"/>
      <c r="BC289" s="392"/>
      <c r="BD289" s="392"/>
      <c r="BE289" s="392"/>
      <c r="BF289" s="392"/>
      <c r="BG289" s="392"/>
      <c r="BH289" s="392"/>
      <c r="BI289" s="392"/>
      <c r="BJ289" s="392"/>
      <c r="BK289" s="392"/>
      <c r="BL289" s="392"/>
      <c r="BM289" s="392"/>
      <c r="BN289" s="392"/>
      <c r="BO289" s="392"/>
      <c r="BP289" s="392"/>
      <c r="BQ289" s="392"/>
      <c r="BR289" s="392"/>
      <c r="BS289" s="392"/>
      <c r="BT289" s="392"/>
    </row>
    <row r="290" ht="15.75" customHeight="1">
      <c r="A290" s="216"/>
      <c r="B290" s="156"/>
      <c r="C290" s="156"/>
      <c r="D290" s="156"/>
      <c r="E290" s="392"/>
      <c r="F290" s="392"/>
      <c r="G290" s="392"/>
      <c r="H290" s="392"/>
      <c r="I290" s="392"/>
      <c r="J290" s="392"/>
      <c r="K290" s="392"/>
      <c r="L290" s="392"/>
      <c r="M290" s="392"/>
      <c r="N290" s="392"/>
      <c r="O290" s="392"/>
      <c r="P290" s="392"/>
      <c r="Q290" s="392"/>
      <c r="R290" s="392"/>
      <c r="S290" s="392"/>
      <c r="T290" s="392"/>
      <c r="U290" s="392"/>
      <c r="V290" s="392"/>
      <c r="W290" s="392"/>
      <c r="X290" s="392"/>
      <c r="Y290" s="392"/>
      <c r="Z290" s="392"/>
      <c r="AA290" s="392"/>
      <c r="AB290" s="392"/>
      <c r="AC290" s="392"/>
      <c r="AD290" s="392"/>
      <c r="AE290" s="392"/>
      <c r="AF290" s="392"/>
      <c r="AG290" s="392"/>
      <c r="AH290" s="392"/>
      <c r="AI290" s="392"/>
      <c r="AJ290" s="392"/>
      <c r="AK290" s="392"/>
      <c r="AL290" s="392"/>
      <c r="AM290" s="392"/>
      <c r="AN290" s="392"/>
      <c r="AO290" s="392"/>
      <c r="AP290" s="392"/>
      <c r="AQ290" s="392"/>
      <c r="AR290" s="392"/>
      <c r="AS290" s="392"/>
      <c r="AT290" s="392"/>
      <c r="AU290" s="392"/>
      <c r="AV290" s="392"/>
      <c r="AW290" s="392"/>
      <c r="AX290" s="392"/>
      <c r="AY290" s="392"/>
      <c r="AZ290" s="392"/>
      <c r="BA290" s="392"/>
      <c r="BB290" s="392"/>
      <c r="BC290" s="392"/>
      <c r="BD290" s="392"/>
      <c r="BE290" s="392"/>
      <c r="BF290" s="392"/>
      <c r="BG290" s="392"/>
      <c r="BH290" s="392"/>
      <c r="BI290" s="392"/>
      <c r="BJ290" s="392"/>
      <c r="BK290" s="392"/>
      <c r="BL290" s="392"/>
      <c r="BM290" s="392"/>
      <c r="BN290" s="392"/>
      <c r="BO290" s="392"/>
      <c r="BP290" s="392"/>
      <c r="BQ290" s="392"/>
      <c r="BR290" s="392"/>
      <c r="BS290" s="392"/>
      <c r="BT290" s="392"/>
    </row>
    <row r="291" ht="15.75" customHeight="1">
      <c r="A291" s="216"/>
      <c r="B291" s="156"/>
      <c r="C291" s="156"/>
      <c r="D291" s="156"/>
      <c r="E291" s="392"/>
      <c r="F291" s="392"/>
      <c r="G291" s="392"/>
      <c r="H291" s="392"/>
      <c r="I291" s="392"/>
      <c r="J291" s="392"/>
      <c r="K291" s="392"/>
      <c r="L291" s="392"/>
      <c r="M291" s="392"/>
      <c r="N291" s="392"/>
      <c r="O291" s="392"/>
      <c r="P291" s="392"/>
      <c r="Q291" s="392"/>
      <c r="R291" s="392"/>
      <c r="S291" s="392"/>
      <c r="T291" s="392"/>
      <c r="U291" s="392"/>
      <c r="V291" s="392"/>
      <c r="W291" s="392"/>
      <c r="X291" s="392"/>
      <c r="Y291" s="392"/>
      <c r="Z291" s="392"/>
      <c r="AA291" s="392"/>
      <c r="AB291" s="392"/>
      <c r="AC291" s="392"/>
      <c r="AD291" s="392"/>
      <c r="AE291" s="392"/>
      <c r="AF291" s="392"/>
      <c r="AG291" s="392"/>
      <c r="AH291" s="392"/>
      <c r="AI291" s="392"/>
      <c r="AJ291" s="392"/>
      <c r="AK291" s="392"/>
      <c r="AL291" s="392"/>
      <c r="AM291" s="392"/>
      <c r="AN291" s="392"/>
      <c r="AO291" s="392"/>
      <c r="AP291" s="392"/>
      <c r="AQ291" s="392"/>
      <c r="AR291" s="392"/>
      <c r="AS291" s="392"/>
      <c r="AT291" s="392"/>
      <c r="AU291" s="392"/>
      <c r="AV291" s="392"/>
      <c r="AW291" s="392"/>
      <c r="AX291" s="392"/>
      <c r="AY291" s="392"/>
      <c r="AZ291" s="392"/>
      <c r="BA291" s="392"/>
      <c r="BB291" s="392"/>
      <c r="BC291" s="392"/>
      <c r="BD291" s="392"/>
      <c r="BE291" s="392"/>
      <c r="BF291" s="392"/>
      <c r="BG291" s="392"/>
      <c r="BH291" s="392"/>
      <c r="BI291" s="392"/>
      <c r="BJ291" s="392"/>
      <c r="BK291" s="392"/>
      <c r="BL291" s="392"/>
      <c r="BM291" s="392"/>
      <c r="BN291" s="392"/>
      <c r="BO291" s="392"/>
      <c r="BP291" s="392"/>
      <c r="BQ291" s="392"/>
      <c r="BR291" s="392"/>
      <c r="BS291" s="392"/>
      <c r="BT291" s="392"/>
    </row>
    <row r="292" ht="15.75" customHeight="1">
      <c r="A292" s="216"/>
      <c r="B292" s="156"/>
      <c r="C292" s="156"/>
      <c r="D292" s="156"/>
      <c r="E292" s="392"/>
      <c r="F292" s="392"/>
      <c r="G292" s="392"/>
      <c r="H292" s="392"/>
      <c r="I292" s="392"/>
      <c r="J292" s="392"/>
      <c r="K292" s="392"/>
      <c r="L292" s="392"/>
      <c r="M292" s="392"/>
      <c r="N292" s="392"/>
      <c r="O292" s="392"/>
      <c r="P292" s="392"/>
      <c r="Q292" s="392"/>
      <c r="R292" s="392"/>
      <c r="S292" s="392"/>
      <c r="T292" s="392"/>
      <c r="U292" s="392"/>
      <c r="V292" s="392"/>
      <c r="W292" s="392"/>
      <c r="X292" s="392"/>
      <c r="Y292" s="392"/>
      <c r="Z292" s="392"/>
      <c r="AA292" s="392"/>
      <c r="AB292" s="392"/>
      <c r="AC292" s="392"/>
      <c r="AD292" s="392"/>
      <c r="AE292" s="392"/>
      <c r="AF292" s="392"/>
      <c r="AG292" s="392"/>
      <c r="AH292" s="392"/>
      <c r="AI292" s="392"/>
      <c r="AJ292" s="392"/>
      <c r="AK292" s="392"/>
      <c r="AL292" s="392"/>
      <c r="AM292" s="392"/>
      <c r="AN292" s="392"/>
      <c r="AO292" s="392"/>
      <c r="AP292" s="392"/>
      <c r="AQ292" s="392"/>
      <c r="AR292" s="392"/>
      <c r="AS292" s="392"/>
      <c r="AT292" s="392"/>
      <c r="AU292" s="392"/>
      <c r="AV292" s="392"/>
      <c r="AW292" s="392"/>
      <c r="AX292" s="392"/>
      <c r="AY292" s="392"/>
      <c r="AZ292" s="392"/>
      <c r="BA292" s="392"/>
      <c r="BB292" s="392"/>
      <c r="BC292" s="392"/>
      <c r="BD292" s="392"/>
      <c r="BE292" s="392"/>
      <c r="BF292" s="392"/>
      <c r="BG292" s="392"/>
      <c r="BH292" s="392"/>
      <c r="BI292" s="392"/>
      <c r="BJ292" s="392"/>
      <c r="BK292" s="392"/>
      <c r="BL292" s="392"/>
      <c r="BM292" s="392"/>
      <c r="BN292" s="392"/>
      <c r="BO292" s="392"/>
      <c r="BP292" s="392"/>
      <c r="BQ292" s="392"/>
      <c r="BR292" s="392"/>
      <c r="BS292" s="392"/>
      <c r="BT292" s="392"/>
    </row>
    <row r="293" ht="15.75" customHeight="1">
      <c r="A293" s="216"/>
      <c r="B293" s="156"/>
      <c r="C293" s="156"/>
      <c r="D293" s="156"/>
      <c r="E293" s="392"/>
      <c r="F293" s="392"/>
      <c r="G293" s="392"/>
      <c r="H293" s="392"/>
      <c r="I293" s="392"/>
      <c r="J293" s="392"/>
      <c r="K293" s="392"/>
      <c r="L293" s="392"/>
      <c r="M293" s="392"/>
      <c r="N293" s="392"/>
      <c r="O293" s="392"/>
      <c r="P293" s="392"/>
      <c r="Q293" s="392"/>
      <c r="R293" s="392"/>
      <c r="S293" s="392"/>
      <c r="T293" s="392"/>
      <c r="U293" s="392"/>
      <c r="V293" s="392"/>
      <c r="W293" s="392"/>
      <c r="X293" s="392"/>
      <c r="Y293" s="392"/>
      <c r="Z293" s="392"/>
      <c r="AA293" s="392"/>
      <c r="AB293" s="392"/>
      <c r="AC293" s="392"/>
      <c r="AD293" s="392"/>
      <c r="AE293" s="392"/>
      <c r="AF293" s="392"/>
      <c r="AG293" s="392"/>
      <c r="AH293" s="392"/>
      <c r="AI293" s="392"/>
      <c r="AJ293" s="392"/>
      <c r="AK293" s="392"/>
      <c r="AL293" s="392"/>
      <c r="AM293" s="392"/>
      <c r="AN293" s="392"/>
      <c r="AO293" s="392"/>
      <c r="AP293" s="392"/>
      <c r="AQ293" s="392"/>
      <c r="AR293" s="392"/>
      <c r="AS293" s="392"/>
      <c r="AT293" s="392"/>
      <c r="AU293" s="392"/>
      <c r="AV293" s="392"/>
      <c r="AW293" s="392"/>
      <c r="AX293" s="392"/>
      <c r="AY293" s="392"/>
      <c r="AZ293" s="392"/>
      <c r="BA293" s="392"/>
      <c r="BB293" s="392"/>
      <c r="BC293" s="392"/>
      <c r="BD293" s="392"/>
      <c r="BE293" s="392"/>
      <c r="BF293" s="392"/>
      <c r="BG293" s="392"/>
      <c r="BH293" s="392"/>
      <c r="BI293" s="392"/>
      <c r="BJ293" s="392"/>
      <c r="BK293" s="392"/>
      <c r="BL293" s="392"/>
      <c r="BM293" s="392"/>
      <c r="BN293" s="392"/>
      <c r="BO293" s="392"/>
      <c r="BP293" s="392"/>
      <c r="BQ293" s="392"/>
      <c r="BR293" s="392"/>
      <c r="BS293" s="392"/>
      <c r="BT293" s="392"/>
    </row>
    <row r="294" ht="15.75" customHeight="1">
      <c r="A294" s="216"/>
      <c r="B294" s="156"/>
      <c r="C294" s="156"/>
      <c r="D294" s="156"/>
      <c r="E294" s="392"/>
      <c r="F294" s="392"/>
      <c r="G294" s="392"/>
      <c r="H294" s="392"/>
      <c r="I294" s="392"/>
      <c r="J294" s="392"/>
      <c r="K294" s="392"/>
      <c r="L294" s="392"/>
      <c r="M294" s="392"/>
      <c r="N294" s="392"/>
      <c r="O294" s="392"/>
      <c r="P294" s="392"/>
      <c r="Q294" s="392"/>
      <c r="R294" s="392"/>
      <c r="S294" s="392"/>
      <c r="T294" s="392"/>
      <c r="U294" s="392"/>
      <c r="V294" s="392"/>
      <c r="W294" s="392"/>
      <c r="X294" s="392"/>
      <c r="Y294" s="392"/>
      <c r="Z294" s="392"/>
      <c r="AA294" s="392"/>
      <c r="AB294" s="392"/>
      <c r="AC294" s="392"/>
      <c r="AD294" s="392"/>
      <c r="AE294" s="392"/>
      <c r="AF294" s="392"/>
      <c r="AG294" s="392"/>
      <c r="AH294" s="392"/>
      <c r="AI294" s="392"/>
      <c r="AJ294" s="392"/>
      <c r="AK294" s="392"/>
      <c r="AL294" s="392"/>
      <c r="AM294" s="392"/>
      <c r="AN294" s="392"/>
      <c r="AO294" s="392"/>
      <c r="AP294" s="392"/>
      <c r="AQ294" s="392"/>
      <c r="AR294" s="392"/>
      <c r="AS294" s="392"/>
      <c r="AT294" s="392"/>
      <c r="AU294" s="392"/>
      <c r="AV294" s="392"/>
      <c r="AW294" s="392"/>
      <c r="AX294" s="392"/>
      <c r="AY294" s="392"/>
      <c r="AZ294" s="392"/>
      <c r="BA294" s="392"/>
      <c r="BB294" s="392"/>
      <c r="BC294" s="392"/>
      <c r="BD294" s="392"/>
      <c r="BE294" s="392"/>
      <c r="BF294" s="392"/>
      <c r="BG294" s="392"/>
      <c r="BH294" s="392"/>
      <c r="BI294" s="392"/>
      <c r="BJ294" s="392"/>
      <c r="BK294" s="392"/>
      <c r="BL294" s="392"/>
      <c r="BM294" s="392"/>
      <c r="BN294" s="392"/>
      <c r="BO294" s="392"/>
      <c r="BP294" s="392"/>
      <c r="BQ294" s="392"/>
      <c r="BR294" s="392"/>
      <c r="BS294" s="392"/>
      <c r="BT294" s="392"/>
    </row>
    <row r="295" ht="15.75" customHeight="1">
      <c r="A295" s="216"/>
      <c r="B295" s="156"/>
      <c r="C295" s="156"/>
      <c r="D295" s="156"/>
      <c r="E295" s="392"/>
      <c r="F295" s="392"/>
      <c r="G295" s="392"/>
      <c r="H295" s="392"/>
      <c r="I295" s="392"/>
      <c r="J295" s="392"/>
      <c r="K295" s="392"/>
      <c r="L295" s="392"/>
      <c r="M295" s="392"/>
      <c r="N295" s="392"/>
      <c r="O295" s="392"/>
      <c r="P295" s="392"/>
      <c r="Q295" s="392"/>
      <c r="R295" s="392"/>
      <c r="S295" s="392"/>
      <c r="T295" s="392"/>
      <c r="U295" s="392"/>
      <c r="V295" s="392"/>
      <c r="W295" s="392"/>
      <c r="X295" s="392"/>
      <c r="Y295" s="392"/>
      <c r="Z295" s="392"/>
      <c r="AA295" s="392"/>
      <c r="AB295" s="392"/>
      <c r="AC295" s="392"/>
      <c r="AD295" s="392"/>
      <c r="AE295" s="392"/>
      <c r="AF295" s="392"/>
      <c r="AG295" s="392"/>
      <c r="AH295" s="392"/>
      <c r="AI295" s="392"/>
      <c r="AJ295" s="392"/>
      <c r="AK295" s="392"/>
      <c r="AL295" s="392"/>
      <c r="AM295" s="392"/>
      <c r="AN295" s="392"/>
      <c r="AO295" s="392"/>
      <c r="AP295" s="392"/>
      <c r="AQ295" s="392"/>
      <c r="AR295" s="392"/>
      <c r="AS295" s="392"/>
      <c r="AT295" s="392"/>
      <c r="AU295" s="392"/>
      <c r="AV295" s="392"/>
      <c r="AW295" s="392"/>
      <c r="AX295" s="392"/>
      <c r="AY295" s="392"/>
      <c r="AZ295" s="392"/>
      <c r="BA295" s="392"/>
      <c r="BB295" s="392"/>
      <c r="BC295" s="392"/>
      <c r="BD295" s="392"/>
      <c r="BE295" s="392"/>
      <c r="BF295" s="392"/>
      <c r="BG295" s="392"/>
      <c r="BH295" s="392"/>
      <c r="BI295" s="392"/>
      <c r="BJ295" s="392"/>
      <c r="BK295" s="392"/>
      <c r="BL295" s="392"/>
      <c r="BM295" s="392"/>
      <c r="BN295" s="392"/>
      <c r="BO295" s="392"/>
      <c r="BP295" s="392"/>
      <c r="BQ295" s="392"/>
      <c r="BR295" s="392"/>
      <c r="BS295" s="392"/>
      <c r="BT295" s="392"/>
    </row>
    <row r="296" ht="15.75" customHeight="1">
      <c r="A296" s="216"/>
      <c r="B296" s="156"/>
      <c r="C296" s="156"/>
      <c r="D296" s="156"/>
      <c r="E296" s="392"/>
      <c r="F296" s="392"/>
      <c r="G296" s="392"/>
      <c r="H296" s="392"/>
      <c r="I296" s="392"/>
      <c r="J296" s="392"/>
      <c r="K296" s="392"/>
      <c r="L296" s="392"/>
      <c r="M296" s="392"/>
      <c r="N296" s="392"/>
      <c r="O296" s="392"/>
      <c r="P296" s="392"/>
      <c r="Q296" s="392"/>
      <c r="R296" s="392"/>
      <c r="S296" s="392"/>
      <c r="T296" s="392"/>
      <c r="U296" s="392"/>
      <c r="V296" s="392"/>
      <c r="W296" s="392"/>
      <c r="X296" s="392"/>
      <c r="Y296" s="392"/>
      <c r="Z296" s="392"/>
      <c r="AA296" s="392"/>
      <c r="AB296" s="392"/>
      <c r="AC296" s="392"/>
      <c r="AD296" s="392"/>
      <c r="AE296" s="392"/>
      <c r="AF296" s="392"/>
      <c r="AG296" s="392"/>
      <c r="AH296" s="392"/>
      <c r="AI296" s="392"/>
      <c r="AJ296" s="392"/>
      <c r="AK296" s="392"/>
      <c r="AL296" s="392"/>
      <c r="AM296" s="392"/>
      <c r="AN296" s="392"/>
      <c r="AO296" s="392"/>
      <c r="AP296" s="392"/>
      <c r="AQ296" s="392"/>
      <c r="AR296" s="392"/>
      <c r="AS296" s="392"/>
      <c r="AT296" s="392"/>
      <c r="AU296" s="392"/>
      <c r="AV296" s="392"/>
      <c r="AW296" s="392"/>
      <c r="AX296" s="392"/>
      <c r="AY296" s="392"/>
      <c r="AZ296" s="392"/>
      <c r="BA296" s="392"/>
      <c r="BB296" s="392"/>
      <c r="BC296" s="392"/>
      <c r="BD296" s="392"/>
      <c r="BE296" s="392"/>
      <c r="BF296" s="392"/>
      <c r="BG296" s="392"/>
      <c r="BH296" s="392"/>
      <c r="BI296" s="392"/>
      <c r="BJ296" s="392"/>
      <c r="BK296" s="392"/>
      <c r="BL296" s="392"/>
      <c r="BM296" s="392"/>
      <c r="BN296" s="392"/>
      <c r="BO296" s="392"/>
      <c r="BP296" s="392"/>
      <c r="BQ296" s="392"/>
      <c r="BR296" s="392"/>
      <c r="BS296" s="392"/>
      <c r="BT296" s="392"/>
    </row>
    <row r="297" ht="15.75" customHeight="1">
      <c r="A297" s="216"/>
      <c r="B297" s="156"/>
      <c r="C297" s="156"/>
      <c r="D297" s="156"/>
      <c r="E297" s="392"/>
      <c r="F297" s="392"/>
      <c r="G297" s="392"/>
      <c r="H297" s="392"/>
      <c r="I297" s="392"/>
      <c r="J297" s="392"/>
      <c r="K297" s="392"/>
      <c r="L297" s="392"/>
      <c r="M297" s="392"/>
      <c r="N297" s="392"/>
      <c r="O297" s="392"/>
      <c r="P297" s="392"/>
      <c r="Q297" s="392"/>
      <c r="R297" s="392"/>
      <c r="S297" s="392"/>
      <c r="T297" s="392"/>
      <c r="U297" s="392"/>
      <c r="V297" s="392"/>
      <c r="W297" s="392"/>
      <c r="X297" s="392"/>
      <c r="Y297" s="392"/>
      <c r="Z297" s="392"/>
      <c r="AA297" s="392"/>
      <c r="AB297" s="392"/>
      <c r="AC297" s="392"/>
      <c r="AD297" s="392"/>
      <c r="AE297" s="392"/>
      <c r="AF297" s="392"/>
      <c r="AG297" s="392"/>
      <c r="AH297" s="392"/>
      <c r="AI297" s="392"/>
      <c r="AJ297" s="392"/>
      <c r="AK297" s="392"/>
      <c r="AL297" s="392"/>
      <c r="AM297" s="392"/>
      <c r="AN297" s="392"/>
      <c r="AO297" s="392"/>
      <c r="AP297" s="392"/>
      <c r="AQ297" s="392"/>
      <c r="AR297" s="392"/>
      <c r="AS297" s="392"/>
      <c r="AT297" s="392"/>
      <c r="AU297" s="392"/>
      <c r="AV297" s="392"/>
      <c r="AW297" s="392"/>
      <c r="AX297" s="392"/>
      <c r="AY297" s="392"/>
      <c r="AZ297" s="392"/>
      <c r="BA297" s="392"/>
      <c r="BB297" s="392"/>
      <c r="BC297" s="392"/>
      <c r="BD297" s="392"/>
      <c r="BE297" s="392"/>
      <c r="BF297" s="392"/>
      <c r="BG297" s="392"/>
      <c r="BH297" s="392"/>
      <c r="BI297" s="392"/>
      <c r="BJ297" s="392"/>
      <c r="BK297" s="392"/>
      <c r="BL297" s="392"/>
      <c r="BM297" s="392"/>
      <c r="BN297" s="392"/>
      <c r="BO297" s="392"/>
      <c r="BP297" s="392"/>
      <c r="BQ297" s="392"/>
      <c r="BR297" s="392"/>
      <c r="BS297" s="392"/>
      <c r="BT297" s="392"/>
    </row>
    <row r="298" ht="15.75" customHeight="1">
      <c r="A298" s="216"/>
      <c r="B298" s="156"/>
      <c r="C298" s="156"/>
      <c r="D298" s="156"/>
      <c r="E298" s="392"/>
      <c r="F298" s="392"/>
      <c r="G298" s="392"/>
      <c r="H298" s="392"/>
      <c r="I298" s="392"/>
      <c r="J298" s="392"/>
      <c r="K298" s="392"/>
      <c r="L298" s="392"/>
      <c r="M298" s="392"/>
      <c r="N298" s="392"/>
      <c r="O298" s="392"/>
      <c r="P298" s="392"/>
      <c r="Q298" s="392"/>
      <c r="R298" s="392"/>
      <c r="S298" s="392"/>
      <c r="T298" s="392"/>
      <c r="U298" s="392"/>
      <c r="V298" s="392"/>
      <c r="W298" s="392"/>
      <c r="X298" s="392"/>
      <c r="Y298" s="392"/>
      <c r="Z298" s="392"/>
      <c r="AA298" s="392"/>
      <c r="AB298" s="392"/>
      <c r="AC298" s="392"/>
      <c r="AD298" s="392"/>
      <c r="AE298" s="392"/>
      <c r="AF298" s="392"/>
      <c r="AG298" s="392"/>
      <c r="AH298" s="392"/>
      <c r="AI298" s="392"/>
      <c r="AJ298" s="392"/>
      <c r="AK298" s="392"/>
      <c r="AL298" s="392"/>
      <c r="AM298" s="392"/>
      <c r="AN298" s="392"/>
      <c r="AO298" s="392"/>
      <c r="AP298" s="392"/>
      <c r="AQ298" s="392"/>
      <c r="AR298" s="392"/>
      <c r="AS298" s="392"/>
      <c r="AT298" s="392"/>
      <c r="AU298" s="392"/>
      <c r="AV298" s="392"/>
      <c r="AW298" s="392"/>
      <c r="AX298" s="392"/>
      <c r="AY298" s="392"/>
      <c r="AZ298" s="392"/>
      <c r="BA298" s="392"/>
      <c r="BB298" s="392"/>
      <c r="BC298" s="392"/>
      <c r="BD298" s="392"/>
      <c r="BE298" s="392"/>
      <c r="BF298" s="392"/>
      <c r="BG298" s="392"/>
      <c r="BH298" s="392"/>
      <c r="BI298" s="392"/>
      <c r="BJ298" s="392"/>
      <c r="BK298" s="392"/>
      <c r="BL298" s="392"/>
      <c r="BM298" s="392"/>
      <c r="BN298" s="392"/>
      <c r="BO298" s="392"/>
      <c r="BP298" s="392"/>
      <c r="BQ298" s="392"/>
      <c r="BR298" s="392"/>
      <c r="BS298" s="392"/>
      <c r="BT298" s="392"/>
    </row>
    <row r="299" ht="15.75" customHeight="1">
      <c r="A299" s="216"/>
      <c r="B299" s="156"/>
      <c r="C299" s="156"/>
      <c r="D299" s="156"/>
      <c r="E299" s="392"/>
      <c r="F299" s="392"/>
      <c r="G299" s="392"/>
      <c r="H299" s="392"/>
      <c r="I299" s="392"/>
      <c r="J299" s="392"/>
      <c r="K299" s="392"/>
      <c r="L299" s="392"/>
      <c r="M299" s="392"/>
      <c r="N299" s="392"/>
      <c r="O299" s="392"/>
      <c r="P299" s="392"/>
      <c r="Q299" s="392"/>
      <c r="R299" s="392"/>
      <c r="S299" s="392"/>
      <c r="T299" s="392"/>
      <c r="U299" s="392"/>
      <c r="V299" s="392"/>
      <c r="W299" s="392"/>
      <c r="X299" s="392"/>
      <c r="Y299" s="392"/>
      <c r="Z299" s="392"/>
      <c r="AA299" s="392"/>
      <c r="AB299" s="392"/>
      <c r="AC299" s="392"/>
      <c r="AD299" s="392"/>
      <c r="AE299" s="392"/>
      <c r="AF299" s="392"/>
      <c r="AG299" s="392"/>
      <c r="AH299" s="392"/>
      <c r="AI299" s="392"/>
      <c r="AJ299" s="392"/>
      <c r="AK299" s="392"/>
      <c r="AL299" s="392"/>
      <c r="AM299" s="392"/>
      <c r="AN299" s="392"/>
      <c r="AO299" s="392"/>
      <c r="AP299" s="392"/>
      <c r="AQ299" s="392"/>
      <c r="AR299" s="392"/>
      <c r="AS299" s="392"/>
      <c r="AT299" s="392"/>
      <c r="AU299" s="392"/>
      <c r="AV299" s="392"/>
      <c r="AW299" s="392"/>
      <c r="AX299" s="392"/>
      <c r="AY299" s="392"/>
      <c r="AZ299" s="392"/>
      <c r="BA299" s="392"/>
      <c r="BB299" s="392"/>
      <c r="BC299" s="392"/>
      <c r="BD299" s="392"/>
      <c r="BE299" s="392"/>
      <c r="BF299" s="392"/>
      <c r="BG299" s="392"/>
      <c r="BH299" s="392"/>
      <c r="BI299" s="392"/>
      <c r="BJ299" s="392"/>
      <c r="BK299" s="392"/>
      <c r="BL299" s="392"/>
      <c r="BM299" s="392"/>
      <c r="BN299" s="392"/>
      <c r="BO299" s="392"/>
      <c r="BP299" s="392"/>
      <c r="BQ299" s="392"/>
      <c r="BR299" s="392"/>
      <c r="BS299" s="392"/>
      <c r="BT299" s="392"/>
    </row>
    <row r="300" ht="15.75" customHeight="1">
      <c r="A300" s="216"/>
      <c r="B300" s="156"/>
      <c r="C300" s="156"/>
      <c r="D300" s="156"/>
      <c r="E300" s="392"/>
      <c r="F300" s="392"/>
      <c r="G300" s="392"/>
      <c r="H300" s="392"/>
      <c r="I300" s="392"/>
      <c r="J300" s="392"/>
      <c r="K300" s="392"/>
      <c r="L300" s="392"/>
      <c r="M300" s="392"/>
      <c r="N300" s="392"/>
      <c r="O300" s="392"/>
      <c r="P300" s="392"/>
      <c r="Q300" s="392"/>
      <c r="R300" s="392"/>
      <c r="S300" s="392"/>
      <c r="T300" s="392"/>
      <c r="U300" s="392"/>
      <c r="V300" s="392"/>
      <c r="W300" s="392"/>
      <c r="X300" s="392"/>
      <c r="Y300" s="392"/>
      <c r="Z300" s="392"/>
      <c r="AA300" s="392"/>
      <c r="AB300" s="392"/>
      <c r="AC300" s="392"/>
      <c r="AD300" s="392"/>
      <c r="AE300" s="392"/>
      <c r="AF300" s="392"/>
      <c r="AG300" s="392"/>
      <c r="AH300" s="392"/>
      <c r="AI300" s="392"/>
      <c r="AJ300" s="392"/>
      <c r="AK300" s="392"/>
      <c r="AL300" s="392"/>
      <c r="AM300" s="392"/>
      <c r="AN300" s="392"/>
      <c r="AO300" s="392"/>
      <c r="AP300" s="392"/>
      <c r="AQ300" s="392"/>
      <c r="AR300" s="392"/>
      <c r="AS300" s="392"/>
      <c r="AT300" s="392"/>
      <c r="AU300" s="392"/>
      <c r="AV300" s="392"/>
      <c r="AW300" s="392"/>
      <c r="AX300" s="392"/>
      <c r="AY300" s="392"/>
      <c r="AZ300" s="392"/>
      <c r="BA300" s="392"/>
      <c r="BB300" s="392"/>
      <c r="BC300" s="392"/>
      <c r="BD300" s="392"/>
      <c r="BE300" s="392"/>
      <c r="BF300" s="392"/>
      <c r="BG300" s="392"/>
      <c r="BH300" s="392"/>
      <c r="BI300" s="392"/>
      <c r="BJ300" s="392"/>
      <c r="BK300" s="392"/>
      <c r="BL300" s="392"/>
      <c r="BM300" s="392"/>
      <c r="BN300" s="392"/>
      <c r="BO300" s="392"/>
      <c r="BP300" s="392"/>
      <c r="BQ300" s="392"/>
      <c r="BR300" s="392"/>
      <c r="BS300" s="392"/>
      <c r="BT300" s="392"/>
    </row>
    <row r="301" ht="15.75" customHeight="1">
      <c r="A301" s="216"/>
      <c r="B301" s="156"/>
      <c r="C301" s="156"/>
      <c r="D301" s="156"/>
      <c r="E301" s="392"/>
      <c r="F301" s="392"/>
      <c r="G301" s="392"/>
      <c r="H301" s="392"/>
      <c r="I301" s="392"/>
      <c r="J301" s="392"/>
      <c r="K301" s="392"/>
      <c r="L301" s="392"/>
      <c r="M301" s="392"/>
      <c r="N301" s="392"/>
      <c r="O301" s="392"/>
      <c r="P301" s="392"/>
      <c r="Q301" s="392"/>
      <c r="R301" s="392"/>
      <c r="S301" s="392"/>
      <c r="T301" s="392"/>
      <c r="U301" s="392"/>
      <c r="V301" s="392"/>
      <c r="W301" s="392"/>
      <c r="X301" s="392"/>
      <c r="Y301" s="392"/>
      <c r="Z301" s="392"/>
      <c r="AA301" s="392"/>
      <c r="AB301" s="392"/>
      <c r="AC301" s="392"/>
      <c r="AD301" s="392"/>
      <c r="AE301" s="392"/>
      <c r="AF301" s="392"/>
      <c r="AG301" s="392"/>
      <c r="AH301" s="392"/>
      <c r="AI301" s="392"/>
      <c r="AJ301" s="392"/>
      <c r="AK301" s="392"/>
      <c r="AL301" s="392"/>
      <c r="AM301" s="392"/>
      <c r="AN301" s="392"/>
      <c r="AO301" s="392"/>
      <c r="AP301" s="392"/>
      <c r="AQ301" s="392"/>
      <c r="AR301" s="392"/>
      <c r="AS301" s="392"/>
      <c r="AT301" s="392"/>
      <c r="AU301" s="392"/>
      <c r="AV301" s="392"/>
      <c r="AW301" s="392"/>
      <c r="AX301" s="392"/>
      <c r="AY301" s="392"/>
      <c r="AZ301" s="392"/>
      <c r="BA301" s="392"/>
      <c r="BB301" s="392"/>
      <c r="BC301" s="392"/>
      <c r="BD301" s="392"/>
      <c r="BE301" s="392"/>
      <c r="BF301" s="392"/>
      <c r="BG301" s="392"/>
      <c r="BH301" s="392"/>
      <c r="BI301" s="392"/>
      <c r="BJ301" s="392"/>
      <c r="BK301" s="392"/>
      <c r="BL301" s="392"/>
      <c r="BM301" s="392"/>
      <c r="BN301" s="392"/>
      <c r="BO301" s="392"/>
      <c r="BP301" s="392"/>
      <c r="BQ301" s="392"/>
      <c r="BR301" s="392"/>
      <c r="BS301" s="392"/>
      <c r="BT301" s="392"/>
    </row>
    <row r="302" ht="15.75" customHeight="1">
      <c r="A302" s="216"/>
      <c r="B302" s="156"/>
      <c r="C302" s="156"/>
      <c r="D302" s="156"/>
      <c r="E302" s="392"/>
      <c r="F302" s="392"/>
      <c r="G302" s="392"/>
      <c r="H302" s="392"/>
      <c r="I302" s="392"/>
      <c r="J302" s="392"/>
      <c r="K302" s="392"/>
      <c r="L302" s="392"/>
      <c r="M302" s="392"/>
      <c r="N302" s="392"/>
      <c r="O302" s="392"/>
      <c r="P302" s="392"/>
      <c r="Q302" s="392"/>
      <c r="R302" s="392"/>
      <c r="S302" s="392"/>
      <c r="T302" s="392"/>
      <c r="U302" s="392"/>
      <c r="V302" s="392"/>
      <c r="W302" s="392"/>
      <c r="X302" s="392"/>
      <c r="Y302" s="392"/>
      <c r="Z302" s="392"/>
      <c r="AA302" s="392"/>
      <c r="AB302" s="392"/>
      <c r="AC302" s="392"/>
      <c r="AD302" s="392"/>
      <c r="AE302" s="392"/>
      <c r="AF302" s="392"/>
      <c r="AG302" s="392"/>
      <c r="AH302" s="392"/>
      <c r="AI302" s="392"/>
      <c r="AJ302" s="392"/>
      <c r="AK302" s="392"/>
      <c r="AL302" s="392"/>
      <c r="AM302" s="392"/>
      <c r="AN302" s="392"/>
      <c r="AO302" s="392"/>
      <c r="AP302" s="392"/>
      <c r="AQ302" s="392"/>
      <c r="AR302" s="392"/>
      <c r="AS302" s="392"/>
      <c r="AT302" s="392"/>
      <c r="AU302" s="392"/>
      <c r="AV302" s="392"/>
      <c r="AW302" s="392"/>
      <c r="AX302" s="392"/>
      <c r="AY302" s="392"/>
      <c r="AZ302" s="392"/>
      <c r="BA302" s="392"/>
      <c r="BB302" s="392"/>
      <c r="BC302" s="392"/>
      <c r="BD302" s="392"/>
      <c r="BE302" s="392"/>
      <c r="BF302" s="392"/>
      <c r="BG302" s="392"/>
      <c r="BH302" s="392"/>
      <c r="BI302" s="392"/>
      <c r="BJ302" s="392"/>
      <c r="BK302" s="392"/>
      <c r="BL302" s="392"/>
      <c r="BM302" s="392"/>
      <c r="BN302" s="392"/>
      <c r="BO302" s="392"/>
      <c r="BP302" s="392"/>
      <c r="BQ302" s="392"/>
      <c r="BR302" s="392"/>
      <c r="BS302" s="392"/>
      <c r="BT302" s="392"/>
    </row>
    <row r="303" ht="15.75" customHeight="1">
      <c r="A303" s="216"/>
      <c r="B303" s="156"/>
      <c r="C303" s="156"/>
      <c r="D303" s="156"/>
      <c r="E303" s="392"/>
      <c r="F303" s="392"/>
      <c r="G303" s="392"/>
      <c r="H303" s="392"/>
      <c r="I303" s="392"/>
      <c r="J303" s="392"/>
      <c r="K303" s="392"/>
      <c r="L303" s="392"/>
      <c r="M303" s="392"/>
      <c r="N303" s="392"/>
      <c r="O303" s="392"/>
      <c r="P303" s="392"/>
      <c r="Q303" s="392"/>
      <c r="R303" s="392"/>
      <c r="S303" s="392"/>
      <c r="T303" s="392"/>
      <c r="U303" s="392"/>
      <c r="V303" s="392"/>
      <c r="W303" s="392"/>
      <c r="X303" s="392"/>
      <c r="Y303" s="392"/>
      <c r="Z303" s="392"/>
      <c r="AA303" s="392"/>
      <c r="AB303" s="392"/>
      <c r="AC303" s="392"/>
      <c r="AD303" s="392"/>
      <c r="AE303" s="392"/>
      <c r="AF303" s="392"/>
      <c r="AG303" s="392"/>
      <c r="AH303" s="392"/>
      <c r="AI303" s="392"/>
      <c r="AJ303" s="392"/>
      <c r="AK303" s="392"/>
      <c r="AL303" s="392"/>
      <c r="AM303" s="392"/>
      <c r="AN303" s="392"/>
      <c r="AO303" s="392"/>
      <c r="AP303" s="392"/>
      <c r="AQ303" s="392"/>
      <c r="AR303" s="392"/>
      <c r="AS303" s="392"/>
      <c r="AT303" s="392"/>
      <c r="AU303" s="392"/>
      <c r="AV303" s="392"/>
      <c r="AW303" s="392"/>
      <c r="AX303" s="392"/>
      <c r="AY303" s="392"/>
      <c r="AZ303" s="392"/>
      <c r="BA303" s="392"/>
      <c r="BB303" s="392"/>
      <c r="BC303" s="392"/>
      <c r="BD303" s="392"/>
      <c r="BE303" s="392"/>
      <c r="BF303" s="392"/>
      <c r="BG303" s="392"/>
      <c r="BH303" s="392"/>
      <c r="BI303" s="392"/>
      <c r="BJ303" s="392"/>
      <c r="BK303" s="392"/>
      <c r="BL303" s="392"/>
      <c r="BM303" s="392"/>
      <c r="BN303" s="392"/>
      <c r="BO303" s="392"/>
      <c r="BP303" s="392"/>
      <c r="BQ303" s="392"/>
      <c r="BR303" s="392"/>
      <c r="BS303" s="392"/>
      <c r="BT303" s="392"/>
    </row>
    <row r="304" ht="15.75" customHeight="1">
      <c r="A304" s="216"/>
      <c r="B304" s="156"/>
      <c r="C304" s="156"/>
      <c r="D304" s="156"/>
      <c r="E304" s="392"/>
      <c r="F304" s="392"/>
      <c r="G304" s="392"/>
      <c r="H304" s="392"/>
      <c r="I304" s="392"/>
      <c r="J304" s="392"/>
      <c r="K304" s="392"/>
      <c r="L304" s="392"/>
      <c r="M304" s="392"/>
      <c r="N304" s="392"/>
      <c r="O304" s="392"/>
      <c r="P304" s="392"/>
      <c r="Q304" s="392"/>
      <c r="R304" s="392"/>
      <c r="S304" s="392"/>
      <c r="T304" s="392"/>
      <c r="U304" s="392"/>
      <c r="V304" s="392"/>
      <c r="W304" s="392"/>
      <c r="X304" s="392"/>
      <c r="Y304" s="392"/>
      <c r="Z304" s="392"/>
      <c r="AA304" s="392"/>
      <c r="AB304" s="392"/>
      <c r="AC304" s="392"/>
      <c r="AD304" s="392"/>
      <c r="AE304" s="392"/>
      <c r="AF304" s="392"/>
      <c r="AG304" s="392"/>
      <c r="AH304" s="392"/>
      <c r="AI304" s="392"/>
      <c r="AJ304" s="392"/>
      <c r="AK304" s="392"/>
      <c r="AL304" s="392"/>
      <c r="AM304" s="392"/>
      <c r="AN304" s="392"/>
      <c r="AO304" s="392"/>
      <c r="AP304" s="392"/>
      <c r="AQ304" s="392"/>
      <c r="AR304" s="392"/>
      <c r="AS304" s="392"/>
      <c r="AT304" s="392"/>
      <c r="AU304" s="392"/>
      <c r="AV304" s="392"/>
      <c r="AW304" s="392"/>
      <c r="AX304" s="392"/>
      <c r="AY304" s="392"/>
      <c r="AZ304" s="392"/>
      <c r="BA304" s="392"/>
      <c r="BB304" s="392"/>
      <c r="BC304" s="392"/>
      <c r="BD304" s="392"/>
      <c r="BE304" s="392"/>
      <c r="BF304" s="392"/>
      <c r="BG304" s="392"/>
      <c r="BH304" s="392"/>
      <c r="BI304" s="392"/>
      <c r="BJ304" s="392"/>
      <c r="BK304" s="392"/>
      <c r="BL304" s="392"/>
      <c r="BM304" s="392"/>
      <c r="BN304" s="392"/>
      <c r="BO304" s="392"/>
      <c r="BP304" s="392"/>
      <c r="BQ304" s="392"/>
      <c r="BR304" s="392"/>
      <c r="BS304" s="392"/>
      <c r="BT304" s="392"/>
    </row>
    <row r="305" ht="15.75" customHeight="1">
      <c r="A305" s="216"/>
      <c r="B305" s="156"/>
      <c r="C305" s="156"/>
      <c r="D305" s="156"/>
      <c r="E305" s="392"/>
      <c r="F305" s="392"/>
      <c r="G305" s="392"/>
      <c r="H305" s="392"/>
      <c r="I305" s="392"/>
      <c r="J305" s="392"/>
      <c r="K305" s="392"/>
      <c r="L305" s="392"/>
      <c r="M305" s="392"/>
      <c r="N305" s="392"/>
      <c r="O305" s="392"/>
      <c r="P305" s="392"/>
      <c r="Q305" s="392"/>
      <c r="R305" s="392"/>
      <c r="S305" s="392"/>
      <c r="T305" s="392"/>
      <c r="U305" s="392"/>
      <c r="V305" s="392"/>
      <c r="W305" s="392"/>
      <c r="X305" s="392"/>
      <c r="Y305" s="392"/>
      <c r="Z305" s="392"/>
      <c r="AA305" s="392"/>
      <c r="AB305" s="392"/>
      <c r="AC305" s="392"/>
      <c r="AD305" s="392"/>
      <c r="AE305" s="392"/>
      <c r="AF305" s="392"/>
      <c r="AG305" s="392"/>
      <c r="AH305" s="392"/>
      <c r="AI305" s="392"/>
      <c r="AJ305" s="392"/>
      <c r="AK305" s="392"/>
      <c r="AL305" s="392"/>
      <c r="AM305" s="392"/>
      <c r="AN305" s="392"/>
      <c r="AO305" s="392"/>
      <c r="AP305" s="392"/>
      <c r="AQ305" s="392"/>
      <c r="AR305" s="392"/>
      <c r="AS305" s="392"/>
      <c r="AT305" s="392"/>
      <c r="AU305" s="392"/>
      <c r="AV305" s="392"/>
      <c r="AW305" s="392"/>
      <c r="AX305" s="392"/>
      <c r="AY305" s="392"/>
      <c r="AZ305" s="392"/>
      <c r="BA305" s="392"/>
      <c r="BB305" s="392"/>
      <c r="BC305" s="392"/>
      <c r="BD305" s="392"/>
      <c r="BE305" s="392"/>
      <c r="BF305" s="392"/>
      <c r="BG305" s="392"/>
      <c r="BH305" s="392"/>
      <c r="BI305" s="392"/>
      <c r="BJ305" s="392"/>
      <c r="BK305" s="392"/>
      <c r="BL305" s="392"/>
      <c r="BM305" s="392"/>
      <c r="BN305" s="392"/>
      <c r="BO305" s="392"/>
      <c r="BP305" s="392"/>
      <c r="BQ305" s="392"/>
      <c r="BR305" s="392"/>
      <c r="BS305" s="392"/>
      <c r="BT305" s="392"/>
    </row>
    <row r="306" ht="15.75" customHeight="1">
      <c r="A306" s="216"/>
      <c r="B306" s="156"/>
      <c r="C306" s="156"/>
      <c r="D306" s="156"/>
      <c r="E306" s="392"/>
      <c r="F306" s="392"/>
      <c r="G306" s="392"/>
      <c r="H306" s="392"/>
      <c r="I306" s="392"/>
      <c r="J306" s="392"/>
      <c r="K306" s="392"/>
      <c r="L306" s="392"/>
      <c r="M306" s="392"/>
      <c r="N306" s="392"/>
      <c r="O306" s="392"/>
      <c r="P306" s="392"/>
      <c r="Q306" s="392"/>
      <c r="R306" s="392"/>
      <c r="S306" s="392"/>
      <c r="T306" s="392"/>
      <c r="U306" s="392"/>
      <c r="V306" s="392"/>
      <c r="W306" s="392"/>
      <c r="X306" s="392"/>
      <c r="Y306" s="392"/>
      <c r="Z306" s="392"/>
      <c r="AA306" s="392"/>
      <c r="AB306" s="392"/>
      <c r="AC306" s="392"/>
      <c r="AD306" s="392"/>
      <c r="AE306" s="392"/>
      <c r="AF306" s="392"/>
      <c r="AG306" s="392"/>
      <c r="AH306" s="392"/>
      <c r="AI306" s="392"/>
      <c r="AJ306" s="392"/>
      <c r="AK306" s="392"/>
      <c r="AL306" s="392"/>
      <c r="AM306" s="392"/>
      <c r="AN306" s="392"/>
      <c r="AO306" s="392"/>
      <c r="AP306" s="392"/>
      <c r="AQ306" s="392"/>
      <c r="AR306" s="392"/>
      <c r="AS306" s="392"/>
      <c r="AT306" s="392"/>
      <c r="AU306" s="392"/>
      <c r="AV306" s="392"/>
      <c r="AW306" s="392"/>
      <c r="AX306" s="392"/>
      <c r="AY306" s="392"/>
      <c r="AZ306" s="392"/>
      <c r="BA306" s="392"/>
      <c r="BB306" s="392"/>
      <c r="BC306" s="392"/>
      <c r="BD306" s="392"/>
      <c r="BE306" s="392"/>
      <c r="BF306" s="392"/>
      <c r="BG306" s="392"/>
      <c r="BH306" s="392"/>
      <c r="BI306" s="392"/>
      <c r="BJ306" s="392"/>
      <c r="BK306" s="392"/>
      <c r="BL306" s="392"/>
      <c r="BM306" s="392"/>
      <c r="BN306" s="392"/>
      <c r="BO306" s="392"/>
      <c r="BP306" s="392"/>
      <c r="BQ306" s="392"/>
      <c r="BR306" s="392"/>
      <c r="BS306" s="392"/>
      <c r="BT306" s="392"/>
    </row>
    <row r="307" ht="15.75" customHeight="1">
      <c r="A307" s="216"/>
      <c r="B307" s="156"/>
      <c r="C307" s="156"/>
      <c r="D307" s="156"/>
      <c r="E307" s="392"/>
      <c r="F307" s="392"/>
      <c r="G307" s="392"/>
      <c r="H307" s="392"/>
      <c r="I307" s="392"/>
      <c r="J307" s="392"/>
      <c r="K307" s="392"/>
      <c r="L307" s="392"/>
      <c r="M307" s="392"/>
      <c r="N307" s="392"/>
      <c r="O307" s="392"/>
      <c r="P307" s="392"/>
      <c r="Q307" s="392"/>
      <c r="R307" s="392"/>
      <c r="S307" s="392"/>
      <c r="T307" s="392"/>
      <c r="U307" s="392"/>
      <c r="V307" s="392"/>
      <c r="W307" s="392"/>
      <c r="X307" s="392"/>
      <c r="Y307" s="392"/>
      <c r="Z307" s="392"/>
      <c r="AA307" s="392"/>
      <c r="AB307" s="392"/>
      <c r="AC307" s="392"/>
      <c r="AD307" s="392"/>
      <c r="AE307" s="392"/>
      <c r="AF307" s="392"/>
      <c r="AG307" s="392"/>
      <c r="AH307" s="392"/>
      <c r="AI307" s="392"/>
      <c r="AJ307" s="392"/>
      <c r="AK307" s="392"/>
      <c r="AL307" s="392"/>
      <c r="AM307" s="392"/>
      <c r="AN307" s="392"/>
      <c r="AO307" s="392"/>
      <c r="AP307" s="392"/>
      <c r="AQ307" s="392"/>
      <c r="AR307" s="392"/>
      <c r="AS307" s="392"/>
      <c r="AT307" s="392"/>
      <c r="AU307" s="392"/>
      <c r="AV307" s="392"/>
      <c r="AW307" s="392"/>
      <c r="AX307" s="392"/>
      <c r="AY307" s="392"/>
      <c r="AZ307" s="392"/>
      <c r="BA307" s="392"/>
      <c r="BB307" s="392"/>
      <c r="BC307" s="392"/>
      <c r="BD307" s="392"/>
      <c r="BE307" s="392"/>
      <c r="BF307" s="392"/>
      <c r="BG307" s="392"/>
      <c r="BH307" s="392"/>
      <c r="BI307" s="392"/>
      <c r="BJ307" s="392"/>
      <c r="BK307" s="392"/>
      <c r="BL307" s="392"/>
      <c r="BM307" s="392"/>
      <c r="BN307" s="392"/>
      <c r="BO307" s="392"/>
      <c r="BP307" s="392"/>
      <c r="BQ307" s="392"/>
      <c r="BR307" s="392"/>
      <c r="BS307" s="392"/>
      <c r="BT307" s="392"/>
    </row>
    <row r="308" ht="15.75" customHeight="1">
      <c r="A308" s="216"/>
      <c r="B308" s="156"/>
      <c r="C308" s="156"/>
      <c r="D308" s="156"/>
      <c r="E308" s="392"/>
      <c r="F308" s="392"/>
      <c r="G308" s="392"/>
      <c r="H308" s="392"/>
      <c r="I308" s="392"/>
      <c r="J308" s="392"/>
      <c r="K308" s="392"/>
      <c r="L308" s="392"/>
      <c r="M308" s="392"/>
      <c r="N308" s="392"/>
      <c r="O308" s="392"/>
      <c r="P308" s="392"/>
      <c r="Q308" s="392"/>
      <c r="R308" s="392"/>
      <c r="S308" s="392"/>
      <c r="T308" s="392"/>
      <c r="U308" s="392"/>
      <c r="V308" s="392"/>
      <c r="W308" s="392"/>
      <c r="X308" s="392"/>
      <c r="Y308" s="392"/>
      <c r="Z308" s="392"/>
      <c r="AA308" s="392"/>
      <c r="AB308" s="392"/>
      <c r="AC308" s="392"/>
      <c r="AD308" s="392"/>
      <c r="AE308" s="392"/>
      <c r="AF308" s="392"/>
      <c r="AG308" s="392"/>
      <c r="AH308" s="392"/>
      <c r="AI308" s="392"/>
      <c r="AJ308" s="392"/>
      <c r="AK308" s="392"/>
      <c r="AL308" s="392"/>
      <c r="AM308" s="392"/>
      <c r="AN308" s="392"/>
      <c r="AO308" s="392"/>
      <c r="AP308" s="392"/>
      <c r="AQ308" s="392"/>
      <c r="AR308" s="392"/>
      <c r="AS308" s="392"/>
      <c r="AT308" s="392"/>
      <c r="AU308" s="392"/>
      <c r="AV308" s="392"/>
      <c r="AW308" s="392"/>
      <c r="AX308" s="392"/>
      <c r="AY308" s="392"/>
      <c r="AZ308" s="392"/>
      <c r="BA308" s="392"/>
      <c r="BB308" s="392"/>
      <c r="BC308" s="392"/>
      <c r="BD308" s="392"/>
      <c r="BE308" s="392"/>
      <c r="BF308" s="392"/>
      <c r="BG308" s="392"/>
      <c r="BH308" s="392"/>
      <c r="BI308" s="392"/>
      <c r="BJ308" s="392"/>
      <c r="BK308" s="392"/>
      <c r="BL308" s="392"/>
      <c r="BM308" s="392"/>
      <c r="BN308" s="392"/>
      <c r="BO308" s="392"/>
      <c r="BP308" s="392"/>
      <c r="BQ308" s="392"/>
      <c r="BR308" s="392"/>
      <c r="BS308" s="392"/>
      <c r="BT308" s="392"/>
    </row>
    <row r="309" ht="15.75" customHeight="1">
      <c r="A309" s="216"/>
      <c r="B309" s="156"/>
      <c r="C309" s="156"/>
      <c r="D309" s="156"/>
      <c r="E309" s="392"/>
      <c r="F309" s="392"/>
      <c r="G309" s="392"/>
      <c r="H309" s="392"/>
      <c r="I309" s="392"/>
      <c r="J309" s="392"/>
      <c r="K309" s="392"/>
      <c r="L309" s="392"/>
      <c r="M309" s="392"/>
      <c r="N309" s="392"/>
      <c r="O309" s="392"/>
      <c r="P309" s="392"/>
      <c r="Q309" s="392"/>
      <c r="R309" s="392"/>
      <c r="S309" s="392"/>
      <c r="T309" s="392"/>
      <c r="U309" s="392"/>
      <c r="V309" s="392"/>
      <c r="W309" s="392"/>
      <c r="X309" s="392"/>
      <c r="Y309" s="392"/>
      <c r="Z309" s="392"/>
      <c r="AA309" s="392"/>
      <c r="AB309" s="392"/>
      <c r="AC309" s="392"/>
      <c r="AD309" s="392"/>
      <c r="AE309" s="392"/>
      <c r="AF309" s="392"/>
      <c r="AG309" s="392"/>
      <c r="AH309" s="392"/>
      <c r="AI309" s="392"/>
      <c r="AJ309" s="392"/>
      <c r="AK309" s="392"/>
      <c r="AL309" s="392"/>
      <c r="AM309" s="392"/>
      <c r="AN309" s="392"/>
      <c r="AO309" s="392"/>
      <c r="AP309" s="392"/>
      <c r="AQ309" s="392"/>
      <c r="AR309" s="392"/>
      <c r="AS309" s="392"/>
      <c r="AT309" s="392"/>
      <c r="AU309" s="392"/>
      <c r="AV309" s="392"/>
      <c r="AW309" s="392"/>
      <c r="AX309" s="392"/>
      <c r="AY309" s="392"/>
      <c r="AZ309" s="392"/>
      <c r="BA309" s="392"/>
      <c r="BB309" s="392"/>
      <c r="BC309" s="392"/>
      <c r="BD309" s="392"/>
      <c r="BE309" s="392"/>
      <c r="BF309" s="392"/>
      <c r="BG309" s="392"/>
      <c r="BH309" s="392"/>
      <c r="BI309" s="392"/>
      <c r="BJ309" s="392"/>
      <c r="BK309" s="392"/>
      <c r="BL309" s="392"/>
      <c r="BM309" s="392"/>
      <c r="BN309" s="392"/>
      <c r="BO309" s="392"/>
      <c r="BP309" s="392"/>
      <c r="BQ309" s="392"/>
      <c r="BR309" s="392"/>
      <c r="BS309" s="392"/>
      <c r="BT309" s="392"/>
    </row>
    <row r="310" ht="15.75" customHeight="1">
      <c r="A310" s="216"/>
      <c r="B310" s="156"/>
      <c r="C310" s="156"/>
      <c r="D310" s="156"/>
      <c r="E310" s="392"/>
      <c r="F310" s="392"/>
      <c r="G310" s="392"/>
      <c r="H310" s="392"/>
      <c r="I310" s="392"/>
      <c r="J310" s="392"/>
      <c r="K310" s="392"/>
      <c r="L310" s="392"/>
      <c r="M310" s="392"/>
      <c r="N310" s="392"/>
      <c r="O310" s="392"/>
      <c r="P310" s="392"/>
      <c r="Q310" s="392"/>
      <c r="R310" s="392"/>
      <c r="S310" s="392"/>
      <c r="T310" s="392"/>
      <c r="U310" s="392"/>
      <c r="V310" s="392"/>
      <c r="W310" s="392"/>
      <c r="X310" s="392"/>
      <c r="Y310" s="392"/>
      <c r="Z310" s="392"/>
      <c r="AA310" s="392"/>
      <c r="AB310" s="392"/>
      <c r="AC310" s="392"/>
      <c r="AD310" s="392"/>
      <c r="AE310" s="392"/>
      <c r="AF310" s="392"/>
      <c r="AG310" s="392"/>
      <c r="AH310" s="392"/>
      <c r="AI310" s="392"/>
      <c r="AJ310" s="392"/>
      <c r="AK310" s="392"/>
      <c r="AL310" s="392"/>
      <c r="AM310" s="392"/>
      <c r="AN310" s="392"/>
      <c r="AO310" s="392"/>
      <c r="AP310" s="392"/>
      <c r="AQ310" s="392"/>
      <c r="AR310" s="392"/>
      <c r="AS310" s="392"/>
      <c r="AT310" s="392"/>
      <c r="AU310" s="392"/>
      <c r="AV310" s="392"/>
      <c r="AW310" s="392"/>
      <c r="AX310" s="392"/>
      <c r="AY310" s="392"/>
      <c r="AZ310" s="392"/>
      <c r="BA310" s="392"/>
      <c r="BB310" s="392"/>
      <c r="BC310" s="392"/>
      <c r="BD310" s="392"/>
      <c r="BE310" s="392"/>
      <c r="BF310" s="392"/>
      <c r="BG310" s="392"/>
      <c r="BH310" s="392"/>
      <c r="BI310" s="392"/>
      <c r="BJ310" s="392"/>
      <c r="BK310" s="392"/>
      <c r="BL310" s="392"/>
      <c r="BM310" s="392"/>
      <c r="BN310" s="392"/>
      <c r="BO310" s="392"/>
      <c r="BP310" s="392"/>
      <c r="BQ310" s="392"/>
      <c r="BR310" s="392"/>
      <c r="BS310" s="392"/>
      <c r="BT310" s="392"/>
    </row>
    <row r="311" ht="15.75" customHeight="1">
      <c r="A311" s="216"/>
      <c r="B311" s="156"/>
      <c r="C311" s="156"/>
      <c r="D311" s="156"/>
      <c r="E311" s="392"/>
      <c r="F311" s="392"/>
      <c r="G311" s="392"/>
      <c r="H311" s="392"/>
      <c r="I311" s="392"/>
      <c r="J311" s="392"/>
      <c r="K311" s="392"/>
      <c r="L311" s="392"/>
      <c r="M311" s="392"/>
      <c r="N311" s="392"/>
      <c r="O311" s="392"/>
      <c r="P311" s="392"/>
      <c r="Q311" s="392"/>
      <c r="R311" s="392"/>
      <c r="S311" s="392"/>
      <c r="T311" s="392"/>
      <c r="U311" s="392"/>
      <c r="V311" s="392"/>
      <c r="W311" s="392"/>
      <c r="X311" s="392"/>
      <c r="Y311" s="392"/>
      <c r="Z311" s="392"/>
      <c r="AA311" s="392"/>
      <c r="AB311" s="392"/>
      <c r="AC311" s="392"/>
      <c r="AD311" s="392"/>
      <c r="AE311" s="392"/>
      <c r="AF311" s="392"/>
      <c r="AG311" s="392"/>
      <c r="AH311" s="392"/>
      <c r="AI311" s="392"/>
      <c r="AJ311" s="392"/>
      <c r="AK311" s="392"/>
      <c r="AL311" s="392"/>
      <c r="AM311" s="392"/>
      <c r="AN311" s="392"/>
      <c r="AO311" s="392"/>
      <c r="AP311" s="392"/>
      <c r="AQ311" s="392"/>
      <c r="AR311" s="392"/>
      <c r="AS311" s="392"/>
      <c r="AT311" s="392"/>
      <c r="AU311" s="392"/>
      <c r="AV311" s="392"/>
      <c r="AW311" s="392"/>
      <c r="AX311" s="392"/>
      <c r="AY311" s="392"/>
      <c r="AZ311" s="392"/>
      <c r="BA311" s="392"/>
      <c r="BB311" s="392"/>
      <c r="BC311" s="392"/>
      <c r="BD311" s="392"/>
      <c r="BE311" s="392"/>
      <c r="BF311" s="392"/>
      <c r="BG311" s="392"/>
      <c r="BH311" s="392"/>
      <c r="BI311" s="392"/>
      <c r="BJ311" s="392"/>
      <c r="BK311" s="392"/>
      <c r="BL311" s="392"/>
      <c r="BM311" s="392"/>
      <c r="BN311" s="392"/>
      <c r="BO311" s="392"/>
      <c r="BP311" s="392"/>
      <c r="BQ311" s="392"/>
      <c r="BR311" s="392"/>
      <c r="BS311" s="392"/>
      <c r="BT311" s="392"/>
    </row>
    <row r="312" ht="15.75" customHeight="1">
      <c r="A312" s="216"/>
      <c r="B312" s="156"/>
      <c r="C312" s="156"/>
      <c r="D312" s="156"/>
      <c r="E312" s="392"/>
      <c r="F312" s="392"/>
      <c r="G312" s="392"/>
      <c r="H312" s="392"/>
      <c r="I312" s="392"/>
      <c r="J312" s="392"/>
      <c r="K312" s="392"/>
      <c r="L312" s="392"/>
      <c r="M312" s="392"/>
      <c r="N312" s="392"/>
      <c r="O312" s="392"/>
      <c r="P312" s="392"/>
      <c r="Q312" s="392"/>
      <c r="R312" s="392"/>
      <c r="S312" s="392"/>
      <c r="T312" s="392"/>
      <c r="U312" s="392"/>
      <c r="V312" s="392"/>
      <c r="W312" s="392"/>
      <c r="X312" s="392"/>
      <c r="Y312" s="392"/>
      <c r="Z312" s="392"/>
      <c r="AA312" s="392"/>
      <c r="AB312" s="392"/>
      <c r="AC312" s="392"/>
      <c r="AD312" s="392"/>
      <c r="AE312" s="392"/>
      <c r="AF312" s="392"/>
      <c r="AG312" s="392"/>
      <c r="AH312" s="392"/>
      <c r="AI312" s="392"/>
      <c r="AJ312" s="392"/>
      <c r="AK312" s="392"/>
      <c r="AL312" s="392"/>
      <c r="AM312" s="392"/>
      <c r="AN312" s="392"/>
      <c r="AO312" s="392"/>
      <c r="AP312" s="392"/>
      <c r="AQ312" s="392"/>
      <c r="AR312" s="392"/>
      <c r="AS312" s="392"/>
      <c r="AT312" s="392"/>
      <c r="AU312" s="392"/>
      <c r="AV312" s="392"/>
      <c r="AW312" s="392"/>
      <c r="AX312" s="392"/>
      <c r="AY312" s="392"/>
      <c r="AZ312" s="392"/>
      <c r="BA312" s="392"/>
      <c r="BB312" s="392"/>
      <c r="BC312" s="392"/>
      <c r="BD312" s="392"/>
      <c r="BE312" s="392"/>
      <c r="BF312" s="392"/>
      <c r="BG312" s="392"/>
      <c r="BH312" s="392"/>
      <c r="BI312" s="392"/>
      <c r="BJ312" s="392"/>
      <c r="BK312" s="392"/>
      <c r="BL312" s="392"/>
      <c r="BM312" s="392"/>
      <c r="BN312" s="392"/>
      <c r="BO312" s="392"/>
      <c r="BP312" s="392"/>
      <c r="BQ312" s="392"/>
      <c r="BR312" s="392"/>
      <c r="BS312" s="392"/>
      <c r="BT312" s="392"/>
    </row>
    <row r="313" ht="15.75" customHeight="1">
      <c r="A313" s="216"/>
      <c r="B313" s="156"/>
      <c r="C313" s="156"/>
      <c r="D313" s="156"/>
      <c r="E313" s="392"/>
      <c r="F313" s="392"/>
      <c r="G313" s="392"/>
      <c r="H313" s="392"/>
      <c r="I313" s="392"/>
      <c r="J313" s="392"/>
      <c r="K313" s="392"/>
      <c r="L313" s="392"/>
      <c r="M313" s="392"/>
      <c r="N313" s="392"/>
      <c r="O313" s="392"/>
      <c r="P313" s="392"/>
      <c r="Q313" s="392"/>
      <c r="R313" s="392"/>
      <c r="S313" s="392"/>
      <c r="T313" s="392"/>
      <c r="U313" s="392"/>
      <c r="V313" s="392"/>
      <c r="W313" s="392"/>
      <c r="X313" s="392"/>
      <c r="Y313" s="392"/>
      <c r="Z313" s="392"/>
      <c r="AA313" s="392"/>
      <c r="AB313" s="392"/>
      <c r="AC313" s="392"/>
      <c r="AD313" s="392"/>
      <c r="AE313" s="392"/>
      <c r="AF313" s="392"/>
      <c r="AG313" s="392"/>
      <c r="AH313" s="392"/>
      <c r="AI313" s="392"/>
      <c r="AJ313" s="392"/>
      <c r="AK313" s="392"/>
      <c r="AL313" s="392"/>
      <c r="AM313" s="392"/>
      <c r="AN313" s="392"/>
      <c r="AO313" s="392"/>
      <c r="AP313" s="392"/>
      <c r="AQ313" s="392"/>
      <c r="AR313" s="392"/>
      <c r="AS313" s="392"/>
      <c r="AT313" s="392"/>
      <c r="AU313" s="392"/>
      <c r="AV313" s="392"/>
      <c r="AW313" s="392"/>
      <c r="AX313" s="392"/>
      <c r="AY313" s="392"/>
      <c r="AZ313" s="392"/>
      <c r="BA313" s="392"/>
      <c r="BB313" s="392"/>
      <c r="BC313" s="392"/>
      <c r="BD313" s="392"/>
      <c r="BE313" s="392"/>
      <c r="BF313" s="392"/>
      <c r="BG313" s="392"/>
      <c r="BH313" s="392"/>
      <c r="BI313" s="392"/>
      <c r="BJ313" s="392"/>
      <c r="BK313" s="392"/>
      <c r="BL313" s="392"/>
      <c r="BM313" s="392"/>
      <c r="BN313" s="392"/>
      <c r="BO313" s="392"/>
      <c r="BP313" s="392"/>
      <c r="BQ313" s="392"/>
      <c r="BR313" s="392"/>
      <c r="BS313" s="392"/>
      <c r="BT313" s="392"/>
    </row>
    <row r="314" ht="15.75" customHeight="1">
      <c r="A314" s="216"/>
      <c r="B314" s="156"/>
      <c r="C314" s="156"/>
      <c r="D314" s="156"/>
      <c r="E314" s="392"/>
      <c r="F314" s="392"/>
      <c r="G314" s="392"/>
      <c r="H314" s="392"/>
      <c r="I314" s="392"/>
      <c r="J314" s="392"/>
      <c r="K314" s="392"/>
      <c r="L314" s="392"/>
      <c r="M314" s="392"/>
      <c r="N314" s="392"/>
      <c r="O314" s="392"/>
      <c r="P314" s="392"/>
      <c r="Q314" s="392"/>
      <c r="R314" s="392"/>
      <c r="S314" s="392"/>
      <c r="T314" s="392"/>
      <c r="U314" s="392"/>
      <c r="V314" s="392"/>
      <c r="W314" s="392"/>
      <c r="X314" s="392"/>
      <c r="Y314" s="392"/>
      <c r="Z314" s="392"/>
      <c r="AA314" s="392"/>
      <c r="AB314" s="392"/>
      <c r="AC314" s="392"/>
      <c r="AD314" s="392"/>
      <c r="AE314" s="392"/>
      <c r="AF314" s="392"/>
      <c r="AG314" s="392"/>
      <c r="AH314" s="392"/>
      <c r="AI314" s="392"/>
      <c r="AJ314" s="392"/>
      <c r="AK314" s="392"/>
      <c r="AL314" s="392"/>
      <c r="AM314" s="392"/>
      <c r="AN314" s="392"/>
      <c r="AO314" s="392"/>
      <c r="AP314" s="392"/>
      <c r="AQ314" s="392"/>
      <c r="AR314" s="392"/>
      <c r="AS314" s="392"/>
      <c r="AT314" s="392"/>
      <c r="AU314" s="392"/>
      <c r="AV314" s="392"/>
      <c r="AW314" s="392"/>
      <c r="AX314" s="392"/>
      <c r="AY314" s="392"/>
      <c r="AZ314" s="392"/>
      <c r="BA314" s="392"/>
      <c r="BB314" s="392"/>
      <c r="BC314" s="392"/>
      <c r="BD314" s="392"/>
      <c r="BE314" s="392"/>
      <c r="BF314" s="392"/>
      <c r="BG314" s="392"/>
      <c r="BH314" s="392"/>
      <c r="BI314" s="392"/>
      <c r="BJ314" s="392"/>
      <c r="BK314" s="392"/>
      <c r="BL314" s="392"/>
      <c r="BM314" s="392"/>
      <c r="BN314" s="392"/>
      <c r="BO314" s="392"/>
      <c r="BP314" s="392"/>
      <c r="BQ314" s="392"/>
      <c r="BR314" s="392"/>
      <c r="BS314" s="392"/>
      <c r="BT314" s="392"/>
    </row>
    <row r="315" ht="15.75" customHeight="1">
      <c r="A315" s="216"/>
      <c r="B315" s="156"/>
      <c r="C315" s="156"/>
      <c r="D315" s="156"/>
      <c r="E315" s="392"/>
      <c r="F315" s="392"/>
      <c r="G315" s="392"/>
      <c r="H315" s="392"/>
      <c r="I315" s="392"/>
      <c r="J315" s="392"/>
      <c r="K315" s="392"/>
      <c r="L315" s="392"/>
      <c r="M315" s="392"/>
      <c r="N315" s="392"/>
      <c r="O315" s="392"/>
      <c r="P315" s="392"/>
      <c r="Q315" s="392"/>
      <c r="R315" s="392"/>
      <c r="S315" s="392"/>
      <c r="T315" s="392"/>
      <c r="U315" s="392"/>
      <c r="V315" s="392"/>
      <c r="W315" s="392"/>
      <c r="X315" s="392"/>
      <c r="Y315" s="392"/>
      <c r="Z315" s="392"/>
      <c r="AA315" s="392"/>
      <c r="AB315" s="392"/>
      <c r="AC315" s="392"/>
      <c r="AD315" s="392"/>
      <c r="AE315" s="392"/>
      <c r="AF315" s="392"/>
      <c r="AG315" s="392"/>
      <c r="AH315" s="392"/>
      <c r="AI315" s="392"/>
      <c r="AJ315" s="392"/>
      <c r="AK315" s="392"/>
      <c r="AL315" s="392"/>
      <c r="AM315" s="392"/>
      <c r="AN315" s="392"/>
      <c r="AO315" s="392"/>
      <c r="AP315" s="392"/>
      <c r="AQ315" s="392"/>
      <c r="AR315" s="392"/>
      <c r="AS315" s="392"/>
      <c r="AT315" s="392"/>
      <c r="AU315" s="392"/>
      <c r="AV315" s="392"/>
      <c r="AW315" s="392"/>
      <c r="AX315" s="392"/>
      <c r="AY315" s="392"/>
      <c r="AZ315" s="392"/>
      <c r="BA315" s="392"/>
      <c r="BB315" s="392"/>
      <c r="BC315" s="392"/>
      <c r="BD315" s="392"/>
      <c r="BE315" s="392"/>
      <c r="BF315" s="392"/>
      <c r="BG315" s="392"/>
      <c r="BH315" s="392"/>
      <c r="BI315" s="392"/>
      <c r="BJ315" s="392"/>
      <c r="BK315" s="392"/>
      <c r="BL315" s="392"/>
      <c r="BM315" s="392"/>
      <c r="BN315" s="392"/>
      <c r="BO315" s="392"/>
      <c r="BP315" s="392"/>
      <c r="BQ315" s="392"/>
      <c r="BR315" s="392"/>
      <c r="BS315" s="392"/>
      <c r="BT315" s="392"/>
    </row>
    <row r="316" ht="15.75" customHeight="1">
      <c r="A316" s="216"/>
      <c r="B316" s="156"/>
      <c r="C316" s="156"/>
      <c r="D316" s="156"/>
      <c r="E316" s="392"/>
      <c r="F316" s="392"/>
      <c r="G316" s="392"/>
      <c r="H316" s="392"/>
      <c r="I316" s="392"/>
      <c r="J316" s="392"/>
      <c r="K316" s="392"/>
      <c r="L316" s="392"/>
      <c r="M316" s="392"/>
      <c r="N316" s="392"/>
      <c r="O316" s="392"/>
      <c r="P316" s="392"/>
      <c r="Q316" s="392"/>
      <c r="R316" s="392"/>
      <c r="S316" s="392"/>
      <c r="T316" s="392"/>
      <c r="U316" s="392"/>
      <c r="V316" s="392"/>
      <c r="W316" s="392"/>
      <c r="X316" s="392"/>
      <c r="Y316" s="392"/>
      <c r="Z316" s="392"/>
      <c r="AA316" s="392"/>
      <c r="AB316" s="392"/>
      <c r="AC316" s="392"/>
      <c r="AD316" s="392"/>
      <c r="AE316" s="392"/>
      <c r="AF316" s="392"/>
      <c r="AG316" s="392"/>
      <c r="AH316" s="392"/>
      <c r="AI316" s="392"/>
      <c r="AJ316" s="392"/>
      <c r="AK316" s="392"/>
      <c r="AL316" s="392"/>
      <c r="AM316" s="392"/>
      <c r="AN316" s="392"/>
      <c r="AO316" s="392"/>
      <c r="AP316" s="392"/>
      <c r="AQ316" s="392"/>
      <c r="AR316" s="392"/>
      <c r="AS316" s="392"/>
      <c r="AT316" s="392"/>
      <c r="AU316" s="392"/>
      <c r="AV316" s="392"/>
      <c r="AW316" s="392"/>
      <c r="AX316" s="392"/>
      <c r="AY316" s="392"/>
      <c r="AZ316" s="392"/>
      <c r="BA316" s="392"/>
      <c r="BB316" s="392"/>
      <c r="BC316" s="392"/>
      <c r="BD316" s="392"/>
      <c r="BE316" s="392"/>
      <c r="BF316" s="392"/>
      <c r="BG316" s="392"/>
      <c r="BH316" s="392"/>
      <c r="BI316" s="392"/>
      <c r="BJ316" s="392"/>
      <c r="BK316" s="392"/>
      <c r="BL316" s="392"/>
      <c r="BM316" s="392"/>
      <c r="BN316" s="392"/>
      <c r="BO316" s="392"/>
      <c r="BP316" s="392"/>
      <c r="BQ316" s="392"/>
      <c r="BR316" s="392"/>
      <c r="BS316" s="392"/>
      <c r="BT316" s="392"/>
    </row>
    <row r="317" ht="15.75" customHeight="1">
      <c r="A317" s="216"/>
      <c r="B317" s="156"/>
      <c r="C317" s="156"/>
      <c r="D317" s="156"/>
      <c r="E317" s="392"/>
      <c r="F317" s="392"/>
      <c r="G317" s="392"/>
      <c r="H317" s="392"/>
      <c r="I317" s="392"/>
      <c r="J317" s="392"/>
      <c r="K317" s="392"/>
      <c r="L317" s="392"/>
      <c r="M317" s="392"/>
      <c r="N317" s="392"/>
      <c r="O317" s="392"/>
      <c r="P317" s="392"/>
      <c r="Q317" s="392"/>
      <c r="R317" s="392"/>
      <c r="S317" s="392"/>
      <c r="T317" s="392"/>
      <c r="U317" s="392"/>
      <c r="V317" s="392"/>
      <c r="W317" s="392"/>
      <c r="X317" s="392"/>
      <c r="Y317" s="392"/>
      <c r="Z317" s="392"/>
      <c r="AA317" s="392"/>
      <c r="AB317" s="392"/>
      <c r="AC317" s="392"/>
      <c r="AD317" s="392"/>
      <c r="AE317" s="392"/>
      <c r="AF317" s="392"/>
      <c r="AG317" s="392"/>
      <c r="AH317" s="392"/>
      <c r="AI317" s="392"/>
      <c r="AJ317" s="392"/>
      <c r="AK317" s="392"/>
      <c r="AL317" s="392"/>
      <c r="AM317" s="392"/>
      <c r="AN317" s="392"/>
      <c r="AO317" s="392"/>
      <c r="AP317" s="392"/>
      <c r="AQ317" s="392"/>
      <c r="AR317" s="392"/>
      <c r="AS317" s="392"/>
      <c r="AT317" s="392"/>
      <c r="AU317" s="392"/>
      <c r="AV317" s="392"/>
      <c r="AW317" s="392"/>
      <c r="AX317" s="392"/>
      <c r="AY317" s="392"/>
      <c r="AZ317" s="392"/>
      <c r="BA317" s="392"/>
      <c r="BB317" s="392"/>
      <c r="BC317" s="392"/>
      <c r="BD317" s="392"/>
      <c r="BE317" s="392"/>
      <c r="BF317" s="392"/>
      <c r="BG317" s="392"/>
      <c r="BH317" s="392"/>
      <c r="BI317" s="392"/>
      <c r="BJ317" s="392"/>
      <c r="BK317" s="392"/>
      <c r="BL317" s="392"/>
      <c r="BM317" s="392"/>
      <c r="BN317" s="392"/>
      <c r="BO317" s="392"/>
      <c r="BP317" s="392"/>
      <c r="BQ317" s="392"/>
      <c r="BR317" s="392"/>
      <c r="BS317" s="392"/>
      <c r="BT317" s="392"/>
    </row>
    <row r="318" ht="15.75" customHeight="1">
      <c r="A318" s="216"/>
      <c r="B318" s="156"/>
      <c r="C318" s="156"/>
      <c r="D318" s="156"/>
      <c r="E318" s="392"/>
      <c r="F318" s="392"/>
      <c r="G318" s="392"/>
      <c r="H318" s="392"/>
      <c r="I318" s="392"/>
      <c r="J318" s="392"/>
      <c r="K318" s="392"/>
      <c r="L318" s="392"/>
      <c r="M318" s="392"/>
      <c r="N318" s="392"/>
      <c r="O318" s="392"/>
      <c r="P318" s="392"/>
      <c r="Q318" s="392"/>
      <c r="R318" s="392"/>
      <c r="S318" s="392"/>
      <c r="T318" s="392"/>
      <c r="U318" s="392"/>
      <c r="V318" s="392"/>
      <c r="W318" s="392"/>
      <c r="X318" s="392"/>
      <c r="Y318" s="392"/>
      <c r="Z318" s="392"/>
      <c r="AA318" s="392"/>
      <c r="AB318" s="392"/>
      <c r="AC318" s="392"/>
      <c r="AD318" s="392"/>
      <c r="AE318" s="392"/>
      <c r="AF318" s="392"/>
      <c r="AG318" s="392"/>
      <c r="AH318" s="392"/>
      <c r="AI318" s="392"/>
      <c r="AJ318" s="392"/>
      <c r="AK318" s="392"/>
      <c r="AL318" s="392"/>
      <c r="AM318" s="392"/>
      <c r="AN318" s="392"/>
      <c r="AO318" s="392"/>
      <c r="AP318" s="392"/>
      <c r="AQ318" s="392"/>
      <c r="AR318" s="392"/>
      <c r="AS318" s="392"/>
      <c r="AT318" s="392"/>
      <c r="AU318" s="392"/>
      <c r="AV318" s="392"/>
      <c r="AW318" s="392"/>
      <c r="AX318" s="392"/>
      <c r="AY318" s="392"/>
      <c r="AZ318" s="392"/>
      <c r="BA318" s="392"/>
      <c r="BB318" s="392"/>
      <c r="BC318" s="392"/>
      <c r="BD318" s="392"/>
      <c r="BE318" s="392"/>
      <c r="BF318" s="392"/>
      <c r="BG318" s="392"/>
      <c r="BH318" s="392"/>
      <c r="BI318" s="392"/>
      <c r="BJ318" s="392"/>
      <c r="BK318" s="392"/>
      <c r="BL318" s="392"/>
      <c r="BM318" s="392"/>
      <c r="BN318" s="392"/>
      <c r="BO318" s="392"/>
      <c r="BP318" s="392"/>
      <c r="BQ318" s="392"/>
      <c r="BR318" s="392"/>
      <c r="BS318" s="392"/>
      <c r="BT318" s="392"/>
    </row>
    <row r="319" ht="15.75" customHeight="1">
      <c r="A319" s="216"/>
      <c r="B319" s="156"/>
      <c r="C319" s="156"/>
      <c r="D319" s="156"/>
      <c r="E319" s="392"/>
      <c r="F319" s="392"/>
      <c r="G319" s="392"/>
      <c r="H319" s="392"/>
      <c r="I319" s="392"/>
      <c r="J319" s="392"/>
      <c r="K319" s="392"/>
      <c r="L319" s="392"/>
      <c r="M319" s="392"/>
      <c r="N319" s="392"/>
      <c r="O319" s="392"/>
      <c r="P319" s="392"/>
      <c r="Q319" s="392"/>
      <c r="R319" s="392"/>
      <c r="S319" s="392"/>
      <c r="T319" s="392"/>
      <c r="U319" s="392"/>
      <c r="V319" s="392"/>
      <c r="W319" s="392"/>
      <c r="X319" s="392"/>
      <c r="Y319" s="392"/>
      <c r="Z319" s="392"/>
      <c r="AA319" s="392"/>
      <c r="AB319" s="392"/>
      <c r="AC319" s="392"/>
      <c r="AD319" s="392"/>
      <c r="AE319" s="392"/>
      <c r="AF319" s="392"/>
      <c r="AG319" s="392"/>
      <c r="AH319" s="392"/>
      <c r="AI319" s="392"/>
      <c r="AJ319" s="392"/>
      <c r="AK319" s="392"/>
      <c r="AL319" s="392"/>
      <c r="AM319" s="392"/>
      <c r="AN319" s="392"/>
      <c r="AO319" s="392"/>
      <c r="AP319" s="392"/>
      <c r="AQ319" s="392"/>
      <c r="AR319" s="392"/>
      <c r="AS319" s="392"/>
      <c r="AT319" s="392"/>
      <c r="AU319" s="392"/>
      <c r="AV319" s="392"/>
      <c r="AW319" s="392"/>
      <c r="AX319" s="392"/>
      <c r="AY319" s="392"/>
      <c r="AZ319" s="392"/>
      <c r="BA319" s="392"/>
      <c r="BB319" s="392"/>
      <c r="BC319" s="392"/>
      <c r="BD319" s="392"/>
      <c r="BE319" s="392"/>
      <c r="BF319" s="392"/>
      <c r="BG319" s="392"/>
      <c r="BH319" s="392"/>
      <c r="BI319" s="392"/>
      <c r="BJ319" s="392"/>
      <c r="BK319" s="392"/>
      <c r="BL319" s="392"/>
      <c r="BM319" s="392"/>
      <c r="BN319" s="392"/>
      <c r="BO319" s="392"/>
      <c r="BP319" s="392"/>
      <c r="BQ319" s="392"/>
      <c r="BR319" s="392"/>
      <c r="BS319" s="392"/>
      <c r="BT319" s="392"/>
    </row>
    <row r="320" ht="15.75" customHeight="1">
      <c r="A320" s="216"/>
      <c r="B320" s="156"/>
      <c r="C320" s="156"/>
      <c r="D320" s="156"/>
      <c r="E320" s="392"/>
      <c r="F320" s="392"/>
      <c r="G320" s="392"/>
      <c r="H320" s="392"/>
      <c r="I320" s="392"/>
      <c r="J320" s="392"/>
      <c r="K320" s="392"/>
      <c r="L320" s="392"/>
      <c r="M320" s="392"/>
      <c r="N320" s="392"/>
      <c r="O320" s="392"/>
      <c r="P320" s="392"/>
      <c r="Q320" s="392"/>
      <c r="R320" s="392"/>
      <c r="S320" s="392"/>
      <c r="T320" s="392"/>
      <c r="U320" s="392"/>
      <c r="V320" s="392"/>
      <c r="W320" s="392"/>
      <c r="X320" s="392"/>
      <c r="Y320" s="392"/>
      <c r="Z320" s="392"/>
      <c r="AA320" s="392"/>
      <c r="AB320" s="392"/>
      <c r="AC320" s="392"/>
      <c r="AD320" s="392"/>
      <c r="AE320" s="392"/>
      <c r="AF320" s="392"/>
      <c r="AG320" s="392"/>
      <c r="AH320" s="392"/>
      <c r="AI320" s="392"/>
      <c r="AJ320" s="392"/>
      <c r="AK320" s="392"/>
      <c r="AL320" s="392"/>
      <c r="AM320" s="392"/>
      <c r="AN320" s="392"/>
      <c r="AO320" s="392"/>
      <c r="AP320" s="392"/>
      <c r="AQ320" s="392"/>
      <c r="AR320" s="392"/>
      <c r="AS320" s="392"/>
      <c r="AT320" s="392"/>
      <c r="AU320" s="392"/>
      <c r="AV320" s="392"/>
      <c r="AW320" s="392"/>
      <c r="AX320" s="392"/>
      <c r="AY320" s="392"/>
      <c r="AZ320" s="392"/>
      <c r="BA320" s="392"/>
      <c r="BB320" s="392"/>
      <c r="BC320" s="392"/>
      <c r="BD320" s="392"/>
      <c r="BE320" s="392"/>
      <c r="BF320" s="392"/>
      <c r="BG320" s="392"/>
      <c r="BH320" s="392"/>
      <c r="BI320" s="392"/>
      <c r="BJ320" s="392"/>
      <c r="BK320" s="392"/>
      <c r="BL320" s="392"/>
      <c r="BM320" s="392"/>
      <c r="BN320" s="392"/>
      <c r="BO320" s="392"/>
      <c r="BP320" s="392"/>
      <c r="BQ320" s="392"/>
      <c r="BR320" s="392"/>
      <c r="BS320" s="392"/>
      <c r="BT320" s="392"/>
    </row>
    <row r="321" ht="15.75" customHeight="1">
      <c r="A321" s="216"/>
      <c r="B321" s="156"/>
      <c r="C321" s="156"/>
      <c r="D321" s="156"/>
      <c r="E321" s="392"/>
      <c r="F321" s="392"/>
      <c r="G321" s="392"/>
      <c r="H321" s="392"/>
      <c r="I321" s="392"/>
      <c r="J321" s="392"/>
      <c r="K321" s="392"/>
      <c r="L321" s="392"/>
      <c r="M321" s="392"/>
      <c r="N321" s="392"/>
      <c r="O321" s="392"/>
      <c r="P321" s="392"/>
      <c r="Q321" s="392"/>
      <c r="R321" s="392"/>
      <c r="S321" s="392"/>
      <c r="T321" s="392"/>
      <c r="U321" s="392"/>
      <c r="V321" s="392"/>
      <c r="W321" s="392"/>
      <c r="X321" s="392"/>
      <c r="Y321" s="392"/>
      <c r="Z321" s="392"/>
      <c r="AA321" s="392"/>
      <c r="AB321" s="392"/>
      <c r="AC321" s="392"/>
      <c r="AD321" s="392"/>
      <c r="AE321" s="392"/>
      <c r="AF321" s="392"/>
      <c r="AG321" s="392"/>
      <c r="AH321" s="392"/>
      <c r="AI321" s="392"/>
      <c r="AJ321" s="392"/>
      <c r="AK321" s="392"/>
      <c r="AL321" s="392"/>
      <c r="AM321" s="392"/>
      <c r="AN321" s="392"/>
      <c r="AO321" s="392"/>
      <c r="AP321" s="392"/>
      <c r="AQ321" s="392"/>
      <c r="AR321" s="392"/>
      <c r="AS321" s="392"/>
      <c r="AT321" s="392"/>
      <c r="AU321" s="392"/>
      <c r="AV321" s="392"/>
      <c r="AW321" s="392"/>
      <c r="AX321" s="392"/>
      <c r="AY321" s="392"/>
      <c r="AZ321" s="392"/>
      <c r="BA321" s="392"/>
      <c r="BB321" s="392"/>
      <c r="BC321" s="392"/>
      <c r="BD321" s="392"/>
      <c r="BE321" s="392"/>
      <c r="BF321" s="392"/>
      <c r="BG321" s="392"/>
      <c r="BH321" s="392"/>
      <c r="BI321" s="392"/>
      <c r="BJ321" s="392"/>
      <c r="BK321" s="392"/>
      <c r="BL321" s="392"/>
      <c r="BM321" s="392"/>
      <c r="BN321" s="392"/>
      <c r="BO321" s="392"/>
      <c r="BP321" s="392"/>
      <c r="BQ321" s="392"/>
      <c r="BR321" s="392"/>
      <c r="BS321" s="392"/>
      <c r="BT321" s="392"/>
    </row>
    <row r="322" ht="15.75" customHeight="1">
      <c r="A322" s="216"/>
      <c r="B322" s="156"/>
      <c r="C322" s="156"/>
      <c r="D322" s="156"/>
      <c r="E322" s="392"/>
      <c r="F322" s="392"/>
      <c r="G322" s="392"/>
      <c r="H322" s="392"/>
      <c r="I322" s="392"/>
      <c r="J322" s="392"/>
      <c r="K322" s="392"/>
      <c r="L322" s="392"/>
      <c r="M322" s="392"/>
      <c r="N322" s="392"/>
      <c r="O322" s="392"/>
      <c r="P322" s="392"/>
      <c r="Q322" s="392"/>
      <c r="R322" s="392"/>
      <c r="S322" s="392"/>
      <c r="T322" s="392"/>
      <c r="U322" s="392"/>
      <c r="V322" s="392"/>
      <c r="W322" s="392"/>
      <c r="X322" s="392"/>
      <c r="Y322" s="392"/>
      <c r="Z322" s="392"/>
      <c r="AA322" s="392"/>
      <c r="AB322" s="392"/>
      <c r="AC322" s="392"/>
      <c r="AD322" s="392"/>
      <c r="AE322" s="392"/>
      <c r="AF322" s="392"/>
      <c r="AG322" s="392"/>
      <c r="AH322" s="392"/>
      <c r="AI322" s="392"/>
      <c r="AJ322" s="392"/>
      <c r="AK322" s="392"/>
      <c r="AL322" s="392"/>
      <c r="AM322" s="392"/>
      <c r="AN322" s="392"/>
      <c r="AO322" s="392"/>
      <c r="AP322" s="392"/>
      <c r="AQ322" s="392"/>
      <c r="AR322" s="392"/>
      <c r="AS322" s="392"/>
      <c r="AT322" s="392"/>
      <c r="AU322" s="392"/>
      <c r="AV322" s="392"/>
      <c r="AW322" s="392"/>
      <c r="AX322" s="392"/>
      <c r="AY322" s="392"/>
      <c r="AZ322" s="392"/>
      <c r="BA322" s="392"/>
      <c r="BB322" s="392"/>
      <c r="BC322" s="392"/>
      <c r="BD322" s="392"/>
      <c r="BE322" s="392"/>
      <c r="BF322" s="392"/>
      <c r="BG322" s="392"/>
      <c r="BH322" s="392"/>
      <c r="BI322" s="392"/>
      <c r="BJ322" s="392"/>
      <c r="BK322" s="392"/>
      <c r="BL322" s="392"/>
      <c r="BM322" s="392"/>
      <c r="BN322" s="392"/>
      <c r="BO322" s="392"/>
      <c r="BP322" s="392"/>
      <c r="BQ322" s="392"/>
      <c r="BR322" s="392"/>
      <c r="BS322" s="392"/>
      <c r="BT322" s="392"/>
    </row>
    <row r="323" ht="15.75" customHeight="1">
      <c r="A323" s="216"/>
      <c r="B323" s="156"/>
      <c r="C323" s="156"/>
      <c r="D323" s="156"/>
      <c r="E323" s="392"/>
      <c r="F323" s="392"/>
      <c r="G323" s="392"/>
      <c r="H323" s="392"/>
      <c r="I323" s="392"/>
      <c r="J323" s="392"/>
      <c r="K323" s="392"/>
      <c r="L323" s="392"/>
      <c r="M323" s="392"/>
      <c r="N323" s="392"/>
      <c r="O323" s="392"/>
      <c r="P323" s="392"/>
      <c r="Q323" s="392"/>
      <c r="R323" s="392"/>
      <c r="S323" s="392"/>
      <c r="T323" s="392"/>
      <c r="U323" s="392"/>
      <c r="V323" s="392"/>
      <c r="W323" s="392"/>
      <c r="X323" s="392"/>
      <c r="Y323" s="392"/>
      <c r="Z323" s="392"/>
      <c r="AA323" s="392"/>
      <c r="AB323" s="392"/>
      <c r="AC323" s="392"/>
      <c r="AD323" s="392"/>
      <c r="AE323" s="392"/>
      <c r="AF323" s="392"/>
      <c r="AG323" s="392"/>
      <c r="AH323" s="392"/>
      <c r="AI323" s="392"/>
      <c r="AJ323" s="392"/>
      <c r="AK323" s="392"/>
      <c r="AL323" s="392"/>
      <c r="AM323" s="392"/>
      <c r="AN323" s="392"/>
      <c r="AO323" s="392"/>
      <c r="AP323" s="392"/>
      <c r="AQ323" s="392"/>
      <c r="AR323" s="392"/>
      <c r="AS323" s="392"/>
      <c r="AT323" s="392"/>
      <c r="AU323" s="392"/>
      <c r="AV323" s="392"/>
      <c r="AW323" s="392"/>
      <c r="AX323" s="392"/>
      <c r="AY323" s="392"/>
      <c r="AZ323" s="392"/>
      <c r="BA323" s="392"/>
      <c r="BB323" s="392"/>
      <c r="BC323" s="392"/>
      <c r="BD323" s="392"/>
      <c r="BE323" s="392"/>
      <c r="BF323" s="392"/>
      <c r="BG323" s="392"/>
      <c r="BH323" s="392"/>
      <c r="BI323" s="392"/>
      <c r="BJ323" s="392"/>
      <c r="BK323" s="392"/>
      <c r="BL323" s="392"/>
      <c r="BM323" s="392"/>
      <c r="BN323" s="392"/>
      <c r="BO323" s="392"/>
      <c r="BP323" s="392"/>
      <c r="BQ323" s="392"/>
      <c r="BR323" s="392"/>
      <c r="BS323" s="392"/>
      <c r="BT323" s="392"/>
    </row>
    <row r="324" ht="15.75" customHeight="1">
      <c r="A324" s="216"/>
      <c r="B324" s="156"/>
      <c r="C324" s="156"/>
      <c r="D324" s="156"/>
      <c r="E324" s="392"/>
      <c r="F324" s="392"/>
      <c r="G324" s="392"/>
      <c r="H324" s="392"/>
      <c r="I324" s="392"/>
      <c r="J324" s="392"/>
      <c r="K324" s="392"/>
      <c r="L324" s="392"/>
      <c r="M324" s="392"/>
      <c r="N324" s="392"/>
      <c r="O324" s="392"/>
      <c r="P324" s="392"/>
      <c r="Q324" s="392"/>
      <c r="R324" s="392"/>
      <c r="S324" s="392"/>
      <c r="T324" s="392"/>
      <c r="U324" s="392"/>
      <c r="V324" s="392"/>
      <c r="W324" s="392"/>
      <c r="X324" s="392"/>
      <c r="Y324" s="392"/>
      <c r="Z324" s="392"/>
      <c r="AA324" s="392"/>
      <c r="AB324" s="392"/>
      <c r="AC324" s="392"/>
      <c r="AD324" s="392"/>
      <c r="AE324" s="392"/>
      <c r="AF324" s="392"/>
      <c r="AG324" s="392"/>
      <c r="AH324" s="392"/>
      <c r="AI324" s="392"/>
      <c r="AJ324" s="392"/>
      <c r="AK324" s="392"/>
      <c r="AL324" s="392"/>
      <c r="AM324" s="392"/>
      <c r="AN324" s="392"/>
      <c r="AO324" s="392"/>
      <c r="AP324" s="392"/>
      <c r="AQ324" s="392"/>
      <c r="AR324" s="392"/>
      <c r="AS324" s="392"/>
      <c r="AT324" s="392"/>
      <c r="AU324" s="392"/>
      <c r="AV324" s="392"/>
      <c r="AW324" s="392"/>
      <c r="AX324" s="392"/>
      <c r="AY324" s="392"/>
      <c r="AZ324" s="392"/>
      <c r="BA324" s="392"/>
      <c r="BB324" s="392"/>
      <c r="BC324" s="392"/>
      <c r="BD324" s="392"/>
      <c r="BE324" s="392"/>
      <c r="BF324" s="392"/>
      <c r="BG324" s="392"/>
      <c r="BH324" s="392"/>
      <c r="BI324" s="392"/>
      <c r="BJ324" s="392"/>
      <c r="BK324" s="392"/>
      <c r="BL324" s="392"/>
      <c r="BM324" s="392"/>
      <c r="BN324" s="392"/>
      <c r="BO324" s="392"/>
      <c r="BP324" s="392"/>
      <c r="BQ324" s="392"/>
      <c r="BR324" s="392"/>
      <c r="BS324" s="392"/>
      <c r="BT324" s="392"/>
    </row>
    <row r="325" ht="15.75" customHeight="1">
      <c r="A325" s="216"/>
      <c r="B325" s="156"/>
      <c r="C325" s="156"/>
      <c r="D325" s="156"/>
      <c r="E325" s="392"/>
      <c r="F325" s="392"/>
      <c r="G325" s="392"/>
      <c r="H325" s="392"/>
      <c r="I325" s="392"/>
      <c r="J325" s="392"/>
      <c r="K325" s="392"/>
      <c r="L325" s="392"/>
      <c r="M325" s="392"/>
      <c r="N325" s="392"/>
      <c r="O325" s="392"/>
      <c r="P325" s="392"/>
      <c r="Q325" s="392"/>
      <c r="R325" s="392"/>
      <c r="S325" s="392"/>
      <c r="T325" s="392"/>
      <c r="U325" s="392"/>
      <c r="V325" s="392"/>
      <c r="W325" s="392"/>
      <c r="X325" s="392"/>
      <c r="Y325" s="392"/>
      <c r="Z325" s="392"/>
      <c r="AA325" s="392"/>
      <c r="AB325" s="392"/>
      <c r="AC325" s="392"/>
      <c r="AD325" s="392"/>
      <c r="AE325" s="392"/>
      <c r="AF325" s="392"/>
      <c r="AG325" s="392"/>
      <c r="AH325" s="392"/>
      <c r="AI325" s="392"/>
      <c r="AJ325" s="392"/>
      <c r="AK325" s="392"/>
      <c r="AL325" s="392"/>
      <c r="AM325" s="392"/>
      <c r="AN325" s="392"/>
      <c r="AO325" s="392"/>
      <c r="AP325" s="392"/>
      <c r="AQ325" s="392"/>
      <c r="AR325" s="392"/>
      <c r="AS325" s="392"/>
      <c r="AT325" s="392"/>
      <c r="AU325" s="392"/>
      <c r="AV325" s="392"/>
      <c r="AW325" s="392"/>
      <c r="AX325" s="392"/>
      <c r="AY325" s="392"/>
      <c r="AZ325" s="392"/>
      <c r="BA325" s="392"/>
      <c r="BB325" s="392"/>
      <c r="BC325" s="392"/>
      <c r="BD325" s="392"/>
      <c r="BE325" s="392"/>
      <c r="BF325" s="392"/>
      <c r="BG325" s="392"/>
      <c r="BH325" s="392"/>
      <c r="BI325" s="392"/>
      <c r="BJ325" s="392"/>
      <c r="BK325" s="392"/>
      <c r="BL325" s="392"/>
      <c r="BM325" s="392"/>
      <c r="BN325" s="392"/>
      <c r="BO325" s="392"/>
      <c r="BP325" s="392"/>
      <c r="BQ325" s="392"/>
      <c r="BR325" s="392"/>
      <c r="BS325" s="392"/>
      <c r="BT325" s="392"/>
    </row>
    <row r="326" ht="15.75" customHeight="1">
      <c r="A326" s="216"/>
      <c r="B326" s="156"/>
      <c r="C326" s="156"/>
      <c r="D326" s="156"/>
      <c r="E326" s="392"/>
      <c r="F326" s="392"/>
      <c r="G326" s="392"/>
      <c r="H326" s="392"/>
      <c r="I326" s="392"/>
      <c r="J326" s="392"/>
      <c r="K326" s="392"/>
      <c r="L326" s="392"/>
      <c r="M326" s="392"/>
      <c r="N326" s="392"/>
      <c r="O326" s="392"/>
      <c r="P326" s="392"/>
      <c r="Q326" s="392"/>
      <c r="R326" s="392"/>
      <c r="S326" s="392"/>
      <c r="T326" s="392"/>
      <c r="U326" s="392"/>
      <c r="V326" s="392"/>
      <c r="W326" s="392"/>
      <c r="X326" s="392"/>
      <c r="Y326" s="392"/>
      <c r="Z326" s="392"/>
      <c r="AA326" s="392"/>
      <c r="AB326" s="392"/>
      <c r="AC326" s="392"/>
      <c r="AD326" s="392"/>
      <c r="AE326" s="392"/>
      <c r="AF326" s="392"/>
      <c r="AG326" s="392"/>
      <c r="AH326" s="392"/>
      <c r="AI326" s="392"/>
      <c r="AJ326" s="392"/>
      <c r="AK326" s="392"/>
      <c r="AL326" s="392"/>
      <c r="AM326" s="392"/>
      <c r="AN326" s="392"/>
      <c r="AO326" s="392"/>
      <c r="AP326" s="392"/>
      <c r="AQ326" s="392"/>
      <c r="AR326" s="392"/>
      <c r="AS326" s="392"/>
      <c r="AT326" s="392"/>
      <c r="AU326" s="392"/>
      <c r="AV326" s="392"/>
      <c r="AW326" s="392"/>
      <c r="AX326" s="392"/>
      <c r="AY326" s="392"/>
      <c r="AZ326" s="392"/>
      <c r="BA326" s="392"/>
      <c r="BB326" s="392"/>
      <c r="BC326" s="392"/>
      <c r="BD326" s="392"/>
      <c r="BE326" s="392"/>
      <c r="BF326" s="392"/>
      <c r="BG326" s="392"/>
      <c r="BH326" s="392"/>
      <c r="BI326" s="392"/>
      <c r="BJ326" s="392"/>
      <c r="BK326" s="392"/>
      <c r="BL326" s="392"/>
      <c r="BM326" s="392"/>
      <c r="BN326" s="392"/>
      <c r="BO326" s="392"/>
      <c r="BP326" s="392"/>
      <c r="BQ326" s="392"/>
      <c r="BR326" s="392"/>
      <c r="BS326" s="392"/>
      <c r="BT326" s="392"/>
    </row>
    <row r="327" ht="15.75" customHeight="1">
      <c r="A327" s="216"/>
      <c r="B327" s="156"/>
      <c r="C327" s="156"/>
      <c r="D327" s="156"/>
      <c r="E327" s="392"/>
      <c r="F327" s="392"/>
      <c r="G327" s="392"/>
      <c r="H327" s="392"/>
      <c r="I327" s="392"/>
      <c r="J327" s="392"/>
      <c r="K327" s="392"/>
      <c r="L327" s="392"/>
      <c r="M327" s="392"/>
      <c r="N327" s="392"/>
      <c r="O327" s="392"/>
      <c r="P327" s="392"/>
      <c r="Q327" s="392"/>
      <c r="R327" s="392"/>
      <c r="S327" s="392"/>
      <c r="T327" s="392"/>
      <c r="U327" s="392"/>
      <c r="V327" s="392"/>
      <c r="W327" s="392"/>
      <c r="X327" s="392"/>
      <c r="Y327" s="392"/>
      <c r="Z327" s="392"/>
      <c r="AA327" s="392"/>
      <c r="AB327" s="392"/>
      <c r="AC327" s="392"/>
      <c r="AD327" s="392"/>
      <c r="AE327" s="392"/>
      <c r="AF327" s="392"/>
      <c r="AG327" s="392"/>
      <c r="AH327" s="392"/>
      <c r="AI327" s="392"/>
      <c r="AJ327" s="392"/>
      <c r="AK327" s="392"/>
      <c r="AL327" s="392"/>
      <c r="AM327" s="392"/>
      <c r="AN327" s="392"/>
      <c r="AO327" s="392"/>
      <c r="AP327" s="392"/>
      <c r="AQ327" s="392"/>
      <c r="AR327" s="392"/>
      <c r="AS327" s="392"/>
      <c r="AT327" s="392"/>
      <c r="AU327" s="392"/>
      <c r="AV327" s="392"/>
      <c r="AW327" s="392"/>
      <c r="AX327" s="392"/>
      <c r="AY327" s="392"/>
      <c r="AZ327" s="392"/>
      <c r="BA327" s="392"/>
      <c r="BB327" s="392"/>
      <c r="BC327" s="392"/>
      <c r="BD327" s="392"/>
      <c r="BE327" s="392"/>
      <c r="BF327" s="392"/>
      <c r="BG327" s="392"/>
      <c r="BH327" s="392"/>
      <c r="BI327" s="392"/>
      <c r="BJ327" s="392"/>
      <c r="BK327" s="392"/>
      <c r="BL327" s="392"/>
      <c r="BM327" s="392"/>
      <c r="BN327" s="392"/>
      <c r="BO327" s="392"/>
      <c r="BP327" s="392"/>
      <c r="BQ327" s="392"/>
      <c r="BR327" s="392"/>
      <c r="BS327" s="392"/>
      <c r="BT327" s="392"/>
    </row>
    <row r="328" ht="15.75" customHeight="1">
      <c r="A328" s="216"/>
      <c r="B328" s="156"/>
      <c r="C328" s="156"/>
      <c r="D328" s="156"/>
      <c r="E328" s="392"/>
      <c r="F328" s="392"/>
      <c r="G328" s="392"/>
      <c r="H328" s="392"/>
      <c r="I328" s="392"/>
      <c r="J328" s="392"/>
      <c r="K328" s="392"/>
      <c r="L328" s="392"/>
      <c r="M328" s="392"/>
      <c r="N328" s="392"/>
      <c r="O328" s="392"/>
      <c r="P328" s="392"/>
      <c r="Q328" s="392"/>
      <c r="R328" s="392"/>
      <c r="S328" s="392"/>
      <c r="T328" s="392"/>
      <c r="U328" s="392"/>
      <c r="V328" s="392"/>
      <c r="W328" s="392"/>
      <c r="X328" s="392"/>
      <c r="Y328" s="392"/>
      <c r="Z328" s="392"/>
      <c r="AA328" s="392"/>
      <c r="AB328" s="392"/>
      <c r="AC328" s="392"/>
      <c r="AD328" s="392"/>
      <c r="AE328" s="392"/>
      <c r="AF328" s="392"/>
      <c r="AG328" s="392"/>
      <c r="AH328" s="392"/>
      <c r="AI328" s="392"/>
      <c r="AJ328" s="392"/>
      <c r="AK328" s="392"/>
      <c r="AL328" s="392"/>
      <c r="AM328" s="392"/>
      <c r="AN328" s="392"/>
      <c r="AO328" s="392"/>
      <c r="AP328" s="392"/>
      <c r="AQ328" s="392"/>
      <c r="AR328" s="392"/>
      <c r="AS328" s="392"/>
      <c r="AT328" s="392"/>
      <c r="AU328" s="392"/>
      <c r="AV328" s="392"/>
      <c r="AW328" s="392"/>
      <c r="AX328" s="392"/>
      <c r="AY328" s="392"/>
      <c r="AZ328" s="392"/>
      <c r="BA328" s="392"/>
      <c r="BB328" s="392"/>
      <c r="BC328" s="392"/>
      <c r="BD328" s="392"/>
      <c r="BE328" s="392"/>
      <c r="BF328" s="392"/>
      <c r="BG328" s="392"/>
      <c r="BH328" s="392"/>
      <c r="BI328" s="392"/>
      <c r="BJ328" s="392"/>
      <c r="BK328" s="392"/>
      <c r="BL328" s="392"/>
      <c r="BM328" s="392"/>
      <c r="BN328" s="392"/>
      <c r="BO328" s="392"/>
      <c r="BP328" s="392"/>
      <c r="BQ328" s="392"/>
      <c r="BR328" s="392"/>
      <c r="BS328" s="392"/>
      <c r="BT328" s="392"/>
    </row>
    <row r="329" ht="15.75" customHeight="1">
      <c r="A329" s="216"/>
      <c r="B329" s="156"/>
      <c r="C329" s="156"/>
      <c r="D329" s="156"/>
      <c r="E329" s="392"/>
      <c r="F329" s="392"/>
      <c r="G329" s="392"/>
      <c r="H329" s="392"/>
      <c r="I329" s="392"/>
      <c r="J329" s="392"/>
      <c r="K329" s="392"/>
      <c r="L329" s="392"/>
      <c r="M329" s="392"/>
      <c r="N329" s="392"/>
      <c r="O329" s="392"/>
      <c r="P329" s="392"/>
      <c r="Q329" s="392"/>
      <c r="R329" s="392"/>
      <c r="S329" s="392"/>
      <c r="T329" s="392"/>
      <c r="U329" s="392"/>
      <c r="V329" s="392"/>
      <c r="W329" s="392"/>
      <c r="X329" s="392"/>
      <c r="Y329" s="392"/>
      <c r="Z329" s="392"/>
      <c r="AA329" s="392"/>
      <c r="AB329" s="392"/>
      <c r="AC329" s="392"/>
      <c r="AD329" s="392"/>
      <c r="AE329" s="392"/>
      <c r="AF329" s="392"/>
      <c r="AG329" s="392"/>
      <c r="AH329" s="392"/>
      <c r="AI329" s="392"/>
      <c r="AJ329" s="392"/>
      <c r="AK329" s="392"/>
      <c r="AL329" s="392"/>
      <c r="AM329" s="392"/>
      <c r="AN329" s="392"/>
      <c r="AO329" s="392"/>
      <c r="AP329" s="392"/>
      <c r="AQ329" s="392"/>
      <c r="AR329" s="392"/>
      <c r="AS329" s="392"/>
      <c r="AT329" s="392"/>
      <c r="AU329" s="392"/>
      <c r="AV329" s="392"/>
      <c r="AW329" s="392"/>
      <c r="AX329" s="392"/>
      <c r="AY329" s="392"/>
      <c r="AZ329" s="392"/>
      <c r="BA329" s="392"/>
      <c r="BB329" s="392"/>
      <c r="BC329" s="392"/>
      <c r="BD329" s="392"/>
      <c r="BE329" s="392"/>
      <c r="BF329" s="392"/>
      <c r="BG329" s="392"/>
      <c r="BH329" s="392"/>
      <c r="BI329" s="392"/>
      <c r="BJ329" s="392"/>
      <c r="BK329" s="392"/>
      <c r="BL329" s="392"/>
      <c r="BM329" s="392"/>
      <c r="BN329" s="392"/>
      <c r="BO329" s="392"/>
      <c r="BP329" s="392"/>
      <c r="BQ329" s="392"/>
      <c r="BR329" s="392"/>
      <c r="BS329" s="392"/>
      <c r="BT329" s="392"/>
    </row>
    <row r="330" ht="15.75" customHeight="1">
      <c r="A330" s="216"/>
      <c r="B330" s="156"/>
      <c r="C330" s="156"/>
      <c r="D330" s="156"/>
      <c r="E330" s="392"/>
      <c r="F330" s="392"/>
      <c r="G330" s="392"/>
      <c r="H330" s="392"/>
      <c r="I330" s="392"/>
      <c r="J330" s="392"/>
      <c r="K330" s="392"/>
      <c r="L330" s="392"/>
      <c r="M330" s="392"/>
      <c r="N330" s="392"/>
      <c r="O330" s="392"/>
      <c r="P330" s="392"/>
      <c r="Q330" s="392"/>
      <c r="R330" s="392"/>
      <c r="S330" s="392"/>
      <c r="T330" s="392"/>
      <c r="U330" s="392"/>
      <c r="V330" s="392"/>
      <c r="W330" s="392"/>
      <c r="X330" s="392"/>
      <c r="Y330" s="392"/>
      <c r="Z330" s="392"/>
      <c r="AA330" s="392"/>
      <c r="AB330" s="392"/>
      <c r="AC330" s="392"/>
      <c r="AD330" s="392"/>
      <c r="AE330" s="392"/>
      <c r="AF330" s="392"/>
      <c r="AG330" s="392"/>
      <c r="AH330" s="392"/>
      <c r="AI330" s="392"/>
      <c r="AJ330" s="392"/>
      <c r="AK330" s="392"/>
      <c r="AL330" s="392"/>
      <c r="AM330" s="392"/>
      <c r="AN330" s="392"/>
      <c r="AO330" s="392"/>
      <c r="AP330" s="392"/>
      <c r="AQ330" s="392"/>
      <c r="AR330" s="392"/>
      <c r="AS330" s="392"/>
      <c r="AT330" s="392"/>
      <c r="AU330" s="392"/>
      <c r="AV330" s="392"/>
      <c r="AW330" s="392"/>
      <c r="AX330" s="392"/>
      <c r="AY330" s="392"/>
      <c r="AZ330" s="392"/>
      <c r="BA330" s="392"/>
      <c r="BB330" s="392"/>
      <c r="BC330" s="392"/>
      <c r="BD330" s="392"/>
      <c r="BE330" s="392"/>
      <c r="BF330" s="392"/>
      <c r="BG330" s="392"/>
      <c r="BH330" s="392"/>
      <c r="BI330" s="392"/>
      <c r="BJ330" s="392"/>
      <c r="BK330" s="392"/>
      <c r="BL330" s="392"/>
      <c r="BM330" s="392"/>
      <c r="BN330" s="392"/>
      <c r="BO330" s="392"/>
      <c r="BP330" s="392"/>
      <c r="BQ330" s="392"/>
      <c r="BR330" s="392"/>
      <c r="BS330" s="392"/>
      <c r="BT330" s="392"/>
    </row>
    <row r="331" ht="15.75" customHeight="1">
      <c r="A331" s="216"/>
      <c r="B331" s="156"/>
      <c r="C331" s="156"/>
      <c r="D331" s="156"/>
      <c r="E331" s="392"/>
      <c r="F331" s="392"/>
      <c r="G331" s="392"/>
      <c r="H331" s="392"/>
      <c r="I331" s="392"/>
      <c r="J331" s="392"/>
      <c r="K331" s="392"/>
      <c r="L331" s="392"/>
      <c r="M331" s="392"/>
      <c r="N331" s="392"/>
      <c r="O331" s="392"/>
      <c r="P331" s="392"/>
      <c r="Q331" s="392"/>
      <c r="R331" s="392"/>
      <c r="S331" s="392"/>
      <c r="T331" s="392"/>
      <c r="U331" s="392"/>
      <c r="V331" s="392"/>
      <c r="W331" s="392"/>
      <c r="X331" s="392"/>
      <c r="Y331" s="392"/>
      <c r="Z331" s="392"/>
      <c r="AA331" s="392"/>
      <c r="AB331" s="392"/>
      <c r="AC331" s="392"/>
      <c r="AD331" s="392"/>
      <c r="AE331" s="392"/>
      <c r="AF331" s="392"/>
      <c r="AG331" s="392"/>
      <c r="AH331" s="392"/>
      <c r="AI331" s="392"/>
      <c r="AJ331" s="392"/>
      <c r="AK331" s="392"/>
      <c r="AL331" s="392"/>
      <c r="AM331" s="392"/>
      <c r="AN331" s="392"/>
      <c r="AO331" s="392"/>
      <c r="AP331" s="392"/>
      <c r="AQ331" s="392"/>
      <c r="AR331" s="392"/>
      <c r="AS331" s="392"/>
      <c r="AT331" s="392"/>
      <c r="AU331" s="392"/>
      <c r="AV331" s="392"/>
      <c r="AW331" s="392"/>
      <c r="AX331" s="392"/>
      <c r="AY331" s="392"/>
      <c r="AZ331" s="392"/>
      <c r="BA331" s="392"/>
      <c r="BB331" s="392"/>
      <c r="BC331" s="392"/>
      <c r="BD331" s="392"/>
      <c r="BE331" s="392"/>
      <c r="BF331" s="392"/>
      <c r="BG331" s="392"/>
      <c r="BH331" s="392"/>
      <c r="BI331" s="392"/>
      <c r="BJ331" s="392"/>
      <c r="BK331" s="392"/>
      <c r="BL331" s="392"/>
      <c r="BM331" s="392"/>
      <c r="BN331" s="392"/>
      <c r="BO331" s="392"/>
      <c r="BP331" s="392"/>
      <c r="BQ331" s="392"/>
      <c r="BR331" s="392"/>
      <c r="BS331" s="392"/>
      <c r="BT331" s="392"/>
    </row>
    <row r="332" ht="15.75" customHeight="1">
      <c r="A332" s="216"/>
      <c r="B332" s="156"/>
      <c r="C332" s="156"/>
      <c r="D332" s="156"/>
      <c r="E332" s="392"/>
      <c r="F332" s="392"/>
      <c r="G332" s="392"/>
      <c r="H332" s="392"/>
      <c r="I332" s="392"/>
      <c r="J332" s="392"/>
      <c r="K332" s="392"/>
      <c r="L332" s="392"/>
      <c r="M332" s="392"/>
      <c r="N332" s="392"/>
      <c r="O332" s="392"/>
      <c r="P332" s="392"/>
      <c r="Q332" s="392"/>
      <c r="R332" s="392"/>
      <c r="S332" s="392"/>
      <c r="T332" s="392"/>
      <c r="U332" s="392"/>
      <c r="V332" s="392"/>
      <c r="W332" s="392"/>
      <c r="X332" s="392"/>
      <c r="Y332" s="392"/>
      <c r="Z332" s="392"/>
      <c r="AA332" s="392"/>
      <c r="AB332" s="392"/>
      <c r="AC332" s="392"/>
      <c r="AD332" s="392"/>
      <c r="AE332" s="392"/>
      <c r="AF332" s="392"/>
      <c r="AG332" s="392"/>
      <c r="AH332" s="392"/>
      <c r="AI332" s="392"/>
      <c r="AJ332" s="392"/>
      <c r="AK332" s="392"/>
      <c r="AL332" s="392"/>
      <c r="AM332" s="392"/>
      <c r="AN332" s="392"/>
      <c r="AO332" s="392"/>
      <c r="AP332" s="392"/>
      <c r="AQ332" s="392"/>
      <c r="AR332" s="392"/>
      <c r="AS332" s="392"/>
      <c r="AT332" s="392"/>
      <c r="AU332" s="392"/>
      <c r="AV332" s="392"/>
      <c r="AW332" s="392"/>
      <c r="AX332" s="392"/>
      <c r="AY332" s="392"/>
      <c r="AZ332" s="392"/>
      <c r="BA332" s="392"/>
      <c r="BB332" s="392"/>
      <c r="BC332" s="392"/>
      <c r="BD332" s="392"/>
      <c r="BE332" s="392"/>
      <c r="BF332" s="392"/>
      <c r="BG332" s="392"/>
      <c r="BH332" s="392"/>
      <c r="BI332" s="392"/>
      <c r="BJ332" s="392"/>
      <c r="BK332" s="392"/>
      <c r="BL332" s="392"/>
      <c r="BM332" s="392"/>
      <c r="BN332" s="392"/>
      <c r="BO332" s="392"/>
      <c r="BP332" s="392"/>
      <c r="BQ332" s="392"/>
      <c r="BR332" s="392"/>
      <c r="BS332" s="392"/>
      <c r="BT332" s="392"/>
    </row>
    <row r="333" ht="15.75" customHeight="1">
      <c r="A333" s="216"/>
      <c r="B333" s="156"/>
      <c r="C333" s="156"/>
      <c r="D333" s="156"/>
      <c r="E333" s="392"/>
      <c r="F333" s="392"/>
      <c r="G333" s="392"/>
      <c r="H333" s="392"/>
      <c r="I333" s="392"/>
      <c r="J333" s="392"/>
      <c r="K333" s="392"/>
      <c r="L333" s="392"/>
      <c r="M333" s="392"/>
      <c r="N333" s="392"/>
      <c r="O333" s="392"/>
      <c r="P333" s="392"/>
      <c r="Q333" s="392"/>
      <c r="R333" s="392"/>
      <c r="S333" s="392"/>
      <c r="T333" s="392"/>
      <c r="U333" s="392"/>
      <c r="V333" s="392"/>
      <c r="W333" s="392"/>
      <c r="X333" s="392"/>
      <c r="Y333" s="392"/>
      <c r="Z333" s="392"/>
      <c r="AA333" s="392"/>
      <c r="AB333" s="392"/>
      <c r="AC333" s="392"/>
      <c r="AD333" s="392"/>
      <c r="AE333" s="392"/>
      <c r="AF333" s="392"/>
      <c r="AG333" s="392"/>
      <c r="AH333" s="392"/>
      <c r="AI333" s="392"/>
      <c r="AJ333" s="392"/>
      <c r="AK333" s="392"/>
      <c r="AL333" s="392"/>
      <c r="AM333" s="392"/>
      <c r="AN333" s="392"/>
      <c r="AO333" s="392"/>
      <c r="AP333" s="392"/>
      <c r="AQ333" s="392"/>
      <c r="AR333" s="392"/>
      <c r="AS333" s="392"/>
      <c r="AT333" s="392"/>
      <c r="AU333" s="392"/>
      <c r="AV333" s="392"/>
      <c r="AW333" s="392"/>
      <c r="AX333" s="392"/>
      <c r="AY333" s="392"/>
      <c r="AZ333" s="392"/>
      <c r="BA333" s="392"/>
      <c r="BB333" s="392"/>
      <c r="BC333" s="392"/>
      <c r="BD333" s="392"/>
      <c r="BE333" s="392"/>
      <c r="BF333" s="392"/>
      <c r="BG333" s="392"/>
      <c r="BH333" s="392"/>
      <c r="BI333" s="392"/>
      <c r="BJ333" s="392"/>
      <c r="BK333" s="392"/>
      <c r="BL333" s="392"/>
      <c r="BM333" s="392"/>
      <c r="BN333" s="392"/>
      <c r="BO333" s="392"/>
      <c r="BP333" s="392"/>
      <c r="BQ333" s="392"/>
      <c r="BR333" s="392"/>
      <c r="BS333" s="392"/>
      <c r="BT333" s="392"/>
    </row>
    <row r="334" ht="15.75" customHeight="1">
      <c r="A334" s="216"/>
      <c r="B334" s="156"/>
      <c r="C334" s="156"/>
      <c r="D334" s="156"/>
      <c r="E334" s="392"/>
      <c r="F334" s="392"/>
      <c r="G334" s="392"/>
      <c r="H334" s="392"/>
      <c r="I334" s="392"/>
      <c r="J334" s="392"/>
      <c r="K334" s="392"/>
      <c r="L334" s="392"/>
      <c r="M334" s="392"/>
      <c r="N334" s="392"/>
      <c r="O334" s="392"/>
      <c r="P334" s="392"/>
      <c r="Q334" s="392"/>
      <c r="R334" s="392"/>
      <c r="S334" s="392"/>
      <c r="T334" s="392"/>
      <c r="U334" s="392"/>
      <c r="V334" s="392"/>
      <c r="W334" s="392"/>
      <c r="X334" s="392"/>
      <c r="Y334" s="392"/>
      <c r="Z334" s="392"/>
      <c r="AA334" s="392"/>
      <c r="AB334" s="392"/>
      <c r="AC334" s="392"/>
      <c r="AD334" s="392"/>
      <c r="AE334" s="392"/>
      <c r="AF334" s="392"/>
      <c r="AG334" s="392"/>
      <c r="AH334" s="392"/>
      <c r="AI334" s="392"/>
      <c r="AJ334" s="392"/>
      <c r="AK334" s="392"/>
      <c r="AL334" s="392"/>
      <c r="AM334" s="392"/>
      <c r="AN334" s="392"/>
      <c r="AO334" s="392"/>
      <c r="AP334" s="392"/>
      <c r="AQ334" s="392"/>
      <c r="AR334" s="392"/>
      <c r="AS334" s="392"/>
      <c r="AT334" s="392"/>
      <c r="AU334" s="392"/>
      <c r="AV334" s="392"/>
      <c r="AW334" s="392"/>
      <c r="AX334" s="392"/>
      <c r="AY334" s="392"/>
      <c r="AZ334" s="392"/>
      <c r="BA334" s="392"/>
      <c r="BB334" s="392"/>
      <c r="BC334" s="392"/>
      <c r="BD334" s="392"/>
      <c r="BE334" s="392"/>
      <c r="BF334" s="392"/>
      <c r="BG334" s="392"/>
      <c r="BH334" s="392"/>
      <c r="BI334" s="392"/>
      <c r="BJ334" s="392"/>
      <c r="BK334" s="392"/>
      <c r="BL334" s="392"/>
      <c r="BM334" s="392"/>
      <c r="BN334" s="392"/>
      <c r="BO334" s="392"/>
      <c r="BP334" s="392"/>
      <c r="BQ334" s="392"/>
      <c r="BR334" s="392"/>
      <c r="BS334" s="392"/>
      <c r="BT334" s="392"/>
    </row>
    <row r="335" ht="15.75" customHeight="1">
      <c r="A335" s="216"/>
      <c r="B335" s="156"/>
      <c r="C335" s="156"/>
      <c r="D335" s="156"/>
      <c r="E335" s="392"/>
      <c r="F335" s="392"/>
      <c r="G335" s="392"/>
      <c r="H335" s="392"/>
      <c r="I335" s="392"/>
      <c r="J335" s="392"/>
      <c r="K335" s="392"/>
      <c r="L335" s="392"/>
      <c r="M335" s="392"/>
      <c r="N335" s="392"/>
      <c r="O335" s="392"/>
      <c r="P335" s="392"/>
      <c r="Q335" s="392"/>
      <c r="R335" s="392"/>
      <c r="S335" s="392"/>
      <c r="T335" s="392"/>
      <c r="U335" s="392"/>
      <c r="V335" s="392"/>
      <c r="W335" s="392"/>
      <c r="X335" s="392"/>
      <c r="Y335" s="392"/>
      <c r="Z335" s="392"/>
      <c r="AA335" s="392"/>
      <c r="AB335" s="392"/>
      <c r="AC335" s="392"/>
      <c r="AD335" s="392"/>
      <c r="AE335" s="392"/>
      <c r="AF335" s="392"/>
      <c r="AG335" s="392"/>
      <c r="AH335" s="392"/>
      <c r="AI335" s="392"/>
      <c r="AJ335" s="392"/>
      <c r="AK335" s="392"/>
      <c r="AL335" s="392"/>
      <c r="AM335" s="392"/>
      <c r="AN335" s="392"/>
      <c r="AO335" s="392"/>
      <c r="AP335" s="392"/>
      <c r="AQ335" s="392"/>
      <c r="AR335" s="392"/>
      <c r="AS335" s="392"/>
      <c r="AT335" s="392"/>
      <c r="AU335" s="392"/>
      <c r="AV335" s="392"/>
      <c r="AW335" s="392"/>
      <c r="AX335" s="392"/>
      <c r="AY335" s="392"/>
      <c r="AZ335" s="392"/>
      <c r="BA335" s="392"/>
      <c r="BB335" s="392"/>
      <c r="BC335" s="392"/>
      <c r="BD335" s="392"/>
      <c r="BE335" s="392"/>
      <c r="BF335" s="392"/>
      <c r="BG335" s="392"/>
      <c r="BH335" s="392"/>
      <c r="BI335" s="392"/>
      <c r="BJ335" s="392"/>
      <c r="BK335" s="392"/>
      <c r="BL335" s="392"/>
      <c r="BM335" s="392"/>
      <c r="BN335" s="392"/>
      <c r="BO335" s="392"/>
      <c r="BP335" s="392"/>
      <c r="BQ335" s="392"/>
      <c r="BR335" s="392"/>
      <c r="BS335" s="392"/>
      <c r="BT335" s="392"/>
    </row>
    <row r="336" ht="15.75" customHeight="1">
      <c r="A336" s="216"/>
      <c r="B336" s="156"/>
      <c r="C336" s="156"/>
      <c r="D336" s="156"/>
      <c r="E336" s="392"/>
      <c r="F336" s="392"/>
      <c r="G336" s="392"/>
      <c r="H336" s="392"/>
      <c r="I336" s="392"/>
      <c r="J336" s="392"/>
      <c r="K336" s="392"/>
      <c r="L336" s="392"/>
      <c r="M336" s="392"/>
      <c r="N336" s="392"/>
      <c r="O336" s="392"/>
      <c r="P336" s="392"/>
      <c r="Q336" s="392"/>
      <c r="R336" s="392"/>
      <c r="S336" s="392"/>
      <c r="T336" s="392"/>
      <c r="U336" s="392"/>
      <c r="V336" s="392"/>
      <c r="W336" s="392"/>
      <c r="X336" s="392"/>
      <c r="Y336" s="392"/>
      <c r="Z336" s="392"/>
      <c r="AA336" s="392"/>
      <c r="AB336" s="392"/>
      <c r="AC336" s="392"/>
      <c r="AD336" s="392"/>
      <c r="AE336" s="392"/>
      <c r="AF336" s="392"/>
      <c r="AG336" s="392"/>
      <c r="AH336" s="392"/>
      <c r="AI336" s="392"/>
      <c r="AJ336" s="392"/>
      <c r="AK336" s="392"/>
      <c r="AL336" s="392"/>
      <c r="AM336" s="392"/>
      <c r="AN336" s="392"/>
      <c r="AO336" s="392"/>
      <c r="AP336" s="392"/>
      <c r="AQ336" s="392"/>
      <c r="AR336" s="392"/>
      <c r="AS336" s="392"/>
      <c r="AT336" s="392"/>
      <c r="AU336" s="392"/>
      <c r="AV336" s="392"/>
      <c r="AW336" s="392"/>
      <c r="AX336" s="392"/>
      <c r="AY336" s="392"/>
      <c r="AZ336" s="392"/>
      <c r="BA336" s="392"/>
      <c r="BB336" s="392"/>
      <c r="BC336" s="392"/>
      <c r="BD336" s="392"/>
      <c r="BE336" s="392"/>
      <c r="BF336" s="392"/>
      <c r="BG336" s="392"/>
      <c r="BH336" s="392"/>
      <c r="BI336" s="392"/>
      <c r="BJ336" s="392"/>
      <c r="BK336" s="392"/>
      <c r="BL336" s="392"/>
      <c r="BM336" s="392"/>
      <c r="BN336" s="392"/>
      <c r="BO336" s="392"/>
      <c r="BP336" s="392"/>
      <c r="BQ336" s="392"/>
      <c r="BR336" s="392"/>
      <c r="BS336" s="392"/>
      <c r="BT336" s="392"/>
    </row>
    <row r="337" ht="15.75" customHeight="1">
      <c r="A337" s="216"/>
      <c r="B337" s="156"/>
      <c r="C337" s="156"/>
      <c r="D337" s="156"/>
      <c r="E337" s="392"/>
      <c r="F337" s="392"/>
      <c r="G337" s="392"/>
      <c r="H337" s="392"/>
      <c r="I337" s="392"/>
      <c r="J337" s="392"/>
      <c r="K337" s="392"/>
      <c r="L337" s="392"/>
      <c r="M337" s="392"/>
      <c r="N337" s="392"/>
      <c r="O337" s="392"/>
      <c r="P337" s="392"/>
      <c r="Q337" s="392"/>
      <c r="R337" s="392"/>
      <c r="S337" s="392"/>
      <c r="T337" s="392"/>
      <c r="U337" s="392"/>
      <c r="V337" s="392"/>
      <c r="W337" s="392"/>
      <c r="X337" s="392"/>
      <c r="Y337" s="392"/>
      <c r="Z337" s="392"/>
      <c r="AA337" s="392"/>
      <c r="AB337" s="392"/>
      <c r="AC337" s="392"/>
      <c r="AD337" s="392"/>
      <c r="AE337" s="392"/>
      <c r="AF337" s="392"/>
      <c r="AG337" s="392"/>
      <c r="AH337" s="392"/>
      <c r="AI337" s="392"/>
      <c r="AJ337" s="392"/>
      <c r="AK337" s="392"/>
      <c r="AL337" s="392"/>
      <c r="AM337" s="392"/>
      <c r="AN337" s="392"/>
      <c r="AO337" s="392"/>
      <c r="AP337" s="392"/>
      <c r="AQ337" s="392"/>
      <c r="AR337" s="392"/>
      <c r="AS337" s="392"/>
      <c r="AT337" s="392"/>
      <c r="AU337" s="392"/>
      <c r="AV337" s="392"/>
      <c r="AW337" s="392"/>
      <c r="AX337" s="392"/>
      <c r="AY337" s="392"/>
      <c r="AZ337" s="392"/>
      <c r="BA337" s="392"/>
      <c r="BB337" s="392"/>
      <c r="BC337" s="392"/>
      <c r="BD337" s="392"/>
      <c r="BE337" s="392"/>
      <c r="BF337" s="392"/>
      <c r="BG337" s="392"/>
      <c r="BH337" s="392"/>
      <c r="BI337" s="392"/>
      <c r="BJ337" s="392"/>
      <c r="BK337" s="392"/>
      <c r="BL337" s="392"/>
      <c r="BM337" s="392"/>
      <c r="BN337" s="392"/>
      <c r="BO337" s="392"/>
      <c r="BP337" s="392"/>
      <c r="BQ337" s="392"/>
      <c r="BR337" s="392"/>
      <c r="BS337" s="392"/>
      <c r="BT337" s="392"/>
    </row>
    <row r="338" ht="15.75" customHeight="1">
      <c r="A338" s="216"/>
      <c r="B338" s="156"/>
      <c r="C338" s="156"/>
      <c r="D338" s="156"/>
      <c r="E338" s="392"/>
      <c r="F338" s="392"/>
      <c r="G338" s="392"/>
      <c r="H338" s="392"/>
      <c r="I338" s="392"/>
      <c r="J338" s="392"/>
      <c r="K338" s="392"/>
      <c r="L338" s="392"/>
      <c r="M338" s="392"/>
      <c r="N338" s="392"/>
      <c r="O338" s="392"/>
      <c r="P338" s="392"/>
      <c r="Q338" s="392"/>
      <c r="R338" s="392"/>
      <c r="S338" s="392"/>
      <c r="T338" s="392"/>
      <c r="U338" s="392"/>
      <c r="V338" s="392"/>
      <c r="W338" s="392"/>
      <c r="X338" s="392"/>
      <c r="Y338" s="392"/>
      <c r="Z338" s="392"/>
      <c r="AA338" s="392"/>
      <c r="AB338" s="392"/>
      <c r="AC338" s="392"/>
      <c r="AD338" s="392"/>
      <c r="AE338" s="392"/>
      <c r="AF338" s="392"/>
      <c r="AG338" s="392"/>
      <c r="AH338" s="392"/>
      <c r="AI338" s="392"/>
      <c r="AJ338" s="392"/>
      <c r="AK338" s="392"/>
      <c r="AL338" s="392"/>
      <c r="AM338" s="392"/>
      <c r="AN338" s="392"/>
      <c r="AO338" s="392"/>
      <c r="AP338" s="392"/>
      <c r="AQ338" s="392"/>
      <c r="AR338" s="392"/>
      <c r="AS338" s="392"/>
      <c r="AT338" s="392"/>
      <c r="AU338" s="392"/>
      <c r="AV338" s="392"/>
      <c r="AW338" s="392"/>
      <c r="AX338" s="392"/>
      <c r="AY338" s="392"/>
      <c r="AZ338" s="392"/>
      <c r="BA338" s="392"/>
      <c r="BB338" s="392"/>
      <c r="BC338" s="392"/>
      <c r="BD338" s="392"/>
      <c r="BE338" s="392"/>
      <c r="BF338" s="392"/>
      <c r="BG338" s="392"/>
      <c r="BH338" s="392"/>
      <c r="BI338" s="392"/>
      <c r="BJ338" s="392"/>
      <c r="BK338" s="392"/>
      <c r="BL338" s="392"/>
      <c r="BM338" s="392"/>
      <c r="BN338" s="392"/>
      <c r="BO338" s="392"/>
      <c r="BP338" s="392"/>
      <c r="BQ338" s="392"/>
      <c r="BR338" s="392"/>
      <c r="BS338" s="392"/>
      <c r="BT338" s="392"/>
    </row>
    <row r="339" ht="15.75" customHeight="1">
      <c r="A339" s="216"/>
      <c r="B339" s="156"/>
      <c r="C339" s="156"/>
      <c r="D339" s="156"/>
      <c r="E339" s="392"/>
      <c r="F339" s="392"/>
      <c r="G339" s="392"/>
      <c r="H339" s="392"/>
      <c r="I339" s="392"/>
      <c r="J339" s="392"/>
      <c r="K339" s="392"/>
      <c r="L339" s="392"/>
      <c r="M339" s="392"/>
      <c r="N339" s="392"/>
      <c r="O339" s="392"/>
      <c r="P339" s="392"/>
      <c r="Q339" s="392"/>
      <c r="R339" s="392"/>
      <c r="S339" s="392"/>
      <c r="T339" s="392"/>
      <c r="U339" s="392"/>
      <c r="V339" s="392"/>
      <c r="W339" s="392"/>
      <c r="X339" s="392"/>
      <c r="Y339" s="392"/>
      <c r="Z339" s="392"/>
      <c r="AA339" s="392"/>
      <c r="AB339" s="392"/>
      <c r="AC339" s="392"/>
      <c r="AD339" s="392"/>
      <c r="AE339" s="392"/>
      <c r="AF339" s="392"/>
      <c r="AG339" s="392"/>
      <c r="AH339" s="392"/>
      <c r="AI339" s="392"/>
      <c r="AJ339" s="392"/>
      <c r="AK339" s="392"/>
      <c r="AL339" s="392"/>
      <c r="AM339" s="392"/>
      <c r="AN339" s="392"/>
      <c r="AO339" s="392"/>
      <c r="AP339" s="392"/>
      <c r="AQ339" s="392"/>
      <c r="AR339" s="392"/>
      <c r="AS339" s="392"/>
      <c r="AT339" s="392"/>
      <c r="AU339" s="392"/>
      <c r="AV339" s="392"/>
      <c r="AW339" s="392"/>
      <c r="AX339" s="392"/>
      <c r="AY339" s="392"/>
      <c r="AZ339" s="392"/>
      <c r="BA339" s="392"/>
      <c r="BB339" s="392"/>
      <c r="BC339" s="392"/>
      <c r="BD339" s="392"/>
      <c r="BE339" s="392"/>
      <c r="BF339" s="392"/>
      <c r="BG339" s="392"/>
      <c r="BH339" s="392"/>
      <c r="BI339" s="392"/>
      <c r="BJ339" s="392"/>
      <c r="BK339" s="392"/>
      <c r="BL339" s="392"/>
      <c r="BM339" s="392"/>
      <c r="BN339" s="392"/>
      <c r="BO339" s="392"/>
      <c r="BP339" s="392"/>
      <c r="BQ339" s="392"/>
      <c r="BR339" s="392"/>
      <c r="BS339" s="392"/>
      <c r="BT339" s="392"/>
    </row>
    <row r="340" ht="15.75" customHeight="1">
      <c r="A340" s="216"/>
      <c r="B340" s="156"/>
      <c r="C340" s="156"/>
      <c r="D340" s="156"/>
      <c r="E340" s="392"/>
      <c r="F340" s="392"/>
      <c r="G340" s="392"/>
      <c r="H340" s="392"/>
      <c r="I340" s="392"/>
      <c r="J340" s="392"/>
      <c r="K340" s="392"/>
      <c r="L340" s="392"/>
      <c r="M340" s="392"/>
      <c r="N340" s="392"/>
      <c r="O340" s="392"/>
      <c r="P340" s="392"/>
      <c r="Q340" s="392"/>
      <c r="R340" s="392"/>
      <c r="S340" s="392"/>
      <c r="T340" s="392"/>
      <c r="U340" s="392"/>
      <c r="V340" s="392"/>
      <c r="W340" s="392"/>
      <c r="X340" s="392"/>
      <c r="Y340" s="392"/>
      <c r="Z340" s="392"/>
      <c r="AA340" s="392"/>
      <c r="AB340" s="392"/>
      <c r="AC340" s="392"/>
      <c r="AD340" s="392"/>
      <c r="AE340" s="392"/>
      <c r="AF340" s="392"/>
      <c r="AG340" s="392"/>
      <c r="AH340" s="392"/>
      <c r="AI340" s="392"/>
      <c r="AJ340" s="392"/>
      <c r="AK340" s="392"/>
      <c r="AL340" s="392"/>
      <c r="AM340" s="392"/>
      <c r="AN340" s="392"/>
      <c r="AO340" s="392"/>
      <c r="AP340" s="392"/>
      <c r="AQ340" s="392"/>
      <c r="AR340" s="392"/>
      <c r="AS340" s="392"/>
      <c r="AT340" s="392"/>
      <c r="AU340" s="392"/>
      <c r="AV340" s="392"/>
      <c r="AW340" s="392"/>
      <c r="AX340" s="392"/>
      <c r="AY340" s="392"/>
      <c r="AZ340" s="392"/>
      <c r="BA340" s="392"/>
      <c r="BB340" s="392"/>
      <c r="BC340" s="392"/>
      <c r="BD340" s="392"/>
      <c r="BE340" s="392"/>
      <c r="BF340" s="392"/>
      <c r="BG340" s="392"/>
      <c r="BH340" s="392"/>
      <c r="BI340" s="392"/>
      <c r="BJ340" s="392"/>
      <c r="BK340" s="392"/>
      <c r="BL340" s="392"/>
      <c r="BM340" s="392"/>
      <c r="BN340" s="392"/>
      <c r="BO340" s="392"/>
      <c r="BP340" s="392"/>
      <c r="BQ340" s="392"/>
      <c r="BR340" s="392"/>
      <c r="BS340" s="392"/>
      <c r="BT340" s="392"/>
    </row>
    <row r="341" ht="15.75" customHeight="1">
      <c r="A341" s="216"/>
      <c r="B341" s="156"/>
      <c r="C341" s="156"/>
      <c r="D341" s="156"/>
      <c r="E341" s="392"/>
      <c r="F341" s="392"/>
      <c r="G341" s="392"/>
      <c r="H341" s="392"/>
      <c r="I341" s="392"/>
      <c r="J341" s="392"/>
      <c r="K341" s="392"/>
      <c r="L341" s="392"/>
      <c r="M341" s="392"/>
      <c r="N341" s="392"/>
      <c r="O341" s="392"/>
      <c r="P341" s="392"/>
      <c r="Q341" s="392"/>
      <c r="R341" s="392"/>
      <c r="S341" s="392"/>
      <c r="T341" s="392"/>
      <c r="U341" s="392"/>
      <c r="V341" s="392"/>
      <c r="W341" s="392"/>
      <c r="X341" s="392"/>
      <c r="Y341" s="392"/>
      <c r="Z341" s="392"/>
      <c r="AA341" s="392"/>
      <c r="AB341" s="392"/>
      <c r="AC341" s="392"/>
      <c r="AD341" s="392"/>
      <c r="AE341" s="392"/>
      <c r="AF341" s="392"/>
      <c r="AG341" s="392"/>
      <c r="AH341" s="392"/>
      <c r="AI341" s="392"/>
      <c r="AJ341" s="392"/>
      <c r="AK341" s="392"/>
      <c r="AL341" s="392"/>
      <c r="AM341" s="392"/>
      <c r="AN341" s="392"/>
      <c r="AO341" s="392"/>
      <c r="AP341" s="392"/>
      <c r="AQ341" s="392"/>
      <c r="AR341" s="392"/>
      <c r="AS341" s="392"/>
      <c r="AT341" s="392"/>
      <c r="AU341" s="392"/>
      <c r="AV341" s="392"/>
      <c r="AW341" s="392"/>
      <c r="AX341" s="392"/>
      <c r="AY341" s="392"/>
      <c r="AZ341" s="392"/>
      <c r="BA341" s="392"/>
      <c r="BB341" s="392"/>
      <c r="BC341" s="392"/>
      <c r="BD341" s="392"/>
      <c r="BE341" s="392"/>
      <c r="BF341" s="392"/>
      <c r="BG341" s="392"/>
      <c r="BH341" s="392"/>
      <c r="BI341" s="392"/>
      <c r="BJ341" s="392"/>
      <c r="BK341" s="392"/>
      <c r="BL341" s="392"/>
      <c r="BM341" s="392"/>
      <c r="BN341" s="392"/>
      <c r="BO341" s="392"/>
      <c r="BP341" s="392"/>
      <c r="BQ341" s="392"/>
      <c r="BR341" s="392"/>
      <c r="BS341" s="392"/>
      <c r="BT341" s="392"/>
    </row>
    <row r="342" ht="15.75" customHeight="1">
      <c r="A342" s="216"/>
      <c r="B342" s="156"/>
      <c r="C342" s="156"/>
      <c r="D342" s="156"/>
      <c r="E342" s="392"/>
      <c r="F342" s="392"/>
      <c r="G342" s="392"/>
      <c r="H342" s="392"/>
      <c r="I342" s="392"/>
      <c r="J342" s="392"/>
      <c r="K342" s="392"/>
      <c r="L342" s="392"/>
      <c r="M342" s="392"/>
      <c r="N342" s="392"/>
      <c r="O342" s="392"/>
      <c r="P342" s="392"/>
      <c r="Q342" s="392"/>
      <c r="R342" s="392"/>
      <c r="S342" s="392"/>
      <c r="T342" s="392"/>
      <c r="U342" s="392"/>
      <c r="V342" s="392"/>
      <c r="W342" s="392"/>
      <c r="X342" s="392"/>
      <c r="Y342" s="392"/>
      <c r="Z342" s="392"/>
      <c r="AA342" s="392"/>
      <c r="AB342" s="392"/>
      <c r="AC342" s="392"/>
      <c r="AD342" s="392"/>
      <c r="AE342" s="392"/>
      <c r="AF342" s="392"/>
      <c r="AG342" s="392"/>
      <c r="AH342" s="392"/>
      <c r="AI342" s="392"/>
      <c r="AJ342" s="392"/>
      <c r="AK342" s="392"/>
      <c r="AL342" s="392"/>
      <c r="AM342" s="392"/>
      <c r="AN342" s="392"/>
      <c r="AO342" s="392"/>
      <c r="AP342" s="392"/>
      <c r="AQ342" s="392"/>
      <c r="AR342" s="392"/>
      <c r="AS342" s="392"/>
      <c r="AT342" s="392"/>
      <c r="AU342" s="392"/>
      <c r="AV342" s="392"/>
      <c r="AW342" s="392"/>
      <c r="AX342" s="392"/>
      <c r="AY342" s="392"/>
      <c r="AZ342" s="392"/>
      <c r="BA342" s="392"/>
      <c r="BB342" s="392"/>
      <c r="BC342" s="392"/>
      <c r="BD342" s="392"/>
      <c r="BE342" s="392"/>
      <c r="BF342" s="392"/>
      <c r="BG342" s="392"/>
      <c r="BH342" s="392"/>
      <c r="BI342" s="392"/>
      <c r="BJ342" s="392"/>
      <c r="BK342" s="392"/>
      <c r="BL342" s="392"/>
      <c r="BM342" s="392"/>
      <c r="BN342" s="392"/>
      <c r="BO342" s="392"/>
      <c r="BP342" s="392"/>
      <c r="BQ342" s="392"/>
      <c r="BR342" s="392"/>
      <c r="BS342" s="392"/>
      <c r="BT342" s="392"/>
    </row>
    <row r="343" ht="15.75" customHeight="1">
      <c r="A343" s="216"/>
      <c r="B343" s="156"/>
      <c r="C343" s="156"/>
      <c r="D343" s="156"/>
      <c r="E343" s="392"/>
      <c r="F343" s="392"/>
      <c r="G343" s="392"/>
      <c r="H343" s="392"/>
      <c r="I343" s="392"/>
      <c r="J343" s="392"/>
      <c r="K343" s="392"/>
      <c r="L343" s="392"/>
      <c r="M343" s="392"/>
      <c r="N343" s="392"/>
      <c r="O343" s="392"/>
      <c r="P343" s="392"/>
      <c r="Q343" s="392"/>
      <c r="R343" s="392"/>
      <c r="S343" s="392"/>
      <c r="T343" s="392"/>
      <c r="U343" s="392"/>
      <c r="V343" s="392"/>
      <c r="W343" s="392"/>
      <c r="X343" s="392"/>
      <c r="Y343" s="392"/>
      <c r="Z343" s="392"/>
      <c r="AA343" s="392"/>
      <c r="AB343" s="392"/>
      <c r="AC343" s="392"/>
      <c r="AD343" s="392"/>
      <c r="AE343" s="392"/>
      <c r="AF343" s="392"/>
      <c r="AG343" s="392"/>
      <c r="AH343" s="392"/>
      <c r="AI343" s="392"/>
      <c r="AJ343" s="392"/>
      <c r="AK343" s="392"/>
      <c r="AL343" s="392"/>
      <c r="AM343" s="392"/>
      <c r="AN343" s="392"/>
      <c r="AO343" s="392"/>
      <c r="AP343" s="392"/>
      <c r="AQ343" s="392"/>
      <c r="AR343" s="392"/>
      <c r="AS343" s="392"/>
      <c r="AT343" s="392"/>
      <c r="AU343" s="392"/>
      <c r="AV343" s="392"/>
      <c r="AW343" s="392"/>
      <c r="AX343" s="392"/>
      <c r="AY343" s="392"/>
      <c r="AZ343" s="392"/>
      <c r="BA343" s="392"/>
      <c r="BB343" s="392"/>
      <c r="BC343" s="392"/>
      <c r="BD343" s="392"/>
      <c r="BE343" s="392"/>
      <c r="BF343" s="392"/>
      <c r="BG343" s="392"/>
      <c r="BH343" s="392"/>
      <c r="BI343" s="392"/>
      <c r="BJ343" s="392"/>
      <c r="BK343" s="392"/>
      <c r="BL343" s="392"/>
      <c r="BM343" s="392"/>
      <c r="BN343" s="392"/>
      <c r="BO343" s="392"/>
      <c r="BP343" s="392"/>
      <c r="BQ343" s="392"/>
      <c r="BR343" s="392"/>
      <c r="BS343" s="392"/>
      <c r="BT343" s="392"/>
    </row>
    <row r="344" ht="15.75" customHeight="1">
      <c r="A344" s="216"/>
      <c r="B344" s="156"/>
      <c r="C344" s="156"/>
      <c r="D344" s="156"/>
      <c r="E344" s="392"/>
      <c r="F344" s="392"/>
      <c r="G344" s="392"/>
      <c r="H344" s="392"/>
      <c r="I344" s="392"/>
      <c r="J344" s="392"/>
      <c r="K344" s="392"/>
      <c r="L344" s="392"/>
      <c r="M344" s="392"/>
      <c r="N344" s="392"/>
      <c r="O344" s="392"/>
      <c r="P344" s="392"/>
      <c r="Q344" s="392"/>
      <c r="R344" s="392"/>
      <c r="S344" s="392"/>
      <c r="T344" s="392"/>
      <c r="U344" s="392"/>
      <c r="V344" s="392"/>
      <c r="W344" s="392"/>
      <c r="X344" s="392"/>
      <c r="Y344" s="392"/>
      <c r="Z344" s="392"/>
      <c r="AA344" s="392"/>
      <c r="AB344" s="392"/>
      <c r="AC344" s="392"/>
      <c r="AD344" s="392"/>
      <c r="AE344" s="392"/>
      <c r="AF344" s="392"/>
      <c r="AG344" s="392"/>
      <c r="AH344" s="392"/>
      <c r="AI344" s="392"/>
      <c r="AJ344" s="392"/>
      <c r="AK344" s="392"/>
      <c r="AL344" s="392"/>
      <c r="AM344" s="392"/>
      <c r="AN344" s="392"/>
      <c r="AO344" s="392"/>
      <c r="AP344" s="392"/>
      <c r="AQ344" s="392"/>
      <c r="AR344" s="392"/>
      <c r="AS344" s="392"/>
      <c r="AT344" s="392"/>
      <c r="AU344" s="392"/>
      <c r="AV344" s="392"/>
      <c r="AW344" s="392"/>
      <c r="AX344" s="392"/>
      <c r="AY344" s="392"/>
      <c r="AZ344" s="392"/>
      <c r="BA344" s="392"/>
      <c r="BB344" s="392"/>
      <c r="BC344" s="392"/>
      <c r="BD344" s="392"/>
      <c r="BE344" s="392"/>
      <c r="BF344" s="392"/>
      <c r="BG344" s="392"/>
      <c r="BH344" s="392"/>
      <c r="BI344" s="392"/>
      <c r="BJ344" s="392"/>
      <c r="BK344" s="392"/>
      <c r="BL344" s="392"/>
      <c r="BM344" s="392"/>
      <c r="BN344" s="392"/>
      <c r="BO344" s="392"/>
      <c r="BP344" s="392"/>
      <c r="BQ344" s="392"/>
      <c r="BR344" s="392"/>
      <c r="BS344" s="392"/>
      <c r="BT344" s="392"/>
    </row>
    <row r="345" ht="15.75" customHeight="1">
      <c r="A345" s="216"/>
      <c r="B345" s="156"/>
      <c r="C345" s="156"/>
      <c r="D345" s="156"/>
      <c r="E345" s="392"/>
      <c r="F345" s="392"/>
      <c r="G345" s="392"/>
      <c r="H345" s="392"/>
      <c r="I345" s="392"/>
      <c r="J345" s="392"/>
      <c r="K345" s="392"/>
      <c r="L345" s="392"/>
      <c r="M345" s="392"/>
      <c r="N345" s="392"/>
      <c r="O345" s="392"/>
      <c r="P345" s="392"/>
      <c r="Q345" s="392"/>
      <c r="R345" s="392"/>
      <c r="S345" s="392"/>
      <c r="T345" s="392"/>
      <c r="U345" s="392"/>
      <c r="V345" s="392"/>
      <c r="W345" s="392"/>
      <c r="X345" s="392"/>
      <c r="Y345" s="392"/>
      <c r="Z345" s="392"/>
      <c r="AA345" s="392"/>
      <c r="AB345" s="392"/>
      <c r="AC345" s="392"/>
      <c r="AD345" s="392"/>
      <c r="AE345" s="392"/>
      <c r="AF345" s="392"/>
      <c r="AG345" s="392"/>
      <c r="AH345" s="392"/>
      <c r="AI345" s="392"/>
      <c r="AJ345" s="392"/>
      <c r="AK345" s="392"/>
      <c r="AL345" s="392"/>
      <c r="AM345" s="392"/>
      <c r="AN345" s="392"/>
      <c r="AO345" s="392"/>
      <c r="AP345" s="392"/>
      <c r="AQ345" s="392"/>
      <c r="AR345" s="392"/>
      <c r="AS345" s="392"/>
      <c r="AT345" s="392"/>
      <c r="AU345" s="392"/>
      <c r="AV345" s="392"/>
      <c r="AW345" s="392"/>
      <c r="AX345" s="392"/>
      <c r="AY345" s="392"/>
      <c r="AZ345" s="392"/>
      <c r="BA345" s="392"/>
      <c r="BB345" s="392"/>
      <c r="BC345" s="392"/>
      <c r="BD345" s="392"/>
      <c r="BE345" s="392"/>
      <c r="BF345" s="392"/>
      <c r="BG345" s="392"/>
      <c r="BH345" s="392"/>
      <c r="BI345" s="392"/>
      <c r="BJ345" s="392"/>
      <c r="BK345" s="392"/>
      <c r="BL345" s="392"/>
      <c r="BM345" s="392"/>
      <c r="BN345" s="392"/>
      <c r="BO345" s="392"/>
      <c r="BP345" s="392"/>
      <c r="BQ345" s="392"/>
      <c r="BR345" s="392"/>
      <c r="BS345" s="392"/>
      <c r="BT345" s="392"/>
    </row>
    <row r="346" ht="15.75" customHeight="1">
      <c r="A346" s="216"/>
      <c r="B346" s="156"/>
      <c r="C346" s="156"/>
      <c r="D346" s="156"/>
      <c r="E346" s="392"/>
      <c r="F346" s="392"/>
      <c r="G346" s="392"/>
      <c r="H346" s="392"/>
      <c r="I346" s="392"/>
      <c r="J346" s="392"/>
      <c r="K346" s="392"/>
      <c r="L346" s="392"/>
      <c r="M346" s="392"/>
      <c r="N346" s="392"/>
      <c r="O346" s="392"/>
      <c r="P346" s="392"/>
      <c r="Q346" s="392"/>
      <c r="R346" s="392"/>
      <c r="S346" s="392"/>
      <c r="T346" s="392"/>
      <c r="U346" s="392"/>
      <c r="V346" s="392"/>
      <c r="W346" s="392"/>
      <c r="X346" s="392"/>
      <c r="Y346" s="392"/>
      <c r="Z346" s="392"/>
      <c r="AA346" s="392"/>
      <c r="AB346" s="392"/>
      <c r="AC346" s="392"/>
      <c r="AD346" s="392"/>
      <c r="AE346" s="392"/>
      <c r="AF346" s="392"/>
      <c r="AG346" s="392"/>
      <c r="AH346" s="392"/>
      <c r="AI346" s="392"/>
      <c r="AJ346" s="392"/>
      <c r="AK346" s="392"/>
      <c r="AL346" s="392"/>
      <c r="AM346" s="392"/>
      <c r="AN346" s="392"/>
      <c r="AO346" s="392"/>
      <c r="AP346" s="392"/>
      <c r="AQ346" s="392"/>
      <c r="AR346" s="392"/>
      <c r="AS346" s="392"/>
      <c r="AT346" s="392"/>
      <c r="AU346" s="392"/>
      <c r="AV346" s="392"/>
      <c r="AW346" s="392"/>
      <c r="AX346" s="392"/>
      <c r="AY346" s="392"/>
      <c r="AZ346" s="392"/>
      <c r="BA346" s="392"/>
      <c r="BB346" s="392"/>
      <c r="BC346" s="392"/>
      <c r="BD346" s="392"/>
      <c r="BE346" s="392"/>
      <c r="BF346" s="392"/>
      <c r="BG346" s="392"/>
      <c r="BH346" s="392"/>
      <c r="BI346" s="392"/>
      <c r="BJ346" s="392"/>
      <c r="BK346" s="392"/>
      <c r="BL346" s="392"/>
      <c r="BM346" s="392"/>
      <c r="BN346" s="392"/>
      <c r="BO346" s="392"/>
      <c r="BP346" s="392"/>
      <c r="BQ346" s="392"/>
      <c r="BR346" s="392"/>
      <c r="BS346" s="392"/>
      <c r="BT346" s="392"/>
    </row>
    <row r="347" ht="15.75" customHeight="1">
      <c r="A347" s="216"/>
      <c r="B347" s="156"/>
      <c r="C347" s="156"/>
      <c r="D347" s="156"/>
      <c r="E347" s="392"/>
      <c r="F347" s="392"/>
      <c r="G347" s="392"/>
      <c r="H347" s="392"/>
      <c r="I347" s="392"/>
      <c r="J347" s="392"/>
      <c r="K347" s="392"/>
      <c r="L347" s="392"/>
      <c r="M347" s="392"/>
      <c r="N347" s="392"/>
      <c r="O347" s="392"/>
      <c r="P347" s="392"/>
      <c r="Q347" s="392"/>
      <c r="R347" s="392"/>
      <c r="S347" s="392"/>
      <c r="T347" s="392"/>
      <c r="U347" s="392"/>
      <c r="V347" s="392"/>
      <c r="W347" s="392"/>
      <c r="X347" s="392"/>
      <c r="Y347" s="392"/>
      <c r="Z347" s="392"/>
      <c r="AA347" s="392"/>
      <c r="AB347" s="392"/>
      <c r="AC347" s="392"/>
      <c r="AD347" s="392"/>
      <c r="AE347" s="392"/>
      <c r="AF347" s="392"/>
      <c r="AG347" s="392"/>
      <c r="AH347" s="392"/>
      <c r="AI347" s="392"/>
      <c r="AJ347" s="392"/>
      <c r="AK347" s="392"/>
      <c r="AL347" s="392"/>
      <c r="AM347" s="392"/>
      <c r="AN347" s="392"/>
      <c r="AO347" s="392"/>
      <c r="AP347" s="392"/>
      <c r="AQ347" s="392"/>
      <c r="AR347" s="392"/>
      <c r="AS347" s="392"/>
      <c r="AT347" s="392"/>
      <c r="AU347" s="392"/>
      <c r="AV347" s="392"/>
      <c r="AW347" s="392"/>
      <c r="AX347" s="392"/>
      <c r="AY347" s="392"/>
      <c r="AZ347" s="392"/>
      <c r="BA347" s="392"/>
      <c r="BB347" s="392"/>
      <c r="BC347" s="392"/>
      <c r="BD347" s="392"/>
      <c r="BE347" s="392"/>
      <c r="BF347" s="392"/>
      <c r="BG347" s="392"/>
      <c r="BH347" s="392"/>
      <c r="BI347" s="392"/>
      <c r="BJ347" s="392"/>
      <c r="BK347" s="392"/>
      <c r="BL347" s="392"/>
      <c r="BM347" s="392"/>
      <c r="BN347" s="392"/>
      <c r="BO347" s="392"/>
      <c r="BP347" s="392"/>
      <c r="BQ347" s="392"/>
      <c r="BR347" s="392"/>
      <c r="BS347" s="392"/>
      <c r="BT347" s="392"/>
    </row>
    <row r="348" ht="15.75" customHeight="1">
      <c r="A348" s="216"/>
      <c r="B348" s="156"/>
      <c r="C348" s="156"/>
      <c r="D348" s="156"/>
      <c r="E348" s="392"/>
      <c r="F348" s="392"/>
      <c r="G348" s="392"/>
      <c r="H348" s="392"/>
      <c r="I348" s="392"/>
      <c r="J348" s="392"/>
      <c r="K348" s="392"/>
      <c r="L348" s="392"/>
      <c r="M348" s="392"/>
      <c r="N348" s="392"/>
      <c r="O348" s="392"/>
      <c r="P348" s="392"/>
      <c r="Q348" s="392"/>
      <c r="R348" s="392"/>
      <c r="S348" s="392"/>
      <c r="T348" s="392"/>
      <c r="U348" s="392"/>
      <c r="V348" s="392"/>
      <c r="W348" s="392"/>
      <c r="X348" s="392"/>
      <c r="Y348" s="392"/>
      <c r="Z348" s="392"/>
      <c r="AA348" s="392"/>
      <c r="AB348" s="392"/>
      <c r="AC348" s="392"/>
      <c r="AD348" s="392"/>
      <c r="AE348" s="392"/>
      <c r="AF348" s="392"/>
      <c r="AG348" s="392"/>
      <c r="AH348" s="392"/>
      <c r="AI348" s="392"/>
      <c r="AJ348" s="392"/>
      <c r="AK348" s="392"/>
      <c r="AL348" s="392"/>
      <c r="AM348" s="392"/>
      <c r="AN348" s="392"/>
      <c r="AO348" s="392"/>
      <c r="AP348" s="392"/>
      <c r="AQ348" s="392"/>
      <c r="AR348" s="392"/>
      <c r="AS348" s="392"/>
      <c r="AT348" s="392"/>
      <c r="AU348" s="392"/>
      <c r="AV348" s="392"/>
      <c r="AW348" s="392"/>
      <c r="AX348" s="392"/>
      <c r="AY348" s="392"/>
      <c r="AZ348" s="392"/>
      <c r="BA348" s="392"/>
      <c r="BB348" s="392"/>
      <c r="BC348" s="392"/>
      <c r="BD348" s="392"/>
      <c r="BE348" s="392"/>
      <c r="BF348" s="392"/>
      <c r="BG348" s="392"/>
      <c r="BH348" s="392"/>
      <c r="BI348" s="392"/>
      <c r="BJ348" s="392"/>
      <c r="BK348" s="392"/>
      <c r="BL348" s="392"/>
      <c r="BM348" s="392"/>
      <c r="BN348" s="392"/>
      <c r="BO348" s="392"/>
      <c r="BP348" s="392"/>
      <c r="BQ348" s="392"/>
      <c r="BR348" s="392"/>
      <c r="BS348" s="392"/>
      <c r="BT348" s="392"/>
    </row>
    <row r="349" ht="15.75" customHeight="1">
      <c r="A349" s="216"/>
      <c r="B349" s="156"/>
      <c r="C349" s="156"/>
      <c r="D349" s="156"/>
      <c r="E349" s="392"/>
      <c r="F349" s="392"/>
      <c r="G349" s="392"/>
      <c r="H349" s="392"/>
      <c r="I349" s="392"/>
      <c r="J349" s="392"/>
      <c r="K349" s="392"/>
      <c r="L349" s="392"/>
      <c r="M349" s="392"/>
      <c r="N349" s="392"/>
      <c r="O349" s="392"/>
      <c r="P349" s="392"/>
      <c r="Q349" s="392"/>
      <c r="R349" s="392"/>
      <c r="S349" s="392"/>
      <c r="T349" s="392"/>
      <c r="U349" s="392"/>
      <c r="V349" s="392"/>
      <c r="W349" s="392"/>
      <c r="X349" s="392"/>
      <c r="Y349" s="392"/>
      <c r="Z349" s="392"/>
      <c r="AA349" s="392"/>
      <c r="AB349" s="392"/>
      <c r="AC349" s="392"/>
      <c r="AD349" s="392"/>
      <c r="AE349" s="392"/>
      <c r="AF349" s="392"/>
      <c r="AG349" s="392"/>
      <c r="AH349" s="392"/>
      <c r="AI349" s="392"/>
      <c r="AJ349" s="392"/>
      <c r="AK349" s="392"/>
      <c r="AL349" s="392"/>
      <c r="AM349" s="392"/>
      <c r="AN349" s="392"/>
      <c r="AO349" s="392"/>
      <c r="AP349" s="392"/>
      <c r="AQ349" s="392"/>
      <c r="AR349" s="392"/>
      <c r="AS349" s="392"/>
      <c r="AT349" s="392"/>
      <c r="AU349" s="392"/>
      <c r="AV349" s="392"/>
      <c r="AW349" s="392"/>
      <c r="AX349" s="392"/>
      <c r="AY349" s="392"/>
      <c r="AZ349" s="392"/>
      <c r="BA349" s="392"/>
      <c r="BB349" s="392"/>
      <c r="BC349" s="392"/>
      <c r="BD349" s="392"/>
      <c r="BE349" s="392"/>
      <c r="BF349" s="392"/>
      <c r="BG349" s="392"/>
      <c r="BH349" s="392"/>
      <c r="BI349" s="392"/>
      <c r="BJ349" s="392"/>
      <c r="BK349" s="392"/>
      <c r="BL349" s="392"/>
      <c r="BM349" s="392"/>
      <c r="BN349" s="392"/>
      <c r="BO349" s="392"/>
      <c r="BP349" s="392"/>
      <c r="BQ349" s="392"/>
      <c r="BR349" s="392"/>
      <c r="BS349" s="392"/>
      <c r="BT349" s="392"/>
    </row>
    <row r="350" ht="15.75" customHeight="1">
      <c r="A350" s="216"/>
      <c r="B350" s="156"/>
      <c r="C350" s="156"/>
      <c r="D350" s="156"/>
      <c r="E350" s="392"/>
      <c r="F350" s="392"/>
      <c r="G350" s="392"/>
      <c r="H350" s="392"/>
      <c r="I350" s="392"/>
      <c r="J350" s="392"/>
      <c r="K350" s="392"/>
      <c r="L350" s="392"/>
      <c r="M350" s="392"/>
      <c r="N350" s="392"/>
      <c r="O350" s="392"/>
      <c r="P350" s="392"/>
      <c r="Q350" s="392"/>
      <c r="R350" s="392"/>
      <c r="S350" s="392"/>
      <c r="T350" s="392"/>
      <c r="U350" s="392"/>
      <c r="V350" s="392"/>
      <c r="W350" s="392"/>
      <c r="X350" s="392"/>
      <c r="Y350" s="392"/>
      <c r="Z350" s="392"/>
      <c r="AA350" s="392"/>
      <c r="AB350" s="392"/>
      <c r="AC350" s="392"/>
      <c r="AD350" s="392"/>
      <c r="AE350" s="392"/>
      <c r="AF350" s="392"/>
      <c r="AG350" s="392"/>
      <c r="AH350" s="392"/>
      <c r="AI350" s="392"/>
      <c r="AJ350" s="392"/>
      <c r="AK350" s="392"/>
      <c r="AL350" s="392"/>
      <c r="AM350" s="392"/>
      <c r="AN350" s="392"/>
      <c r="AO350" s="392"/>
      <c r="AP350" s="392"/>
      <c r="AQ350" s="392"/>
      <c r="AR350" s="392"/>
      <c r="AS350" s="392"/>
      <c r="AT350" s="392"/>
      <c r="AU350" s="392"/>
      <c r="AV350" s="392"/>
      <c r="AW350" s="392"/>
      <c r="AX350" s="392"/>
      <c r="AY350" s="392"/>
      <c r="AZ350" s="392"/>
      <c r="BA350" s="392"/>
      <c r="BB350" s="392"/>
      <c r="BC350" s="392"/>
      <c r="BD350" s="392"/>
      <c r="BE350" s="392"/>
      <c r="BF350" s="392"/>
      <c r="BG350" s="392"/>
      <c r="BH350" s="392"/>
      <c r="BI350" s="392"/>
      <c r="BJ350" s="392"/>
      <c r="BK350" s="392"/>
      <c r="BL350" s="392"/>
      <c r="BM350" s="392"/>
      <c r="BN350" s="392"/>
      <c r="BO350" s="392"/>
      <c r="BP350" s="392"/>
      <c r="BQ350" s="392"/>
      <c r="BR350" s="392"/>
      <c r="BS350" s="392"/>
      <c r="BT350" s="392"/>
    </row>
    <row r="351" ht="15.75" customHeight="1">
      <c r="A351" s="216"/>
      <c r="B351" s="156"/>
      <c r="C351" s="156"/>
      <c r="D351" s="156"/>
      <c r="E351" s="392"/>
      <c r="F351" s="392"/>
      <c r="G351" s="392"/>
      <c r="H351" s="392"/>
      <c r="I351" s="392"/>
      <c r="J351" s="392"/>
      <c r="K351" s="392"/>
      <c r="L351" s="392"/>
      <c r="M351" s="392"/>
      <c r="N351" s="392"/>
      <c r="O351" s="392"/>
      <c r="P351" s="392"/>
      <c r="Q351" s="392"/>
      <c r="R351" s="392"/>
      <c r="S351" s="392"/>
      <c r="T351" s="392"/>
      <c r="U351" s="392"/>
      <c r="V351" s="392"/>
      <c r="W351" s="392"/>
      <c r="X351" s="392"/>
      <c r="Y351" s="392"/>
      <c r="Z351" s="392"/>
      <c r="AA351" s="392"/>
      <c r="AB351" s="392"/>
      <c r="AC351" s="392"/>
      <c r="AD351" s="392"/>
      <c r="AE351" s="392"/>
      <c r="AF351" s="392"/>
      <c r="AG351" s="392"/>
      <c r="AH351" s="392"/>
      <c r="AI351" s="392"/>
      <c r="AJ351" s="392"/>
      <c r="AK351" s="392"/>
      <c r="AL351" s="392"/>
      <c r="AM351" s="392"/>
      <c r="AN351" s="392"/>
      <c r="AO351" s="392"/>
      <c r="AP351" s="392"/>
      <c r="AQ351" s="392"/>
      <c r="AR351" s="392"/>
      <c r="AS351" s="392"/>
      <c r="AT351" s="392"/>
      <c r="AU351" s="392"/>
      <c r="AV351" s="392"/>
      <c r="AW351" s="392"/>
      <c r="AX351" s="392"/>
      <c r="AY351" s="392"/>
      <c r="AZ351" s="392"/>
      <c r="BA351" s="392"/>
      <c r="BB351" s="392"/>
      <c r="BC351" s="392"/>
      <c r="BD351" s="392"/>
      <c r="BE351" s="392"/>
      <c r="BF351" s="392"/>
      <c r="BG351" s="392"/>
      <c r="BH351" s="392"/>
      <c r="BI351" s="392"/>
      <c r="BJ351" s="392"/>
      <c r="BK351" s="392"/>
      <c r="BL351" s="392"/>
      <c r="BM351" s="392"/>
      <c r="BN351" s="392"/>
      <c r="BO351" s="392"/>
      <c r="BP351" s="392"/>
      <c r="BQ351" s="392"/>
      <c r="BR351" s="392"/>
      <c r="BS351" s="392"/>
      <c r="BT351" s="392"/>
    </row>
    <row r="352" ht="15.75" customHeight="1">
      <c r="A352" s="216"/>
      <c r="B352" s="156"/>
      <c r="C352" s="156"/>
      <c r="D352" s="156"/>
      <c r="E352" s="392"/>
      <c r="F352" s="392"/>
      <c r="G352" s="392"/>
      <c r="H352" s="392"/>
      <c r="I352" s="392"/>
      <c r="J352" s="392"/>
      <c r="K352" s="392"/>
      <c r="L352" s="392"/>
      <c r="M352" s="392"/>
      <c r="N352" s="392"/>
      <c r="O352" s="392"/>
      <c r="P352" s="392"/>
      <c r="Q352" s="392"/>
      <c r="R352" s="392"/>
      <c r="S352" s="392"/>
      <c r="T352" s="392"/>
      <c r="U352" s="392"/>
      <c r="V352" s="392"/>
      <c r="W352" s="392"/>
      <c r="X352" s="392"/>
      <c r="Y352" s="392"/>
      <c r="Z352" s="392"/>
      <c r="AA352" s="392"/>
      <c r="AB352" s="392"/>
      <c r="AC352" s="392"/>
      <c r="AD352" s="392"/>
      <c r="AE352" s="392"/>
      <c r="AF352" s="392"/>
      <c r="AG352" s="392"/>
      <c r="AH352" s="392"/>
      <c r="AI352" s="392"/>
      <c r="AJ352" s="392"/>
      <c r="AK352" s="392"/>
      <c r="AL352" s="392"/>
      <c r="AM352" s="392"/>
      <c r="AN352" s="392"/>
      <c r="AO352" s="392"/>
      <c r="AP352" s="392"/>
      <c r="AQ352" s="392"/>
      <c r="AR352" s="392"/>
      <c r="AS352" s="392"/>
      <c r="AT352" s="392"/>
      <c r="AU352" s="392"/>
      <c r="AV352" s="392"/>
      <c r="AW352" s="392"/>
      <c r="AX352" s="392"/>
      <c r="AY352" s="392"/>
      <c r="AZ352" s="392"/>
      <c r="BA352" s="392"/>
      <c r="BB352" s="392"/>
      <c r="BC352" s="392"/>
      <c r="BD352" s="392"/>
      <c r="BE352" s="392"/>
      <c r="BF352" s="392"/>
      <c r="BG352" s="392"/>
      <c r="BH352" s="392"/>
      <c r="BI352" s="392"/>
      <c r="BJ352" s="392"/>
      <c r="BK352" s="392"/>
      <c r="BL352" s="392"/>
      <c r="BM352" s="392"/>
      <c r="BN352" s="392"/>
      <c r="BO352" s="392"/>
      <c r="BP352" s="392"/>
      <c r="BQ352" s="392"/>
      <c r="BR352" s="392"/>
      <c r="BS352" s="392"/>
      <c r="BT352" s="392"/>
    </row>
    <row r="353" ht="15.75" customHeight="1">
      <c r="A353" s="216"/>
      <c r="B353" s="156"/>
      <c r="C353" s="156"/>
      <c r="D353" s="156"/>
      <c r="E353" s="392"/>
      <c r="F353" s="392"/>
      <c r="G353" s="392"/>
      <c r="H353" s="392"/>
      <c r="I353" s="392"/>
      <c r="J353" s="392"/>
      <c r="K353" s="392"/>
      <c r="L353" s="392"/>
      <c r="M353" s="392"/>
      <c r="N353" s="392"/>
      <c r="O353" s="392"/>
      <c r="P353" s="392"/>
      <c r="Q353" s="392"/>
      <c r="R353" s="392"/>
      <c r="S353" s="392"/>
      <c r="T353" s="392"/>
      <c r="U353" s="392"/>
      <c r="V353" s="392"/>
      <c r="W353" s="392"/>
      <c r="X353" s="392"/>
      <c r="Y353" s="392"/>
      <c r="Z353" s="392"/>
      <c r="AA353" s="392"/>
      <c r="AB353" s="392"/>
      <c r="AC353" s="392"/>
      <c r="AD353" s="392"/>
      <c r="AE353" s="392"/>
      <c r="AF353" s="392"/>
      <c r="AG353" s="392"/>
      <c r="AH353" s="392"/>
      <c r="AI353" s="392"/>
      <c r="AJ353" s="392"/>
      <c r="AK353" s="392"/>
      <c r="AL353" s="392"/>
      <c r="AM353" s="392"/>
      <c r="AN353" s="392"/>
      <c r="AO353" s="392"/>
      <c r="AP353" s="392"/>
      <c r="AQ353" s="392"/>
      <c r="AR353" s="392"/>
      <c r="AS353" s="392"/>
      <c r="AT353" s="392"/>
      <c r="AU353" s="392"/>
      <c r="AV353" s="392"/>
      <c r="AW353" s="392"/>
      <c r="AX353" s="392"/>
      <c r="AY353" s="392"/>
      <c r="AZ353" s="392"/>
      <c r="BA353" s="392"/>
      <c r="BB353" s="392"/>
      <c r="BC353" s="392"/>
      <c r="BD353" s="392"/>
      <c r="BE353" s="392"/>
      <c r="BF353" s="392"/>
      <c r="BG353" s="392"/>
      <c r="BH353" s="392"/>
      <c r="BI353" s="392"/>
      <c r="BJ353" s="392"/>
      <c r="BK353" s="392"/>
      <c r="BL353" s="392"/>
      <c r="BM353" s="392"/>
      <c r="BN353" s="392"/>
      <c r="BO353" s="392"/>
      <c r="BP353" s="392"/>
      <c r="BQ353" s="392"/>
      <c r="BR353" s="392"/>
      <c r="BS353" s="392"/>
      <c r="BT353" s="392"/>
    </row>
    <row r="354" ht="15.75" customHeight="1">
      <c r="A354" s="216"/>
      <c r="B354" s="156"/>
      <c r="C354" s="156"/>
      <c r="D354" s="156"/>
      <c r="E354" s="392"/>
      <c r="F354" s="392"/>
      <c r="G354" s="392"/>
      <c r="H354" s="392"/>
      <c r="I354" s="392"/>
      <c r="J354" s="392"/>
      <c r="K354" s="392"/>
      <c r="L354" s="392"/>
      <c r="M354" s="392"/>
      <c r="N354" s="392"/>
      <c r="O354" s="392"/>
      <c r="P354" s="392"/>
      <c r="Q354" s="392"/>
      <c r="R354" s="392"/>
      <c r="S354" s="392"/>
      <c r="T354" s="392"/>
      <c r="U354" s="392"/>
      <c r="V354" s="392"/>
      <c r="W354" s="392"/>
      <c r="X354" s="392"/>
      <c r="Y354" s="392"/>
      <c r="Z354" s="392"/>
      <c r="AA354" s="392"/>
      <c r="AB354" s="392"/>
      <c r="AC354" s="392"/>
      <c r="AD354" s="392"/>
      <c r="AE354" s="392"/>
      <c r="AF354" s="392"/>
      <c r="AG354" s="392"/>
      <c r="AH354" s="392"/>
      <c r="AI354" s="392"/>
      <c r="AJ354" s="392"/>
      <c r="AK354" s="392"/>
      <c r="AL354" s="392"/>
      <c r="AM354" s="392"/>
      <c r="AN354" s="392"/>
      <c r="AO354" s="392"/>
      <c r="AP354" s="392"/>
      <c r="AQ354" s="392"/>
      <c r="AR354" s="392"/>
      <c r="AS354" s="392"/>
      <c r="AT354" s="392"/>
      <c r="AU354" s="392"/>
      <c r="AV354" s="392"/>
      <c r="AW354" s="392"/>
      <c r="AX354" s="392"/>
      <c r="AY354" s="392"/>
      <c r="AZ354" s="392"/>
      <c r="BA354" s="392"/>
      <c r="BB354" s="392"/>
      <c r="BC354" s="392"/>
      <c r="BD354" s="392"/>
      <c r="BE354" s="392"/>
      <c r="BF354" s="392"/>
      <c r="BG354" s="392"/>
      <c r="BH354" s="392"/>
      <c r="BI354" s="392"/>
      <c r="BJ354" s="392"/>
      <c r="BK354" s="392"/>
      <c r="BL354" s="392"/>
      <c r="BM354" s="392"/>
      <c r="BN354" s="392"/>
      <c r="BO354" s="392"/>
      <c r="BP354" s="392"/>
      <c r="BQ354" s="392"/>
      <c r="BR354" s="392"/>
      <c r="BS354" s="392"/>
      <c r="BT354" s="392"/>
    </row>
    <row r="355" ht="15.75" customHeight="1">
      <c r="A355" s="216"/>
      <c r="B355" s="156"/>
      <c r="C355" s="156"/>
      <c r="D355" s="156"/>
      <c r="E355" s="392"/>
      <c r="F355" s="392"/>
      <c r="G355" s="392"/>
      <c r="H355" s="392"/>
      <c r="I355" s="392"/>
      <c r="J355" s="392"/>
      <c r="K355" s="392"/>
      <c r="L355" s="392"/>
      <c r="M355" s="392"/>
      <c r="N355" s="392"/>
      <c r="O355" s="392"/>
      <c r="P355" s="392"/>
      <c r="Q355" s="392"/>
      <c r="R355" s="392"/>
      <c r="S355" s="392"/>
      <c r="T355" s="392"/>
      <c r="U355" s="392"/>
      <c r="V355" s="392"/>
      <c r="W355" s="392"/>
      <c r="X355" s="392"/>
      <c r="Y355" s="392"/>
      <c r="Z355" s="392"/>
      <c r="AA355" s="392"/>
      <c r="AB355" s="392"/>
      <c r="AC355" s="392"/>
      <c r="AD355" s="392"/>
      <c r="AE355" s="392"/>
      <c r="AF355" s="392"/>
      <c r="AG355" s="392"/>
      <c r="AH355" s="392"/>
      <c r="AI355" s="392"/>
      <c r="AJ355" s="392"/>
      <c r="AK355" s="392"/>
      <c r="AL355" s="392"/>
      <c r="AM355" s="392"/>
      <c r="AN355" s="392"/>
      <c r="AO355" s="392"/>
      <c r="AP355" s="392"/>
      <c r="AQ355" s="392"/>
      <c r="AR355" s="392"/>
      <c r="AS355" s="392"/>
      <c r="AT355" s="392"/>
      <c r="AU355" s="392"/>
      <c r="AV355" s="392"/>
      <c r="AW355" s="392"/>
      <c r="AX355" s="392"/>
      <c r="AY355" s="392"/>
      <c r="AZ355" s="392"/>
      <c r="BA355" s="392"/>
      <c r="BB355" s="392"/>
      <c r="BC355" s="392"/>
      <c r="BD355" s="392"/>
      <c r="BE355" s="392"/>
      <c r="BF355" s="392"/>
      <c r="BG355" s="392"/>
      <c r="BH355" s="392"/>
      <c r="BI355" s="392"/>
      <c r="BJ355" s="392"/>
      <c r="BK355" s="392"/>
      <c r="BL355" s="392"/>
      <c r="BM355" s="392"/>
      <c r="BN355" s="392"/>
      <c r="BO355" s="392"/>
      <c r="BP355" s="392"/>
      <c r="BQ355" s="392"/>
      <c r="BR355" s="392"/>
      <c r="BS355" s="392"/>
      <c r="BT355" s="392"/>
    </row>
    <row r="356" ht="15.75" customHeight="1">
      <c r="A356" s="216"/>
      <c r="B356" s="156"/>
      <c r="C356" s="156"/>
      <c r="D356" s="156"/>
      <c r="E356" s="392"/>
      <c r="F356" s="392"/>
      <c r="G356" s="392"/>
      <c r="H356" s="392"/>
      <c r="I356" s="392"/>
      <c r="J356" s="392"/>
      <c r="K356" s="392"/>
      <c r="L356" s="392"/>
      <c r="M356" s="392"/>
      <c r="N356" s="392"/>
      <c r="O356" s="392"/>
      <c r="P356" s="392"/>
      <c r="Q356" s="392"/>
      <c r="R356" s="392"/>
      <c r="S356" s="392"/>
      <c r="T356" s="392"/>
      <c r="U356" s="392"/>
      <c r="V356" s="392"/>
      <c r="W356" s="392"/>
      <c r="X356" s="392"/>
      <c r="Y356" s="392"/>
      <c r="Z356" s="392"/>
      <c r="AA356" s="392"/>
      <c r="AB356" s="392"/>
      <c r="AC356" s="392"/>
      <c r="AD356" s="392"/>
      <c r="AE356" s="392"/>
      <c r="AF356" s="392"/>
      <c r="AG356" s="392"/>
      <c r="AH356" s="392"/>
      <c r="AI356" s="392"/>
      <c r="AJ356" s="392"/>
      <c r="AK356" s="392"/>
      <c r="AL356" s="392"/>
      <c r="AM356" s="392"/>
      <c r="AN356" s="392"/>
      <c r="AO356" s="392"/>
      <c r="AP356" s="392"/>
      <c r="AQ356" s="392"/>
      <c r="AR356" s="392"/>
      <c r="AS356" s="392"/>
      <c r="AT356" s="392"/>
      <c r="AU356" s="392"/>
      <c r="AV356" s="392"/>
      <c r="AW356" s="392"/>
      <c r="AX356" s="392"/>
      <c r="AY356" s="392"/>
      <c r="AZ356" s="392"/>
      <c r="BA356" s="392"/>
      <c r="BB356" s="392"/>
      <c r="BC356" s="392"/>
      <c r="BD356" s="392"/>
      <c r="BE356" s="392"/>
      <c r="BF356" s="392"/>
      <c r="BG356" s="392"/>
      <c r="BH356" s="392"/>
      <c r="BI356" s="392"/>
      <c r="BJ356" s="392"/>
      <c r="BK356" s="392"/>
      <c r="BL356" s="392"/>
      <c r="BM356" s="392"/>
      <c r="BN356" s="392"/>
      <c r="BO356" s="392"/>
      <c r="BP356" s="392"/>
      <c r="BQ356" s="392"/>
      <c r="BR356" s="392"/>
      <c r="BS356" s="392"/>
      <c r="BT356" s="392"/>
    </row>
    <row r="357" ht="15.75" customHeight="1">
      <c r="A357" s="216"/>
      <c r="B357" s="156"/>
      <c r="C357" s="156"/>
      <c r="D357" s="156"/>
      <c r="E357" s="392"/>
      <c r="F357" s="392"/>
      <c r="G357" s="392"/>
      <c r="H357" s="392"/>
      <c r="I357" s="392"/>
      <c r="J357" s="392"/>
      <c r="K357" s="392"/>
      <c r="L357" s="392"/>
      <c r="M357" s="392"/>
      <c r="N357" s="392"/>
      <c r="O357" s="392"/>
      <c r="P357" s="392"/>
      <c r="Q357" s="392"/>
      <c r="R357" s="392"/>
      <c r="S357" s="392"/>
      <c r="T357" s="392"/>
      <c r="U357" s="392"/>
      <c r="V357" s="392"/>
      <c r="W357" s="392"/>
      <c r="X357" s="392"/>
      <c r="Y357" s="392"/>
      <c r="Z357" s="392"/>
      <c r="AA357" s="392"/>
      <c r="AB357" s="392"/>
      <c r="AC357" s="392"/>
      <c r="AD357" s="392"/>
      <c r="AE357" s="392"/>
      <c r="AF357" s="392"/>
      <c r="AG357" s="392"/>
      <c r="AH357" s="392"/>
      <c r="AI357" s="392"/>
      <c r="AJ357" s="392"/>
      <c r="AK357" s="392"/>
      <c r="AL357" s="392"/>
      <c r="AM357" s="392"/>
      <c r="AN357" s="392"/>
      <c r="AO357" s="392"/>
      <c r="AP357" s="392"/>
      <c r="AQ357" s="392"/>
      <c r="AR357" s="392"/>
      <c r="AS357" s="392"/>
      <c r="AT357" s="392"/>
      <c r="AU357" s="392"/>
      <c r="AV357" s="392"/>
      <c r="AW357" s="392"/>
      <c r="AX357" s="392"/>
      <c r="AY357" s="392"/>
      <c r="AZ357" s="392"/>
      <c r="BA357" s="392"/>
      <c r="BB357" s="392"/>
      <c r="BC357" s="392"/>
      <c r="BD357" s="392"/>
      <c r="BE357" s="392"/>
      <c r="BF357" s="392"/>
      <c r="BG357" s="392"/>
      <c r="BH357" s="392"/>
      <c r="BI357" s="392"/>
      <c r="BJ357" s="392"/>
      <c r="BK357" s="392"/>
      <c r="BL357" s="392"/>
      <c r="BM357" s="392"/>
      <c r="BN357" s="392"/>
      <c r="BO357" s="392"/>
      <c r="BP357" s="392"/>
      <c r="BQ357" s="392"/>
      <c r="BR357" s="392"/>
      <c r="BS357" s="392"/>
      <c r="BT357" s="392"/>
    </row>
    <row r="358" ht="15.75" customHeight="1">
      <c r="A358" s="216"/>
      <c r="B358" s="156"/>
      <c r="C358" s="156"/>
      <c r="D358" s="156"/>
      <c r="E358" s="392"/>
      <c r="F358" s="392"/>
      <c r="G358" s="392"/>
      <c r="H358" s="392"/>
      <c r="I358" s="392"/>
      <c r="J358" s="392"/>
      <c r="K358" s="392"/>
      <c r="L358" s="392"/>
      <c r="M358" s="392"/>
      <c r="N358" s="392"/>
      <c r="O358" s="392"/>
      <c r="P358" s="392"/>
      <c r="Q358" s="392"/>
      <c r="R358" s="392"/>
      <c r="S358" s="392"/>
      <c r="T358" s="392"/>
      <c r="U358" s="392"/>
      <c r="V358" s="392"/>
      <c r="W358" s="392"/>
      <c r="X358" s="392"/>
      <c r="Y358" s="392"/>
      <c r="Z358" s="392"/>
      <c r="AA358" s="392"/>
      <c r="AB358" s="392"/>
      <c r="AC358" s="392"/>
      <c r="AD358" s="392"/>
      <c r="AE358" s="392"/>
      <c r="AF358" s="392"/>
      <c r="AG358" s="392"/>
      <c r="AH358" s="392"/>
      <c r="AI358" s="392"/>
      <c r="AJ358" s="392"/>
      <c r="AK358" s="392"/>
      <c r="AL358" s="392"/>
      <c r="AM358" s="392"/>
      <c r="AN358" s="392"/>
      <c r="AO358" s="392"/>
      <c r="AP358" s="392"/>
      <c r="AQ358" s="392"/>
      <c r="AR358" s="392"/>
      <c r="AS358" s="392"/>
      <c r="AT358" s="392"/>
      <c r="AU358" s="392"/>
      <c r="AV358" s="392"/>
      <c r="AW358" s="392"/>
      <c r="AX358" s="392"/>
      <c r="AY358" s="392"/>
      <c r="AZ358" s="392"/>
      <c r="BA358" s="392"/>
      <c r="BB358" s="392"/>
      <c r="BC358" s="392"/>
      <c r="BD358" s="392"/>
      <c r="BE358" s="392"/>
      <c r="BF358" s="392"/>
      <c r="BG358" s="392"/>
      <c r="BH358" s="392"/>
      <c r="BI358" s="392"/>
      <c r="BJ358" s="392"/>
      <c r="BK358" s="392"/>
      <c r="BL358" s="392"/>
      <c r="BM358" s="392"/>
      <c r="BN358" s="392"/>
      <c r="BO358" s="392"/>
      <c r="BP358" s="392"/>
      <c r="BQ358" s="392"/>
      <c r="BR358" s="392"/>
      <c r="BS358" s="392"/>
      <c r="BT358" s="392"/>
    </row>
    <row r="359" ht="15.75" customHeight="1">
      <c r="A359" s="216"/>
      <c r="B359" s="156"/>
      <c r="C359" s="156"/>
      <c r="D359" s="156"/>
      <c r="E359" s="392"/>
      <c r="F359" s="392"/>
      <c r="G359" s="392"/>
      <c r="H359" s="392"/>
      <c r="I359" s="392"/>
      <c r="J359" s="392"/>
      <c r="K359" s="392"/>
      <c r="L359" s="392"/>
      <c r="M359" s="392"/>
      <c r="N359" s="392"/>
      <c r="O359" s="392"/>
      <c r="P359" s="392"/>
      <c r="Q359" s="392"/>
      <c r="R359" s="392"/>
      <c r="S359" s="392"/>
      <c r="T359" s="392"/>
      <c r="U359" s="392"/>
      <c r="V359" s="392"/>
      <c r="W359" s="392"/>
      <c r="X359" s="392"/>
      <c r="Y359" s="392"/>
      <c r="Z359" s="392"/>
      <c r="AA359" s="392"/>
      <c r="AB359" s="392"/>
      <c r="AC359" s="392"/>
      <c r="AD359" s="392"/>
      <c r="AE359" s="392"/>
      <c r="AF359" s="392"/>
      <c r="AG359" s="392"/>
      <c r="AH359" s="392"/>
      <c r="AI359" s="392"/>
      <c r="AJ359" s="392"/>
      <c r="AK359" s="392"/>
      <c r="AL359" s="392"/>
      <c r="AM359" s="392"/>
      <c r="AN359" s="392"/>
      <c r="AO359" s="392"/>
      <c r="AP359" s="392"/>
      <c r="AQ359" s="392"/>
      <c r="AR359" s="392"/>
      <c r="AS359" s="392"/>
      <c r="AT359" s="392"/>
      <c r="AU359" s="392"/>
      <c r="AV359" s="392"/>
      <c r="AW359" s="392"/>
      <c r="AX359" s="392"/>
      <c r="AY359" s="392"/>
      <c r="AZ359" s="392"/>
      <c r="BA359" s="392"/>
      <c r="BB359" s="392"/>
      <c r="BC359" s="392"/>
      <c r="BD359" s="392"/>
      <c r="BE359" s="392"/>
      <c r="BF359" s="392"/>
      <c r="BG359" s="392"/>
      <c r="BH359" s="392"/>
      <c r="BI359" s="392"/>
      <c r="BJ359" s="392"/>
      <c r="BK359" s="392"/>
      <c r="BL359" s="392"/>
      <c r="BM359" s="392"/>
      <c r="BN359" s="392"/>
      <c r="BO359" s="392"/>
      <c r="BP359" s="392"/>
      <c r="BQ359" s="392"/>
      <c r="BR359" s="392"/>
      <c r="BS359" s="392"/>
      <c r="BT359" s="392"/>
    </row>
    <row r="360" ht="15.75" customHeight="1">
      <c r="A360" s="216"/>
      <c r="B360" s="156"/>
      <c r="C360" s="156"/>
      <c r="D360" s="156"/>
      <c r="E360" s="392"/>
      <c r="F360" s="392"/>
      <c r="G360" s="392"/>
      <c r="H360" s="392"/>
      <c r="I360" s="392"/>
      <c r="J360" s="392"/>
      <c r="K360" s="392"/>
      <c r="L360" s="392"/>
      <c r="M360" s="392"/>
      <c r="N360" s="392"/>
      <c r="O360" s="392"/>
      <c r="P360" s="392"/>
      <c r="Q360" s="392"/>
      <c r="R360" s="392"/>
      <c r="S360" s="392"/>
      <c r="T360" s="392"/>
      <c r="U360" s="392"/>
      <c r="V360" s="392"/>
      <c r="W360" s="392"/>
      <c r="X360" s="392"/>
      <c r="Y360" s="392"/>
      <c r="Z360" s="392"/>
      <c r="AA360" s="392"/>
      <c r="AB360" s="392"/>
      <c r="AC360" s="392"/>
      <c r="AD360" s="392"/>
      <c r="AE360" s="392"/>
      <c r="AF360" s="392"/>
      <c r="AG360" s="392"/>
      <c r="AH360" s="392"/>
      <c r="AI360" s="392"/>
      <c r="AJ360" s="392"/>
      <c r="AK360" s="392"/>
      <c r="AL360" s="392"/>
      <c r="AM360" s="392"/>
      <c r="AN360" s="392"/>
      <c r="AO360" s="392"/>
      <c r="AP360" s="392"/>
      <c r="AQ360" s="392"/>
      <c r="AR360" s="392"/>
      <c r="AS360" s="392"/>
      <c r="AT360" s="392"/>
      <c r="AU360" s="392"/>
      <c r="AV360" s="392"/>
      <c r="AW360" s="392"/>
      <c r="AX360" s="392"/>
      <c r="AY360" s="392"/>
      <c r="AZ360" s="392"/>
      <c r="BA360" s="392"/>
      <c r="BB360" s="392"/>
      <c r="BC360" s="392"/>
      <c r="BD360" s="392"/>
      <c r="BE360" s="392"/>
      <c r="BF360" s="392"/>
      <c r="BG360" s="392"/>
      <c r="BH360" s="392"/>
      <c r="BI360" s="392"/>
      <c r="BJ360" s="392"/>
      <c r="BK360" s="392"/>
      <c r="BL360" s="392"/>
      <c r="BM360" s="392"/>
      <c r="BN360" s="392"/>
      <c r="BO360" s="392"/>
      <c r="BP360" s="392"/>
      <c r="BQ360" s="392"/>
      <c r="BR360" s="392"/>
      <c r="BS360" s="392"/>
      <c r="BT360" s="392"/>
    </row>
    <row r="361" ht="15.75" customHeight="1">
      <c r="A361" s="216"/>
      <c r="B361" s="156"/>
      <c r="C361" s="156"/>
      <c r="D361" s="156"/>
      <c r="E361" s="392"/>
      <c r="F361" s="392"/>
      <c r="G361" s="392"/>
      <c r="H361" s="392"/>
      <c r="I361" s="392"/>
      <c r="J361" s="392"/>
      <c r="K361" s="392"/>
      <c r="L361" s="392"/>
      <c r="M361" s="392"/>
      <c r="N361" s="392"/>
      <c r="O361" s="392"/>
      <c r="P361" s="392"/>
      <c r="Q361" s="392"/>
      <c r="R361" s="392"/>
      <c r="S361" s="392"/>
      <c r="T361" s="392"/>
      <c r="U361" s="392"/>
      <c r="V361" s="392"/>
      <c r="W361" s="392"/>
      <c r="X361" s="392"/>
      <c r="Y361" s="392"/>
      <c r="Z361" s="392"/>
      <c r="AA361" s="392"/>
      <c r="AB361" s="392"/>
      <c r="AC361" s="392"/>
      <c r="AD361" s="392"/>
      <c r="AE361" s="392"/>
      <c r="AF361" s="392"/>
      <c r="AG361" s="392"/>
      <c r="AH361" s="392"/>
      <c r="AI361" s="392"/>
      <c r="AJ361" s="392"/>
      <c r="AK361" s="392"/>
      <c r="AL361" s="392"/>
      <c r="AM361" s="392"/>
      <c r="AN361" s="392"/>
      <c r="AO361" s="392"/>
      <c r="AP361" s="392"/>
      <c r="AQ361" s="392"/>
      <c r="AR361" s="392"/>
      <c r="AS361" s="392"/>
      <c r="AT361" s="392"/>
      <c r="AU361" s="392"/>
      <c r="AV361" s="392"/>
      <c r="AW361" s="392"/>
      <c r="AX361" s="392"/>
      <c r="AY361" s="392"/>
      <c r="AZ361" s="392"/>
      <c r="BA361" s="392"/>
      <c r="BB361" s="392"/>
      <c r="BC361" s="392"/>
      <c r="BD361" s="392"/>
      <c r="BE361" s="392"/>
      <c r="BF361" s="392"/>
      <c r="BG361" s="392"/>
      <c r="BH361" s="392"/>
      <c r="BI361" s="392"/>
      <c r="BJ361" s="392"/>
      <c r="BK361" s="392"/>
      <c r="BL361" s="392"/>
      <c r="BM361" s="392"/>
      <c r="BN361" s="392"/>
      <c r="BO361" s="392"/>
      <c r="BP361" s="392"/>
      <c r="BQ361" s="392"/>
      <c r="BR361" s="392"/>
      <c r="BS361" s="392"/>
      <c r="BT361" s="392"/>
    </row>
    <row r="362" ht="15.75" customHeight="1">
      <c r="A362" s="216"/>
      <c r="B362" s="156"/>
      <c r="C362" s="156"/>
      <c r="D362" s="156"/>
      <c r="E362" s="392"/>
      <c r="F362" s="392"/>
      <c r="G362" s="392"/>
      <c r="H362" s="392"/>
      <c r="I362" s="392"/>
      <c r="J362" s="392"/>
      <c r="K362" s="392"/>
      <c r="L362" s="392"/>
      <c r="M362" s="392"/>
      <c r="N362" s="392"/>
      <c r="O362" s="392"/>
      <c r="P362" s="392"/>
      <c r="Q362" s="392"/>
      <c r="R362" s="392"/>
      <c r="S362" s="392"/>
      <c r="T362" s="392"/>
      <c r="U362" s="392"/>
      <c r="V362" s="392"/>
      <c r="W362" s="392"/>
      <c r="X362" s="392"/>
      <c r="Y362" s="392"/>
      <c r="Z362" s="392"/>
      <c r="AA362" s="392"/>
      <c r="AB362" s="392"/>
      <c r="AC362" s="392"/>
      <c r="AD362" s="392"/>
      <c r="AE362" s="392"/>
      <c r="AF362" s="392"/>
      <c r="AG362" s="392"/>
      <c r="AH362" s="392"/>
      <c r="AI362" s="392"/>
      <c r="AJ362" s="392"/>
      <c r="AK362" s="392"/>
      <c r="AL362" s="392"/>
      <c r="AM362" s="392"/>
      <c r="AN362" s="392"/>
      <c r="AO362" s="392"/>
      <c r="AP362" s="392"/>
      <c r="AQ362" s="392"/>
      <c r="AR362" s="392"/>
      <c r="AS362" s="392"/>
      <c r="AT362" s="392"/>
      <c r="AU362" s="392"/>
      <c r="AV362" s="392"/>
      <c r="AW362" s="392"/>
      <c r="AX362" s="392"/>
      <c r="AY362" s="392"/>
      <c r="AZ362" s="392"/>
      <c r="BA362" s="392"/>
      <c r="BB362" s="392"/>
      <c r="BC362" s="392"/>
      <c r="BD362" s="392"/>
      <c r="BE362" s="392"/>
      <c r="BF362" s="392"/>
      <c r="BG362" s="392"/>
      <c r="BH362" s="392"/>
      <c r="BI362" s="392"/>
      <c r="BJ362" s="392"/>
      <c r="BK362" s="392"/>
      <c r="BL362" s="392"/>
      <c r="BM362" s="392"/>
      <c r="BN362" s="392"/>
      <c r="BO362" s="392"/>
      <c r="BP362" s="392"/>
      <c r="BQ362" s="392"/>
      <c r="BR362" s="392"/>
      <c r="BS362" s="392"/>
      <c r="BT362" s="392"/>
    </row>
    <row r="363" ht="15.75" customHeight="1">
      <c r="A363" s="216"/>
      <c r="B363" s="156"/>
      <c r="C363" s="156"/>
      <c r="D363" s="156"/>
      <c r="E363" s="392"/>
      <c r="F363" s="392"/>
      <c r="G363" s="392"/>
      <c r="H363" s="392"/>
      <c r="I363" s="392"/>
      <c r="J363" s="392"/>
      <c r="K363" s="392"/>
      <c r="L363" s="392"/>
      <c r="M363" s="392"/>
      <c r="N363" s="392"/>
      <c r="O363" s="392"/>
      <c r="P363" s="392"/>
      <c r="Q363" s="392"/>
      <c r="R363" s="392"/>
      <c r="S363" s="392"/>
      <c r="T363" s="392"/>
      <c r="U363" s="392"/>
      <c r="V363" s="392"/>
      <c r="W363" s="392"/>
      <c r="X363" s="392"/>
      <c r="Y363" s="392"/>
      <c r="Z363" s="392"/>
      <c r="AA363" s="392"/>
      <c r="AB363" s="392"/>
      <c r="AC363" s="392"/>
      <c r="AD363" s="392"/>
      <c r="AE363" s="392"/>
      <c r="AF363" s="392"/>
      <c r="AG363" s="392"/>
      <c r="AH363" s="392"/>
      <c r="AI363" s="392"/>
      <c r="AJ363" s="392"/>
      <c r="AK363" s="392"/>
      <c r="AL363" s="392"/>
      <c r="AM363" s="392"/>
      <c r="AN363" s="392"/>
      <c r="AO363" s="392"/>
      <c r="AP363" s="392"/>
      <c r="AQ363" s="392"/>
      <c r="AR363" s="392"/>
      <c r="AS363" s="392"/>
      <c r="AT363" s="392"/>
      <c r="AU363" s="392"/>
      <c r="AV363" s="392"/>
      <c r="AW363" s="392"/>
      <c r="AX363" s="392"/>
      <c r="AY363" s="392"/>
      <c r="AZ363" s="392"/>
      <c r="BA363" s="392"/>
      <c r="BB363" s="392"/>
      <c r="BC363" s="392"/>
      <c r="BD363" s="392"/>
      <c r="BE363" s="392"/>
      <c r="BF363" s="392"/>
      <c r="BG363" s="392"/>
      <c r="BH363" s="392"/>
      <c r="BI363" s="392"/>
      <c r="BJ363" s="392"/>
      <c r="BK363" s="392"/>
      <c r="BL363" s="392"/>
      <c r="BM363" s="392"/>
      <c r="BN363" s="392"/>
      <c r="BO363" s="392"/>
      <c r="BP363" s="392"/>
      <c r="BQ363" s="392"/>
      <c r="BR363" s="392"/>
      <c r="BS363" s="392"/>
      <c r="BT363" s="392"/>
    </row>
    <row r="364" ht="15.75" customHeight="1">
      <c r="A364" s="216"/>
      <c r="B364" s="156"/>
      <c r="C364" s="156"/>
      <c r="D364" s="156"/>
      <c r="E364" s="392"/>
      <c r="F364" s="392"/>
      <c r="G364" s="392"/>
      <c r="H364" s="392"/>
      <c r="I364" s="392"/>
      <c r="J364" s="392"/>
      <c r="K364" s="392"/>
      <c r="L364" s="392"/>
      <c r="M364" s="392"/>
      <c r="N364" s="392"/>
      <c r="O364" s="392"/>
      <c r="P364" s="392"/>
      <c r="Q364" s="392"/>
      <c r="R364" s="392"/>
      <c r="S364" s="392"/>
      <c r="T364" s="392"/>
      <c r="U364" s="392"/>
      <c r="V364" s="392"/>
      <c r="W364" s="392"/>
      <c r="X364" s="392"/>
      <c r="Y364" s="392"/>
      <c r="Z364" s="392"/>
      <c r="AA364" s="392"/>
      <c r="AB364" s="392"/>
      <c r="AC364" s="392"/>
      <c r="AD364" s="392"/>
      <c r="AE364" s="392"/>
      <c r="AF364" s="392"/>
      <c r="AG364" s="392"/>
      <c r="AH364" s="392"/>
      <c r="AI364" s="392"/>
      <c r="AJ364" s="392"/>
      <c r="AK364" s="392"/>
      <c r="AL364" s="392"/>
      <c r="AM364" s="392"/>
      <c r="AN364" s="392"/>
      <c r="AO364" s="392"/>
      <c r="AP364" s="392"/>
      <c r="AQ364" s="392"/>
      <c r="AR364" s="392"/>
      <c r="AS364" s="392"/>
      <c r="AT364" s="392"/>
      <c r="AU364" s="392"/>
      <c r="AV364" s="392"/>
      <c r="AW364" s="392"/>
      <c r="AX364" s="392"/>
      <c r="AY364" s="392"/>
      <c r="AZ364" s="392"/>
      <c r="BA364" s="392"/>
      <c r="BB364" s="392"/>
      <c r="BC364" s="392"/>
      <c r="BD364" s="392"/>
      <c r="BE364" s="392"/>
      <c r="BF364" s="392"/>
      <c r="BG364" s="392"/>
      <c r="BH364" s="392"/>
      <c r="BI364" s="392"/>
      <c r="BJ364" s="392"/>
      <c r="BK364" s="392"/>
      <c r="BL364" s="392"/>
      <c r="BM364" s="392"/>
      <c r="BN364" s="392"/>
      <c r="BO364" s="392"/>
      <c r="BP364" s="392"/>
      <c r="BQ364" s="392"/>
      <c r="BR364" s="392"/>
      <c r="BS364" s="392"/>
      <c r="BT364" s="392"/>
    </row>
    <row r="365" ht="15.75" customHeight="1">
      <c r="A365" s="216"/>
      <c r="B365" s="156"/>
      <c r="C365" s="156"/>
      <c r="D365" s="156"/>
      <c r="E365" s="392"/>
      <c r="F365" s="392"/>
      <c r="G365" s="392"/>
      <c r="H365" s="392"/>
      <c r="I365" s="392"/>
      <c r="J365" s="392"/>
      <c r="K365" s="392"/>
      <c r="L365" s="392"/>
      <c r="M365" s="392"/>
      <c r="N365" s="392"/>
      <c r="O365" s="392"/>
      <c r="P365" s="392"/>
      <c r="Q365" s="392"/>
      <c r="R365" s="392"/>
      <c r="S365" s="392"/>
      <c r="T365" s="392"/>
      <c r="U365" s="392"/>
      <c r="V365" s="392"/>
      <c r="W365" s="392"/>
      <c r="X365" s="392"/>
      <c r="Y365" s="392"/>
      <c r="Z365" s="392"/>
      <c r="AA365" s="392"/>
      <c r="AB365" s="392"/>
      <c r="AC365" s="392"/>
      <c r="AD365" s="392"/>
      <c r="AE365" s="392"/>
      <c r="AF365" s="392"/>
      <c r="AG365" s="392"/>
      <c r="AH365" s="392"/>
      <c r="AI365" s="392"/>
      <c r="AJ365" s="392"/>
      <c r="AK365" s="392"/>
      <c r="AL365" s="392"/>
      <c r="AM365" s="392"/>
      <c r="AN365" s="392"/>
      <c r="AO365" s="392"/>
      <c r="AP365" s="392"/>
      <c r="AQ365" s="392"/>
      <c r="AR365" s="392"/>
      <c r="AS365" s="392"/>
      <c r="AT365" s="392"/>
      <c r="AU365" s="392"/>
      <c r="AV365" s="392"/>
      <c r="AW365" s="392"/>
      <c r="AX365" s="392"/>
      <c r="AY365" s="392"/>
      <c r="AZ365" s="392"/>
      <c r="BA365" s="392"/>
      <c r="BB365" s="392"/>
      <c r="BC365" s="392"/>
      <c r="BD365" s="392"/>
      <c r="BE365" s="392"/>
      <c r="BF365" s="392"/>
      <c r="BG365" s="392"/>
      <c r="BH365" s="392"/>
      <c r="BI365" s="392"/>
      <c r="BJ365" s="392"/>
      <c r="BK365" s="392"/>
      <c r="BL365" s="392"/>
      <c r="BM365" s="392"/>
      <c r="BN365" s="392"/>
      <c r="BO365" s="392"/>
      <c r="BP365" s="392"/>
      <c r="BQ365" s="392"/>
      <c r="BR365" s="392"/>
      <c r="BS365" s="392"/>
      <c r="BT365" s="392"/>
    </row>
    <row r="366" ht="15.75" customHeight="1">
      <c r="A366" s="216"/>
      <c r="B366" s="156"/>
      <c r="C366" s="156"/>
      <c r="D366" s="156"/>
      <c r="E366" s="392"/>
      <c r="F366" s="392"/>
      <c r="G366" s="392"/>
      <c r="H366" s="392"/>
      <c r="I366" s="392"/>
      <c r="J366" s="392"/>
      <c r="K366" s="392"/>
      <c r="L366" s="392"/>
      <c r="M366" s="392"/>
      <c r="N366" s="392"/>
      <c r="O366" s="392"/>
      <c r="P366" s="392"/>
      <c r="Q366" s="392"/>
      <c r="R366" s="392"/>
      <c r="S366" s="392"/>
      <c r="T366" s="392"/>
      <c r="U366" s="392"/>
      <c r="V366" s="392"/>
      <c r="W366" s="392"/>
      <c r="X366" s="392"/>
      <c r="Y366" s="392"/>
      <c r="Z366" s="392"/>
      <c r="AA366" s="392"/>
      <c r="AB366" s="392"/>
      <c r="AC366" s="392"/>
      <c r="AD366" s="392"/>
      <c r="AE366" s="392"/>
      <c r="AF366" s="392"/>
      <c r="AG366" s="392"/>
      <c r="AH366" s="392"/>
      <c r="AI366" s="392"/>
      <c r="AJ366" s="392"/>
      <c r="AK366" s="392"/>
      <c r="AL366" s="392"/>
      <c r="AM366" s="392"/>
      <c r="AN366" s="392"/>
      <c r="AO366" s="392"/>
      <c r="AP366" s="392"/>
      <c r="AQ366" s="392"/>
      <c r="AR366" s="392"/>
      <c r="AS366" s="392"/>
      <c r="AT366" s="392"/>
      <c r="AU366" s="392"/>
      <c r="AV366" s="392"/>
      <c r="AW366" s="392"/>
      <c r="AX366" s="392"/>
      <c r="AY366" s="392"/>
      <c r="AZ366" s="392"/>
      <c r="BA366" s="392"/>
      <c r="BB366" s="392"/>
      <c r="BC366" s="392"/>
      <c r="BD366" s="392"/>
      <c r="BE366" s="392"/>
      <c r="BF366" s="392"/>
      <c r="BG366" s="392"/>
      <c r="BH366" s="392"/>
      <c r="BI366" s="392"/>
      <c r="BJ366" s="392"/>
      <c r="BK366" s="392"/>
      <c r="BL366" s="392"/>
      <c r="BM366" s="392"/>
      <c r="BN366" s="392"/>
      <c r="BO366" s="392"/>
      <c r="BP366" s="392"/>
      <c r="BQ366" s="392"/>
      <c r="BR366" s="392"/>
      <c r="BS366" s="392"/>
      <c r="BT366" s="392"/>
    </row>
    <row r="367" ht="15.75" customHeight="1">
      <c r="A367" s="216"/>
      <c r="B367" s="156"/>
      <c r="C367" s="156"/>
      <c r="D367" s="156"/>
      <c r="E367" s="392"/>
      <c r="F367" s="392"/>
      <c r="G367" s="392"/>
      <c r="H367" s="392"/>
      <c r="I367" s="392"/>
      <c r="J367" s="392"/>
      <c r="K367" s="392"/>
      <c r="L367" s="392"/>
      <c r="M367" s="392"/>
      <c r="N367" s="392"/>
      <c r="O367" s="392"/>
      <c r="P367" s="392"/>
      <c r="Q367" s="392"/>
      <c r="R367" s="392"/>
      <c r="S367" s="392"/>
      <c r="T367" s="392"/>
      <c r="U367" s="392"/>
      <c r="V367" s="392"/>
      <c r="W367" s="392"/>
      <c r="X367" s="392"/>
      <c r="Y367" s="392"/>
      <c r="Z367" s="392"/>
      <c r="AA367" s="392"/>
      <c r="AB367" s="392"/>
      <c r="AC367" s="392"/>
      <c r="AD367" s="392"/>
      <c r="AE367" s="392"/>
      <c r="AF367" s="392"/>
      <c r="AG367" s="392"/>
      <c r="AH367" s="392"/>
      <c r="AI367" s="392"/>
      <c r="AJ367" s="392"/>
      <c r="AK367" s="392"/>
      <c r="AL367" s="392"/>
      <c r="AM367" s="392"/>
      <c r="AN367" s="392"/>
      <c r="AO367" s="392"/>
      <c r="AP367" s="392"/>
      <c r="AQ367" s="392"/>
      <c r="AR367" s="392"/>
      <c r="AS367" s="392"/>
      <c r="AT367" s="392"/>
      <c r="AU367" s="392"/>
      <c r="AV367" s="392"/>
      <c r="AW367" s="392"/>
      <c r="AX367" s="392"/>
      <c r="AY367" s="392"/>
      <c r="AZ367" s="392"/>
      <c r="BA367" s="392"/>
      <c r="BB367" s="392"/>
      <c r="BC367" s="392"/>
      <c r="BD367" s="392"/>
      <c r="BE367" s="392"/>
      <c r="BF367" s="392"/>
      <c r="BG367" s="392"/>
      <c r="BH367" s="392"/>
      <c r="BI367" s="392"/>
      <c r="BJ367" s="392"/>
      <c r="BK367" s="392"/>
      <c r="BL367" s="392"/>
      <c r="BM367" s="392"/>
      <c r="BN367" s="392"/>
      <c r="BO367" s="392"/>
      <c r="BP367" s="392"/>
      <c r="BQ367" s="392"/>
      <c r="BR367" s="392"/>
      <c r="BS367" s="392"/>
      <c r="BT367" s="392"/>
    </row>
    <row r="368" ht="15.75" customHeight="1">
      <c r="A368" s="216"/>
      <c r="B368" s="156"/>
      <c r="C368" s="156"/>
      <c r="D368" s="156"/>
      <c r="E368" s="392"/>
      <c r="F368" s="392"/>
      <c r="G368" s="392"/>
      <c r="H368" s="392"/>
      <c r="I368" s="392"/>
      <c r="J368" s="392"/>
      <c r="K368" s="392"/>
      <c r="L368" s="392"/>
      <c r="M368" s="392"/>
      <c r="N368" s="392"/>
      <c r="O368" s="392"/>
      <c r="P368" s="392"/>
      <c r="Q368" s="392"/>
      <c r="R368" s="392"/>
      <c r="S368" s="392"/>
      <c r="T368" s="392"/>
      <c r="U368" s="392"/>
      <c r="V368" s="392"/>
      <c r="W368" s="392"/>
      <c r="X368" s="392"/>
      <c r="Y368" s="392"/>
      <c r="Z368" s="392"/>
      <c r="AA368" s="392"/>
      <c r="AB368" s="392"/>
      <c r="AC368" s="392"/>
      <c r="AD368" s="392"/>
      <c r="AE368" s="392"/>
      <c r="AF368" s="392"/>
      <c r="AG368" s="392"/>
      <c r="AH368" s="392"/>
      <c r="AI368" s="392"/>
      <c r="AJ368" s="392"/>
      <c r="AK368" s="392"/>
      <c r="AL368" s="392"/>
      <c r="AM368" s="392"/>
      <c r="AN368" s="392"/>
      <c r="AO368" s="392"/>
      <c r="AP368" s="392"/>
      <c r="AQ368" s="392"/>
      <c r="AR368" s="392"/>
      <c r="AS368" s="392"/>
      <c r="AT368" s="392"/>
      <c r="AU368" s="392"/>
      <c r="AV368" s="392"/>
      <c r="AW368" s="392"/>
      <c r="AX368" s="392"/>
      <c r="AY368" s="392"/>
      <c r="AZ368" s="392"/>
      <c r="BA368" s="392"/>
      <c r="BB368" s="392"/>
      <c r="BC368" s="392"/>
      <c r="BD368" s="392"/>
      <c r="BE368" s="392"/>
      <c r="BF368" s="392"/>
      <c r="BG368" s="392"/>
      <c r="BH368" s="392"/>
      <c r="BI368" s="392"/>
      <c r="BJ368" s="392"/>
      <c r="BK368" s="392"/>
      <c r="BL368" s="392"/>
      <c r="BM368" s="392"/>
      <c r="BN368" s="392"/>
      <c r="BO368" s="392"/>
      <c r="BP368" s="392"/>
      <c r="BQ368" s="392"/>
      <c r="BR368" s="392"/>
      <c r="BS368" s="392"/>
      <c r="BT368" s="392"/>
    </row>
    <row r="369" ht="15.75" customHeight="1">
      <c r="A369" s="216"/>
      <c r="B369" s="156"/>
      <c r="C369" s="156"/>
      <c r="D369" s="156"/>
      <c r="E369" s="392"/>
      <c r="F369" s="392"/>
      <c r="G369" s="392"/>
      <c r="H369" s="392"/>
      <c r="I369" s="392"/>
      <c r="J369" s="392"/>
      <c r="K369" s="392"/>
      <c r="L369" s="392"/>
      <c r="M369" s="392"/>
      <c r="N369" s="392"/>
      <c r="O369" s="392"/>
      <c r="P369" s="392"/>
      <c r="Q369" s="392"/>
      <c r="R369" s="392"/>
      <c r="S369" s="392"/>
      <c r="T369" s="392"/>
      <c r="U369" s="392"/>
      <c r="V369" s="392"/>
      <c r="W369" s="392"/>
      <c r="X369" s="392"/>
      <c r="Y369" s="392"/>
      <c r="Z369" s="392"/>
      <c r="AA369" s="392"/>
      <c r="AB369" s="392"/>
      <c r="AC369" s="392"/>
      <c r="AD369" s="392"/>
      <c r="AE369" s="392"/>
      <c r="AF369" s="392"/>
      <c r="AG369" s="392"/>
      <c r="AH369" s="392"/>
      <c r="AI369" s="392"/>
      <c r="AJ369" s="392"/>
      <c r="AK369" s="392"/>
      <c r="AL369" s="392"/>
      <c r="AM369" s="392"/>
      <c r="AN369" s="392"/>
      <c r="AO369" s="392"/>
      <c r="AP369" s="392"/>
      <c r="AQ369" s="392"/>
      <c r="AR369" s="392"/>
      <c r="AS369" s="392"/>
      <c r="AT369" s="392"/>
      <c r="AU369" s="392"/>
      <c r="AV369" s="392"/>
      <c r="AW369" s="392"/>
      <c r="AX369" s="392"/>
      <c r="AY369" s="392"/>
      <c r="AZ369" s="392"/>
      <c r="BA369" s="392"/>
      <c r="BB369" s="392"/>
      <c r="BC369" s="392"/>
      <c r="BD369" s="392"/>
      <c r="BE369" s="392"/>
      <c r="BF369" s="392"/>
      <c r="BG369" s="392"/>
      <c r="BH369" s="392"/>
      <c r="BI369" s="392"/>
      <c r="BJ369" s="392"/>
      <c r="BK369" s="392"/>
      <c r="BL369" s="392"/>
      <c r="BM369" s="392"/>
      <c r="BN369" s="392"/>
      <c r="BO369" s="392"/>
      <c r="BP369" s="392"/>
      <c r="BQ369" s="392"/>
      <c r="BR369" s="392"/>
      <c r="BS369" s="392"/>
      <c r="BT369" s="392"/>
    </row>
    <row r="370" ht="15.75" customHeight="1">
      <c r="A370" s="216"/>
      <c r="B370" s="156"/>
      <c r="C370" s="156"/>
      <c r="D370" s="156"/>
      <c r="E370" s="392"/>
      <c r="F370" s="392"/>
      <c r="G370" s="392"/>
      <c r="H370" s="392"/>
      <c r="I370" s="392"/>
      <c r="J370" s="392"/>
      <c r="K370" s="392"/>
      <c r="L370" s="392"/>
      <c r="M370" s="392"/>
      <c r="N370" s="392"/>
      <c r="O370" s="392"/>
      <c r="P370" s="392"/>
      <c r="Q370" s="392"/>
      <c r="R370" s="392"/>
      <c r="S370" s="392"/>
      <c r="T370" s="392"/>
      <c r="U370" s="392"/>
      <c r="V370" s="392"/>
      <c r="W370" s="392"/>
      <c r="X370" s="392"/>
      <c r="Y370" s="392"/>
      <c r="Z370" s="392"/>
      <c r="AA370" s="392"/>
      <c r="AB370" s="392"/>
      <c r="AC370" s="392"/>
      <c r="AD370" s="392"/>
      <c r="AE370" s="392"/>
      <c r="AF370" s="392"/>
      <c r="AG370" s="392"/>
      <c r="AH370" s="392"/>
      <c r="AI370" s="392"/>
      <c r="AJ370" s="392"/>
      <c r="AK370" s="392"/>
      <c r="AL370" s="392"/>
      <c r="AM370" s="392"/>
      <c r="AN370" s="392"/>
      <c r="AO370" s="392"/>
      <c r="AP370" s="392"/>
      <c r="AQ370" s="392"/>
      <c r="AR370" s="392"/>
      <c r="AS370" s="392"/>
      <c r="AT370" s="392"/>
      <c r="AU370" s="392"/>
      <c r="AV370" s="392"/>
      <c r="AW370" s="392"/>
      <c r="AX370" s="392"/>
      <c r="AY370" s="392"/>
      <c r="AZ370" s="392"/>
      <c r="BA370" s="392"/>
      <c r="BB370" s="392"/>
      <c r="BC370" s="392"/>
      <c r="BD370" s="392"/>
      <c r="BE370" s="392"/>
      <c r="BF370" s="392"/>
      <c r="BG370" s="392"/>
      <c r="BH370" s="392"/>
      <c r="BI370" s="392"/>
      <c r="BJ370" s="392"/>
      <c r="BK370" s="392"/>
      <c r="BL370" s="392"/>
      <c r="BM370" s="392"/>
      <c r="BN370" s="392"/>
      <c r="BO370" s="392"/>
      <c r="BP370" s="392"/>
      <c r="BQ370" s="392"/>
      <c r="BR370" s="392"/>
      <c r="BS370" s="392"/>
      <c r="BT370" s="392"/>
    </row>
    <row r="371" ht="15.75" customHeight="1">
      <c r="A371" s="216"/>
      <c r="B371" s="156"/>
      <c r="C371" s="156"/>
      <c r="D371" s="156"/>
      <c r="E371" s="392"/>
      <c r="F371" s="392"/>
      <c r="G371" s="392"/>
      <c r="H371" s="392"/>
      <c r="I371" s="392"/>
      <c r="J371" s="392"/>
      <c r="K371" s="392"/>
      <c r="L371" s="392"/>
      <c r="M371" s="392"/>
      <c r="N371" s="392"/>
      <c r="O371" s="392"/>
      <c r="P371" s="392"/>
      <c r="Q371" s="392"/>
      <c r="R371" s="392"/>
      <c r="S371" s="392"/>
      <c r="T371" s="392"/>
      <c r="U371" s="392"/>
      <c r="V371" s="392"/>
      <c r="W371" s="392"/>
      <c r="X371" s="392"/>
      <c r="Y371" s="392"/>
      <c r="Z371" s="392"/>
      <c r="AA371" s="392"/>
      <c r="AB371" s="392"/>
      <c r="AC371" s="392"/>
      <c r="AD371" s="392"/>
      <c r="AE371" s="392"/>
      <c r="AF371" s="392"/>
      <c r="AG371" s="392"/>
      <c r="AH371" s="392"/>
      <c r="AI371" s="392"/>
      <c r="AJ371" s="392"/>
      <c r="AK371" s="392"/>
      <c r="AL371" s="392"/>
      <c r="AM371" s="392"/>
      <c r="AN371" s="392"/>
      <c r="AO371" s="392"/>
      <c r="AP371" s="392"/>
      <c r="AQ371" s="392"/>
      <c r="AR371" s="392"/>
      <c r="AS371" s="392"/>
      <c r="AT371" s="392"/>
      <c r="AU371" s="392"/>
      <c r="AV371" s="392"/>
      <c r="AW371" s="392"/>
      <c r="AX371" s="392"/>
      <c r="AY371" s="392"/>
      <c r="AZ371" s="392"/>
      <c r="BA371" s="392"/>
      <c r="BB371" s="392"/>
      <c r="BC371" s="392"/>
      <c r="BD371" s="392"/>
      <c r="BE371" s="392"/>
      <c r="BF371" s="392"/>
      <c r="BG371" s="392"/>
      <c r="BH371" s="392"/>
      <c r="BI371" s="392"/>
      <c r="BJ371" s="392"/>
      <c r="BK371" s="392"/>
      <c r="BL371" s="392"/>
      <c r="BM371" s="392"/>
      <c r="BN371" s="392"/>
      <c r="BO371" s="392"/>
      <c r="BP371" s="392"/>
      <c r="BQ371" s="392"/>
      <c r="BR371" s="392"/>
      <c r="BS371" s="392"/>
      <c r="BT371" s="392"/>
    </row>
    <row r="372" ht="15.75" customHeight="1">
      <c r="A372" s="216"/>
      <c r="B372" s="156"/>
      <c r="C372" s="156"/>
      <c r="D372" s="156"/>
      <c r="E372" s="392"/>
      <c r="F372" s="392"/>
      <c r="G372" s="392"/>
      <c r="H372" s="392"/>
      <c r="I372" s="392"/>
      <c r="J372" s="392"/>
      <c r="K372" s="392"/>
      <c r="L372" s="392"/>
      <c r="M372" s="392"/>
      <c r="N372" s="392"/>
      <c r="O372" s="392"/>
      <c r="P372" s="392"/>
      <c r="Q372" s="392"/>
      <c r="R372" s="392"/>
      <c r="S372" s="392"/>
      <c r="T372" s="392"/>
      <c r="U372" s="392"/>
      <c r="V372" s="392"/>
      <c r="W372" s="392"/>
      <c r="X372" s="392"/>
      <c r="Y372" s="392"/>
      <c r="Z372" s="392"/>
      <c r="AA372" s="392"/>
      <c r="AB372" s="392"/>
      <c r="AC372" s="392"/>
      <c r="AD372" s="392"/>
      <c r="AE372" s="392"/>
      <c r="AF372" s="392"/>
      <c r="AG372" s="392"/>
      <c r="AH372" s="392"/>
      <c r="AI372" s="392"/>
      <c r="AJ372" s="392"/>
      <c r="AK372" s="392"/>
      <c r="AL372" s="392"/>
      <c r="AM372" s="392"/>
      <c r="AN372" s="392"/>
      <c r="AO372" s="392"/>
      <c r="AP372" s="392"/>
      <c r="AQ372" s="392"/>
      <c r="AR372" s="392"/>
      <c r="AS372" s="392"/>
      <c r="AT372" s="392"/>
      <c r="AU372" s="392"/>
      <c r="AV372" s="392"/>
      <c r="AW372" s="392"/>
      <c r="AX372" s="392"/>
      <c r="AY372" s="392"/>
      <c r="AZ372" s="392"/>
      <c r="BA372" s="392"/>
      <c r="BB372" s="392"/>
      <c r="BC372" s="392"/>
      <c r="BD372" s="392"/>
      <c r="BE372" s="392"/>
      <c r="BF372" s="392"/>
      <c r="BG372" s="392"/>
      <c r="BH372" s="392"/>
      <c r="BI372" s="392"/>
      <c r="BJ372" s="392"/>
      <c r="BK372" s="392"/>
      <c r="BL372" s="392"/>
      <c r="BM372" s="392"/>
      <c r="BN372" s="392"/>
      <c r="BO372" s="392"/>
      <c r="BP372" s="392"/>
      <c r="BQ372" s="392"/>
      <c r="BR372" s="392"/>
      <c r="BS372" s="392"/>
      <c r="BT372" s="392"/>
    </row>
    <row r="373" ht="15.75" customHeight="1">
      <c r="A373" s="216"/>
      <c r="B373" s="156"/>
      <c r="C373" s="156"/>
      <c r="D373" s="156"/>
      <c r="E373" s="392"/>
      <c r="F373" s="392"/>
      <c r="G373" s="392"/>
      <c r="H373" s="392"/>
      <c r="I373" s="392"/>
      <c r="J373" s="392"/>
      <c r="K373" s="392"/>
      <c r="L373" s="392"/>
      <c r="M373" s="392"/>
      <c r="N373" s="392"/>
      <c r="O373" s="392"/>
      <c r="P373" s="392"/>
      <c r="Q373" s="392"/>
      <c r="R373" s="392"/>
      <c r="S373" s="392"/>
      <c r="T373" s="392"/>
      <c r="U373" s="392"/>
      <c r="V373" s="392"/>
      <c r="W373" s="392"/>
      <c r="X373" s="392"/>
      <c r="Y373" s="392"/>
      <c r="Z373" s="392"/>
      <c r="AA373" s="392"/>
      <c r="AB373" s="392"/>
      <c r="AC373" s="392"/>
      <c r="AD373" s="392"/>
      <c r="AE373" s="392"/>
      <c r="AF373" s="392"/>
      <c r="AG373" s="392"/>
      <c r="AH373" s="392"/>
      <c r="AI373" s="392"/>
      <c r="AJ373" s="392"/>
      <c r="AK373" s="392"/>
      <c r="AL373" s="392"/>
      <c r="AM373" s="392"/>
      <c r="AN373" s="392"/>
      <c r="AO373" s="392"/>
      <c r="AP373" s="392"/>
      <c r="AQ373" s="392"/>
      <c r="AR373" s="392"/>
      <c r="AS373" s="392"/>
      <c r="AT373" s="392"/>
      <c r="AU373" s="392"/>
      <c r="AV373" s="392"/>
      <c r="AW373" s="392"/>
      <c r="AX373" s="392"/>
      <c r="AY373" s="392"/>
      <c r="AZ373" s="392"/>
      <c r="BA373" s="392"/>
      <c r="BB373" s="392"/>
      <c r="BC373" s="392"/>
      <c r="BD373" s="392"/>
      <c r="BE373" s="392"/>
      <c r="BF373" s="392"/>
      <c r="BG373" s="392"/>
      <c r="BH373" s="392"/>
      <c r="BI373" s="392"/>
      <c r="BJ373" s="392"/>
      <c r="BK373" s="392"/>
      <c r="BL373" s="392"/>
      <c r="BM373" s="392"/>
      <c r="BN373" s="392"/>
      <c r="BO373" s="392"/>
      <c r="BP373" s="392"/>
      <c r="BQ373" s="392"/>
      <c r="BR373" s="392"/>
      <c r="BS373" s="392"/>
      <c r="BT373" s="392"/>
    </row>
    <row r="374" ht="15.75" customHeight="1">
      <c r="A374" s="216"/>
      <c r="B374" s="156"/>
      <c r="C374" s="156"/>
      <c r="D374" s="156"/>
      <c r="E374" s="392"/>
      <c r="F374" s="392"/>
      <c r="G374" s="392"/>
      <c r="H374" s="392"/>
      <c r="I374" s="392"/>
      <c r="J374" s="392"/>
      <c r="K374" s="392"/>
      <c r="L374" s="392"/>
      <c r="M374" s="392"/>
      <c r="N374" s="392"/>
      <c r="O374" s="392"/>
      <c r="P374" s="392"/>
      <c r="Q374" s="392"/>
      <c r="R374" s="392"/>
      <c r="S374" s="392"/>
      <c r="T374" s="392"/>
      <c r="U374" s="392"/>
      <c r="V374" s="392"/>
      <c r="W374" s="392"/>
      <c r="X374" s="392"/>
      <c r="Y374" s="392"/>
      <c r="Z374" s="392"/>
      <c r="AA374" s="392"/>
      <c r="AB374" s="392"/>
      <c r="AC374" s="392"/>
      <c r="AD374" s="392"/>
      <c r="AE374" s="392"/>
      <c r="AF374" s="392"/>
      <c r="AG374" s="392"/>
      <c r="AH374" s="392"/>
      <c r="AI374" s="392"/>
      <c r="AJ374" s="392"/>
      <c r="AK374" s="392"/>
      <c r="AL374" s="392"/>
      <c r="AM374" s="392"/>
      <c r="AN374" s="392"/>
      <c r="AO374" s="392"/>
      <c r="AP374" s="392"/>
      <c r="AQ374" s="392"/>
      <c r="AR374" s="392"/>
      <c r="AS374" s="392"/>
      <c r="AT374" s="392"/>
      <c r="AU374" s="392"/>
      <c r="AV374" s="392"/>
      <c r="AW374" s="392"/>
      <c r="AX374" s="392"/>
      <c r="AY374" s="392"/>
      <c r="AZ374" s="392"/>
      <c r="BA374" s="392"/>
      <c r="BB374" s="392"/>
      <c r="BC374" s="392"/>
      <c r="BD374" s="392"/>
      <c r="BE374" s="392"/>
      <c r="BF374" s="392"/>
      <c r="BG374" s="392"/>
      <c r="BH374" s="392"/>
      <c r="BI374" s="392"/>
      <c r="BJ374" s="392"/>
      <c r="BK374" s="392"/>
      <c r="BL374" s="392"/>
      <c r="BM374" s="392"/>
      <c r="BN374" s="392"/>
      <c r="BO374" s="392"/>
      <c r="BP374" s="392"/>
      <c r="BQ374" s="392"/>
      <c r="BR374" s="392"/>
      <c r="BS374" s="392"/>
      <c r="BT374" s="392"/>
    </row>
    <row r="375" ht="15.75" customHeight="1">
      <c r="A375" s="216"/>
      <c r="B375" s="156"/>
      <c r="C375" s="156"/>
      <c r="D375" s="156"/>
      <c r="E375" s="392"/>
      <c r="F375" s="392"/>
      <c r="G375" s="392"/>
      <c r="H375" s="392"/>
      <c r="I375" s="392"/>
      <c r="J375" s="392"/>
      <c r="K375" s="392"/>
      <c r="L375" s="392"/>
      <c r="M375" s="392"/>
      <c r="N375" s="392"/>
      <c r="O375" s="392"/>
      <c r="P375" s="392"/>
      <c r="Q375" s="392"/>
      <c r="R375" s="392"/>
      <c r="S375" s="392"/>
      <c r="T375" s="392"/>
      <c r="U375" s="392"/>
      <c r="V375" s="392"/>
      <c r="W375" s="392"/>
      <c r="X375" s="392"/>
      <c r="Y375" s="392"/>
      <c r="Z375" s="392"/>
      <c r="AA375" s="392"/>
      <c r="AB375" s="392"/>
      <c r="AC375" s="392"/>
      <c r="AD375" s="392"/>
      <c r="AE375" s="392"/>
      <c r="AF375" s="392"/>
      <c r="AG375" s="392"/>
      <c r="AH375" s="392"/>
      <c r="AI375" s="392"/>
      <c r="AJ375" s="392"/>
      <c r="AK375" s="392"/>
      <c r="AL375" s="392"/>
      <c r="AM375" s="392"/>
      <c r="AN375" s="392"/>
      <c r="AO375" s="392"/>
      <c r="AP375" s="392"/>
      <c r="AQ375" s="392"/>
      <c r="AR375" s="392"/>
      <c r="AS375" s="392"/>
      <c r="AT375" s="392"/>
      <c r="AU375" s="392"/>
      <c r="AV375" s="392"/>
      <c r="AW375" s="392"/>
      <c r="AX375" s="392"/>
      <c r="AY375" s="392"/>
      <c r="AZ375" s="392"/>
      <c r="BA375" s="392"/>
      <c r="BB375" s="392"/>
      <c r="BC375" s="392"/>
      <c r="BD375" s="392"/>
      <c r="BE375" s="392"/>
      <c r="BF375" s="392"/>
      <c r="BG375" s="392"/>
      <c r="BH375" s="392"/>
      <c r="BI375" s="392"/>
      <c r="BJ375" s="392"/>
      <c r="BK375" s="392"/>
      <c r="BL375" s="392"/>
      <c r="BM375" s="392"/>
      <c r="BN375" s="392"/>
      <c r="BO375" s="392"/>
      <c r="BP375" s="392"/>
      <c r="BQ375" s="392"/>
      <c r="BR375" s="392"/>
      <c r="BS375" s="392"/>
      <c r="BT375" s="392"/>
    </row>
    <row r="376" ht="15.75" customHeight="1">
      <c r="A376" s="216"/>
      <c r="B376" s="156"/>
      <c r="C376" s="156"/>
      <c r="D376" s="156"/>
      <c r="E376" s="392"/>
      <c r="F376" s="392"/>
      <c r="G376" s="392"/>
      <c r="H376" s="392"/>
      <c r="I376" s="392"/>
      <c r="J376" s="392"/>
      <c r="K376" s="392"/>
      <c r="L376" s="392"/>
      <c r="M376" s="392"/>
      <c r="N376" s="392"/>
      <c r="O376" s="392"/>
      <c r="P376" s="392"/>
      <c r="Q376" s="392"/>
      <c r="R376" s="392"/>
      <c r="S376" s="392"/>
      <c r="T376" s="392"/>
      <c r="U376" s="392"/>
      <c r="V376" s="392"/>
      <c r="W376" s="392"/>
      <c r="X376" s="392"/>
      <c r="Y376" s="392"/>
      <c r="Z376" s="392"/>
      <c r="AA376" s="392"/>
      <c r="AB376" s="392"/>
      <c r="AC376" s="392"/>
      <c r="AD376" s="392"/>
      <c r="AE376" s="392"/>
      <c r="AF376" s="392"/>
      <c r="AG376" s="392"/>
      <c r="AH376" s="392"/>
      <c r="AI376" s="392"/>
      <c r="AJ376" s="392"/>
      <c r="AK376" s="392"/>
      <c r="AL376" s="392"/>
      <c r="AM376" s="392"/>
      <c r="AN376" s="392"/>
      <c r="AO376" s="392"/>
      <c r="AP376" s="392"/>
      <c r="AQ376" s="392"/>
      <c r="AR376" s="392"/>
      <c r="AS376" s="392"/>
      <c r="AT376" s="392"/>
      <c r="AU376" s="392"/>
      <c r="AV376" s="392"/>
      <c r="AW376" s="392"/>
      <c r="AX376" s="392"/>
      <c r="AY376" s="392"/>
      <c r="AZ376" s="392"/>
      <c r="BA376" s="392"/>
      <c r="BB376" s="392"/>
      <c r="BC376" s="392"/>
      <c r="BD376" s="392"/>
      <c r="BE376" s="392"/>
      <c r="BF376" s="392"/>
      <c r="BG376" s="392"/>
      <c r="BH376" s="392"/>
      <c r="BI376" s="392"/>
      <c r="BJ376" s="392"/>
      <c r="BK376" s="392"/>
      <c r="BL376" s="392"/>
      <c r="BM376" s="392"/>
      <c r="BN376" s="392"/>
      <c r="BO376" s="392"/>
      <c r="BP376" s="392"/>
      <c r="BQ376" s="392"/>
      <c r="BR376" s="392"/>
      <c r="BS376" s="392"/>
      <c r="BT376" s="392"/>
    </row>
    <row r="377" ht="15.75" customHeight="1">
      <c r="A377" s="216"/>
      <c r="B377" s="156"/>
      <c r="C377" s="156"/>
      <c r="D377" s="156"/>
      <c r="E377" s="392"/>
      <c r="F377" s="392"/>
      <c r="G377" s="392"/>
      <c r="H377" s="392"/>
      <c r="I377" s="392"/>
      <c r="J377" s="392"/>
      <c r="K377" s="392"/>
      <c r="L377" s="392"/>
      <c r="M377" s="392"/>
      <c r="N377" s="392"/>
      <c r="O377" s="392"/>
      <c r="P377" s="392"/>
      <c r="Q377" s="392"/>
      <c r="R377" s="392"/>
      <c r="S377" s="392"/>
      <c r="T377" s="392"/>
      <c r="U377" s="392"/>
      <c r="V377" s="392"/>
      <c r="W377" s="392"/>
      <c r="X377" s="392"/>
      <c r="Y377" s="392"/>
      <c r="Z377" s="392"/>
      <c r="AA377" s="392"/>
      <c r="AB377" s="392"/>
      <c r="AC377" s="392"/>
      <c r="AD377" s="392"/>
      <c r="AE377" s="392"/>
      <c r="AF377" s="392"/>
      <c r="AG377" s="392"/>
      <c r="AH377" s="392"/>
      <c r="AI377" s="392"/>
      <c r="AJ377" s="392"/>
      <c r="AK377" s="392"/>
      <c r="AL377" s="392"/>
      <c r="AM377" s="392"/>
      <c r="AN377" s="392"/>
      <c r="AO377" s="392"/>
      <c r="AP377" s="392"/>
      <c r="AQ377" s="392"/>
      <c r="AR377" s="392"/>
      <c r="AS377" s="392"/>
      <c r="AT377" s="392"/>
      <c r="AU377" s="392"/>
      <c r="AV377" s="392"/>
      <c r="AW377" s="392"/>
      <c r="AX377" s="392"/>
      <c r="AY377" s="392"/>
      <c r="AZ377" s="392"/>
      <c r="BA377" s="392"/>
      <c r="BB377" s="392"/>
      <c r="BC377" s="392"/>
      <c r="BD377" s="392"/>
      <c r="BE377" s="392"/>
      <c r="BF377" s="392"/>
      <c r="BG377" s="392"/>
      <c r="BH377" s="392"/>
      <c r="BI377" s="392"/>
      <c r="BJ377" s="392"/>
      <c r="BK377" s="392"/>
      <c r="BL377" s="392"/>
      <c r="BM377" s="392"/>
      <c r="BN377" s="392"/>
      <c r="BO377" s="392"/>
      <c r="BP377" s="392"/>
      <c r="BQ377" s="392"/>
      <c r="BR377" s="392"/>
      <c r="BS377" s="392"/>
      <c r="BT377" s="392"/>
    </row>
    <row r="378" ht="15.75" customHeight="1">
      <c r="A378" s="216"/>
      <c r="B378" s="156"/>
      <c r="C378" s="156"/>
      <c r="D378" s="156"/>
      <c r="E378" s="392"/>
      <c r="F378" s="392"/>
      <c r="G378" s="392"/>
      <c r="H378" s="392"/>
      <c r="I378" s="392"/>
      <c r="J378" s="392"/>
      <c r="K378" s="392"/>
      <c r="L378" s="392"/>
      <c r="M378" s="392"/>
      <c r="N378" s="392"/>
      <c r="O378" s="392"/>
      <c r="P378" s="392"/>
      <c r="Q378" s="392"/>
      <c r="R378" s="392"/>
      <c r="S378" s="392"/>
      <c r="T378" s="392"/>
      <c r="U378" s="392"/>
      <c r="V378" s="392"/>
      <c r="W378" s="392"/>
      <c r="X378" s="392"/>
      <c r="Y378" s="392"/>
      <c r="Z378" s="392"/>
      <c r="AA378" s="392"/>
      <c r="AB378" s="392"/>
      <c r="AC378" s="392"/>
      <c r="AD378" s="392"/>
      <c r="AE378" s="392"/>
      <c r="AF378" s="392"/>
      <c r="AG378" s="392"/>
      <c r="AH378" s="392"/>
      <c r="AI378" s="392"/>
      <c r="AJ378" s="392"/>
      <c r="AK378" s="392"/>
      <c r="AL378" s="392"/>
      <c r="AM378" s="392"/>
      <c r="AN378" s="392"/>
      <c r="AO378" s="392"/>
      <c r="AP378" s="392"/>
      <c r="AQ378" s="392"/>
      <c r="AR378" s="392"/>
      <c r="AS378" s="392"/>
      <c r="AT378" s="392"/>
      <c r="AU378" s="392"/>
      <c r="AV378" s="392"/>
      <c r="AW378" s="392"/>
      <c r="AX378" s="392"/>
      <c r="AY378" s="392"/>
      <c r="AZ378" s="392"/>
      <c r="BA378" s="392"/>
      <c r="BB378" s="392"/>
      <c r="BC378" s="392"/>
      <c r="BD378" s="392"/>
      <c r="BE378" s="392"/>
      <c r="BF378" s="392"/>
      <c r="BG378" s="392"/>
      <c r="BH378" s="392"/>
      <c r="BI378" s="392"/>
      <c r="BJ378" s="392"/>
      <c r="BK378" s="392"/>
      <c r="BL378" s="392"/>
      <c r="BM378" s="392"/>
      <c r="BN378" s="392"/>
      <c r="BO378" s="392"/>
      <c r="BP378" s="392"/>
      <c r="BQ378" s="392"/>
      <c r="BR378" s="392"/>
      <c r="BS378" s="392"/>
      <c r="BT378" s="392"/>
    </row>
    <row r="379" ht="15.75" customHeight="1">
      <c r="A379" s="216"/>
      <c r="B379" s="156"/>
      <c r="C379" s="156"/>
      <c r="D379" s="156"/>
      <c r="E379" s="392"/>
      <c r="F379" s="392"/>
      <c r="G379" s="392"/>
      <c r="H379" s="392"/>
      <c r="I379" s="392"/>
      <c r="J379" s="392"/>
      <c r="K379" s="392"/>
      <c r="L379" s="392"/>
      <c r="M379" s="392"/>
      <c r="N379" s="392"/>
      <c r="O379" s="392"/>
      <c r="P379" s="392"/>
      <c r="Q379" s="392"/>
      <c r="R379" s="392"/>
      <c r="S379" s="392"/>
      <c r="T379" s="392"/>
      <c r="U379" s="392"/>
      <c r="V379" s="392"/>
      <c r="W379" s="392"/>
      <c r="X379" s="392"/>
      <c r="Y379" s="392"/>
      <c r="Z379" s="392"/>
      <c r="AA379" s="392"/>
      <c r="AB379" s="392"/>
      <c r="AC379" s="392"/>
      <c r="AD379" s="392"/>
      <c r="AE379" s="392"/>
      <c r="AF379" s="392"/>
      <c r="AG379" s="392"/>
      <c r="AH379" s="392"/>
      <c r="AI379" s="392"/>
      <c r="AJ379" s="392"/>
      <c r="AK379" s="392"/>
      <c r="AL379" s="392"/>
      <c r="AM379" s="392"/>
      <c r="AN379" s="392"/>
      <c r="AO379" s="392"/>
      <c r="AP379" s="392"/>
      <c r="AQ379" s="392"/>
      <c r="AR379" s="392"/>
      <c r="AS379" s="392"/>
      <c r="AT379" s="392"/>
      <c r="AU379" s="392"/>
      <c r="AV379" s="392"/>
      <c r="AW379" s="392"/>
      <c r="AX379" s="392"/>
      <c r="AY379" s="392"/>
      <c r="AZ379" s="392"/>
      <c r="BA379" s="392"/>
      <c r="BB379" s="392"/>
      <c r="BC379" s="392"/>
      <c r="BD379" s="392"/>
      <c r="BE379" s="392"/>
      <c r="BF379" s="392"/>
      <c r="BG379" s="392"/>
      <c r="BH379" s="392"/>
      <c r="BI379" s="392"/>
      <c r="BJ379" s="392"/>
      <c r="BK379" s="392"/>
      <c r="BL379" s="392"/>
      <c r="BM379" s="392"/>
      <c r="BN379" s="392"/>
      <c r="BO379" s="392"/>
      <c r="BP379" s="392"/>
      <c r="BQ379" s="392"/>
      <c r="BR379" s="392"/>
      <c r="BS379" s="392"/>
      <c r="BT379" s="392"/>
    </row>
    <row r="380" ht="15.75" customHeight="1">
      <c r="A380" s="216"/>
      <c r="B380" s="156"/>
      <c r="C380" s="156"/>
      <c r="D380" s="156"/>
      <c r="E380" s="392"/>
      <c r="F380" s="392"/>
      <c r="G380" s="392"/>
      <c r="H380" s="392"/>
      <c r="I380" s="392"/>
      <c r="J380" s="392"/>
      <c r="K380" s="392"/>
      <c r="L380" s="392"/>
      <c r="M380" s="392"/>
      <c r="N380" s="392"/>
      <c r="O380" s="392"/>
      <c r="P380" s="392"/>
      <c r="Q380" s="392"/>
      <c r="R380" s="392"/>
      <c r="S380" s="392"/>
      <c r="T380" s="392"/>
      <c r="U380" s="392"/>
      <c r="V380" s="392"/>
      <c r="W380" s="392"/>
      <c r="X380" s="392"/>
      <c r="Y380" s="392"/>
      <c r="Z380" s="392"/>
      <c r="AA380" s="392"/>
      <c r="AB380" s="392"/>
      <c r="AC380" s="392"/>
      <c r="AD380" s="392"/>
      <c r="AE380" s="392"/>
      <c r="AF380" s="392"/>
      <c r="AG380" s="392"/>
      <c r="AH380" s="392"/>
      <c r="AI380" s="392"/>
      <c r="AJ380" s="392"/>
      <c r="AK380" s="392"/>
      <c r="AL380" s="392"/>
      <c r="AM380" s="392"/>
      <c r="AN380" s="392"/>
      <c r="AO380" s="392"/>
      <c r="AP380" s="392"/>
      <c r="AQ380" s="392"/>
      <c r="AR380" s="392"/>
      <c r="AS380" s="392"/>
      <c r="AT380" s="392"/>
      <c r="AU380" s="392"/>
      <c r="AV380" s="392"/>
      <c r="AW380" s="392"/>
      <c r="AX380" s="392"/>
      <c r="AY380" s="392"/>
      <c r="AZ380" s="392"/>
      <c r="BA380" s="392"/>
      <c r="BB380" s="392"/>
      <c r="BC380" s="392"/>
      <c r="BD380" s="392"/>
      <c r="BE380" s="392"/>
      <c r="BF380" s="392"/>
      <c r="BG380" s="392"/>
      <c r="BH380" s="392"/>
      <c r="BI380" s="392"/>
      <c r="BJ380" s="392"/>
      <c r="BK380" s="392"/>
      <c r="BL380" s="392"/>
      <c r="BM380" s="392"/>
      <c r="BN380" s="392"/>
      <c r="BO380" s="392"/>
      <c r="BP380" s="392"/>
      <c r="BQ380" s="392"/>
      <c r="BR380" s="392"/>
      <c r="BS380" s="392"/>
      <c r="BT380" s="392"/>
    </row>
    <row r="381" ht="15.75" customHeight="1">
      <c r="A381" s="216"/>
      <c r="B381" s="156"/>
      <c r="C381" s="156"/>
      <c r="D381" s="156"/>
      <c r="E381" s="392"/>
      <c r="F381" s="392"/>
      <c r="G381" s="392"/>
      <c r="H381" s="392"/>
      <c r="I381" s="392"/>
      <c r="J381" s="392"/>
      <c r="K381" s="392"/>
      <c r="L381" s="392"/>
      <c r="M381" s="392"/>
      <c r="N381" s="392"/>
      <c r="O381" s="392"/>
      <c r="P381" s="392"/>
      <c r="Q381" s="392"/>
      <c r="R381" s="392"/>
      <c r="S381" s="392"/>
      <c r="T381" s="392"/>
      <c r="U381" s="392"/>
      <c r="V381" s="392"/>
      <c r="W381" s="392"/>
      <c r="X381" s="392"/>
      <c r="Y381" s="392"/>
      <c r="Z381" s="392"/>
      <c r="AA381" s="392"/>
      <c r="AB381" s="392"/>
      <c r="AC381" s="392"/>
      <c r="AD381" s="392"/>
      <c r="AE381" s="392"/>
      <c r="AF381" s="392"/>
      <c r="AG381" s="392"/>
      <c r="AH381" s="392"/>
      <c r="AI381" s="392"/>
      <c r="AJ381" s="392"/>
      <c r="AK381" s="392"/>
      <c r="AL381" s="392"/>
      <c r="AM381" s="392"/>
      <c r="AN381" s="392"/>
      <c r="AO381" s="392"/>
      <c r="AP381" s="392"/>
      <c r="AQ381" s="392"/>
      <c r="AR381" s="392"/>
      <c r="AS381" s="392"/>
      <c r="AT381" s="392"/>
      <c r="AU381" s="392"/>
      <c r="AV381" s="392"/>
      <c r="AW381" s="392"/>
      <c r="AX381" s="392"/>
      <c r="AY381" s="392"/>
      <c r="AZ381" s="392"/>
      <c r="BA381" s="392"/>
      <c r="BB381" s="392"/>
      <c r="BC381" s="392"/>
      <c r="BD381" s="392"/>
      <c r="BE381" s="392"/>
      <c r="BF381" s="392"/>
      <c r="BG381" s="392"/>
      <c r="BH381" s="392"/>
      <c r="BI381" s="392"/>
      <c r="BJ381" s="392"/>
      <c r="BK381" s="392"/>
      <c r="BL381" s="392"/>
      <c r="BM381" s="392"/>
      <c r="BN381" s="392"/>
      <c r="BO381" s="392"/>
      <c r="BP381" s="392"/>
      <c r="BQ381" s="392"/>
      <c r="BR381" s="392"/>
      <c r="BS381" s="392"/>
      <c r="BT381" s="392"/>
    </row>
    <row r="382" ht="15.75" customHeight="1">
      <c r="A382" s="216"/>
      <c r="B382" s="156"/>
      <c r="C382" s="156"/>
      <c r="D382" s="156"/>
      <c r="E382" s="392"/>
      <c r="F382" s="392"/>
      <c r="G382" s="392"/>
      <c r="H382" s="392"/>
      <c r="I382" s="392"/>
      <c r="J382" s="392"/>
      <c r="K382" s="392"/>
      <c r="L382" s="392"/>
      <c r="M382" s="392"/>
      <c r="N382" s="392"/>
      <c r="O382" s="392"/>
      <c r="P382" s="392"/>
      <c r="Q382" s="392"/>
      <c r="R382" s="392"/>
      <c r="S382" s="392"/>
      <c r="T382" s="392"/>
      <c r="U382" s="392"/>
      <c r="V382" s="392"/>
      <c r="W382" s="392"/>
      <c r="X382" s="392"/>
      <c r="Y382" s="392"/>
      <c r="Z382" s="392"/>
      <c r="AA382" s="392"/>
      <c r="AB382" s="392"/>
      <c r="AC382" s="392"/>
      <c r="AD382" s="392"/>
      <c r="AE382" s="392"/>
      <c r="AF382" s="392"/>
      <c r="AG382" s="392"/>
      <c r="AH382" s="392"/>
      <c r="AI382" s="392"/>
      <c r="AJ382" s="392"/>
      <c r="AK382" s="392"/>
      <c r="AL382" s="392"/>
      <c r="AM382" s="392"/>
      <c r="AN382" s="392"/>
      <c r="AO382" s="392"/>
      <c r="AP382" s="392"/>
      <c r="AQ382" s="392"/>
      <c r="AR382" s="392"/>
      <c r="AS382" s="392"/>
      <c r="AT382" s="392"/>
      <c r="AU382" s="392"/>
      <c r="AV382" s="392"/>
      <c r="AW382" s="392"/>
      <c r="AX382" s="392"/>
      <c r="AY382" s="392"/>
      <c r="AZ382" s="392"/>
      <c r="BA382" s="392"/>
      <c r="BB382" s="392"/>
      <c r="BC382" s="392"/>
      <c r="BD382" s="392"/>
      <c r="BE382" s="392"/>
      <c r="BF382" s="392"/>
      <c r="BG382" s="392"/>
      <c r="BH382" s="392"/>
      <c r="BI382" s="392"/>
      <c r="BJ382" s="392"/>
      <c r="BK382" s="392"/>
      <c r="BL382" s="392"/>
      <c r="BM382" s="392"/>
      <c r="BN382" s="392"/>
      <c r="BO382" s="392"/>
      <c r="BP382" s="392"/>
      <c r="BQ382" s="392"/>
      <c r="BR382" s="392"/>
      <c r="BS382" s="392"/>
      <c r="BT382" s="392"/>
    </row>
    <row r="383" ht="15.75" customHeight="1">
      <c r="A383" s="216"/>
      <c r="B383" s="156"/>
      <c r="C383" s="156"/>
      <c r="D383" s="156"/>
      <c r="E383" s="392"/>
      <c r="F383" s="392"/>
      <c r="G383" s="392"/>
      <c r="H383" s="392"/>
      <c r="I383" s="392"/>
      <c r="J383" s="392"/>
      <c r="K383" s="392"/>
      <c r="L383" s="392"/>
      <c r="M383" s="392"/>
      <c r="N383" s="392"/>
      <c r="O383" s="392"/>
      <c r="P383" s="392"/>
      <c r="Q383" s="392"/>
      <c r="R383" s="392"/>
      <c r="S383" s="392"/>
      <c r="T383" s="392"/>
      <c r="U383" s="392"/>
      <c r="V383" s="392"/>
      <c r="W383" s="392"/>
      <c r="X383" s="392"/>
      <c r="Y383" s="392"/>
      <c r="Z383" s="392"/>
      <c r="AA383" s="392"/>
      <c r="AB383" s="392"/>
      <c r="AC383" s="392"/>
      <c r="AD383" s="392"/>
      <c r="AE383" s="392"/>
      <c r="AF383" s="392"/>
      <c r="AG383" s="392"/>
      <c r="AH383" s="392"/>
      <c r="AI383" s="392"/>
      <c r="AJ383" s="392"/>
      <c r="AK383" s="392"/>
      <c r="AL383" s="392"/>
      <c r="AM383" s="392"/>
      <c r="AN383" s="392"/>
      <c r="AO383" s="392"/>
      <c r="AP383" s="392"/>
      <c r="AQ383" s="392"/>
      <c r="AR383" s="392"/>
      <c r="AS383" s="392"/>
      <c r="AT383" s="392"/>
      <c r="AU383" s="392"/>
      <c r="AV383" s="392"/>
      <c r="AW383" s="392"/>
      <c r="AX383" s="392"/>
      <c r="AY383" s="392"/>
      <c r="AZ383" s="392"/>
      <c r="BA383" s="392"/>
      <c r="BB383" s="392"/>
      <c r="BC383" s="392"/>
      <c r="BD383" s="392"/>
      <c r="BE383" s="392"/>
      <c r="BF383" s="392"/>
      <c r="BG383" s="392"/>
      <c r="BH383" s="392"/>
      <c r="BI383" s="392"/>
      <c r="BJ383" s="392"/>
      <c r="BK383" s="392"/>
      <c r="BL383" s="392"/>
      <c r="BM383" s="392"/>
      <c r="BN383" s="392"/>
      <c r="BO383" s="392"/>
      <c r="BP383" s="392"/>
      <c r="BQ383" s="392"/>
      <c r="BR383" s="392"/>
      <c r="BS383" s="392"/>
      <c r="BT383" s="392"/>
    </row>
    <row r="384" ht="15.75" customHeight="1">
      <c r="A384" s="216"/>
      <c r="B384" s="156"/>
      <c r="C384" s="156"/>
      <c r="D384" s="156"/>
      <c r="E384" s="392"/>
      <c r="F384" s="392"/>
      <c r="G384" s="392"/>
      <c r="H384" s="392"/>
      <c r="I384" s="392"/>
      <c r="J384" s="392"/>
      <c r="K384" s="392"/>
      <c r="L384" s="392"/>
      <c r="M384" s="392"/>
      <c r="N384" s="392"/>
      <c r="O384" s="392"/>
      <c r="P384" s="392"/>
      <c r="Q384" s="392"/>
      <c r="R384" s="392"/>
      <c r="S384" s="392"/>
      <c r="T384" s="392"/>
      <c r="U384" s="392"/>
      <c r="V384" s="392"/>
      <c r="W384" s="392"/>
      <c r="X384" s="392"/>
      <c r="Y384" s="392"/>
      <c r="Z384" s="392"/>
      <c r="AA384" s="392"/>
      <c r="AB384" s="392"/>
      <c r="AC384" s="392"/>
      <c r="AD384" s="392"/>
      <c r="AE384" s="392"/>
      <c r="AF384" s="392"/>
      <c r="AG384" s="392"/>
      <c r="AH384" s="392"/>
      <c r="AI384" s="392"/>
      <c r="AJ384" s="392"/>
      <c r="AK384" s="392"/>
      <c r="AL384" s="392"/>
      <c r="AM384" s="392"/>
      <c r="AN384" s="392"/>
      <c r="AO384" s="392"/>
      <c r="AP384" s="392"/>
      <c r="AQ384" s="392"/>
      <c r="AR384" s="392"/>
      <c r="AS384" s="392"/>
      <c r="AT384" s="392"/>
      <c r="AU384" s="392"/>
      <c r="AV384" s="392"/>
      <c r="AW384" s="392"/>
      <c r="AX384" s="392"/>
      <c r="AY384" s="392"/>
      <c r="AZ384" s="392"/>
      <c r="BA384" s="392"/>
      <c r="BB384" s="392"/>
      <c r="BC384" s="392"/>
      <c r="BD384" s="392"/>
      <c r="BE384" s="392"/>
      <c r="BF384" s="392"/>
      <c r="BG384" s="392"/>
      <c r="BH384" s="392"/>
      <c r="BI384" s="392"/>
      <c r="BJ384" s="392"/>
      <c r="BK384" s="392"/>
      <c r="BL384" s="392"/>
      <c r="BM384" s="392"/>
      <c r="BN384" s="392"/>
      <c r="BO384" s="392"/>
      <c r="BP384" s="392"/>
      <c r="BQ384" s="392"/>
      <c r="BR384" s="392"/>
      <c r="BS384" s="392"/>
      <c r="BT384" s="392"/>
    </row>
    <row r="385" ht="15.75" customHeight="1">
      <c r="A385" s="216"/>
      <c r="B385" s="156"/>
      <c r="C385" s="156"/>
      <c r="D385" s="156"/>
      <c r="E385" s="392"/>
      <c r="F385" s="392"/>
      <c r="G385" s="392"/>
      <c r="H385" s="392"/>
      <c r="I385" s="392"/>
      <c r="J385" s="392"/>
      <c r="K385" s="392"/>
      <c r="L385" s="392"/>
      <c r="M385" s="392"/>
      <c r="N385" s="392"/>
      <c r="O385" s="392"/>
      <c r="P385" s="392"/>
      <c r="Q385" s="392"/>
      <c r="R385" s="392"/>
      <c r="S385" s="392"/>
      <c r="T385" s="392"/>
      <c r="U385" s="392"/>
      <c r="V385" s="392"/>
      <c r="W385" s="392"/>
      <c r="X385" s="392"/>
      <c r="Y385" s="392"/>
      <c r="Z385" s="392"/>
      <c r="AA385" s="392"/>
      <c r="AB385" s="392"/>
      <c r="AC385" s="392"/>
      <c r="AD385" s="392"/>
      <c r="AE385" s="392"/>
      <c r="AF385" s="392"/>
      <c r="AG385" s="392"/>
      <c r="AH385" s="392"/>
      <c r="AI385" s="392"/>
      <c r="AJ385" s="392"/>
      <c r="AK385" s="392"/>
      <c r="AL385" s="392"/>
      <c r="AM385" s="392"/>
      <c r="AN385" s="392"/>
      <c r="AO385" s="392"/>
      <c r="AP385" s="392"/>
      <c r="AQ385" s="392"/>
      <c r="AR385" s="392"/>
      <c r="AS385" s="392"/>
      <c r="AT385" s="392"/>
      <c r="AU385" s="392"/>
      <c r="AV385" s="392"/>
      <c r="AW385" s="392"/>
      <c r="AX385" s="392"/>
      <c r="AY385" s="392"/>
      <c r="AZ385" s="392"/>
      <c r="BA385" s="392"/>
      <c r="BB385" s="392"/>
      <c r="BC385" s="392"/>
      <c r="BD385" s="392"/>
      <c r="BE385" s="392"/>
      <c r="BF385" s="392"/>
      <c r="BG385" s="392"/>
      <c r="BH385" s="392"/>
      <c r="BI385" s="392"/>
      <c r="BJ385" s="392"/>
      <c r="BK385" s="392"/>
      <c r="BL385" s="392"/>
      <c r="BM385" s="392"/>
      <c r="BN385" s="392"/>
      <c r="BO385" s="392"/>
      <c r="BP385" s="392"/>
      <c r="BQ385" s="392"/>
      <c r="BR385" s="392"/>
      <c r="BS385" s="392"/>
      <c r="BT385" s="392"/>
    </row>
    <row r="386" ht="15.75" customHeight="1">
      <c r="A386" s="216"/>
      <c r="B386" s="156"/>
      <c r="C386" s="156"/>
      <c r="D386" s="156"/>
      <c r="E386" s="392"/>
      <c r="F386" s="392"/>
      <c r="G386" s="392"/>
      <c r="H386" s="392"/>
      <c r="I386" s="392"/>
      <c r="J386" s="392"/>
      <c r="K386" s="392"/>
      <c r="L386" s="392"/>
      <c r="M386" s="392"/>
      <c r="N386" s="392"/>
      <c r="O386" s="392"/>
      <c r="P386" s="392"/>
      <c r="Q386" s="392"/>
      <c r="R386" s="392"/>
      <c r="S386" s="392"/>
      <c r="T386" s="392"/>
      <c r="U386" s="392"/>
      <c r="V386" s="392"/>
      <c r="W386" s="392"/>
      <c r="X386" s="392"/>
      <c r="Y386" s="392"/>
      <c r="Z386" s="392"/>
      <c r="AA386" s="392"/>
      <c r="AB386" s="392"/>
      <c r="AC386" s="392"/>
      <c r="AD386" s="392"/>
      <c r="AE386" s="392"/>
      <c r="AF386" s="392"/>
      <c r="AG386" s="392"/>
      <c r="AH386" s="392"/>
      <c r="AI386" s="392"/>
      <c r="AJ386" s="392"/>
      <c r="AK386" s="392"/>
      <c r="AL386" s="392"/>
      <c r="AM386" s="392"/>
      <c r="AN386" s="392"/>
      <c r="AO386" s="392"/>
      <c r="AP386" s="392"/>
      <c r="AQ386" s="392"/>
      <c r="AR386" s="392"/>
      <c r="AS386" s="392"/>
      <c r="AT386" s="392"/>
      <c r="AU386" s="392"/>
      <c r="AV386" s="392"/>
      <c r="AW386" s="392"/>
      <c r="AX386" s="392"/>
      <c r="AY386" s="392"/>
      <c r="AZ386" s="392"/>
      <c r="BA386" s="392"/>
      <c r="BB386" s="392"/>
      <c r="BC386" s="392"/>
      <c r="BD386" s="392"/>
      <c r="BE386" s="392"/>
      <c r="BF386" s="392"/>
      <c r="BG386" s="392"/>
      <c r="BH386" s="392"/>
      <c r="BI386" s="392"/>
      <c r="BJ386" s="392"/>
      <c r="BK386" s="392"/>
      <c r="BL386" s="392"/>
      <c r="BM386" s="392"/>
      <c r="BN386" s="392"/>
      <c r="BO386" s="392"/>
      <c r="BP386" s="392"/>
      <c r="BQ386" s="392"/>
      <c r="BR386" s="392"/>
      <c r="BS386" s="392"/>
      <c r="BT386" s="392"/>
    </row>
    <row r="387" ht="15.75" customHeight="1">
      <c r="A387" s="216"/>
      <c r="B387" s="156"/>
      <c r="C387" s="156"/>
      <c r="D387" s="156"/>
      <c r="E387" s="392"/>
      <c r="F387" s="392"/>
      <c r="G387" s="392"/>
      <c r="H387" s="392"/>
      <c r="I387" s="392"/>
      <c r="J387" s="392"/>
      <c r="K387" s="392"/>
      <c r="L387" s="392"/>
      <c r="M387" s="392"/>
      <c r="N387" s="392"/>
      <c r="O387" s="392"/>
      <c r="P387" s="392"/>
      <c r="Q387" s="392"/>
      <c r="R387" s="392"/>
      <c r="S387" s="392"/>
      <c r="T387" s="392"/>
      <c r="U387" s="392"/>
      <c r="V387" s="392"/>
      <c r="W387" s="392"/>
      <c r="X387" s="392"/>
      <c r="Y387" s="392"/>
      <c r="Z387" s="392"/>
      <c r="AA387" s="392"/>
      <c r="AB387" s="392"/>
      <c r="AC387" s="392"/>
      <c r="AD387" s="392"/>
      <c r="AE387" s="392"/>
      <c r="AF387" s="392"/>
      <c r="AG387" s="392"/>
      <c r="AH387" s="392"/>
      <c r="AI387" s="392"/>
      <c r="AJ387" s="392"/>
      <c r="AK387" s="392"/>
      <c r="AL387" s="392"/>
      <c r="AM387" s="392"/>
      <c r="AN387" s="392"/>
      <c r="AO387" s="392"/>
      <c r="AP387" s="392"/>
      <c r="AQ387" s="392"/>
      <c r="AR387" s="392"/>
      <c r="AS387" s="392"/>
      <c r="AT387" s="392"/>
      <c r="AU387" s="392"/>
      <c r="AV387" s="392"/>
      <c r="AW387" s="392"/>
      <c r="AX387" s="392"/>
      <c r="AY387" s="392"/>
      <c r="AZ387" s="392"/>
      <c r="BA387" s="392"/>
      <c r="BB387" s="392"/>
      <c r="BC387" s="392"/>
      <c r="BD387" s="392"/>
      <c r="BE387" s="392"/>
      <c r="BF387" s="392"/>
      <c r="BG387" s="392"/>
      <c r="BH387" s="392"/>
      <c r="BI387" s="392"/>
      <c r="BJ387" s="392"/>
      <c r="BK387" s="392"/>
      <c r="BL387" s="392"/>
      <c r="BM387" s="392"/>
      <c r="BN387" s="392"/>
      <c r="BO387" s="392"/>
      <c r="BP387" s="392"/>
      <c r="BQ387" s="392"/>
      <c r="BR387" s="392"/>
      <c r="BS387" s="392"/>
      <c r="BT387" s="392"/>
    </row>
    <row r="388" ht="15.75" customHeight="1">
      <c r="A388" s="216"/>
      <c r="B388" s="156"/>
      <c r="C388" s="156"/>
      <c r="D388" s="156"/>
      <c r="E388" s="392"/>
      <c r="F388" s="392"/>
      <c r="G388" s="392"/>
      <c r="H388" s="392"/>
      <c r="I388" s="392"/>
      <c r="J388" s="392"/>
      <c r="K388" s="392"/>
      <c r="L388" s="392"/>
      <c r="M388" s="392"/>
      <c r="N388" s="392"/>
      <c r="O388" s="392"/>
      <c r="P388" s="392"/>
      <c r="Q388" s="392"/>
      <c r="R388" s="392"/>
      <c r="S388" s="392"/>
      <c r="T388" s="392"/>
      <c r="U388" s="392"/>
      <c r="V388" s="392"/>
      <c r="W388" s="392"/>
      <c r="X388" s="392"/>
      <c r="Y388" s="392"/>
      <c r="Z388" s="392"/>
      <c r="AA388" s="392"/>
      <c r="AB388" s="392"/>
      <c r="AC388" s="392"/>
      <c r="AD388" s="392"/>
      <c r="AE388" s="392"/>
      <c r="AF388" s="392"/>
      <c r="AG388" s="392"/>
      <c r="AH388" s="392"/>
      <c r="AI388" s="392"/>
      <c r="AJ388" s="392"/>
      <c r="AK388" s="392"/>
      <c r="AL388" s="392"/>
      <c r="AM388" s="392"/>
      <c r="AN388" s="392"/>
      <c r="AO388" s="392"/>
      <c r="AP388" s="392"/>
      <c r="AQ388" s="392"/>
      <c r="AR388" s="392"/>
      <c r="AS388" s="392"/>
      <c r="AT388" s="392"/>
      <c r="AU388" s="392"/>
      <c r="AV388" s="392"/>
      <c r="AW388" s="392"/>
      <c r="AX388" s="392"/>
      <c r="AY388" s="392"/>
      <c r="AZ388" s="392"/>
      <c r="BA388" s="392"/>
      <c r="BB388" s="392"/>
      <c r="BC388" s="392"/>
      <c r="BD388" s="392"/>
      <c r="BE388" s="392"/>
      <c r="BF388" s="392"/>
      <c r="BG388" s="392"/>
      <c r="BH388" s="392"/>
      <c r="BI388" s="392"/>
      <c r="BJ388" s="392"/>
      <c r="BK388" s="392"/>
      <c r="BL388" s="392"/>
      <c r="BM388" s="392"/>
      <c r="BN388" s="392"/>
      <c r="BO388" s="392"/>
      <c r="BP388" s="392"/>
      <c r="BQ388" s="392"/>
      <c r="BR388" s="392"/>
      <c r="BS388" s="392"/>
      <c r="BT388" s="392"/>
    </row>
    <row r="389" ht="15.75" customHeight="1">
      <c r="A389" s="216"/>
      <c r="B389" s="156"/>
      <c r="C389" s="156"/>
      <c r="D389" s="156"/>
      <c r="E389" s="392"/>
      <c r="F389" s="392"/>
      <c r="G389" s="392"/>
      <c r="H389" s="392"/>
      <c r="I389" s="392"/>
      <c r="J389" s="392"/>
      <c r="K389" s="392"/>
      <c r="L389" s="392"/>
      <c r="M389" s="392"/>
      <c r="N389" s="392"/>
      <c r="O389" s="392"/>
      <c r="P389" s="392"/>
      <c r="Q389" s="392"/>
      <c r="R389" s="392"/>
      <c r="S389" s="392"/>
      <c r="T389" s="392"/>
      <c r="U389" s="392"/>
      <c r="V389" s="392"/>
      <c r="W389" s="392"/>
      <c r="X389" s="392"/>
      <c r="Y389" s="392"/>
      <c r="Z389" s="392"/>
      <c r="AA389" s="392"/>
      <c r="AB389" s="392"/>
      <c r="AC389" s="392"/>
      <c r="AD389" s="392"/>
      <c r="AE389" s="392"/>
      <c r="AF389" s="392"/>
      <c r="AG389" s="392"/>
      <c r="AH389" s="392"/>
      <c r="AI389" s="392"/>
      <c r="AJ389" s="392"/>
      <c r="AK389" s="392"/>
      <c r="AL389" s="392"/>
      <c r="AM389" s="392"/>
      <c r="AN389" s="392"/>
      <c r="AO389" s="392"/>
      <c r="AP389" s="392"/>
      <c r="AQ389" s="392"/>
      <c r="AR389" s="392"/>
      <c r="AS389" s="392"/>
      <c r="AT389" s="392"/>
      <c r="AU389" s="392"/>
      <c r="AV389" s="392"/>
      <c r="AW389" s="392"/>
      <c r="AX389" s="392"/>
      <c r="AY389" s="392"/>
      <c r="AZ389" s="392"/>
      <c r="BA389" s="392"/>
      <c r="BB389" s="392"/>
      <c r="BC389" s="392"/>
      <c r="BD389" s="392"/>
      <c r="BE389" s="392"/>
      <c r="BF389" s="392"/>
      <c r="BG389" s="392"/>
      <c r="BH389" s="392"/>
      <c r="BI389" s="392"/>
      <c r="BJ389" s="392"/>
      <c r="BK389" s="392"/>
      <c r="BL389" s="392"/>
      <c r="BM389" s="392"/>
      <c r="BN389" s="392"/>
      <c r="BO389" s="392"/>
      <c r="BP389" s="392"/>
      <c r="BQ389" s="392"/>
      <c r="BR389" s="392"/>
      <c r="BS389" s="392"/>
      <c r="BT389" s="392"/>
    </row>
    <row r="390" ht="15.75" customHeight="1">
      <c r="A390" s="216"/>
      <c r="B390" s="156"/>
      <c r="C390" s="156"/>
      <c r="D390" s="156"/>
      <c r="E390" s="392"/>
      <c r="F390" s="392"/>
      <c r="G390" s="392"/>
      <c r="H390" s="392"/>
      <c r="I390" s="392"/>
      <c r="J390" s="392"/>
      <c r="K390" s="392"/>
      <c r="L390" s="392"/>
      <c r="M390" s="392"/>
      <c r="N390" s="392"/>
      <c r="O390" s="392"/>
      <c r="P390" s="392"/>
      <c r="Q390" s="392"/>
      <c r="R390" s="392"/>
      <c r="S390" s="392"/>
      <c r="T390" s="392"/>
      <c r="U390" s="392"/>
      <c r="V390" s="392"/>
      <c r="W390" s="392"/>
      <c r="X390" s="392"/>
      <c r="Y390" s="392"/>
      <c r="Z390" s="392"/>
      <c r="AA390" s="392"/>
      <c r="AB390" s="392"/>
      <c r="AC390" s="392"/>
      <c r="AD390" s="392"/>
      <c r="AE390" s="392"/>
      <c r="AF390" s="392"/>
      <c r="AG390" s="392"/>
      <c r="AH390" s="392"/>
      <c r="AI390" s="392"/>
      <c r="AJ390" s="392"/>
      <c r="AK390" s="392"/>
      <c r="AL390" s="392"/>
      <c r="AM390" s="392"/>
      <c r="AN390" s="392"/>
      <c r="AO390" s="392"/>
      <c r="AP390" s="392"/>
      <c r="AQ390" s="392"/>
      <c r="AR390" s="392"/>
      <c r="AS390" s="392"/>
      <c r="AT390" s="392"/>
      <c r="AU390" s="392"/>
      <c r="AV390" s="392"/>
      <c r="AW390" s="392"/>
      <c r="AX390" s="392"/>
      <c r="AY390" s="392"/>
      <c r="AZ390" s="392"/>
      <c r="BA390" s="392"/>
      <c r="BB390" s="392"/>
      <c r="BC390" s="392"/>
      <c r="BD390" s="392"/>
      <c r="BE390" s="392"/>
      <c r="BF390" s="392"/>
      <c r="BG390" s="392"/>
      <c r="BH390" s="392"/>
      <c r="BI390" s="392"/>
      <c r="BJ390" s="392"/>
      <c r="BK390" s="392"/>
      <c r="BL390" s="392"/>
      <c r="BM390" s="392"/>
      <c r="BN390" s="392"/>
      <c r="BO390" s="392"/>
      <c r="BP390" s="392"/>
      <c r="BQ390" s="392"/>
      <c r="BR390" s="392"/>
      <c r="BS390" s="392"/>
      <c r="BT390" s="392"/>
    </row>
    <row r="391" ht="15.75" customHeight="1">
      <c r="A391" s="216"/>
      <c r="B391" s="156"/>
      <c r="C391" s="156"/>
      <c r="D391" s="156"/>
      <c r="E391" s="392"/>
      <c r="F391" s="392"/>
      <c r="G391" s="392"/>
      <c r="H391" s="392"/>
      <c r="I391" s="392"/>
      <c r="J391" s="392"/>
      <c r="K391" s="392"/>
      <c r="L391" s="392"/>
      <c r="M391" s="392"/>
      <c r="N391" s="392"/>
      <c r="O391" s="392"/>
      <c r="P391" s="392"/>
      <c r="Q391" s="392"/>
      <c r="R391" s="392"/>
      <c r="S391" s="392"/>
      <c r="T391" s="392"/>
      <c r="U391" s="392"/>
      <c r="V391" s="392"/>
      <c r="W391" s="392"/>
      <c r="X391" s="392"/>
      <c r="Y391" s="392"/>
      <c r="Z391" s="392"/>
      <c r="AA391" s="392"/>
      <c r="AB391" s="392"/>
      <c r="AC391" s="392"/>
      <c r="AD391" s="392"/>
      <c r="AE391" s="392"/>
      <c r="AF391" s="392"/>
      <c r="AG391" s="392"/>
      <c r="AH391" s="392"/>
      <c r="AI391" s="392"/>
      <c r="AJ391" s="392"/>
      <c r="AK391" s="392"/>
      <c r="AL391" s="392"/>
      <c r="AM391" s="392"/>
      <c r="AN391" s="392"/>
      <c r="AO391" s="392"/>
      <c r="AP391" s="392"/>
      <c r="AQ391" s="392"/>
      <c r="AR391" s="392"/>
      <c r="AS391" s="392"/>
      <c r="AT391" s="392"/>
      <c r="AU391" s="392"/>
      <c r="AV391" s="392"/>
      <c r="AW391" s="392"/>
      <c r="AX391" s="392"/>
      <c r="AY391" s="392"/>
      <c r="AZ391" s="392"/>
      <c r="BA391" s="392"/>
      <c r="BB391" s="392"/>
      <c r="BC391" s="392"/>
      <c r="BD391" s="392"/>
      <c r="BE391" s="392"/>
      <c r="BF391" s="392"/>
      <c r="BG391" s="392"/>
      <c r="BH391" s="392"/>
      <c r="BI391" s="392"/>
      <c r="BJ391" s="392"/>
      <c r="BK391" s="392"/>
      <c r="BL391" s="392"/>
      <c r="BM391" s="392"/>
      <c r="BN391" s="392"/>
      <c r="BO391" s="392"/>
      <c r="BP391" s="392"/>
      <c r="BQ391" s="392"/>
      <c r="BR391" s="392"/>
      <c r="BS391" s="392"/>
      <c r="BT391" s="392"/>
    </row>
    <row r="392" ht="15.75" customHeight="1">
      <c r="A392" s="216"/>
      <c r="B392" s="156"/>
      <c r="C392" s="156"/>
      <c r="D392" s="156"/>
      <c r="E392" s="392"/>
      <c r="F392" s="392"/>
      <c r="G392" s="392"/>
      <c r="H392" s="392"/>
      <c r="I392" s="392"/>
      <c r="J392" s="392"/>
      <c r="K392" s="392"/>
      <c r="L392" s="392"/>
      <c r="M392" s="392"/>
      <c r="N392" s="392"/>
      <c r="O392" s="392"/>
      <c r="P392" s="392"/>
      <c r="Q392" s="392"/>
      <c r="R392" s="392"/>
      <c r="S392" s="392"/>
      <c r="T392" s="392"/>
      <c r="U392" s="392"/>
      <c r="V392" s="392"/>
      <c r="W392" s="392"/>
      <c r="X392" s="392"/>
      <c r="Y392" s="392"/>
      <c r="Z392" s="392"/>
      <c r="AA392" s="392"/>
      <c r="AB392" s="392"/>
      <c r="AC392" s="392"/>
      <c r="AD392" s="392"/>
      <c r="AE392" s="392"/>
      <c r="AF392" s="392"/>
      <c r="AG392" s="392"/>
      <c r="AH392" s="392"/>
      <c r="AI392" s="392"/>
      <c r="AJ392" s="392"/>
      <c r="AK392" s="392"/>
      <c r="AL392" s="392"/>
      <c r="AM392" s="392"/>
      <c r="AN392" s="392"/>
      <c r="AO392" s="392"/>
      <c r="AP392" s="392"/>
      <c r="AQ392" s="392"/>
      <c r="AR392" s="392"/>
      <c r="AS392" s="392"/>
      <c r="AT392" s="392"/>
      <c r="AU392" s="392"/>
      <c r="AV392" s="392"/>
      <c r="AW392" s="392"/>
      <c r="AX392" s="392"/>
      <c r="AY392" s="392"/>
      <c r="AZ392" s="392"/>
      <c r="BA392" s="392"/>
      <c r="BB392" s="392"/>
      <c r="BC392" s="392"/>
      <c r="BD392" s="392"/>
      <c r="BE392" s="392"/>
      <c r="BF392" s="392"/>
      <c r="BG392" s="392"/>
      <c r="BH392" s="392"/>
      <c r="BI392" s="392"/>
      <c r="BJ392" s="392"/>
      <c r="BK392" s="392"/>
      <c r="BL392" s="392"/>
      <c r="BM392" s="392"/>
      <c r="BN392" s="392"/>
      <c r="BO392" s="392"/>
      <c r="BP392" s="392"/>
      <c r="BQ392" s="392"/>
      <c r="BR392" s="392"/>
      <c r="BS392" s="392"/>
      <c r="BT392" s="392"/>
    </row>
    <row r="393" ht="15.75" customHeight="1">
      <c r="A393" s="216"/>
      <c r="B393" s="156"/>
      <c r="C393" s="156"/>
      <c r="D393" s="156"/>
      <c r="E393" s="392"/>
      <c r="F393" s="392"/>
      <c r="G393" s="392"/>
      <c r="H393" s="392"/>
      <c r="I393" s="392"/>
      <c r="J393" s="392"/>
      <c r="K393" s="392"/>
      <c r="L393" s="392"/>
      <c r="M393" s="392"/>
      <c r="N393" s="392"/>
      <c r="O393" s="392"/>
      <c r="P393" s="392"/>
      <c r="Q393" s="392"/>
      <c r="R393" s="392"/>
      <c r="S393" s="392"/>
      <c r="T393" s="392"/>
      <c r="U393" s="392"/>
      <c r="V393" s="392"/>
      <c r="W393" s="392"/>
      <c r="X393" s="392"/>
      <c r="Y393" s="392"/>
      <c r="Z393" s="392"/>
      <c r="AA393" s="392"/>
      <c r="AB393" s="392"/>
      <c r="AC393" s="392"/>
      <c r="AD393" s="392"/>
      <c r="AE393" s="392"/>
      <c r="AF393" s="392"/>
      <c r="AG393" s="392"/>
      <c r="AH393" s="392"/>
      <c r="AI393" s="392"/>
      <c r="AJ393" s="392"/>
      <c r="AK393" s="392"/>
      <c r="AL393" s="392"/>
      <c r="AM393" s="392"/>
      <c r="AN393" s="392"/>
      <c r="AO393" s="392"/>
      <c r="AP393" s="392"/>
      <c r="AQ393" s="392"/>
      <c r="AR393" s="392"/>
      <c r="AS393" s="392"/>
      <c r="AT393" s="392"/>
      <c r="AU393" s="392"/>
      <c r="AV393" s="392"/>
      <c r="AW393" s="392"/>
      <c r="AX393" s="392"/>
      <c r="AY393" s="392"/>
      <c r="AZ393" s="392"/>
      <c r="BA393" s="392"/>
      <c r="BB393" s="392"/>
      <c r="BC393" s="392"/>
      <c r="BD393" s="392"/>
      <c r="BE393" s="392"/>
      <c r="BF393" s="392"/>
      <c r="BG393" s="392"/>
      <c r="BH393" s="392"/>
      <c r="BI393" s="392"/>
      <c r="BJ393" s="392"/>
      <c r="BK393" s="392"/>
      <c r="BL393" s="392"/>
      <c r="BM393" s="392"/>
      <c r="BN393" s="392"/>
      <c r="BO393" s="392"/>
      <c r="BP393" s="392"/>
      <c r="BQ393" s="392"/>
      <c r="BR393" s="392"/>
      <c r="BS393" s="392"/>
      <c r="BT393" s="392"/>
    </row>
    <row r="394" ht="15.75" customHeight="1">
      <c r="A394" s="216"/>
      <c r="B394" s="156"/>
      <c r="C394" s="156"/>
      <c r="D394" s="156"/>
      <c r="E394" s="392"/>
      <c r="F394" s="392"/>
      <c r="G394" s="392"/>
      <c r="H394" s="392"/>
      <c r="I394" s="392"/>
      <c r="J394" s="392"/>
      <c r="K394" s="392"/>
      <c r="L394" s="392"/>
      <c r="M394" s="392"/>
      <c r="N394" s="392"/>
      <c r="O394" s="392"/>
      <c r="P394" s="392"/>
      <c r="Q394" s="392"/>
      <c r="R394" s="392"/>
      <c r="S394" s="392"/>
      <c r="T394" s="392"/>
      <c r="U394" s="392"/>
      <c r="V394" s="392"/>
      <c r="W394" s="392"/>
      <c r="X394" s="392"/>
      <c r="Y394" s="392"/>
      <c r="Z394" s="392"/>
      <c r="AA394" s="392"/>
      <c r="AB394" s="392"/>
      <c r="AC394" s="392"/>
      <c r="AD394" s="392"/>
      <c r="AE394" s="392"/>
      <c r="AF394" s="392"/>
      <c r="AG394" s="392"/>
      <c r="AH394" s="392"/>
      <c r="AI394" s="392"/>
      <c r="AJ394" s="392"/>
      <c r="AK394" s="392"/>
      <c r="AL394" s="392"/>
      <c r="AM394" s="392"/>
      <c r="AN394" s="392"/>
      <c r="AO394" s="392"/>
      <c r="AP394" s="392"/>
      <c r="AQ394" s="392"/>
      <c r="AR394" s="392"/>
      <c r="AS394" s="392"/>
      <c r="AT394" s="392"/>
      <c r="AU394" s="392"/>
      <c r="AV394" s="392"/>
      <c r="AW394" s="392"/>
      <c r="AX394" s="392"/>
      <c r="AY394" s="392"/>
      <c r="AZ394" s="392"/>
      <c r="BA394" s="392"/>
      <c r="BB394" s="392"/>
      <c r="BC394" s="392"/>
      <c r="BD394" s="392"/>
      <c r="BE394" s="392"/>
      <c r="BF394" s="392"/>
      <c r="BG394" s="392"/>
      <c r="BH394" s="392"/>
      <c r="BI394" s="392"/>
      <c r="BJ394" s="392"/>
      <c r="BK394" s="392"/>
      <c r="BL394" s="392"/>
      <c r="BM394" s="392"/>
      <c r="BN394" s="392"/>
      <c r="BO394" s="392"/>
      <c r="BP394" s="392"/>
      <c r="BQ394" s="392"/>
      <c r="BR394" s="392"/>
      <c r="BS394" s="392"/>
      <c r="BT394" s="392"/>
    </row>
    <row r="395" ht="15.75" customHeight="1">
      <c r="A395" s="216"/>
      <c r="B395" s="156"/>
      <c r="C395" s="156"/>
      <c r="D395" s="156"/>
      <c r="E395" s="392"/>
      <c r="F395" s="392"/>
      <c r="G395" s="392"/>
      <c r="H395" s="392"/>
      <c r="I395" s="392"/>
      <c r="J395" s="392"/>
      <c r="K395" s="392"/>
      <c r="L395" s="392"/>
      <c r="M395" s="392"/>
      <c r="N395" s="392"/>
      <c r="O395" s="392"/>
      <c r="P395" s="392"/>
      <c r="Q395" s="392"/>
      <c r="R395" s="392"/>
      <c r="S395" s="392"/>
      <c r="T395" s="392"/>
      <c r="U395" s="392"/>
      <c r="V395" s="392"/>
      <c r="W395" s="392"/>
      <c r="X395" s="392"/>
      <c r="Y395" s="392"/>
      <c r="Z395" s="392"/>
      <c r="AA395" s="392"/>
      <c r="AB395" s="392"/>
      <c r="AC395" s="392"/>
      <c r="AD395" s="392"/>
      <c r="AE395" s="392"/>
      <c r="AF395" s="392"/>
      <c r="AG395" s="392"/>
      <c r="AH395" s="392"/>
      <c r="AI395" s="392"/>
      <c r="AJ395" s="392"/>
      <c r="AK395" s="392"/>
      <c r="AL395" s="392"/>
      <c r="AM395" s="392"/>
      <c r="AN395" s="392"/>
      <c r="AO395" s="392"/>
      <c r="AP395" s="392"/>
      <c r="AQ395" s="392"/>
      <c r="AR395" s="392"/>
      <c r="AS395" s="392"/>
      <c r="AT395" s="392"/>
      <c r="AU395" s="392"/>
      <c r="AV395" s="392"/>
      <c r="AW395" s="392"/>
      <c r="AX395" s="392"/>
      <c r="AY395" s="392"/>
      <c r="AZ395" s="392"/>
      <c r="BA395" s="392"/>
      <c r="BB395" s="392"/>
      <c r="BC395" s="392"/>
      <c r="BD395" s="392"/>
      <c r="BE395" s="392"/>
      <c r="BF395" s="392"/>
      <c r="BG395" s="392"/>
      <c r="BH395" s="392"/>
      <c r="BI395" s="392"/>
      <c r="BJ395" s="392"/>
      <c r="BK395" s="392"/>
      <c r="BL395" s="392"/>
      <c r="BM395" s="392"/>
      <c r="BN395" s="392"/>
      <c r="BO395" s="392"/>
      <c r="BP395" s="392"/>
      <c r="BQ395" s="392"/>
      <c r="BR395" s="392"/>
      <c r="BS395" s="392"/>
      <c r="BT395" s="392"/>
    </row>
    <row r="396" ht="15.75" customHeight="1">
      <c r="A396" s="216"/>
      <c r="B396" s="156"/>
      <c r="C396" s="156"/>
      <c r="D396" s="156"/>
      <c r="E396" s="392"/>
      <c r="F396" s="392"/>
      <c r="G396" s="392"/>
      <c r="H396" s="392"/>
      <c r="I396" s="392"/>
      <c r="J396" s="392"/>
      <c r="K396" s="392"/>
      <c r="L396" s="392"/>
      <c r="M396" s="392"/>
      <c r="N396" s="392"/>
      <c r="O396" s="392"/>
      <c r="P396" s="392"/>
      <c r="Q396" s="392"/>
      <c r="R396" s="392"/>
      <c r="S396" s="392"/>
      <c r="T396" s="392"/>
      <c r="U396" s="392"/>
      <c r="V396" s="392"/>
      <c r="W396" s="392"/>
      <c r="X396" s="392"/>
      <c r="Y396" s="392"/>
      <c r="Z396" s="392"/>
      <c r="AA396" s="392"/>
      <c r="AB396" s="392"/>
      <c r="AC396" s="392"/>
      <c r="AD396" s="392"/>
      <c r="AE396" s="392"/>
      <c r="AF396" s="392"/>
      <c r="AG396" s="392"/>
      <c r="AH396" s="392"/>
      <c r="AI396" s="392"/>
      <c r="AJ396" s="392"/>
      <c r="AK396" s="392"/>
      <c r="AL396" s="392"/>
      <c r="AM396" s="392"/>
      <c r="AN396" s="392"/>
      <c r="AO396" s="392"/>
      <c r="AP396" s="392"/>
      <c r="AQ396" s="392"/>
      <c r="AR396" s="392"/>
      <c r="AS396" s="392"/>
      <c r="AT396" s="392"/>
      <c r="AU396" s="392"/>
      <c r="AV396" s="392"/>
      <c r="AW396" s="392"/>
      <c r="AX396" s="392"/>
      <c r="AY396" s="392"/>
      <c r="AZ396" s="392"/>
      <c r="BA396" s="392"/>
      <c r="BB396" s="392"/>
      <c r="BC396" s="392"/>
      <c r="BD396" s="392"/>
      <c r="BE396" s="392"/>
      <c r="BF396" s="392"/>
      <c r="BG396" s="392"/>
      <c r="BH396" s="392"/>
      <c r="BI396" s="392"/>
      <c r="BJ396" s="392"/>
      <c r="BK396" s="392"/>
      <c r="BL396" s="392"/>
      <c r="BM396" s="392"/>
      <c r="BN396" s="392"/>
      <c r="BO396" s="392"/>
      <c r="BP396" s="392"/>
      <c r="BQ396" s="392"/>
      <c r="BR396" s="392"/>
      <c r="BS396" s="392"/>
      <c r="BT396" s="392"/>
    </row>
    <row r="397" ht="15.75" customHeight="1">
      <c r="A397" s="216"/>
      <c r="B397" s="156"/>
      <c r="C397" s="156"/>
      <c r="D397" s="156"/>
      <c r="E397" s="392"/>
      <c r="F397" s="392"/>
      <c r="G397" s="392"/>
      <c r="H397" s="392"/>
      <c r="I397" s="392"/>
      <c r="J397" s="392"/>
      <c r="K397" s="392"/>
      <c r="L397" s="392"/>
      <c r="M397" s="392"/>
      <c r="N397" s="392"/>
      <c r="O397" s="392"/>
      <c r="P397" s="392"/>
      <c r="Q397" s="392"/>
      <c r="R397" s="392"/>
      <c r="S397" s="392"/>
      <c r="T397" s="392"/>
      <c r="U397" s="392"/>
      <c r="V397" s="392"/>
      <c r="W397" s="392"/>
      <c r="X397" s="392"/>
      <c r="Y397" s="392"/>
      <c r="Z397" s="392"/>
      <c r="AA397" s="392"/>
      <c r="AB397" s="392"/>
      <c r="AC397" s="392"/>
      <c r="AD397" s="392"/>
      <c r="AE397" s="392"/>
      <c r="AF397" s="392"/>
      <c r="AG397" s="392"/>
      <c r="AH397" s="392"/>
      <c r="AI397" s="392"/>
      <c r="AJ397" s="392"/>
      <c r="AK397" s="392"/>
      <c r="AL397" s="392"/>
      <c r="AM397" s="392"/>
      <c r="AN397" s="392"/>
      <c r="AO397" s="392"/>
      <c r="AP397" s="392"/>
      <c r="AQ397" s="392"/>
      <c r="AR397" s="392"/>
      <c r="AS397" s="392"/>
      <c r="AT397" s="392"/>
      <c r="AU397" s="392"/>
      <c r="AV397" s="392"/>
      <c r="AW397" s="392"/>
      <c r="AX397" s="392"/>
      <c r="AY397" s="392"/>
      <c r="AZ397" s="392"/>
      <c r="BA397" s="392"/>
      <c r="BB397" s="392"/>
      <c r="BC397" s="392"/>
      <c r="BD397" s="392"/>
      <c r="BE397" s="392"/>
      <c r="BF397" s="392"/>
      <c r="BG397" s="392"/>
      <c r="BH397" s="392"/>
      <c r="BI397" s="392"/>
      <c r="BJ397" s="392"/>
      <c r="BK397" s="392"/>
      <c r="BL397" s="392"/>
      <c r="BM397" s="392"/>
      <c r="BN397" s="392"/>
      <c r="BO397" s="392"/>
      <c r="BP397" s="392"/>
      <c r="BQ397" s="392"/>
      <c r="BR397" s="392"/>
      <c r="BS397" s="392"/>
      <c r="BT397" s="392"/>
    </row>
    <row r="398" ht="15.75" customHeight="1">
      <c r="A398" s="216"/>
      <c r="B398" s="156"/>
      <c r="C398" s="156"/>
      <c r="D398" s="156"/>
      <c r="E398" s="392"/>
      <c r="F398" s="392"/>
      <c r="G398" s="392"/>
      <c r="H398" s="392"/>
      <c r="I398" s="392"/>
      <c r="J398" s="392"/>
      <c r="K398" s="392"/>
      <c r="L398" s="392"/>
      <c r="M398" s="392"/>
      <c r="N398" s="392"/>
      <c r="O398" s="392"/>
      <c r="P398" s="392"/>
      <c r="Q398" s="392"/>
      <c r="R398" s="392"/>
      <c r="S398" s="392"/>
      <c r="T398" s="392"/>
      <c r="U398" s="392"/>
      <c r="V398" s="392"/>
      <c r="W398" s="392"/>
      <c r="X398" s="392"/>
      <c r="Y398" s="392"/>
      <c r="Z398" s="392"/>
      <c r="AA398" s="392"/>
      <c r="AB398" s="392"/>
      <c r="AC398" s="392"/>
      <c r="AD398" s="392"/>
      <c r="AE398" s="392"/>
      <c r="AF398" s="392"/>
      <c r="AG398" s="392"/>
      <c r="AH398" s="392"/>
      <c r="AI398" s="392"/>
      <c r="AJ398" s="392"/>
      <c r="AK398" s="392"/>
      <c r="AL398" s="392"/>
      <c r="AM398" s="392"/>
      <c r="AN398" s="392"/>
      <c r="AO398" s="392"/>
      <c r="AP398" s="392"/>
      <c r="AQ398" s="392"/>
      <c r="AR398" s="392"/>
      <c r="AS398" s="392"/>
      <c r="AT398" s="392"/>
      <c r="AU398" s="392"/>
      <c r="AV398" s="392"/>
      <c r="AW398" s="392"/>
      <c r="AX398" s="392"/>
      <c r="AY398" s="392"/>
      <c r="AZ398" s="392"/>
      <c r="BA398" s="392"/>
      <c r="BB398" s="392"/>
      <c r="BC398" s="392"/>
      <c r="BD398" s="392"/>
      <c r="BE398" s="392"/>
      <c r="BF398" s="392"/>
      <c r="BG398" s="392"/>
      <c r="BH398" s="392"/>
      <c r="BI398" s="392"/>
      <c r="BJ398" s="392"/>
      <c r="BK398" s="392"/>
      <c r="BL398" s="392"/>
      <c r="BM398" s="392"/>
      <c r="BN398" s="392"/>
      <c r="BO398" s="392"/>
      <c r="BP398" s="392"/>
      <c r="BQ398" s="392"/>
      <c r="BR398" s="392"/>
      <c r="BS398" s="392"/>
      <c r="BT398" s="392"/>
    </row>
    <row r="399" ht="15.75" customHeight="1">
      <c r="A399" s="216"/>
      <c r="B399" s="156"/>
      <c r="C399" s="156"/>
      <c r="D399" s="156"/>
      <c r="E399" s="392"/>
      <c r="F399" s="392"/>
      <c r="G399" s="392"/>
      <c r="H399" s="392"/>
      <c r="I399" s="392"/>
      <c r="J399" s="392"/>
      <c r="K399" s="392"/>
      <c r="L399" s="392"/>
      <c r="M399" s="392"/>
      <c r="N399" s="392"/>
      <c r="O399" s="392"/>
      <c r="P399" s="392"/>
      <c r="Q399" s="392"/>
      <c r="R399" s="392"/>
      <c r="S399" s="392"/>
      <c r="T399" s="392"/>
      <c r="U399" s="392"/>
      <c r="V399" s="392"/>
      <c r="W399" s="392"/>
      <c r="X399" s="392"/>
      <c r="Y399" s="392"/>
      <c r="Z399" s="392"/>
      <c r="AA399" s="392"/>
      <c r="AB399" s="392"/>
      <c r="AC399" s="392"/>
      <c r="AD399" s="392"/>
      <c r="AE399" s="392"/>
      <c r="AF399" s="392"/>
      <c r="AG399" s="392"/>
      <c r="AH399" s="392"/>
      <c r="AI399" s="392"/>
      <c r="AJ399" s="392"/>
      <c r="AK399" s="392"/>
      <c r="AL399" s="392"/>
      <c r="AM399" s="392"/>
      <c r="AN399" s="392"/>
      <c r="AO399" s="392"/>
      <c r="AP399" s="392"/>
      <c r="AQ399" s="392"/>
      <c r="AR399" s="392"/>
      <c r="AS399" s="392"/>
      <c r="AT399" s="392"/>
      <c r="AU399" s="392"/>
      <c r="AV399" s="392"/>
      <c r="AW399" s="392"/>
      <c r="AX399" s="392"/>
      <c r="AY399" s="392"/>
      <c r="AZ399" s="392"/>
      <c r="BA399" s="392"/>
      <c r="BB399" s="392"/>
      <c r="BC399" s="392"/>
      <c r="BD399" s="392"/>
      <c r="BE399" s="392"/>
      <c r="BF399" s="392"/>
      <c r="BG399" s="392"/>
      <c r="BH399" s="392"/>
      <c r="BI399" s="392"/>
      <c r="BJ399" s="392"/>
      <c r="BK399" s="392"/>
      <c r="BL399" s="392"/>
      <c r="BM399" s="392"/>
      <c r="BN399" s="392"/>
      <c r="BO399" s="392"/>
      <c r="BP399" s="392"/>
      <c r="BQ399" s="392"/>
      <c r="BR399" s="392"/>
      <c r="BS399" s="392"/>
      <c r="BT399" s="392"/>
    </row>
    <row r="400" ht="15.75" customHeight="1">
      <c r="A400" s="216"/>
      <c r="B400" s="156"/>
      <c r="C400" s="156"/>
      <c r="D400" s="156"/>
      <c r="E400" s="392"/>
      <c r="F400" s="392"/>
      <c r="G400" s="392"/>
      <c r="H400" s="392"/>
      <c r="I400" s="392"/>
      <c r="J400" s="392"/>
      <c r="K400" s="392"/>
      <c r="L400" s="392"/>
      <c r="M400" s="392"/>
      <c r="N400" s="392"/>
      <c r="O400" s="392"/>
      <c r="P400" s="392"/>
      <c r="Q400" s="392"/>
      <c r="R400" s="392"/>
      <c r="S400" s="392"/>
      <c r="T400" s="392"/>
      <c r="U400" s="392"/>
      <c r="V400" s="392"/>
      <c r="W400" s="392"/>
      <c r="X400" s="392"/>
      <c r="Y400" s="392"/>
      <c r="Z400" s="392"/>
      <c r="AA400" s="392"/>
      <c r="AB400" s="392"/>
      <c r="AC400" s="392"/>
      <c r="AD400" s="392"/>
      <c r="AE400" s="392"/>
      <c r="AF400" s="392"/>
      <c r="AG400" s="392"/>
      <c r="AH400" s="392"/>
      <c r="AI400" s="392"/>
      <c r="AJ400" s="392"/>
      <c r="AK400" s="392"/>
      <c r="AL400" s="392"/>
      <c r="AM400" s="392"/>
      <c r="AN400" s="392"/>
      <c r="AO400" s="392"/>
      <c r="AP400" s="392"/>
      <c r="AQ400" s="392"/>
      <c r="AR400" s="392"/>
      <c r="AS400" s="392"/>
      <c r="AT400" s="392"/>
      <c r="AU400" s="392"/>
      <c r="AV400" s="392"/>
      <c r="AW400" s="392"/>
      <c r="AX400" s="392"/>
      <c r="AY400" s="392"/>
      <c r="AZ400" s="392"/>
      <c r="BA400" s="392"/>
      <c r="BB400" s="392"/>
      <c r="BC400" s="392"/>
      <c r="BD400" s="392"/>
      <c r="BE400" s="392"/>
      <c r="BF400" s="392"/>
      <c r="BG400" s="392"/>
      <c r="BH400" s="392"/>
      <c r="BI400" s="392"/>
      <c r="BJ400" s="392"/>
      <c r="BK400" s="392"/>
      <c r="BL400" s="392"/>
      <c r="BM400" s="392"/>
      <c r="BN400" s="392"/>
      <c r="BO400" s="392"/>
      <c r="BP400" s="392"/>
      <c r="BQ400" s="392"/>
      <c r="BR400" s="392"/>
      <c r="BS400" s="392"/>
      <c r="BT400" s="392"/>
    </row>
    <row r="401" ht="15.75" customHeight="1">
      <c r="A401" s="216"/>
      <c r="B401" s="156"/>
      <c r="C401" s="156"/>
      <c r="D401" s="156"/>
      <c r="E401" s="392"/>
      <c r="F401" s="392"/>
      <c r="G401" s="392"/>
      <c r="H401" s="392"/>
      <c r="I401" s="392"/>
      <c r="J401" s="392"/>
      <c r="K401" s="392"/>
      <c r="L401" s="392"/>
      <c r="M401" s="392"/>
      <c r="N401" s="392"/>
      <c r="O401" s="392"/>
      <c r="P401" s="392"/>
      <c r="Q401" s="392"/>
      <c r="R401" s="392"/>
      <c r="S401" s="392"/>
      <c r="T401" s="392"/>
      <c r="U401" s="392"/>
      <c r="V401" s="392"/>
      <c r="W401" s="392"/>
      <c r="X401" s="392"/>
      <c r="Y401" s="392"/>
      <c r="Z401" s="392"/>
      <c r="AA401" s="392"/>
      <c r="AB401" s="392"/>
      <c r="AC401" s="392"/>
      <c r="AD401" s="392"/>
      <c r="AE401" s="392"/>
      <c r="AF401" s="392"/>
      <c r="AG401" s="392"/>
      <c r="AH401" s="392"/>
      <c r="AI401" s="392"/>
      <c r="AJ401" s="392"/>
      <c r="AK401" s="392"/>
      <c r="AL401" s="392"/>
      <c r="AM401" s="392"/>
      <c r="AN401" s="392"/>
      <c r="AO401" s="392"/>
      <c r="AP401" s="392"/>
      <c r="AQ401" s="392"/>
      <c r="AR401" s="392"/>
      <c r="AS401" s="392"/>
      <c r="AT401" s="392"/>
      <c r="AU401" s="392"/>
      <c r="AV401" s="392"/>
      <c r="AW401" s="392"/>
      <c r="AX401" s="392"/>
      <c r="AY401" s="392"/>
      <c r="AZ401" s="392"/>
      <c r="BA401" s="392"/>
      <c r="BB401" s="392"/>
      <c r="BC401" s="392"/>
      <c r="BD401" s="392"/>
      <c r="BE401" s="392"/>
      <c r="BF401" s="392"/>
      <c r="BG401" s="392"/>
      <c r="BH401" s="392"/>
      <c r="BI401" s="392"/>
      <c r="BJ401" s="392"/>
      <c r="BK401" s="392"/>
      <c r="BL401" s="392"/>
      <c r="BM401" s="392"/>
      <c r="BN401" s="392"/>
      <c r="BO401" s="392"/>
      <c r="BP401" s="392"/>
      <c r="BQ401" s="392"/>
      <c r="BR401" s="392"/>
      <c r="BS401" s="392"/>
      <c r="BT401" s="392"/>
    </row>
    <row r="402" ht="15.75" customHeight="1">
      <c r="A402" s="216"/>
      <c r="B402" s="156"/>
      <c r="C402" s="156"/>
      <c r="D402" s="156"/>
      <c r="E402" s="392"/>
      <c r="F402" s="392"/>
      <c r="G402" s="392"/>
      <c r="H402" s="392"/>
      <c r="I402" s="392"/>
      <c r="J402" s="392"/>
      <c r="K402" s="392"/>
      <c r="L402" s="392"/>
      <c r="M402" s="392"/>
      <c r="N402" s="392"/>
      <c r="O402" s="392"/>
      <c r="P402" s="392"/>
      <c r="Q402" s="392"/>
      <c r="R402" s="392"/>
      <c r="S402" s="392"/>
      <c r="T402" s="392"/>
      <c r="U402" s="392"/>
      <c r="V402" s="392"/>
      <c r="W402" s="392"/>
      <c r="X402" s="392"/>
      <c r="Y402" s="392"/>
      <c r="Z402" s="392"/>
      <c r="AA402" s="392"/>
      <c r="AB402" s="392"/>
      <c r="AC402" s="392"/>
      <c r="AD402" s="392"/>
      <c r="AE402" s="392"/>
      <c r="AF402" s="392"/>
      <c r="AG402" s="392"/>
      <c r="AH402" s="392"/>
      <c r="AI402" s="392"/>
      <c r="AJ402" s="392"/>
      <c r="AK402" s="392"/>
      <c r="AL402" s="392"/>
      <c r="AM402" s="392"/>
      <c r="AN402" s="392"/>
      <c r="AO402" s="392"/>
      <c r="AP402" s="392"/>
      <c r="AQ402" s="392"/>
      <c r="AR402" s="392"/>
      <c r="AS402" s="392"/>
      <c r="AT402" s="392"/>
      <c r="AU402" s="392"/>
      <c r="AV402" s="392"/>
      <c r="AW402" s="392"/>
      <c r="AX402" s="392"/>
      <c r="AY402" s="392"/>
      <c r="AZ402" s="392"/>
      <c r="BA402" s="392"/>
      <c r="BB402" s="392"/>
      <c r="BC402" s="392"/>
      <c r="BD402" s="392"/>
      <c r="BE402" s="392"/>
      <c r="BF402" s="392"/>
      <c r="BG402" s="392"/>
      <c r="BH402" s="392"/>
      <c r="BI402" s="392"/>
      <c r="BJ402" s="392"/>
      <c r="BK402" s="392"/>
      <c r="BL402" s="392"/>
      <c r="BM402" s="392"/>
      <c r="BN402" s="392"/>
      <c r="BO402" s="392"/>
      <c r="BP402" s="392"/>
      <c r="BQ402" s="392"/>
      <c r="BR402" s="392"/>
      <c r="BS402" s="392"/>
      <c r="BT402" s="392"/>
    </row>
    <row r="403" ht="15.75" customHeight="1">
      <c r="A403" s="216"/>
      <c r="B403" s="156"/>
      <c r="C403" s="156"/>
      <c r="D403" s="156"/>
      <c r="E403" s="392"/>
      <c r="F403" s="392"/>
      <c r="G403" s="392"/>
      <c r="H403" s="392"/>
      <c r="I403" s="392"/>
      <c r="J403" s="392"/>
      <c r="K403" s="392"/>
      <c r="L403" s="392"/>
      <c r="M403" s="392"/>
      <c r="N403" s="392"/>
      <c r="O403" s="392"/>
      <c r="P403" s="392"/>
      <c r="Q403" s="392"/>
      <c r="R403" s="392"/>
      <c r="S403" s="392"/>
      <c r="T403" s="392"/>
      <c r="U403" s="392"/>
      <c r="V403" s="392"/>
      <c r="W403" s="392"/>
      <c r="X403" s="392"/>
      <c r="Y403" s="392"/>
      <c r="Z403" s="392"/>
      <c r="AA403" s="392"/>
      <c r="AB403" s="392"/>
      <c r="AC403" s="392"/>
      <c r="AD403" s="392"/>
      <c r="AE403" s="392"/>
      <c r="AF403" s="392"/>
      <c r="AG403" s="392"/>
      <c r="AH403" s="392"/>
      <c r="AI403" s="392"/>
      <c r="AJ403" s="392"/>
      <c r="AK403" s="392"/>
      <c r="AL403" s="392"/>
      <c r="AM403" s="392"/>
      <c r="AN403" s="392"/>
      <c r="AO403" s="392"/>
      <c r="AP403" s="392"/>
      <c r="AQ403" s="392"/>
      <c r="AR403" s="392"/>
      <c r="AS403" s="392"/>
      <c r="AT403" s="392"/>
      <c r="AU403" s="392"/>
      <c r="AV403" s="392"/>
      <c r="AW403" s="392"/>
      <c r="AX403" s="392"/>
      <c r="AY403" s="392"/>
      <c r="AZ403" s="392"/>
      <c r="BA403" s="392"/>
      <c r="BB403" s="392"/>
      <c r="BC403" s="392"/>
      <c r="BD403" s="392"/>
      <c r="BE403" s="392"/>
      <c r="BF403" s="392"/>
      <c r="BG403" s="392"/>
      <c r="BH403" s="392"/>
      <c r="BI403" s="392"/>
      <c r="BJ403" s="392"/>
      <c r="BK403" s="392"/>
      <c r="BL403" s="392"/>
      <c r="BM403" s="392"/>
      <c r="BN403" s="392"/>
      <c r="BO403" s="392"/>
      <c r="BP403" s="392"/>
      <c r="BQ403" s="392"/>
      <c r="BR403" s="392"/>
      <c r="BS403" s="392"/>
      <c r="BT403" s="392"/>
    </row>
    <row r="404" ht="15.75" customHeight="1">
      <c r="A404" s="216"/>
      <c r="B404" s="156"/>
      <c r="C404" s="156"/>
      <c r="D404" s="156"/>
      <c r="E404" s="392"/>
      <c r="F404" s="392"/>
      <c r="G404" s="392"/>
      <c r="H404" s="392"/>
      <c r="I404" s="392"/>
      <c r="J404" s="392"/>
      <c r="K404" s="392"/>
      <c r="L404" s="392"/>
      <c r="M404" s="392"/>
      <c r="N404" s="392"/>
      <c r="O404" s="392"/>
      <c r="P404" s="392"/>
      <c r="Q404" s="392"/>
      <c r="R404" s="392"/>
      <c r="S404" s="392"/>
      <c r="T404" s="392"/>
      <c r="U404" s="392"/>
      <c r="V404" s="392"/>
      <c r="W404" s="392"/>
      <c r="X404" s="392"/>
      <c r="Y404" s="392"/>
      <c r="Z404" s="392"/>
      <c r="AA404" s="392"/>
      <c r="AB404" s="392"/>
      <c r="AC404" s="392"/>
      <c r="AD404" s="392"/>
      <c r="AE404" s="392"/>
      <c r="AF404" s="392"/>
      <c r="AG404" s="392"/>
      <c r="AH404" s="392"/>
      <c r="AI404" s="392"/>
      <c r="AJ404" s="392"/>
      <c r="AK404" s="392"/>
      <c r="AL404" s="392"/>
      <c r="AM404" s="392"/>
      <c r="AN404" s="392"/>
      <c r="AO404" s="392"/>
      <c r="AP404" s="392"/>
      <c r="AQ404" s="392"/>
      <c r="AR404" s="392"/>
      <c r="AS404" s="392"/>
      <c r="AT404" s="392"/>
      <c r="AU404" s="392"/>
      <c r="AV404" s="392"/>
      <c r="AW404" s="392"/>
      <c r="AX404" s="392"/>
      <c r="AY404" s="392"/>
      <c r="AZ404" s="392"/>
      <c r="BA404" s="392"/>
      <c r="BB404" s="392"/>
      <c r="BC404" s="392"/>
      <c r="BD404" s="392"/>
      <c r="BE404" s="392"/>
      <c r="BF404" s="392"/>
      <c r="BG404" s="392"/>
      <c r="BH404" s="392"/>
      <c r="BI404" s="392"/>
      <c r="BJ404" s="392"/>
      <c r="BK404" s="392"/>
      <c r="BL404" s="392"/>
      <c r="BM404" s="392"/>
      <c r="BN404" s="392"/>
      <c r="BO404" s="392"/>
      <c r="BP404" s="392"/>
      <c r="BQ404" s="392"/>
      <c r="BR404" s="392"/>
      <c r="BS404" s="392"/>
      <c r="BT404" s="392"/>
    </row>
    <row r="405" ht="15.75" customHeight="1">
      <c r="A405" s="216"/>
      <c r="B405" s="156"/>
      <c r="C405" s="156"/>
      <c r="D405" s="156"/>
      <c r="E405" s="392"/>
      <c r="F405" s="392"/>
      <c r="G405" s="392"/>
      <c r="H405" s="392"/>
      <c r="I405" s="392"/>
      <c r="J405" s="392"/>
      <c r="K405" s="392"/>
      <c r="L405" s="392"/>
      <c r="M405" s="392"/>
      <c r="N405" s="392"/>
      <c r="O405" s="392"/>
      <c r="P405" s="392"/>
      <c r="Q405" s="392"/>
      <c r="R405" s="392"/>
      <c r="S405" s="392"/>
      <c r="T405" s="392"/>
      <c r="U405" s="392"/>
      <c r="V405" s="392"/>
      <c r="W405" s="392"/>
      <c r="X405" s="392"/>
      <c r="Y405" s="392"/>
      <c r="Z405" s="392"/>
      <c r="AA405" s="392"/>
      <c r="AB405" s="392"/>
      <c r="AC405" s="392"/>
      <c r="AD405" s="392"/>
      <c r="AE405" s="392"/>
      <c r="AF405" s="392"/>
      <c r="AG405" s="392"/>
      <c r="AH405" s="392"/>
      <c r="AI405" s="392"/>
      <c r="AJ405" s="392"/>
      <c r="AK405" s="392"/>
      <c r="AL405" s="392"/>
      <c r="AM405" s="392"/>
      <c r="AN405" s="392"/>
      <c r="AO405" s="392"/>
      <c r="AP405" s="392"/>
      <c r="AQ405" s="392"/>
      <c r="AR405" s="392"/>
      <c r="AS405" s="392"/>
      <c r="AT405" s="392"/>
      <c r="AU405" s="392"/>
      <c r="AV405" s="392"/>
      <c r="AW405" s="392"/>
      <c r="AX405" s="392"/>
      <c r="AY405" s="392"/>
      <c r="AZ405" s="392"/>
      <c r="BA405" s="392"/>
      <c r="BB405" s="392"/>
      <c r="BC405" s="392"/>
      <c r="BD405" s="392"/>
      <c r="BE405" s="392"/>
      <c r="BF405" s="392"/>
      <c r="BG405" s="392"/>
      <c r="BH405" s="392"/>
      <c r="BI405" s="392"/>
      <c r="BJ405" s="392"/>
      <c r="BK405" s="392"/>
      <c r="BL405" s="392"/>
      <c r="BM405" s="392"/>
      <c r="BN405" s="392"/>
      <c r="BO405" s="392"/>
      <c r="BP405" s="392"/>
      <c r="BQ405" s="392"/>
      <c r="BR405" s="392"/>
      <c r="BS405" s="392"/>
      <c r="BT405" s="392"/>
    </row>
    <row r="406" ht="15.75" customHeight="1">
      <c r="A406" s="216"/>
      <c r="B406" s="156"/>
      <c r="C406" s="156"/>
      <c r="D406" s="156"/>
      <c r="E406" s="392"/>
      <c r="F406" s="392"/>
      <c r="G406" s="392"/>
      <c r="H406" s="392"/>
      <c r="I406" s="392"/>
      <c r="J406" s="392"/>
      <c r="K406" s="392"/>
      <c r="L406" s="392"/>
      <c r="M406" s="392"/>
      <c r="N406" s="392"/>
      <c r="O406" s="392"/>
      <c r="P406" s="392"/>
      <c r="Q406" s="392"/>
      <c r="R406" s="392"/>
      <c r="S406" s="392"/>
      <c r="T406" s="392"/>
      <c r="U406" s="392"/>
      <c r="V406" s="392"/>
      <c r="W406" s="392"/>
      <c r="X406" s="392"/>
      <c r="Y406" s="392"/>
      <c r="Z406" s="392"/>
      <c r="AA406" s="392"/>
      <c r="AB406" s="392"/>
      <c r="AC406" s="392"/>
      <c r="AD406" s="392"/>
      <c r="AE406" s="392"/>
      <c r="AF406" s="392"/>
      <c r="AG406" s="392"/>
      <c r="AH406" s="392"/>
      <c r="AI406" s="392"/>
      <c r="AJ406" s="392"/>
      <c r="AK406" s="392"/>
      <c r="AL406" s="392"/>
      <c r="AM406" s="392"/>
      <c r="AN406" s="392"/>
      <c r="AO406" s="392"/>
      <c r="AP406" s="392"/>
      <c r="AQ406" s="392"/>
      <c r="AR406" s="392"/>
      <c r="AS406" s="392"/>
      <c r="AT406" s="392"/>
      <c r="AU406" s="392"/>
      <c r="AV406" s="392"/>
      <c r="AW406" s="392"/>
      <c r="AX406" s="392"/>
      <c r="AY406" s="392"/>
      <c r="AZ406" s="392"/>
      <c r="BA406" s="392"/>
      <c r="BB406" s="392"/>
      <c r="BC406" s="392"/>
      <c r="BD406" s="392"/>
      <c r="BE406" s="392"/>
      <c r="BF406" s="392"/>
      <c r="BG406" s="392"/>
      <c r="BH406" s="392"/>
      <c r="BI406" s="392"/>
      <c r="BJ406" s="392"/>
      <c r="BK406" s="392"/>
      <c r="BL406" s="392"/>
      <c r="BM406" s="392"/>
      <c r="BN406" s="392"/>
      <c r="BO406" s="392"/>
      <c r="BP406" s="392"/>
      <c r="BQ406" s="392"/>
      <c r="BR406" s="392"/>
      <c r="BS406" s="392"/>
      <c r="BT406" s="392"/>
    </row>
    <row r="407" ht="15.75" customHeight="1">
      <c r="A407" s="216"/>
      <c r="B407" s="156"/>
      <c r="C407" s="156"/>
      <c r="D407" s="156"/>
      <c r="E407" s="392"/>
      <c r="F407" s="392"/>
      <c r="G407" s="392"/>
      <c r="H407" s="392"/>
      <c r="I407" s="392"/>
      <c r="J407" s="392"/>
      <c r="K407" s="392"/>
      <c r="L407" s="392"/>
      <c r="M407" s="392"/>
      <c r="N407" s="392"/>
      <c r="O407" s="392"/>
      <c r="P407" s="392"/>
      <c r="Q407" s="392"/>
      <c r="R407" s="392"/>
      <c r="S407" s="392"/>
      <c r="T407" s="392"/>
      <c r="U407" s="392"/>
      <c r="V407" s="392"/>
      <c r="W407" s="392"/>
      <c r="X407" s="392"/>
      <c r="Y407" s="392"/>
      <c r="Z407" s="392"/>
      <c r="AA407" s="392"/>
      <c r="AB407" s="392"/>
      <c r="AC407" s="392"/>
      <c r="AD407" s="392"/>
      <c r="AE407" s="392"/>
      <c r="AF407" s="392"/>
      <c r="AG407" s="392"/>
      <c r="AH407" s="392"/>
      <c r="AI407" s="392"/>
      <c r="AJ407" s="392"/>
      <c r="AK407" s="392"/>
      <c r="AL407" s="392"/>
      <c r="AM407" s="392"/>
      <c r="AN407" s="392"/>
      <c r="AO407" s="392"/>
      <c r="AP407" s="392"/>
      <c r="AQ407" s="392"/>
      <c r="AR407" s="392"/>
      <c r="AS407" s="392"/>
      <c r="AT407" s="392"/>
      <c r="AU407" s="392"/>
      <c r="AV407" s="392"/>
      <c r="AW407" s="392"/>
      <c r="AX407" s="392"/>
      <c r="AY407" s="392"/>
      <c r="AZ407" s="392"/>
      <c r="BA407" s="392"/>
      <c r="BB407" s="392"/>
      <c r="BC407" s="392"/>
      <c r="BD407" s="392"/>
      <c r="BE407" s="392"/>
      <c r="BF407" s="392"/>
      <c r="BG407" s="392"/>
      <c r="BH407" s="392"/>
      <c r="BI407" s="392"/>
      <c r="BJ407" s="392"/>
      <c r="BK407" s="392"/>
      <c r="BL407" s="392"/>
      <c r="BM407" s="392"/>
      <c r="BN407" s="392"/>
      <c r="BO407" s="392"/>
      <c r="BP407" s="392"/>
      <c r="BQ407" s="392"/>
      <c r="BR407" s="392"/>
      <c r="BS407" s="392"/>
      <c r="BT407" s="392"/>
    </row>
    <row r="408" ht="15.75" customHeight="1">
      <c r="A408" s="216"/>
      <c r="B408" s="156"/>
      <c r="C408" s="156"/>
      <c r="D408" s="156"/>
      <c r="E408" s="392"/>
      <c r="F408" s="392"/>
      <c r="G408" s="392"/>
      <c r="H408" s="392"/>
      <c r="I408" s="392"/>
      <c r="J408" s="392"/>
      <c r="K408" s="392"/>
      <c r="L408" s="392"/>
      <c r="M408" s="392"/>
      <c r="N408" s="392"/>
      <c r="O408" s="392"/>
      <c r="P408" s="392"/>
      <c r="Q408" s="392"/>
      <c r="R408" s="392"/>
      <c r="S408" s="392"/>
      <c r="T408" s="392"/>
      <c r="U408" s="392"/>
      <c r="V408" s="392"/>
      <c r="W408" s="392"/>
      <c r="X408" s="392"/>
      <c r="Y408" s="392"/>
      <c r="Z408" s="392"/>
      <c r="AA408" s="392"/>
      <c r="AB408" s="392"/>
      <c r="AC408" s="392"/>
      <c r="AD408" s="392"/>
      <c r="AE408" s="392"/>
      <c r="AF408" s="392"/>
      <c r="AG408" s="392"/>
      <c r="AH408" s="392"/>
      <c r="AI408" s="392"/>
      <c r="AJ408" s="392"/>
      <c r="AK408" s="392"/>
      <c r="AL408" s="392"/>
      <c r="AM408" s="392"/>
      <c r="AN408" s="392"/>
      <c r="AO408" s="392"/>
      <c r="AP408" s="392"/>
      <c r="AQ408" s="392"/>
      <c r="AR408" s="392"/>
      <c r="AS408" s="392"/>
      <c r="AT408" s="392"/>
      <c r="AU408" s="392"/>
      <c r="AV408" s="392"/>
      <c r="AW408" s="392"/>
      <c r="AX408" s="392"/>
      <c r="AY408" s="392"/>
      <c r="AZ408" s="392"/>
      <c r="BA408" s="392"/>
      <c r="BB408" s="392"/>
      <c r="BC408" s="392"/>
      <c r="BD408" s="392"/>
      <c r="BE408" s="392"/>
      <c r="BF408" s="392"/>
      <c r="BG408" s="392"/>
      <c r="BH408" s="392"/>
      <c r="BI408" s="392"/>
      <c r="BJ408" s="392"/>
      <c r="BK408" s="392"/>
      <c r="BL408" s="392"/>
      <c r="BM408" s="392"/>
      <c r="BN408" s="392"/>
      <c r="BO408" s="392"/>
      <c r="BP408" s="392"/>
      <c r="BQ408" s="392"/>
      <c r="BR408" s="392"/>
      <c r="BS408" s="392"/>
      <c r="BT408" s="392"/>
    </row>
    <row r="409" ht="15.75" customHeight="1">
      <c r="A409" s="216"/>
      <c r="B409" s="156"/>
      <c r="C409" s="156"/>
      <c r="D409" s="156"/>
      <c r="E409" s="392"/>
      <c r="F409" s="392"/>
      <c r="G409" s="392"/>
      <c r="H409" s="392"/>
      <c r="I409" s="392"/>
      <c r="J409" s="392"/>
      <c r="K409" s="392"/>
      <c r="L409" s="392"/>
      <c r="M409" s="392"/>
      <c r="N409" s="392"/>
      <c r="O409" s="392"/>
      <c r="P409" s="392"/>
      <c r="Q409" s="392"/>
      <c r="R409" s="392"/>
      <c r="S409" s="392"/>
      <c r="T409" s="392"/>
      <c r="U409" s="392"/>
      <c r="V409" s="392"/>
      <c r="W409" s="392"/>
      <c r="X409" s="392"/>
      <c r="Y409" s="392"/>
      <c r="Z409" s="392"/>
      <c r="AA409" s="392"/>
      <c r="AB409" s="392"/>
      <c r="AC409" s="392"/>
      <c r="AD409" s="392"/>
      <c r="AE409" s="392"/>
      <c r="AF409" s="392"/>
      <c r="AG409" s="392"/>
      <c r="AH409" s="392"/>
      <c r="AI409" s="392"/>
      <c r="AJ409" s="392"/>
      <c r="AK409" s="392"/>
      <c r="AL409" s="392"/>
      <c r="AM409" s="392"/>
      <c r="AN409" s="392"/>
      <c r="AO409" s="392"/>
      <c r="AP409" s="392"/>
      <c r="AQ409" s="392"/>
      <c r="AR409" s="392"/>
      <c r="AS409" s="392"/>
      <c r="AT409" s="392"/>
      <c r="AU409" s="392"/>
      <c r="AV409" s="392"/>
      <c r="AW409" s="392"/>
      <c r="AX409" s="392"/>
      <c r="AY409" s="392"/>
      <c r="AZ409" s="392"/>
      <c r="BA409" s="392"/>
      <c r="BB409" s="392"/>
      <c r="BC409" s="392"/>
      <c r="BD409" s="392"/>
      <c r="BE409" s="392"/>
      <c r="BF409" s="392"/>
      <c r="BG409" s="392"/>
      <c r="BH409" s="392"/>
      <c r="BI409" s="392"/>
      <c r="BJ409" s="392"/>
      <c r="BK409" s="392"/>
      <c r="BL409" s="392"/>
      <c r="BM409" s="392"/>
      <c r="BN409" s="392"/>
      <c r="BO409" s="392"/>
      <c r="BP409" s="392"/>
      <c r="BQ409" s="392"/>
      <c r="BR409" s="392"/>
      <c r="BS409" s="392"/>
      <c r="BT409" s="392"/>
    </row>
    <row r="410" ht="15.75" customHeight="1">
      <c r="A410" s="216"/>
      <c r="B410" s="156"/>
      <c r="C410" s="156"/>
      <c r="D410" s="156"/>
      <c r="E410" s="392"/>
      <c r="F410" s="392"/>
      <c r="G410" s="392"/>
      <c r="H410" s="392"/>
      <c r="I410" s="392"/>
      <c r="J410" s="392"/>
      <c r="K410" s="392"/>
      <c r="L410" s="392"/>
      <c r="M410" s="392"/>
      <c r="N410" s="392"/>
      <c r="O410" s="392"/>
      <c r="P410" s="392"/>
      <c r="Q410" s="392"/>
      <c r="R410" s="392"/>
      <c r="S410" s="392"/>
      <c r="T410" s="392"/>
      <c r="U410" s="392"/>
      <c r="V410" s="392"/>
      <c r="W410" s="392"/>
      <c r="X410" s="392"/>
      <c r="Y410" s="392"/>
      <c r="Z410" s="392"/>
      <c r="AA410" s="392"/>
      <c r="AB410" s="392"/>
      <c r="AC410" s="392"/>
      <c r="AD410" s="392"/>
      <c r="AE410" s="392"/>
      <c r="AF410" s="392"/>
      <c r="AG410" s="392"/>
      <c r="AH410" s="392"/>
      <c r="AI410" s="392"/>
      <c r="AJ410" s="392"/>
      <c r="AK410" s="392"/>
      <c r="AL410" s="392"/>
      <c r="AM410" s="392"/>
      <c r="AN410" s="392"/>
      <c r="AO410" s="392"/>
      <c r="AP410" s="392"/>
      <c r="AQ410" s="392"/>
      <c r="AR410" s="392"/>
      <c r="AS410" s="392"/>
      <c r="AT410" s="392"/>
      <c r="AU410" s="392"/>
      <c r="AV410" s="392"/>
      <c r="AW410" s="392"/>
      <c r="AX410" s="392"/>
      <c r="AY410" s="392"/>
      <c r="AZ410" s="392"/>
      <c r="BA410" s="392"/>
      <c r="BB410" s="392"/>
      <c r="BC410" s="392"/>
      <c r="BD410" s="392"/>
      <c r="BE410" s="392"/>
      <c r="BF410" s="392"/>
      <c r="BG410" s="392"/>
      <c r="BH410" s="392"/>
      <c r="BI410" s="392"/>
      <c r="BJ410" s="392"/>
      <c r="BK410" s="392"/>
      <c r="BL410" s="392"/>
      <c r="BM410" s="392"/>
      <c r="BN410" s="392"/>
      <c r="BO410" s="392"/>
      <c r="BP410" s="392"/>
      <c r="BQ410" s="392"/>
      <c r="BR410" s="392"/>
      <c r="BS410" s="392"/>
      <c r="BT410" s="392"/>
    </row>
    <row r="411" ht="15.75" customHeight="1">
      <c r="A411" s="216"/>
      <c r="B411" s="156"/>
      <c r="C411" s="156"/>
      <c r="D411" s="156"/>
      <c r="E411" s="392"/>
      <c r="F411" s="392"/>
      <c r="G411" s="392"/>
      <c r="H411" s="392"/>
      <c r="I411" s="392"/>
      <c r="J411" s="392"/>
      <c r="K411" s="392"/>
      <c r="L411" s="392"/>
      <c r="M411" s="392"/>
      <c r="N411" s="392"/>
      <c r="O411" s="392"/>
      <c r="P411" s="392"/>
      <c r="Q411" s="392"/>
      <c r="R411" s="392"/>
      <c r="S411" s="392"/>
      <c r="T411" s="392"/>
      <c r="U411" s="392"/>
      <c r="V411" s="392"/>
      <c r="W411" s="392"/>
      <c r="X411" s="392"/>
      <c r="Y411" s="392"/>
      <c r="Z411" s="392"/>
      <c r="AA411" s="392"/>
      <c r="AB411" s="392"/>
      <c r="AC411" s="392"/>
      <c r="AD411" s="392"/>
      <c r="AE411" s="392"/>
      <c r="AF411" s="392"/>
      <c r="AG411" s="392"/>
      <c r="AH411" s="392"/>
      <c r="AI411" s="392"/>
      <c r="AJ411" s="392"/>
      <c r="AK411" s="392"/>
      <c r="AL411" s="392"/>
      <c r="AM411" s="392"/>
      <c r="AN411" s="392"/>
      <c r="AO411" s="392"/>
      <c r="AP411" s="392"/>
      <c r="AQ411" s="392"/>
      <c r="AR411" s="392"/>
      <c r="AS411" s="392"/>
      <c r="AT411" s="392"/>
      <c r="AU411" s="392"/>
      <c r="AV411" s="392"/>
      <c r="AW411" s="392"/>
      <c r="AX411" s="392"/>
      <c r="AY411" s="392"/>
      <c r="AZ411" s="392"/>
      <c r="BA411" s="392"/>
      <c r="BB411" s="392"/>
      <c r="BC411" s="392"/>
      <c r="BD411" s="392"/>
      <c r="BE411" s="392"/>
      <c r="BF411" s="392"/>
      <c r="BG411" s="392"/>
      <c r="BH411" s="392"/>
      <c r="BI411" s="392"/>
      <c r="BJ411" s="392"/>
      <c r="BK411" s="392"/>
      <c r="BL411" s="392"/>
      <c r="BM411" s="392"/>
      <c r="BN411" s="392"/>
      <c r="BO411" s="392"/>
      <c r="BP411" s="392"/>
      <c r="BQ411" s="392"/>
      <c r="BR411" s="392"/>
      <c r="BS411" s="392"/>
      <c r="BT411" s="392"/>
    </row>
    <row r="412" ht="15.75" customHeight="1">
      <c r="A412" s="216"/>
      <c r="B412" s="156"/>
      <c r="C412" s="156"/>
      <c r="D412" s="156"/>
      <c r="E412" s="392"/>
      <c r="F412" s="392"/>
      <c r="G412" s="392"/>
      <c r="H412" s="392"/>
      <c r="I412" s="392"/>
      <c r="J412" s="392"/>
      <c r="K412" s="392"/>
      <c r="L412" s="392"/>
      <c r="M412" s="392"/>
      <c r="N412" s="392"/>
      <c r="O412" s="392"/>
      <c r="P412" s="392"/>
      <c r="Q412" s="392"/>
      <c r="R412" s="392"/>
      <c r="S412" s="392"/>
      <c r="T412" s="392"/>
      <c r="U412" s="392"/>
      <c r="V412" s="392"/>
      <c r="W412" s="392"/>
      <c r="X412" s="392"/>
      <c r="Y412" s="392"/>
      <c r="Z412" s="392"/>
      <c r="AA412" s="392"/>
      <c r="AB412" s="392"/>
      <c r="AC412" s="392"/>
      <c r="AD412" s="392"/>
      <c r="AE412" s="392"/>
      <c r="AF412" s="392"/>
      <c r="AG412" s="392"/>
      <c r="AH412" s="392"/>
      <c r="AI412" s="392"/>
      <c r="AJ412" s="392"/>
      <c r="AK412" s="392"/>
      <c r="AL412" s="392"/>
      <c r="AM412" s="392"/>
      <c r="AN412" s="392"/>
      <c r="AO412" s="392"/>
      <c r="AP412" s="392"/>
      <c r="AQ412" s="392"/>
      <c r="AR412" s="392"/>
      <c r="AS412" s="392"/>
      <c r="AT412" s="392"/>
      <c r="AU412" s="392"/>
      <c r="AV412" s="392"/>
      <c r="AW412" s="392"/>
      <c r="AX412" s="392"/>
      <c r="AY412" s="392"/>
      <c r="AZ412" s="392"/>
      <c r="BA412" s="392"/>
      <c r="BB412" s="392"/>
      <c r="BC412" s="392"/>
      <c r="BD412" s="392"/>
      <c r="BE412" s="392"/>
      <c r="BF412" s="392"/>
      <c r="BG412" s="392"/>
      <c r="BH412" s="392"/>
      <c r="BI412" s="392"/>
      <c r="BJ412" s="392"/>
      <c r="BK412" s="392"/>
      <c r="BL412" s="392"/>
      <c r="BM412" s="392"/>
      <c r="BN412" s="392"/>
      <c r="BO412" s="392"/>
      <c r="BP412" s="392"/>
      <c r="BQ412" s="392"/>
      <c r="BR412" s="392"/>
      <c r="BS412" s="392"/>
      <c r="BT412" s="392"/>
    </row>
    <row r="413" ht="15.75" customHeight="1">
      <c r="A413" s="216"/>
      <c r="B413" s="156"/>
      <c r="C413" s="156"/>
      <c r="D413" s="156"/>
      <c r="E413" s="392"/>
      <c r="F413" s="392"/>
      <c r="G413" s="392"/>
      <c r="H413" s="392"/>
      <c r="I413" s="392"/>
      <c r="J413" s="392"/>
      <c r="K413" s="392"/>
      <c r="L413" s="392"/>
      <c r="M413" s="392"/>
      <c r="N413" s="392"/>
      <c r="O413" s="392"/>
      <c r="P413" s="392"/>
      <c r="Q413" s="392"/>
      <c r="R413" s="392"/>
      <c r="S413" s="392"/>
      <c r="T413" s="392"/>
      <c r="U413" s="392"/>
      <c r="V413" s="392"/>
      <c r="W413" s="392"/>
      <c r="X413" s="392"/>
      <c r="Y413" s="392"/>
      <c r="Z413" s="392"/>
      <c r="AA413" s="392"/>
      <c r="AB413" s="392"/>
      <c r="AC413" s="392"/>
      <c r="AD413" s="392"/>
      <c r="AE413" s="392"/>
      <c r="AF413" s="392"/>
      <c r="AG413" s="392"/>
      <c r="AH413" s="392"/>
      <c r="AI413" s="392"/>
      <c r="AJ413" s="392"/>
      <c r="AK413" s="392"/>
      <c r="AL413" s="392"/>
      <c r="AM413" s="392"/>
      <c r="AN413" s="392"/>
      <c r="AO413" s="392"/>
      <c r="AP413" s="392"/>
      <c r="AQ413" s="392"/>
      <c r="AR413" s="392"/>
      <c r="AS413" s="392"/>
      <c r="AT413" s="392"/>
      <c r="AU413" s="392"/>
      <c r="AV413" s="392"/>
      <c r="AW413" s="392"/>
      <c r="AX413" s="392"/>
      <c r="AY413" s="392"/>
      <c r="AZ413" s="392"/>
      <c r="BA413" s="392"/>
      <c r="BB413" s="392"/>
      <c r="BC413" s="392"/>
      <c r="BD413" s="392"/>
      <c r="BE413" s="392"/>
      <c r="BF413" s="392"/>
      <c r="BG413" s="392"/>
      <c r="BH413" s="392"/>
      <c r="BI413" s="392"/>
      <c r="BJ413" s="392"/>
      <c r="BK413" s="392"/>
      <c r="BL413" s="392"/>
      <c r="BM413" s="392"/>
      <c r="BN413" s="392"/>
      <c r="BO413" s="392"/>
      <c r="BP413" s="392"/>
      <c r="BQ413" s="392"/>
      <c r="BR413" s="392"/>
      <c r="BS413" s="392"/>
      <c r="BT413" s="392"/>
    </row>
    <row r="414" ht="15.75" customHeight="1">
      <c r="A414" s="216"/>
      <c r="B414" s="156"/>
      <c r="C414" s="156"/>
      <c r="D414" s="156"/>
      <c r="E414" s="392"/>
      <c r="F414" s="392"/>
      <c r="G414" s="392"/>
      <c r="H414" s="392"/>
      <c r="I414" s="392"/>
      <c r="J414" s="392"/>
      <c r="K414" s="392"/>
      <c r="L414" s="392"/>
      <c r="M414" s="392"/>
      <c r="N414" s="392"/>
      <c r="O414" s="392"/>
      <c r="P414" s="392"/>
      <c r="Q414" s="392"/>
      <c r="R414" s="392"/>
      <c r="S414" s="392"/>
      <c r="T414" s="392"/>
      <c r="U414" s="392"/>
      <c r="V414" s="392"/>
      <c r="W414" s="392"/>
      <c r="X414" s="392"/>
      <c r="Y414" s="392"/>
      <c r="Z414" s="392"/>
      <c r="AA414" s="392"/>
      <c r="AB414" s="392"/>
      <c r="AC414" s="392"/>
      <c r="AD414" s="392"/>
      <c r="AE414" s="392"/>
      <c r="AF414" s="392"/>
      <c r="AG414" s="392"/>
      <c r="AH414" s="392"/>
      <c r="AI414" s="392"/>
      <c r="AJ414" s="392"/>
      <c r="AK414" s="392"/>
      <c r="AL414" s="392"/>
      <c r="AM414" s="392"/>
      <c r="AN414" s="392"/>
      <c r="AO414" s="392"/>
      <c r="AP414" s="392"/>
      <c r="AQ414" s="392"/>
      <c r="AR414" s="392"/>
      <c r="AS414" s="392"/>
      <c r="AT414" s="392"/>
      <c r="AU414" s="392"/>
      <c r="AV414" s="392"/>
      <c r="AW414" s="392"/>
      <c r="AX414" s="392"/>
      <c r="AY414" s="392"/>
      <c r="AZ414" s="392"/>
      <c r="BA414" s="392"/>
      <c r="BB414" s="392"/>
      <c r="BC414" s="392"/>
      <c r="BD414" s="392"/>
      <c r="BE414" s="392"/>
      <c r="BF414" s="392"/>
      <c r="BG414" s="392"/>
      <c r="BH414" s="392"/>
      <c r="BI414" s="392"/>
      <c r="BJ414" s="392"/>
      <c r="BK414" s="392"/>
      <c r="BL414" s="392"/>
      <c r="BM414" s="392"/>
      <c r="BN414" s="392"/>
      <c r="BO414" s="392"/>
      <c r="BP414" s="392"/>
      <c r="BQ414" s="392"/>
      <c r="BR414" s="392"/>
      <c r="BS414" s="392"/>
      <c r="BT414" s="392"/>
    </row>
    <row r="415" ht="15.75" customHeight="1">
      <c r="A415" s="216"/>
      <c r="B415" s="156"/>
      <c r="C415" s="156"/>
      <c r="D415" s="156"/>
      <c r="E415" s="392"/>
      <c r="F415" s="392"/>
      <c r="G415" s="392"/>
      <c r="H415" s="392"/>
      <c r="I415" s="392"/>
      <c r="J415" s="392"/>
      <c r="K415" s="392"/>
      <c r="L415" s="392"/>
      <c r="M415" s="392"/>
      <c r="N415" s="392"/>
      <c r="O415" s="392"/>
      <c r="P415" s="392"/>
      <c r="Q415" s="392"/>
      <c r="R415" s="392"/>
      <c r="S415" s="392"/>
      <c r="T415" s="392"/>
      <c r="U415" s="392"/>
      <c r="V415" s="392"/>
      <c r="W415" s="392"/>
      <c r="X415" s="392"/>
      <c r="Y415" s="392"/>
      <c r="Z415" s="392"/>
      <c r="AA415" s="392"/>
      <c r="AB415" s="392"/>
      <c r="AC415" s="392"/>
      <c r="AD415" s="392"/>
      <c r="AE415" s="392"/>
      <c r="AF415" s="392"/>
      <c r="AG415" s="392"/>
      <c r="AH415" s="392"/>
      <c r="AI415" s="392"/>
      <c r="AJ415" s="392"/>
      <c r="AK415" s="392"/>
      <c r="AL415" s="392"/>
      <c r="AM415" s="392"/>
      <c r="AN415" s="392"/>
      <c r="AO415" s="392"/>
      <c r="AP415" s="392"/>
      <c r="AQ415" s="392"/>
      <c r="AR415" s="392"/>
      <c r="AS415" s="392"/>
      <c r="AT415" s="392"/>
      <c r="AU415" s="392"/>
      <c r="AV415" s="392"/>
      <c r="AW415" s="392"/>
      <c r="AX415" s="392"/>
      <c r="AY415" s="392"/>
      <c r="AZ415" s="392"/>
      <c r="BA415" s="392"/>
      <c r="BB415" s="392"/>
      <c r="BC415" s="392"/>
      <c r="BD415" s="392"/>
      <c r="BE415" s="392"/>
      <c r="BF415" s="392"/>
      <c r="BG415" s="392"/>
      <c r="BH415" s="392"/>
      <c r="BI415" s="392"/>
      <c r="BJ415" s="392"/>
      <c r="BK415" s="392"/>
      <c r="BL415" s="392"/>
      <c r="BM415" s="392"/>
      <c r="BN415" s="392"/>
      <c r="BO415" s="392"/>
      <c r="BP415" s="392"/>
      <c r="BQ415" s="392"/>
      <c r="BR415" s="392"/>
      <c r="BS415" s="392"/>
      <c r="BT415" s="392"/>
    </row>
    <row r="416" ht="15.75" customHeight="1">
      <c r="A416" s="216"/>
      <c r="B416" s="156"/>
      <c r="C416" s="156"/>
      <c r="D416" s="156"/>
      <c r="E416" s="392"/>
      <c r="F416" s="392"/>
      <c r="G416" s="392"/>
      <c r="H416" s="392"/>
      <c r="I416" s="392"/>
      <c r="J416" s="392"/>
      <c r="K416" s="392"/>
      <c r="L416" s="392"/>
      <c r="M416" s="392"/>
      <c r="N416" s="392"/>
      <c r="O416" s="392"/>
      <c r="P416" s="392"/>
      <c r="Q416" s="392"/>
      <c r="R416" s="392"/>
      <c r="S416" s="392"/>
      <c r="T416" s="392"/>
      <c r="U416" s="392"/>
      <c r="V416" s="392"/>
      <c r="W416" s="392"/>
      <c r="X416" s="392"/>
      <c r="Y416" s="392"/>
      <c r="Z416" s="392"/>
      <c r="AA416" s="392"/>
      <c r="AB416" s="392"/>
      <c r="AC416" s="392"/>
      <c r="AD416" s="392"/>
      <c r="AE416" s="392"/>
      <c r="AF416" s="392"/>
      <c r="AG416" s="392"/>
      <c r="AH416" s="392"/>
      <c r="AI416" s="392"/>
      <c r="AJ416" s="392"/>
      <c r="AK416" s="392"/>
      <c r="AL416" s="392"/>
      <c r="AM416" s="392"/>
      <c r="AN416" s="392"/>
      <c r="AO416" s="392"/>
      <c r="AP416" s="392"/>
      <c r="AQ416" s="392"/>
      <c r="AR416" s="392"/>
      <c r="AS416" s="392"/>
      <c r="AT416" s="392"/>
      <c r="AU416" s="392"/>
      <c r="AV416" s="392"/>
      <c r="AW416" s="392"/>
      <c r="AX416" s="392"/>
      <c r="AY416" s="392"/>
      <c r="AZ416" s="392"/>
      <c r="BA416" s="392"/>
      <c r="BB416" s="392"/>
      <c r="BC416" s="392"/>
      <c r="BD416" s="392"/>
      <c r="BE416" s="392"/>
      <c r="BF416" s="392"/>
      <c r="BG416" s="392"/>
      <c r="BH416" s="392"/>
      <c r="BI416" s="392"/>
      <c r="BJ416" s="392"/>
      <c r="BK416" s="392"/>
      <c r="BL416" s="392"/>
      <c r="BM416" s="392"/>
      <c r="BN416" s="392"/>
      <c r="BO416" s="392"/>
      <c r="BP416" s="392"/>
      <c r="BQ416" s="392"/>
      <c r="BR416" s="392"/>
      <c r="BS416" s="392"/>
      <c r="BT416" s="392"/>
    </row>
    <row r="417" ht="15.75" customHeight="1">
      <c r="A417" s="216"/>
      <c r="B417" s="156"/>
      <c r="C417" s="156"/>
      <c r="D417" s="156"/>
      <c r="E417" s="392"/>
      <c r="F417" s="392"/>
      <c r="G417" s="392"/>
      <c r="H417" s="392"/>
      <c r="I417" s="392"/>
      <c r="J417" s="392"/>
      <c r="K417" s="392"/>
      <c r="L417" s="392"/>
      <c r="M417" s="392"/>
      <c r="N417" s="392"/>
      <c r="O417" s="392"/>
      <c r="P417" s="392"/>
      <c r="Q417" s="392"/>
      <c r="R417" s="392"/>
      <c r="S417" s="392"/>
      <c r="T417" s="392"/>
      <c r="U417" s="392"/>
      <c r="V417" s="392"/>
      <c r="W417" s="392"/>
      <c r="X417" s="392"/>
      <c r="Y417" s="392"/>
      <c r="Z417" s="392"/>
      <c r="AA417" s="392"/>
      <c r="AB417" s="392"/>
      <c r="AC417" s="392"/>
      <c r="AD417" s="392"/>
      <c r="AE417" s="392"/>
      <c r="AF417" s="392"/>
      <c r="AG417" s="392"/>
      <c r="AH417" s="392"/>
      <c r="AI417" s="392"/>
      <c r="AJ417" s="392"/>
      <c r="AK417" s="392"/>
      <c r="AL417" s="392"/>
      <c r="AM417" s="392"/>
      <c r="AN417" s="392"/>
      <c r="AO417" s="392"/>
      <c r="AP417" s="392"/>
      <c r="AQ417" s="392"/>
      <c r="AR417" s="392"/>
      <c r="AS417" s="392"/>
      <c r="AT417" s="392"/>
      <c r="AU417" s="392"/>
      <c r="AV417" s="392"/>
      <c r="AW417" s="392"/>
      <c r="AX417" s="392"/>
      <c r="AY417" s="392"/>
      <c r="AZ417" s="392"/>
      <c r="BA417" s="392"/>
      <c r="BB417" s="392"/>
      <c r="BC417" s="392"/>
      <c r="BD417" s="392"/>
      <c r="BE417" s="392"/>
      <c r="BF417" s="392"/>
      <c r="BG417" s="392"/>
      <c r="BH417" s="392"/>
      <c r="BI417" s="392"/>
      <c r="BJ417" s="392"/>
      <c r="BK417" s="392"/>
      <c r="BL417" s="392"/>
      <c r="BM417" s="392"/>
      <c r="BN417" s="392"/>
      <c r="BO417" s="392"/>
      <c r="BP417" s="392"/>
      <c r="BQ417" s="392"/>
      <c r="BR417" s="392"/>
      <c r="BS417" s="392"/>
      <c r="BT417" s="392"/>
    </row>
    <row r="418" ht="15.75" customHeight="1">
      <c r="A418" s="216"/>
      <c r="B418" s="156"/>
      <c r="C418" s="156"/>
      <c r="D418" s="156"/>
      <c r="E418" s="392"/>
      <c r="F418" s="392"/>
      <c r="G418" s="392"/>
      <c r="H418" s="392"/>
      <c r="I418" s="392"/>
      <c r="J418" s="392"/>
      <c r="K418" s="392"/>
      <c r="L418" s="392"/>
      <c r="M418" s="392"/>
      <c r="N418" s="392"/>
      <c r="O418" s="392"/>
      <c r="P418" s="392"/>
      <c r="Q418" s="392"/>
      <c r="R418" s="392"/>
      <c r="S418" s="392"/>
      <c r="T418" s="392"/>
      <c r="U418" s="392"/>
      <c r="V418" s="392"/>
      <c r="W418" s="392"/>
      <c r="X418" s="392"/>
      <c r="Y418" s="392"/>
      <c r="Z418" s="392"/>
      <c r="AA418" s="392"/>
      <c r="AB418" s="392"/>
      <c r="AC418" s="392"/>
      <c r="AD418" s="392"/>
      <c r="AE418" s="392"/>
      <c r="AF418" s="392"/>
      <c r="AG418" s="392"/>
      <c r="AH418" s="392"/>
      <c r="AI418" s="392"/>
      <c r="AJ418" s="392"/>
      <c r="AK418" s="392"/>
      <c r="AL418" s="392"/>
      <c r="AM418" s="392"/>
      <c r="AN418" s="392"/>
      <c r="AO418" s="392"/>
      <c r="AP418" s="392"/>
      <c r="AQ418" s="392"/>
      <c r="AR418" s="392"/>
      <c r="AS418" s="392"/>
      <c r="AT418" s="392"/>
      <c r="AU418" s="392"/>
      <c r="AV418" s="392"/>
      <c r="AW418" s="392"/>
      <c r="AX418" s="392"/>
      <c r="AY418" s="392"/>
      <c r="AZ418" s="392"/>
      <c r="BA418" s="392"/>
      <c r="BB418" s="392"/>
      <c r="BC418" s="392"/>
      <c r="BD418" s="392"/>
      <c r="BE418" s="392"/>
      <c r="BF418" s="392"/>
      <c r="BG418" s="392"/>
      <c r="BH418" s="392"/>
      <c r="BI418" s="392"/>
      <c r="BJ418" s="392"/>
      <c r="BK418" s="392"/>
      <c r="BL418" s="392"/>
      <c r="BM418" s="392"/>
      <c r="BN418" s="392"/>
      <c r="BO418" s="392"/>
      <c r="BP418" s="392"/>
      <c r="BQ418" s="392"/>
      <c r="BR418" s="392"/>
      <c r="BS418" s="392"/>
      <c r="BT418" s="392"/>
    </row>
    <row r="419" ht="15.75" customHeight="1">
      <c r="A419" s="216"/>
      <c r="B419" s="156"/>
      <c r="C419" s="156"/>
      <c r="D419" s="156"/>
      <c r="E419" s="392"/>
      <c r="F419" s="392"/>
      <c r="G419" s="392"/>
      <c r="H419" s="392"/>
      <c r="I419" s="392"/>
      <c r="J419" s="392"/>
      <c r="K419" s="392"/>
      <c r="L419" s="392"/>
      <c r="M419" s="392"/>
      <c r="N419" s="392"/>
      <c r="O419" s="392"/>
      <c r="P419" s="392"/>
      <c r="Q419" s="392"/>
      <c r="R419" s="392"/>
      <c r="S419" s="392"/>
      <c r="T419" s="392"/>
      <c r="U419" s="392"/>
      <c r="V419" s="392"/>
      <c r="W419" s="392"/>
      <c r="X419" s="392"/>
      <c r="Y419" s="392"/>
      <c r="Z419" s="392"/>
      <c r="AA419" s="392"/>
      <c r="AB419" s="392"/>
      <c r="AC419" s="392"/>
      <c r="AD419" s="392"/>
      <c r="AE419" s="392"/>
      <c r="AF419" s="392"/>
      <c r="AG419" s="392"/>
      <c r="AH419" s="392"/>
      <c r="AI419" s="392"/>
      <c r="AJ419" s="392"/>
      <c r="AK419" s="392"/>
      <c r="AL419" s="392"/>
      <c r="AM419" s="392"/>
      <c r="AN419" s="392"/>
      <c r="AO419" s="392"/>
      <c r="AP419" s="392"/>
      <c r="AQ419" s="392"/>
      <c r="AR419" s="392"/>
      <c r="AS419" s="392"/>
      <c r="AT419" s="392"/>
      <c r="AU419" s="392"/>
      <c r="AV419" s="392"/>
      <c r="AW419" s="392"/>
      <c r="AX419" s="392"/>
      <c r="AY419" s="392"/>
      <c r="AZ419" s="392"/>
      <c r="BA419" s="392"/>
      <c r="BB419" s="392"/>
      <c r="BC419" s="392"/>
      <c r="BD419" s="392"/>
      <c r="BE419" s="392"/>
      <c r="BF419" s="392"/>
      <c r="BG419" s="392"/>
      <c r="BH419" s="392"/>
      <c r="BI419" s="392"/>
      <c r="BJ419" s="392"/>
      <c r="BK419" s="392"/>
      <c r="BL419" s="392"/>
      <c r="BM419" s="392"/>
      <c r="BN419" s="392"/>
      <c r="BO419" s="392"/>
      <c r="BP419" s="392"/>
      <c r="BQ419" s="392"/>
      <c r="BR419" s="392"/>
      <c r="BS419" s="392"/>
      <c r="BT419" s="392"/>
    </row>
    <row r="420" ht="15.75" customHeight="1">
      <c r="A420" s="216"/>
      <c r="B420" s="156"/>
      <c r="C420" s="156"/>
      <c r="D420" s="156"/>
      <c r="E420" s="392"/>
      <c r="F420" s="392"/>
      <c r="G420" s="392"/>
      <c r="H420" s="392"/>
      <c r="I420" s="392"/>
      <c r="J420" s="392"/>
      <c r="K420" s="392"/>
      <c r="L420" s="392"/>
      <c r="M420" s="392"/>
      <c r="N420" s="392"/>
      <c r="O420" s="392"/>
      <c r="P420" s="392"/>
      <c r="Q420" s="392"/>
      <c r="R420" s="392"/>
      <c r="S420" s="392"/>
      <c r="T420" s="392"/>
      <c r="U420" s="392"/>
      <c r="V420" s="392"/>
      <c r="W420" s="392"/>
      <c r="X420" s="392"/>
      <c r="Y420" s="392"/>
      <c r="Z420" s="392"/>
      <c r="AA420" s="392"/>
      <c r="AB420" s="392"/>
      <c r="AC420" s="392"/>
      <c r="AD420" s="392"/>
      <c r="AE420" s="392"/>
      <c r="AF420" s="392"/>
      <c r="AG420" s="392"/>
      <c r="AH420" s="392"/>
      <c r="AI420" s="392"/>
      <c r="AJ420" s="392"/>
      <c r="AK420" s="392"/>
      <c r="AL420" s="392"/>
      <c r="AM420" s="392"/>
      <c r="AN420" s="392"/>
      <c r="AO420" s="392"/>
      <c r="AP420" s="392"/>
      <c r="AQ420" s="392"/>
      <c r="AR420" s="392"/>
      <c r="AS420" s="392"/>
      <c r="AT420" s="392"/>
      <c r="AU420" s="392"/>
      <c r="AV420" s="392"/>
      <c r="AW420" s="392"/>
      <c r="AX420" s="392"/>
      <c r="AY420" s="392"/>
      <c r="AZ420" s="392"/>
      <c r="BA420" s="392"/>
      <c r="BB420" s="392"/>
      <c r="BC420" s="392"/>
      <c r="BD420" s="392"/>
      <c r="BE420" s="392"/>
      <c r="BF420" s="392"/>
      <c r="BG420" s="392"/>
      <c r="BH420" s="392"/>
      <c r="BI420" s="392"/>
      <c r="BJ420" s="392"/>
      <c r="BK420" s="392"/>
      <c r="BL420" s="392"/>
      <c r="BM420" s="392"/>
      <c r="BN420" s="392"/>
      <c r="BO420" s="392"/>
      <c r="BP420" s="392"/>
      <c r="BQ420" s="392"/>
      <c r="BR420" s="392"/>
      <c r="BS420" s="392"/>
      <c r="BT420" s="392"/>
    </row>
    <row r="421" ht="15.75" customHeight="1">
      <c r="A421" s="216"/>
      <c r="B421" s="156"/>
      <c r="C421" s="156"/>
      <c r="D421" s="156"/>
      <c r="E421" s="392"/>
      <c r="F421" s="392"/>
      <c r="G421" s="392"/>
      <c r="H421" s="392"/>
      <c r="I421" s="392"/>
      <c r="J421" s="392"/>
      <c r="K421" s="392"/>
      <c r="L421" s="392"/>
      <c r="M421" s="392"/>
      <c r="N421" s="392"/>
      <c r="O421" s="392"/>
      <c r="P421" s="392"/>
      <c r="Q421" s="392"/>
      <c r="R421" s="392"/>
      <c r="S421" s="392"/>
      <c r="T421" s="392"/>
      <c r="U421" s="392"/>
      <c r="V421" s="392"/>
      <c r="W421" s="392"/>
      <c r="X421" s="392"/>
      <c r="Y421" s="392"/>
      <c r="Z421" s="392"/>
      <c r="AA421" s="392"/>
      <c r="AB421" s="392"/>
      <c r="AC421" s="392"/>
      <c r="AD421" s="392"/>
      <c r="AE421" s="392"/>
      <c r="AF421" s="392"/>
      <c r="AG421" s="392"/>
      <c r="AH421" s="392"/>
      <c r="AI421" s="392"/>
      <c r="AJ421" s="392"/>
      <c r="AK421" s="392"/>
      <c r="AL421" s="392"/>
      <c r="AM421" s="392"/>
      <c r="AN421" s="392"/>
      <c r="AO421" s="392"/>
      <c r="AP421" s="392"/>
      <c r="AQ421" s="392"/>
      <c r="AR421" s="392"/>
      <c r="AS421" s="392"/>
      <c r="AT421" s="392"/>
      <c r="AU421" s="392"/>
      <c r="AV421" s="392"/>
      <c r="AW421" s="392"/>
      <c r="AX421" s="392"/>
      <c r="AY421" s="392"/>
      <c r="AZ421" s="392"/>
      <c r="BA421" s="392"/>
      <c r="BB421" s="392"/>
      <c r="BC421" s="392"/>
      <c r="BD421" s="392"/>
      <c r="BE421" s="392"/>
      <c r="BF421" s="392"/>
      <c r="BG421" s="392"/>
      <c r="BH421" s="392"/>
      <c r="BI421" s="392"/>
      <c r="BJ421" s="392"/>
      <c r="BK421" s="392"/>
      <c r="BL421" s="392"/>
      <c r="BM421" s="392"/>
      <c r="BN421" s="392"/>
      <c r="BO421" s="392"/>
      <c r="BP421" s="392"/>
      <c r="BQ421" s="392"/>
      <c r="BR421" s="392"/>
      <c r="BS421" s="392"/>
      <c r="BT421" s="392"/>
    </row>
    <row r="422" ht="15.75" customHeight="1">
      <c r="A422" s="216"/>
      <c r="B422" s="156"/>
      <c r="C422" s="156"/>
      <c r="D422" s="156"/>
      <c r="E422" s="392"/>
      <c r="F422" s="392"/>
      <c r="G422" s="392"/>
      <c r="H422" s="392"/>
      <c r="I422" s="392"/>
      <c r="J422" s="392"/>
      <c r="K422" s="392"/>
      <c r="L422" s="392"/>
      <c r="M422" s="392"/>
      <c r="N422" s="392"/>
      <c r="O422" s="392"/>
      <c r="P422" s="392"/>
      <c r="Q422" s="392"/>
      <c r="R422" s="392"/>
      <c r="S422" s="392"/>
      <c r="T422" s="392"/>
      <c r="U422" s="392"/>
      <c r="V422" s="392"/>
      <c r="W422" s="392"/>
      <c r="X422" s="392"/>
      <c r="Y422" s="392"/>
      <c r="Z422" s="392"/>
      <c r="AA422" s="392"/>
      <c r="AB422" s="392"/>
      <c r="AC422" s="392"/>
      <c r="AD422" s="392"/>
      <c r="AE422" s="392"/>
      <c r="AF422" s="392"/>
      <c r="AG422" s="392"/>
      <c r="AH422" s="392"/>
      <c r="AI422" s="392"/>
      <c r="AJ422" s="392"/>
      <c r="AK422" s="392"/>
      <c r="AL422" s="392"/>
      <c r="AM422" s="392"/>
      <c r="AN422" s="392"/>
      <c r="AO422" s="392"/>
      <c r="AP422" s="392"/>
      <c r="AQ422" s="392"/>
      <c r="AR422" s="392"/>
      <c r="AS422" s="392"/>
      <c r="AT422" s="392"/>
      <c r="AU422" s="392"/>
      <c r="AV422" s="392"/>
      <c r="AW422" s="392"/>
      <c r="AX422" s="392"/>
      <c r="AY422" s="392"/>
      <c r="AZ422" s="392"/>
      <c r="BA422" s="392"/>
      <c r="BB422" s="392"/>
      <c r="BC422" s="392"/>
      <c r="BD422" s="392"/>
      <c r="BE422" s="392"/>
      <c r="BF422" s="392"/>
      <c r="BG422" s="392"/>
      <c r="BH422" s="392"/>
      <c r="BI422" s="392"/>
      <c r="BJ422" s="392"/>
      <c r="BK422" s="392"/>
      <c r="BL422" s="392"/>
      <c r="BM422" s="392"/>
      <c r="BN422" s="392"/>
      <c r="BO422" s="392"/>
      <c r="BP422" s="392"/>
      <c r="BQ422" s="392"/>
      <c r="BR422" s="392"/>
      <c r="BS422" s="392"/>
      <c r="BT422" s="392"/>
    </row>
    <row r="423" ht="15.75" customHeight="1">
      <c r="A423" s="216"/>
      <c r="B423" s="156"/>
      <c r="C423" s="156"/>
      <c r="D423" s="156"/>
      <c r="E423" s="392"/>
      <c r="F423" s="392"/>
      <c r="G423" s="392"/>
      <c r="H423" s="392"/>
      <c r="I423" s="392"/>
      <c r="J423" s="392"/>
      <c r="K423" s="392"/>
      <c r="L423" s="392"/>
      <c r="M423" s="392"/>
      <c r="N423" s="392"/>
      <c r="O423" s="392"/>
      <c r="P423" s="392"/>
      <c r="Q423" s="392"/>
      <c r="R423" s="392"/>
      <c r="S423" s="392"/>
      <c r="T423" s="392"/>
      <c r="U423" s="392"/>
      <c r="V423" s="392"/>
      <c r="W423" s="392"/>
      <c r="X423" s="392"/>
      <c r="Y423" s="392"/>
      <c r="Z423" s="392"/>
      <c r="AA423" s="392"/>
      <c r="AB423" s="392"/>
      <c r="AC423" s="392"/>
      <c r="AD423" s="392"/>
      <c r="AE423" s="392"/>
      <c r="AF423" s="392"/>
      <c r="AG423" s="392"/>
      <c r="AH423" s="392"/>
      <c r="AI423" s="392"/>
      <c r="AJ423" s="392"/>
      <c r="AK423" s="392"/>
      <c r="AL423" s="392"/>
      <c r="AM423" s="392"/>
      <c r="AN423" s="392"/>
      <c r="AO423" s="392"/>
      <c r="AP423" s="392"/>
      <c r="AQ423" s="392"/>
      <c r="AR423" s="392"/>
      <c r="AS423" s="392"/>
      <c r="AT423" s="392"/>
      <c r="AU423" s="392"/>
      <c r="AV423" s="392"/>
      <c r="AW423" s="392"/>
      <c r="AX423" s="392"/>
      <c r="AY423" s="392"/>
      <c r="AZ423" s="392"/>
      <c r="BA423" s="392"/>
      <c r="BB423" s="392"/>
      <c r="BC423" s="392"/>
      <c r="BD423" s="392"/>
      <c r="BE423" s="392"/>
      <c r="BF423" s="392"/>
      <c r="BG423" s="392"/>
      <c r="BH423" s="392"/>
      <c r="BI423" s="392"/>
      <c r="BJ423" s="392"/>
      <c r="BK423" s="392"/>
      <c r="BL423" s="392"/>
      <c r="BM423" s="392"/>
      <c r="BN423" s="392"/>
      <c r="BO423" s="392"/>
      <c r="BP423" s="392"/>
      <c r="BQ423" s="392"/>
      <c r="BR423" s="392"/>
      <c r="BS423" s="392"/>
      <c r="BT423" s="392"/>
    </row>
    <row r="424" ht="15.75" customHeight="1">
      <c r="A424" s="216"/>
      <c r="B424" s="156"/>
      <c r="C424" s="156"/>
      <c r="D424" s="156"/>
      <c r="E424" s="392"/>
      <c r="F424" s="392"/>
      <c r="G424" s="392"/>
      <c r="H424" s="392"/>
      <c r="I424" s="392"/>
      <c r="J424" s="392"/>
      <c r="K424" s="392"/>
      <c r="L424" s="392"/>
      <c r="M424" s="392"/>
      <c r="N424" s="392"/>
      <c r="O424" s="392"/>
      <c r="P424" s="392"/>
      <c r="Q424" s="392"/>
      <c r="R424" s="392"/>
      <c r="S424" s="392"/>
      <c r="T424" s="392"/>
      <c r="U424" s="392"/>
      <c r="V424" s="392"/>
      <c r="W424" s="392"/>
      <c r="X424" s="392"/>
      <c r="Y424" s="392"/>
      <c r="Z424" s="392"/>
      <c r="AA424" s="392"/>
      <c r="AB424" s="392"/>
      <c r="AC424" s="392"/>
      <c r="AD424" s="392"/>
      <c r="AE424" s="392"/>
      <c r="AF424" s="392"/>
      <c r="AG424" s="392"/>
      <c r="AH424" s="392"/>
      <c r="AI424" s="392"/>
      <c r="AJ424" s="392"/>
      <c r="AK424" s="392"/>
      <c r="AL424" s="392"/>
      <c r="AM424" s="392"/>
      <c r="AN424" s="392"/>
      <c r="AO424" s="392"/>
      <c r="AP424" s="392"/>
      <c r="AQ424" s="392"/>
      <c r="AR424" s="392"/>
      <c r="AS424" s="392"/>
      <c r="AT424" s="392"/>
      <c r="AU424" s="392"/>
      <c r="AV424" s="392"/>
      <c r="AW424" s="392"/>
      <c r="AX424" s="392"/>
      <c r="AY424" s="392"/>
      <c r="AZ424" s="392"/>
      <c r="BA424" s="392"/>
      <c r="BB424" s="392"/>
      <c r="BC424" s="392"/>
      <c r="BD424" s="392"/>
      <c r="BE424" s="392"/>
      <c r="BF424" s="392"/>
      <c r="BG424" s="392"/>
      <c r="BH424" s="392"/>
      <c r="BI424" s="392"/>
      <c r="BJ424" s="392"/>
      <c r="BK424" s="392"/>
      <c r="BL424" s="392"/>
      <c r="BM424" s="392"/>
      <c r="BN424" s="392"/>
      <c r="BO424" s="392"/>
      <c r="BP424" s="392"/>
      <c r="BQ424" s="392"/>
      <c r="BR424" s="392"/>
      <c r="BS424" s="392"/>
      <c r="BT424" s="392"/>
    </row>
    <row r="425" ht="15.75" customHeight="1">
      <c r="A425" s="216"/>
      <c r="B425" s="156"/>
      <c r="C425" s="156"/>
      <c r="D425" s="156"/>
      <c r="E425" s="392"/>
      <c r="F425" s="392"/>
      <c r="G425" s="392"/>
      <c r="H425" s="392"/>
      <c r="I425" s="392"/>
      <c r="J425" s="392"/>
      <c r="K425" s="392"/>
      <c r="L425" s="392"/>
      <c r="M425" s="392"/>
      <c r="N425" s="392"/>
      <c r="O425" s="392"/>
      <c r="P425" s="392"/>
      <c r="Q425" s="392"/>
      <c r="R425" s="392"/>
      <c r="S425" s="392"/>
      <c r="T425" s="392"/>
      <c r="U425" s="392"/>
      <c r="V425" s="392"/>
      <c r="W425" s="392"/>
      <c r="X425" s="392"/>
      <c r="Y425" s="392"/>
      <c r="Z425" s="392"/>
      <c r="AA425" s="392"/>
      <c r="AB425" s="392"/>
      <c r="AC425" s="392"/>
      <c r="AD425" s="392"/>
      <c r="AE425" s="392"/>
      <c r="AF425" s="392"/>
      <c r="AG425" s="392"/>
      <c r="AH425" s="392"/>
      <c r="AI425" s="392"/>
      <c r="AJ425" s="392"/>
      <c r="AK425" s="392"/>
      <c r="AL425" s="392"/>
      <c r="AM425" s="392"/>
      <c r="AN425" s="392"/>
      <c r="AO425" s="392"/>
      <c r="AP425" s="392"/>
      <c r="AQ425" s="392"/>
      <c r="AR425" s="392"/>
      <c r="AS425" s="392"/>
      <c r="AT425" s="392"/>
      <c r="AU425" s="392"/>
      <c r="AV425" s="392"/>
      <c r="AW425" s="392"/>
      <c r="AX425" s="392"/>
      <c r="AY425" s="392"/>
      <c r="AZ425" s="392"/>
      <c r="BA425" s="392"/>
      <c r="BB425" s="392"/>
      <c r="BC425" s="392"/>
      <c r="BD425" s="392"/>
      <c r="BE425" s="392"/>
      <c r="BF425" s="392"/>
      <c r="BG425" s="392"/>
      <c r="BH425" s="392"/>
      <c r="BI425" s="392"/>
      <c r="BJ425" s="392"/>
      <c r="BK425" s="392"/>
      <c r="BL425" s="392"/>
      <c r="BM425" s="392"/>
      <c r="BN425" s="392"/>
      <c r="BO425" s="392"/>
      <c r="BP425" s="392"/>
      <c r="BQ425" s="392"/>
      <c r="BR425" s="392"/>
      <c r="BS425" s="392"/>
      <c r="BT425" s="392"/>
    </row>
    <row r="426" ht="15.75" customHeight="1">
      <c r="A426" s="216"/>
      <c r="B426" s="156"/>
      <c r="C426" s="156"/>
      <c r="D426" s="156"/>
      <c r="E426" s="392"/>
      <c r="F426" s="392"/>
      <c r="G426" s="392"/>
      <c r="H426" s="392"/>
      <c r="I426" s="392"/>
      <c r="J426" s="392"/>
      <c r="K426" s="392"/>
      <c r="L426" s="392"/>
      <c r="M426" s="392"/>
      <c r="N426" s="392"/>
      <c r="O426" s="392"/>
      <c r="P426" s="392"/>
      <c r="Q426" s="392"/>
      <c r="R426" s="392"/>
      <c r="S426" s="392"/>
      <c r="T426" s="392"/>
      <c r="U426" s="392"/>
      <c r="V426" s="392"/>
      <c r="W426" s="392"/>
      <c r="X426" s="392"/>
      <c r="Y426" s="392"/>
      <c r="Z426" s="392"/>
      <c r="AA426" s="392"/>
      <c r="AB426" s="392"/>
      <c r="AC426" s="392"/>
      <c r="AD426" s="392"/>
      <c r="AE426" s="392"/>
      <c r="AF426" s="392"/>
      <c r="AG426" s="392"/>
      <c r="AH426" s="392"/>
      <c r="AI426" s="392"/>
      <c r="AJ426" s="392"/>
      <c r="AK426" s="392"/>
      <c r="AL426" s="392"/>
      <c r="AM426" s="392"/>
      <c r="AN426" s="392"/>
      <c r="AO426" s="392"/>
      <c r="AP426" s="392"/>
      <c r="AQ426" s="392"/>
      <c r="AR426" s="392"/>
      <c r="AS426" s="392"/>
      <c r="AT426" s="392"/>
      <c r="AU426" s="392"/>
      <c r="AV426" s="392"/>
      <c r="AW426" s="392"/>
      <c r="AX426" s="392"/>
      <c r="AY426" s="392"/>
      <c r="AZ426" s="392"/>
      <c r="BA426" s="392"/>
      <c r="BB426" s="392"/>
      <c r="BC426" s="392"/>
      <c r="BD426" s="392"/>
      <c r="BE426" s="392"/>
      <c r="BF426" s="392"/>
      <c r="BG426" s="392"/>
      <c r="BH426" s="392"/>
      <c r="BI426" s="392"/>
      <c r="BJ426" s="392"/>
      <c r="BK426" s="392"/>
      <c r="BL426" s="392"/>
      <c r="BM426" s="392"/>
      <c r="BN426" s="392"/>
      <c r="BO426" s="392"/>
      <c r="BP426" s="392"/>
      <c r="BQ426" s="392"/>
      <c r="BR426" s="392"/>
      <c r="BS426" s="392"/>
      <c r="BT426" s="392"/>
    </row>
    <row r="427" ht="15.75" customHeight="1">
      <c r="A427" s="216"/>
      <c r="B427" s="156"/>
      <c r="C427" s="156"/>
      <c r="D427" s="156"/>
      <c r="E427" s="392"/>
      <c r="F427" s="392"/>
      <c r="G427" s="392"/>
      <c r="H427" s="392"/>
      <c r="I427" s="392"/>
      <c r="J427" s="392"/>
      <c r="K427" s="392"/>
      <c r="L427" s="392"/>
      <c r="M427" s="392"/>
      <c r="N427" s="392"/>
      <c r="O427" s="392"/>
      <c r="P427" s="392"/>
      <c r="Q427" s="392"/>
      <c r="R427" s="392"/>
      <c r="S427" s="392"/>
      <c r="T427" s="392"/>
      <c r="U427" s="392"/>
      <c r="V427" s="392"/>
      <c r="W427" s="392"/>
      <c r="X427" s="392"/>
      <c r="Y427" s="392"/>
      <c r="Z427" s="392"/>
      <c r="AA427" s="392"/>
      <c r="AB427" s="392"/>
      <c r="AC427" s="392"/>
      <c r="AD427" s="392"/>
      <c r="AE427" s="392"/>
      <c r="AF427" s="392"/>
      <c r="AG427" s="392"/>
      <c r="AH427" s="392"/>
      <c r="AI427" s="392"/>
      <c r="AJ427" s="392"/>
      <c r="AK427" s="392"/>
      <c r="AL427" s="392"/>
      <c r="AM427" s="392"/>
      <c r="AN427" s="392"/>
      <c r="AO427" s="392"/>
      <c r="AP427" s="392"/>
      <c r="AQ427" s="392"/>
      <c r="AR427" s="392"/>
      <c r="AS427" s="392"/>
      <c r="AT427" s="392"/>
      <c r="AU427" s="392"/>
      <c r="AV427" s="392"/>
      <c r="AW427" s="392"/>
      <c r="AX427" s="392"/>
      <c r="AY427" s="392"/>
      <c r="AZ427" s="392"/>
      <c r="BA427" s="392"/>
      <c r="BB427" s="392"/>
      <c r="BC427" s="392"/>
      <c r="BD427" s="392"/>
      <c r="BE427" s="392"/>
      <c r="BF427" s="392"/>
      <c r="BG427" s="392"/>
      <c r="BH427" s="392"/>
      <c r="BI427" s="392"/>
      <c r="BJ427" s="392"/>
      <c r="BK427" s="392"/>
      <c r="BL427" s="392"/>
      <c r="BM427" s="392"/>
      <c r="BN427" s="392"/>
      <c r="BO427" s="392"/>
      <c r="BP427" s="392"/>
      <c r="BQ427" s="392"/>
      <c r="BR427" s="392"/>
      <c r="BS427" s="392"/>
      <c r="BT427" s="392"/>
    </row>
    <row r="428" ht="15.75" customHeight="1">
      <c r="A428" s="216"/>
      <c r="B428" s="156"/>
      <c r="C428" s="156"/>
      <c r="D428" s="156"/>
      <c r="E428" s="392"/>
      <c r="F428" s="392"/>
      <c r="G428" s="392"/>
      <c r="H428" s="392"/>
      <c r="I428" s="392"/>
      <c r="J428" s="392"/>
      <c r="K428" s="392"/>
      <c r="L428" s="392"/>
      <c r="M428" s="392"/>
      <c r="N428" s="392"/>
      <c r="O428" s="392"/>
      <c r="P428" s="392"/>
      <c r="Q428" s="392"/>
      <c r="R428" s="392"/>
      <c r="S428" s="392"/>
      <c r="T428" s="392"/>
      <c r="U428" s="392"/>
      <c r="V428" s="392"/>
      <c r="W428" s="392"/>
      <c r="X428" s="392"/>
      <c r="Y428" s="392"/>
      <c r="Z428" s="392"/>
      <c r="AA428" s="392"/>
      <c r="AB428" s="392"/>
      <c r="AC428" s="392"/>
      <c r="AD428" s="392"/>
      <c r="AE428" s="392"/>
      <c r="AF428" s="392"/>
      <c r="AG428" s="392"/>
      <c r="AH428" s="392"/>
      <c r="AI428" s="392"/>
      <c r="AJ428" s="392"/>
      <c r="AK428" s="392"/>
      <c r="AL428" s="392"/>
      <c r="AM428" s="392"/>
      <c r="AN428" s="392"/>
      <c r="AO428" s="392"/>
      <c r="AP428" s="392"/>
      <c r="AQ428" s="392"/>
      <c r="AR428" s="392"/>
      <c r="AS428" s="392"/>
      <c r="AT428" s="392"/>
      <c r="AU428" s="392"/>
      <c r="AV428" s="392"/>
      <c r="AW428" s="392"/>
      <c r="AX428" s="392"/>
      <c r="AY428" s="392"/>
      <c r="AZ428" s="392"/>
      <c r="BA428" s="392"/>
      <c r="BB428" s="392"/>
      <c r="BC428" s="392"/>
      <c r="BD428" s="392"/>
      <c r="BE428" s="392"/>
      <c r="BF428" s="392"/>
      <c r="BG428" s="392"/>
      <c r="BH428" s="392"/>
      <c r="BI428" s="392"/>
      <c r="BJ428" s="392"/>
      <c r="BK428" s="392"/>
      <c r="BL428" s="392"/>
      <c r="BM428" s="392"/>
      <c r="BN428" s="392"/>
      <c r="BO428" s="392"/>
      <c r="BP428" s="392"/>
      <c r="BQ428" s="392"/>
      <c r="BR428" s="392"/>
      <c r="BS428" s="392"/>
      <c r="BT428" s="392"/>
    </row>
    <row r="429" ht="15.75" customHeight="1">
      <c r="A429" s="216"/>
      <c r="B429" s="156"/>
      <c r="C429" s="156"/>
      <c r="D429" s="156"/>
      <c r="E429" s="392"/>
      <c r="F429" s="392"/>
      <c r="G429" s="392"/>
      <c r="H429" s="392"/>
      <c r="I429" s="392"/>
      <c r="J429" s="392"/>
      <c r="K429" s="392"/>
      <c r="L429" s="392"/>
      <c r="M429" s="392"/>
      <c r="N429" s="392"/>
      <c r="O429" s="392"/>
      <c r="P429" s="392"/>
      <c r="Q429" s="392"/>
      <c r="R429" s="392"/>
      <c r="S429" s="392"/>
      <c r="T429" s="392"/>
      <c r="U429" s="392"/>
      <c r="V429" s="392"/>
      <c r="W429" s="392"/>
      <c r="X429" s="392"/>
      <c r="Y429" s="392"/>
      <c r="Z429" s="392"/>
      <c r="AA429" s="392"/>
      <c r="AB429" s="392"/>
      <c r="AC429" s="392"/>
      <c r="AD429" s="392"/>
      <c r="AE429" s="392"/>
      <c r="AF429" s="392"/>
      <c r="AG429" s="392"/>
      <c r="AH429" s="392"/>
      <c r="AI429" s="392"/>
      <c r="AJ429" s="392"/>
      <c r="AK429" s="392"/>
      <c r="AL429" s="392"/>
      <c r="AM429" s="392"/>
      <c r="AN429" s="392"/>
      <c r="AO429" s="392"/>
      <c r="AP429" s="392"/>
      <c r="AQ429" s="392"/>
      <c r="AR429" s="392"/>
      <c r="AS429" s="392"/>
      <c r="AT429" s="392"/>
      <c r="AU429" s="392"/>
      <c r="AV429" s="392"/>
      <c r="AW429" s="392"/>
      <c r="AX429" s="392"/>
      <c r="AY429" s="392"/>
      <c r="AZ429" s="392"/>
      <c r="BA429" s="392"/>
      <c r="BB429" s="392"/>
      <c r="BC429" s="392"/>
      <c r="BD429" s="392"/>
      <c r="BE429" s="392"/>
      <c r="BF429" s="392"/>
      <c r="BG429" s="392"/>
      <c r="BH429" s="392"/>
      <c r="BI429" s="392"/>
      <c r="BJ429" s="392"/>
      <c r="BK429" s="392"/>
      <c r="BL429" s="392"/>
      <c r="BM429" s="392"/>
      <c r="BN429" s="392"/>
      <c r="BO429" s="392"/>
      <c r="BP429" s="392"/>
      <c r="BQ429" s="392"/>
      <c r="BR429" s="392"/>
      <c r="BS429" s="392"/>
      <c r="BT429" s="392"/>
    </row>
    <row r="430" ht="15.75" customHeight="1">
      <c r="A430" s="216"/>
      <c r="B430" s="156"/>
      <c r="C430" s="156"/>
      <c r="D430" s="156"/>
      <c r="E430" s="392"/>
      <c r="F430" s="392"/>
      <c r="G430" s="392"/>
      <c r="H430" s="392"/>
      <c r="I430" s="392"/>
      <c r="J430" s="392"/>
      <c r="K430" s="392"/>
      <c r="L430" s="392"/>
      <c r="M430" s="392"/>
      <c r="N430" s="392"/>
      <c r="O430" s="392"/>
      <c r="P430" s="392"/>
      <c r="Q430" s="392"/>
      <c r="R430" s="392"/>
      <c r="S430" s="392"/>
      <c r="T430" s="392"/>
      <c r="U430" s="392"/>
      <c r="V430" s="392"/>
      <c r="W430" s="392"/>
      <c r="X430" s="392"/>
      <c r="Y430" s="392"/>
      <c r="Z430" s="392"/>
      <c r="AA430" s="392"/>
      <c r="AB430" s="392"/>
      <c r="AC430" s="392"/>
      <c r="AD430" s="392"/>
      <c r="AE430" s="392"/>
      <c r="AF430" s="392"/>
      <c r="AG430" s="392"/>
      <c r="AH430" s="392"/>
      <c r="AI430" s="392"/>
      <c r="AJ430" s="392"/>
      <c r="AK430" s="392"/>
      <c r="AL430" s="392"/>
      <c r="AM430" s="392"/>
      <c r="AN430" s="392"/>
      <c r="AO430" s="392"/>
      <c r="AP430" s="392"/>
      <c r="AQ430" s="392"/>
      <c r="AR430" s="392"/>
      <c r="AS430" s="392"/>
      <c r="AT430" s="392"/>
      <c r="AU430" s="392"/>
      <c r="AV430" s="392"/>
      <c r="AW430" s="392"/>
      <c r="AX430" s="392"/>
      <c r="AY430" s="392"/>
      <c r="AZ430" s="392"/>
      <c r="BA430" s="392"/>
      <c r="BB430" s="392"/>
      <c r="BC430" s="392"/>
      <c r="BD430" s="392"/>
      <c r="BE430" s="392"/>
      <c r="BF430" s="392"/>
      <c r="BG430" s="392"/>
      <c r="BH430" s="392"/>
      <c r="BI430" s="392"/>
      <c r="BJ430" s="392"/>
      <c r="BK430" s="392"/>
      <c r="BL430" s="392"/>
      <c r="BM430" s="392"/>
      <c r="BN430" s="392"/>
      <c r="BO430" s="392"/>
      <c r="BP430" s="392"/>
      <c r="BQ430" s="392"/>
      <c r="BR430" s="392"/>
      <c r="BS430" s="392"/>
      <c r="BT430" s="392"/>
    </row>
    <row r="431" ht="15.75" customHeight="1">
      <c r="A431" s="216"/>
      <c r="B431" s="156"/>
      <c r="C431" s="156"/>
      <c r="D431" s="156"/>
      <c r="E431" s="392"/>
      <c r="F431" s="392"/>
      <c r="G431" s="392"/>
      <c r="H431" s="392"/>
      <c r="I431" s="392"/>
      <c r="J431" s="392"/>
      <c r="K431" s="392"/>
      <c r="L431" s="392"/>
      <c r="M431" s="392"/>
      <c r="N431" s="392"/>
      <c r="O431" s="392"/>
      <c r="P431" s="392"/>
      <c r="Q431" s="392"/>
      <c r="R431" s="392"/>
      <c r="S431" s="392"/>
      <c r="T431" s="392"/>
      <c r="U431" s="392"/>
      <c r="V431" s="392"/>
      <c r="W431" s="392"/>
      <c r="X431" s="392"/>
      <c r="Y431" s="392"/>
      <c r="Z431" s="392"/>
      <c r="AA431" s="392"/>
      <c r="AB431" s="392"/>
      <c r="AC431" s="392"/>
      <c r="AD431" s="392"/>
      <c r="AE431" s="392"/>
      <c r="AF431" s="392"/>
      <c r="AG431" s="392"/>
      <c r="AH431" s="392"/>
      <c r="AI431" s="392"/>
      <c r="AJ431" s="392"/>
      <c r="AK431" s="392"/>
      <c r="AL431" s="392"/>
      <c r="AM431" s="392"/>
      <c r="AN431" s="392"/>
      <c r="AO431" s="392"/>
      <c r="AP431" s="392"/>
      <c r="AQ431" s="392"/>
      <c r="AR431" s="392"/>
      <c r="AS431" s="392"/>
      <c r="AT431" s="392"/>
      <c r="AU431" s="392"/>
      <c r="AV431" s="392"/>
      <c r="AW431" s="392"/>
      <c r="AX431" s="392"/>
      <c r="AY431" s="392"/>
      <c r="AZ431" s="392"/>
      <c r="BA431" s="392"/>
      <c r="BB431" s="392"/>
      <c r="BC431" s="392"/>
      <c r="BD431" s="392"/>
      <c r="BE431" s="392"/>
      <c r="BF431" s="392"/>
      <c r="BG431" s="392"/>
      <c r="BH431" s="392"/>
      <c r="BI431" s="392"/>
      <c r="BJ431" s="392"/>
      <c r="BK431" s="392"/>
      <c r="BL431" s="392"/>
      <c r="BM431" s="392"/>
      <c r="BN431" s="392"/>
      <c r="BO431" s="392"/>
      <c r="BP431" s="392"/>
      <c r="BQ431" s="392"/>
      <c r="BR431" s="392"/>
      <c r="BS431" s="392"/>
      <c r="BT431" s="392"/>
    </row>
    <row r="432" ht="15.75" customHeight="1">
      <c r="A432" s="216"/>
      <c r="B432" s="156"/>
      <c r="C432" s="156"/>
      <c r="D432" s="156"/>
      <c r="E432" s="392"/>
      <c r="F432" s="392"/>
      <c r="G432" s="392"/>
      <c r="H432" s="392"/>
      <c r="I432" s="392"/>
      <c r="J432" s="392"/>
      <c r="K432" s="392"/>
      <c r="L432" s="392"/>
      <c r="M432" s="392"/>
      <c r="N432" s="392"/>
      <c r="O432" s="392"/>
      <c r="P432" s="392"/>
      <c r="Q432" s="392"/>
      <c r="R432" s="392"/>
      <c r="S432" s="392"/>
      <c r="T432" s="392"/>
      <c r="U432" s="392"/>
      <c r="V432" s="392"/>
      <c r="W432" s="392"/>
      <c r="X432" s="392"/>
      <c r="Y432" s="392"/>
      <c r="Z432" s="392"/>
      <c r="AA432" s="392"/>
      <c r="AB432" s="392"/>
      <c r="AC432" s="392"/>
      <c r="AD432" s="392"/>
      <c r="AE432" s="392"/>
      <c r="AF432" s="392"/>
      <c r="AG432" s="392"/>
      <c r="AH432" s="392"/>
      <c r="AI432" s="392"/>
      <c r="AJ432" s="392"/>
      <c r="AK432" s="392"/>
      <c r="AL432" s="392"/>
      <c r="AM432" s="392"/>
      <c r="AN432" s="392"/>
      <c r="AO432" s="392"/>
      <c r="AP432" s="392"/>
      <c r="AQ432" s="392"/>
      <c r="AR432" s="392"/>
      <c r="AS432" s="392"/>
      <c r="AT432" s="392"/>
      <c r="AU432" s="392"/>
      <c r="AV432" s="392"/>
      <c r="AW432" s="392"/>
      <c r="AX432" s="392"/>
      <c r="AY432" s="392"/>
      <c r="AZ432" s="392"/>
      <c r="BA432" s="392"/>
      <c r="BB432" s="392"/>
      <c r="BC432" s="392"/>
      <c r="BD432" s="392"/>
      <c r="BE432" s="392"/>
      <c r="BF432" s="392"/>
      <c r="BG432" s="392"/>
      <c r="BH432" s="392"/>
      <c r="BI432" s="392"/>
      <c r="BJ432" s="392"/>
      <c r="BK432" s="392"/>
      <c r="BL432" s="392"/>
      <c r="BM432" s="392"/>
      <c r="BN432" s="392"/>
      <c r="BO432" s="392"/>
      <c r="BP432" s="392"/>
      <c r="BQ432" s="392"/>
      <c r="BR432" s="392"/>
      <c r="BS432" s="392"/>
      <c r="BT432" s="392"/>
    </row>
    <row r="433" ht="15.75" customHeight="1">
      <c r="A433" s="216"/>
      <c r="B433" s="156"/>
      <c r="C433" s="156"/>
      <c r="D433" s="156"/>
      <c r="E433" s="392"/>
      <c r="F433" s="392"/>
      <c r="G433" s="392"/>
      <c r="H433" s="392"/>
      <c r="I433" s="392"/>
      <c r="J433" s="392"/>
      <c r="K433" s="392"/>
      <c r="L433" s="392"/>
      <c r="M433" s="392"/>
      <c r="N433" s="392"/>
      <c r="O433" s="392"/>
      <c r="P433" s="392"/>
      <c r="Q433" s="392"/>
      <c r="R433" s="392"/>
      <c r="S433" s="392"/>
      <c r="T433" s="392"/>
      <c r="U433" s="392"/>
      <c r="V433" s="392"/>
      <c r="W433" s="392"/>
      <c r="X433" s="392"/>
      <c r="Y433" s="392"/>
      <c r="Z433" s="392"/>
      <c r="AA433" s="392"/>
      <c r="AB433" s="392"/>
      <c r="AC433" s="392"/>
      <c r="AD433" s="392"/>
      <c r="AE433" s="392"/>
      <c r="AF433" s="392"/>
      <c r="AG433" s="392"/>
      <c r="AH433" s="392"/>
      <c r="AI433" s="392"/>
      <c r="AJ433" s="392"/>
      <c r="AK433" s="392"/>
      <c r="AL433" s="392"/>
      <c r="AM433" s="392"/>
      <c r="AN433" s="392"/>
      <c r="AO433" s="392"/>
      <c r="AP433" s="392"/>
      <c r="AQ433" s="392"/>
      <c r="AR433" s="392"/>
      <c r="AS433" s="392"/>
      <c r="AT433" s="392"/>
      <c r="AU433" s="392"/>
      <c r="AV433" s="392"/>
      <c r="AW433" s="392"/>
      <c r="AX433" s="392"/>
      <c r="AY433" s="392"/>
      <c r="AZ433" s="392"/>
      <c r="BA433" s="392"/>
      <c r="BB433" s="392"/>
      <c r="BC433" s="392"/>
      <c r="BD433" s="392"/>
      <c r="BE433" s="392"/>
      <c r="BF433" s="392"/>
      <c r="BG433" s="392"/>
      <c r="BH433" s="392"/>
      <c r="BI433" s="392"/>
      <c r="BJ433" s="392"/>
      <c r="BK433" s="392"/>
      <c r="BL433" s="392"/>
      <c r="BM433" s="392"/>
      <c r="BN433" s="392"/>
      <c r="BO433" s="392"/>
      <c r="BP433" s="392"/>
      <c r="BQ433" s="392"/>
      <c r="BR433" s="392"/>
      <c r="BS433" s="392"/>
      <c r="BT433" s="392"/>
    </row>
    <row r="434" ht="15.75" customHeight="1">
      <c r="A434" s="216"/>
      <c r="B434" s="156"/>
      <c r="C434" s="156"/>
      <c r="D434" s="156"/>
      <c r="E434" s="392"/>
      <c r="F434" s="392"/>
      <c r="G434" s="392"/>
      <c r="H434" s="392"/>
      <c r="I434" s="392"/>
      <c r="J434" s="392"/>
      <c r="K434" s="392"/>
      <c r="L434" s="392"/>
      <c r="M434" s="392"/>
      <c r="N434" s="392"/>
      <c r="O434" s="392"/>
      <c r="P434" s="392"/>
      <c r="Q434" s="392"/>
      <c r="R434" s="392"/>
      <c r="S434" s="392"/>
      <c r="T434" s="392"/>
      <c r="U434" s="392"/>
      <c r="V434" s="392"/>
      <c r="W434" s="392"/>
      <c r="X434" s="392"/>
      <c r="Y434" s="392"/>
      <c r="Z434" s="392"/>
      <c r="AA434" s="392"/>
      <c r="AB434" s="392"/>
      <c r="AC434" s="392"/>
      <c r="AD434" s="392"/>
      <c r="AE434" s="392"/>
      <c r="AF434" s="392"/>
      <c r="AG434" s="392"/>
      <c r="AH434" s="392"/>
      <c r="AI434" s="392"/>
      <c r="AJ434" s="392"/>
      <c r="AK434" s="392"/>
      <c r="AL434" s="392"/>
      <c r="AM434" s="392"/>
      <c r="AN434" s="392"/>
      <c r="AO434" s="392"/>
      <c r="AP434" s="392"/>
      <c r="AQ434" s="392"/>
      <c r="AR434" s="392"/>
      <c r="AS434" s="392"/>
      <c r="AT434" s="392"/>
      <c r="AU434" s="392"/>
      <c r="AV434" s="392"/>
      <c r="AW434" s="392"/>
      <c r="AX434" s="392"/>
      <c r="AY434" s="392"/>
      <c r="AZ434" s="392"/>
      <c r="BA434" s="392"/>
      <c r="BB434" s="392"/>
      <c r="BC434" s="392"/>
      <c r="BD434" s="392"/>
      <c r="BE434" s="392"/>
      <c r="BF434" s="392"/>
      <c r="BG434" s="392"/>
      <c r="BH434" s="392"/>
      <c r="BI434" s="392"/>
      <c r="BJ434" s="392"/>
      <c r="BK434" s="392"/>
      <c r="BL434" s="392"/>
      <c r="BM434" s="392"/>
      <c r="BN434" s="392"/>
      <c r="BO434" s="392"/>
      <c r="BP434" s="392"/>
      <c r="BQ434" s="392"/>
      <c r="BR434" s="392"/>
      <c r="BS434" s="392"/>
      <c r="BT434" s="392"/>
    </row>
    <row r="435" ht="15.75" customHeight="1">
      <c r="A435" s="216"/>
      <c r="B435" s="156"/>
      <c r="C435" s="156"/>
      <c r="D435" s="156"/>
      <c r="E435" s="392"/>
      <c r="F435" s="392"/>
      <c r="G435" s="392"/>
      <c r="H435" s="392"/>
      <c r="I435" s="392"/>
      <c r="J435" s="392"/>
      <c r="K435" s="392"/>
      <c r="L435" s="392"/>
      <c r="M435" s="392"/>
      <c r="N435" s="392"/>
      <c r="O435" s="392"/>
      <c r="P435" s="392"/>
      <c r="Q435" s="392"/>
      <c r="R435" s="392"/>
      <c r="S435" s="392"/>
      <c r="T435" s="392"/>
      <c r="U435" s="392"/>
      <c r="V435" s="392"/>
      <c r="W435" s="392"/>
      <c r="X435" s="392"/>
      <c r="Y435" s="392"/>
      <c r="Z435" s="392"/>
      <c r="AA435" s="392"/>
      <c r="AB435" s="392"/>
      <c r="AC435" s="392"/>
      <c r="AD435" s="392"/>
      <c r="AE435" s="392"/>
      <c r="AF435" s="392"/>
      <c r="AG435" s="392"/>
      <c r="AH435" s="392"/>
      <c r="AI435" s="392"/>
      <c r="AJ435" s="392"/>
      <c r="AK435" s="392"/>
      <c r="AL435" s="392"/>
      <c r="AM435" s="392"/>
      <c r="AN435" s="392"/>
      <c r="AO435" s="392"/>
      <c r="AP435" s="392"/>
      <c r="AQ435" s="392"/>
      <c r="AR435" s="392"/>
      <c r="AS435" s="392"/>
      <c r="AT435" s="392"/>
      <c r="AU435" s="392"/>
      <c r="AV435" s="392"/>
      <c r="AW435" s="392"/>
      <c r="AX435" s="392"/>
      <c r="AY435" s="392"/>
      <c r="AZ435" s="392"/>
      <c r="BA435" s="392"/>
      <c r="BB435" s="392"/>
      <c r="BC435" s="392"/>
      <c r="BD435" s="392"/>
      <c r="BE435" s="392"/>
      <c r="BF435" s="392"/>
      <c r="BG435" s="392"/>
      <c r="BH435" s="392"/>
      <c r="BI435" s="392"/>
      <c r="BJ435" s="392"/>
      <c r="BK435" s="392"/>
      <c r="BL435" s="392"/>
      <c r="BM435" s="392"/>
      <c r="BN435" s="392"/>
      <c r="BO435" s="392"/>
      <c r="BP435" s="392"/>
      <c r="BQ435" s="392"/>
      <c r="BR435" s="392"/>
      <c r="BS435" s="392"/>
      <c r="BT435" s="392"/>
    </row>
    <row r="436" ht="15.75" customHeight="1">
      <c r="A436" s="216"/>
      <c r="B436" s="156"/>
      <c r="C436" s="156"/>
      <c r="D436" s="156"/>
      <c r="E436" s="392"/>
      <c r="F436" s="392"/>
      <c r="G436" s="392"/>
      <c r="H436" s="392"/>
      <c r="I436" s="392"/>
      <c r="J436" s="392"/>
      <c r="K436" s="392"/>
      <c r="L436" s="392"/>
      <c r="M436" s="392"/>
      <c r="N436" s="392"/>
      <c r="O436" s="392"/>
      <c r="P436" s="392"/>
      <c r="Q436" s="392"/>
      <c r="R436" s="392"/>
      <c r="S436" s="392"/>
      <c r="T436" s="392"/>
      <c r="U436" s="392"/>
      <c r="V436" s="392"/>
      <c r="W436" s="392"/>
      <c r="X436" s="392"/>
      <c r="Y436" s="392"/>
      <c r="Z436" s="392"/>
      <c r="AA436" s="392"/>
      <c r="AB436" s="392"/>
      <c r="AC436" s="392"/>
      <c r="AD436" s="392"/>
      <c r="AE436" s="392"/>
      <c r="AF436" s="392"/>
      <c r="AG436" s="392"/>
      <c r="AH436" s="392"/>
      <c r="AI436" s="392"/>
      <c r="AJ436" s="392"/>
      <c r="AK436" s="392"/>
      <c r="AL436" s="392"/>
      <c r="AM436" s="392"/>
      <c r="AN436" s="392"/>
      <c r="AO436" s="392"/>
      <c r="AP436" s="392"/>
      <c r="AQ436" s="392"/>
      <c r="AR436" s="392"/>
      <c r="AS436" s="392"/>
      <c r="AT436" s="392"/>
      <c r="AU436" s="392"/>
      <c r="AV436" s="392"/>
      <c r="AW436" s="392"/>
      <c r="AX436" s="392"/>
      <c r="AY436" s="392"/>
      <c r="AZ436" s="392"/>
      <c r="BA436" s="392"/>
      <c r="BB436" s="392"/>
      <c r="BC436" s="392"/>
      <c r="BD436" s="392"/>
      <c r="BE436" s="392"/>
      <c r="BF436" s="392"/>
      <c r="BG436" s="392"/>
      <c r="BH436" s="392"/>
      <c r="BI436" s="392"/>
      <c r="BJ436" s="392"/>
      <c r="BK436" s="392"/>
      <c r="BL436" s="392"/>
      <c r="BM436" s="392"/>
      <c r="BN436" s="392"/>
      <c r="BO436" s="392"/>
      <c r="BP436" s="392"/>
      <c r="BQ436" s="392"/>
      <c r="BR436" s="392"/>
      <c r="BS436" s="392"/>
      <c r="BT436" s="392"/>
    </row>
    <row r="437" ht="15.75" customHeight="1">
      <c r="A437" s="216"/>
      <c r="B437" s="156"/>
      <c r="C437" s="156"/>
      <c r="D437" s="156"/>
      <c r="E437" s="392"/>
      <c r="F437" s="392"/>
      <c r="G437" s="392"/>
      <c r="H437" s="392"/>
      <c r="I437" s="392"/>
      <c r="J437" s="392"/>
      <c r="K437" s="392"/>
      <c r="L437" s="392"/>
      <c r="M437" s="392"/>
      <c r="N437" s="392"/>
      <c r="O437" s="392"/>
      <c r="P437" s="392"/>
      <c r="Q437" s="392"/>
      <c r="R437" s="392"/>
      <c r="S437" s="392"/>
      <c r="T437" s="392"/>
      <c r="U437" s="392"/>
      <c r="V437" s="392"/>
      <c r="W437" s="392"/>
      <c r="X437" s="392"/>
      <c r="Y437" s="392"/>
      <c r="Z437" s="392"/>
      <c r="AA437" s="392"/>
      <c r="AB437" s="392"/>
      <c r="AC437" s="392"/>
      <c r="AD437" s="392"/>
      <c r="AE437" s="392"/>
      <c r="AF437" s="392"/>
      <c r="AG437" s="392"/>
      <c r="AH437" s="392"/>
      <c r="AI437" s="392"/>
      <c r="AJ437" s="392"/>
      <c r="AK437" s="392"/>
      <c r="AL437" s="392"/>
      <c r="AM437" s="392"/>
      <c r="AN437" s="392"/>
      <c r="AO437" s="392"/>
      <c r="AP437" s="392"/>
      <c r="AQ437" s="392"/>
      <c r="AR437" s="392"/>
      <c r="AS437" s="392"/>
      <c r="AT437" s="392"/>
      <c r="AU437" s="392"/>
      <c r="AV437" s="392"/>
      <c r="AW437" s="392"/>
      <c r="AX437" s="392"/>
      <c r="AY437" s="392"/>
      <c r="AZ437" s="392"/>
      <c r="BA437" s="392"/>
      <c r="BB437" s="392"/>
      <c r="BC437" s="392"/>
      <c r="BD437" s="392"/>
      <c r="BE437" s="392"/>
      <c r="BF437" s="392"/>
      <c r="BG437" s="392"/>
      <c r="BH437" s="392"/>
      <c r="BI437" s="392"/>
      <c r="BJ437" s="392"/>
      <c r="BK437" s="392"/>
      <c r="BL437" s="392"/>
      <c r="BM437" s="392"/>
      <c r="BN437" s="392"/>
      <c r="BO437" s="392"/>
      <c r="BP437" s="392"/>
      <c r="BQ437" s="392"/>
      <c r="BR437" s="392"/>
      <c r="BS437" s="392"/>
      <c r="BT437" s="392"/>
    </row>
    <row r="438" ht="15.75" customHeight="1">
      <c r="A438" s="216"/>
      <c r="B438" s="156"/>
      <c r="C438" s="156"/>
      <c r="D438" s="156"/>
      <c r="E438" s="392"/>
      <c r="F438" s="392"/>
      <c r="G438" s="392"/>
      <c r="H438" s="392"/>
      <c r="I438" s="392"/>
      <c r="J438" s="392"/>
      <c r="K438" s="392"/>
      <c r="L438" s="392"/>
      <c r="M438" s="392"/>
      <c r="N438" s="392"/>
      <c r="O438" s="392"/>
      <c r="P438" s="392"/>
      <c r="Q438" s="392"/>
      <c r="R438" s="392"/>
      <c r="S438" s="392"/>
      <c r="T438" s="392"/>
      <c r="U438" s="392"/>
      <c r="V438" s="392"/>
      <c r="W438" s="392"/>
      <c r="X438" s="392"/>
      <c r="Y438" s="392"/>
      <c r="Z438" s="392"/>
      <c r="AA438" s="392"/>
      <c r="AB438" s="392"/>
      <c r="AC438" s="392"/>
      <c r="AD438" s="392"/>
      <c r="AE438" s="392"/>
      <c r="AF438" s="392"/>
      <c r="AG438" s="392"/>
      <c r="AH438" s="392"/>
      <c r="AI438" s="392"/>
      <c r="AJ438" s="392"/>
      <c r="AK438" s="392"/>
      <c r="AL438" s="392"/>
      <c r="AM438" s="392"/>
      <c r="AN438" s="392"/>
      <c r="AO438" s="392"/>
      <c r="AP438" s="392"/>
      <c r="AQ438" s="392"/>
      <c r="AR438" s="392"/>
      <c r="AS438" s="392"/>
      <c r="AT438" s="392"/>
      <c r="AU438" s="392"/>
      <c r="AV438" s="392"/>
      <c r="AW438" s="392"/>
      <c r="AX438" s="392"/>
      <c r="AY438" s="392"/>
      <c r="AZ438" s="392"/>
      <c r="BA438" s="392"/>
      <c r="BB438" s="392"/>
      <c r="BC438" s="392"/>
      <c r="BD438" s="392"/>
      <c r="BE438" s="392"/>
      <c r="BF438" s="392"/>
      <c r="BG438" s="392"/>
      <c r="BH438" s="392"/>
      <c r="BI438" s="392"/>
      <c r="BJ438" s="392"/>
      <c r="BK438" s="392"/>
      <c r="BL438" s="392"/>
      <c r="BM438" s="392"/>
      <c r="BN438" s="392"/>
      <c r="BO438" s="392"/>
      <c r="BP438" s="392"/>
      <c r="BQ438" s="392"/>
      <c r="BR438" s="392"/>
      <c r="BS438" s="392"/>
      <c r="BT438" s="392"/>
    </row>
    <row r="439" ht="15.75" customHeight="1">
      <c r="A439" s="216"/>
      <c r="B439" s="156"/>
      <c r="C439" s="156"/>
      <c r="D439" s="156"/>
      <c r="E439" s="392"/>
      <c r="F439" s="392"/>
      <c r="G439" s="392"/>
      <c r="H439" s="392"/>
      <c r="I439" s="392"/>
      <c r="J439" s="392"/>
      <c r="K439" s="392"/>
      <c r="L439" s="392"/>
      <c r="M439" s="392"/>
      <c r="N439" s="392"/>
      <c r="O439" s="392"/>
      <c r="P439" s="392"/>
      <c r="Q439" s="392"/>
      <c r="R439" s="392"/>
      <c r="S439" s="392"/>
      <c r="T439" s="392"/>
      <c r="U439" s="392"/>
      <c r="V439" s="392"/>
      <c r="W439" s="392"/>
      <c r="X439" s="392"/>
      <c r="Y439" s="392"/>
      <c r="Z439" s="392"/>
      <c r="AA439" s="392"/>
      <c r="AB439" s="392"/>
      <c r="AC439" s="392"/>
      <c r="AD439" s="392"/>
      <c r="AE439" s="392"/>
      <c r="AF439" s="392"/>
      <c r="AG439" s="392"/>
      <c r="AH439" s="392"/>
      <c r="AI439" s="392"/>
      <c r="AJ439" s="392"/>
      <c r="AK439" s="392"/>
      <c r="AL439" s="392"/>
      <c r="AM439" s="392"/>
      <c r="AN439" s="392"/>
      <c r="AO439" s="392"/>
      <c r="AP439" s="392"/>
      <c r="AQ439" s="392"/>
      <c r="AR439" s="392"/>
      <c r="AS439" s="392"/>
      <c r="AT439" s="392"/>
      <c r="AU439" s="392"/>
      <c r="AV439" s="392"/>
      <c r="AW439" s="392"/>
      <c r="AX439" s="392"/>
      <c r="AY439" s="392"/>
      <c r="AZ439" s="392"/>
      <c r="BA439" s="392"/>
      <c r="BB439" s="392"/>
      <c r="BC439" s="392"/>
      <c r="BD439" s="392"/>
      <c r="BE439" s="392"/>
      <c r="BF439" s="392"/>
      <c r="BG439" s="392"/>
      <c r="BH439" s="392"/>
      <c r="BI439" s="392"/>
      <c r="BJ439" s="392"/>
      <c r="BK439" s="392"/>
      <c r="BL439" s="392"/>
      <c r="BM439" s="392"/>
      <c r="BN439" s="392"/>
      <c r="BO439" s="392"/>
      <c r="BP439" s="392"/>
      <c r="BQ439" s="392"/>
      <c r="BR439" s="392"/>
      <c r="BS439" s="392"/>
      <c r="BT439" s="392"/>
    </row>
    <row r="440" ht="15.75" customHeight="1">
      <c r="A440" s="216"/>
      <c r="B440" s="156"/>
      <c r="C440" s="156"/>
      <c r="D440" s="156"/>
      <c r="E440" s="392"/>
      <c r="F440" s="392"/>
      <c r="G440" s="392"/>
      <c r="H440" s="392"/>
      <c r="I440" s="392"/>
      <c r="J440" s="392"/>
      <c r="K440" s="392"/>
      <c r="L440" s="392"/>
      <c r="M440" s="392"/>
      <c r="N440" s="392"/>
      <c r="O440" s="392"/>
      <c r="P440" s="392"/>
      <c r="Q440" s="392"/>
      <c r="R440" s="392"/>
      <c r="S440" s="392"/>
      <c r="T440" s="392"/>
      <c r="U440" s="392"/>
      <c r="V440" s="392"/>
      <c r="W440" s="392"/>
      <c r="X440" s="392"/>
      <c r="Y440" s="392"/>
      <c r="Z440" s="392"/>
      <c r="AA440" s="392"/>
      <c r="AB440" s="392"/>
      <c r="AC440" s="392"/>
      <c r="AD440" s="392"/>
      <c r="AE440" s="392"/>
      <c r="AF440" s="392"/>
      <c r="AG440" s="392"/>
      <c r="AH440" s="392"/>
      <c r="AI440" s="392"/>
      <c r="AJ440" s="392"/>
      <c r="AK440" s="392"/>
      <c r="AL440" s="392"/>
      <c r="AM440" s="392"/>
      <c r="AN440" s="392"/>
      <c r="AO440" s="392"/>
      <c r="AP440" s="392"/>
      <c r="AQ440" s="392"/>
      <c r="AR440" s="392"/>
      <c r="AS440" s="392"/>
      <c r="AT440" s="392"/>
      <c r="AU440" s="392"/>
      <c r="AV440" s="392"/>
      <c r="AW440" s="392"/>
      <c r="AX440" s="392"/>
      <c r="AY440" s="392"/>
      <c r="AZ440" s="392"/>
      <c r="BA440" s="392"/>
      <c r="BB440" s="392"/>
      <c r="BC440" s="392"/>
      <c r="BD440" s="392"/>
      <c r="BE440" s="392"/>
      <c r="BF440" s="392"/>
      <c r="BG440" s="392"/>
      <c r="BH440" s="392"/>
      <c r="BI440" s="392"/>
      <c r="BJ440" s="392"/>
      <c r="BK440" s="392"/>
      <c r="BL440" s="392"/>
      <c r="BM440" s="392"/>
      <c r="BN440" s="392"/>
      <c r="BO440" s="392"/>
      <c r="BP440" s="392"/>
      <c r="BQ440" s="392"/>
      <c r="BR440" s="392"/>
      <c r="BS440" s="392"/>
      <c r="BT440" s="392"/>
    </row>
    <row r="441" ht="15.75" customHeight="1">
      <c r="A441" s="216"/>
      <c r="B441" s="156"/>
      <c r="C441" s="156"/>
      <c r="D441" s="156"/>
      <c r="E441" s="392"/>
      <c r="F441" s="392"/>
      <c r="G441" s="392"/>
      <c r="H441" s="392"/>
      <c r="I441" s="392"/>
      <c r="J441" s="392"/>
      <c r="K441" s="392"/>
      <c r="L441" s="392"/>
      <c r="M441" s="392"/>
      <c r="N441" s="392"/>
      <c r="O441" s="392"/>
      <c r="P441" s="392"/>
      <c r="Q441" s="392"/>
      <c r="R441" s="392"/>
      <c r="S441" s="392"/>
      <c r="T441" s="392"/>
      <c r="U441" s="392"/>
      <c r="V441" s="392"/>
      <c r="W441" s="392"/>
      <c r="X441" s="392"/>
      <c r="Y441" s="392"/>
      <c r="Z441" s="392"/>
      <c r="AA441" s="392"/>
      <c r="AB441" s="392"/>
      <c r="AC441" s="392"/>
      <c r="AD441" s="392"/>
      <c r="AE441" s="392"/>
      <c r="AF441" s="392"/>
      <c r="AG441" s="392"/>
      <c r="AH441" s="392"/>
      <c r="AI441" s="392"/>
      <c r="AJ441" s="392"/>
      <c r="AK441" s="392"/>
      <c r="AL441" s="392"/>
      <c r="AM441" s="392"/>
      <c r="AN441" s="392"/>
      <c r="AO441" s="392"/>
      <c r="AP441" s="392"/>
      <c r="AQ441" s="392"/>
      <c r="AR441" s="392"/>
      <c r="AS441" s="392"/>
      <c r="AT441" s="392"/>
      <c r="AU441" s="392"/>
      <c r="AV441" s="392"/>
      <c r="AW441" s="392"/>
      <c r="AX441" s="392"/>
      <c r="AY441" s="392"/>
      <c r="AZ441" s="392"/>
      <c r="BA441" s="392"/>
      <c r="BB441" s="392"/>
      <c r="BC441" s="392"/>
      <c r="BD441" s="392"/>
      <c r="BE441" s="392"/>
      <c r="BF441" s="392"/>
      <c r="BG441" s="392"/>
      <c r="BH441" s="392"/>
      <c r="BI441" s="392"/>
      <c r="BJ441" s="392"/>
      <c r="BK441" s="392"/>
      <c r="BL441" s="392"/>
      <c r="BM441" s="392"/>
      <c r="BN441" s="392"/>
      <c r="BO441" s="392"/>
      <c r="BP441" s="392"/>
      <c r="BQ441" s="392"/>
      <c r="BR441" s="392"/>
      <c r="BS441" s="392"/>
      <c r="BT441" s="392"/>
    </row>
    <row r="442" ht="15.75" customHeight="1">
      <c r="A442" s="216"/>
      <c r="B442" s="156"/>
      <c r="C442" s="156"/>
      <c r="D442" s="156"/>
      <c r="E442" s="392"/>
      <c r="F442" s="392"/>
      <c r="G442" s="392"/>
      <c r="H442" s="392"/>
      <c r="I442" s="392"/>
      <c r="J442" s="392"/>
      <c r="K442" s="392"/>
      <c r="L442" s="392"/>
      <c r="M442" s="392"/>
      <c r="N442" s="392"/>
      <c r="O442" s="392"/>
      <c r="P442" s="392"/>
      <c r="Q442" s="392"/>
      <c r="R442" s="392"/>
      <c r="S442" s="392"/>
      <c r="T442" s="392"/>
      <c r="U442" s="392"/>
      <c r="V442" s="392"/>
      <c r="W442" s="392"/>
      <c r="X442" s="392"/>
      <c r="Y442" s="392"/>
      <c r="Z442" s="392"/>
      <c r="AA442" s="392"/>
      <c r="AB442" s="392"/>
      <c r="AC442" s="392"/>
      <c r="AD442" s="392"/>
      <c r="AE442" s="392"/>
      <c r="AF442" s="392"/>
      <c r="AG442" s="392"/>
      <c r="AH442" s="392"/>
      <c r="AI442" s="392"/>
      <c r="AJ442" s="392"/>
      <c r="AK442" s="392"/>
      <c r="AL442" s="392"/>
      <c r="AM442" s="392"/>
      <c r="AN442" s="392"/>
      <c r="AO442" s="392"/>
      <c r="AP442" s="392"/>
      <c r="AQ442" s="392"/>
      <c r="AR442" s="392"/>
      <c r="AS442" s="392"/>
      <c r="AT442" s="392"/>
      <c r="AU442" s="392"/>
      <c r="AV442" s="392"/>
      <c r="AW442" s="392"/>
      <c r="AX442" s="392"/>
      <c r="AY442" s="392"/>
      <c r="AZ442" s="392"/>
      <c r="BA442" s="392"/>
      <c r="BB442" s="392"/>
      <c r="BC442" s="392"/>
      <c r="BD442" s="392"/>
      <c r="BE442" s="392"/>
      <c r="BF442" s="392"/>
      <c r="BG442" s="392"/>
      <c r="BH442" s="392"/>
      <c r="BI442" s="392"/>
      <c r="BJ442" s="392"/>
      <c r="BK442" s="392"/>
      <c r="BL442" s="392"/>
      <c r="BM442" s="392"/>
      <c r="BN442" s="392"/>
      <c r="BO442" s="392"/>
      <c r="BP442" s="392"/>
      <c r="BQ442" s="392"/>
      <c r="BR442" s="392"/>
      <c r="BS442" s="392"/>
      <c r="BT442" s="392"/>
    </row>
    <row r="443" ht="15.75" customHeight="1">
      <c r="A443" s="216"/>
      <c r="B443" s="156"/>
      <c r="C443" s="156"/>
      <c r="D443" s="156"/>
      <c r="E443" s="392"/>
      <c r="F443" s="392"/>
      <c r="G443" s="392"/>
      <c r="H443" s="392"/>
      <c r="I443" s="392"/>
      <c r="J443" s="392"/>
      <c r="K443" s="392"/>
      <c r="L443" s="392"/>
      <c r="M443" s="392"/>
      <c r="N443" s="392"/>
      <c r="O443" s="392"/>
      <c r="P443" s="392"/>
      <c r="Q443" s="392"/>
      <c r="R443" s="392"/>
      <c r="S443" s="392"/>
      <c r="T443" s="392"/>
      <c r="U443" s="392"/>
      <c r="V443" s="392"/>
      <c r="W443" s="392"/>
      <c r="X443" s="392"/>
      <c r="Y443" s="392"/>
      <c r="Z443" s="392"/>
      <c r="AA443" s="392"/>
      <c r="AB443" s="392"/>
      <c r="AC443" s="392"/>
      <c r="AD443" s="392"/>
      <c r="AE443" s="392"/>
      <c r="AF443" s="392"/>
      <c r="AG443" s="392"/>
      <c r="AH443" s="392"/>
      <c r="AI443" s="392"/>
      <c r="AJ443" s="392"/>
      <c r="AK443" s="392"/>
      <c r="AL443" s="392"/>
      <c r="AM443" s="392"/>
      <c r="AN443" s="392"/>
      <c r="AO443" s="392"/>
      <c r="AP443" s="392"/>
      <c r="AQ443" s="392"/>
      <c r="AR443" s="392"/>
      <c r="AS443" s="392"/>
      <c r="AT443" s="392"/>
      <c r="AU443" s="392"/>
      <c r="AV443" s="392"/>
      <c r="AW443" s="392"/>
      <c r="AX443" s="392"/>
      <c r="AY443" s="392"/>
      <c r="AZ443" s="392"/>
      <c r="BA443" s="392"/>
      <c r="BB443" s="392"/>
      <c r="BC443" s="392"/>
      <c r="BD443" s="392"/>
      <c r="BE443" s="392"/>
      <c r="BF443" s="392"/>
      <c r="BG443" s="392"/>
      <c r="BH443" s="392"/>
      <c r="BI443" s="392"/>
      <c r="BJ443" s="392"/>
      <c r="BK443" s="392"/>
      <c r="BL443" s="392"/>
      <c r="BM443" s="392"/>
      <c r="BN443" s="392"/>
      <c r="BO443" s="392"/>
      <c r="BP443" s="392"/>
      <c r="BQ443" s="392"/>
      <c r="BR443" s="392"/>
      <c r="BS443" s="392"/>
      <c r="BT443" s="392"/>
    </row>
    <row r="444" ht="15.75" customHeight="1">
      <c r="A444" s="216"/>
      <c r="B444" s="156"/>
      <c r="C444" s="156"/>
      <c r="D444" s="156"/>
      <c r="E444" s="392"/>
      <c r="F444" s="392"/>
      <c r="G444" s="392"/>
      <c r="H444" s="392"/>
      <c r="I444" s="392"/>
      <c r="J444" s="392"/>
      <c r="K444" s="392"/>
      <c r="L444" s="392"/>
      <c r="M444" s="392"/>
      <c r="N444" s="392"/>
      <c r="O444" s="392"/>
      <c r="P444" s="392"/>
      <c r="Q444" s="392"/>
      <c r="R444" s="392"/>
      <c r="S444" s="392"/>
      <c r="T444" s="392"/>
      <c r="U444" s="392"/>
      <c r="V444" s="392"/>
      <c r="W444" s="392"/>
      <c r="X444" s="392"/>
      <c r="Y444" s="392"/>
      <c r="Z444" s="392"/>
      <c r="AA444" s="392"/>
      <c r="AB444" s="392"/>
      <c r="AC444" s="392"/>
      <c r="AD444" s="392"/>
      <c r="AE444" s="392"/>
      <c r="AF444" s="392"/>
      <c r="AG444" s="392"/>
      <c r="AH444" s="392"/>
      <c r="AI444" s="392"/>
      <c r="AJ444" s="392"/>
      <c r="AK444" s="392"/>
      <c r="AL444" s="392"/>
      <c r="AM444" s="392"/>
      <c r="AN444" s="392"/>
      <c r="AO444" s="392"/>
      <c r="AP444" s="392"/>
      <c r="AQ444" s="392"/>
      <c r="AR444" s="392"/>
      <c r="AS444" s="392"/>
      <c r="AT444" s="392"/>
      <c r="AU444" s="392"/>
      <c r="AV444" s="392"/>
      <c r="AW444" s="392"/>
      <c r="AX444" s="392"/>
      <c r="AY444" s="392"/>
      <c r="AZ444" s="392"/>
      <c r="BA444" s="392"/>
      <c r="BB444" s="392"/>
      <c r="BC444" s="392"/>
      <c r="BD444" s="392"/>
      <c r="BE444" s="392"/>
      <c r="BF444" s="392"/>
      <c r="BG444" s="392"/>
      <c r="BH444" s="392"/>
      <c r="BI444" s="392"/>
      <c r="BJ444" s="392"/>
      <c r="BK444" s="392"/>
      <c r="BL444" s="392"/>
      <c r="BM444" s="392"/>
      <c r="BN444" s="392"/>
      <c r="BO444" s="392"/>
      <c r="BP444" s="392"/>
      <c r="BQ444" s="392"/>
      <c r="BR444" s="392"/>
      <c r="BS444" s="392"/>
      <c r="BT444" s="392"/>
    </row>
    <row r="445" ht="15.75" customHeight="1">
      <c r="A445" s="216"/>
      <c r="B445" s="156"/>
      <c r="C445" s="156"/>
      <c r="D445" s="156"/>
      <c r="E445" s="392"/>
      <c r="F445" s="392"/>
      <c r="G445" s="392"/>
      <c r="H445" s="392"/>
      <c r="I445" s="392"/>
      <c r="J445" s="392"/>
      <c r="K445" s="392"/>
      <c r="L445" s="392"/>
      <c r="M445" s="392"/>
      <c r="N445" s="392"/>
      <c r="O445" s="392"/>
      <c r="P445" s="392"/>
      <c r="Q445" s="392"/>
      <c r="R445" s="392"/>
      <c r="S445" s="392"/>
      <c r="T445" s="392"/>
      <c r="U445" s="392"/>
      <c r="V445" s="392"/>
      <c r="W445" s="392"/>
      <c r="X445" s="392"/>
      <c r="Y445" s="392"/>
      <c r="Z445" s="392"/>
      <c r="AA445" s="392"/>
      <c r="AB445" s="392"/>
      <c r="AC445" s="392"/>
      <c r="AD445" s="392"/>
      <c r="AE445" s="392"/>
      <c r="AF445" s="392"/>
      <c r="AG445" s="392"/>
      <c r="AH445" s="392"/>
      <c r="AI445" s="392"/>
      <c r="AJ445" s="392"/>
      <c r="AK445" s="392"/>
      <c r="AL445" s="392"/>
      <c r="AM445" s="392"/>
      <c r="AN445" s="392"/>
      <c r="AO445" s="392"/>
      <c r="AP445" s="392"/>
      <c r="AQ445" s="392"/>
      <c r="AR445" s="392"/>
      <c r="AS445" s="392"/>
      <c r="AT445" s="392"/>
      <c r="AU445" s="392"/>
      <c r="AV445" s="392"/>
      <c r="AW445" s="392"/>
      <c r="AX445" s="392"/>
      <c r="AY445" s="392"/>
      <c r="AZ445" s="392"/>
      <c r="BA445" s="392"/>
      <c r="BB445" s="392"/>
      <c r="BC445" s="392"/>
      <c r="BD445" s="392"/>
      <c r="BE445" s="392"/>
      <c r="BF445" s="392"/>
      <c r="BG445" s="392"/>
      <c r="BH445" s="392"/>
      <c r="BI445" s="392"/>
      <c r="BJ445" s="392"/>
      <c r="BK445" s="392"/>
      <c r="BL445" s="392"/>
      <c r="BM445" s="392"/>
      <c r="BN445" s="392"/>
      <c r="BO445" s="392"/>
      <c r="BP445" s="392"/>
      <c r="BQ445" s="392"/>
      <c r="BR445" s="392"/>
      <c r="BS445" s="392"/>
      <c r="BT445" s="392"/>
    </row>
    <row r="446" ht="15.75" customHeight="1">
      <c r="A446" s="216"/>
      <c r="B446" s="156"/>
      <c r="C446" s="156"/>
      <c r="D446" s="156"/>
      <c r="E446" s="392"/>
      <c r="F446" s="392"/>
      <c r="G446" s="392"/>
      <c r="H446" s="392"/>
      <c r="I446" s="392"/>
      <c r="J446" s="392"/>
      <c r="K446" s="392"/>
      <c r="L446" s="392"/>
      <c r="M446" s="392"/>
      <c r="N446" s="392"/>
      <c r="O446" s="392"/>
      <c r="P446" s="392"/>
      <c r="Q446" s="392"/>
      <c r="R446" s="392"/>
      <c r="S446" s="392"/>
      <c r="T446" s="392"/>
      <c r="U446" s="392"/>
      <c r="V446" s="392"/>
      <c r="W446" s="392"/>
      <c r="X446" s="392"/>
      <c r="Y446" s="392"/>
      <c r="Z446" s="392"/>
      <c r="AA446" s="392"/>
      <c r="AB446" s="392"/>
      <c r="AC446" s="392"/>
      <c r="AD446" s="392"/>
      <c r="AE446" s="392"/>
      <c r="AF446" s="392"/>
      <c r="AG446" s="392"/>
      <c r="AH446" s="392"/>
      <c r="AI446" s="392"/>
      <c r="AJ446" s="392"/>
      <c r="AK446" s="392"/>
      <c r="AL446" s="392"/>
      <c r="AM446" s="392"/>
      <c r="AN446" s="392"/>
      <c r="AO446" s="392"/>
      <c r="AP446" s="392"/>
      <c r="AQ446" s="392"/>
      <c r="AR446" s="392"/>
      <c r="AS446" s="392"/>
      <c r="AT446" s="392"/>
      <c r="AU446" s="392"/>
      <c r="AV446" s="392"/>
      <c r="AW446" s="392"/>
      <c r="AX446" s="392"/>
      <c r="AY446" s="392"/>
      <c r="AZ446" s="392"/>
      <c r="BA446" s="392"/>
      <c r="BB446" s="392"/>
      <c r="BC446" s="392"/>
      <c r="BD446" s="392"/>
      <c r="BE446" s="392"/>
      <c r="BF446" s="392"/>
      <c r="BG446" s="392"/>
      <c r="BH446" s="392"/>
      <c r="BI446" s="392"/>
      <c r="BJ446" s="392"/>
      <c r="BK446" s="392"/>
      <c r="BL446" s="392"/>
      <c r="BM446" s="392"/>
      <c r="BN446" s="392"/>
      <c r="BO446" s="392"/>
      <c r="BP446" s="392"/>
      <c r="BQ446" s="392"/>
      <c r="BR446" s="392"/>
      <c r="BS446" s="392"/>
      <c r="BT446" s="392"/>
    </row>
    <row r="447" ht="15.75" customHeight="1">
      <c r="A447" s="216"/>
      <c r="B447" s="156"/>
      <c r="C447" s="156"/>
      <c r="D447" s="156"/>
      <c r="E447" s="392"/>
      <c r="F447" s="392"/>
      <c r="G447" s="392"/>
      <c r="H447" s="392"/>
      <c r="I447" s="392"/>
      <c r="J447" s="392"/>
      <c r="K447" s="392"/>
      <c r="L447" s="392"/>
      <c r="M447" s="392"/>
      <c r="N447" s="392"/>
      <c r="O447" s="392"/>
      <c r="P447" s="392"/>
      <c r="Q447" s="392"/>
      <c r="R447" s="392"/>
      <c r="S447" s="392"/>
      <c r="T447" s="392"/>
      <c r="U447" s="392"/>
      <c r="V447" s="392"/>
      <c r="W447" s="392"/>
      <c r="X447" s="392"/>
      <c r="Y447" s="392"/>
      <c r="Z447" s="392"/>
      <c r="AA447" s="392"/>
      <c r="AB447" s="392"/>
      <c r="AC447" s="392"/>
      <c r="AD447" s="392"/>
      <c r="AE447" s="392"/>
      <c r="AF447" s="392"/>
      <c r="AG447" s="392"/>
      <c r="AH447" s="392"/>
      <c r="AI447" s="392"/>
      <c r="AJ447" s="392"/>
      <c r="AK447" s="392"/>
      <c r="AL447" s="392"/>
      <c r="AM447" s="392"/>
      <c r="AN447" s="392"/>
      <c r="AO447" s="392"/>
      <c r="AP447" s="392"/>
      <c r="AQ447" s="392"/>
      <c r="AR447" s="392"/>
      <c r="AS447" s="392"/>
      <c r="AT447" s="392"/>
      <c r="AU447" s="392"/>
      <c r="AV447" s="392"/>
      <c r="AW447" s="392"/>
      <c r="AX447" s="392"/>
      <c r="AY447" s="392"/>
      <c r="AZ447" s="392"/>
      <c r="BA447" s="392"/>
      <c r="BB447" s="392"/>
      <c r="BC447" s="392"/>
      <c r="BD447" s="392"/>
      <c r="BE447" s="392"/>
      <c r="BF447" s="392"/>
      <c r="BG447" s="392"/>
      <c r="BH447" s="392"/>
      <c r="BI447" s="392"/>
      <c r="BJ447" s="392"/>
      <c r="BK447" s="392"/>
      <c r="BL447" s="392"/>
      <c r="BM447" s="392"/>
      <c r="BN447" s="392"/>
      <c r="BO447" s="392"/>
      <c r="BP447" s="392"/>
      <c r="BQ447" s="392"/>
      <c r="BR447" s="392"/>
      <c r="BS447" s="392"/>
      <c r="BT447" s="392"/>
    </row>
    <row r="448" ht="15.75" customHeight="1">
      <c r="A448" s="216"/>
      <c r="B448" s="156"/>
      <c r="C448" s="156"/>
      <c r="D448" s="156"/>
      <c r="E448" s="392"/>
      <c r="F448" s="392"/>
      <c r="G448" s="392"/>
      <c r="H448" s="392"/>
      <c r="I448" s="392"/>
      <c r="J448" s="392"/>
      <c r="K448" s="392"/>
      <c r="L448" s="392"/>
      <c r="M448" s="392"/>
      <c r="N448" s="392"/>
      <c r="O448" s="392"/>
      <c r="P448" s="392"/>
      <c r="Q448" s="392"/>
      <c r="R448" s="392"/>
      <c r="S448" s="392"/>
      <c r="T448" s="392"/>
      <c r="U448" s="392"/>
      <c r="V448" s="392"/>
      <c r="W448" s="392"/>
      <c r="X448" s="392"/>
      <c r="Y448" s="392"/>
      <c r="Z448" s="392"/>
      <c r="AA448" s="392"/>
      <c r="AB448" s="392"/>
      <c r="AC448" s="392"/>
      <c r="AD448" s="392"/>
      <c r="AE448" s="392"/>
      <c r="AF448" s="392"/>
      <c r="AG448" s="392"/>
      <c r="AH448" s="392"/>
      <c r="AI448" s="392"/>
      <c r="AJ448" s="392"/>
      <c r="AK448" s="392"/>
      <c r="AL448" s="392"/>
      <c r="AM448" s="392"/>
      <c r="AN448" s="392"/>
      <c r="AO448" s="392"/>
      <c r="AP448" s="392"/>
      <c r="AQ448" s="392"/>
      <c r="AR448" s="392"/>
      <c r="AS448" s="392"/>
      <c r="AT448" s="392"/>
      <c r="AU448" s="392"/>
      <c r="AV448" s="392"/>
      <c r="AW448" s="392"/>
      <c r="AX448" s="392"/>
      <c r="AY448" s="392"/>
      <c r="AZ448" s="392"/>
      <c r="BA448" s="392"/>
      <c r="BB448" s="392"/>
      <c r="BC448" s="392"/>
      <c r="BD448" s="392"/>
      <c r="BE448" s="392"/>
      <c r="BF448" s="392"/>
      <c r="BG448" s="392"/>
      <c r="BH448" s="392"/>
      <c r="BI448" s="392"/>
      <c r="BJ448" s="392"/>
      <c r="BK448" s="392"/>
      <c r="BL448" s="392"/>
      <c r="BM448" s="392"/>
      <c r="BN448" s="392"/>
      <c r="BO448" s="392"/>
      <c r="BP448" s="392"/>
      <c r="BQ448" s="392"/>
      <c r="BR448" s="392"/>
      <c r="BS448" s="392"/>
      <c r="BT448" s="392"/>
    </row>
    <row r="449" ht="15.75" customHeight="1">
      <c r="A449" s="216"/>
      <c r="B449" s="156"/>
      <c r="C449" s="156"/>
      <c r="D449" s="156"/>
      <c r="E449" s="392"/>
      <c r="F449" s="392"/>
      <c r="G449" s="392"/>
      <c r="H449" s="392"/>
      <c r="I449" s="392"/>
      <c r="J449" s="392"/>
      <c r="K449" s="392"/>
      <c r="L449" s="392"/>
      <c r="M449" s="392"/>
      <c r="N449" s="392"/>
      <c r="O449" s="392"/>
      <c r="P449" s="392"/>
      <c r="Q449" s="392"/>
      <c r="R449" s="392"/>
      <c r="S449" s="392"/>
      <c r="T449" s="392"/>
      <c r="U449" s="392"/>
      <c r="V449" s="392"/>
      <c r="W449" s="392"/>
      <c r="X449" s="392"/>
      <c r="Y449" s="392"/>
      <c r="Z449" s="392"/>
      <c r="AA449" s="392"/>
      <c r="AB449" s="392"/>
      <c r="AC449" s="392"/>
      <c r="AD449" s="392"/>
      <c r="AE449" s="392"/>
      <c r="AF449" s="392"/>
      <c r="AG449" s="392"/>
      <c r="AH449" s="392"/>
      <c r="AI449" s="392"/>
      <c r="AJ449" s="392"/>
      <c r="AK449" s="392"/>
      <c r="AL449" s="392"/>
      <c r="AM449" s="392"/>
      <c r="AN449" s="392"/>
      <c r="AO449" s="392"/>
      <c r="AP449" s="392"/>
      <c r="AQ449" s="392"/>
      <c r="AR449" s="392"/>
      <c r="AS449" s="392"/>
      <c r="AT449" s="392"/>
      <c r="AU449" s="392"/>
      <c r="AV449" s="392"/>
      <c r="AW449" s="392"/>
      <c r="AX449" s="392"/>
      <c r="AY449" s="392"/>
      <c r="AZ449" s="392"/>
      <c r="BA449" s="392"/>
      <c r="BB449" s="392"/>
      <c r="BC449" s="392"/>
      <c r="BD449" s="392"/>
      <c r="BE449" s="392"/>
      <c r="BF449" s="392"/>
      <c r="BG449" s="392"/>
      <c r="BH449" s="392"/>
      <c r="BI449" s="392"/>
      <c r="BJ449" s="392"/>
      <c r="BK449" s="392"/>
      <c r="BL449" s="392"/>
      <c r="BM449" s="392"/>
      <c r="BN449" s="392"/>
      <c r="BO449" s="392"/>
      <c r="BP449" s="392"/>
      <c r="BQ449" s="392"/>
      <c r="BR449" s="392"/>
      <c r="BS449" s="392"/>
      <c r="BT449" s="392"/>
    </row>
    <row r="450" ht="15.75" customHeight="1">
      <c r="A450" s="216"/>
      <c r="B450" s="156"/>
      <c r="C450" s="156"/>
      <c r="D450" s="156"/>
      <c r="E450" s="392"/>
      <c r="F450" s="392"/>
      <c r="G450" s="392"/>
      <c r="H450" s="392"/>
      <c r="I450" s="392"/>
      <c r="J450" s="392"/>
      <c r="K450" s="392"/>
      <c r="L450" s="392"/>
      <c r="M450" s="392"/>
      <c r="N450" s="392"/>
      <c r="O450" s="392"/>
      <c r="P450" s="392"/>
      <c r="Q450" s="392"/>
      <c r="R450" s="392"/>
      <c r="S450" s="392"/>
      <c r="T450" s="392"/>
      <c r="U450" s="392"/>
      <c r="V450" s="392"/>
      <c r="W450" s="392"/>
      <c r="X450" s="392"/>
      <c r="Y450" s="392"/>
      <c r="Z450" s="392"/>
      <c r="AA450" s="392"/>
      <c r="AB450" s="392"/>
      <c r="AC450" s="392"/>
      <c r="AD450" s="392"/>
      <c r="AE450" s="392"/>
      <c r="AF450" s="392"/>
      <c r="AG450" s="392"/>
      <c r="AH450" s="392"/>
      <c r="AI450" s="392"/>
      <c r="AJ450" s="392"/>
      <c r="AK450" s="392"/>
      <c r="AL450" s="392"/>
      <c r="AM450" s="392"/>
      <c r="AN450" s="392"/>
      <c r="AO450" s="392"/>
      <c r="AP450" s="392"/>
      <c r="AQ450" s="392"/>
      <c r="AR450" s="392"/>
      <c r="AS450" s="392"/>
      <c r="AT450" s="392"/>
      <c r="AU450" s="392"/>
      <c r="AV450" s="392"/>
      <c r="AW450" s="392"/>
      <c r="AX450" s="392"/>
      <c r="AY450" s="392"/>
      <c r="AZ450" s="392"/>
      <c r="BA450" s="392"/>
      <c r="BB450" s="392"/>
      <c r="BC450" s="392"/>
      <c r="BD450" s="392"/>
      <c r="BE450" s="392"/>
      <c r="BF450" s="392"/>
      <c r="BG450" s="392"/>
      <c r="BH450" s="392"/>
      <c r="BI450" s="392"/>
      <c r="BJ450" s="392"/>
      <c r="BK450" s="392"/>
      <c r="BL450" s="392"/>
      <c r="BM450" s="392"/>
      <c r="BN450" s="392"/>
      <c r="BO450" s="392"/>
      <c r="BP450" s="392"/>
      <c r="BQ450" s="392"/>
      <c r="BR450" s="392"/>
      <c r="BS450" s="392"/>
      <c r="BT450" s="392"/>
    </row>
    <row r="451" ht="15.75" customHeight="1">
      <c r="A451" s="216"/>
      <c r="B451" s="156"/>
      <c r="C451" s="156"/>
      <c r="D451" s="156"/>
      <c r="E451" s="392"/>
      <c r="F451" s="392"/>
      <c r="G451" s="392"/>
      <c r="H451" s="392"/>
      <c r="I451" s="392"/>
      <c r="J451" s="392"/>
      <c r="K451" s="392"/>
      <c r="L451" s="392"/>
      <c r="M451" s="392"/>
      <c r="N451" s="392"/>
      <c r="O451" s="392"/>
      <c r="P451" s="392"/>
      <c r="Q451" s="392"/>
      <c r="R451" s="392"/>
      <c r="S451" s="392"/>
      <c r="T451" s="392"/>
      <c r="U451" s="392"/>
      <c r="V451" s="392"/>
      <c r="W451" s="392"/>
      <c r="X451" s="392"/>
      <c r="Y451" s="392"/>
      <c r="Z451" s="392"/>
      <c r="AA451" s="392"/>
      <c r="AB451" s="392"/>
      <c r="AC451" s="392"/>
      <c r="AD451" s="392"/>
      <c r="AE451" s="392"/>
      <c r="AF451" s="392"/>
      <c r="AG451" s="392"/>
      <c r="AH451" s="392"/>
      <c r="AI451" s="392"/>
      <c r="AJ451" s="392"/>
      <c r="AK451" s="392"/>
      <c r="AL451" s="392"/>
      <c r="AM451" s="392"/>
      <c r="AN451" s="392"/>
      <c r="AO451" s="392"/>
      <c r="AP451" s="392"/>
      <c r="AQ451" s="392"/>
      <c r="AR451" s="392"/>
      <c r="AS451" s="392"/>
      <c r="AT451" s="392"/>
      <c r="AU451" s="392"/>
      <c r="AV451" s="392"/>
      <c r="AW451" s="392"/>
      <c r="AX451" s="392"/>
      <c r="AY451" s="392"/>
      <c r="AZ451" s="392"/>
      <c r="BA451" s="392"/>
      <c r="BB451" s="392"/>
      <c r="BC451" s="392"/>
      <c r="BD451" s="392"/>
      <c r="BE451" s="392"/>
      <c r="BF451" s="392"/>
      <c r="BG451" s="392"/>
      <c r="BH451" s="392"/>
      <c r="BI451" s="392"/>
      <c r="BJ451" s="392"/>
      <c r="BK451" s="392"/>
      <c r="BL451" s="392"/>
      <c r="BM451" s="392"/>
      <c r="BN451" s="392"/>
      <c r="BO451" s="392"/>
      <c r="BP451" s="392"/>
      <c r="BQ451" s="392"/>
      <c r="BR451" s="392"/>
      <c r="BS451" s="392"/>
      <c r="BT451" s="392"/>
    </row>
    <row r="452" ht="15.75" customHeight="1">
      <c r="A452" s="216"/>
      <c r="B452" s="156"/>
      <c r="C452" s="156"/>
      <c r="D452" s="156"/>
      <c r="E452" s="392"/>
      <c r="F452" s="392"/>
      <c r="G452" s="392"/>
      <c r="H452" s="392"/>
      <c r="I452" s="392"/>
      <c r="J452" s="392"/>
      <c r="K452" s="392"/>
      <c r="L452" s="392"/>
      <c r="M452" s="392"/>
      <c r="N452" s="392"/>
      <c r="O452" s="392"/>
      <c r="P452" s="392"/>
      <c r="Q452" s="392"/>
      <c r="R452" s="392"/>
      <c r="S452" s="392"/>
      <c r="T452" s="392"/>
      <c r="U452" s="392"/>
      <c r="V452" s="392"/>
      <c r="W452" s="392"/>
      <c r="X452" s="392"/>
      <c r="Y452" s="392"/>
      <c r="Z452" s="392"/>
      <c r="AA452" s="392"/>
      <c r="AB452" s="392"/>
      <c r="AC452" s="392"/>
      <c r="AD452" s="392"/>
      <c r="AE452" s="392"/>
      <c r="AF452" s="392"/>
      <c r="AG452" s="392"/>
      <c r="AH452" s="392"/>
      <c r="AI452" s="392"/>
      <c r="AJ452" s="392"/>
      <c r="AK452" s="392"/>
      <c r="AL452" s="392"/>
      <c r="AM452" s="392"/>
      <c r="AN452" s="392"/>
      <c r="AO452" s="392"/>
      <c r="AP452" s="392"/>
      <c r="AQ452" s="392"/>
      <c r="AR452" s="392"/>
      <c r="AS452" s="392"/>
      <c r="AT452" s="392"/>
      <c r="AU452" s="392"/>
      <c r="AV452" s="392"/>
      <c r="AW452" s="392"/>
      <c r="AX452" s="392"/>
      <c r="AY452" s="392"/>
      <c r="AZ452" s="392"/>
      <c r="BA452" s="392"/>
      <c r="BB452" s="392"/>
      <c r="BC452" s="392"/>
      <c r="BD452" s="392"/>
      <c r="BE452" s="392"/>
      <c r="BF452" s="392"/>
      <c r="BG452" s="392"/>
      <c r="BH452" s="392"/>
      <c r="BI452" s="392"/>
      <c r="BJ452" s="392"/>
      <c r="BK452" s="392"/>
      <c r="BL452" s="392"/>
      <c r="BM452" s="392"/>
      <c r="BN452" s="392"/>
      <c r="BO452" s="392"/>
      <c r="BP452" s="392"/>
      <c r="BQ452" s="392"/>
      <c r="BR452" s="392"/>
      <c r="BS452" s="392"/>
      <c r="BT452" s="392"/>
    </row>
    <row r="453" ht="15.75" customHeight="1">
      <c r="A453" s="216"/>
      <c r="B453" s="156"/>
      <c r="C453" s="156"/>
      <c r="D453" s="156"/>
      <c r="E453" s="392"/>
      <c r="F453" s="392"/>
      <c r="G453" s="392"/>
      <c r="H453" s="392"/>
      <c r="I453" s="392"/>
      <c r="J453" s="392"/>
      <c r="K453" s="392"/>
      <c r="L453" s="392"/>
      <c r="M453" s="392"/>
      <c r="N453" s="392"/>
      <c r="O453" s="392"/>
      <c r="P453" s="392"/>
      <c r="Q453" s="392"/>
      <c r="R453" s="392"/>
      <c r="S453" s="392"/>
      <c r="T453" s="392"/>
      <c r="U453" s="392"/>
      <c r="V453" s="392"/>
      <c r="W453" s="392"/>
      <c r="X453" s="392"/>
      <c r="Y453" s="392"/>
      <c r="Z453" s="392"/>
      <c r="AA453" s="392"/>
      <c r="AB453" s="392"/>
      <c r="AC453" s="392"/>
      <c r="AD453" s="392"/>
      <c r="AE453" s="392"/>
      <c r="AF453" s="392"/>
      <c r="AG453" s="392"/>
      <c r="AH453" s="392"/>
      <c r="AI453" s="392"/>
      <c r="AJ453" s="392"/>
      <c r="AK453" s="392"/>
      <c r="AL453" s="392"/>
      <c r="AM453" s="392"/>
      <c r="AN453" s="392"/>
      <c r="AO453" s="392"/>
      <c r="AP453" s="392"/>
      <c r="AQ453" s="392"/>
      <c r="AR453" s="392"/>
      <c r="AS453" s="392"/>
      <c r="AT453" s="392"/>
      <c r="AU453" s="392"/>
      <c r="AV453" s="392"/>
      <c r="AW453" s="392"/>
      <c r="AX453" s="392"/>
      <c r="AY453" s="392"/>
      <c r="AZ453" s="392"/>
      <c r="BA453" s="392"/>
      <c r="BB453" s="392"/>
      <c r="BC453" s="392"/>
      <c r="BD453" s="392"/>
      <c r="BE453" s="392"/>
      <c r="BF453" s="392"/>
      <c r="BG453" s="392"/>
      <c r="BH453" s="392"/>
      <c r="BI453" s="392"/>
      <c r="BJ453" s="392"/>
      <c r="BK453" s="392"/>
      <c r="BL453" s="392"/>
      <c r="BM453" s="392"/>
      <c r="BN453" s="392"/>
      <c r="BO453" s="392"/>
      <c r="BP453" s="392"/>
      <c r="BQ453" s="392"/>
      <c r="BR453" s="392"/>
      <c r="BS453" s="392"/>
      <c r="BT453" s="392"/>
    </row>
    <row r="454" ht="15.75" customHeight="1">
      <c r="A454" s="216"/>
      <c r="B454" s="156"/>
      <c r="C454" s="156"/>
      <c r="D454" s="156"/>
      <c r="E454" s="392"/>
      <c r="F454" s="392"/>
      <c r="G454" s="392"/>
      <c r="H454" s="392"/>
      <c r="I454" s="392"/>
      <c r="J454" s="392"/>
      <c r="K454" s="392"/>
      <c r="L454" s="392"/>
      <c r="M454" s="392"/>
      <c r="N454" s="392"/>
      <c r="O454" s="392"/>
      <c r="P454" s="392"/>
      <c r="Q454" s="392"/>
      <c r="R454" s="392"/>
      <c r="S454" s="392"/>
      <c r="T454" s="392"/>
      <c r="U454" s="392"/>
      <c r="V454" s="392"/>
      <c r="W454" s="392"/>
      <c r="X454" s="392"/>
      <c r="Y454" s="392"/>
      <c r="Z454" s="392"/>
      <c r="AA454" s="392"/>
      <c r="AB454" s="392"/>
      <c r="AC454" s="392"/>
      <c r="AD454" s="392"/>
      <c r="AE454" s="392"/>
      <c r="AF454" s="392"/>
      <c r="AG454" s="392"/>
      <c r="AH454" s="392"/>
      <c r="AI454" s="392"/>
      <c r="AJ454" s="392"/>
      <c r="AK454" s="392"/>
      <c r="AL454" s="392"/>
      <c r="AM454" s="392"/>
      <c r="AN454" s="392"/>
      <c r="AO454" s="392"/>
      <c r="AP454" s="392"/>
      <c r="AQ454" s="392"/>
      <c r="AR454" s="392"/>
      <c r="AS454" s="392"/>
      <c r="AT454" s="392"/>
      <c r="AU454" s="392"/>
      <c r="AV454" s="392"/>
      <c r="AW454" s="392"/>
      <c r="AX454" s="392"/>
      <c r="AY454" s="392"/>
      <c r="AZ454" s="392"/>
      <c r="BA454" s="392"/>
      <c r="BB454" s="392"/>
      <c r="BC454" s="392"/>
      <c r="BD454" s="392"/>
      <c r="BE454" s="392"/>
      <c r="BF454" s="392"/>
      <c r="BG454" s="392"/>
      <c r="BH454" s="392"/>
      <c r="BI454" s="392"/>
      <c r="BJ454" s="392"/>
      <c r="BK454" s="392"/>
      <c r="BL454" s="392"/>
      <c r="BM454" s="392"/>
      <c r="BN454" s="392"/>
      <c r="BO454" s="392"/>
      <c r="BP454" s="392"/>
      <c r="BQ454" s="392"/>
      <c r="BR454" s="392"/>
      <c r="BS454" s="392"/>
      <c r="BT454" s="392"/>
    </row>
    <row r="455" ht="15.75" customHeight="1">
      <c r="A455" s="216"/>
      <c r="B455" s="156"/>
      <c r="C455" s="156"/>
      <c r="D455" s="156"/>
      <c r="E455" s="392"/>
      <c r="F455" s="392"/>
      <c r="G455" s="392"/>
      <c r="H455" s="392"/>
      <c r="I455" s="392"/>
      <c r="J455" s="392"/>
      <c r="K455" s="392"/>
      <c r="L455" s="392"/>
      <c r="M455" s="392"/>
      <c r="N455" s="392"/>
      <c r="O455" s="392"/>
      <c r="P455" s="392"/>
      <c r="Q455" s="392"/>
      <c r="R455" s="392"/>
      <c r="S455" s="392"/>
      <c r="T455" s="392"/>
      <c r="U455" s="392"/>
      <c r="V455" s="392"/>
      <c r="W455" s="392"/>
      <c r="X455" s="392"/>
      <c r="Y455" s="392"/>
      <c r="Z455" s="392"/>
      <c r="AA455" s="392"/>
      <c r="AB455" s="392"/>
      <c r="AC455" s="392"/>
      <c r="AD455" s="392"/>
      <c r="AE455" s="392"/>
      <c r="AF455" s="392"/>
      <c r="AG455" s="392"/>
      <c r="AH455" s="392"/>
      <c r="AI455" s="392"/>
      <c r="AJ455" s="392"/>
      <c r="AK455" s="392"/>
      <c r="AL455" s="392"/>
      <c r="AM455" s="392"/>
      <c r="AN455" s="392"/>
      <c r="AO455" s="392"/>
      <c r="AP455" s="392"/>
      <c r="AQ455" s="392"/>
      <c r="AR455" s="392"/>
      <c r="AS455" s="392"/>
      <c r="AT455" s="392"/>
      <c r="AU455" s="392"/>
      <c r="AV455" s="392"/>
      <c r="AW455" s="392"/>
      <c r="AX455" s="392"/>
      <c r="AY455" s="392"/>
      <c r="AZ455" s="392"/>
      <c r="BA455" s="392"/>
      <c r="BB455" s="392"/>
      <c r="BC455" s="392"/>
      <c r="BD455" s="392"/>
      <c r="BE455" s="392"/>
      <c r="BF455" s="392"/>
      <c r="BG455" s="392"/>
      <c r="BH455" s="392"/>
      <c r="BI455" s="392"/>
      <c r="BJ455" s="392"/>
      <c r="BK455" s="392"/>
      <c r="BL455" s="392"/>
      <c r="BM455" s="392"/>
      <c r="BN455" s="392"/>
      <c r="BO455" s="392"/>
      <c r="BP455" s="392"/>
      <c r="BQ455" s="392"/>
      <c r="BR455" s="392"/>
      <c r="BS455" s="392"/>
      <c r="BT455" s="392"/>
    </row>
    <row r="456" ht="15.75" customHeight="1">
      <c r="A456" s="216"/>
      <c r="B456" s="156"/>
      <c r="C456" s="156"/>
      <c r="D456" s="156"/>
      <c r="E456" s="392"/>
      <c r="F456" s="392"/>
      <c r="G456" s="392"/>
      <c r="H456" s="392"/>
      <c r="I456" s="392"/>
      <c r="J456" s="392"/>
      <c r="K456" s="392"/>
      <c r="L456" s="392"/>
      <c r="M456" s="392"/>
      <c r="N456" s="392"/>
      <c r="O456" s="392"/>
      <c r="P456" s="392"/>
      <c r="Q456" s="392"/>
      <c r="R456" s="392"/>
      <c r="S456" s="392"/>
      <c r="T456" s="392"/>
      <c r="U456" s="392"/>
      <c r="V456" s="392"/>
      <c r="W456" s="392"/>
      <c r="X456" s="392"/>
      <c r="Y456" s="392"/>
      <c r="Z456" s="392"/>
      <c r="AA456" s="392"/>
      <c r="AB456" s="392"/>
      <c r="AC456" s="392"/>
      <c r="AD456" s="392"/>
      <c r="AE456" s="392"/>
      <c r="AF456" s="392"/>
      <c r="AG456" s="392"/>
      <c r="AH456" s="392"/>
      <c r="AI456" s="392"/>
      <c r="AJ456" s="392"/>
      <c r="AK456" s="392"/>
      <c r="AL456" s="392"/>
      <c r="AM456" s="392"/>
      <c r="AN456" s="392"/>
      <c r="AO456" s="392"/>
      <c r="AP456" s="392"/>
      <c r="AQ456" s="392"/>
      <c r="AR456" s="392"/>
      <c r="AS456" s="392"/>
      <c r="AT456" s="392"/>
      <c r="AU456" s="392"/>
      <c r="AV456" s="392"/>
      <c r="AW456" s="392"/>
      <c r="AX456" s="392"/>
      <c r="AY456" s="392"/>
      <c r="AZ456" s="392"/>
      <c r="BA456" s="392"/>
      <c r="BB456" s="392"/>
      <c r="BC456" s="392"/>
      <c r="BD456" s="392"/>
      <c r="BE456" s="392"/>
      <c r="BF456" s="392"/>
      <c r="BG456" s="392"/>
      <c r="BH456" s="392"/>
      <c r="BI456" s="392"/>
      <c r="BJ456" s="392"/>
      <c r="BK456" s="392"/>
      <c r="BL456" s="392"/>
      <c r="BM456" s="392"/>
      <c r="BN456" s="392"/>
      <c r="BO456" s="392"/>
      <c r="BP456" s="392"/>
      <c r="BQ456" s="392"/>
      <c r="BR456" s="392"/>
      <c r="BS456" s="392"/>
      <c r="BT456" s="392"/>
    </row>
    <row r="457" ht="15.75" customHeight="1">
      <c r="A457" s="216"/>
      <c r="B457" s="156"/>
      <c r="C457" s="156"/>
      <c r="D457" s="156"/>
      <c r="E457" s="392"/>
      <c r="F457" s="392"/>
      <c r="G457" s="392"/>
      <c r="H457" s="392"/>
      <c r="I457" s="392"/>
      <c r="J457" s="392"/>
      <c r="K457" s="392"/>
      <c r="L457" s="392"/>
      <c r="M457" s="392"/>
      <c r="N457" s="392"/>
      <c r="O457" s="392"/>
      <c r="P457" s="392"/>
      <c r="Q457" s="392"/>
      <c r="R457" s="392"/>
      <c r="S457" s="392"/>
      <c r="T457" s="392"/>
      <c r="U457" s="392"/>
      <c r="V457" s="392"/>
      <c r="W457" s="392"/>
      <c r="X457" s="392"/>
      <c r="Y457" s="392"/>
      <c r="Z457" s="392"/>
      <c r="AA457" s="392"/>
      <c r="AB457" s="392"/>
      <c r="AC457" s="392"/>
      <c r="AD457" s="392"/>
      <c r="AE457" s="392"/>
      <c r="AF457" s="392"/>
      <c r="AG457" s="392"/>
      <c r="AH457" s="392"/>
      <c r="AI457" s="392"/>
      <c r="AJ457" s="392"/>
      <c r="AK457" s="392"/>
      <c r="AL457" s="392"/>
      <c r="AM457" s="392"/>
      <c r="AN457" s="392"/>
      <c r="AO457" s="392"/>
      <c r="AP457" s="392"/>
      <c r="AQ457" s="392"/>
      <c r="AR457" s="392"/>
      <c r="AS457" s="392"/>
      <c r="AT457" s="392"/>
      <c r="AU457" s="392"/>
      <c r="AV457" s="392"/>
      <c r="AW457" s="392"/>
      <c r="AX457" s="392"/>
      <c r="AY457" s="392"/>
      <c r="AZ457" s="392"/>
      <c r="BA457" s="392"/>
      <c r="BB457" s="392"/>
      <c r="BC457" s="392"/>
      <c r="BD457" s="392"/>
      <c r="BE457" s="392"/>
      <c r="BF457" s="392"/>
      <c r="BG457" s="392"/>
      <c r="BH457" s="392"/>
      <c r="BI457" s="392"/>
      <c r="BJ457" s="392"/>
      <c r="BK457" s="392"/>
      <c r="BL457" s="392"/>
      <c r="BM457" s="392"/>
      <c r="BN457" s="392"/>
      <c r="BO457" s="392"/>
      <c r="BP457" s="392"/>
      <c r="BQ457" s="392"/>
      <c r="BR457" s="392"/>
      <c r="BS457" s="392"/>
      <c r="BT457" s="392"/>
    </row>
    <row r="458" ht="15.75" customHeight="1">
      <c r="A458" s="216"/>
      <c r="B458" s="156"/>
      <c r="C458" s="156"/>
      <c r="D458" s="156"/>
      <c r="E458" s="392"/>
      <c r="F458" s="392"/>
      <c r="G458" s="392"/>
      <c r="H458" s="392"/>
      <c r="I458" s="392"/>
      <c r="J458" s="392"/>
      <c r="K458" s="392"/>
      <c r="L458" s="392"/>
      <c r="M458" s="392"/>
      <c r="N458" s="392"/>
      <c r="O458" s="392"/>
      <c r="P458" s="392"/>
      <c r="Q458" s="392"/>
      <c r="R458" s="392"/>
      <c r="S458" s="392"/>
      <c r="T458" s="392"/>
      <c r="U458" s="392"/>
      <c r="V458" s="392"/>
      <c r="W458" s="392"/>
      <c r="X458" s="392"/>
      <c r="Y458" s="392"/>
      <c r="Z458" s="392"/>
      <c r="AA458" s="392"/>
      <c r="AB458" s="392"/>
      <c r="AC458" s="392"/>
      <c r="AD458" s="392"/>
      <c r="AE458" s="392"/>
      <c r="AF458" s="392"/>
      <c r="AG458" s="392"/>
      <c r="AH458" s="392"/>
      <c r="AI458" s="392"/>
      <c r="AJ458" s="392"/>
      <c r="AK458" s="392"/>
      <c r="AL458" s="392"/>
      <c r="AM458" s="392"/>
      <c r="AN458" s="392"/>
      <c r="AO458" s="392"/>
      <c r="AP458" s="392"/>
      <c r="AQ458" s="392"/>
      <c r="AR458" s="392"/>
      <c r="AS458" s="392"/>
      <c r="AT458" s="392"/>
      <c r="AU458" s="392"/>
      <c r="AV458" s="392"/>
      <c r="AW458" s="392"/>
      <c r="AX458" s="392"/>
      <c r="AY458" s="392"/>
      <c r="AZ458" s="392"/>
      <c r="BA458" s="392"/>
      <c r="BB458" s="392"/>
      <c r="BC458" s="392"/>
      <c r="BD458" s="392"/>
      <c r="BE458" s="392"/>
      <c r="BF458" s="392"/>
      <c r="BG458" s="392"/>
      <c r="BH458" s="392"/>
      <c r="BI458" s="392"/>
      <c r="BJ458" s="392"/>
      <c r="BK458" s="392"/>
      <c r="BL458" s="392"/>
      <c r="BM458" s="392"/>
      <c r="BN458" s="392"/>
      <c r="BO458" s="392"/>
      <c r="BP458" s="392"/>
      <c r="BQ458" s="392"/>
      <c r="BR458" s="392"/>
      <c r="BS458" s="392"/>
      <c r="BT458" s="392"/>
    </row>
    <row r="459" ht="15.75" customHeight="1">
      <c r="A459" s="216"/>
      <c r="B459" s="156"/>
      <c r="C459" s="156"/>
      <c r="D459" s="156"/>
      <c r="E459" s="392"/>
      <c r="F459" s="392"/>
      <c r="G459" s="392"/>
      <c r="H459" s="392"/>
      <c r="I459" s="392"/>
      <c r="J459" s="392"/>
      <c r="K459" s="392"/>
      <c r="L459" s="392"/>
      <c r="M459" s="392"/>
      <c r="N459" s="392"/>
      <c r="O459" s="392"/>
      <c r="P459" s="392"/>
      <c r="Q459" s="392"/>
      <c r="R459" s="392"/>
      <c r="S459" s="392"/>
      <c r="T459" s="392"/>
      <c r="U459" s="392"/>
      <c r="V459" s="392"/>
      <c r="W459" s="392"/>
      <c r="X459" s="392"/>
      <c r="Y459" s="392"/>
      <c r="Z459" s="392"/>
      <c r="AA459" s="392"/>
      <c r="AB459" s="392"/>
      <c r="AC459" s="392"/>
      <c r="AD459" s="392"/>
      <c r="AE459" s="392"/>
      <c r="AF459" s="392"/>
      <c r="AG459" s="392"/>
      <c r="AH459" s="392"/>
      <c r="AI459" s="392"/>
      <c r="AJ459" s="392"/>
      <c r="AK459" s="392"/>
      <c r="AL459" s="392"/>
      <c r="AM459" s="392"/>
      <c r="AN459" s="392"/>
      <c r="AO459" s="392"/>
      <c r="AP459" s="392"/>
      <c r="AQ459" s="392"/>
      <c r="AR459" s="392"/>
      <c r="AS459" s="392"/>
      <c r="AT459" s="392"/>
      <c r="AU459" s="392"/>
      <c r="AV459" s="392"/>
      <c r="AW459" s="392"/>
      <c r="AX459" s="392"/>
      <c r="AY459" s="392"/>
      <c r="AZ459" s="392"/>
      <c r="BA459" s="392"/>
      <c r="BB459" s="392"/>
      <c r="BC459" s="392"/>
      <c r="BD459" s="392"/>
      <c r="BE459" s="392"/>
      <c r="BF459" s="392"/>
      <c r="BG459" s="392"/>
      <c r="BH459" s="392"/>
      <c r="BI459" s="392"/>
      <c r="BJ459" s="392"/>
      <c r="BK459" s="392"/>
      <c r="BL459" s="392"/>
      <c r="BM459" s="392"/>
      <c r="BN459" s="392"/>
      <c r="BO459" s="392"/>
      <c r="BP459" s="392"/>
      <c r="BQ459" s="392"/>
      <c r="BR459" s="392"/>
      <c r="BS459" s="392"/>
      <c r="BT459" s="392"/>
    </row>
    <row r="460" ht="15.75" customHeight="1">
      <c r="A460" s="216"/>
      <c r="B460" s="156"/>
      <c r="C460" s="156"/>
      <c r="D460" s="156"/>
      <c r="E460" s="392"/>
      <c r="F460" s="392"/>
      <c r="G460" s="392"/>
      <c r="H460" s="392"/>
      <c r="I460" s="392"/>
      <c r="J460" s="392"/>
      <c r="K460" s="392"/>
      <c r="L460" s="392"/>
      <c r="M460" s="392"/>
      <c r="N460" s="392"/>
      <c r="O460" s="392"/>
      <c r="P460" s="392"/>
      <c r="Q460" s="392"/>
      <c r="R460" s="392"/>
      <c r="S460" s="392"/>
      <c r="T460" s="392"/>
      <c r="U460" s="392"/>
      <c r="V460" s="392"/>
      <c r="W460" s="392"/>
      <c r="X460" s="392"/>
      <c r="Y460" s="392"/>
      <c r="Z460" s="392"/>
      <c r="AA460" s="392"/>
      <c r="AB460" s="392"/>
      <c r="AC460" s="392"/>
      <c r="AD460" s="392"/>
      <c r="AE460" s="392"/>
      <c r="AF460" s="392"/>
      <c r="AG460" s="392"/>
      <c r="AH460" s="392"/>
      <c r="AI460" s="392"/>
      <c r="AJ460" s="392"/>
      <c r="AK460" s="392"/>
      <c r="AL460" s="392"/>
      <c r="AM460" s="392"/>
      <c r="AN460" s="392"/>
      <c r="AO460" s="392"/>
      <c r="AP460" s="392"/>
      <c r="AQ460" s="392"/>
      <c r="AR460" s="392"/>
      <c r="AS460" s="392"/>
      <c r="AT460" s="392"/>
      <c r="AU460" s="392"/>
      <c r="AV460" s="392"/>
      <c r="AW460" s="392"/>
      <c r="AX460" s="392"/>
      <c r="AY460" s="392"/>
      <c r="AZ460" s="392"/>
      <c r="BA460" s="392"/>
      <c r="BB460" s="392"/>
      <c r="BC460" s="392"/>
      <c r="BD460" s="392"/>
      <c r="BE460" s="392"/>
      <c r="BF460" s="392"/>
      <c r="BG460" s="392"/>
      <c r="BH460" s="392"/>
      <c r="BI460" s="392"/>
      <c r="BJ460" s="392"/>
      <c r="BK460" s="392"/>
      <c r="BL460" s="392"/>
      <c r="BM460" s="392"/>
      <c r="BN460" s="392"/>
      <c r="BO460" s="392"/>
      <c r="BP460" s="392"/>
      <c r="BQ460" s="392"/>
      <c r="BR460" s="392"/>
      <c r="BS460" s="392"/>
      <c r="BT460" s="392"/>
    </row>
    <row r="461" ht="15.75" customHeight="1">
      <c r="A461" s="216"/>
      <c r="B461" s="156"/>
      <c r="C461" s="156"/>
      <c r="D461" s="156"/>
      <c r="E461" s="392"/>
      <c r="F461" s="392"/>
      <c r="G461" s="392"/>
      <c r="H461" s="392"/>
      <c r="I461" s="392"/>
      <c r="J461" s="392"/>
      <c r="K461" s="392"/>
      <c r="L461" s="392"/>
      <c r="M461" s="392"/>
      <c r="N461" s="392"/>
      <c r="O461" s="392"/>
      <c r="P461" s="392"/>
      <c r="Q461" s="392"/>
      <c r="R461" s="392"/>
      <c r="S461" s="392"/>
      <c r="T461" s="392"/>
      <c r="U461" s="392"/>
      <c r="V461" s="392"/>
      <c r="W461" s="392"/>
      <c r="X461" s="392"/>
      <c r="Y461" s="392"/>
      <c r="Z461" s="392"/>
      <c r="AA461" s="392"/>
      <c r="AB461" s="392"/>
      <c r="AC461" s="392"/>
      <c r="AD461" s="392"/>
      <c r="AE461" s="392"/>
      <c r="AF461" s="392"/>
      <c r="AG461" s="392"/>
      <c r="AH461" s="392"/>
      <c r="AI461" s="392"/>
      <c r="AJ461" s="392"/>
      <c r="AK461" s="392"/>
      <c r="AL461" s="392"/>
      <c r="AM461" s="392"/>
      <c r="AN461" s="392"/>
      <c r="AO461" s="392"/>
      <c r="AP461" s="392"/>
      <c r="AQ461" s="392"/>
      <c r="AR461" s="392"/>
      <c r="AS461" s="392"/>
      <c r="AT461" s="392"/>
      <c r="AU461" s="392"/>
      <c r="AV461" s="392"/>
      <c r="AW461" s="392"/>
      <c r="AX461" s="392"/>
      <c r="AY461" s="392"/>
      <c r="AZ461" s="392"/>
      <c r="BA461" s="392"/>
      <c r="BB461" s="392"/>
      <c r="BC461" s="392"/>
      <c r="BD461" s="392"/>
      <c r="BE461" s="392"/>
      <c r="BF461" s="392"/>
      <c r="BG461" s="392"/>
      <c r="BH461" s="392"/>
      <c r="BI461" s="392"/>
      <c r="BJ461" s="392"/>
      <c r="BK461" s="392"/>
      <c r="BL461" s="392"/>
      <c r="BM461" s="392"/>
      <c r="BN461" s="392"/>
      <c r="BO461" s="392"/>
      <c r="BP461" s="392"/>
      <c r="BQ461" s="392"/>
      <c r="BR461" s="392"/>
      <c r="BS461" s="392"/>
      <c r="BT461" s="392"/>
    </row>
    <row r="462" ht="15.75" customHeight="1">
      <c r="A462" s="216"/>
      <c r="B462" s="156"/>
      <c r="C462" s="156"/>
      <c r="D462" s="156"/>
      <c r="E462" s="392"/>
      <c r="F462" s="392"/>
      <c r="G462" s="392"/>
      <c r="H462" s="392"/>
      <c r="I462" s="392"/>
      <c r="J462" s="392"/>
      <c r="K462" s="392"/>
      <c r="L462" s="392"/>
      <c r="M462" s="392"/>
      <c r="N462" s="392"/>
      <c r="O462" s="392"/>
      <c r="P462" s="392"/>
      <c r="Q462" s="392"/>
      <c r="R462" s="392"/>
      <c r="S462" s="392"/>
      <c r="T462" s="392"/>
      <c r="U462" s="392"/>
      <c r="V462" s="392"/>
      <c r="W462" s="392"/>
      <c r="X462" s="392"/>
      <c r="Y462" s="392"/>
      <c r="Z462" s="392"/>
      <c r="AA462" s="392"/>
      <c r="AB462" s="392"/>
      <c r="AC462" s="392"/>
      <c r="AD462" s="392"/>
      <c r="AE462" s="392"/>
      <c r="AF462" s="392"/>
      <c r="AG462" s="392"/>
      <c r="AH462" s="392"/>
      <c r="AI462" s="392"/>
      <c r="AJ462" s="392"/>
      <c r="AK462" s="392"/>
      <c r="AL462" s="392"/>
      <c r="AM462" s="392"/>
      <c r="AN462" s="392"/>
      <c r="AO462" s="392"/>
      <c r="AP462" s="392"/>
      <c r="AQ462" s="392"/>
      <c r="AR462" s="392"/>
      <c r="AS462" s="392"/>
      <c r="AT462" s="392"/>
      <c r="AU462" s="392"/>
      <c r="AV462" s="392"/>
      <c r="AW462" s="392"/>
      <c r="AX462" s="392"/>
      <c r="AY462" s="392"/>
      <c r="AZ462" s="392"/>
      <c r="BA462" s="392"/>
      <c r="BB462" s="392"/>
      <c r="BC462" s="392"/>
      <c r="BD462" s="392"/>
      <c r="BE462" s="392"/>
      <c r="BF462" s="392"/>
      <c r="BG462" s="392"/>
      <c r="BH462" s="392"/>
      <c r="BI462" s="392"/>
      <c r="BJ462" s="392"/>
      <c r="BK462" s="392"/>
      <c r="BL462" s="392"/>
      <c r="BM462" s="392"/>
      <c r="BN462" s="392"/>
      <c r="BO462" s="392"/>
      <c r="BP462" s="392"/>
      <c r="BQ462" s="392"/>
      <c r="BR462" s="392"/>
      <c r="BS462" s="392"/>
      <c r="BT462" s="392"/>
    </row>
    <row r="463" ht="15.75" customHeight="1">
      <c r="A463" s="216"/>
      <c r="B463" s="156"/>
      <c r="C463" s="156"/>
      <c r="D463" s="156"/>
      <c r="E463" s="392"/>
      <c r="F463" s="392"/>
      <c r="G463" s="392"/>
      <c r="H463" s="392"/>
      <c r="I463" s="392"/>
      <c r="J463" s="392"/>
      <c r="K463" s="392"/>
      <c r="L463" s="392"/>
      <c r="M463" s="392"/>
      <c r="N463" s="392"/>
      <c r="O463" s="392"/>
      <c r="P463" s="392"/>
      <c r="Q463" s="392"/>
      <c r="R463" s="392"/>
      <c r="S463" s="392"/>
      <c r="T463" s="392"/>
      <c r="U463" s="392"/>
      <c r="V463" s="392"/>
      <c r="W463" s="392"/>
      <c r="X463" s="392"/>
      <c r="Y463" s="392"/>
      <c r="Z463" s="392"/>
      <c r="AA463" s="392"/>
      <c r="AB463" s="392"/>
      <c r="AC463" s="392"/>
      <c r="AD463" s="392"/>
      <c r="AE463" s="392"/>
      <c r="AF463" s="392"/>
      <c r="AG463" s="392"/>
      <c r="AH463" s="392"/>
      <c r="AI463" s="392"/>
      <c r="AJ463" s="392"/>
      <c r="AK463" s="392"/>
      <c r="AL463" s="392"/>
      <c r="AM463" s="392"/>
      <c r="AN463" s="392"/>
      <c r="AO463" s="392"/>
      <c r="AP463" s="392"/>
      <c r="AQ463" s="392"/>
      <c r="AR463" s="392"/>
      <c r="AS463" s="392"/>
      <c r="AT463" s="392"/>
      <c r="AU463" s="392"/>
      <c r="AV463" s="392"/>
      <c r="AW463" s="392"/>
      <c r="AX463" s="392"/>
      <c r="AY463" s="392"/>
      <c r="AZ463" s="392"/>
      <c r="BA463" s="392"/>
      <c r="BB463" s="392"/>
      <c r="BC463" s="392"/>
      <c r="BD463" s="392"/>
      <c r="BE463" s="392"/>
      <c r="BF463" s="392"/>
      <c r="BG463" s="392"/>
      <c r="BH463" s="392"/>
      <c r="BI463" s="392"/>
      <c r="BJ463" s="392"/>
      <c r="BK463" s="392"/>
      <c r="BL463" s="392"/>
      <c r="BM463" s="392"/>
      <c r="BN463" s="392"/>
      <c r="BO463" s="392"/>
      <c r="BP463" s="392"/>
      <c r="BQ463" s="392"/>
      <c r="BR463" s="392"/>
      <c r="BS463" s="392"/>
      <c r="BT463" s="392"/>
    </row>
    <row r="464" ht="15.75" customHeight="1">
      <c r="A464" s="216"/>
      <c r="B464" s="156"/>
      <c r="C464" s="156"/>
      <c r="D464" s="156"/>
      <c r="E464" s="392"/>
      <c r="F464" s="392"/>
      <c r="G464" s="392"/>
      <c r="H464" s="392"/>
      <c r="I464" s="392"/>
      <c r="J464" s="392"/>
      <c r="K464" s="392"/>
      <c r="L464" s="392"/>
      <c r="M464" s="392"/>
      <c r="N464" s="392"/>
      <c r="O464" s="392"/>
      <c r="P464" s="392"/>
      <c r="Q464" s="392"/>
      <c r="R464" s="392"/>
      <c r="S464" s="392"/>
      <c r="T464" s="392"/>
      <c r="U464" s="392"/>
      <c r="V464" s="392"/>
      <c r="W464" s="392"/>
      <c r="X464" s="392"/>
      <c r="Y464" s="392"/>
      <c r="Z464" s="392"/>
      <c r="AA464" s="392"/>
      <c r="AB464" s="392"/>
      <c r="AC464" s="392"/>
      <c r="AD464" s="392"/>
      <c r="AE464" s="392"/>
      <c r="AF464" s="392"/>
      <c r="AG464" s="392"/>
      <c r="AH464" s="392"/>
      <c r="AI464" s="392"/>
      <c r="AJ464" s="392"/>
      <c r="AK464" s="392"/>
      <c r="AL464" s="392"/>
      <c r="AM464" s="392"/>
      <c r="AN464" s="392"/>
      <c r="AO464" s="392"/>
      <c r="AP464" s="392"/>
      <c r="AQ464" s="392"/>
      <c r="AR464" s="392"/>
      <c r="AS464" s="392"/>
      <c r="AT464" s="392"/>
      <c r="AU464" s="392"/>
      <c r="AV464" s="392"/>
      <c r="AW464" s="392"/>
      <c r="AX464" s="392"/>
      <c r="AY464" s="392"/>
      <c r="AZ464" s="392"/>
      <c r="BA464" s="392"/>
      <c r="BB464" s="392"/>
      <c r="BC464" s="392"/>
      <c r="BD464" s="392"/>
      <c r="BE464" s="392"/>
      <c r="BF464" s="392"/>
      <c r="BG464" s="392"/>
      <c r="BH464" s="392"/>
      <c r="BI464" s="392"/>
      <c r="BJ464" s="392"/>
      <c r="BK464" s="392"/>
      <c r="BL464" s="392"/>
      <c r="BM464" s="392"/>
      <c r="BN464" s="392"/>
      <c r="BO464" s="392"/>
      <c r="BP464" s="392"/>
      <c r="BQ464" s="392"/>
      <c r="BR464" s="392"/>
      <c r="BS464" s="392"/>
      <c r="BT464" s="392"/>
    </row>
    <row r="465" ht="15.75" customHeight="1">
      <c r="A465" s="216"/>
      <c r="B465" s="156"/>
      <c r="C465" s="156"/>
      <c r="D465" s="156"/>
      <c r="E465" s="392"/>
      <c r="F465" s="392"/>
      <c r="G465" s="392"/>
      <c r="H465" s="392"/>
      <c r="I465" s="392"/>
      <c r="J465" s="392"/>
      <c r="K465" s="392"/>
      <c r="L465" s="392"/>
      <c r="M465" s="392"/>
      <c r="N465" s="392"/>
      <c r="O465" s="392"/>
      <c r="P465" s="392"/>
      <c r="Q465" s="392"/>
      <c r="R465" s="392"/>
      <c r="S465" s="392"/>
      <c r="T465" s="392"/>
      <c r="U465" s="392"/>
      <c r="V465" s="392"/>
      <c r="W465" s="392"/>
      <c r="X465" s="392"/>
      <c r="Y465" s="392"/>
      <c r="Z465" s="392"/>
      <c r="AA465" s="392"/>
      <c r="AB465" s="392"/>
      <c r="AC465" s="392"/>
      <c r="AD465" s="392"/>
      <c r="AE465" s="392"/>
      <c r="AF465" s="392"/>
      <c r="AG465" s="392"/>
      <c r="AH465" s="392"/>
      <c r="AI465" s="392"/>
      <c r="AJ465" s="392"/>
      <c r="AK465" s="392"/>
      <c r="AL465" s="392"/>
      <c r="AM465" s="392"/>
      <c r="AN465" s="392"/>
      <c r="AO465" s="392"/>
      <c r="AP465" s="392"/>
      <c r="AQ465" s="392"/>
      <c r="AR465" s="392"/>
      <c r="AS465" s="392"/>
      <c r="AT465" s="392"/>
      <c r="AU465" s="392"/>
      <c r="AV465" s="392"/>
      <c r="AW465" s="392"/>
      <c r="AX465" s="392"/>
      <c r="AY465" s="392"/>
      <c r="AZ465" s="392"/>
      <c r="BA465" s="392"/>
      <c r="BB465" s="392"/>
      <c r="BC465" s="392"/>
      <c r="BD465" s="392"/>
      <c r="BE465" s="392"/>
      <c r="BF465" s="392"/>
      <c r="BG465" s="392"/>
      <c r="BH465" s="392"/>
      <c r="BI465" s="392"/>
      <c r="BJ465" s="392"/>
      <c r="BK465" s="392"/>
      <c r="BL465" s="392"/>
      <c r="BM465" s="392"/>
      <c r="BN465" s="392"/>
      <c r="BO465" s="392"/>
      <c r="BP465" s="392"/>
      <c r="BQ465" s="392"/>
      <c r="BR465" s="392"/>
      <c r="BS465" s="392"/>
      <c r="BT465" s="392"/>
    </row>
    <row r="466" ht="15.75" customHeight="1">
      <c r="A466" s="216"/>
      <c r="B466" s="156"/>
      <c r="C466" s="156"/>
      <c r="D466" s="156"/>
      <c r="E466" s="392"/>
      <c r="F466" s="392"/>
      <c r="G466" s="392"/>
      <c r="H466" s="392"/>
      <c r="I466" s="392"/>
      <c r="J466" s="392"/>
      <c r="K466" s="392"/>
      <c r="L466" s="392"/>
      <c r="M466" s="392"/>
      <c r="N466" s="392"/>
      <c r="O466" s="392"/>
      <c r="P466" s="392"/>
      <c r="Q466" s="392"/>
      <c r="R466" s="392"/>
      <c r="S466" s="392"/>
      <c r="T466" s="392"/>
      <c r="U466" s="392"/>
      <c r="V466" s="392"/>
      <c r="W466" s="392"/>
      <c r="X466" s="392"/>
      <c r="Y466" s="392"/>
      <c r="Z466" s="392"/>
      <c r="AA466" s="392"/>
      <c r="AB466" s="392"/>
      <c r="AC466" s="392"/>
      <c r="AD466" s="392"/>
      <c r="AE466" s="392"/>
      <c r="AF466" s="392"/>
      <c r="AG466" s="392"/>
      <c r="AH466" s="392"/>
      <c r="AI466" s="392"/>
      <c r="AJ466" s="392"/>
      <c r="AK466" s="392"/>
      <c r="AL466" s="392"/>
      <c r="AM466" s="392"/>
      <c r="AN466" s="392"/>
      <c r="AO466" s="392"/>
      <c r="AP466" s="392"/>
      <c r="AQ466" s="392"/>
      <c r="AR466" s="392"/>
      <c r="AS466" s="392"/>
      <c r="AT466" s="392"/>
      <c r="AU466" s="392"/>
      <c r="AV466" s="392"/>
      <c r="AW466" s="392"/>
      <c r="AX466" s="392"/>
      <c r="AY466" s="392"/>
      <c r="AZ466" s="392"/>
      <c r="BA466" s="392"/>
      <c r="BB466" s="392"/>
      <c r="BC466" s="392"/>
      <c r="BD466" s="392"/>
      <c r="BE466" s="392"/>
      <c r="BF466" s="392"/>
      <c r="BG466" s="392"/>
      <c r="BH466" s="392"/>
      <c r="BI466" s="392"/>
      <c r="BJ466" s="392"/>
      <c r="BK466" s="392"/>
      <c r="BL466" s="392"/>
      <c r="BM466" s="392"/>
      <c r="BN466" s="392"/>
      <c r="BO466" s="392"/>
      <c r="BP466" s="392"/>
      <c r="BQ466" s="392"/>
      <c r="BR466" s="392"/>
      <c r="BS466" s="392"/>
      <c r="BT466" s="392"/>
    </row>
    <row r="467" ht="15.75" customHeight="1">
      <c r="A467" s="216"/>
      <c r="B467" s="156"/>
      <c r="C467" s="156"/>
      <c r="D467" s="156"/>
      <c r="E467" s="392"/>
      <c r="F467" s="392"/>
      <c r="G467" s="392"/>
      <c r="H467" s="392"/>
      <c r="I467" s="392"/>
      <c r="J467" s="392"/>
      <c r="K467" s="392"/>
      <c r="L467" s="392"/>
      <c r="M467" s="392"/>
      <c r="N467" s="392"/>
      <c r="O467" s="392"/>
      <c r="P467" s="392"/>
      <c r="Q467" s="392"/>
      <c r="R467" s="392"/>
      <c r="S467" s="392"/>
      <c r="T467" s="392"/>
      <c r="U467" s="392"/>
      <c r="V467" s="392"/>
      <c r="W467" s="392"/>
      <c r="X467" s="392"/>
      <c r="Y467" s="392"/>
      <c r="Z467" s="392"/>
      <c r="AA467" s="392"/>
      <c r="AB467" s="392"/>
      <c r="AC467" s="392"/>
      <c r="AD467" s="392"/>
      <c r="AE467" s="392"/>
      <c r="AF467" s="392"/>
      <c r="AG467" s="392"/>
      <c r="AH467" s="392"/>
      <c r="AI467" s="392"/>
      <c r="AJ467" s="392"/>
      <c r="AK467" s="392"/>
      <c r="AL467" s="392"/>
      <c r="AM467" s="392"/>
      <c r="AN467" s="392"/>
      <c r="AO467" s="392"/>
      <c r="AP467" s="392"/>
      <c r="AQ467" s="392"/>
      <c r="AR467" s="392"/>
      <c r="AS467" s="392"/>
      <c r="AT467" s="392"/>
      <c r="AU467" s="392"/>
      <c r="AV467" s="392"/>
      <c r="AW467" s="392"/>
      <c r="AX467" s="392"/>
      <c r="AY467" s="392"/>
      <c r="AZ467" s="392"/>
      <c r="BA467" s="392"/>
      <c r="BB467" s="392"/>
      <c r="BC467" s="392"/>
      <c r="BD467" s="392"/>
      <c r="BE467" s="392"/>
      <c r="BF467" s="392"/>
      <c r="BG467" s="392"/>
      <c r="BH467" s="392"/>
      <c r="BI467" s="392"/>
      <c r="BJ467" s="392"/>
      <c r="BK467" s="392"/>
      <c r="BL467" s="392"/>
      <c r="BM467" s="392"/>
      <c r="BN467" s="392"/>
      <c r="BO467" s="392"/>
      <c r="BP467" s="392"/>
      <c r="BQ467" s="392"/>
      <c r="BR467" s="392"/>
      <c r="BS467" s="392"/>
      <c r="BT467" s="392"/>
    </row>
    <row r="468" ht="15.75" customHeight="1">
      <c r="A468" s="216"/>
      <c r="B468" s="156"/>
      <c r="C468" s="156"/>
      <c r="D468" s="156"/>
      <c r="E468" s="392"/>
      <c r="F468" s="392"/>
      <c r="G468" s="392"/>
      <c r="H468" s="392"/>
      <c r="I468" s="392"/>
      <c r="J468" s="392"/>
      <c r="K468" s="392"/>
      <c r="L468" s="392"/>
      <c r="M468" s="392"/>
      <c r="N468" s="392"/>
      <c r="O468" s="392"/>
      <c r="P468" s="392"/>
      <c r="Q468" s="392"/>
      <c r="R468" s="392"/>
      <c r="S468" s="392"/>
      <c r="T468" s="392"/>
      <c r="U468" s="392"/>
      <c r="V468" s="392"/>
      <c r="W468" s="392"/>
      <c r="X468" s="392"/>
      <c r="Y468" s="392"/>
      <c r="Z468" s="392"/>
      <c r="AA468" s="392"/>
      <c r="AB468" s="392"/>
      <c r="AC468" s="392"/>
      <c r="AD468" s="392"/>
      <c r="AE468" s="392"/>
      <c r="AF468" s="392"/>
      <c r="AG468" s="392"/>
      <c r="AH468" s="392"/>
      <c r="AI468" s="392"/>
      <c r="AJ468" s="392"/>
      <c r="AK468" s="392"/>
      <c r="AL468" s="392"/>
      <c r="AM468" s="392"/>
      <c r="AN468" s="392"/>
      <c r="AO468" s="392"/>
      <c r="AP468" s="392"/>
      <c r="AQ468" s="392"/>
      <c r="AR468" s="392"/>
      <c r="AS468" s="392"/>
      <c r="AT468" s="392"/>
      <c r="AU468" s="392"/>
      <c r="AV468" s="392"/>
      <c r="AW468" s="392"/>
      <c r="AX468" s="392"/>
      <c r="AY468" s="392"/>
      <c r="AZ468" s="392"/>
      <c r="BA468" s="392"/>
      <c r="BB468" s="392"/>
      <c r="BC468" s="392"/>
      <c r="BD468" s="392"/>
      <c r="BE468" s="392"/>
      <c r="BF468" s="392"/>
      <c r="BG468" s="392"/>
      <c r="BH468" s="392"/>
      <c r="BI468" s="392"/>
      <c r="BJ468" s="392"/>
      <c r="BK468" s="392"/>
      <c r="BL468" s="392"/>
      <c r="BM468" s="392"/>
      <c r="BN468" s="392"/>
      <c r="BO468" s="392"/>
      <c r="BP468" s="392"/>
      <c r="BQ468" s="392"/>
      <c r="BR468" s="392"/>
      <c r="BS468" s="392"/>
      <c r="BT468" s="392"/>
    </row>
    <row r="469" ht="15.75" customHeight="1">
      <c r="A469" s="216"/>
      <c r="B469" s="156"/>
      <c r="C469" s="156"/>
      <c r="D469" s="156"/>
      <c r="E469" s="392"/>
      <c r="F469" s="392"/>
      <c r="G469" s="392"/>
      <c r="H469" s="392"/>
      <c r="I469" s="392"/>
      <c r="J469" s="392"/>
      <c r="K469" s="392"/>
      <c r="L469" s="392"/>
      <c r="M469" s="392"/>
      <c r="N469" s="392"/>
      <c r="O469" s="392"/>
      <c r="P469" s="392"/>
      <c r="Q469" s="392"/>
      <c r="R469" s="392"/>
      <c r="S469" s="392"/>
      <c r="T469" s="392"/>
      <c r="U469" s="392"/>
      <c r="V469" s="392"/>
      <c r="W469" s="392"/>
      <c r="X469" s="392"/>
      <c r="Y469" s="392"/>
      <c r="Z469" s="392"/>
      <c r="AA469" s="392"/>
      <c r="AB469" s="392"/>
      <c r="AC469" s="392"/>
      <c r="AD469" s="392"/>
      <c r="AE469" s="392"/>
      <c r="AF469" s="392"/>
      <c r="AG469" s="392"/>
      <c r="AH469" s="392"/>
      <c r="AI469" s="392"/>
      <c r="AJ469" s="392"/>
      <c r="AK469" s="392"/>
      <c r="AL469" s="392"/>
      <c r="AM469" s="392"/>
      <c r="AN469" s="392"/>
      <c r="AO469" s="392"/>
      <c r="AP469" s="392"/>
      <c r="AQ469" s="392"/>
      <c r="AR469" s="392"/>
      <c r="AS469" s="392"/>
      <c r="AT469" s="392"/>
      <c r="AU469" s="392"/>
      <c r="AV469" s="392"/>
      <c r="AW469" s="392"/>
      <c r="AX469" s="392"/>
      <c r="AY469" s="392"/>
      <c r="AZ469" s="392"/>
      <c r="BA469" s="392"/>
      <c r="BB469" s="392"/>
      <c r="BC469" s="392"/>
      <c r="BD469" s="392"/>
      <c r="BE469" s="392"/>
      <c r="BF469" s="392"/>
      <c r="BG469" s="392"/>
      <c r="BH469" s="392"/>
      <c r="BI469" s="392"/>
      <c r="BJ469" s="392"/>
      <c r="BK469" s="392"/>
      <c r="BL469" s="392"/>
      <c r="BM469" s="392"/>
      <c r="BN469" s="392"/>
      <c r="BO469" s="392"/>
      <c r="BP469" s="392"/>
      <c r="BQ469" s="392"/>
      <c r="BR469" s="392"/>
      <c r="BS469" s="392"/>
      <c r="BT469" s="392"/>
    </row>
    <row r="470" ht="15.75" customHeight="1">
      <c r="A470" s="216"/>
      <c r="B470" s="156"/>
      <c r="C470" s="156"/>
      <c r="D470" s="156"/>
      <c r="E470" s="392"/>
      <c r="F470" s="392"/>
      <c r="G470" s="392"/>
      <c r="H470" s="392"/>
      <c r="I470" s="392"/>
      <c r="J470" s="392"/>
      <c r="K470" s="392"/>
      <c r="L470" s="392"/>
      <c r="M470" s="392"/>
      <c r="N470" s="392"/>
      <c r="O470" s="392"/>
      <c r="P470" s="392"/>
      <c r="Q470" s="392"/>
      <c r="R470" s="392"/>
      <c r="S470" s="392"/>
      <c r="T470" s="392"/>
      <c r="U470" s="392"/>
      <c r="V470" s="392"/>
      <c r="W470" s="392"/>
      <c r="X470" s="392"/>
      <c r="Y470" s="392"/>
      <c r="Z470" s="392"/>
      <c r="AA470" s="392"/>
      <c r="AB470" s="392"/>
      <c r="AC470" s="392"/>
      <c r="AD470" s="392"/>
      <c r="AE470" s="392"/>
      <c r="AF470" s="392"/>
      <c r="AG470" s="392"/>
      <c r="AH470" s="392"/>
      <c r="AI470" s="392"/>
      <c r="AJ470" s="392"/>
      <c r="AK470" s="392"/>
      <c r="AL470" s="392"/>
      <c r="AM470" s="392"/>
      <c r="AN470" s="392"/>
      <c r="AO470" s="392"/>
      <c r="AP470" s="392"/>
      <c r="AQ470" s="392"/>
      <c r="AR470" s="392"/>
      <c r="AS470" s="392"/>
      <c r="AT470" s="392"/>
      <c r="AU470" s="392"/>
      <c r="AV470" s="392"/>
      <c r="AW470" s="392"/>
      <c r="AX470" s="392"/>
      <c r="AY470" s="392"/>
      <c r="AZ470" s="392"/>
      <c r="BA470" s="392"/>
      <c r="BB470" s="392"/>
      <c r="BC470" s="392"/>
      <c r="BD470" s="392"/>
      <c r="BE470" s="392"/>
      <c r="BF470" s="392"/>
      <c r="BG470" s="392"/>
      <c r="BH470" s="392"/>
      <c r="BI470" s="392"/>
      <c r="BJ470" s="392"/>
      <c r="BK470" s="392"/>
      <c r="BL470" s="392"/>
      <c r="BM470" s="392"/>
      <c r="BN470" s="392"/>
      <c r="BO470" s="392"/>
      <c r="BP470" s="392"/>
      <c r="BQ470" s="392"/>
      <c r="BR470" s="392"/>
      <c r="BS470" s="392"/>
      <c r="BT470" s="392"/>
    </row>
    <row r="471" ht="15.75" customHeight="1">
      <c r="A471" s="216"/>
      <c r="B471" s="156"/>
      <c r="C471" s="156"/>
      <c r="D471" s="156"/>
      <c r="E471" s="392"/>
      <c r="F471" s="392"/>
      <c r="G471" s="392"/>
      <c r="H471" s="392"/>
      <c r="I471" s="392"/>
      <c r="J471" s="392"/>
      <c r="K471" s="392"/>
      <c r="L471" s="392"/>
      <c r="M471" s="392"/>
      <c r="N471" s="392"/>
      <c r="O471" s="392"/>
      <c r="P471" s="392"/>
      <c r="Q471" s="392"/>
      <c r="R471" s="392"/>
      <c r="S471" s="392"/>
      <c r="T471" s="392"/>
      <c r="U471" s="392"/>
      <c r="V471" s="392"/>
      <c r="W471" s="392"/>
      <c r="X471" s="392"/>
      <c r="Y471" s="392"/>
      <c r="Z471" s="392"/>
      <c r="AA471" s="392"/>
      <c r="AB471" s="392"/>
      <c r="AC471" s="392"/>
      <c r="AD471" s="392"/>
      <c r="AE471" s="392"/>
      <c r="AF471" s="392"/>
      <c r="AG471" s="392"/>
      <c r="AH471" s="392"/>
      <c r="AI471" s="392"/>
      <c r="AJ471" s="392"/>
      <c r="AK471" s="392"/>
      <c r="AL471" s="392"/>
      <c r="AM471" s="392"/>
      <c r="AN471" s="392"/>
      <c r="AO471" s="392"/>
      <c r="AP471" s="392"/>
      <c r="AQ471" s="392"/>
      <c r="AR471" s="392"/>
      <c r="AS471" s="392"/>
      <c r="AT471" s="392"/>
      <c r="AU471" s="392"/>
      <c r="AV471" s="392"/>
      <c r="AW471" s="392"/>
      <c r="AX471" s="392"/>
      <c r="AY471" s="392"/>
      <c r="AZ471" s="392"/>
      <c r="BA471" s="392"/>
      <c r="BB471" s="392"/>
      <c r="BC471" s="392"/>
      <c r="BD471" s="392"/>
      <c r="BE471" s="392"/>
      <c r="BF471" s="392"/>
      <c r="BG471" s="392"/>
      <c r="BH471" s="392"/>
      <c r="BI471" s="392"/>
      <c r="BJ471" s="392"/>
      <c r="BK471" s="392"/>
      <c r="BL471" s="392"/>
      <c r="BM471" s="392"/>
      <c r="BN471" s="392"/>
      <c r="BO471" s="392"/>
      <c r="BP471" s="392"/>
      <c r="BQ471" s="392"/>
      <c r="BR471" s="392"/>
      <c r="BS471" s="392"/>
      <c r="BT471" s="392"/>
    </row>
    <row r="472" ht="15.75" customHeight="1">
      <c r="A472" s="216"/>
      <c r="B472" s="156"/>
      <c r="C472" s="156"/>
      <c r="D472" s="156"/>
      <c r="E472" s="392"/>
      <c r="F472" s="392"/>
      <c r="G472" s="392"/>
      <c r="H472" s="392"/>
      <c r="I472" s="392"/>
      <c r="J472" s="392"/>
      <c r="K472" s="392"/>
      <c r="L472" s="392"/>
      <c r="M472" s="392"/>
      <c r="N472" s="392"/>
      <c r="O472" s="392"/>
      <c r="P472" s="392"/>
      <c r="Q472" s="392"/>
      <c r="R472" s="392"/>
      <c r="S472" s="392"/>
      <c r="T472" s="392"/>
      <c r="U472" s="392"/>
      <c r="V472" s="392"/>
      <c r="W472" s="392"/>
      <c r="X472" s="392"/>
      <c r="Y472" s="392"/>
      <c r="Z472" s="392"/>
      <c r="AA472" s="392"/>
      <c r="AB472" s="392"/>
      <c r="AC472" s="392"/>
      <c r="AD472" s="392"/>
      <c r="AE472" s="392"/>
      <c r="AF472" s="392"/>
      <c r="AG472" s="392"/>
      <c r="AH472" s="392"/>
      <c r="AI472" s="392"/>
      <c r="AJ472" s="392"/>
      <c r="AK472" s="392"/>
      <c r="AL472" s="392"/>
      <c r="AM472" s="392"/>
      <c r="AN472" s="392"/>
      <c r="AO472" s="392"/>
      <c r="AP472" s="392"/>
      <c r="AQ472" s="392"/>
      <c r="AR472" s="392"/>
      <c r="AS472" s="392"/>
      <c r="AT472" s="392"/>
      <c r="AU472" s="392"/>
      <c r="AV472" s="392"/>
      <c r="AW472" s="392"/>
      <c r="AX472" s="392"/>
      <c r="AY472" s="392"/>
      <c r="AZ472" s="392"/>
      <c r="BA472" s="392"/>
      <c r="BB472" s="392"/>
      <c r="BC472" s="392"/>
      <c r="BD472" s="392"/>
      <c r="BE472" s="392"/>
      <c r="BF472" s="392"/>
      <c r="BG472" s="392"/>
      <c r="BH472" s="392"/>
      <c r="BI472" s="392"/>
      <c r="BJ472" s="392"/>
      <c r="BK472" s="392"/>
      <c r="BL472" s="392"/>
      <c r="BM472" s="392"/>
      <c r="BN472" s="392"/>
      <c r="BO472" s="392"/>
      <c r="BP472" s="392"/>
      <c r="BQ472" s="392"/>
      <c r="BR472" s="392"/>
      <c r="BS472" s="392"/>
      <c r="BT472" s="392"/>
    </row>
    <row r="473" ht="15.75" customHeight="1">
      <c r="A473" s="216"/>
      <c r="B473" s="156"/>
      <c r="C473" s="156"/>
      <c r="D473" s="156"/>
      <c r="E473" s="392"/>
      <c r="F473" s="392"/>
      <c r="G473" s="392"/>
      <c r="H473" s="392"/>
      <c r="I473" s="392"/>
      <c r="J473" s="392"/>
      <c r="K473" s="392"/>
      <c r="L473" s="392"/>
      <c r="M473" s="392"/>
      <c r="N473" s="392"/>
      <c r="O473" s="392"/>
      <c r="P473" s="392"/>
      <c r="Q473" s="392"/>
      <c r="R473" s="392"/>
      <c r="S473" s="392"/>
      <c r="T473" s="392"/>
      <c r="U473" s="392"/>
      <c r="V473" s="392"/>
      <c r="W473" s="392"/>
      <c r="X473" s="392"/>
      <c r="Y473" s="392"/>
      <c r="Z473" s="392"/>
      <c r="AA473" s="392"/>
      <c r="AB473" s="392"/>
      <c r="AC473" s="392"/>
      <c r="AD473" s="392"/>
      <c r="AE473" s="392"/>
      <c r="AF473" s="392"/>
      <c r="AG473" s="392"/>
      <c r="AH473" s="392"/>
      <c r="AI473" s="392"/>
      <c r="AJ473" s="392"/>
      <c r="AK473" s="392"/>
      <c r="AL473" s="392"/>
      <c r="AM473" s="392"/>
      <c r="AN473" s="392"/>
      <c r="AO473" s="392"/>
      <c r="AP473" s="392"/>
      <c r="AQ473" s="392"/>
      <c r="AR473" s="392"/>
      <c r="AS473" s="392"/>
      <c r="AT473" s="392"/>
      <c r="AU473" s="392"/>
      <c r="AV473" s="392"/>
      <c r="AW473" s="392"/>
      <c r="AX473" s="392"/>
      <c r="AY473" s="392"/>
      <c r="AZ473" s="392"/>
      <c r="BA473" s="392"/>
      <c r="BB473" s="392"/>
      <c r="BC473" s="392"/>
      <c r="BD473" s="392"/>
      <c r="BE473" s="392"/>
      <c r="BF473" s="392"/>
      <c r="BG473" s="392"/>
      <c r="BH473" s="392"/>
      <c r="BI473" s="392"/>
      <c r="BJ473" s="392"/>
      <c r="BK473" s="392"/>
      <c r="BL473" s="392"/>
      <c r="BM473" s="392"/>
      <c r="BN473" s="392"/>
      <c r="BO473" s="392"/>
      <c r="BP473" s="392"/>
      <c r="BQ473" s="392"/>
      <c r="BR473" s="392"/>
      <c r="BS473" s="392"/>
      <c r="BT473" s="392"/>
    </row>
    <row r="474" ht="15.75" customHeight="1">
      <c r="A474" s="216"/>
      <c r="B474" s="156"/>
      <c r="C474" s="156"/>
      <c r="D474" s="156"/>
      <c r="E474" s="392"/>
      <c r="F474" s="392"/>
      <c r="G474" s="392"/>
      <c r="H474" s="392"/>
      <c r="I474" s="392"/>
      <c r="J474" s="392"/>
      <c r="K474" s="392"/>
      <c r="L474" s="392"/>
      <c r="M474" s="392"/>
      <c r="N474" s="392"/>
      <c r="O474" s="392"/>
      <c r="P474" s="392"/>
      <c r="Q474" s="392"/>
      <c r="R474" s="392"/>
      <c r="S474" s="392"/>
      <c r="T474" s="392"/>
      <c r="U474" s="392"/>
      <c r="V474" s="392"/>
      <c r="W474" s="392"/>
      <c r="X474" s="392"/>
      <c r="Y474" s="392"/>
      <c r="Z474" s="392"/>
      <c r="AA474" s="392"/>
      <c r="AB474" s="392"/>
      <c r="AC474" s="392"/>
      <c r="AD474" s="392"/>
      <c r="AE474" s="392"/>
      <c r="AF474" s="392"/>
      <c r="AG474" s="392"/>
      <c r="AH474" s="392"/>
      <c r="AI474" s="392"/>
      <c r="AJ474" s="392"/>
      <c r="AK474" s="392"/>
      <c r="AL474" s="392"/>
      <c r="AM474" s="392"/>
      <c r="AN474" s="392"/>
      <c r="AO474" s="392"/>
      <c r="AP474" s="392"/>
      <c r="AQ474" s="392"/>
      <c r="AR474" s="392"/>
      <c r="AS474" s="392"/>
      <c r="AT474" s="392"/>
      <c r="AU474" s="392"/>
      <c r="AV474" s="392"/>
      <c r="AW474" s="392"/>
      <c r="AX474" s="392"/>
      <c r="AY474" s="392"/>
      <c r="AZ474" s="392"/>
      <c r="BA474" s="392"/>
      <c r="BB474" s="392"/>
      <c r="BC474" s="392"/>
      <c r="BD474" s="392"/>
      <c r="BE474" s="392"/>
      <c r="BF474" s="392"/>
      <c r="BG474" s="392"/>
      <c r="BH474" s="392"/>
      <c r="BI474" s="392"/>
      <c r="BJ474" s="392"/>
      <c r="BK474" s="392"/>
      <c r="BL474" s="392"/>
      <c r="BM474" s="392"/>
      <c r="BN474" s="392"/>
      <c r="BO474" s="392"/>
      <c r="BP474" s="392"/>
      <c r="BQ474" s="392"/>
      <c r="BR474" s="392"/>
      <c r="BS474" s="392"/>
      <c r="BT474" s="392"/>
    </row>
    <row r="475" ht="15.75" customHeight="1">
      <c r="A475" s="216"/>
      <c r="B475" s="156"/>
      <c r="C475" s="156"/>
      <c r="D475" s="156"/>
      <c r="E475" s="392"/>
      <c r="F475" s="392"/>
      <c r="G475" s="392"/>
      <c r="H475" s="392"/>
      <c r="I475" s="392"/>
      <c r="J475" s="392"/>
      <c r="K475" s="392"/>
      <c r="L475" s="392"/>
      <c r="M475" s="392"/>
      <c r="N475" s="392"/>
      <c r="O475" s="392"/>
      <c r="P475" s="392"/>
      <c r="Q475" s="392"/>
      <c r="R475" s="392"/>
      <c r="S475" s="392"/>
      <c r="T475" s="392"/>
      <c r="U475" s="392"/>
      <c r="V475" s="392"/>
      <c r="W475" s="392"/>
      <c r="X475" s="392"/>
      <c r="Y475" s="392"/>
      <c r="Z475" s="392"/>
      <c r="AA475" s="392"/>
      <c r="AB475" s="392"/>
      <c r="AC475" s="392"/>
      <c r="AD475" s="392"/>
      <c r="AE475" s="392"/>
      <c r="AF475" s="392"/>
      <c r="AG475" s="392"/>
      <c r="AH475" s="392"/>
      <c r="AI475" s="392"/>
      <c r="AJ475" s="392"/>
      <c r="AK475" s="392"/>
      <c r="AL475" s="392"/>
      <c r="AM475" s="392"/>
      <c r="AN475" s="392"/>
      <c r="AO475" s="392"/>
      <c r="AP475" s="392"/>
      <c r="AQ475" s="392"/>
      <c r="AR475" s="392"/>
      <c r="AS475" s="392"/>
      <c r="AT475" s="392"/>
      <c r="AU475" s="392"/>
      <c r="AV475" s="392"/>
      <c r="AW475" s="392"/>
      <c r="AX475" s="392"/>
      <c r="AY475" s="392"/>
      <c r="AZ475" s="392"/>
      <c r="BA475" s="392"/>
      <c r="BB475" s="392"/>
      <c r="BC475" s="392"/>
      <c r="BD475" s="392"/>
      <c r="BE475" s="392"/>
      <c r="BF475" s="392"/>
      <c r="BG475" s="392"/>
      <c r="BH475" s="392"/>
      <c r="BI475" s="392"/>
      <c r="BJ475" s="392"/>
      <c r="BK475" s="392"/>
      <c r="BL475" s="392"/>
      <c r="BM475" s="392"/>
      <c r="BN475" s="392"/>
      <c r="BO475" s="392"/>
      <c r="BP475" s="392"/>
      <c r="BQ475" s="392"/>
      <c r="BR475" s="392"/>
      <c r="BS475" s="392"/>
      <c r="BT475" s="392"/>
    </row>
    <row r="476" ht="15.75" customHeight="1">
      <c r="A476" s="216"/>
      <c r="B476" s="156"/>
      <c r="C476" s="156"/>
      <c r="D476" s="156"/>
      <c r="E476" s="392"/>
      <c r="F476" s="392"/>
      <c r="G476" s="392"/>
      <c r="H476" s="392"/>
      <c r="I476" s="392"/>
      <c r="J476" s="392"/>
      <c r="K476" s="392"/>
      <c r="L476" s="392"/>
      <c r="M476" s="392"/>
      <c r="N476" s="392"/>
      <c r="O476" s="392"/>
      <c r="P476" s="392"/>
      <c r="Q476" s="392"/>
      <c r="R476" s="392"/>
      <c r="S476" s="392"/>
      <c r="T476" s="392"/>
      <c r="U476" s="392"/>
      <c r="V476" s="392"/>
      <c r="W476" s="392"/>
      <c r="X476" s="392"/>
      <c r="Y476" s="392"/>
      <c r="Z476" s="392"/>
      <c r="AA476" s="392"/>
      <c r="AB476" s="392"/>
      <c r="AC476" s="392"/>
      <c r="AD476" s="392"/>
      <c r="AE476" s="392"/>
      <c r="AF476" s="392"/>
      <c r="AG476" s="392"/>
      <c r="AH476" s="392"/>
      <c r="AI476" s="392"/>
      <c r="AJ476" s="392"/>
      <c r="AK476" s="392"/>
      <c r="AL476" s="392"/>
      <c r="AM476" s="392"/>
      <c r="AN476" s="392"/>
      <c r="AO476" s="392"/>
      <c r="AP476" s="392"/>
      <c r="AQ476" s="392"/>
      <c r="AR476" s="392"/>
      <c r="AS476" s="392"/>
      <c r="AT476" s="392"/>
      <c r="AU476" s="392"/>
      <c r="AV476" s="392"/>
      <c r="AW476" s="392"/>
      <c r="AX476" s="392"/>
      <c r="AY476" s="392"/>
      <c r="AZ476" s="392"/>
      <c r="BA476" s="392"/>
      <c r="BB476" s="392"/>
      <c r="BC476" s="392"/>
      <c r="BD476" s="392"/>
      <c r="BE476" s="392"/>
      <c r="BF476" s="392"/>
      <c r="BG476" s="392"/>
      <c r="BH476" s="392"/>
      <c r="BI476" s="392"/>
      <c r="BJ476" s="392"/>
      <c r="BK476" s="392"/>
      <c r="BL476" s="392"/>
      <c r="BM476" s="392"/>
      <c r="BN476" s="392"/>
      <c r="BO476" s="392"/>
      <c r="BP476" s="392"/>
      <c r="BQ476" s="392"/>
      <c r="BR476" s="392"/>
      <c r="BS476" s="392"/>
      <c r="BT476" s="392"/>
    </row>
    <row r="477" ht="15.75" customHeight="1">
      <c r="A477" s="216"/>
      <c r="B477" s="156"/>
      <c r="C477" s="156"/>
      <c r="D477" s="156"/>
      <c r="E477" s="392"/>
      <c r="F477" s="392"/>
      <c r="G477" s="392"/>
      <c r="H477" s="392"/>
      <c r="I477" s="392"/>
      <c r="J477" s="392"/>
      <c r="K477" s="392"/>
      <c r="L477" s="392"/>
      <c r="M477" s="392"/>
      <c r="N477" s="392"/>
      <c r="O477" s="392"/>
      <c r="P477" s="392"/>
      <c r="Q477" s="392"/>
      <c r="R477" s="392"/>
      <c r="S477" s="392"/>
      <c r="T477" s="392"/>
      <c r="U477" s="392"/>
      <c r="V477" s="392"/>
      <c r="W477" s="392"/>
      <c r="X477" s="392"/>
      <c r="Y477" s="392"/>
      <c r="Z477" s="392"/>
      <c r="AA477" s="392"/>
      <c r="AB477" s="392"/>
      <c r="AC477" s="392"/>
      <c r="AD477" s="392"/>
      <c r="AE477" s="392"/>
      <c r="AF477" s="392"/>
      <c r="AG477" s="392"/>
      <c r="AH477" s="392"/>
      <c r="AI477" s="392"/>
      <c r="AJ477" s="392"/>
      <c r="AK477" s="392"/>
      <c r="AL477" s="392"/>
      <c r="AM477" s="392"/>
      <c r="AN477" s="392"/>
      <c r="AO477" s="392"/>
      <c r="AP477" s="392"/>
      <c r="AQ477" s="392"/>
      <c r="AR477" s="392"/>
      <c r="AS477" s="392"/>
      <c r="AT477" s="392"/>
      <c r="AU477" s="392"/>
      <c r="AV477" s="392"/>
      <c r="AW477" s="392"/>
      <c r="AX477" s="392"/>
      <c r="AY477" s="392"/>
      <c r="AZ477" s="392"/>
      <c r="BA477" s="392"/>
      <c r="BB477" s="392"/>
      <c r="BC477" s="392"/>
      <c r="BD477" s="392"/>
      <c r="BE477" s="392"/>
      <c r="BF477" s="392"/>
      <c r="BG477" s="392"/>
      <c r="BH477" s="392"/>
      <c r="BI477" s="392"/>
      <c r="BJ477" s="392"/>
      <c r="BK477" s="392"/>
      <c r="BL477" s="392"/>
      <c r="BM477" s="392"/>
      <c r="BN477" s="392"/>
      <c r="BO477" s="392"/>
      <c r="BP477" s="392"/>
      <c r="BQ477" s="392"/>
      <c r="BR477" s="392"/>
      <c r="BS477" s="392"/>
      <c r="BT477" s="392"/>
    </row>
    <row r="478" ht="15.75" customHeight="1">
      <c r="A478" s="216"/>
      <c r="B478" s="156"/>
      <c r="C478" s="156"/>
      <c r="D478" s="156"/>
      <c r="E478" s="392"/>
      <c r="F478" s="392"/>
      <c r="G478" s="392"/>
      <c r="H478" s="392"/>
      <c r="I478" s="392"/>
      <c r="J478" s="392"/>
      <c r="K478" s="392"/>
      <c r="L478" s="392"/>
      <c r="M478" s="392"/>
      <c r="N478" s="392"/>
      <c r="O478" s="392"/>
      <c r="P478" s="392"/>
      <c r="Q478" s="392"/>
      <c r="R478" s="392"/>
      <c r="S478" s="392"/>
      <c r="T478" s="392"/>
      <c r="U478" s="392"/>
      <c r="V478" s="392"/>
      <c r="W478" s="392"/>
      <c r="X478" s="392"/>
      <c r="Y478" s="392"/>
      <c r="Z478" s="392"/>
      <c r="AA478" s="392"/>
      <c r="AB478" s="392"/>
      <c r="AC478" s="392"/>
      <c r="AD478" s="392"/>
      <c r="AE478" s="392"/>
      <c r="AF478" s="392"/>
      <c r="AG478" s="392"/>
      <c r="AH478" s="392"/>
      <c r="AI478" s="392"/>
      <c r="AJ478" s="392"/>
      <c r="AK478" s="392"/>
      <c r="AL478" s="392"/>
      <c r="AM478" s="392"/>
      <c r="AN478" s="392"/>
      <c r="AO478" s="392"/>
      <c r="AP478" s="392"/>
      <c r="AQ478" s="392"/>
      <c r="AR478" s="392"/>
      <c r="AS478" s="392"/>
      <c r="AT478" s="392"/>
      <c r="AU478" s="392"/>
      <c r="AV478" s="392"/>
      <c r="AW478" s="392"/>
      <c r="AX478" s="392"/>
      <c r="AY478" s="392"/>
      <c r="AZ478" s="392"/>
      <c r="BA478" s="392"/>
      <c r="BB478" s="392"/>
      <c r="BC478" s="392"/>
      <c r="BD478" s="392"/>
      <c r="BE478" s="392"/>
      <c r="BF478" s="392"/>
      <c r="BG478" s="392"/>
      <c r="BH478" s="392"/>
      <c r="BI478" s="392"/>
      <c r="BJ478" s="392"/>
      <c r="BK478" s="392"/>
      <c r="BL478" s="392"/>
      <c r="BM478" s="392"/>
      <c r="BN478" s="392"/>
      <c r="BO478" s="392"/>
      <c r="BP478" s="392"/>
      <c r="BQ478" s="392"/>
      <c r="BR478" s="392"/>
      <c r="BS478" s="392"/>
      <c r="BT478" s="392"/>
    </row>
    <row r="479" ht="15.75" customHeight="1">
      <c r="A479" s="216"/>
      <c r="B479" s="156"/>
      <c r="C479" s="156"/>
      <c r="D479" s="156"/>
      <c r="E479" s="392"/>
      <c r="F479" s="392"/>
      <c r="G479" s="392"/>
      <c r="H479" s="392"/>
      <c r="I479" s="392"/>
      <c r="J479" s="392"/>
      <c r="K479" s="392"/>
      <c r="L479" s="392"/>
      <c r="M479" s="392"/>
      <c r="N479" s="392"/>
      <c r="O479" s="392"/>
      <c r="P479" s="392"/>
      <c r="Q479" s="392"/>
      <c r="R479" s="392"/>
      <c r="S479" s="392"/>
      <c r="T479" s="392"/>
      <c r="U479" s="392"/>
      <c r="V479" s="392"/>
      <c r="W479" s="392"/>
      <c r="X479" s="392"/>
      <c r="Y479" s="392"/>
      <c r="Z479" s="392"/>
      <c r="AA479" s="392"/>
      <c r="AB479" s="392"/>
      <c r="AC479" s="392"/>
      <c r="AD479" s="392"/>
      <c r="AE479" s="392"/>
      <c r="AF479" s="392"/>
      <c r="AG479" s="392"/>
      <c r="AH479" s="392"/>
      <c r="AI479" s="392"/>
      <c r="AJ479" s="392"/>
      <c r="AK479" s="392"/>
      <c r="AL479" s="392"/>
      <c r="AM479" s="392"/>
      <c r="AN479" s="392"/>
      <c r="AO479" s="392"/>
      <c r="AP479" s="392"/>
      <c r="AQ479" s="392"/>
      <c r="AR479" s="392"/>
      <c r="AS479" s="392"/>
      <c r="AT479" s="392"/>
      <c r="AU479" s="392"/>
      <c r="AV479" s="392"/>
      <c r="AW479" s="392"/>
      <c r="AX479" s="392"/>
      <c r="AY479" s="392"/>
      <c r="AZ479" s="392"/>
      <c r="BA479" s="392"/>
      <c r="BB479" s="392"/>
      <c r="BC479" s="392"/>
      <c r="BD479" s="392"/>
      <c r="BE479" s="392"/>
      <c r="BF479" s="392"/>
      <c r="BG479" s="392"/>
      <c r="BH479" s="392"/>
      <c r="BI479" s="392"/>
      <c r="BJ479" s="392"/>
      <c r="BK479" s="392"/>
      <c r="BL479" s="392"/>
      <c r="BM479" s="392"/>
      <c r="BN479" s="392"/>
      <c r="BO479" s="392"/>
      <c r="BP479" s="392"/>
      <c r="BQ479" s="392"/>
      <c r="BR479" s="392"/>
      <c r="BS479" s="392"/>
      <c r="BT479" s="392"/>
    </row>
    <row r="480" ht="15.75" customHeight="1">
      <c r="A480" s="216"/>
      <c r="B480" s="156"/>
      <c r="C480" s="156"/>
      <c r="D480" s="156"/>
      <c r="E480" s="392"/>
      <c r="F480" s="392"/>
      <c r="G480" s="392"/>
      <c r="H480" s="392"/>
      <c r="I480" s="392"/>
      <c r="J480" s="392"/>
      <c r="K480" s="392"/>
      <c r="L480" s="392"/>
      <c r="M480" s="392"/>
      <c r="N480" s="392"/>
      <c r="O480" s="392"/>
      <c r="P480" s="392"/>
      <c r="Q480" s="392"/>
      <c r="R480" s="392"/>
      <c r="S480" s="392"/>
      <c r="T480" s="392"/>
      <c r="U480" s="392"/>
      <c r="V480" s="392"/>
      <c r="W480" s="392"/>
      <c r="X480" s="392"/>
      <c r="Y480" s="392"/>
      <c r="Z480" s="392"/>
      <c r="AA480" s="392"/>
      <c r="AB480" s="392"/>
      <c r="AC480" s="392"/>
      <c r="AD480" s="392"/>
      <c r="AE480" s="392"/>
      <c r="AF480" s="392"/>
      <c r="AG480" s="392"/>
      <c r="AH480" s="392"/>
      <c r="AI480" s="392"/>
      <c r="AJ480" s="392"/>
      <c r="AK480" s="392"/>
      <c r="AL480" s="392"/>
      <c r="AM480" s="392"/>
      <c r="AN480" s="392"/>
      <c r="AO480" s="392"/>
      <c r="AP480" s="392"/>
      <c r="AQ480" s="392"/>
      <c r="AR480" s="392"/>
      <c r="AS480" s="392"/>
      <c r="AT480" s="392"/>
      <c r="AU480" s="392"/>
      <c r="AV480" s="392"/>
      <c r="AW480" s="392"/>
      <c r="AX480" s="392"/>
      <c r="AY480" s="392"/>
      <c r="AZ480" s="392"/>
      <c r="BA480" s="392"/>
      <c r="BB480" s="392"/>
      <c r="BC480" s="392"/>
      <c r="BD480" s="392"/>
      <c r="BE480" s="392"/>
      <c r="BF480" s="392"/>
      <c r="BG480" s="392"/>
      <c r="BH480" s="392"/>
      <c r="BI480" s="392"/>
      <c r="BJ480" s="392"/>
      <c r="BK480" s="392"/>
      <c r="BL480" s="392"/>
      <c r="BM480" s="392"/>
      <c r="BN480" s="392"/>
      <c r="BO480" s="392"/>
      <c r="BP480" s="392"/>
      <c r="BQ480" s="392"/>
      <c r="BR480" s="392"/>
      <c r="BS480" s="392"/>
      <c r="BT480" s="392"/>
    </row>
    <row r="481" ht="15.75" customHeight="1">
      <c r="A481" s="216"/>
      <c r="B481" s="156"/>
      <c r="C481" s="156"/>
      <c r="D481" s="156"/>
      <c r="E481" s="392"/>
      <c r="F481" s="392"/>
      <c r="G481" s="392"/>
      <c r="H481" s="392"/>
      <c r="I481" s="392"/>
      <c r="J481" s="392"/>
      <c r="K481" s="392"/>
      <c r="L481" s="392"/>
      <c r="M481" s="392"/>
      <c r="N481" s="392"/>
      <c r="O481" s="392"/>
      <c r="P481" s="392"/>
      <c r="Q481" s="392"/>
      <c r="R481" s="392"/>
      <c r="S481" s="392"/>
      <c r="T481" s="392"/>
      <c r="U481" s="392"/>
      <c r="V481" s="392"/>
      <c r="W481" s="392"/>
      <c r="X481" s="392"/>
      <c r="Y481" s="392"/>
      <c r="Z481" s="392"/>
      <c r="AA481" s="392"/>
      <c r="AB481" s="392"/>
      <c r="AC481" s="392"/>
      <c r="AD481" s="392"/>
      <c r="AE481" s="392"/>
      <c r="AF481" s="392"/>
      <c r="AG481" s="392"/>
      <c r="AH481" s="392"/>
      <c r="AI481" s="392"/>
      <c r="AJ481" s="392"/>
      <c r="AK481" s="392"/>
      <c r="AL481" s="392"/>
      <c r="AM481" s="392"/>
      <c r="AN481" s="392"/>
      <c r="AO481" s="392"/>
      <c r="AP481" s="392"/>
      <c r="AQ481" s="392"/>
      <c r="AR481" s="392"/>
      <c r="AS481" s="392"/>
      <c r="AT481" s="392"/>
      <c r="AU481" s="392"/>
      <c r="AV481" s="392"/>
      <c r="AW481" s="392"/>
      <c r="AX481" s="392"/>
      <c r="AY481" s="392"/>
      <c r="AZ481" s="392"/>
      <c r="BA481" s="392"/>
      <c r="BB481" s="392"/>
      <c r="BC481" s="392"/>
      <c r="BD481" s="392"/>
      <c r="BE481" s="392"/>
      <c r="BF481" s="392"/>
      <c r="BG481" s="392"/>
      <c r="BH481" s="392"/>
      <c r="BI481" s="392"/>
      <c r="BJ481" s="392"/>
      <c r="BK481" s="392"/>
      <c r="BL481" s="392"/>
      <c r="BM481" s="392"/>
      <c r="BN481" s="392"/>
      <c r="BO481" s="392"/>
      <c r="BP481" s="392"/>
      <c r="BQ481" s="392"/>
      <c r="BR481" s="392"/>
      <c r="BS481" s="392"/>
      <c r="BT481" s="392"/>
    </row>
    <row r="482" ht="15.75" customHeight="1">
      <c r="A482" s="216"/>
      <c r="B482" s="156"/>
      <c r="C482" s="156"/>
      <c r="D482" s="156"/>
      <c r="E482" s="392"/>
      <c r="F482" s="392"/>
      <c r="G482" s="392"/>
      <c r="H482" s="392"/>
      <c r="I482" s="392"/>
      <c r="J482" s="392"/>
      <c r="K482" s="392"/>
      <c r="L482" s="392"/>
      <c r="M482" s="392"/>
      <c r="N482" s="392"/>
      <c r="O482" s="392"/>
      <c r="P482" s="392"/>
      <c r="Q482" s="392"/>
      <c r="R482" s="392"/>
      <c r="S482" s="392"/>
      <c r="T482" s="392"/>
      <c r="U482" s="392"/>
      <c r="V482" s="392"/>
      <c r="W482" s="392"/>
      <c r="X482" s="392"/>
      <c r="Y482" s="392"/>
      <c r="Z482" s="392"/>
      <c r="AA482" s="392"/>
      <c r="AB482" s="392"/>
      <c r="AC482" s="392"/>
      <c r="AD482" s="392"/>
      <c r="AE482" s="392"/>
      <c r="AF482" s="392"/>
      <c r="AG482" s="392"/>
      <c r="AH482" s="392"/>
      <c r="AI482" s="392"/>
      <c r="AJ482" s="392"/>
      <c r="AK482" s="392"/>
      <c r="AL482" s="392"/>
      <c r="AM482" s="392"/>
      <c r="AN482" s="392"/>
      <c r="AO482" s="392"/>
      <c r="AP482" s="392"/>
      <c r="AQ482" s="392"/>
      <c r="AR482" s="392"/>
      <c r="AS482" s="392"/>
      <c r="AT482" s="392"/>
      <c r="AU482" s="392"/>
      <c r="AV482" s="392"/>
      <c r="AW482" s="392"/>
      <c r="AX482" s="392"/>
      <c r="AY482" s="392"/>
      <c r="AZ482" s="392"/>
      <c r="BA482" s="392"/>
      <c r="BB482" s="392"/>
      <c r="BC482" s="392"/>
      <c r="BD482" s="392"/>
      <c r="BE482" s="392"/>
      <c r="BF482" s="392"/>
      <c r="BG482" s="392"/>
      <c r="BH482" s="392"/>
      <c r="BI482" s="392"/>
      <c r="BJ482" s="392"/>
      <c r="BK482" s="392"/>
      <c r="BL482" s="392"/>
      <c r="BM482" s="392"/>
      <c r="BN482" s="392"/>
      <c r="BO482" s="392"/>
      <c r="BP482" s="392"/>
      <c r="BQ482" s="392"/>
      <c r="BR482" s="392"/>
      <c r="BS482" s="392"/>
      <c r="BT482" s="392"/>
    </row>
    <row r="483" ht="15.75" customHeight="1">
      <c r="A483" s="216"/>
      <c r="B483" s="156"/>
      <c r="C483" s="156"/>
      <c r="D483" s="156"/>
      <c r="E483" s="392"/>
      <c r="F483" s="392"/>
      <c r="G483" s="392"/>
      <c r="H483" s="392"/>
      <c r="I483" s="392"/>
      <c r="J483" s="392"/>
      <c r="K483" s="392"/>
      <c r="L483" s="392"/>
      <c r="M483" s="392"/>
      <c r="N483" s="392"/>
      <c r="O483" s="392"/>
      <c r="P483" s="392"/>
      <c r="Q483" s="392"/>
      <c r="R483" s="392"/>
      <c r="S483" s="392"/>
      <c r="T483" s="392"/>
      <c r="U483" s="392"/>
      <c r="V483" s="392"/>
      <c r="W483" s="392"/>
      <c r="X483" s="392"/>
      <c r="Y483" s="392"/>
      <c r="Z483" s="392"/>
      <c r="AA483" s="392"/>
      <c r="AB483" s="392"/>
      <c r="AC483" s="392"/>
      <c r="AD483" s="392"/>
      <c r="AE483" s="392"/>
      <c r="AF483" s="392"/>
      <c r="AG483" s="392"/>
      <c r="AH483" s="392"/>
      <c r="AI483" s="392"/>
      <c r="AJ483" s="392"/>
      <c r="AK483" s="392"/>
      <c r="AL483" s="392"/>
      <c r="AM483" s="392"/>
      <c r="AN483" s="392"/>
      <c r="AO483" s="392"/>
      <c r="AP483" s="392"/>
      <c r="AQ483" s="392"/>
      <c r="AR483" s="392"/>
      <c r="AS483" s="392"/>
      <c r="AT483" s="392"/>
      <c r="AU483" s="392"/>
      <c r="AV483" s="392"/>
      <c r="AW483" s="392"/>
      <c r="AX483" s="392"/>
      <c r="AY483" s="392"/>
      <c r="AZ483" s="392"/>
      <c r="BA483" s="392"/>
      <c r="BB483" s="392"/>
      <c r="BC483" s="392"/>
      <c r="BD483" s="392"/>
      <c r="BE483" s="392"/>
      <c r="BF483" s="392"/>
      <c r="BG483" s="392"/>
      <c r="BH483" s="392"/>
      <c r="BI483" s="392"/>
      <c r="BJ483" s="392"/>
      <c r="BK483" s="392"/>
      <c r="BL483" s="392"/>
      <c r="BM483" s="392"/>
      <c r="BN483" s="392"/>
      <c r="BO483" s="392"/>
      <c r="BP483" s="392"/>
      <c r="BQ483" s="392"/>
      <c r="BR483" s="392"/>
      <c r="BS483" s="392"/>
      <c r="BT483" s="392"/>
    </row>
    <row r="484" ht="15.75" customHeight="1">
      <c r="A484" s="216"/>
      <c r="B484" s="156"/>
      <c r="C484" s="156"/>
      <c r="D484" s="156"/>
      <c r="E484" s="392"/>
      <c r="F484" s="392"/>
      <c r="G484" s="392"/>
      <c r="H484" s="392"/>
      <c r="I484" s="392"/>
      <c r="J484" s="392"/>
      <c r="K484" s="392"/>
      <c r="L484" s="392"/>
      <c r="M484" s="392"/>
      <c r="N484" s="392"/>
      <c r="O484" s="392"/>
      <c r="P484" s="392"/>
      <c r="Q484" s="392"/>
      <c r="R484" s="392"/>
      <c r="S484" s="392"/>
      <c r="T484" s="392"/>
      <c r="U484" s="392"/>
      <c r="V484" s="392"/>
      <c r="W484" s="392"/>
      <c r="X484" s="392"/>
      <c r="Y484" s="392"/>
      <c r="Z484" s="392"/>
      <c r="AA484" s="392"/>
      <c r="AB484" s="392"/>
      <c r="AC484" s="392"/>
      <c r="AD484" s="392"/>
      <c r="AE484" s="392"/>
      <c r="AF484" s="392"/>
      <c r="AG484" s="392"/>
      <c r="AH484" s="392"/>
      <c r="AI484" s="392"/>
      <c r="AJ484" s="392"/>
      <c r="AK484" s="392"/>
      <c r="AL484" s="392"/>
      <c r="AM484" s="392"/>
      <c r="AN484" s="392"/>
      <c r="AO484" s="392"/>
      <c r="AP484" s="392"/>
      <c r="AQ484" s="392"/>
      <c r="AR484" s="392"/>
      <c r="AS484" s="392"/>
      <c r="AT484" s="392"/>
      <c r="AU484" s="392"/>
      <c r="AV484" s="392"/>
      <c r="AW484" s="392"/>
      <c r="AX484" s="392"/>
      <c r="AY484" s="392"/>
      <c r="AZ484" s="392"/>
      <c r="BA484" s="392"/>
      <c r="BB484" s="392"/>
      <c r="BC484" s="392"/>
      <c r="BD484" s="392"/>
      <c r="BE484" s="392"/>
      <c r="BF484" s="392"/>
      <c r="BG484" s="392"/>
      <c r="BH484" s="392"/>
      <c r="BI484" s="392"/>
      <c r="BJ484" s="392"/>
      <c r="BK484" s="392"/>
      <c r="BL484" s="392"/>
      <c r="BM484" s="392"/>
      <c r="BN484" s="392"/>
      <c r="BO484" s="392"/>
      <c r="BP484" s="392"/>
      <c r="BQ484" s="392"/>
      <c r="BR484" s="392"/>
      <c r="BS484" s="392"/>
      <c r="BT484" s="392"/>
    </row>
    <row r="485" ht="15.75" customHeight="1">
      <c r="A485" s="216"/>
      <c r="B485" s="156"/>
      <c r="C485" s="156"/>
      <c r="D485" s="156"/>
      <c r="E485" s="392"/>
      <c r="F485" s="392"/>
      <c r="G485" s="392"/>
      <c r="H485" s="392"/>
      <c r="I485" s="392"/>
      <c r="J485" s="392"/>
      <c r="K485" s="392"/>
      <c r="L485" s="392"/>
      <c r="M485" s="392"/>
      <c r="N485" s="392"/>
      <c r="O485" s="392"/>
      <c r="P485" s="392"/>
      <c r="Q485" s="392"/>
      <c r="R485" s="392"/>
      <c r="S485" s="392"/>
      <c r="T485" s="392"/>
      <c r="U485" s="392"/>
      <c r="V485" s="392"/>
      <c r="W485" s="392"/>
      <c r="X485" s="392"/>
      <c r="Y485" s="392"/>
      <c r="Z485" s="392"/>
      <c r="AA485" s="392"/>
      <c r="AB485" s="392"/>
      <c r="AC485" s="392"/>
      <c r="AD485" s="392"/>
      <c r="AE485" s="392"/>
      <c r="AF485" s="392"/>
      <c r="AG485" s="392"/>
      <c r="AH485" s="392"/>
      <c r="AI485" s="392"/>
      <c r="AJ485" s="392"/>
      <c r="AK485" s="392"/>
      <c r="AL485" s="392"/>
      <c r="AM485" s="392"/>
      <c r="AN485" s="392"/>
      <c r="AO485" s="392"/>
      <c r="AP485" s="392"/>
      <c r="AQ485" s="392"/>
      <c r="AR485" s="392"/>
      <c r="AS485" s="392"/>
      <c r="AT485" s="392"/>
      <c r="AU485" s="392"/>
      <c r="AV485" s="392"/>
      <c r="AW485" s="392"/>
      <c r="AX485" s="392"/>
      <c r="AY485" s="392"/>
      <c r="AZ485" s="392"/>
      <c r="BA485" s="392"/>
      <c r="BB485" s="392"/>
      <c r="BC485" s="392"/>
      <c r="BD485" s="392"/>
      <c r="BE485" s="392"/>
      <c r="BF485" s="392"/>
      <c r="BG485" s="392"/>
      <c r="BH485" s="392"/>
      <c r="BI485" s="392"/>
      <c r="BJ485" s="392"/>
      <c r="BK485" s="392"/>
      <c r="BL485" s="392"/>
      <c r="BM485" s="392"/>
      <c r="BN485" s="392"/>
      <c r="BO485" s="392"/>
      <c r="BP485" s="392"/>
      <c r="BQ485" s="392"/>
      <c r="BR485" s="392"/>
      <c r="BS485" s="392"/>
      <c r="BT485" s="392"/>
    </row>
    <row r="486" ht="15.75" customHeight="1">
      <c r="A486" s="216"/>
      <c r="B486" s="156"/>
      <c r="C486" s="156"/>
      <c r="D486" s="156"/>
      <c r="E486" s="392"/>
      <c r="F486" s="392"/>
      <c r="G486" s="392"/>
      <c r="H486" s="392"/>
      <c r="I486" s="392"/>
      <c r="J486" s="392"/>
      <c r="K486" s="392"/>
      <c r="L486" s="392"/>
      <c r="M486" s="392"/>
      <c r="N486" s="392"/>
      <c r="O486" s="392"/>
      <c r="P486" s="392"/>
      <c r="Q486" s="392"/>
      <c r="R486" s="392"/>
      <c r="S486" s="392"/>
      <c r="T486" s="392"/>
      <c r="U486" s="392"/>
      <c r="V486" s="392"/>
      <c r="W486" s="392"/>
      <c r="X486" s="392"/>
      <c r="Y486" s="392"/>
      <c r="Z486" s="392"/>
      <c r="AA486" s="392"/>
      <c r="AB486" s="392"/>
      <c r="AC486" s="392"/>
      <c r="AD486" s="392"/>
      <c r="AE486" s="392"/>
      <c r="AF486" s="392"/>
      <c r="AG486" s="392"/>
      <c r="AH486" s="392"/>
      <c r="AI486" s="392"/>
      <c r="AJ486" s="392"/>
      <c r="AK486" s="392"/>
      <c r="AL486" s="392"/>
      <c r="AM486" s="392"/>
      <c r="AN486" s="392"/>
      <c r="AO486" s="392"/>
      <c r="AP486" s="392"/>
      <c r="AQ486" s="392"/>
      <c r="AR486" s="392"/>
      <c r="AS486" s="392"/>
      <c r="AT486" s="392"/>
      <c r="AU486" s="392"/>
      <c r="AV486" s="392"/>
      <c r="AW486" s="392"/>
      <c r="AX486" s="392"/>
      <c r="AY486" s="392"/>
      <c r="AZ486" s="392"/>
      <c r="BA486" s="392"/>
      <c r="BB486" s="392"/>
      <c r="BC486" s="392"/>
      <c r="BD486" s="392"/>
      <c r="BE486" s="392"/>
      <c r="BF486" s="392"/>
      <c r="BG486" s="392"/>
      <c r="BH486" s="392"/>
      <c r="BI486" s="392"/>
      <c r="BJ486" s="392"/>
      <c r="BK486" s="392"/>
      <c r="BL486" s="392"/>
      <c r="BM486" s="392"/>
      <c r="BN486" s="392"/>
      <c r="BO486" s="392"/>
      <c r="BP486" s="392"/>
      <c r="BQ486" s="392"/>
      <c r="BR486" s="392"/>
      <c r="BS486" s="392"/>
      <c r="BT486" s="392"/>
    </row>
    <row r="487" ht="15.75" customHeight="1">
      <c r="A487" s="216"/>
      <c r="B487" s="156"/>
      <c r="C487" s="156"/>
      <c r="D487" s="156"/>
      <c r="E487" s="392"/>
      <c r="F487" s="392"/>
      <c r="G487" s="392"/>
      <c r="H487" s="392"/>
      <c r="I487" s="392"/>
      <c r="J487" s="392"/>
      <c r="K487" s="392"/>
      <c r="L487" s="392"/>
      <c r="M487" s="392"/>
      <c r="N487" s="392"/>
      <c r="O487" s="392"/>
      <c r="P487" s="392"/>
      <c r="Q487" s="392"/>
      <c r="R487" s="392"/>
      <c r="S487" s="392"/>
      <c r="T487" s="392"/>
      <c r="U487" s="392"/>
      <c r="V487" s="392"/>
      <c r="W487" s="392"/>
      <c r="X487" s="392"/>
      <c r="Y487" s="392"/>
      <c r="Z487" s="392"/>
      <c r="AA487" s="392"/>
      <c r="AB487" s="392"/>
      <c r="AC487" s="392"/>
      <c r="AD487" s="392"/>
      <c r="AE487" s="392"/>
      <c r="AF487" s="392"/>
      <c r="AG487" s="392"/>
      <c r="AH487" s="392"/>
      <c r="AI487" s="392"/>
      <c r="AJ487" s="392"/>
      <c r="AK487" s="392"/>
      <c r="AL487" s="392"/>
      <c r="AM487" s="392"/>
      <c r="AN487" s="392"/>
      <c r="AO487" s="392"/>
      <c r="AP487" s="392"/>
      <c r="AQ487" s="392"/>
      <c r="AR487" s="392"/>
      <c r="AS487" s="392"/>
      <c r="AT487" s="392"/>
      <c r="AU487" s="392"/>
      <c r="AV487" s="392"/>
      <c r="AW487" s="392"/>
      <c r="AX487" s="392"/>
      <c r="AY487" s="392"/>
      <c r="AZ487" s="392"/>
      <c r="BA487" s="392"/>
      <c r="BB487" s="392"/>
      <c r="BC487" s="392"/>
      <c r="BD487" s="392"/>
      <c r="BE487" s="392"/>
      <c r="BF487" s="392"/>
      <c r="BG487" s="392"/>
      <c r="BH487" s="392"/>
      <c r="BI487" s="392"/>
      <c r="BJ487" s="392"/>
      <c r="BK487" s="392"/>
      <c r="BL487" s="392"/>
      <c r="BM487" s="392"/>
      <c r="BN487" s="392"/>
      <c r="BO487" s="392"/>
      <c r="BP487" s="392"/>
      <c r="BQ487" s="392"/>
      <c r="BR487" s="392"/>
      <c r="BS487" s="392"/>
      <c r="BT487" s="392"/>
    </row>
    <row r="488" ht="15.75" customHeight="1">
      <c r="A488" s="216"/>
      <c r="B488" s="156"/>
      <c r="C488" s="156"/>
      <c r="D488" s="156"/>
      <c r="E488" s="392"/>
      <c r="F488" s="392"/>
      <c r="G488" s="392"/>
      <c r="H488" s="392"/>
      <c r="I488" s="392"/>
      <c r="J488" s="392"/>
      <c r="K488" s="392"/>
      <c r="L488" s="392"/>
      <c r="M488" s="392"/>
      <c r="N488" s="392"/>
      <c r="O488" s="392"/>
      <c r="P488" s="392"/>
      <c r="Q488" s="392"/>
      <c r="R488" s="392"/>
      <c r="S488" s="392"/>
      <c r="T488" s="392"/>
      <c r="U488" s="392"/>
      <c r="V488" s="392"/>
      <c r="W488" s="392"/>
      <c r="X488" s="392"/>
      <c r="Y488" s="392"/>
      <c r="Z488" s="392"/>
      <c r="AA488" s="392"/>
      <c r="AB488" s="392"/>
      <c r="AC488" s="392"/>
      <c r="AD488" s="392"/>
      <c r="AE488" s="392"/>
      <c r="AF488" s="392"/>
      <c r="AG488" s="392"/>
      <c r="AH488" s="392"/>
      <c r="AI488" s="392"/>
      <c r="AJ488" s="392"/>
      <c r="AK488" s="392"/>
      <c r="AL488" s="392"/>
      <c r="AM488" s="392"/>
      <c r="AN488" s="392"/>
      <c r="AO488" s="392"/>
      <c r="AP488" s="392"/>
      <c r="AQ488" s="392"/>
      <c r="AR488" s="392"/>
      <c r="AS488" s="392"/>
      <c r="AT488" s="392"/>
      <c r="AU488" s="392"/>
      <c r="AV488" s="392"/>
      <c r="AW488" s="392"/>
      <c r="AX488" s="392"/>
      <c r="AY488" s="392"/>
      <c r="AZ488" s="392"/>
      <c r="BA488" s="392"/>
      <c r="BB488" s="392"/>
      <c r="BC488" s="392"/>
      <c r="BD488" s="392"/>
      <c r="BE488" s="392"/>
      <c r="BF488" s="392"/>
      <c r="BG488" s="392"/>
      <c r="BH488" s="392"/>
      <c r="BI488" s="392"/>
      <c r="BJ488" s="392"/>
      <c r="BK488" s="392"/>
      <c r="BL488" s="392"/>
      <c r="BM488" s="392"/>
      <c r="BN488" s="392"/>
      <c r="BO488" s="392"/>
      <c r="BP488" s="392"/>
      <c r="BQ488" s="392"/>
      <c r="BR488" s="392"/>
      <c r="BS488" s="392"/>
      <c r="BT488" s="392"/>
    </row>
    <row r="489" ht="15.75" customHeight="1">
      <c r="A489" s="216"/>
      <c r="B489" s="156"/>
      <c r="C489" s="156"/>
      <c r="D489" s="156"/>
      <c r="E489" s="392"/>
      <c r="F489" s="392"/>
      <c r="G489" s="392"/>
      <c r="H489" s="392"/>
      <c r="I489" s="392"/>
      <c r="J489" s="392"/>
      <c r="K489" s="392"/>
      <c r="L489" s="392"/>
      <c r="M489" s="392"/>
      <c r="N489" s="392"/>
      <c r="O489" s="392"/>
      <c r="P489" s="392"/>
      <c r="Q489" s="392"/>
      <c r="R489" s="392"/>
      <c r="S489" s="392"/>
      <c r="T489" s="392"/>
      <c r="U489" s="392"/>
      <c r="V489" s="392"/>
      <c r="W489" s="392"/>
      <c r="X489" s="392"/>
      <c r="Y489" s="392"/>
      <c r="Z489" s="392"/>
      <c r="AA489" s="392"/>
      <c r="AB489" s="392"/>
      <c r="AC489" s="392"/>
      <c r="AD489" s="392"/>
      <c r="AE489" s="392"/>
      <c r="AF489" s="392"/>
      <c r="AG489" s="392"/>
      <c r="AH489" s="392"/>
      <c r="AI489" s="392"/>
      <c r="AJ489" s="392"/>
      <c r="AK489" s="392"/>
      <c r="AL489" s="392"/>
      <c r="AM489" s="392"/>
      <c r="AN489" s="392"/>
      <c r="AO489" s="392"/>
      <c r="AP489" s="392"/>
      <c r="AQ489" s="392"/>
      <c r="AR489" s="392"/>
      <c r="AS489" s="392"/>
      <c r="AT489" s="392"/>
      <c r="AU489" s="392"/>
      <c r="AV489" s="392"/>
      <c r="AW489" s="392"/>
      <c r="AX489" s="392"/>
      <c r="AY489" s="392"/>
      <c r="AZ489" s="392"/>
      <c r="BA489" s="392"/>
      <c r="BB489" s="392"/>
      <c r="BC489" s="392"/>
      <c r="BD489" s="392"/>
      <c r="BE489" s="392"/>
      <c r="BF489" s="392"/>
      <c r="BG489" s="392"/>
      <c r="BH489" s="392"/>
      <c r="BI489" s="392"/>
      <c r="BJ489" s="392"/>
      <c r="BK489" s="392"/>
      <c r="BL489" s="392"/>
      <c r="BM489" s="392"/>
      <c r="BN489" s="392"/>
      <c r="BO489" s="392"/>
      <c r="BP489" s="392"/>
      <c r="BQ489" s="392"/>
      <c r="BR489" s="392"/>
      <c r="BS489" s="392"/>
      <c r="BT489" s="392"/>
    </row>
    <row r="490" ht="15.75" customHeight="1">
      <c r="A490" s="216"/>
      <c r="B490" s="156"/>
      <c r="C490" s="156"/>
      <c r="D490" s="156"/>
      <c r="E490" s="392"/>
      <c r="F490" s="392"/>
      <c r="G490" s="392"/>
      <c r="H490" s="392"/>
      <c r="I490" s="392"/>
      <c r="J490" s="392"/>
      <c r="K490" s="392"/>
      <c r="L490" s="392"/>
      <c r="M490" s="392"/>
      <c r="N490" s="392"/>
      <c r="O490" s="392"/>
      <c r="P490" s="392"/>
      <c r="Q490" s="392"/>
      <c r="R490" s="392"/>
      <c r="S490" s="392"/>
      <c r="T490" s="392"/>
      <c r="U490" s="392"/>
      <c r="V490" s="392"/>
      <c r="W490" s="392"/>
      <c r="X490" s="392"/>
      <c r="Y490" s="392"/>
      <c r="Z490" s="392"/>
      <c r="AA490" s="392"/>
      <c r="AB490" s="392"/>
      <c r="AC490" s="392"/>
      <c r="AD490" s="392"/>
      <c r="AE490" s="392"/>
      <c r="AF490" s="392"/>
      <c r="AG490" s="392"/>
      <c r="AH490" s="392"/>
      <c r="AI490" s="392"/>
      <c r="AJ490" s="392"/>
      <c r="AK490" s="392"/>
      <c r="AL490" s="392"/>
      <c r="AM490" s="392"/>
      <c r="AN490" s="392"/>
      <c r="AO490" s="392"/>
      <c r="AP490" s="392"/>
      <c r="AQ490" s="392"/>
      <c r="AR490" s="392"/>
      <c r="AS490" s="392"/>
      <c r="AT490" s="392"/>
      <c r="AU490" s="392"/>
      <c r="AV490" s="392"/>
      <c r="AW490" s="392"/>
      <c r="AX490" s="392"/>
      <c r="AY490" s="392"/>
      <c r="AZ490" s="392"/>
      <c r="BA490" s="392"/>
      <c r="BB490" s="392"/>
      <c r="BC490" s="392"/>
      <c r="BD490" s="392"/>
      <c r="BE490" s="392"/>
      <c r="BF490" s="392"/>
      <c r="BG490" s="392"/>
      <c r="BH490" s="392"/>
      <c r="BI490" s="392"/>
      <c r="BJ490" s="392"/>
      <c r="BK490" s="392"/>
      <c r="BL490" s="392"/>
      <c r="BM490" s="392"/>
      <c r="BN490" s="392"/>
      <c r="BO490" s="392"/>
      <c r="BP490" s="392"/>
      <c r="BQ490" s="392"/>
      <c r="BR490" s="392"/>
      <c r="BS490" s="392"/>
      <c r="BT490" s="392"/>
    </row>
    <row r="491" ht="15.75" customHeight="1">
      <c r="A491" s="216"/>
      <c r="B491" s="156"/>
      <c r="C491" s="156"/>
      <c r="D491" s="156"/>
      <c r="E491" s="392"/>
      <c r="F491" s="392"/>
      <c r="G491" s="392"/>
      <c r="H491" s="392"/>
      <c r="I491" s="392"/>
      <c r="J491" s="392"/>
      <c r="K491" s="392"/>
      <c r="L491" s="392"/>
      <c r="M491" s="392"/>
      <c r="N491" s="392"/>
      <c r="O491" s="392"/>
      <c r="P491" s="392"/>
      <c r="Q491" s="392"/>
      <c r="R491" s="392"/>
      <c r="S491" s="392"/>
      <c r="T491" s="392"/>
      <c r="U491" s="392"/>
      <c r="V491" s="392"/>
      <c r="W491" s="392"/>
      <c r="X491" s="392"/>
      <c r="Y491" s="392"/>
      <c r="Z491" s="392"/>
      <c r="AA491" s="392"/>
      <c r="AB491" s="392"/>
      <c r="AC491" s="392"/>
      <c r="AD491" s="392"/>
      <c r="AE491" s="392"/>
      <c r="AF491" s="392"/>
      <c r="AG491" s="392"/>
      <c r="AH491" s="392"/>
      <c r="AI491" s="392"/>
      <c r="AJ491" s="392"/>
      <c r="AK491" s="392"/>
      <c r="AL491" s="392"/>
      <c r="AM491" s="392"/>
      <c r="AN491" s="392"/>
      <c r="AO491" s="392"/>
      <c r="AP491" s="392"/>
      <c r="AQ491" s="392"/>
      <c r="AR491" s="392"/>
      <c r="AS491" s="392"/>
      <c r="AT491" s="392"/>
      <c r="AU491" s="392"/>
      <c r="AV491" s="392"/>
      <c r="AW491" s="392"/>
      <c r="AX491" s="392"/>
      <c r="AY491" s="392"/>
      <c r="AZ491" s="392"/>
      <c r="BA491" s="392"/>
      <c r="BB491" s="392"/>
      <c r="BC491" s="392"/>
      <c r="BD491" s="392"/>
      <c r="BE491" s="392"/>
      <c r="BF491" s="392"/>
      <c r="BG491" s="392"/>
      <c r="BH491" s="392"/>
      <c r="BI491" s="392"/>
      <c r="BJ491" s="392"/>
      <c r="BK491" s="392"/>
      <c r="BL491" s="392"/>
      <c r="BM491" s="392"/>
      <c r="BN491" s="392"/>
      <c r="BO491" s="392"/>
      <c r="BP491" s="392"/>
      <c r="BQ491" s="392"/>
      <c r="BR491" s="392"/>
      <c r="BS491" s="392"/>
      <c r="BT491" s="392"/>
    </row>
    <row r="492" ht="15.75" customHeight="1">
      <c r="A492" s="216"/>
      <c r="B492" s="156"/>
      <c r="C492" s="156"/>
      <c r="D492" s="156"/>
      <c r="E492" s="392"/>
      <c r="F492" s="392"/>
      <c r="G492" s="392"/>
      <c r="H492" s="392"/>
      <c r="I492" s="392"/>
      <c r="J492" s="392"/>
      <c r="K492" s="392"/>
      <c r="L492" s="392"/>
      <c r="M492" s="392"/>
      <c r="N492" s="392"/>
      <c r="O492" s="392"/>
      <c r="P492" s="392"/>
      <c r="Q492" s="392"/>
      <c r="R492" s="392"/>
      <c r="S492" s="392"/>
      <c r="T492" s="392"/>
      <c r="U492" s="392"/>
      <c r="V492" s="392"/>
      <c r="W492" s="392"/>
      <c r="X492" s="392"/>
      <c r="Y492" s="392"/>
      <c r="Z492" s="392"/>
      <c r="AA492" s="392"/>
      <c r="AB492" s="392"/>
      <c r="AC492" s="392"/>
      <c r="AD492" s="392"/>
      <c r="AE492" s="392"/>
      <c r="AF492" s="392"/>
      <c r="AG492" s="392"/>
      <c r="AH492" s="392"/>
      <c r="AI492" s="392"/>
      <c r="AJ492" s="392"/>
      <c r="AK492" s="392"/>
      <c r="AL492" s="392"/>
      <c r="AM492" s="392"/>
      <c r="AN492" s="392"/>
      <c r="AO492" s="392"/>
      <c r="AP492" s="392"/>
      <c r="AQ492" s="392"/>
      <c r="AR492" s="392"/>
      <c r="AS492" s="392"/>
      <c r="AT492" s="392"/>
      <c r="AU492" s="392"/>
      <c r="AV492" s="392"/>
      <c r="AW492" s="392"/>
      <c r="AX492" s="392"/>
      <c r="AY492" s="392"/>
      <c r="AZ492" s="392"/>
      <c r="BA492" s="392"/>
      <c r="BB492" s="392"/>
      <c r="BC492" s="392"/>
      <c r="BD492" s="392"/>
      <c r="BE492" s="392"/>
      <c r="BF492" s="392"/>
      <c r="BG492" s="392"/>
      <c r="BH492" s="392"/>
      <c r="BI492" s="392"/>
      <c r="BJ492" s="392"/>
      <c r="BK492" s="392"/>
      <c r="BL492" s="392"/>
      <c r="BM492" s="392"/>
      <c r="BN492" s="392"/>
      <c r="BO492" s="392"/>
      <c r="BP492" s="392"/>
      <c r="BQ492" s="392"/>
      <c r="BR492" s="392"/>
      <c r="BS492" s="392"/>
      <c r="BT492" s="392"/>
    </row>
    <row r="493" ht="15.75" customHeight="1">
      <c r="A493" s="216"/>
      <c r="B493" s="156"/>
      <c r="C493" s="156"/>
      <c r="D493" s="156"/>
      <c r="E493" s="392"/>
      <c r="F493" s="392"/>
      <c r="G493" s="392"/>
      <c r="H493" s="392"/>
      <c r="I493" s="392"/>
      <c r="J493" s="392"/>
      <c r="K493" s="392"/>
      <c r="L493" s="392"/>
      <c r="M493" s="392"/>
      <c r="N493" s="392"/>
      <c r="O493" s="392"/>
      <c r="P493" s="392"/>
      <c r="Q493" s="392"/>
      <c r="R493" s="392"/>
      <c r="S493" s="392"/>
      <c r="T493" s="392"/>
      <c r="U493" s="392"/>
      <c r="V493" s="392"/>
      <c r="W493" s="392"/>
      <c r="X493" s="392"/>
      <c r="Y493" s="392"/>
      <c r="Z493" s="392"/>
      <c r="AA493" s="392"/>
      <c r="AB493" s="392"/>
      <c r="AC493" s="392"/>
      <c r="AD493" s="392"/>
      <c r="AE493" s="392"/>
      <c r="AF493" s="392"/>
      <c r="AG493" s="392"/>
      <c r="AH493" s="392"/>
      <c r="AI493" s="392"/>
      <c r="AJ493" s="392"/>
      <c r="AK493" s="392"/>
      <c r="AL493" s="392"/>
      <c r="AM493" s="392"/>
      <c r="AN493" s="392"/>
      <c r="AO493" s="392"/>
      <c r="AP493" s="392"/>
      <c r="AQ493" s="392"/>
      <c r="AR493" s="392"/>
      <c r="AS493" s="392"/>
      <c r="AT493" s="392"/>
      <c r="AU493" s="392"/>
      <c r="AV493" s="392"/>
      <c r="AW493" s="392"/>
      <c r="AX493" s="392"/>
      <c r="AY493" s="392"/>
      <c r="AZ493" s="392"/>
      <c r="BA493" s="392"/>
      <c r="BB493" s="392"/>
      <c r="BC493" s="392"/>
      <c r="BD493" s="392"/>
      <c r="BE493" s="392"/>
      <c r="BF493" s="392"/>
      <c r="BG493" s="392"/>
      <c r="BH493" s="392"/>
      <c r="BI493" s="392"/>
      <c r="BJ493" s="392"/>
      <c r="BK493" s="392"/>
      <c r="BL493" s="392"/>
      <c r="BM493" s="392"/>
      <c r="BN493" s="392"/>
      <c r="BO493" s="392"/>
      <c r="BP493" s="392"/>
      <c r="BQ493" s="392"/>
      <c r="BR493" s="392"/>
      <c r="BS493" s="392"/>
      <c r="BT493" s="392"/>
    </row>
    <row r="494" ht="15.75" customHeight="1">
      <c r="A494" s="216"/>
      <c r="B494" s="156"/>
      <c r="C494" s="156"/>
      <c r="D494" s="156"/>
      <c r="E494" s="392"/>
      <c r="F494" s="392"/>
      <c r="G494" s="392"/>
      <c r="H494" s="392"/>
      <c r="I494" s="392"/>
      <c r="J494" s="392"/>
      <c r="K494" s="392"/>
      <c r="L494" s="392"/>
      <c r="M494" s="392"/>
      <c r="N494" s="392"/>
      <c r="O494" s="392"/>
      <c r="P494" s="392"/>
      <c r="Q494" s="392"/>
      <c r="R494" s="392"/>
      <c r="S494" s="392"/>
      <c r="T494" s="392"/>
      <c r="U494" s="392"/>
      <c r="V494" s="392"/>
      <c r="W494" s="392"/>
      <c r="X494" s="392"/>
      <c r="Y494" s="392"/>
      <c r="Z494" s="392"/>
      <c r="AA494" s="392"/>
      <c r="AB494" s="392"/>
      <c r="AC494" s="392"/>
      <c r="AD494" s="392"/>
      <c r="AE494" s="392"/>
      <c r="AF494" s="392"/>
      <c r="AG494" s="392"/>
      <c r="AH494" s="392"/>
      <c r="AI494" s="392"/>
      <c r="AJ494" s="392"/>
      <c r="AK494" s="392"/>
      <c r="AL494" s="392"/>
      <c r="AM494" s="392"/>
      <c r="AN494" s="392"/>
      <c r="AO494" s="392"/>
      <c r="AP494" s="392"/>
      <c r="AQ494" s="392"/>
      <c r="AR494" s="392"/>
      <c r="AS494" s="392"/>
      <c r="AT494" s="392"/>
      <c r="AU494" s="392"/>
      <c r="AV494" s="392"/>
      <c r="AW494" s="392"/>
      <c r="AX494" s="392"/>
      <c r="AY494" s="392"/>
      <c r="AZ494" s="392"/>
      <c r="BA494" s="392"/>
      <c r="BB494" s="392"/>
      <c r="BC494" s="392"/>
      <c r="BD494" s="392"/>
      <c r="BE494" s="392"/>
      <c r="BF494" s="392"/>
      <c r="BG494" s="392"/>
      <c r="BH494" s="392"/>
      <c r="BI494" s="392"/>
      <c r="BJ494" s="392"/>
      <c r="BK494" s="392"/>
      <c r="BL494" s="392"/>
      <c r="BM494" s="392"/>
      <c r="BN494" s="392"/>
      <c r="BO494" s="392"/>
      <c r="BP494" s="392"/>
      <c r="BQ494" s="392"/>
      <c r="BR494" s="392"/>
      <c r="BS494" s="392"/>
      <c r="BT494" s="392"/>
    </row>
    <row r="495" ht="15.75" customHeight="1">
      <c r="A495" s="216"/>
      <c r="B495" s="156"/>
      <c r="C495" s="156"/>
      <c r="D495" s="156"/>
      <c r="E495" s="392"/>
      <c r="F495" s="392"/>
      <c r="G495" s="392"/>
      <c r="H495" s="392"/>
      <c r="I495" s="392"/>
      <c r="J495" s="392"/>
      <c r="K495" s="392"/>
      <c r="L495" s="392"/>
      <c r="M495" s="392"/>
      <c r="N495" s="392"/>
      <c r="O495" s="392"/>
      <c r="P495" s="392"/>
      <c r="Q495" s="392"/>
      <c r="R495" s="392"/>
      <c r="S495" s="392"/>
      <c r="T495" s="392"/>
      <c r="U495" s="392"/>
      <c r="V495" s="392"/>
      <c r="W495" s="392"/>
      <c r="X495" s="392"/>
      <c r="Y495" s="392"/>
      <c r="Z495" s="392"/>
      <c r="AA495" s="392"/>
      <c r="AB495" s="392"/>
      <c r="AC495" s="392"/>
      <c r="AD495" s="392"/>
      <c r="AE495" s="392"/>
      <c r="AF495" s="392"/>
      <c r="AG495" s="392"/>
      <c r="AH495" s="392"/>
      <c r="AI495" s="392"/>
      <c r="AJ495" s="392"/>
      <c r="AK495" s="392"/>
      <c r="AL495" s="392"/>
      <c r="AM495" s="392"/>
      <c r="AN495" s="392"/>
      <c r="AO495" s="392"/>
      <c r="AP495" s="392"/>
      <c r="AQ495" s="392"/>
      <c r="AR495" s="392"/>
      <c r="AS495" s="392"/>
      <c r="AT495" s="392"/>
      <c r="AU495" s="392"/>
      <c r="AV495" s="392"/>
      <c r="AW495" s="392"/>
      <c r="AX495" s="392"/>
      <c r="AY495" s="392"/>
      <c r="AZ495" s="392"/>
      <c r="BA495" s="392"/>
      <c r="BB495" s="392"/>
      <c r="BC495" s="392"/>
      <c r="BD495" s="392"/>
      <c r="BE495" s="392"/>
      <c r="BF495" s="392"/>
      <c r="BG495" s="392"/>
      <c r="BH495" s="392"/>
      <c r="BI495" s="392"/>
      <c r="BJ495" s="392"/>
      <c r="BK495" s="392"/>
      <c r="BL495" s="392"/>
      <c r="BM495" s="392"/>
      <c r="BN495" s="392"/>
      <c r="BO495" s="392"/>
      <c r="BP495" s="392"/>
      <c r="BQ495" s="392"/>
      <c r="BR495" s="392"/>
      <c r="BS495" s="392"/>
      <c r="BT495" s="392"/>
    </row>
    <row r="496" ht="15.75" customHeight="1">
      <c r="A496" s="216"/>
      <c r="B496" s="156"/>
      <c r="C496" s="156"/>
      <c r="D496" s="156"/>
      <c r="E496" s="392"/>
      <c r="F496" s="392"/>
      <c r="G496" s="392"/>
      <c r="H496" s="392"/>
      <c r="I496" s="392"/>
      <c r="J496" s="392"/>
      <c r="K496" s="392"/>
      <c r="L496" s="392"/>
      <c r="M496" s="392"/>
      <c r="N496" s="392"/>
      <c r="O496" s="392"/>
      <c r="P496" s="392"/>
      <c r="Q496" s="392"/>
      <c r="R496" s="392"/>
      <c r="S496" s="392"/>
      <c r="T496" s="392"/>
      <c r="U496" s="392"/>
      <c r="V496" s="392"/>
      <c r="W496" s="392"/>
      <c r="X496" s="392"/>
      <c r="Y496" s="392"/>
      <c r="Z496" s="392"/>
      <c r="AA496" s="392"/>
      <c r="AB496" s="392"/>
      <c r="AC496" s="392"/>
      <c r="AD496" s="392"/>
      <c r="AE496" s="392"/>
      <c r="AF496" s="392"/>
      <c r="AG496" s="392"/>
      <c r="AH496" s="392"/>
      <c r="AI496" s="392"/>
      <c r="AJ496" s="392"/>
      <c r="AK496" s="392"/>
      <c r="AL496" s="392"/>
      <c r="AM496" s="392"/>
      <c r="AN496" s="392"/>
      <c r="AO496" s="392"/>
      <c r="AP496" s="392"/>
      <c r="AQ496" s="392"/>
      <c r="AR496" s="392"/>
      <c r="AS496" s="392"/>
      <c r="AT496" s="392"/>
      <c r="AU496" s="392"/>
      <c r="AV496" s="392"/>
      <c r="AW496" s="392"/>
      <c r="AX496" s="392"/>
      <c r="AY496" s="392"/>
      <c r="AZ496" s="392"/>
      <c r="BA496" s="392"/>
      <c r="BB496" s="392"/>
      <c r="BC496" s="392"/>
      <c r="BD496" s="392"/>
      <c r="BE496" s="392"/>
      <c r="BF496" s="392"/>
      <c r="BG496" s="392"/>
      <c r="BH496" s="392"/>
      <c r="BI496" s="392"/>
      <c r="BJ496" s="392"/>
      <c r="BK496" s="392"/>
      <c r="BL496" s="392"/>
      <c r="BM496" s="392"/>
      <c r="BN496" s="392"/>
      <c r="BO496" s="392"/>
      <c r="BP496" s="392"/>
      <c r="BQ496" s="392"/>
      <c r="BR496" s="392"/>
      <c r="BS496" s="392"/>
      <c r="BT496" s="392"/>
    </row>
    <row r="497" ht="15.75" customHeight="1">
      <c r="A497" s="216"/>
      <c r="B497" s="156"/>
      <c r="C497" s="156"/>
      <c r="D497" s="156"/>
      <c r="E497" s="392"/>
      <c r="F497" s="392"/>
      <c r="G497" s="392"/>
      <c r="H497" s="392"/>
      <c r="I497" s="392"/>
      <c r="J497" s="392"/>
      <c r="K497" s="392"/>
      <c r="L497" s="392"/>
      <c r="M497" s="392"/>
      <c r="N497" s="392"/>
      <c r="O497" s="392"/>
      <c r="P497" s="392"/>
      <c r="Q497" s="392"/>
      <c r="R497" s="392"/>
      <c r="S497" s="392"/>
      <c r="T497" s="392"/>
      <c r="U497" s="392"/>
      <c r="V497" s="392"/>
      <c r="W497" s="392"/>
      <c r="X497" s="392"/>
      <c r="Y497" s="392"/>
      <c r="Z497" s="392"/>
      <c r="AA497" s="392"/>
      <c r="AB497" s="392"/>
      <c r="AC497" s="392"/>
      <c r="AD497" s="392"/>
      <c r="AE497" s="392"/>
      <c r="AF497" s="392"/>
      <c r="AG497" s="392"/>
      <c r="AH497" s="392"/>
      <c r="AI497" s="392"/>
      <c r="AJ497" s="392"/>
      <c r="AK497" s="392"/>
      <c r="AL497" s="392"/>
      <c r="AM497" s="392"/>
      <c r="AN497" s="392"/>
      <c r="AO497" s="392"/>
      <c r="AP497" s="392"/>
      <c r="AQ497" s="392"/>
      <c r="AR497" s="392"/>
      <c r="AS497" s="392"/>
      <c r="AT497" s="392"/>
      <c r="AU497" s="392"/>
      <c r="AV497" s="392"/>
      <c r="AW497" s="392"/>
      <c r="AX497" s="392"/>
      <c r="AY497" s="392"/>
      <c r="AZ497" s="392"/>
      <c r="BA497" s="392"/>
      <c r="BB497" s="392"/>
      <c r="BC497" s="392"/>
      <c r="BD497" s="392"/>
      <c r="BE497" s="392"/>
      <c r="BF497" s="392"/>
      <c r="BG497" s="392"/>
      <c r="BH497" s="392"/>
      <c r="BI497" s="392"/>
      <c r="BJ497" s="392"/>
      <c r="BK497" s="392"/>
      <c r="BL497" s="392"/>
      <c r="BM497" s="392"/>
      <c r="BN497" s="392"/>
      <c r="BO497" s="392"/>
      <c r="BP497" s="392"/>
      <c r="BQ497" s="392"/>
      <c r="BR497" s="392"/>
      <c r="BS497" s="392"/>
      <c r="BT497" s="392"/>
    </row>
    <row r="498" ht="15.75" customHeight="1">
      <c r="A498" s="216"/>
      <c r="B498" s="156"/>
      <c r="C498" s="156"/>
      <c r="D498" s="156"/>
      <c r="E498" s="392"/>
      <c r="F498" s="392"/>
      <c r="G498" s="392"/>
      <c r="H498" s="392"/>
      <c r="I498" s="392"/>
      <c r="J498" s="392"/>
      <c r="K498" s="392"/>
      <c r="L498" s="392"/>
      <c r="M498" s="392"/>
      <c r="N498" s="392"/>
      <c r="O498" s="392"/>
      <c r="P498" s="392"/>
      <c r="Q498" s="392"/>
      <c r="R498" s="392"/>
      <c r="S498" s="392"/>
      <c r="T498" s="392"/>
      <c r="U498" s="392"/>
      <c r="V498" s="392"/>
      <c r="W498" s="392"/>
      <c r="X498" s="392"/>
      <c r="Y498" s="392"/>
      <c r="Z498" s="392"/>
      <c r="AA498" s="392"/>
      <c r="AB498" s="392"/>
      <c r="AC498" s="392"/>
      <c r="AD498" s="392"/>
      <c r="AE498" s="392"/>
      <c r="AF498" s="392"/>
      <c r="AG498" s="392"/>
      <c r="AH498" s="392"/>
      <c r="AI498" s="392"/>
      <c r="AJ498" s="392"/>
      <c r="AK498" s="392"/>
      <c r="AL498" s="392"/>
      <c r="AM498" s="392"/>
      <c r="AN498" s="392"/>
      <c r="AO498" s="392"/>
      <c r="AP498" s="392"/>
      <c r="AQ498" s="392"/>
      <c r="AR498" s="392"/>
      <c r="AS498" s="392"/>
      <c r="AT498" s="392"/>
      <c r="AU498" s="392"/>
      <c r="AV498" s="392"/>
      <c r="AW498" s="392"/>
      <c r="AX498" s="392"/>
      <c r="AY498" s="392"/>
      <c r="AZ498" s="392"/>
      <c r="BA498" s="392"/>
      <c r="BB498" s="392"/>
      <c r="BC498" s="392"/>
      <c r="BD498" s="392"/>
      <c r="BE498" s="392"/>
      <c r="BF498" s="392"/>
      <c r="BG498" s="392"/>
      <c r="BH498" s="392"/>
      <c r="BI498" s="392"/>
      <c r="BJ498" s="392"/>
      <c r="BK498" s="392"/>
      <c r="BL498" s="392"/>
      <c r="BM498" s="392"/>
      <c r="BN498" s="392"/>
      <c r="BO498" s="392"/>
      <c r="BP498" s="392"/>
      <c r="BQ498" s="392"/>
      <c r="BR498" s="392"/>
      <c r="BS498" s="392"/>
      <c r="BT498" s="392"/>
    </row>
    <row r="499" ht="15.75" customHeight="1">
      <c r="A499" s="216"/>
      <c r="B499" s="156"/>
      <c r="C499" s="156"/>
      <c r="D499" s="156"/>
      <c r="E499" s="392"/>
      <c r="F499" s="392"/>
      <c r="G499" s="392"/>
      <c r="H499" s="392"/>
      <c r="I499" s="392"/>
      <c r="J499" s="392"/>
      <c r="K499" s="392"/>
      <c r="L499" s="392"/>
      <c r="M499" s="392"/>
      <c r="N499" s="392"/>
      <c r="O499" s="392"/>
      <c r="P499" s="392"/>
      <c r="Q499" s="392"/>
      <c r="R499" s="392"/>
      <c r="S499" s="392"/>
      <c r="T499" s="392"/>
      <c r="U499" s="392"/>
      <c r="V499" s="392"/>
      <c r="W499" s="392"/>
      <c r="X499" s="392"/>
      <c r="Y499" s="392"/>
      <c r="Z499" s="392"/>
      <c r="AA499" s="392"/>
      <c r="AB499" s="392"/>
      <c r="AC499" s="392"/>
      <c r="AD499" s="392"/>
      <c r="AE499" s="392"/>
      <c r="AF499" s="392"/>
      <c r="AG499" s="392"/>
      <c r="AH499" s="392"/>
      <c r="AI499" s="392"/>
      <c r="AJ499" s="392"/>
      <c r="AK499" s="392"/>
      <c r="AL499" s="392"/>
      <c r="AM499" s="392"/>
      <c r="AN499" s="392"/>
      <c r="AO499" s="392"/>
      <c r="AP499" s="392"/>
      <c r="AQ499" s="392"/>
      <c r="AR499" s="392"/>
      <c r="AS499" s="392"/>
      <c r="AT499" s="392"/>
      <c r="AU499" s="392"/>
      <c r="AV499" s="392"/>
      <c r="AW499" s="392"/>
      <c r="AX499" s="392"/>
      <c r="AY499" s="392"/>
      <c r="AZ499" s="392"/>
      <c r="BA499" s="392"/>
      <c r="BB499" s="392"/>
      <c r="BC499" s="392"/>
      <c r="BD499" s="392"/>
      <c r="BE499" s="392"/>
      <c r="BF499" s="392"/>
      <c r="BG499" s="392"/>
      <c r="BH499" s="392"/>
      <c r="BI499" s="392"/>
      <c r="BJ499" s="392"/>
      <c r="BK499" s="392"/>
      <c r="BL499" s="392"/>
      <c r="BM499" s="392"/>
      <c r="BN499" s="392"/>
      <c r="BO499" s="392"/>
      <c r="BP499" s="392"/>
      <c r="BQ499" s="392"/>
      <c r="BR499" s="392"/>
      <c r="BS499" s="392"/>
      <c r="BT499" s="392"/>
    </row>
    <row r="500" ht="15.75" customHeight="1">
      <c r="A500" s="216"/>
      <c r="B500" s="156"/>
      <c r="C500" s="156"/>
      <c r="D500" s="156"/>
      <c r="E500" s="392"/>
      <c r="F500" s="392"/>
      <c r="G500" s="392"/>
      <c r="H500" s="392"/>
      <c r="I500" s="392"/>
      <c r="J500" s="392"/>
      <c r="K500" s="392"/>
      <c r="L500" s="392"/>
      <c r="M500" s="392"/>
      <c r="N500" s="392"/>
      <c r="O500" s="392"/>
      <c r="P500" s="392"/>
      <c r="Q500" s="392"/>
      <c r="R500" s="392"/>
      <c r="S500" s="392"/>
      <c r="T500" s="392"/>
      <c r="U500" s="392"/>
      <c r="V500" s="392"/>
      <c r="W500" s="392"/>
      <c r="X500" s="392"/>
      <c r="Y500" s="392"/>
      <c r="Z500" s="392"/>
      <c r="AA500" s="392"/>
      <c r="AB500" s="392"/>
      <c r="AC500" s="392"/>
      <c r="AD500" s="392"/>
      <c r="AE500" s="392"/>
      <c r="AF500" s="392"/>
      <c r="AG500" s="392"/>
      <c r="AH500" s="392"/>
      <c r="AI500" s="392"/>
      <c r="AJ500" s="392"/>
      <c r="AK500" s="392"/>
      <c r="AL500" s="392"/>
      <c r="AM500" s="392"/>
      <c r="AN500" s="392"/>
      <c r="AO500" s="392"/>
      <c r="AP500" s="392"/>
      <c r="AQ500" s="392"/>
      <c r="AR500" s="392"/>
      <c r="AS500" s="392"/>
      <c r="AT500" s="392"/>
      <c r="AU500" s="392"/>
      <c r="AV500" s="392"/>
      <c r="AW500" s="392"/>
      <c r="AX500" s="392"/>
      <c r="AY500" s="392"/>
      <c r="AZ500" s="392"/>
      <c r="BA500" s="392"/>
      <c r="BB500" s="392"/>
      <c r="BC500" s="392"/>
      <c r="BD500" s="392"/>
      <c r="BE500" s="392"/>
      <c r="BF500" s="392"/>
      <c r="BG500" s="392"/>
      <c r="BH500" s="392"/>
      <c r="BI500" s="392"/>
      <c r="BJ500" s="392"/>
      <c r="BK500" s="392"/>
      <c r="BL500" s="392"/>
      <c r="BM500" s="392"/>
      <c r="BN500" s="392"/>
      <c r="BO500" s="392"/>
      <c r="BP500" s="392"/>
      <c r="BQ500" s="392"/>
      <c r="BR500" s="392"/>
      <c r="BS500" s="392"/>
      <c r="BT500" s="392"/>
    </row>
    <row r="501" ht="15.75" customHeight="1">
      <c r="A501" s="216"/>
      <c r="B501" s="156"/>
      <c r="C501" s="156"/>
      <c r="D501" s="156"/>
      <c r="E501" s="392"/>
      <c r="F501" s="392"/>
      <c r="G501" s="392"/>
      <c r="H501" s="392"/>
      <c r="I501" s="392"/>
      <c r="J501" s="392"/>
      <c r="K501" s="392"/>
      <c r="L501" s="392"/>
      <c r="M501" s="392"/>
      <c r="N501" s="392"/>
      <c r="O501" s="392"/>
      <c r="P501" s="392"/>
      <c r="Q501" s="392"/>
      <c r="R501" s="392"/>
      <c r="S501" s="392"/>
      <c r="T501" s="392"/>
      <c r="U501" s="392"/>
      <c r="V501" s="392"/>
      <c r="W501" s="392"/>
      <c r="X501" s="392"/>
      <c r="Y501" s="392"/>
      <c r="Z501" s="392"/>
      <c r="AA501" s="392"/>
      <c r="AB501" s="392"/>
      <c r="AC501" s="392"/>
      <c r="AD501" s="392"/>
      <c r="AE501" s="392"/>
      <c r="AF501" s="392"/>
      <c r="AG501" s="392"/>
      <c r="AH501" s="392"/>
      <c r="AI501" s="392"/>
      <c r="AJ501" s="392"/>
      <c r="AK501" s="392"/>
      <c r="AL501" s="392"/>
      <c r="AM501" s="392"/>
      <c r="AN501" s="392"/>
      <c r="AO501" s="392"/>
      <c r="AP501" s="392"/>
      <c r="AQ501" s="392"/>
      <c r="AR501" s="392"/>
      <c r="AS501" s="392"/>
      <c r="AT501" s="392"/>
      <c r="AU501" s="392"/>
      <c r="AV501" s="392"/>
      <c r="AW501" s="392"/>
      <c r="AX501" s="392"/>
      <c r="AY501" s="392"/>
      <c r="AZ501" s="392"/>
      <c r="BA501" s="392"/>
      <c r="BB501" s="392"/>
      <c r="BC501" s="392"/>
      <c r="BD501" s="392"/>
      <c r="BE501" s="392"/>
      <c r="BF501" s="392"/>
      <c r="BG501" s="392"/>
      <c r="BH501" s="392"/>
      <c r="BI501" s="392"/>
      <c r="BJ501" s="392"/>
      <c r="BK501" s="392"/>
      <c r="BL501" s="392"/>
      <c r="BM501" s="392"/>
      <c r="BN501" s="392"/>
      <c r="BO501" s="392"/>
      <c r="BP501" s="392"/>
      <c r="BQ501" s="392"/>
      <c r="BR501" s="392"/>
      <c r="BS501" s="392"/>
      <c r="BT501" s="392"/>
    </row>
    <row r="502" ht="15.75" customHeight="1">
      <c r="A502" s="216"/>
      <c r="B502" s="156"/>
      <c r="C502" s="156"/>
      <c r="D502" s="156"/>
      <c r="E502" s="392"/>
      <c r="F502" s="392"/>
      <c r="G502" s="392"/>
      <c r="H502" s="392"/>
      <c r="I502" s="392"/>
      <c r="J502" s="392"/>
      <c r="K502" s="392"/>
      <c r="L502" s="392"/>
      <c r="M502" s="392"/>
      <c r="N502" s="392"/>
      <c r="O502" s="392"/>
      <c r="P502" s="392"/>
      <c r="Q502" s="392"/>
      <c r="R502" s="392"/>
      <c r="S502" s="392"/>
      <c r="T502" s="392"/>
      <c r="U502" s="392"/>
      <c r="V502" s="392"/>
      <c r="W502" s="392"/>
      <c r="X502" s="392"/>
      <c r="Y502" s="392"/>
      <c r="Z502" s="392"/>
      <c r="AA502" s="392"/>
      <c r="AB502" s="392"/>
      <c r="AC502" s="392"/>
      <c r="AD502" s="392"/>
      <c r="AE502" s="392"/>
      <c r="AF502" s="392"/>
      <c r="AG502" s="392"/>
      <c r="AH502" s="392"/>
      <c r="AI502" s="392"/>
      <c r="AJ502" s="392"/>
      <c r="AK502" s="392"/>
      <c r="AL502" s="392"/>
      <c r="AM502" s="392"/>
      <c r="AN502" s="392"/>
      <c r="AO502" s="392"/>
      <c r="AP502" s="392"/>
      <c r="AQ502" s="392"/>
      <c r="AR502" s="392"/>
      <c r="AS502" s="392"/>
      <c r="AT502" s="392"/>
      <c r="AU502" s="392"/>
      <c r="AV502" s="392"/>
      <c r="AW502" s="392"/>
      <c r="AX502" s="392"/>
      <c r="AY502" s="392"/>
      <c r="AZ502" s="392"/>
      <c r="BA502" s="392"/>
      <c r="BB502" s="392"/>
      <c r="BC502" s="392"/>
      <c r="BD502" s="392"/>
      <c r="BE502" s="392"/>
      <c r="BF502" s="392"/>
      <c r="BG502" s="392"/>
      <c r="BH502" s="392"/>
      <c r="BI502" s="392"/>
      <c r="BJ502" s="392"/>
      <c r="BK502" s="392"/>
      <c r="BL502" s="392"/>
      <c r="BM502" s="392"/>
      <c r="BN502" s="392"/>
      <c r="BO502" s="392"/>
      <c r="BP502" s="392"/>
      <c r="BQ502" s="392"/>
      <c r="BR502" s="392"/>
      <c r="BS502" s="392"/>
      <c r="BT502" s="392"/>
    </row>
    <row r="503" ht="15.75" customHeight="1">
      <c r="A503" s="216"/>
      <c r="B503" s="156"/>
      <c r="C503" s="156"/>
      <c r="D503" s="156"/>
      <c r="E503" s="392"/>
      <c r="F503" s="392"/>
      <c r="G503" s="392"/>
      <c r="H503" s="392"/>
      <c r="I503" s="392"/>
      <c r="J503" s="392"/>
      <c r="K503" s="392"/>
      <c r="L503" s="392"/>
      <c r="M503" s="392"/>
      <c r="N503" s="392"/>
      <c r="O503" s="392"/>
      <c r="P503" s="392"/>
      <c r="Q503" s="392"/>
      <c r="R503" s="392"/>
      <c r="S503" s="392"/>
      <c r="T503" s="392"/>
      <c r="U503" s="392"/>
      <c r="V503" s="392"/>
      <c r="W503" s="392"/>
      <c r="X503" s="392"/>
      <c r="Y503" s="392"/>
      <c r="Z503" s="392"/>
      <c r="AA503" s="392"/>
      <c r="AB503" s="392"/>
      <c r="AC503" s="392"/>
      <c r="AD503" s="392"/>
      <c r="AE503" s="392"/>
      <c r="AF503" s="392"/>
      <c r="AG503" s="392"/>
      <c r="AH503" s="392"/>
      <c r="AI503" s="392"/>
      <c r="AJ503" s="392"/>
      <c r="AK503" s="392"/>
      <c r="AL503" s="392"/>
      <c r="AM503" s="392"/>
      <c r="AN503" s="392"/>
      <c r="AO503" s="392"/>
      <c r="AP503" s="392"/>
      <c r="AQ503" s="392"/>
      <c r="AR503" s="392"/>
      <c r="AS503" s="392"/>
      <c r="AT503" s="392"/>
      <c r="AU503" s="392"/>
      <c r="AV503" s="392"/>
      <c r="AW503" s="392"/>
      <c r="AX503" s="392"/>
      <c r="AY503" s="392"/>
      <c r="AZ503" s="392"/>
      <c r="BA503" s="392"/>
      <c r="BB503" s="392"/>
      <c r="BC503" s="392"/>
      <c r="BD503" s="392"/>
      <c r="BE503" s="392"/>
      <c r="BF503" s="392"/>
      <c r="BG503" s="392"/>
      <c r="BH503" s="392"/>
      <c r="BI503" s="392"/>
      <c r="BJ503" s="392"/>
      <c r="BK503" s="392"/>
      <c r="BL503" s="392"/>
      <c r="BM503" s="392"/>
      <c r="BN503" s="392"/>
      <c r="BO503" s="392"/>
      <c r="BP503" s="392"/>
      <c r="BQ503" s="392"/>
      <c r="BR503" s="392"/>
      <c r="BS503" s="392"/>
      <c r="BT503" s="392"/>
    </row>
    <row r="504" ht="15.75" customHeight="1">
      <c r="A504" s="216"/>
      <c r="B504" s="156"/>
      <c r="C504" s="156"/>
      <c r="D504" s="156"/>
      <c r="E504" s="392"/>
      <c r="F504" s="392"/>
      <c r="G504" s="392"/>
      <c r="H504" s="392"/>
      <c r="I504" s="392"/>
      <c r="J504" s="392"/>
      <c r="K504" s="392"/>
      <c r="L504" s="392"/>
      <c r="M504" s="392"/>
      <c r="N504" s="392"/>
      <c r="O504" s="392"/>
      <c r="P504" s="392"/>
      <c r="Q504" s="392"/>
      <c r="R504" s="392"/>
      <c r="S504" s="392"/>
      <c r="T504" s="392"/>
      <c r="U504" s="392"/>
      <c r="V504" s="392"/>
      <c r="W504" s="392"/>
      <c r="X504" s="392"/>
      <c r="Y504" s="392"/>
      <c r="Z504" s="392"/>
      <c r="AA504" s="392"/>
      <c r="AB504" s="392"/>
      <c r="AC504" s="392"/>
      <c r="AD504" s="392"/>
      <c r="AE504" s="392"/>
      <c r="AF504" s="392"/>
      <c r="AG504" s="392"/>
      <c r="AH504" s="392"/>
      <c r="AI504" s="392"/>
      <c r="AJ504" s="392"/>
      <c r="AK504" s="392"/>
      <c r="AL504" s="392"/>
      <c r="AM504" s="392"/>
      <c r="AN504" s="392"/>
      <c r="AO504" s="392"/>
      <c r="AP504" s="392"/>
      <c r="AQ504" s="392"/>
      <c r="AR504" s="392"/>
      <c r="AS504" s="392"/>
      <c r="AT504" s="392"/>
      <c r="AU504" s="392"/>
      <c r="AV504" s="392"/>
      <c r="AW504" s="392"/>
      <c r="AX504" s="392"/>
      <c r="AY504" s="392"/>
      <c r="AZ504" s="392"/>
      <c r="BA504" s="392"/>
      <c r="BB504" s="392"/>
      <c r="BC504" s="392"/>
      <c r="BD504" s="392"/>
      <c r="BE504" s="392"/>
      <c r="BF504" s="392"/>
      <c r="BG504" s="392"/>
      <c r="BH504" s="392"/>
      <c r="BI504" s="392"/>
      <c r="BJ504" s="392"/>
      <c r="BK504" s="392"/>
      <c r="BL504" s="392"/>
      <c r="BM504" s="392"/>
      <c r="BN504" s="392"/>
      <c r="BO504" s="392"/>
      <c r="BP504" s="392"/>
      <c r="BQ504" s="392"/>
      <c r="BR504" s="392"/>
      <c r="BS504" s="392"/>
      <c r="BT504" s="392"/>
    </row>
    <row r="505" ht="15.75" customHeight="1">
      <c r="A505" s="216"/>
      <c r="B505" s="156"/>
      <c r="C505" s="156"/>
      <c r="D505" s="156"/>
      <c r="E505" s="392"/>
      <c r="F505" s="392"/>
      <c r="G505" s="392"/>
      <c r="H505" s="392"/>
      <c r="I505" s="392"/>
      <c r="J505" s="392"/>
      <c r="K505" s="392"/>
      <c r="L505" s="392"/>
      <c r="M505" s="392"/>
      <c r="N505" s="392"/>
      <c r="O505" s="392"/>
      <c r="P505" s="392"/>
      <c r="Q505" s="392"/>
      <c r="R505" s="392"/>
      <c r="S505" s="392"/>
      <c r="T505" s="392"/>
      <c r="U505" s="392"/>
      <c r="V505" s="392"/>
      <c r="W505" s="392"/>
      <c r="X505" s="392"/>
      <c r="Y505" s="392"/>
      <c r="Z505" s="392"/>
      <c r="AA505" s="392"/>
      <c r="AB505" s="392"/>
      <c r="AC505" s="392"/>
      <c r="AD505" s="392"/>
      <c r="AE505" s="392"/>
      <c r="AF505" s="392"/>
      <c r="AG505" s="392"/>
      <c r="AH505" s="392"/>
      <c r="AI505" s="392"/>
      <c r="AJ505" s="392"/>
      <c r="AK505" s="392"/>
      <c r="AL505" s="392"/>
      <c r="AM505" s="392"/>
      <c r="AN505" s="392"/>
      <c r="AO505" s="392"/>
      <c r="AP505" s="392"/>
      <c r="AQ505" s="392"/>
      <c r="AR505" s="392"/>
      <c r="AS505" s="392"/>
      <c r="AT505" s="392"/>
      <c r="AU505" s="392"/>
      <c r="AV505" s="392"/>
      <c r="AW505" s="392"/>
      <c r="AX505" s="392"/>
      <c r="AY505" s="392"/>
      <c r="AZ505" s="392"/>
      <c r="BA505" s="392"/>
      <c r="BB505" s="392"/>
      <c r="BC505" s="392"/>
      <c r="BD505" s="392"/>
      <c r="BE505" s="392"/>
      <c r="BF505" s="392"/>
      <c r="BG505" s="392"/>
      <c r="BH505" s="392"/>
      <c r="BI505" s="392"/>
      <c r="BJ505" s="392"/>
      <c r="BK505" s="392"/>
      <c r="BL505" s="392"/>
      <c r="BM505" s="392"/>
      <c r="BN505" s="392"/>
      <c r="BO505" s="392"/>
      <c r="BP505" s="392"/>
      <c r="BQ505" s="392"/>
      <c r="BR505" s="392"/>
      <c r="BS505" s="392"/>
      <c r="BT505" s="392"/>
    </row>
    <row r="506" ht="15.75" customHeight="1">
      <c r="A506" s="216"/>
      <c r="B506" s="156"/>
      <c r="C506" s="156"/>
      <c r="D506" s="156"/>
      <c r="E506" s="392"/>
      <c r="F506" s="392"/>
      <c r="G506" s="392"/>
      <c r="H506" s="392"/>
      <c r="I506" s="392"/>
      <c r="J506" s="392"/>
      <c r="K506" s="392"/>
      <c r="L506" s="392"/>
      <c r="M506" s="392"/>
      <c r="N506" s="392"/>
      <c r="O506" s="392"/>
      <c r="P506" s="392"/>
      <c r="Q506" s="392"/>
      <c r="R506" s="392"/>
      <c r="S506" s="392"/>
      <c r="T506" s="392"/>
      <c r="U506" s="392"/>
      <c r="V506" s="392"/>
      <c r="W506" s="392"/>
      <c r="X506" s="392"/>
      <c r="Y506" s="392"/>
      <c r="Z506" s="392"/>
      <c r="AA506" s="392"/>
      <c r="AB506" s="392"/>
      <c r="AC506" s="392"/>
      <c r="AD506" s="392"/>
      <c r="AE506" s="392"/>
      <c r="AF506" s="392"/>
      <c r="AG506" s="392"/>
      <c r="AH506" s="392"/>
      <c r="AI506" s="392"/>
      <c r="AJ506" s="392"/>
      <c r="AK506" s="392"/>
      <c r="AL506" s="392"/>
      <c r="AM506" s="392"/>
      <c r="AN506" s="392"/>
      <c r="AO506" s="392"/>
      <c r="AP506" s="392"/>
      <c r="AQ506" s="392"/>
      <c r="AR506" s="392"/>
      <c r="AS506" s="392"/>
      <c r="AT506" s="392"/>
      <c r="AU506" s="392"/>
      <c r="AV506" s="392"/>
      <c r="AW506" s="392"/>
      <c r="AX506" s="392"/>
      <c r="AY506" s="392"/>
      <c r="AZ506" s="392"/>
      <c r="BA506" s="392"/>
      <c r="BB506" s="392"/>
      <c r="BC506" s="392"/>
      <c r="BD506" s="392"/>
      <c r="BE506" s="392"/>
      <c r="BF506" s="392"/>
      <c r="BG506" s="392"/>
      <c r="BH506" s="392"/>
      <c r="BI506" s="392"/>
      <c r="BJ506" s="392"/>
      <c r="BK506" s="392"/>
      <c r="BL506" s="392"/>
      <c r="BM506" s="392"/>
      <c r="BN506" s="392"/>
      <c r="BO506" s="392"/>
      <c r="BP506" s="392"/>
      <c r="BQ506" s="392"/>
      <c r="BR506" s="392"/>
      <c r="BS506" s="392"/>
      <c r="BT506" s="392"/>
    </row>
    <row r="507" ht="15.75" customHeight="1">
      <c r="A507" s="216"/>
      <c r="B507" s="156"/>
      <c r="C507" s="156"/>
      <c r="D507" s="156"/>
      <c r="E507" s="392"/>
      <c r="F507" s="392"/>
      <c r="G507" s="392"/>
      <c r="H507" s="392"/>
      <c r="I507" s="392"/>
      <c r="J507" s="392"/>
      <c r="K507" s="392"/>
      <c r="L507" s="392"/>
      <c r="M507" s="392"/>
      <c r="N507" s="392"/>
      <c r="O507" s="392"/>
      <c r="P507" s="392"/>
      <c r="Q507" s="392"/>
      <c r="R507" s="392"/>
      <c r="S507" s="392"/>
      <c r="T507" s="392"/>
      <c r="U507" s="392"/>
      <c r="V507" s="392"/>
      <c r="W507" s="392"/>
      <c r="X507" s="392"/>
      <c r="Y507" s="392"/>
      <c r="Z507" s="392"/>
      <c r="AA507" s="392"/>
      <c r="AB507" s="392"/>
      <c r="AC507" s="392"/>
      <c r="AD507" s="392"/>
      <c r="AE507" s="392"/>
      <c r="AF507" s="392"/>
      <c r="AG507" s="392"/>
      <c r="AH507" s="392"/>
      <c r="AI507" s="392"/>
      <c r="AJ507" s="392"/>
      <c r="AK507" s="392"/>
      <c r="AL507" s="392"/>
      <c r="AM507" s="392"/>
      <c r="AN507" s="392"/>
      <c r="AO507" s="392"/>
      <c r="AP507" s="392"/>
      <c r="AQ507" s="392"/>
      <c r="AR507" s="392"/>
      <c r="AS507" s="392"/>
      <c r="AT507" s="392"/>
      <c r="AU507" s="392"/>
      <c r="AV507" s="392"/>
      <c r="AW507" s="392"/>
      <c r="AX507" s="392"/>
      <c r="AY507" s="392"/>
      <c r="AZ507" s="392"/>
      <c r="BA507" s="392"/>
      <c r="BB507" s="392"/>
      <c r="BC507" s="392"/>
      <c r="BD507" s="392"/>
      <c r="BE507" s="392"/>
      <c r="BF507" s="392"/>
      <c r="BG507" s="392"/>
      <c r="BH507" s="392"/>
      <c r="BI507" s="392"/>
      <c r="BJ507" s="392"/>
      <c r="BK507" s="392"/>
      <c r="BL507" s="392"/>
      <c r="BM507" s="392"/>
      <c r="BN507" s="392"/>
      <c r="BO507" s="392"/>
      <c r="BP507" s="392"/>
      <c r="BQ507" s="392"/>
      <c r="BR507" s="392"/>
      <c r="BS507" s="392"/>
      <c r="BT507" s="392"/>
    </row>
    <row r="508" ht="15.75" customHeight="1">
      <c r="A508" s="216"/>
      <c r="B508" s="156"/>
      <c r="C508" s="156"/>
      <c r="D508" s="156"/>
      <c r="E508" s="392"/>
      <c r="F508" s="392"/>
      <c r="G508" s="392"/>
      <c r="H508" s="392"/>
      <c r="I508" s="392"/>
      <c r="J508" s="392"/>
      <c r="K508" s="392"/>
      <c r="L508" s="392"/>
      <c r="M508" s="392"/>
      <c r="N508" s="392"/>
      <c r="O508" s="392"/>
      <c r="P508" s="392"/>
      <c r="Q508" s="392"/>
      <c r="R508" s="392"/>
      <c r="S508" s="392"/>
      <c r="T508" s="392"/>
      <c r="U508" s="392"/>
      <c r="V508" s="392"/>
      <c r="W508" s="392"/>
      <c r="X508" s="392"/>
      <c r="Y508" s="392"/>
      <c r="Z508" s="392"/>
      <c r="AA508" s="392"/>
      <c r="AB508" s="392"/>
      <c r="AC508" s="392"/>
      <c r="AD508" s="392"/>
      <c r="AE508" s="392"/>
      <c r="AF508" s="392"/>
      <c r="AG508" s="392"/>
      <c r="AH508" s="392"/>
      <c r="AI508" s="392"/>
      <c r="AJ508" s="392"/>
      <c r="AK508" s="392"/>
      <c r="AL508" s="392"/>
      <c r="AM508" s="392"/>
      <c r="AN508" s="392"/>
      <c r="AO508" s="392"/>
      <c r="AP508" s="392"/>
      <c r="AQ508" s="392"/>
      <c r="AR508" s="392"/>
      <c r="AS508" s="392"/>
      <c r="AT508" s="392"/>
      <c r="AU508" s="392"/>
      <c r="AV508" s="392"/>
      <c r="AW508" s="392"/>
      <c r="AX508" s="392"/>
      <c r="AY508" s="392"/>
      <c r="AZ508" s="392"/>
      <c r="BA508" s="392"/>
      <c r="BB508" s="392"/>
      <c r="BC508" s="392"/>
      <c r="BD508" s="392"/>
      <c r="BE508" s="392"/>
      <c r="BF508" s="392"/>
      <c r="BG508" s="392"/>
      <c r="BH508" s="392"/>
      <c r="BI508" s="392"/>
      <c r="BJ508" s="392"/>
      <c r="BK508" s="392"/>
      <c r="BL508" s="392"/>
      <c r="BM508" s="392"/>
      <c r="BN508" s="392"/>
      <c r="BO508" s="392"/>
      <c r="BP508" s="392"/>
      <c r="BQ508" s="392"/>
      <c r="BR508" s="392"/>
      <c r="BS508" s="392"/>
      <c r="BT508" s="392"/>
    </row>
    <row r="509" ht="15.75" customHeight="1">
      <c r="A509" s="216"/>
      <c r="B509" s="156"/>
      <c r="C509" s="156"/>
      <c r="D509" s="156"/>
      <c r="E509" s="392"/>
      <c r="F509" s="392"/>
      <c r="G509" s="392"/>
      <c r="H509" s="392"/>
      <c r="I509" s="392"/>
      <c r="J509" s="392"/>
      <c r="K509" s="392"/>
      <c r="L509" s="392"/>
      <c r="M509" s="392"/>
      <c r="N509" s="392"/>
      <c r="O509" s="392"/>
      <c r="P509" s="392"/>
      <c r="Q509" s="392"/>
      <c r="R509" s="392"/>
      <c r="S509" s="392"/>
      <c r="T509" s="392"/>
      <c r="U509" s="392"/>
      <c r="V509" s="392"/>
      <c r="W509" s="392"/>
      <c r="X509" s="392"/>
      <c r="Y509" s="392"/>
      <c r="Z509" s="392"/>
      <c r="AA509" s="392"/>
      <c r="AB509" s="392"/>
      <c r="AC509" s="392"/>
      <c r="AD509" s="392"/>
      <c r="AE509" s="392"/>
      <c r="AF509" s="392"/>
      <c r="AG509" s="392"/>
      <c r="AH509" s="392"/>
      <c r="AI509" s="392"/>
      <c r="AJ509" s="392"/>
      <c r="AK509" s="392"/>
      <c r="AL509" s="392"/>
      <c r="AM509" s="392"/>
      <c r="AN509" s="392"/>
      <c r="AO509" s="392"/>
      <c r="AP509" s="392"/>
      <c r="AQ509" s="392"/>
      <c r="AR509" s="392"/>
      <c r="AS509" s="392"/>
      <c r="AT509" s="392"/>
      <c r="AU509" s="392"/>
      <c r="AV509" s="392"/>
      <c r="AW509" s="392"/>
      <c r="AX509" s="392"/>
      <c r="AY509" s="392"/>
      <c r="AZ509" s="392"/>
      <c r="BA509" s="392"/>
      <c r="BB509" s="392"/>
      <c r="BC509" s="392"/>
      <c r="BD509" s="392"/>
      <c r="BE509" s="392"/>
      <c r="BF509" s="392"/>
      <c r="BG509" s="392"/>
      <c r="BH509" s="392"/>
      <c r="BI509" s="392"/>
      <c r="BJ509" s="392"/>
      <c r="BK509" s="392"/>
      <c r="BL509" s="392"/>
      <c r="BM509" s="392"/>
      <c r="BN509" s="392"/>
      <c r="BO509" s="392"/>
      <c r="BP509" s="392"/>
      <c r="BQ509" s="392"/>
      <c r="BR509" s="392"/>
      <c r="BS509" s="392"/>
      <c r="BT509" s="392"/>
    </row>
    <row r="510" ht="15.75" customHeight="1">
      <c r="A510" s="216"/>
      <c r="B510" s="156"/>
      <c r="C510" s="156"/>
      <c r="D510" s="156"/>
      <c r="E510" s="392"/>
      <c r="F510" s="392"/>
      <c r="G510" s="392"/>
      <c r="H510" s="392"/>
      <c r="I510" s="392"/>
      <c r="J510" s="392"/>
      <c r="K510" s="392"/>
      <c r="L510" s="392"/>
      <c r="M510" s="392"/>
      <c r="N510" s="392"/>
      <c r="O510" s="392"/>
      <c r="P510" s="392"/>
      <c r="Q510" s="392"/>
      <c r="R510" s="392"/>
      <c r="S510" s="392"/>
      <c r="T510" s="392"/>
      <c r="U510" s="392"/>
      <c r="V510" s="392"/>
      <c r="W510" s="392"/>
      <c r="X510" s="392"/>
      <c r="Y510" s="392"/>
      <c r="Z510" s="392"/>
      <c r="AA510" s="392"/>
      <c r="AB510" s="392"/>
      <c r="AC510" s="392"/>
      <c r="AD510" s="392"/>
      <c r="AE510" s="392"/>
      <c r="AF510" s="392"/>
      <c r="AG510" s="392"/>
      <c r="AH510" s="392"/>
      <c r="AI510" s="392"/>
      <c r="AJ510" s="392"/>
      <c r="AK510" s="392"/>
      <c r="AL510" s="392"/>
      <c r="AM510" s="392"/>
      <c r="AN510" s="392"/>
      <c r="AO510" s="392"/>
      <c r="AP510" s="392"/>
      <c r="AQ510" s="392"/>
      <c r="AR510" s="392"/>
      <c r="AS510" s="392"/>
      <c r="AT510" s="392"/>
      <c r="AU510" s="392"/>
      <c r="AV510" s="392"/>
      <c r="AW510" s="392"/>
      <c r="AX510" s="392"/>
      <c r="AY510" s="392"/>
      <c r="AZ510" s="392"/>
      <c r="BA510" s="392"/>
      <c r="BB510" s="392"/>
      <c r="BC510" s="392"/>
      <c r="BD510" s="392"/>
      <c r="BE510" s="392"/>
      <c r="BF510" s="392"/>
      <c r="BG510" s="392"/>
      <c r="BH510" s="392"/>
      <c r="BI510" s="392"/>
      <c r="BJ510" s="392"/>
      <c r="BK510" s="392"/>
      <c r="BL510" s="392"/>
      <c r="BM510" s="392"/>
      <c r="BN510" s="392"/>
      <c r="BO510" s="392"/>
      <c r="BP510" s="392"/>
      <c r="BQ510" s="392"/>
      <c r="BR510" s="392"/>
      <c r="BS510" s="392"/>
      <c r="BT510" s="392"/>
    </row>
    <row r="511" ht="15.75" customHeight="1">
      <c r="A511" s="216"/>
      <c r="B511" s="156"/>
      <c r="C511" s="156"/>
      <c r="D511" s="156"/>
      <c r="E511" s="392"/>
      <c r="F511" s="392"/>
      <c r="G511" s="392"/>
      <c r="H511" s="392"/>
      <c r="I511" s="392"/>
      <c r="J511" s="392"/>
      <c r="K511" s="392"/>
      <c r="L511" s="392"/>
      <c r="M511" s="392"/>
      <c r="N511" s="392"/>
      <c r="O511" s="392"/>
      <c r="P511" s="392"/>
      <c r="Q511" s="392"/>
      <c r="R511" s="392"/>
      <c r="S511" s="392"/>
      <c r="T511" s="392"/>
      <c r="U511" s="392"/>
      <c r="V511" s="392"/>
      <c r="W511" s="392"/>
      <c r="X511" s="392"/>
      <c r="Y511" s="392"/>
      <c r="Z511" s="392"/>
      <c r="AA511" s="392"/>
      <c r="AB511" s="392"/>
      <c r="AC511" s="392"/>
      <c r="AD511" s="392"/>
      <c r="AE511" s="392"/>
      <c r="AF511" s="392"/>
      <c r="AG511" s="392"/>
      <c r="AH511" s="392"/>
      <c r="AI511" s="392"/>
      <c r="AJ511" s="392"/>
      <c r="AK511" s="392"/>
      <c r="AL511" s="392"/>
      <c r="AM511" s="392"/>
      <c r="AN511" s="392"/>
      <c r="AO511" s="392"/>
      <c r="AP511" s="392"/>
      <c r="AQ511" s="392"/>
      <c r="AR511" s="392"/>
      <c r="AS511" s="392"/>
      <c r="AT511" s="392"/>
      <c r="AU511" s="392"/>
      <c r="AV511" s="392"/>
      <c r="AW511" s="392"/>
      <c r="AX511" s="392"/>
      <c r="AY511" s="392"/>
      <c r="AZ511" s="392"/>
      <c r="BA511" s="392"/>
      <c r="BB511" s="392"/>
      <c r="BC511" s="392"/>
      <c r="BD511" s="392"/>
      <c r="BE511" s="392"/>
      <c r="BF511" s="392"/>
      <c r="BG511" s="392"/>
      <c r="BH511" s="392"/>
      <c r="BI511" s="392"/>
      <c r="BJ511" s="392"/>
      <c r="BK511" s="392"/>
      <c r="BL511" s="392"/>
      <c r="BM511" s="392"/>
      <c r="BN511" s="392"/>
      <c r="BO511" s="392"/>
      <c r="BP511" s="392"/>
      <c r="BQ511" s="392"/>
      <c r="BR511" s="392"/>
      <c r="BS511" s="392"/>
      <c r="BT511" s="392"/>
    </row>
    <row r="512" ht="15.75" customHeight="1">
      <c r="A512" s="216"/>
      <c r="B512" s="156"/>
      <c r="C512" s="156"/>
      <c r="D512" s="156"/>
      <c r="E512" s="392"/>
      <c r="F512" s="392"/>
      <c r="G512" s="392"/>
      <c r="H512" s="392"/>
      <c r="I512" s="392"/>
      <c r="J512" s="392"/>
      <c r="K512" s="392"/>
      <c r="L512" s="392"/>
      <c r="M512" s="392"/>
      <c r="N512" s="392"/>
      <c r="O512" s="392"/>
      <c r="P512" s="392"/>
      <c r="Q512" s="392"/>
      <c r="R512" s="392"/>
      <c r="S512" s="392"/>
      <c r="T512" s="392"/>
      <c r="U512" s="392"/>
      <c r="V512" s="392"/>
      <c r="W512" s="392"/>
      <c r="X512" s="392"/>
      <c r="Y512" s="392"/>
      <c r="Z512" s="392"/>
      <c r="AA512" s="392"/>
      <c r="AB512" s="392"/>
      <c r="AC512" s="392"/>
      <c r="AD512" s="392"/>
      <c r="AE512" s="392"/>
      <c r="AF512" s="392"/>
      <c r="AG512" s="392"/>
      <c r="AH512" s="392"/>
      <c r="AI512" s="392"/>
      <c r="AJ512" s="392"/>
      <c r="AK512" s="392"/>
      <c r="AL512" s="392"/>
      <c r="AM512" s="392"/>
      <c r="AN512" s="392"/>
      <c r="AO512" s="392"/>
      <c r="AP512" s="392"/>
      <c r="AQ512" s="392"/>
      <c r="AR512" s="392"/>
      <c r="AS512" s="392"/>
      <c r="AT512" s="392"/>
      <c r="AU512" s="392"/>
      <c r="AV512" s="392"/>
      <c r="AW512" s="392"/>
      <c r="AX512" s="392"/>
      <c r="AY512" s="392"/>
      <c r="AZ512" s="392"/>
      <c r="BA512" s="392"/>
      <c r="BB512" s="392"/>
      <c r="BC512" s="392"/>
      <c r="BD512" s="392"/>
      <c r="BE512" s="392"/>
      <c r="BF512" s="392"/>
      <c r="BG512" s="392"/>
      <c r="BH512" s="392"/>
      <c r="BI512" s="392"/>
      <c r="BJ512" s="392"/>
      <c r="BK512" s="392"/>
      <c r="BL512" s="392"/>
      <c r="BM512" s="392"/>
      <c r="BN512" s="392"/>
      <c r="BO512" s="392"/>
      <c r="BP512" s="392"/>
      <c r="BQ512" s="392"/>
      <c r="BR512" s="392"/>
      <c r="BS512" s="392"/>
      <c r="BT512" s="392"/>
    </row>
    <row r="513" ht="15.75" customHeight="1">
      <c r="A513" s="216"/>
      <c r="B513" s="156"/>
      <c r="C513" s="156"/>
      <c r="D513" s="156"/>
      <c r="E513" s="392"/>
      <c r="F513" s="392"/>
      <c r="G513" s="392"/>
      <c r="H513" s="392"/>
      <c r="I513" s="392"/>
      <c r="J513" s="392"/>
      <c r="K513" s="392"/>
      <c r="L513" s="392"/>
      <c r="M513" s="392"/>
      <c r="N513" s="392"/>
      <c r="O513" s="392"/>
      <c r="P513" s="392"/>
      <c r="Q513" s="392"/>
      <c r="R513" s="392"/>
      <c r="S513" s="392"/>
      <c r="T513" s="392"/>
      <c r="U513" s="392"/>
      <c r="V513" s="392"/>
      <c r="W513" s="392"/>
      <c r="X513" s="392"/>
      <c r="Y513" s="392"/>
      <c r="Z513" s="392"/>
      <c r="AA513" s="392"/>
      <c r="AB513" s="392"/>
      <c r="AC513" s="392"/>
      <c r="AD513" s="392"/>
      <c r="AE513" s="392"/>
      <c r="AF513" s="392"/>
      <c r="AG513" s="392"/>
      <c r="AH513" s="392"/>
      <c r="AI513" s="392"/>
      <c r="AJ513" s="392"/>
      <c r="AK513" s="392"/>
      <c r="AL513" s="392"/>
      <c r="AM513" s="392"/>
      <c r="AN513" s="392"/>
      <c r="AO513" s="392"/>
      <c r="AP513" s="392"/>
      <c r="AQ513" s="392"/>
      <c r="AR513" s="392"/>
      <c r="AS513" s="392"/>
      <c r="AT513" s="392"/>
      <c r="AU513" s="392"/>
      <c r="AV513" s="392"/>
      <c r="AW513" s="392"/>
      <c r="AX513" s="392"/>
      <c r="AY513" s="392"/>
      <c r="AZ513" s="392"/>
      <c r="BA513" s="392"/>
      <c r="BB513" s="392"/>
      <c r="BC513" s="392"/>
      <c r="BD513" s="392"/>
      <c r="BE513" s="392"/>
      <c r="BF513" s="392"/>
      <c r="BG513" s="392"/>
      <c r="BH513" s="392"/>
      <c r="BI513" s="392"/>
      <c r="BJ513" s="392"/>
      <c r="BK513" s="392"/>
      <c r="BL513" s="392"/>
      <c r="BM513" s="392"/>
      <c r="BN513" s="392"/>
      <c r="BO513" s="392"/>
      <c r="BP513" s="392"/>
      <c r="BQ513" s="392"/>
      <c r="BR513" s="392"/>
      <c r="BS513" s="392"/>
      <c r="BT513" s="392"/>
    </row>
    <row r="514" ht="15.75" customHeight="1">
      <c r="A514" s="216"/>
      <c r="B514" s="156"/>
      <c r="C514" s="156"/>
      <c r="D514" s="156"/>
      <c r="E514" s="392"/>
      <c r="F514" s="392"/>
      <c r="G514" s="392"/>
      <c r="H514" s="392"/>
      <c r="I514" s="392"/>
      <c r="J514" s="392"/>
      <c r="K514" s="392"/>
      <c r="L514" s="392"/>
      <c r="M514" s="392"/>
      <c r="N514" s="392"/>
      <c r="O514" s="392"/>
      <c r="P514" s="392"/>
      <c r="Q514" s="392"/>
      <c r="R514" s="392"/>
      <c r="S514" s="392"/>
      <c r="T514" s="392"/>
      <c r="U514" s="392"/>
      <c r="V514" s="392"/>
      <c r="W514" s="392"/>
      <c r="X514" s="392"/>
      <c r="Y514" s="392"/>
      <c r="Z514" s="392"/>
      <c r="AA514" s="392"/>
      <c r="AB514" s="392"/>
      <c r="AC514" s="392"/>
      <c r="AD514" s="392"/>
      <c r="AE514" s="392"/>
      <c r="AF514" s="392"/>
      <c r="AG514" s="392"/>
      <c r="AH514" s="392"/>
      <c r="AI514" s="392"/>
      <c r="AJ514" s="392"/>
      <c r="AK514" s="392"/>
      <c r="AL514" s="392"/>
      <c r="AM514" s="392"/>
      <c r="AN514" s="392"/>
      <c r="AO514" s="392"/>
      <c r="AP514" s="392"/>
      <c r="AQ514" s="392"/>
      <c r="AR514" s="392"/>
      <c r="AS514" s="392"/>
      <c r="AT514" s="392"/>
      <c r="AU514" s="392"/>
      <c r="AV514" s="392"/>
      <c r="AW514" s="392"/>
      <c r="AX514" s="392"/>
      <c r="AY514" s="392"/>
      <c r="AZ514" s="392"/>
      <c r="BA514" s="392"/>
      <c r="BB514" s="392"/>
      <c r="BC514" s="392"/>
      <c r="BD514" s="392"/>
      <c r="BE514" s="392"/>
      <c r="BF514" s="392"/>
      <c r="BG514" s="392"/>
      <c r="BH514" s="392"/>
      <c r="BI514" s="392"/>
      <c r="BJ514" s="392"/>
      <c r="BK514" s="392"/>
      <c r="BL514" s="392"/>
      <c r="BM514" s="392"/>
      <c r="BN514" s="392"/>
      <c r="BO514" s="392"/>
      <c r="BP514" s="392"/>
      <c r="BQ514" s="392"/>
      <c r="BR514" s="392"/>
      <c r="BS514" s="392"/>
      <c r="BT514" s="392"/>
    </row>
    <row r="515" ht="15.75" customHeight="1">
      <c r="A515" s="216"/>
      <c r="B515" s="156"/>
      <c r="C515" s="156"/>
      <c r="D515" s="156"/>
      <c r="E515" s="392"/>
      <c r="F515" s="392"/>
      <c r="G515" s="392"/>
      <c r="H515" s="392"/>
      <c r="I515" s="392"/>
      <c r="J515" s="392"/>
      <c r="K515" s="392"/>
      <c r="L515" s="392"/>
      <c r="M515" s="392"/>
      <c r="N515" s="392"/>
      <c r="O515" s="392"/>
      <c r="P515" s="392"/>
      <c r="Q515" s="392"/>
      <c r="R515" s="392"/>
      <c r="S515" s="392"/>
      <c r="T515" s="392"/>
      <c r="U515" s="392"/>
      <c r="V515" s="392"/>
      <c r="W515" s="392"/>
      <c r="X515" s="392"/>
      <c r="Y515" s="392"/>
      <c r="Z515" s="392"/>
      <c r="AA515" s="392"/>
      <c r="AB515" s="392"/>
      <c r="AC515" s="392"/>
      <c r="AD515" s="392"/>
      <c r="AE515" s="392"/>
      <c r="AF515" s="392"/>
      <c r="AG515" s="392"/>
      <c r="AH515" s="392"/>
      <c r="AI515" s="392"/>
      <c r="AJ515" s="392"/>
      <c r="AK515" s="392"/>
      <c r="AL515" s="392"/>
      <c r="AM515" s="392"/>
      <c r="AN515" s="392"/>
      <c r="AO515" s="392"/>
      <c r="AP515" s="392"/>
      <c r="AQ515" s="392"/>
      <c r="AR515" s="392"/>
      <c r="AS515" s="392"/>
      <c r="AT515" s="392"/>
      <c r="AU515" s="392"/>
      <c r="AV515" s="392"/>
      <c r="AW515" s="392"/>
      <c r="AX515" s="392"/>
      <c r="AY515" s="392"/>
      <c r="AZ515" s="392"/>
      <c r="BA515" s="392"/>
      <c r="BB515" s="392"/>
      <c r="BC515" s="392"/>
      <c r="BD515" s="392"/>
      <c r="BE515" s="392"/>
      <c r="BF515" s="392"/>
      <c r="BG515" s="392"/>
      <c r="BH515" s="392"/>
      <c r="BI515" s="392"/>
      <c r="BJ515" s="392"/>
      <c r="BK515" s="392"/>
      <c r="BL515" s="392"/>
      <c r="BM515" s="392"/>
      <c r="BN515" s="392"/>
      <c r="BO515" s="392"/>
      <c r="BP515" s="392"/>
      <c r="BQ515" s="392"/>
      <c r="BR515" s="392"/>
      <c r="BS515" s="392"/>
      <c r="BT515" s="392"/>
    </row>
    <row r="516" ht="15.75" customHeight="1">
      <c r="A516" s="216"/>
      <c r="B516" s="156"/>
      <c r="C516" s="156"/>
      <c r="D516" s="156"/>
      <c r="E516" s="392"/>
      <c r="F516" s="392"/>
      <c r="G516" s="392"/>
      <c r="H516" s="392"/>
      <c r="I516" s="392"/>
      <c r="J516" s="392"/>
      <c r="K516" s="392"/>
      <c r="L516" s="392"/>
      <c r="M516" s="392"/>
      <c r="N516" s="392"/>
      <c r="O516" s="392"/>
      <c r="P516" s="392"/>
      <c r="Q516" s="392"/>
      <c r="R516" s="392"/>
      <c r="S516" s="392"/>
      <c r="T516" s="392"/>
      <c r="U516" s="392"/>
      <c r="V516" s="392"/>
      <c r="W516" s="392"/>
      <c r="X516" s="392"/>
      <c r="Y516" s="392"/>
      <c r="Z516" s="392"/>
      <c r="AA516" s="392"/>
      <c r="AB516" s="392"/>
      <c r="AC516" s="392"/>
      <c r="AD516" s="392"/>
      <c r="AE516" s="392"/>
      <c r="AF516" s="392"/>
      <c r="AG516" s="392"/>
      <c r="AH516" s="392"/>
      <c r="AI516" s="392"/>
      <c r="AJ516" s="392"/>
      <c r="AK516" s="392"/>
      <c r="AL516" s="392"/>
      <c r="AM516" s="392"/>
      <c r="AN516" s="392"/>
      <c r="AO516" s="392"/>
      <c r="AP516" s="392"/>
      <c r="AQ516" s="392"/>
      <c r="AR516" s="392"/>
      <c r="AS516" s="392"/>
      <c r="AT516" s="392"/>
      <c r="AU516" s="392"/>
      <c r="AV516" s="392"/>
      <c r="AW516" s="392"/>
      <c r="AX516" s="392"/>
      <c r="AY516" s="392"/>
      <c r="AZ516" s="392"/>
      <c r="BA516" s="392"/>
      <c r="BB516" s="392"/>
      <c r="BC516" s="392"/>
      <c r="BD516" s="392"/>
      <c r="BE516" s="392"/>
      <c r="BF516" s="392"/>
      <c r="BG516" s="392"/>
      <c r="BH516" s="392"/>
      <c r="BI516" s="392"/>
      <c r="BJ516" s="392"/>
      <c r="BK516" s="392"/>
      <c r="BL516" s="392"/>
      <c r="BM516" s="392"/>
      <c r="BN516" s="392"/>
      <c r="BO516" s="392"/>
      <c r="BP516" s="392"/>
      <c r="BQ516" s="392"/>
      <c r="BR516" s="392"/>
      <c r="BS516" s="392"/>
      <c r="BT516" s="392"/>
    </row>
    <row r="517" ht="15.75" customHeight="1">
      <c r="A517" s="216"/>
      <c r="B517" s="156"/>
      <c r="C517" s="156"/>
      <c r="D517" s="156"/>
      <c r="E517" s="392"/>
      <c r="F517" s="392"/>
      <c r="G517" s="392"/>
      <c r="H517" s="392"/>
      <c r="I517" s="392"/>
      <c r="J517" s="392"/>
      <c r="K517" s="392"/>
      <c r="L517" s="392"/>
      <c r="M517" s="392"/>
      <c r="N517" s="392"/>
      <c r="O517" s="392"/>
      <c r="P517" s="392"/>
      <c r="Q517" s="392"/>
      <c r="R517" s="392"/>
      <c r="S517" s="392"/>
      <c r="T517" s="392"/>
      <c r="U517" s="392"/>
      <c r="V517" s="392"/>
      <c r="W517" s="392"/>
      <c r="X517" s="392"/>
      <c r="Y517" s="392"/>
      <c r="Z517" s="392"/>
      <c r="AA517" s="392"/>
      <c r="AB517" s="392"/>
      <c r="AC517" s="392"/>
      <c r="AD517" s="392"/>
      <c r="AE517" s="392"/>
      <c r="AF517" s="392"/>
      <c r="AG517" s="392"/>
      <c r="AH517" s="392"/>
      <c r="AI517" s="392"/>
      <c r="AJ517" s="392"/>
      <c r="AK517" s="392"/>
      <c r="AL517" s="392"/>
      <c r="AM517" s="392"/>
      <c r="AN517" s="392"/>
      <c r="AO517" s="392"/>
      <c r="AP517" s="392"/>
      <c r="AQ517" s="392"/>
      <c r="AR517" s="392"/>
      <c r="AS517" s="392"/>
      <c r="AT517" s="392"/>
      <c r="AU517" s="392"/>
      <c r="AV517" s="392"/>
      <c r="AW517" s="392"/>
      <c r="AX517" s="392"/>
      <c r="AY517" s="392"/>
      <c r="AZ517" s="392"/>
      <c r="BA517" s="392"/>
      <c r="BB517" s="392"/>
      <c r="BC517" s="392"/>
      <c r="BD517" s="392"/>
      <c r="BE517" s="392"/>
      <c r="BF517" s="392"/>
      <c r="BG517" s="392"/>
      <c r="BH517" s="392"/>
      <c r="BI517" s="392"/>
      <c r="BJ517" s="392"/>
      <c r="BK517" s="392"/>
      <c r="BL517" s="392"/>
      <c r="BM517" s="392"/>
      <c r="BN517" s="392"/>
      <c r="BO517" s="392"/>
      <c r="BP517" s="392"/>
      <c r="BQ517" s="392"/>
      <c r="BR517" s="392"/>
      <c r="BS517" s="392"/>
      <c r="BT517" s="392"/>
    </row>
    <row r="518" ht="15.75" customHeight="1">
      <c r="A518" s="216"/>
      <c r="B518" s="156"/>
      <c r="C518" s="156"/>
      <c r="D518" s="156"/>
      <c r="E518" s="392"/>
      <c r="F518" s="392"/>
      <c r="G518" s="392"/>
      <c r="H518" s="392"/>
      <c r="I518" s="392"/>
      <c r="J518" s="392"/>
      <c r="K518" s="392"/>
      <c r="L518" s="392"/>
      <c r="M518" s="392"/>
      <c r="N518" s="392"/>
      <c r="O518" s="392"/>
      <c r="P518" s="392"/>
      <c r="Q518" s="392"/>
      <c r="R518" s="392"/>
      <c r="S518" s="392"/>
      <c r="T518" s="392"/>
      <c r="U518" s="392"/>
      <c r="V518" s="392"/>
      <c r="W518" s="392"/>
      <c r="X518" s="392"/>
      <c r="Y518" s="392"/>
      <c r="Z518" s="392"/>
      <c r="AA518" s="392"/>
      <c r="AB518" s="392"/>
      <c r="AC518" s="392"/>
      <c r="AD518" s="392"/>
      <c r="AE518" s="392"/>
      <c r="AF518" s="392"/>
      <c r="AG518" s="392"/>
      <c r="AH518" s="392"/>
      <c r="AI518" s="392"/>
      <c r="AJ518" s="392"/>
      <c r="AK518" s="392"/>
      <c r="AL518" s="392"/>
      <c r="AM518" s="392"/>
      <c r="AN518" s="392"/>
      <c r="AO518" s="392"/>
      <c r="AP518" s="392"/>
      <c r="AQ518" s="392"/>
      <c r="AR518" s="392"/>
      <c r="AS518" s="392"/>
      <c r="AT518" s="392"/>
      <c r="AU518" s="392"/>
      <c r="AV518" s="392"/>
      <c r="AW518" s="392"/>
      <c r="AX518" s="392"/>
      <c r="AY518" s="392"/>
      <c r="AZ518" s="392"/>
      <c r="BA518" s="392"/>
      <c r="BB518" s="392"/>
      <c r="BC518" s="392"/>
      <c r="BD518" s="392"/>
      <c r="BE518" s="392"/>
      <c r="BF518" s="392"/>
      <c r="BG518" s="392"/>
      <c r="BH518" s="392"/>
      <c r="BI518" s="392"/>
      <c r="BJ518" s="392"/>
      <c r="BK518" s="392"/>
      <c r="BL518" s="392"/>
      <c r="BM518" s="392"/>
      <c r="BN518" s="392"/>
      <c r="BO518" s="392"/>
      <c r="BP518" s="392"/>
      <c r="BQ518" s="392"/>
      <c r="BR518" s="392"/>
      <c r="BS518" s="392"/>
      <c r="BT518" s="392"/>
    </row>
    <row r="519" ht="15.75" customHeight="1">
      <c r="A519" s="216"/>
      <c r="B519" s="156"/>
      <c r="C519" s="156"/>
      <c r="D519" s="156"/>
      <c r="E519" s="392"/>
      <c r="F519" s="392"/>
      <c r="G519" s="392"/>
      <c r="H519" s="392"/>
      <c r="I519" s="392"/>
      <c r="J519" s="392"/>
      <c r="K519" s="392"/>
      <c r="L519" s="392"/>
      <c r="M519" s="392"/>
      <c r="N519" s="392"/>
      <c r="O519" s="392"/>
      <c r="P519" s="392"/>
      <c r="Q519" s="392"/>
      <c r="R519" s="392"/>
      <c r="S519" s="392"/>
      <c r="T519" s="392"/>
      <c r="U519" s="392"/>
      <c r="V519" s="392"/>
      <c r="W519" s="392"/>
      <c r="X519" s="392"/>
      <c r="Y519" s="392"/>
      <c r="Z519" s="392"/>
      <c r="AA519" s="392"/>
      <c r="AB519" s="392"/>
      <c r="AC519" s="392"/>
      <c r="AD519" s="392"/>
      <c r="AE519" s="392"/>
      <c r="AF519" s="392"/>
      <c r="AG519" s="392"/>
      <c r="AH519" s="392"/>
      <c r="AI519" s="392"/>
      <c r="AJ519" s="392"/>
      <c r="AK519" s="392"/>
      <c r="AL519" s="392"/>
      <c r="AM519" s="392"/>
      <c r="AN519" s="392"/>
      <c r="AO519" s="392"/>
      <c r="AP519" s="392"/>
      <c r="AQ519" s="392"/>
      <c r="AR519" s="392"/>
      <c r="AS519" s="392"/>
      <c r="AT519" s="392"/>
      <c r="AU519" s="392"/>
      <c r="AV519" s="392"/>
      <c r="AW519" s="392"/>
      <c r="AX519" s="392"/>
      <c r="AY519" s="392"/>
      <c r="AZ519" s="392"/>
      <c r="BA519" s="392"/>
      <c r="BB519" s="392"/>
      <c r="BC519" s="392"/>
      <c r="BD519" s="392"/>
      <c r="BE519" s="392"/>
      <c r="BF519" s="392"/>
      <c r="BG519" s="392"/>
      <c r="BH519" s="392"/>
      <c r="BI519" s="392"/>
      <c r="BJ519" s="392"/>
      <c r="BK519" s="392"/>
      <c r="BL519" s="392"/>
      <c r="BM519" s="392"/>
      <c r="BN519" s="392"/>
      <c r="BO519" s="392"/>
      <c r="BP519" s="392"/>
      <c r="BQ519" s="392"/>
      <c r="BR519" s="392"/>
      <c r="BS519" s="392"/>
      <c r="BT519" s="392"/>
    </row>
    <row r="520" ht="15.75" customHeight="1">
      <c r="A520" s="216"/>
      <c r="B520" s="156"/>
      <c r="C520" s="156"/>
      <c r="D520" s="156"/>
      <c r="E520" s="392"/>
      <c r="F520" s="392"/>
      <c r="G520" s="392"/>
      <c r="H520" s="392"/>
      <c r="I520" s="392"/>
      <c r="J520" s="392"/>
      <c r="K520" s="392"/>
      <c r="L520" s="392"/>
      <c r="M520" s="392"/>
      <c r="N520" s="392"/>
      <c r="O520" s="392"/>
      <c r="P520" s="392"/>
      <c r="Q520" s="392"/>
      <c r="R520" s="392"/>
      <c r="S520" s="392"/>
      <c r="T520" s="392"/>
      <c r="U520" s="392"/>
      <c r="V520" s="392"/>
      <c r="W520" s="392"/>
      <c r="X520" s="392"/>
      <c r="Y520" s="392"/>
      <c r="Z520" s="392"/>
      <c r="AA520" s="392"/>
      <c r="AB520" s="392"/>
      <c r="AC520" s="392"/>
      <c r="AD520" s="392"/>
      <c r="AE520" s="392"/>
      <c r="AF520" s="392"/>
      <c r="AG520" s="392"/>
      <c r="AH520" s="392"/>
      <c r="AI520" s="392"/>
      <c r="AJ520" s="392"/>
      <c r="AK520" s="392"/>
      <c r="AL520" s="392"/>
      <c r="AM520" s="392"/>
      <c r="AN520" s="392"/>
      <c r="AO520" s="392"/>
      <c r="AP520" s="392"/>
      <c r="AQ520" s="392"/>
      <c r="AR520" s="392"/>
      <c r="AS520" s="392"/>
      <c r="AT520" s="392"/>
      <c r="AU520" s="392"/>
      <c r="AV520" s="392"/>
      <c r="AW520" s="392"/>
      <c r="AX520" s="392"/>
      <c r="AY520" s="392"/>
      <c r="AZ520" s="392"/>
      <c r="BA520" s="392"/>
      <c r="BB520" s="392"/>
      <c r="BC520" s="392"/>
      <c r="BD520" s="392"/>
      <c r="BE520" s="392"/>
      <c r="BF520" s="392"/>
      <c r="BG520" s="392"/>
      <c r="BH520" s="392"/>
      <c r="BI520" s="392"/>
      <c r="BJ520" s="392"/>
      <c r="BK520" s="392"/>
      <c r="BL520" s="392"/>
      <c r="BM520" s="392"/>
      <c r="BN520" s="392"/>
      <c r="BO520" s="392"/>
      <c r="BP520" s="392"/>
      <c r="BQ520" s="392"/>
      <c r="BR520" s="392"/>
      <c r="BS520" s="392"/>
      <c r="BT520" s="392"/>
    </row>
    <row r="521" ht="15.75" customHeight="1">
      <c r="A521" s="216"/>
      <c r="B521" s="156"/>
      <c r="C521" s="156"/>
      <c r="D521" s="156"/>
      <c r="E521" s="392"/>
      <c r="F521" s="392"/>
      <c r="G521" s="392"/>
      <c r="H521" s="392"/>
      <c r="I521" s="392"/>
      <c r="J521" s="392"/>
      <c r="K521" s="392"/>
      <c r="L521" s="392"/>
      <c r="M521" s="392"/>
      <c r="N521" s="392"/>
      <c r="O521" s="392"/>
      <c r="P521" s="392"/>
      <c r="Q521" s="392"/>
      <c r="R521" s="392"/>
      <c r="S521" s="392"/>
      <c r="T521" s="392"/>
      <c r="U521" s="392"/>
      <c r="V521" s="392"/>
      <c r="W521" s="392"/>
      <c r="X521" s="392"/>
      <c r="Y521" s="392"/>
      <c r="Z521" s="392"/>
      <c r="AA521" s="392"/>
      <c r="AB521" s="392"/>
      <c r="AC521" s="392"/>
      <c r="AD521" s="392"/>
      <c r="AE521" s="392"/>
      <c r="AF521" s="392"/>
      <c r="AG521" s="392"/>
      <c r="AH521" s="392"/>
      <c r="AI521" s="392"/>
      <c r="AJ521" s="392"/>
      <c r="AK521" s="392"/>
      <c r="AL521" s="392"/>
      <c r="AM521" s="392"/>
      <c r="AN521" s="392"/>
      <c r="AO521" s="392"/>
      <c r="AP521" s="392"/>
      <c r="AQ521" s="392"/>
      <c r="AR521" s="392"/>
      <c r="AS521" s="392"/>
      <c r="AT521" s="392"/>
      <c r="AU521" s="392"/>
      <c r="AV521" s="392"/>
      <c r="AW521" s="392"/>
      <c r="AX521" s="392"/>
      <c r="AY521" s="392"/>
      <c r="AZ521" s="392"/>
      <c r="BA521" s="392"/>
      <c r="BB521" s="392"/>
      <c r="BC521" s="392"/>
      <c r="BD521" s="392"/>
      <c r="BE521" s="392"/>
      <c r="BF521" s="392"/>
      <c r="BG521" s="392"/>
      <c r="BH521" s="392"/>
      <c r="BI521" s="392"/>
      <c r="BJ521" s="392"/>
      <c r="BK521" s="392"/>
      <c r="BL521" s="392"/>
      <c r="BM521" s="392"/>
      <c r="BN521" s="392"/>
      <c r="BO521" s="392"/>
      <c r="BP521" s="392"/>
      <c r="BQ521" s="392"/>
      <c r="BR521" s="392"/>
      <c r="BS521" s="392"/>
      <c r="BT521" s="392"/>
    </row>
    <row r="522" ht="15.75" customHeight="1">
      <c r="A522" s="216"/>
      <c r="B522" s="156"/>
      <c r="C522" s="156"/>
      <c r="D522" s="156"/>
      <c r="E522" s="392"/>
      <c r="F522" s="392"/>
      <c r="G522" s="392"/>
      <c r="H522" s="392"/>
      <c r="I522" s="392"/>
      <c r="J522" s="392"/>
      <c r="K522" s="392"/>
      <c r="L522" s="392"/>
      <c r="M522" s="392"/>
      <c r="N522" s="392"/>
      <c r="O522" s="392"/>
      <c r="P522" s="392"/>
      <c r="Q522" s="392"/>
      <c r="R522" s="392"/>
      <c r="S522" s="392"/>
      <c r="T522" s="392"/>
      <c r="U522" s="392"/>
      <c r="V522" s="392"/>
      <c r="W522" s="392"/>
      <c r="X522" s="392"/>
      <c r="Y522" s="392"/>
      <c r="Z522" s="392"/>
      <c r="AA522" s="392"/>
      <c r="AB522" s="392"/>
      <c r="AC522" s="392"/>
      <c r="AD522" s="392"/>
      <c r="AE522" s="392"/>
      <c r="AF522" s="392"/>
      <c r="AG522" s="392"/>
      <c r="AH522" s="392"/>
      <c r="AI522" s="392"/>
      <c r="AJ522" s="392"/>
      <c r="AK522" s="392"/>
      <c r="AL522" s="392"/>
      <c r="AM522" s="392"/>
      <c r="AN522" s="392"/>
      <c r="AO522" s="392"/>
      <c r="AP522" s="392"/>
      <c r="AQ522" s="392"/>
      <c r="AR522" s="392"/>
      <c r="AS522" s="392"/>
      <c r="AT522" s="392"/>
      <c r="AU522" s="392"/>
      <c r="AV522" s="392"/>
      <c r="AW522" s="392"/>
      <c r="AX522" s="392"/>
      <c r="AY522" s="392"/>
      <c r="AZ522" s="392"/>
      <c r="BA522" s="392"/>
      <c r="BB522" s="392"/>
      <c r="BC522" s="392"/>
      <c r="BD522" s="392"/>
      <c r="BE522" s="392"/>
      <c r="BF522" s="392"/>
      <c r="BG522" s="392"/>
      <c r="BH522" s="392"/>
      <c r="BI522" s="392"/>
      <c r="BJ522" s="392"/>
      <c r="BK522" s="392"/>
      <c r="BL522" s="392"/>
      <c r="BM522" s="392"/>
      <c r="BN522" s="392"/>
      <c r="BO522" s="392"/>
      <c r="BP522" s="392"/>
      <c r="BQ522" s="392"/>
      <c r="BR522" s="392"/>
      <c r="BS522" s="392"/>
      <c r="BT522" s="392"/>
    </row>
    <row r="523" ht="15.75" customHeight="1">
      <c r="A523" s="216"/>
      <c r="B523" s="156"/>
      <c r="C523" s="156"/>
      <c r="D523" s="156"/>
      <c r="E523" s="392"/>
      <c r="F523" s="392"/>
      <c r="G523" s="392"/>
      <c r="H523" s="392"/>
      <c r="I523" s="392"/>
      <c r="J523" s="392"/>
      <c r="K523" s="392"/>
      <c r="L523" s="392"/>
      <c r="M523" s="392"/>
      <c r="N523" s="392"/>
      <c r="O523" s="392"/>
      <c r="P523" s="392"/>
      <c r="Q523" s="392"/>
      <c r="R523" s="392"/>
      <c r="S523" s="392"/>
      <c r="T523" s="392"/>
      <c r="U523" s="392"/>
      <c r="V523" s="392"/>
      <c r="W523" s="392"/>
      <c r="X523" s="392"/>
      <c r="Y523" s="392"/>
      <c r="Z523" s="392"/>
      <c r="AA523" s="392"/>
      <c r="AB523" s="392"/>
      <c r="AC523" s="392"/>
      <c r="AD523" s="392"/>
      <c r="AE523" s="392"/>
      <c r="AF523" s="392"/>
      <c r="AG523" s="392"/>
      <c r="AH523" s="392"/>
      <c r="AI523" s="392"/>
      <c r="AJ523" s="392"/>
      <c r="AK523" s="392"/>
      <c r="AL523" s="392"/>
      <c r="AM523" s="392"/>
      <c r="AN523" s="392"/>
      <c r="AO523" s="392"/>
      <c r="AP523" s="392"/>
      <c r="AQ523" s="392"/>
      <c r="AR523" s="392"/>
      <c r="AS523" s="392"/>
      <c r="AT523" s="392"/>
      <c r="AU523" s="392"/>
      <c r="AV523" s="392"/>
      <c r="AW523" s="392"/>
      <c r="AX523" s="392"/>
      <c r="AY523" s="392"/>
      <c r="AZ523" s="392"/>
      <c r="BA523" s="392"/>
      <c r="BB523" s="392"/>
      <c r="BC523" s="392"/>
      <c r="BD523" s="392"/>
      <c r="BE523" s="392"/>
      <c r="BF523" s="392"/>
      <c r="BG523" s="392"/>
      <c r="BH523" s="392"/>
      <c r="BI523" s="392"/>
      <c r="BJ523" s="392"/>
      <c r="BK523" s="392"/>
      <c r="BL523" s="392"/>
      <c r="BM523" s="392"/>
      <c r="BN523" s="392"/>
      <c r="BO523" s="392"/>
      <c r="BP523" s="392"/>
      <c r="BQ523" s="392"/>
      <c r="BR523" s="392"/>
      <c r="BS523" s="392"/>
      <c r="BT523" s="392"/>
    </row>
    <row r="524" ht="15.75" customHeight="1">
      <c r="A524" s="216"/>
      <c r="B524" s="156"/>
      <c r="C524" s="156"/>
      <c r="D524" s="156"/>
      <c r="E524" s="392"/>
      <c r="F524" s="392"/>
      <c r="G524" s="392"/>
      <c r="H524" s="392"/>
      <c r="I524" s="392"/>
      <c r="J524" s="392"/>
      <c r="K524" s="392"/>
      <c r="L524" s="392"/>
      <c r="M524" s="392"/>
      <c r="N524" s="392"/>
      <c r="O524" s="392"/>
      <c r="P524" s="392"/>
      <c r="Q524" s="392"/>
      <c r="R524" s="392"/>
      <c r="S524" s="392"/>
      <c r="T524" s="392"/>
      <c r="U524" s="392"/>
      <c r="V524" s="392"/>
      <c r="W524" s="392"/>
      <c r="X524" s="392"/>
      <c r="Y524" s="392"/>
      <c r="Z524" s="392"/>
      <c r="AA524" s="392"/>
      <c r="AB524" s="392"/>
      <c r="AC524" s="392"/>
      <c r="AD524" s="392"/>
      <c r="AE524" s="392"/>
      <c r="AF524" s="392"/>
      <c r="AG524" s="392"/>
      <c r="AH524" s="392"/>
      <c r="AI524" s="392"/>
      <c r="AJ524" s="392"/>
      <c r="AK524" s="392"/>
      <c r="AL524" s="392"/>
      <c r="AM524" s="392"/>
      <c r="AN524" s="392"/>
      <c r="AO524" s="392"/>
      <c r="AP524" s="392"/>
      <c r="AQ524" s="392"/>
      <c r="AR524" s="392"/>
      <c r="AS524" s="392"/>
      <c r="AT524" s="392"/>
      <c r="AU524" s="392"/>
      <c r="AV524" s="392"/>
      <c r="AW524" s="392"/>
      <c r="AX524" s="392"/>
      <c r="AY524" s="392"/>
      <c r="AZ524" s="392"/>
      <c r="BA524" s="392"/>
      <c r="BB524" s="392"/>
      <c r="BC524" s="392"/>
      <c r="BD524" s="392"/>
      <c r="BE524" s="392"/>
      <c r="BF524" s="392"/>
      <c r="BG524" s="392"/>
      <c r="BH524" s="392"/>
      <c r="BI524" s="392"/>
      <c r="BJ524" s="392"/>
      <c r="BK524" s="392"/>
      <c r="BL524" s="392"/>
      <c r="BM524" s="392"/>
      <c r="BN524" s="392"/>
      <c r="BO524" s="392"/>
      <c r="BP524" s="392"/>
      <c r="BQ524" s="392"/>
      <c r="BR524" s="392"/>
      <c r="BS524" s="392"/>
      <c r="BT524" s="392"/>
    </row>
    <row r="525" ht="15.75" customHeight="1">
      <c r="A525" s="216"/>
      <c r="B525" s="156"/>
      <c r="C525" s="156"/>
      <c r="D525" s="156"/>
      <c r="E525" s="392"/>
      <c r="F525" s="392"/>
      <c r="G525" s="392"/>
      <c r="H525" s="392"/>
      <c r="I525" s="392"/>
      <c r="J525" s="392"/>
      <c r="K525" s="392"/>
      <c r="L525" s="392"/>
      <c r="M525" s="392"/>
      <c r="N525" s="392"/>
      <c r="O525" s="392"/>
      <c r="P525" s="392"/>
      <c r="Q525" s="392"/>
      <c r="R525" s="392"/>
      <c r="S525" s="392"/>
      <c r="T525" s="392"/>
      <c r="U525" s="392"/>
      <c r="V525" s="392"/>
      <c r="W525" s="392"/>
      <c r="X525" s="392"/>
      <c r="Y525" s="392"/>
      <c r="Z525" s="392"/>
      <c r="AA525" s="392"/>
      <c r="AB525" s="392"/>
      <c r="AC525" s="392"/>
      <c r="AD525" s="392"/>
      <c r="AE525" s="392"/>
      <c r="AF525" s="392"/>
      <c r="AG525" s="392"/>
      <c r="AH525" s="392"/>
      <c r="AI525" s="392"/>
      <c r="AJ525" s="392"/>
      <c r="AK525" s="392"/>
      <c r="AL525" s="392"/>
      <c r="AM525" s="392"/>
      <c r="AN525" s="392"/>
      <c r="AO525" s="392"/>
      <c r="AP525" s="392"/>
      <c r="AQ525" s="392"/>
      <c r="AR525" s="392"/>
      <c r="AS525" s="392"/>
      <c r="AT525" s="392"/>
      <c r="AU525" s="392"/>
      <c r="AV525" s="392"/>
      <c r="AW525" s="392"/>
      <c r="AX525" s="392"/>
      <c r="AY525" s="392"/>
      <c r="AZ525" s="392"/>
      <c r="BA525" s="392"/>
      <c r="BB525" s="392"/>
      <c r="BC525" s="392"/>
      <c r="BD525" s="392"/>
      <c r="BE525" s="392"/>
      <c r="BF525" s="392"/>
      <c r="BG525" s="392"/>
      <c r="BH525" s="392"/>
      <c r="BI525" s="392"/>
      <c r="BJ525" s="392"/>
      <c r="BK525" s="392"/>
      <c r="BL525" s="392"/>
      <c r="BM525" s="392"/>
      <c r="BN525" s="392"/>
      <c r="BO525" s="392"/>
      <c r="BP525" s="392"/>
      <c r="BQ525" s="392"/>
      <c r="BR525" s="392"/>
      <c r="BS525" s="392"/>
      <c r="BT525" s="392"/>
    </row>
    <row r="526" ht="15.75" customHeight="1">
      <c r="A526" s="216"/>
      <c r="B526" s="156"/>
      <c r="C526" s="156"/>
      <c r="D526" s="156"/>
      <c r="E526" s="392"/>
      <c r="F526" s="392"/>
      <c r="G526" s="392"/>
      <c r="H526" s="392"/>
      <c r="I526" s="392"/>
      <c r="J526" s="392"/>
      <c r="K526" s="392"/>
      <c r="L526" s="392"/>
      <c r="M526" s="392"/>
      <c r="N526" s="392"/>
      <c r="O526" s="392"/>
      <c r="P526" s="392"/>
      <c r="Q526" s="392"/>
      <c r="R526" s="392"/>
      <c r="S526" s="392"/>
      <c r="T526" s="392"/>
      <c r="U526" s="392"/>
      <c r="V526" s="392"/>
      <c r="W526" s="392"/>
      <c r="X526" s="392"/>
      <c r="Y526" s="392"/>
      <c r="Z526" s="392"/>
      <c r="AA526" s="392"/>
      <c r="AB526" s="392"/>
      <c r="AC526" s="392"/>
      <c r="AD526" s="392"/>
      <c r="AE526" s="392"/>
      <c r="AF526" s="392"/>
      <c r="AG526" s="392"/>
      <c r="AH526" s="392"/>
      <c r="AI526" s="392"/>
      <c r="AJ526" s="392"/>
      <c r="AK526" s="392"/>
      <c r="AL526" s="392"/>
      <c r="AM526" s="392"/>
      <c r="AN526" s="392"/>
      <c r="AO526" s="392"/>
      <c r="AP526" s="392"/>
      <c r="AQ526" s="392"/>
      <c r="AR526" s="392"/>
      <c r="AS526" s="392"/>
      <c r="AT526" s="392"/>
      <c r="AU526" s="392"/>
      <c r="AV526" s="392"/>
      <c r="AW526" s="392"/>
      <c r="AX526" s="392"/>
      <c r="AY526" s="392"/>
      <c r="AZ526" s="392"/>
      <c r="BA526" s="392"/>
      <c r="BB526" s="392"/>
      <c r="BC526" s="392"/>
      <c r="BD526" s="392"/>
      <c r="BE526" s="392"/>
      <c r="BF526" s="392"/>
      <c r="BG526" s="392"/>
      <c r="BH526" s="392"/>
      <c r="BI526" s="392"/>
      <c r="BJ526" s="392"/>
      <c r="BK526" s="392"/>
      <c r="BL526" s="392"/>
      <c r="BM526" s="392"/>
      <c r="BN526" s="392"/>
      <c r="BO526" s="392"/>
      <c r="BP526" s="392"/>
      <c r="BQ526" s="392"/>
      <c r="BR526" s="392"/>
      <c r="BS526" s="392"/>
      <c r="BT526" s="392"/>
    </row>
    <row r="527" ht="15.75" customHeight="1">
      <c r="A527" s="216"/>
      <c r="B527" s="156"/>
      <c r="C527" s="156"/>
      <c r="D527" s="156"/>
      <c r="E527" s="392"/>
      <c r="F527" s="392"/>
      <c r="G527" s="392"/>
      <c r="H527" s="392"/>
      <c r="I527" s="392"/>
      <c r="J527" s="392"/>
      <c r="K527" s="392"/>
      <c r="L527" s="392"/>
      <c r="M527" s="392"/>
      <c r="N527" s="392"/>
      <c r="O527" s="392"/>
      <c r="P527" s="392"/>
      <c r="Q527" s="392"/>
      <c r="R527" s="392"/>
      <c r="S527" s="392"/>
      <c r="T527" s="392"/>
      <c r="U527" s="392"/>
      <c r="V527" s="392"/>
      <c r="W527" s="392"/>
      <c r="X527" s="392"/>
      <c r="Y527" s="392"/>
      <c r="Z527" s="392"/>
      <c r="AA527" s="392"/>
      <c r="AB527" s="392"/>
      <c r="AC527" s="392"/>
      <c r="AD527" s="392"/>
      <c r="AE527" s="392"/>
      <c r="AF527" s="392"/>
      <c r="AG527" s="392"/>
      <c r="AH527" s="392"/>
      <c r="AI527" s="392"/>
      <c r="AJ527" s="392"/>
      <c r="AK527" s="392"/>
      <c r="AL527" s="392"/>
      <c r="AM527" s="392"/>
      <c r="AN527" s="392"/>
      <c r="AO527" s="392"/>
      <c r="AP527" s="392"/>
      <c r="AQ527" s="392"/>
      <c r="AR527" s="392"/>
      <c r="AS527" s="392"/>
      <c r="AT527" s="392"/>
      <c r="AU527" s="392"/>
      <c r="AV527" s="392"/>
      <c r="AW527" s="392"/>
      <c r="AX527" s="392"/>
      <c r="AY527" s="392"/>
      <c r="AZ527" s="392"/>
      <c r="BA527" s="392"/>
      <c r="BB527" s="392"/>
      <c r="BC527" s="392"/>
      <c r="BD527" s="392"/>
      <c r="BE527" s="392"/>
      <c r="BF527" s="392"/>
      <c r="BG527" s="392"/>
      <c r="BH527" s="392"/>
      <c r="BI527" s="392"/>
      <c r="BJ527" s="392"/>
      <c r="BK527" s="392"/>
      <c r="BL527" s="392"/>
      <c r="BM527" s="392"/>
      <c r="BN527" s="392"/>
      <c r="BO527" s="392"/>
      <c r="BP527" s="392"/>
      <c r="BQ527" s="392"/>
      <c r="BR527" s="392"/>
      <c r="BS527" s="392"/>
      <c r="BT527" s="392"/>
    </row>
    <row r="528" ht="15.75" customHeight="1">
      <c r="A528" s="216"/>
      <c r="B528" s="156"/>
      <c r="C528" s="156"/>
      <c r="D528" s="156"/>
      <c r="E528" s="392"/>
      <c r="F528" s="392"/>
      <c r="G528" s="392"/>
      <c r="H528" s="392"/>
      <c r="I528" s="392"/>
      <c r="J528" s="392"/>
      <c r="K528" s="392"/>
      <c r="L528" s="392"/>
      <c r="M528" s="392"/>
      <c r="N528" s="392"/>
      <c r="O528" s="392"/>
      <c r="P528" s="392"/>
      <c r="Q528" s="392"/>
      <c r="R528" s="392"/>
      <c r="S528" s="392"/>
      <c r="T528" s="392"/>
      <c r="U528" s="392"/>
      <c r="V528" s="392"/>
      <c r="W528" s="392"/>
      <c r="X528" s="392"/>
      <c r="Y528" s="392"/>
      <c r="Z528" s="392"/>
      <c r="AA528" s="392"/>
      <c r="AB528" s="392"/>
      <c r="AC528" s="392"/>
      <c r="AD528" s="392"/>
      <c r="AE528" s="392"/>
      <c r="AF528" s="392"/>
      <c r="AG528" s="392"/>
      <c r="AH528" s="392"/>
      <c r="AI528" s="392"/>
      <c r="AJ528" s="392"/>
      <c r="AK528" s="392"/>
      <c r="AL528" s="392"/>
      <c r="AM528" s="392"/>
      <c r="AN528" s="392"/>
      <c r="AO528" s="392"/>
      <c r="AP528" s="392"/>
      <c r="AQ528" s="392"/>
      <c r="AR528" s="392"/>
      <c r="AS528" s="392"/>
      <c r="AT528" s="392"/>
      <c r="AU528" s="392"/>
      <c r="AV528" s="392"/>
      <c r="AW528" s="392"/>
      <c r="AX528" s="392"/>
      <c r="AY528" s="392"/>
      <c r="AZ528" s="392"/>
      <c r="BA528" s="392"/>
      <c r="BB528" s="392"/>
      <c r="BC528" s="392"/>
      <c r="BD528" s="392"/>
      <c r="BE528" s="392"/>
      <c r="BF528" s="392"/>
      <c r="BG528" s="392"/>
      <c r="BH528" s="392"/>
      <c r="BI528" s="392"/>
      <c r="BJ528" s="392"/>
      <c r="BK528" s="392"/>
      <c r="BL528" s="392"/>
      <c r="BM528" s="392"/>
      <c r="BN528" s="392"/>
      <c r="BO528" s="392"/>
      <c r="BP528" s="392"/>
      <c r="BQ528" s="392"/>
      <c r="BR528" s="392"/>
      <c r="BS528" s="392"/>
      <c r="BT528" s="392"/>
    </row>
    <row r="529" ht="15.75" customHeight="1">
      <c r="A529" s="216"/>
      <c r="B529" s="156"/>
      <c r="C529" s="156"/>
      <c r="D529" s="156"/>
      <c r="E529" s="392"/>
      <c r="F529" s="392"/>
      <c r="G529" s="392"/>
      <c r="H529" s="392"/>
      <c r="I529" s="392"/>
      <c r="J529" s="392"/>
      <c r="K529" s="392"/>
      <c r="L529" s="392"/>
      <c r="M529" s="392"/>
      <c r="N529" s="392"/>
      <c r="O529" s="392"/>
      <c r="P529" s="392"/>
      <c r="Q529" s="392"/>
      <c r="R529" s="392"/>
      <c r="S529" s="392"/>
      <c r="T529" s="392"/>
      <c r="U529" s="392"/>
      <c r="V529" s="392"/>
      <c r="W529" s="392"/>
      <c r="X529" s="392"/>
      <c r="Y529" s="392"/>
      <c r="Z529" s="392"/>
      <c r="AA529" s="392"/>
      <c r="AB529" s="392"/>
      <c r="AC529" s="392"/>
      <c r="AD529" s="392"/>
      <c r="AE529" s="392"/>
      <c r="AF529" s="392"/>
      <c r="AG529" s="392"/>
      <c r="AH529" s="392"/>
      <c r="AI529" s="392"/>
      <c r="AJ529" s="392"/>
      <c r="AK529" s="392"/>
      <c r="AL529" s="392"/>
      <c r="AM529" s="392"/>
      <c r="AN529" s="392"/>
      <c r="AO529" s="392"/>
      <c r="AP529" s="392"/>
      <c r="AQ529" s="392"/>
      <c r="AR529" s="392"/>
      <c r="AS529" s="392"/>
      <c r="AT529" s="392"/>
      <c r="AU529" s="392"/>
      <c r="AV529" s="392"/>
      <c r="AW529" s="392"/>
      <c r="AX529" s="392"/>
      <c r="AY529" s="392"/>
      <c r="AZ529" s="392"/>
      <c r="BA529" s="392"/>
      <c r="BB529" s="392"/>
      <c r="BC529" s="392"/>
      <c r="BD529" s="392"/>
      <c r="BE529" s="392"/>
      <c r="BF529" s="392"/>
      <c r="BG529" s="392"/>
      <c r="BH529" s="392"/>
      <c r="BI529" s="392"/>
      <c r="BJ529" s="392"/>
      <c r="BK529" s="392"/>
      <c r="BL529" s="392"/>
      <c r="BM529" s="392"/>
      <c r="BN529" s="392"/>
      <c r="BO529" s="392"/>
      <c r="BP529" s="392"/>
      <c r="BQ529" s="392"/>
      <c r="BR529" s="392"/>
      <c r="BS529" s="392"/>
      <c r="BT529" s="392"/>
    </row>
    <row r="530" ht="15.75" customHeight="1">
      <c r="A530" s="216"/>
      <c r="B530" s="156"/>
      <c r="C530" s="156"/>
      <c r="D530" s="156"/>
      <c r="E530" s="392"/>
      <c r="F530" s="392"/>
      <c r="G530" s="392"/>
      <c r="H530" s="392"/>
      <c r="I530" s="392"/>
      <c r="J530" s="392"/>
      <c r="K530" s="392"/>
      <c r="L530" s="392"/>
      <c r="M530" s="392"/>
      <c r="N530" s="392"/>
      <c r="O530" s="392"/>
      <c r="P530" s="392"/>
      <c r="Q530" s="392"/>
      <c r="R530" s="392"/>
      <c r="S530" s="392"/>
      <c r="T530" s="392"/>
      <c r="U530" s="392"/>
      <c r="V530" s="392"/>
      <c r="W530" s="392"/>
      <c r="X530" s="392"/>
      <c r="Y530" s="392"/>
      <c r="Z530" s="392"/>
      <c r="AA530" s="392"/>
      <c r="AB530" s="392"/>
      <c r="AC530" s="392"/>
      <c r="AD530" s="392"/>
      <c r="AE530" s="392"/>
      <c r="AF530" s="392"/>
      <c r="AG530" s="392"/>
      <c r="AH530" s="392"/>
      <c r="AI530" s="392"/>
      <c r="AJ530" s="392"/>
      <c r="AK530" s="392"/>
      <c r="AL530" s="392"/>
      <c r="AM530" s="392"/>
      <c r="AN530" s="392"/>
      <c r="AO530" s="392"/>
      <c r="AP530" s="392"/>
      <c r="AQ530" s="392"/>
      <c r="AR530" s="392"/>
      <c r="AS530" s="392"/>
      <c r="AT530" s="392"/>
      <c r="AU530" s="392"/>
      <c r="AV530" s="392"/>
      <c r="AW530" s="392"/>
      <c r="AX530" s="392"/>
      <c r="AY530" s="392"/>
      <c r="AZ530" s="392"/>
      <c r="BA530" s="392"/>
      <c r="BB530" s="392"/>
      <c r="BC530" s="392"/>
      <c r="BD530" s="392"/>
      <c r="BE530" s="392"/>
      <c r="BF530" s="392"/>
      <c r="BG530" s="392"/>
      <c r="BH530" s="392"/>
      <c r="BI530" s="392"/>
      <c r="BJ530" s="392"/>
      <c r="BK530" s="392"/>
      <c r="BL530" s="392"/>
      <c r="BM530" s="392"/>
      <c r="BN530" s="392"/>
      <c r="BO530" s="392"/>
      <c r="BP530" s="392"/>
      <c r="BQ530" s="392"/>
      <c r="BR530" s="392"/>
      <c r="BS530" s="392"/>
      <c r="BT530" s="392"/>
    </row>
    <row r="531" ht="15.75" customHeight="1">
      <c r="A531" s="216"/>
      <c r="B531" s="156"/>
      <c r="C531" s="156"/>
      <c r="D531" s="156"/>
      <c r="E531" s="392"/>
      <c r="F531" s="392"/>
      <c r="G531" s="392"/>
      <c r="H531" s="392"/>
      <c r="I531" s="392"/>
      <c r="J531" s="392"/>
      <c r="K531" s="392"/>
      <c r="L531" s="392"/>
      <c r="M531" s="392"/>
      <c r="N531" s="392"/>
      <c r="O531" s="392"/>
      <c r="P531" s="392"/>
      <c r="Q531" s="392"/>
      <c r="R531" s="392"/>
      <c r="S531" s="392"/>
      <c r="T531" s="392"/>
      <c r="U531" s="392"/>
      <c r="V531" s="392"/>
      <c r="W531" s="392"/>
      <c r="X531" s="392"/>
      <c r="Y531" s="392"/>
      <c r="Z531" s="392"/>
      <c r="AA531" s="392"/>
      <c r="AB531" s="392"/>
      <c r="AC531" s="392"/>
      <c r="AD531" s="392"/>
      <c r="AE531" s="392"/>
      <c r="AF531" s="392"/>
      <c r="AG531" s="392"/>
      <c r="AH531" s="392"/>
      <c r="AI531" s="392"/>
      <c r="AJ531" s="392"/>
      <c r="AK531" s="392"/>
      <c r="AL531" s="392"/>
      <c r="AM531" s="392"/>
      <c r="AN531" s="392"/>
      <c r="AO531" s="392"/>
      <c r="AP531" s="392"/>
      <c r="AQ531" s="392"/>
      <c r="AR531" s="392"/>
      <c r="AS531" s="392"/>
      <c r="AT531" s="392"/>
      <c r="AU531" s="392"/>
      <c r="AV531" s="392"/>
      <c r="AW531" s="392"/>
      <c r="AX531" s="392"/>
      <c r="AY531" s="392"/>
      <c r="AZ531" s="392"/>
      <c r="BA531" s="392"/>
      <c r="BB531" s="392"/>
      <c r="BC531" s="392"/>
      <c r="BD531" s="392"/>
      <c r="BE531" s="392"/>
      <c r="BF531" s="392"/>
      <c r="BG531" s="392"/>
      <c r="BH531" s="392"/>
      <c r="BI531" s="392"/>
      <c r="BJ531" s="392"/>
      <c r="BK531" s="392"/>
      <c r="BL531" s="392"/>
      <c r="BM531" s="392"/>
      <c r="BN531" s="392"/>
      <c r="BO531" s="392"/>
      <c r="BP531" s="392"/>
      <c r="BQ531" s="392"/>
      <c r="BR531" s="392"/>
      <c r="BS531" s="392"/>
      <c r="BT531" s="392"/>
    </row>
    <row r="532" ht="15.75" customHeight="1">
      <c r="A532" s="216"/>
      <c r="B532" s="156"/>
      <c r="C532" s="156"/>
      <c r="D532" s="156"/>
      <c r="E532" s="392"/>
      <c r="F532" s="392"/>
      <c r="G532" s="392"/>
      <c r="H532" s="392"/>
      <c r="I532" s="392"/>
      <c r="J532" s="392"/>
      <c r="K532" s="392"/>
      <c r="L532" s="392"/>
      <c r="M532" s="392"/>
      <c r="N532" s="392"/>
      <c r="O532" s="392"/>
      <c r="P532" s="392"/>
      <c r="Q532" s="392"/>
      <c r="R532" s="392"/>
      <c r="S532" s="392"/>
      <c r="T532" s="392"/>
      <c r="U532" s="392"/>
      <c r="V532" s="392"/>
      <c r="W532" s="392"/>
      <c r="X532" s="392"/>
      <c r="Y532" s="392"/>
      <c r="Z532" s="392"/>
      <c r="AA532" s="392"/>
      <c r="AB532" s="392"/>
      <c r="AC532" s="392"/>
      <c r="AD532" s="392"/>
      <c r="AE532" s="392"/>
      <c r="AF532" s="392"/>
      <c r="AG532" s="392"/>
      <c r="AH532" s="392"/>
      <c r="AI532" s="392"/>
      <c r="AJ532" s="392"/>
      <c r="AK532" s="392"/>
      <c r="AL532" s="392"/>
      <c r="AM532" s="392"/>
      <c r="AN532" s="392"/>
      <c r="AO532" s="392"/>
      <c r="AP532" s="392"/>
      <c r="AQ532" s="392"/>
      <c r="AR532" s="392"/>
      <c r="AS532" s="392"/>
      <c r="AT532" s="392"/>
      <c r="AU532" s="392"/>
      <c r="AV532" s="392"/>
      <c r="AW532" s="392"/>
      <c r="AX532" s="392"/>
      <c r="AY532" s="392"/>
      <c r="AZ532" s="392"/>
      <c r="BA532" s="392"/>
      <c r="BB532" s="392"/>
      <c r="BC532" s="392"/>
      <c r="BD532" s="392"/>
      <c r="BE532" s="392"/>
      <c r="BF532" s="392"/>
      <c r="BG532" s="392"/>
      <c r="BH532" s="392"/>
      <c r="BI532" s="392"/>
      <c r="BJ532" s="392"/>
      <c r="BK532" s="392"/>
      <c r="BL532" s="392"/>
      <c r="BM532" s="392"/>
      <c r="BN532" s="392"/>
      <c r="BO532" s="392"/>
      <c r="BP532" s="392"/>
      <c r="BQ532" s="392"/>
      <c r="BR532" s="392"/>
      <c r="BS532" s="392"/>
      <c r="BT532" s="392"/>
    </row>
    <row r="533" ht="15.75" customHeight="1">
      <c r="A533" s="216"/>
      <c r="B533" s="156"/>
      <c r="C533" s="156"/>
      <c r="D533" s="156"/>
      <c r="E533" s="392"/>
      <c r="F533" s="392"/>
      <c r="G533" s="392"/>
      <c r="H533" s="392"/>
      <c r="I533" s="392"/>
      <c r="J533" s="392"/>
      <c r="K533" s="392"/>
      <c r="L533" s="392"/>
      <c r="M533" s="392"/>
      <c r="N533" s="392"/>
      <c r="O533" s="392"/>
      <c r="P533" s="392"/>
      <c r="Q533" s="392"/>
      <c r="R533" s="392"/>
      <c r="S533" s="392"/>
      <c r="T533" s="392"/>
      <c r="U533" s="392"/>
      <c r="V533" s="392"/>
      <c r="W533" s="392"/>
      <c r="X533" s="392"/>
      <c r="Y533" s="392"/>
      <c r="Z533" s="392"/>
      <c r="AA533" s="392"/>
      <c r="AB533" s="392"/>
      <c r="AC533" s="392"/>
      <c r="AD533" s="392"/>
      <c r="AE533" s="392"/>
      <c r="AF533" s="392"/>
      <c r="AG533" s="392"/>
      <c r="AH533" s="392"/>
      <c r="AI533" s="392"/>
      <c r="AJ533" s="392"/>
      <c r="AK533" s="392"/>
      <c r="AL533" s="392"/>
      <c r="AM533" s="392"/>
      <c r="AN533" s="392"/>
      <c r="AO533" s="392"/>
      <c r="AP533" s="392"/>
      <c r="AQ533" s="392"/>
      <c r="AR533" s="392"/>
      <c r="AS533" s="392"/>
      <c r="AT533" s="392"/>
      <c r="AU533" s="392"/>
      <c r="AV533" s="392"/>
      <c r="AW533" s="392"/>
      <c r="AX533" s="392"/>
      <c r="AY533" s="392"/>
      <c r="AZ533" s="392"/>
      <c r="BA533" s="392"/>
      <c r="BB533" s="392"/>
      <c r="BC533" s="392"/>
      <c r="BD533" s="392"/>
      <c r="BE533" s="392"/>
      <c r="BF533" s="392"/>
      <c r="BG533" s="392"/>
      <c r="BH533" s="392"/>
      <c r="BI533" s="392"/>
      <c r="BJ533" s="392"/>
      <c r="BK533" s="392"/>
      <c r="BL533" s="392"/>
      <c r="BM533" s="392"/>
      <c r="BN533" s="392"/>
      <c r="BO533" s="392"/>
      <c r="BP533" s="392"/>
      <c r="BQ533" s="392"/>
      <c r="BR533" s="392"/>
      <c r="BS533" s="392"/>
      <c r="BT533" s="392"/>
    </row>
    <row r="534" ht="15.75" customHeight="1">
      <c r="A534" s="216"/>
      <c r="B534" s="156"/>
      <c r="C534" s="156"/>
      <c r="D534" s="156"/>
      <c r="E534" s="392"/>
      <c r="F534" s="392"/>
      <c r="G534" s="392"/>
      <c r="H534" s="392"/>
      <c r="I534" s="392"/>
      <c r="J534" s="392"/>
      <c r="K534" s="392"/>
      <c r="L534" s="392"/>
      <c r="M534" s="392"/>
      <c r="N534" s="392"/>
      <c r="O534" s="392"/>
      <c r="P534" s="392"/>
      <c r="Q534" s="392"/>
      <c r="R534" s="392"/>
      <c r="S534" s="392"/>
      <c r="T534" s="392"/>
      <c r="U534" s="392"/>
      <c r="V534" s="392"/>
      <c r="W534" s="392"/>
      <c r="X534" s="392"/>
      <c r="Y534" s="392"/>
      <c r="Z534" s="392"/>
      <c r="AA534" s="392"/>
      <c r="AB534" s="392"/>
      <c r="AC534" s="392"/>
      <c r="AD534" s="392"/>
      <c r="AE534" s="392"/>
      <c r="AF534" s="392"/>
      <c r="AG534" s="392"/>
      <c r="AH534" s="392"/>
      <c r="AI534" s="392"/>
      <c r="AJ534" s="392"/>
      <c r="AK534" s="392"/>
      <c r="AL534" s="392"/>
      <c r="AM534" s="392"/>
      <c r="AN534" s="392"/>
      <c r="AO534" s="392"/>
      <c r="AP534" s="392"/>
      <c r="AQ534" s="392"/>
      <c r="AR534" s="392"/>
      <c r="AS534" s="392"/>
      <c r="AT534" s="392"/>
      <c r="AU534" s="392"/>
      <c r="AV534" s="392"/>
      <c r="AW534" s="392"/>
      <c r="AX534" s="392"/>
      <c r="AY534" s="392"/>
      <c r="AZ534" s="392"/>
      <c r="BA534" s="392"/>
      <c r="BB534" s="392"/>
      <c r="BC534" s="392"/>
      <c r="BD534" s="392"/>
      <c r="BE534" s="392"/>
      <c r="BF534" s="392"/>
      <c r="BG534" s="392"/>
      <c r="BH534" s="392"/>
      <c r="BI534" s="392"/>
      <c r="BJ534" s="392"/>
      <c r="BK534" s="392"/>
      <c r="BL534" s="392"/>
      <c r="BM534" s="392"/>
      <c r="BN534" s="392"/>
      <c r="BO534" s="392"/>
      <c r="BP534" s="392"/>
      <c r="BQ534" s="392"/>
      <c r="BR534" s="392"/>
      <c r="BS534" s="392"/>
      <c r="BT534" s="392"/>
    </row>
    <row r="535" ht="15.75" customHeight="1">
      <c r="A535" s="216"/>
      <c r="B535" s="156"/>
      <c r="C535" s="156"/>
      <c r="D535" s="156"/>
      <c r="E535" s="392"/>
      <c r="F535" s="392"/>
      <c r="G535" s="392"/>
      <c r="H535" s="392"/>
      <c r="I535" s="392"/>
      <c r="J535" s="392"/>
      <c r="K535" s="392"/>
      <c r="L535" s="392"/>
      <c r="M535" s="392"/>
      <c r="N535" s="392"/>
      <c r="O535" s="392"/>
      <c r="P535" s="392"/>
      <c r="Q535" s="392"/>
      <c r="R535" s="392"/>
      <c r="S535" s="392"/>
      <c r="T535" s="392"/>
      <c r="U535" s="392"/>
      <c r="V535" s="392"/>
      <c r="W535" s="392"/>
      <c r="X535" s="392"/>
      <c r="Y535" s="392"/>
      <c r="Z535" s="392"/>
      <c r="AA535" s="392"/>
      <c r="AB535" s="392"/>
      <c r="AC535" s="392"/>
      <c r="AD535" s="392"/>
      <c r="AE535" s="392"/>
      <c r="AF535" s="392"/>
      <c r="AG535" s="392"/>
      <c r="AH535" s="392"/>
      <c r="AI535" s="392"/>
      <c r="AJ535" s="392"/>
      <c r="AK535" s="392"/>
      <c r="AL535" s="392"/>
      <c r="AM535" s="392"/>
      <c r="AN535" s="392"/>
      <c r="AO535" s="392"/>
      <c r="AP535" s="392"/>
      <c r="AQ535" s="392"/>
      <c r="AR535" s="392"/>
      <c r="AS535" s="392"/>
      <c r="AT535" s="392"/>
      <c r="AU535" s="392"/>
      <c r="AV535" s="392"/>
      <c r="AW535" s="392"/>
      <c r="AX535" s="392"/>
      <c r="AY535" s="392"/>
      <c r="AZ535" s="392"/>
      <c r="BA535" s="392"/>
      <c r="BB535" s="392"/>
      <c r="BC535" s="392"/>
      <c r="BD535" s="392"/>
      <c r="BE535" s="392"/>
      <c r="BF535" s="392"/>
      <c r="BG535" s="392"/>
      <c r="BH535" s="392"/>
      <c r="BI535" s="392"/>
      <c r="BJ535" s="392"/>
      <c r="BK535" s="392"/>
      <c r="BL535" s="392"/>
      <c r="BM535" s="392"/>
      <c r="BN535" s="392"/>
      <c r="BO535" s="392"/>
      <c r="BP535" s="392"/>
      <c r="BQ535" s="392"/>
      <c r="BR535" s="392"/>
      <c r="BS535" s="392"/>
      <c r="BT535" s="392"/>
    </row>
    <row r="536" ht="15.75" customHeight="1">
      <c r="A536" s="216"/>
      <c r="B536" s="156"/>
      <c r="C536" s="156"/>
      <c r="D536" s="156"/>
      <c r="E536" s="392"/>
      <c r="F536" s="392"/>
      <c r="G536" s="392"/>
      <c r="H536" s="392"/>
      <c r="I536" s="392"/>
      <c r="J536" s="392"/>
      <c r="K536" s="392"/>
      <c r="L536" s="392"/>
      <c r="M536" s="392"/>
      <c r="N536" s="392"/>
      <c r="O536" s="392"/>
      <c r="P536" s="392"/>
      <c r="Q536" s="392"/>
      <c r="R536" s="392"/>
      <c r="S536" s="392"/>
      <c r="T536" s="392"/>
      <c r="U536" s="392"/>
      <c r="V536" s="392"/>
      <c r="W536" s="392"/>
      <c r="X536" s="392"/>
      <c r="Y536" s="392"/>
      <c r="Z536" s="392"/>
      <c r="AA536" s="392"/>
      <c r="AB536" s="392"/>
      <c r="AC536" s="392"/>
      <c r="AD536" s="392"/>
      <c r="AE536" s="392"/>
      <c r="AF536" s="392"/>
      <c r="AG536" s="392"/>
      <c r="AH536" s="392"/>
      <c r="AI536" s="392"/>
      <c r="AJ536" s="392"/>
      <c r="AK536" s="392"/>
      <c r="AL536" s="392"/>
      <c r="AM536" s="392"/>
      <c r="AN536" s="392"/>
      <c r="AO536" s="392"/>
      <c r="AP536" s="392"/>
      <c r="AQ536" s="392"/>
      <c r="AR536" s="392"/>
      <c r="AS536" s="392"/>
      <c r="AT536" s="392"/>
      <c r="AU536" s="392"/>
      <c r="AV536" s="392"/>
      <c r="AW536" s="392"/>
      <c r="AX536" s="392"/>
      <c r="AY536" s="392"/>
      <c r="AZ536" s="392"/>
      <c r="BA536" s="392"/>
      <c r="BB536" s="392"/>
      <c r="BC536" s="392"/>
      <c r="BD536" s="392"/>
      <c r="BE536" s="392"/>
      <c r="BF536" s="392"/>
      <c r="BG536" s="392"/>
      <c r="BH536" s="392"/>
      <c r="BI536" s="392"/>
      <c r="BJ536" s="392"/>
      <c r="BK536" s="392"/>
      <c r="BL536" s="392"/>
      <c r="BM536" s="392"/>
      <c r="BN536" s="392"/>
      <c r="BO536" s="392"/>
      <c r="BP536" s="392"/>
      <c r="BQ536" s="392"/>
      <c r="BR536" s="392"/>
      <c r="BS536" s="392"/>
      <c r="BT536" s="392"/>
    </row>
    <row r="537" ht="15.75" customHeight="1">
      <c r="A537" s="216"/>
      <c r="B537" s="156"/>
      <c r="C537" s="156"/>
      <c r="D537" s="156"/>
      <c r="E537" s="392"/>
      <c r="F537" s="392"/>
      <c r="G537" s="392"/>
      <c r="H537" s="392"/>
      <c r="I537" s="392"/>
      <c r="J537" s="392"/>
      <c r="K537" s="392"/>
      <c r="L537" s="392"/>
      <c r="M537" s="392"/>
      <c r="N537" s="392"/>
      <c r="O537" s="392"/>
      <c r="P537" s="392"/>
      <c r="Q537" s="392"/>
      <c r="R537" s="392"/>
      <c r="S537" s="392"/>
      <c r="T537" s="392"/>
      <c r="U537" s="392"/>
      <c r="V537" s="392"/>
      <c r="W537" s="392"/>
      <c r="X537" s="392"/>
      <c r="Y537" s="392"/>
      <c r="Z537" s="392"/>
      <c r="AA537" s="392"/>
      <c r="AB537" s="392"/>
      <c r="AC537" s="392"/>
      <c r="AD537" s="392"/>
      <c r="AE537" s="392"/>
      <c r="AF537" s="392"/>
      <c r="AG537" s="392"/>
      <c r="AH537" s="392"/>
      <c r="AI537" s="392"/>
      <c r="AJ537" s="392"/>
      <c r="AK537" s="392"/>
      <c r="AL537" s="392"/>
      <c r="AM537" s="392"/>
      <c r="AN537" s="392"/>
      <c r="AO537" s="392"/>
      <c r="AP537" s="392"/>
      <c r="AQ537" s="392"/>
      <c r="AR537" s="392"/>
      <c r="AS537" s="392"/>
      <c r="AT537" s="392"/>
      <c r="AU537" s="392"/>
      <c r="AV537" s="392"/>
      <c r="AW537" s="392"/>
      <c r="AX537" s="392"/>
      <c r="AY537" s="392"/>
      <c r="AZ537" s="392"/>
      <c r="BA537" s="392"/>
      <c r="BB537" s="392"/>
      <c r="BC537" s="392"/>
      <c r="BD537" s="392"/>
      <c r="BE537" s="392"/>
      <c r="BF537" s="392"/>
      <c r="BG537" s="392"/>
      <c r="BH537" s="392"/>
      <c r="BI537" s="392"/>
      <c r="BJ537" s="392"/>
      <c r="BK537" s="392"/>
      <c r="BL537" s="392"/>
      <c r="BM537" s="392"/>
      <c r="BN537" s="392"/>
      <c r="BO537" s="392"/>
      <c r="BP537" s="392"/>
      <c r="BQ537" s="392"/>
      <c r="BR537" s="392"/>
      <c r="BS537" s="392"/>
      <c r="BT537" s="392"/>
    </row>
    <row r="538" ht="15.75" customHeight="1">
      <c r="A538" s="216"/>
      <c r="B538" s="156"/>
      <c r="C538" s="156"/>
      <c r="D538" s="156"/>
      <c r="E538" s="392"/>
      <c r="F538" s="392"/>
      <c r="G538" s="392"/>
      <c r="H538" s="392"/>
      <c r="I538" s="392"/>
      <c r="J538" s="392"/>
      <c r="K538" s="392"/>
      <c r="L538" s="392"/>
      <c r="M538" s="392"/>
      <c r="N538" s="392"/>
      <c r="O538" s="392"/>
      <c r="P538" s="392"/>
      <c r="Q538" s="392"/>
      <c r="R538" s="392"/>
      <c r="S538" s="392"/>
      <c r="T538" s="392"/>
      <c r="U538" s="392"/>
      <c r="V538" s="392"/>
      <c r="W538" s="392"/>
      <c r="X538" s="392"/>
      <c r="Y538" s="392"/>
      <c r="Z538" s="392"/>
      <c r="AA538" s="392"/>
      <c r="AB538" s="392"/>
      <c r="AC538" s="392"/>
      <c r="AD538" s="392"/>
      <c r="AE538" s="392"/>
      <c r="AF538" s="392"/>
      <c r="AG538" s="392"/>
      <c r="AH538" s="392"/>
      <c r="AI538" s="392"/>
      <c r="AJ538" s="392"/>
      <c r="AK538" s="392"/>
      <c r="AL538" s="392"/>
      <c r="AM538" s="392"/>
      <c r="AN538" s="392"/>
      <c r="AO538" s="392"/>
      <c r="AP538" s="392"/>
      <c r="AQ538" s="392"/>
      <c r="AR538" s="392"/>
      <c r="AS538" s="392"/>
      <c r="AT538" s="392"/>
      <c r="AU538" s="392"/>
      <c r="AV538" s="392"/>
      <c r="AW538" s="392"/>
      <c r="AX538" s="392"/>
      <c r="AY538" s="392"/>
      <c r="AZ538" s="392"/>
      <c r="BA538" s="392"/>
      <c r="BB538" s="392"/>
      <c r="BC538" s="392"/>
      <c r="BD538" s="392"/>
      <c r="BE538" s="392"/>
      <c r="BF538" s="392"/>
      <c r="BG538" s="392"/>
      <c r="BH538" s="392"/>
      <c r="BI538" s="392"/>
      <c r="BJ538" s="392"/>
      <c r="BK538" s="392"/>
      <c r="BL538" s="392"/>
      <c r="BM538" s="392"/>
      <c r="BN538" s="392"/>
      <c r="BO538" s="392"/>
      <c r="BP538" s="392"/>
      <c r="BQ538" s="392"/>
      <c r="BR538" s="392"/>
      <c r="BS538" s="392"/>
      <c r="BT538" s="392"/>
    </row>
    <row r="539" ht="15.75" customHeight="1">
      <c r="A539" s="216"/>
      <c r="B539" s="156"/>
      <c r="C539" s="156"/>
      <c r="D539" s="156"/>
      <c r="E539" s="392"/>
      <c r="F539" s="392"/>
      <c r="G539" s="392"/>
      <c r="H539" s="392"/>
      <c r="I539" s="392"/>
      <c r="J539" s="392"/>
      <c r="K539" s="392"/>
      <c r="L539" s="392"/>
      <c r="M539" s="392"/>
      <c r="N539" s="392"/>
      <c r="O539" s="392"/>
      <c r="P539" s="392"/>
      <c r="Q539" s="392"/>
      <c r="R539" s="392"/>
      <c r="S539" s="392"/>
      <c r="T539" s="392"/>
      <c r="U539" s="392"/>
      <c r="V539" s="392"/>
      <c r="W539" s="392"/>
      <c r="X539" s="392"/>
      <c r="Y539" s="392"/>
      <c r="Z539" s="392"/>
      <c r="AA539" s="392"/>
      <c r="AB539" s="392"/>
      <c r="AC539" s="392"/>
      <c r="AD539" s="392"/>
      <c r="AE539" s="392"/>
      <c r="AF539" s="392"/>
      <c r="AG539" s="392"/>
      <c r="AH539" s="392"/>
      <c r="AI539" s="392"/>
      <c r="AJ539" s="392"/>
      <c r="AK539" s="392"/>
      <c r="AL539" s="392"/>
      <c r="AM539" s="392"/>
      <c r="AN539" s="392"/>
      <c r="AO539" s="392"/>
      <c r="AP539" s="392"/>
      <c r="AQ539" s="392"/>
      <c r="AR539" s="392"/>
      <c r="AS539" s="392"/>
      <c r="AT539" s="392"/>
      <c r="AU539" s="392"/>
      <c r="AV539" s="392"/>
      <c r="AW539" s="392"/>
      <c r="AX539" s="392"/>
      <c r="AY539" s="392"/>
      <c r="AZ539" s="392"/>
      <c r="BA539" s="392"/>
      <c r="BB539" s="392"/>
      <c r="BC539" s="392"/>
      <c r="BD539" s="392"/>
      <c r="BE539" s="392"/>
      <c r="BF539" s="392"/>
      <c r="BG539" s="392"/>
      <c r="BH539" s="392"/>
      <c r="BI539" s="392"/>
      <c r="BJ539" s="392"/>
      <c r="BK539" s="392"/>
      <c r="BL539" s="392"/>
      <c r="BM539" s="392"/>
      <c r="BN539" s="392"/>
      <c r="BO539" s="392"/>
      <c r="BP539" s="392"/>
      <c r="BQ539" s="392"/>
      <c r="BR539" s="392"/>
      <c r="BS539" s="392"/>
      <c r="BT539" s="392"/>
    </row>
    <row r="540" ht="15.75" customHeight="1">
      <c r="A540" s="216"/>
      <c r="B540" s="156"/>
      <c r="C540" s="156"/>
      <c r="D540" s="156"/>
      <c r="E540" s="392"/>
      <c r="F540" s="392"/>
      <c r="G540" s="392"/>
      <c r="H540" s="392"/>
      <c r="I540" s="392"/>
      <c r="J540" s="392"/>
      <c r="K540" s="392"/>
      <c r="L540" s="392"/>
      <c r="M540" s="392"/>
      <c r="N540" s="392"/>
      <c r="O540" s="392"/>
      <c r="P540" s="392"/>
      <c r="Q540" s="392"/>
      <c r="R540" s="392"/>
      <c r="S540" s="392"/>
      <c r="T540" s="392"/>
      <c r="U540" s="392"/>
      <c r="V540" s="392"/>
      <c r="W540" s="392"/>
      <c r="X540" s="392"/>
      <c r="Y540" s="392"/>
      <c r="Z540" s="392"/>
      <c r="AA540" s="392"/>
      <c r="AB540" s="392"/>
      <c r="AC540" s="392"/>
      <c r="AD540" s="392"/>
      <c r="AE540" s="392"/>
      <c r="AF540" s="392"/>
      <c r="AG540" s="392"/>
      <c r="AH540" s="392"/>
      <c r="AI540" s="392"/>
      <c r="AJ540" s="392"/>
      <c r="AK540" s="392"/>
      <c r="AL540" s="392"/>
      <c r="AM540" s="392"/>
      <c r="AN540" s="392"/>
      <c r="AO540" s="392"/>
      <c r="AP540" s="392"/>
      <c r="AQ540" s="392"/>
      <c r="AR540" s="392"/>
      <c r="AS540" s="392"/>
      <c r="AT540" s="392"/>
      <c r="AU540" s="392"/>
      <c r="AV540" s="392"/>
      <c r="AW540" s="392"/>
      <c r="AX540" s="392"/>
      <c r="AY540" s="392"/>
      <c r="AZ540" s="392"/>
      <c r="BA540" s="392"/>
      <c r="BB540" s="392"/>
      <c r="BC540" s="392"/>
      <c r="BD540" s="392"/>
      <c r="BE540" s="392"/>
      <c r="BF540" s="392"/>
      <c r="BG540" s="392"/>
      <c r="BH540" s="392"/>
      <c r="BI540" s="392"/>
      <c r="BJ540" s="392"/>
      <c r="BK540" s="392"/>
      <c r="BL540" s="392"/>
      <c r="BM540" s="392"/>
      <c r="BN540" s="392"/>
      <c r="BO540" s="392"/>
      <c r="BP540" s="392"/>
      <c r="BQ540" s="392"/>
      <c r="BR540" s="392"/>
      <c r="BS540" s="392"/>
      <c r="BT540" s="392"/>
    </row>
    <row r="541" ht="15.75" customHeight="1">
      <c r="A541" s="216"/>
      <c r="B541" s="156"/>
      <c r="C541" s="156"/>
      <c r="D541" s="156"/>
      <c r="E541" s="392"/>
      <c r="F541" s="392"/>
      <c r="G541" s="392"/>
      <c r="H541" s="392"/>
      <c r="I541" s="392"/>
      <c r="J541" s="392"/>
      <c r="K541" s="392"/>
      <c r="L541" s="392"/>
      <c r="M541" s="392"/>
      <c r="N541" s="392"/>
      <c r="O541" s="392"/>
      <c r="P541" s="392"/>
      <c r="Q541" s="392"/>
      <c r="R541" s="392"/>
      <c r="S541" s="392"/>
      <c r="T541" s="392"/>
      <c r="U541" s="392"/>
      <c r="V541" s="392"/>
      <c r="W541" s="392"/>
      <c r="X541" s="392"/>
      <c r="Y541" s="392"/>
      <c r="Z541" s="392"/>
      <c r="AA541" s="392"/>
      <c r="AB541" s="392"/>
      <c r="AC541" s="392"/>
      <c r="AD541" s="392"/>
      <c r="AE541" s="392"/>
      <c r="AF541" s="392"/>
      <c r="AG541" s="392"/>
      <c r="AH541" s="392"/>
      <c r="AI541" s="392"/>
      <c r="AJ541" s="392"/>
      <c r="AK541" s="392"/>
      <c r="AL541" s="392"/>
      <c r="AM541" s="392"/>
      <c r="AN541" s="392"/>
      <c r="AO541" s="392"/>
      <c r="AP541" s="392"/>
      <c r="AQ541" s="392"/>
      <c r="AR541" s="392"/>
      <c r="AS541" s="392"/>
      <c r="AT541" s="392"/>
      <c r="AU541" s="392"/>
      <c r="AV541" s="392"/>
      <c r="AW541" s="392"/>
      <c r="AX541" s="392"/>
      <c r="AY541" s="392"/>
      <c r="AZ541" s="392"/>
      <c r="BA541" s="392"/>
      <c r="BB541" s="392"/>
      <c r="BC541" s="392"/>
      <c r="BD541" s="392"/>
      <c r="BE541" s="392"/>
      <c r="BF541" s="392"/>
      <c r="BG541" s="392"/>
      <c r="BH541" s="392"/>
      <c r="BI541" s="392"/>
      <c r="BJ541" s="392"/>
      <c r="BK541" s="392"/>
      <c r="BL541" s="392"/>
      <c r="BM541" s="392"/>
      <c r="BN541" s="392"/>
      <c r="BO541" s="392"/>
      <c r="BP541" s="392"/>
      <c r="BQ541" s="392"/>
      <c r="BR541" s="392"/>
      <c r="BS541" s="392"/>
      <c r="BT541" s="392"/>
    </row>
    <row r="542" ht="15.75" customHeight="1">
      <c r="A542" s="216"/>
      <c r="B542" s="156"/>
      <c r="C542" s="156"/>
      <c r="D542" s="156"/>
      <c r="E542" s="392"/>
      <c r="F542" s="392"/>
      <c r="G542" s="392"/>
      <c r="H542" s="392"/>
      <c r="I542" s="392"/>
      <c r="J542" s="392"/>
      <c r="K542" s="392"/>
      <c r="L542" s="392"/>
      <c r="M542" s="392"/>
      <c r="N542" s="392"/>
      <c r="O542" s="392"/>
      <c r="P542" s="392"/>
      <c r="Q542" s="392"/>
      <c r="R542" s="392"/>
      <c r="S542" s="392"/>
      <c r="T542" s="392"/>
      <c r="U542" s="392"/>
      <c r="V542" s="392"/>
      <c r="W542" s="392"/>
      <c r="X542" s="392"/>
      <c r="Y542" s="392"/>
      <c r="Z542" s="392"/>
      <c r="AA542" s="392"/>
      <c r="AB542" s="392"/>
      <c r="AC542" s="392"/>
      <c r="AD542" s="392"/>
      <c r="AE542" s="392"/>
      <c r="AF542" s="392"/>
      <c r="AG542" s="392"/>
      <c r="AH542" s="392"/>
      <c r="AI542" s="392"/>
      <c r="AJ542" s="392"/>
      <c r="AK542" s="392"/>
      <c r="AL542" s="392"/>
      <c r="AM542" s="392"/>
      <c r="AN542" s="392"/>
      <c r="AO542" s="392"/>
      <c r="AP542" s="392"/>
      <c r="AQ542" s="392"/>
      <c r="AR542" s="392"/>
      <c r="AS542" s="392"/>
      <c r="AT542" s="392"/>
      <c r="AU542" s="392"/>
      <c r="AV542" s="392"/>
      <c r="AW542" s="392"/>
      <c r="AX542" s="392"/>
      <c r="AY542" s="392"/>
      <c r="AZ542" s="392"/>
      <c r="BA542" s="392"/>
      <c r="BB542" s="392"/>
      <c r="BC542" s="392"/>
      <c r="BD542" s="392"/>
      <c r="BE542" s="392"/>
      <c r="BF542" s="392"/>
      <c r="BG542" s="392"/>
      <c r="BH542" s="392"/>
      <c r="BI542" s="392"/>
      <c r="BJ542" s="392"/>
      <c r="BK542" s="392"/>
      <c r="BL542" s="392"/>
      <c r="BM542" s="392"/>
      <c r="BN542" s="392"/>
      <c r="BO542" s="392"/>
      <c r="BP542" s="392"/>
      <c r="BQ542" s="392"/>
      <c r="BR542" s="392"/>
      <c r="BS542" s="392"/>
      <c r="BT542" s="392"/>
    </row>
    <row r="543" ht="15.75" customHeight="1">
      <c r="A543" s="216"/>
      <c r="B543" s="156"/>
      <c r="C543" s="156"/>
      <c r="D543" s="156"/>
      <c r="E543" s="392"/>
      <c r="F543" s="392"/>
      <c r="G543" s="392"/>
      <c r="H543" s="392"/>
      <c r="I543" s="392"/>
      <c r="J543" s="392"/>
      <c r="K543" s="392"/>
      <c r="L543" s="392"/>
      <c r="M543" s="392"/>
      <c r="N543" s="392"/>
      <c r="O543" s="392"/>
      <c r="P543" s="392"/>
      <c r="Q543" s="392"/>
      <c r="R543" s="392"/>
      <c r="S543" s="392"/>
      <c r="T543" s="392"/>
      <c r="U543" s="392"/>
      <c r="V543" s="392"/>
      <c r="W543" s="392"/>
      <c r="X543" s="392"/>
      <c r="Y543" s="392"/>
      <c r="Z543" s="392"/>
      <c r="AA543" s="392"/>
      <c r="AB543" s="392"/>
      <c r="AC543" s="392"/>
      <c r="AD543" s="392"/>
      <c r="AE543" s="392"/>
      <c r="AF543" s="392"/>
      <c r="AG543" s="392"/>
      <c r="AH543" s="392"/>
      <c r="AI543" s="392"/>
      <c r="AJ543" s="392"/>
      <c r="AK543" s="392"/>
      <c r="AL543" s="392"/>
      <c r="AM543" s="392"/>
      <c r="AN543" s="392"/>
      <c r="AO543" s="392"/>
      <c r="AP543" s="392"/>
      <c r="AQ543" s="392"/>
      <c r="AR543" s="392"/>
      <c r="AS543" s="392"/>
      <c r="AT543" s="392"/>
      <c r="AU543" s="392"/>
      <c r="AV543" s="392"/>
      <c r="AW543" s="392"/>
      <c r="AX543" s="392"/>
      <c r="AY543" s="392"/>
      <c r="AZ543" s="392"/>
      <c r="BA543" s="392"/>
      <c r="BB543" s="392"/>
      <c r="BC543" s="392"/>
      <c r="BD543" s="392"/>
      <c r="BE543" s="392"/>
      <c r="BF543" s="392"/>
      <c r="BG543" s="392"/>
      <c r="BH543" s="392"/>
      <c r="BI543" s="392"/>
      <c r="BJ543" s="392"/>
      <c r="BK543" s="392"/>
      <c r="BL543" s="392"/>
      <c r="BM543" s="392"/>
      <c r="BN543" s="392"/>
      <c r="BO543" s="392"/>
      <c r="BP543" s="392"/>
      <c r="BQ543" s="392"/>
      <c r="BR543" s="392"/>
      <c r="BS543" s="392"/>
      <c r="BT543" s="392"/>
    </row>
    <row r="544" ht="15.75" customHeight="1">
      <c r="A544" s="216"/>
      <c r="B544" s="156"/>
      <c r="C544" s="156"/>
      <c r="D544" s="156"/>
      <c r="E544" s="392"/>
      <c r="F544" s="392"/>
      <c r="G544" s="392"/>
      <c r="H544" s="392"/>
      <c r="I544" s="392"/>
      <c r="J544" s="392"/>
      <c r="K544" s="392"/>
      <c r="L544" s="392"/>
      <c r="M544" s="392"/>
      <c r="N544" s="392"/>
      <c r="O544" s="392"/>
      <c r="P544" s="392"/>
      <c r="Q544" s="392"/>
      <c r="R544" s="392"/>
      <c r="S544" s="392"/>
      <c r="T544" s="392"/>
      <c r="U544" s="392"/>
      <c r="V544" s="392"/>
      <c r="W544" s="392"/>
      <c r="X544" s="392"/>
      <c r="Y544" s="392"/>
      <c r="Z544" s="392"/>
      <c r="AA544" s="392"/>
      <c r="AB544" s="392"/>
      <c r="AC544" s="392"/>
      <c r="AD544" s="392"/>
      <c r="AE544" s="392"/>
      <c r="AF544" s="392"/>
      <c r="AG544" s="392"/>
      <c r="AH544" s="392"/>
      <c r="AI544" s="392"/>
      <c r="AJ544" s="392"/>
      <c r="AK544" s="392"/>
      <c r="AL544" s="392"/>
      <c r="AM544" s="392"/>
      <c r="AN544" s="392"/>
      <c r="AO544" s="392"/>
      <c r="AP544" s="392"/>
      <c r="AQ544" s="392"/>
      <c r="AR544" s="392"/>
      <c r="AS544" s="392"/>
      <c r="AT544" s="392"/>
      <c r="AU544" s="392"/>
      <c r="AV544" s="392"/>
      <c r="AW544" s="392"/>
      <c r="AX544" s="392"/>
      <c r="AY544" s="392"/>
      <c r="AZ544" s="392"/>
      <c r="BA544" s="392"/>
      <c r="BB544" s="392"/>
      <c r="BC544" s="392"/>
      <c r="BD544" s="392"/>
      <c r="BE544" s="392"/>
      <c r="BF544" s="392"/>
      <c r="BG544" s="392"/>
      <c r="BH544" s="392"/>
      <c r="BI544" s="392"/>
      <c r="BJ544" s="392"/>
      <c r="BK544" s="392"/>
      <c r="BL544" s="392"/>
      <c r="BM544" s="392"/>
      <c r="BN544" s="392"/>
      <c r="BO544" s="392"/>
      <c r="BP544" s="392"/>
      <c r="BQ544" s="392"/>
      <c r="BR544" s="392"/>
      <c r="BS544" s="392"/>
      <c r="BT544" s="392"/>
    </row>
    <row r="545" ht="15.75" customHeight="1">
      <c r="A545" s="216"/>
      <c r="B545" s="156"/>
      <c r="C545" s="156"/>
      <c r="D545" s="156"/>
      <c r="E545" s="392"/>
      <c r="F545" s="392"/>
      <c r="G545" s="392"/>
      <c r="H545" s="392"/>
      <c r="I545" s="392"/>
      <c r="J545" s="392"/>
      <c r="K545" s="392"/>
      <c r="L545" s="392"/>
      <c r="M545" s="392"/>
      <c r="N545" s="392"/>
      <c r="O545" s="392"/>
      <c r="P545" s="392"/>
      <c r="Q545" s="392"/>
      <c r="R545" s="392"/>
      <c r="S545" s="392"/>
      <c r="T545" s="392"/>
      <c r="U545" s="392"/>
      <c r="V545" s="392"/>
      <c r="W545" s="392"/>
      <c r="X545" s="392"/>
      <c r="Y545" s="392"/>
      <c r="Z545" s="392"/>
      <c r="AA545" s="392"/>
      <c r="AB545" s="392"/>
      <c r="AC545" s="392"/>
      <c r="AD545" s="392"/>
      <c r="AE545" s="392"/>
      <c r="AF545" s="392"/>
      <c r="AG545" s="392"/>
      <c r="AH545" s="392"/>
      <c r="AI545" s="392"/>
      <c r="AJ545" s="392"/>
      <c r="AK545" s="392"/>
      <c r="AL545" s="392"/>
      <c r="AM545" s="392"/>
      <c r="AN545" s="392"/>
      <c r="AO545" s="392"/>
      <c r="AP545" s="392"/>
      <c r="AQ545" s="392"/>
      <c r="AR545" s="392"/>
      <c r="AS545" s="392"/>
      <c r="AT545" s="392"/>
      <c r="AU545" s="392"/>
      <c r="AV545" s="392"/>
      <c r="AW545" s="392"/>
      <c r="AX545" s="392"/>
      <c r="AY545" s="392"/>
      <c r="AZ545" s="392"/>
      <c r="BA545" s="392"/>
      <c r="BB545" s="392"/>
      <c r="BC545" s="392"/>
      <c r="BD545" s="392"/>
      <c r="BE545" s="392"/>
      <c r="BF545" s="392"/>
      <c r="BG545" s="392"/>
      <c r="BH545" s="392"/>
      <c r="BI545" s="392"/>
      <c r="BJ545" s="392"/>
      <c r="BK545" s="392"/>
      <c r="BL545" s="392"/>
      <c r="BM545" s="392"/>
      <c r="BN545" s="392"/>
      <c r="BO545" s="392"/>
      <c r="BP545" s="392"/>
      <c r="BQ545" s="392"/>
      <c r="BR545" s="392"/>
      <c r="BS545" s="392"/>
      <c r="BT545" s="392"/>
    </row>
    <row r="546" ht="15.75" customHeight="1">
      <c r="A546" s="216"/>
      <c r="B546" s="156"/>
      <c r="C546" s="156"/>
      <c r="D546" s="156"/>
      <c r="E546" s="392"/>
      <c r="F546" s="392"/>
      <c r="G546" s="392"/>
      <c r="H546" s="392"/>
      <c r="I546" s="392"/>
      <c r="J546" s="392"/>
      <c r="K546" s="392"/>
      <c r="L546" s="392"/>
      <c r="M546" s="392"/>
      <c r="N546" s="392"/>
      <c r="O546" s="392"/>
      <c r="P546" s="392"/>
      <c r="Q546" s="392"/>
      <c r="R546" s="392"/>
      <c r="S546" s="392"/>
      <c r="T546" s="392"/>
      <c r="U546" s="392"/>
      <c r="V546" s="392"/>
      <c r="W546" s="392"/>
      <c r="X546" s="392"/>
      <c r="Y546" s="392"/>
      <c r="Z546" s="392"/>
      <c r="AA546" s="392"/>
      <c r="AB546" s="392"/>
      <c r="AC546" s="392"/>
      <c r="AD546" s="392"/>
      <c r="AE546" s="392"/>
      <c r="AF546" s="392"/>
      <c r="AG546" s="392"/>
      <c r="AH546" s="392"/>
      <c r="AI546" s="392"/>
      <c r="AJ546" s="392"/>
      <c r="AK546" s="392"/>
      <c r="AL546" s="392"/>
      <c r="AM546" s="392"/>
      <c r="AN546" s="392"/>
      <c r="AO546" s="392"/>
      <c r="AP546" s="392"/>
      <c r="AQ546" s="392"/>
      <c r="AR546" s="392"/>
      <c r="AS546" s="392"/>
      <c r="AT546" s="392"/>
      <c r="AU546" s="392"/>
      <c r="AV546" s="392"/>
      <c r="AW546" s="392"/>
      <c r="AX546" s="392"/>
      <c r="AY546" s="392"/>
      <c r="AZ546" s="392"/>
      <c r="BA546" s="392"/>
      <c r="BB546" s="392"/>
      <c r="BC546" s="392"/>
      <c r="BD546" s="392"/>
      <c r="BE546" s="392"/>
      <c r="BF546" s="392"/>
      <c r="BG546" s="392"/>
      <c r="BH546" s="392"/>
      <c r="BI546" s="392"/>
      <c r="BJ546" s="392"/>
      <c r="BK546" s="392"/>
      <c r="BL546" s="392"/>
      <c r="BM546" s="392"/>
      <c r="BN546" s="392"/>
      <c r="BO546" s="392"/>
      <c r="BP546" s="392"/>
      <c r="BQ546" s="392"/>
      <c r="BR546" s="392"/>
      <c r="BS546" s="392"/>
      <c r="BT546" s="392"/>
    </row>
    <row r="547" ht="15.75" customHeight="1">
      <c r="A547" s="216"/>
      <c r="B547" s="156"/>
      <c r="C547" s="156"/>
      <c r="D547" s="156"/>
      <c r="E547" s="392"/>
      <c r="F547" s="392"/>
      <c r="G547" s="392"/>
      <c r="H547" s="392"/>
      <c r="I547" s="392"/>
      <c r="J547" s="392"/>
      <c r="K547" s="392"/>
      <c r="L547" s="392"/>
      <c r="M547" s="392"/>
      <c r="N547" s="392"/>
      <c r="O547" s="392"/>
      <c r="P547" s="392"/>
      <c r="Q547" s="392"/>
      <c r="R547" s="392"/>
      <c r="S547" s="392"/>
      <c r="T547" s="392"/>
      <c r="U547" s="392"/>
      <c r="V547" s="392"/>
      <c r="W547" s="392"/>
      <c r="X547" s="392"/>
      <c r="Y547" s="392"/>
      <c r="Z547" s="392"/>
      <c r="AA547" s="392"/>
      <c r="AB547" s="392"/>
      <c r="AC547" s="392"/>
      <c r="AD547" s="392"/>
      <c r="AE547" s="392"/>
      <c r="AF547" s="392"/>
      <c r="AG547" s="392"/>
      <c r="AH547" s="392"/>
      <c r="AI547" s="392"/>
      <c r="AJ547" s="392"/>
      <c r="AK547" s="392"/>
      <c r="AL547" s="392"/>
      <c r="AM547" s="392"/>
      <c r="AN547" s="392"/>
      <c r="AO547" s="392"/>
      <c r="AP547" s="392"/>
      <c r="AQ547" s="392"/>
      <c r="AR547" s="392"/>
      <c r="AS547" s="392"/>
      <c r="AT547" s="392"/>
      <c r="AU547" s="392"/>
      <c r="AV547" s="392"/>
      <c r="AW547" s="392"/>
      <c r="AX547" s="392"/>
      <c r="AY547" s="392"/>
      <c r="AZ547" s="392"/>
      <c r="BA547" s="392"/>
      <c r="BB547" s="392"/>
      <c r="BC547" s="392"/>
      <c r="BD547" s="392"/>
      <c r="BE547" s="392"/>
      <c r="BF547" s="392"/>
      <c r="BG547" s="392"/>
      <c r="BH547" s="392"/>
      <c r="BI547" s="392"/>
      <c r="BJ547" s="392"/>
      <c r="BK547" s="392"/>
      <c r="BL547" s="392"/>
      <c r="BM547" s="392"/>
      <c r="BN547" s="392"/>
      <c r="BO547" s="392"/>
      <c r="BP547" s="392"/>
      <c r="BQ547" s="392"/>
      <c r="BR547" s="392"/>
      <c r="BS547" s="392"/>
      <c r="BT547" s="392"/>
    </row>
    <row r="548" ht="15.75" customHeight="1">
      <c r="A548" s="216"/>
      <c r="B548" s="156"/>
      <c r="C548" s="156"/>
      <c r="D548" s="156"/>
      <c r="E548" s="392"/>
      <c r="F548" s="392"/>
      <c r="G548" s="392"/>
      <c r="H548" s="392"/>
      <c r="I548" s="392"/>
      <c r="J548" s="392"/>
      <c r="K548" s="392"/>
      <c r="L548" s="392"/>
      <c r="M548" s="392"/>
      <c r="N548" s="392"/>
      <c r="O548" s="392"/>
      <c r="P548" s="392"/>
      <c r="Q548" s="392"/>
      <c r="R548" s="392"/>
      <c r="S548" s="392"/>
      <c r="T548" s="392"/>
      <c r="U548" s="392"/>
      <c r="V548" s="392"/>
      <c r="W548" s="392"/>
      <c r="X548" s="392"/>
      <c r="Y548" s="392"/>
      <c r="Z548" s="392"/>
      <c r="AA548" s="392"/>
      <c r="AB548" s="392"/>
      <c r="AC548" s="392"/>
      <c r="AD548" s="392"/>
      <c r="AE548" s="392"/>
      <c r="AF548" s="392"/>
      <c r="AG548" s="392"/>
      <c r="AH548" s="392"/>
      <c r="AI548" s="392"/>
      <c r="AJ548" s="392"/>
      <c r="AK548" s="392"/>
      <c r="AL548" s="392"/>
      <c r="AM548" s="392"/>
      <c r="AN548" s="392"/>
      <c r="AO548" s="392"/>
      <c r="AP548" s="392"/>
      <c r="AQ548" s="392"/>
      <c r="AR548" s="392"/>
      <c r="AS548" s="392"/>
      <c r="AT548" s="392"/>
      <c r="AU548" s="392"/>
      <c r="AV548" s="392"/>
      <c r="AW548" s="392"/>
      <c r="AX548" s="392"/>
      <c r="AY548" s="392"/>
      <c r="AZ548" s="392"/>
      <c r="BA548" s="392"/>
      <c r="BB548" s="392"/>
      <c r="BC548" s="392"/>
      <c r="BD548" s="392"/>
      <c r="BE548" s="392"/>
      <c r="BF548" s="392"/>
      <c r="BG548" s="392"/>
      <c r="BH548" s="392"/>
      <c r="BI548" s="392"/>
      <c r="BJ548" s="392"/>
      <c r="BK548" s="392"/>
      <c r="BL548" s="392"/>
      <c r="BM548" s="392"/>
      <c r="BN548" s="392"/>
      <c r="BO548" s="392"/>
      <c r="BP548" s="392"/>
      <c r="BQ548" s="392"/>
      <c r="BR548" s="392"/>
      <c r="BS548" s="392"/>
      <c r="BT548" s="392"/>
    </row>
    <row r="549" ht="15.75" customHeight="1">
      <c r="A549" s="216"/>
      <c r="B549" s="156"/>
      <c r="C549" s="156"/>
      <c r="D549" s="156"/>
      <c r="E549" s="392"/>
      <c r="F549" s="392"/>
      <c r="G549" s="392"/>
      <c r="H549" s="392"/>
      <c r="I549" s="392"/>
      <c r="J549" s="392"/>
      <c r="K549" s="392"/>
      <c r="L549" s="392"/>
      <c r="M549" s="392"/>
      <c r="N549" s="392"/>
      <c r="O549" s="392"/>
      <c r="P549" s="392"/>
      <c r="Q549" s="392"/>
      <c r="R549" s="392"/>
      <c r="S549" s="392"/>
      <c r="T549" s="392"/>
      <c r="U549" s="392"/>
      <c r="V549" s="392"/>
      <c r="W549" s="392"/>
      <c r="X549" s="392"/>
      <c r="Y549" s="392"/>
      <c r="Z549" s="392"/>
      <c r="AA549" s="392"/>
      <c r="AB549" s="392"/>
      <c r="AC549" s="392"/>
      <c r="AD549" s="392"/>
      <c r="AE549" s="392"/>
      <c r="AF549" s="392"/>
      <c r="AG549" s="392"/>
      <c r="AH549" s="392"/>
      <c r="AI549" s="392"/>
      <c r="AJ549" s="392"/>
      <c r="AK549" s="392"/>
      <c r="AL549" s="392"/>
      <c r="AM549" s="392"/>
      <c r="AN549" s="392"/>
      <c r="AO549" s="392"/>
      <c r="AP549" s="392"/>
      <c r="AQ549" s="392"/>
      <c r="AR549" s="392"/>
      <c r="AS549" s="392"/>
      <c r="AT549" s="392"/>
      <c r="AU549" s="392"/>
      <c r="AV549" s="392"/>
      <c r="AW549" s="392"/>
      <c r="AX549" s="392"/>
      <c r="AY549" s="392"/>
      <c r="AZ549" s="392"/>
      <c r="BA549" s="392"/>
      <c r="BB549" s="392"/>
      <c r="BC549" s="392"/>
      <c r="BD549" s="392"/>
      <c r="BE549" s="392"/>
      <c r="BF549" s="392"/>
      <c r="BG549" s="392"/>
      <c r="BH549" s="392"/>
      <c r="BI549" s="392"/>
      <c r="BJ549" s="392"/>
      <c r="BK549" s="392"/>
      <c r="BL549" s="392"/>
      <c r="BM549" s="392"/>
      <c r="BN549" s="392"/>
      <c r="BO549" s="392"/>
      <c r="BP549" s="392"/>
      <c r="BQ549" s="392"/>
      <c r="BR549" s="392"/>
      <c r="BS549" s="392"/>
      <c r="BT549" s="392"/>
    </row>
    <row r="550" ht="15.75" customHeight="1">
      <c r="A550" s="216"/>
      <c r="B550" s="156"/>
      <c r="C550" s="156"/>
      <c r="D550" s="156"/>
      <c r="E550" s="392"/>
      <c r="F550" s="392"/>
      <c r="G550" s="392"/>
      <c r="H550" s="392"/>
      <c r="I550" s="392"/>
      <c r="J550" s="392"/>
      <c r="K550" s="392"/>
      <c r="L550" s="392"/>
      <c r="M550" s="392"/>
      <c r="N550" s="392"/>
      <c r="O550" s="392"/>
      <c r="P550" s="392"/>
      <c r="Q550" s="392"/>
      <c r="R550" s="392"/>
      <c r="S550" s="392"/>
      <c r="T550" s="392"/>
      <c r="U550" s="392"/>
      <c r="V550" s="392"/>
      <c r="W550" s="392"/>
      <c r="X550" s="392"/>
      <c r="Y550" s="392"/>
      <c r="Z550" s="392"/>
      <c r="AA550" s="392"/>
      <c r="AB550" s="392"/>
      <c r="AC550" s="392"/>
      <c r="AD550" s="392"/>
      <c r="AE550" s="392"/>
      <c r="AF550" s="392"/>
      <c r="AG550" s="392"/>
      <c r="AH550" s="392"/>
      <c r="AI550" s="392"/>
      <c r="AJ550" s="392"/>
      <c r="AK550" s="392"/>
      <c r="AL550" s="392"/>
      <c r="AM550" s="392"/>
      <c r="AN550" s="392"/>
      <c r="AO550" s="392"/>
      <c r="AP550" s="392"/>
      <c r="AQ550" s="392"/>
      <c r="AR550" s="392"/>
      <c r="AS550" s="392"/>
      <c r="AT550" s="392"/>
      <c r="AU550" s="392"/>
      <c r="AV550" s="392"/>
      <c r="AW550" s="392"/>
      <c r="AX550" s="392"/>
      <c r="AY550" s="392"/>
      <c r="AZ550" s="392"/>
      <c r="BA550" s="392"/>
      <c r="BB550" s="392"/>
      <c r="BC550" s="392"/>
      <c r="BD550" s="392"/>
      <c r="BE550" s="392"/>
      <c r="BF550" s="392"/>
      <c r="BG550" s="392"/>
      <c r="BH550" s="392"/>
      <c r="BI550" s="392"/>
      <c r="BJ550" s="392"/>
      <c r="BK550" s="392"/>
      <c r="BL550" s="392"/>
      <c r="BM550" s="392"/>
      <c r="BN550" s="392"/>
      <c r="BO550" s="392"/>
      <c r="BP550" s="392"/>
      <c r="BQ550" s="392"/>
      <c r="BR550" s="392"/>
      <c r="BS550" s="392"/>
      <c r="BT550" s="392"/>
    </row>
    <row r="551" ht="15.75" customHeight="1">
      <c r="A551" s="216"/>
      <c r="B551" s="156"/>
      <c r="C551" s="156"/>
      <c r="D551" s="156"/>
      <c r="E551" s="392"/>
      <c r="F551" s="392"/>
      <c r="G551" s="392"/>
      <c r="H551" s="392"/>
      <c r="I551" s="392"/>
      <c r="J551" s="392"/>
      <c r="K551" s="392"/>
      <c r="L551" s="392"/>
      <c r="M551" s="392"/>
      <c r="N551" s="392"/>
      <c r="O551" s="392"/>
      <c r="P551" s="392"/>
      <c r="Q551" s="392"/>
      <c r="R551" s="392"/>
      <c r="S551" s="392"/>
      <c r="T551" s="392"/>
      <c r="U551" s="392"/>
      <c r="V551" s="392"/>
      <c r="W551" s="392"/>
      <c r="X551" s="392"/>
      <c r="Y551" s="392"/>
      <c r="Z551" s="392"/>
      <c r="AA551" s="392"/>
      <c r="AB551" s="392"/>
      <c r="AC551" s="392"/>
      <c r="AD551" s="392"/>
      <c r="AE551" s="392"/>
      <c r="AF551" s="392"/>
      <c r="AG551" s="392"/>
      <c r="AH551" s="392"/>
      <c r="AI551" s="392"/>
      <c r="AJ551" s="392"/>
      <c r="AK551" s="392"/>
      <c r="AL551" s="392"/>
      <c r="AM551" s="392"/>
      <c r="AN551" s="392"/>
      <c r="AO551" s="392"/>
      <c r="AP551" s="392"/>
      <c r="AQ551" s="392"/>
      <c r="AR551" s="392"/>
      <c r="AS551" s="392"/>
      <c r="AT551" s="392"/>
      <c r="AU551" s="392"/>
      <c r="AV551" s="392"/>
      <c r="AW551" s="392"/>
      <c r="AX551" s="392"/>
      <c r="AY551" s="392"/>
      <c r="AZ551" s="392"/>
      <c r="BA551" s="392"/>
      <c r="BB551" s="392"/>
      <c r="BC551" s="392"/>
      <c r="BD551" s="392"/>
      <c r="BE551" s="392"/>
      <c r="BF551" s="392"/>
      <c r="BG551" s="392"/>
      <c r="BH551" s="392"/>
      <c r="BI551" s="392"/>
      <c r="BJ551" s="392"/>
      <c r="BK551" s="392"/>
      <c r="BL551" s="392"/>
      <c r="BM551" s="392"/>
      <c r="BN551" s="392"/>
      <c r="BO551" s="392"/>
      <c r="BP551" s="392"/>
      <c r="BQ551" s="392"/>
      <c r="BR551" s="392"/>
      <c r="BS551" s="392"/>
      <c r="BT551" s="392"/>
    </row>
    <row r="552" ht="15.75" customHeight="1">
      <c r="A552" s="216"/>
      <c r="B552" s="156"/>
      <c r="C552" s="156"/>
      <c r="D552" s="156"/>
      <c r="E552" s="392"/>
      <c r="F552" s="392"/>
      <c r="G552" s="392"/>
      <c r="H552" s="392"/>
      <c r="I552" s="392"/>
      <c r="J552" s="392"/>
      <c r="K552" s="392"/>
      <c r="L552" s="392"/>
      <c r="M552" s="392"/>
      <c r="N552" s="392"/>
      <c r="O552" s="392"/>
      <c r="P552" s="392"/>
      <c r="Q552" s="392"/>
      <c r="R552" s="392"/>
      <c r="S552" s="392"/>
      <c r="T552" s="392"/>
      <c r="U552" s="392"/>
      <c r="V552" s="392"/>
      <c r="W552" s="392"/>
      <c r="X552" s="392"/>
      <c r="Y552" s="392"/>
      <c r="Z552" s="392"/>
      <c r="AA552" s="392"/>
      <c r="AB552" s="392"/>
      <c r="AC552" s="392"/>
      <c r="AD552" s="392"/>
      <c r="AE552" s="392"/>
      <c r="AF552" s="392"/>
      <c r="AG552" s="392"/>
      <c r="AH552" s="392"/>
      <c r="AI552" s="392"/>
      <c r="AJ552" s="392"/>
      <c r="AK552" s="392"/>
      <c r="AL552" s="392"/>
      <c r="AM552" s="392"/>
      <c r="AN552" s="392"/>
      <c r="AO552" s="392"/>
      <c r="AP552" s="392"/>
      <c r="AQ552" s="392"/>
      <c r="AR552" s="392"/>
      <c r="AS552" s="392"/>
      <c r="AT552" s="392"/>
      <c r="AU552" s="392"/>
      <c r="AV552" s="392"/>
      <c r="AW552" s="392"/>
      <c r="AX552" s="392"/>
      <c r="AY552" s="392"/>
      <c r="AZ552" s="392"/>
      <c r="BA552" s="392"/>
      <c r="BB552" s="392"/>
      <c r="BC552" s="392"/>
      <c r="BD552" s="392"/>
      <c r="BE552" s="392"/>
      <c r="BF552" s="392"/>
      <c r="BG552" s="392"/>
      <c r="BH552" s="392"/>
      <c r="BI552" s="392"/>
      <c r="BJ552" s="392"/>
      <c r="BK552" s="392"/>
      <c r="BL552" s="392"/>
      <c r="BM552" s="392"/>
      <c r="BN552" s="392"/>
      <c r="BO552" s="392"/>
      <c r="BP552" s="392"/>
      <c r="BQ552" s="392"/>
      <c r="BR552" s="392"/>
      <c r="BS552" s="392"/>
      <c r="BT552" s="392"/>
    </row>
    <row r="553" ht="15.75" customHeight="1">
      <c r="A553" s="216"/>
      <c r="B553" s="156"/>
      <c r="C553" s="156"/>
      <c r="D553" s="156"/>
      <c r="E553" s="392"/>
      <c r="F553" s="392"/>
      <c r="G553" s="392"/>
      <c r="H553" s="392"/>
      <c r="I553" s="392"/>
      <c r="J553" s="392"/>
      <c r="K553" s="392"/>
      <c r="L553" s="392"/>
      <c r="M553" s="392"/>
      <c r="N553" s="392"/>
      <c r="O553" s="392"/>
      <c r="P553" s="392"/>
      <c r="Q553" s="392"/>
      <c r="R553" s="392"/>
      <c r="S553" s="392"/>
      <c r="T553" s="392"/>
      <c r="U553" s="392"/>
      <c r="V553" s="392"/>
      <c r="W553" s="392"/>
      <c r="X553" s="392"/>
      <c r="Y553" s="392"/>
      <c r="Z553" s="392"/>
      <c r="AA553" s="392"/>
      <c r="AB553" s="392"/>
      <c r="AC553" s="392"/>
      <c r="AD553" s="392"/>
      <c r="AE553" s="392"/>
      <c r="AF553" s="392"/>
      <c r="AG553" s="392"/>
      <c r="AH553" s="392"/>
      <c r="AI553" s="392"/>
      <c r="AJ553" s="392"/>
      <c r="AK553" s="392"/>
      <c r="AL553" s="392"/>
      <c r="AM553" s="392"/>
      <c r="AN553" s="392"/>
      <c r="AO553" s="392"/>
      <c r="AP553" s="392"/>
      <c r="AQ553" s="392"/>
      <c r="AR553" s="392"/>
      <c r="AS553" s="392"/>
      <c r="AT553" s="392"/>
      <c r="AU553" s="392"/>
      <c r="AV553" s="392"/>
      <c r="AW553" s="392"/>
      <c r="AX553" s="392"/>
      <c r="AY553" s="392"/>
      <c r="AZ553" s="392"/>
      <c r="BA553" s="392"/>
      <c r="BB553" s="392"/>
      <c r="BC553" s="392"/>
      <c r="BD553" s="392"/>
      <c r="BE553" s="392"/>
      <c r="BF553" s="392"/>
      <c r="BG553" s="392"/>
      <c r="BH553" s="392"/>
      <c r="BI553" s="392"/>
      <c r="BJ553" s="392"/>
      <c r="BK553" s="392"/>
      <c r="BL553" s="392"/>
      <c r="BM553" s="392"/>
      <c r="BN553" s="392"/>
      <c r="BO553" s="392"/>
      <c r="BP553" s="392"/>
      <c r="BQ553" s="392"/>
      <c r="BR553" s="392"/>
      <c r="BS553" s="392"/>
      <c r="BT553" s="392"/>
    </row>
    <row r="554" ht="15.75" customHeight="1">
      <c r="A554" s="216"/>
      <c r="B554" s="156"/>
      <c r="C554" s="156"/>
      <c r="D554" s="156"/>
      <c r="E554" s="392"/>
      <c r="F554" s="392"/>
      <c r="G554" s="392"/>
      <c r="H554" s="392"/>
      <c r="I554" s="392"/>
      <c r="J554" s="392"/>
      <c r="K554" s="392"/>
      <c r="L554" s="392"/>
      <c r="M554" s="392"/>
      <c r="N554" s="392"/>
      <c r="O554" s="392"/>
      <c r="P554" s="392"/>
      <c r="Q554" s="392"/>
      <c r="R554" s="392"/>
      <c r="S554" s="392"/>
      <c r="T554" s="392"/>
      <c r="U554" s="392"/>
      <c r="V554" s="392"/>
      <c r="W554" s="392"/>
      <c r="X554" s="392"/>
      <c r="Y554" s="392"/>
      <c r="Z554" s="392"/>
      <c r="AA554" s="392"/>
      <c r="AB554" s="392"/>
      <c r="AC554" s="392"/>
      <c r="AD554" s="392"/>
      <c r="AE554" s="392"/>
      <c r="AF554" s="392"/>
      <c r="AG554" s="392"/>
      <c r="AH554" s="392"/>
      <c r="AI554" s="392"/>
      <c r="AJ554" s="392"/>
      <c r="AK554" s="392"/>
      <c r="AL554" s="392"/>
      <c r="AM554" s="392"/>
      <c r="AN554" s="392"/>
      <c r="AO554" s="392"/>
      <c r="AP554" s="392"/>
      <c r="AQ554" s="392"/>
      <c r="AR554" s="392"/>
      <c r="AS554" s="392"/>
      <c r="AT554" s="392"/>
      <c r="AU554" s="392"/>
      <c r="AV554" s="392"/>
      <c r="AW554" s="392"/>
      <c r="AX554" s="392"/>
      <c r="AY554" s="392"/>
      <c r="AZ554" s="392"/>
      <c r="BA554" s="392"/>
      <c r="BB554" s="392"/>
      <c r="BC554" s="392"/>
      <c r="BD554" s="392"/>
      <c r="BE554" s="392"/>
      <c r="BF554" s="392"/>
      <c r="BG554" s="392"/>
      <c r="BH554" s="392"/>
      <c r="BI554" s="392"/>
      <c r="BJ554" s="392"/>
      <c r="BK554" s="392"/>
      <c r="BL554" s="392"/>
      <c r="BM554" s="392"/>
      <c r="BN554" s="392"/>
      <c r="BO554" s="392"/>
      <c r="BP554" s="392"/>
      <c r="BQ554" s="392"/>
      <c r="BR554" s="392"/>
      <c r="BS554" s="392"/>
      <c r="BT554" s="392"/>
    </row>
    <row r="555" ht="15.75" customHeight="1">
      <c r="A555" s="216"/>
      <c r="B555" s="156"/>
      <c r="C555" s="156"/>
      <c r="D555" s="156"/>
      <c r="E555" s="392"/>
      <c r="F555" s="392"/>
      <c r="G555" s="392"/>
      <c r="H555" s="392"/>
      <c r="I555" s="392"/>
      <c r="J555" s="392"/>
      <c r="K555" s="392"/>
      <c r="L555" s="392"/>
      <c r="M555" s="392"/>
      <c r="N555" s="392"/>
      <c r="O555" s="392"/>
      <c r="P555" s="392"/>
      <c r="Q555" s="392"/>
      <c r="R555" s="392"/>
      <c r="S555" s="392"/>
      <c r="T555" s="392"/>
      <c r="U555" s="392"/>
      <c r="V555" s="392"/>
      <c r="W555" s="392"/>
      <c r="X555" s="392"/>
      <c r="Y555" s="392"/>
      <c r="Z555" s="392"/>
      <c r="AA555" s="392"/>
      <c r="AB555" s="392"/>
      <c r="AC555" s="392"/>
      <c r="AD555" s="392"/>
      <c r="AE555" s="392"/>
      <c r="AF555" s="392"/>
      <c r="AG555" s="392"/>
      <c r="AH555" s="392"/>
      <c r="AI555" s="392"/>
      <c r="AJ555" s="392"/>
      <c r="AK555" s="392"/>
      <c r="AL555" s="392"/>
      <c r="AM555" s="392"/>
      <c r="AN555" s="392"/>
      <c r="AO555" s="392"/>
      <c r="AP555" s="392"/>
      <c r="AQ555" s="392"/>
      <c r="AR555" s="392"/>
      <c r="AS555" s="392"/>
      <c r="AT555" s="392"/>
      <c r="AU555" s="392"/>
      <c r="AV555" s="392"/>
      <c r="AW555" s="392"/>
      <c r="AX555" s="392"/>
      <c r="AY555" s="392"/>
      <c r="AZ555" s="392"/>
      <c r="BA555" s="392"/>
      <c r="BB555" s="392"/>
      <c r="BC555" s="392"/>
      <c r="BD555" s="392"/>
      <c r="BE555" s="392"/>
      <c r="BF555" s="392"/>
      <c r="BG555" s="392"/>
      <c r="BH555" s="392"/>
      <c r="BI555" s="392"/>
      <c r="BJ555" s="392"/>
      <c r="BK555" s="392"/>
      <c r="BL555" s="392"/>
      <c r="BM555" s="392"/>
      <c r="BN555" s="392"/>
      <c r="BO555" s="392"/>
      <c r="BP555" s="392"/>
      <c r="BQ555" s="392"/>
      <c r="BR555" s="392"/>
      <c r="BS555" s="392"/>
      <c r="BT555" s="392"/>
    </row>
    <row r="556" ht="15.75" customHeight="1">
      <c r="A556" s="216"/>
      <c r="B556" s="156"/>
      <c r="C556" s="156"/>
      <c r="D556" s="156"/>
      <c r="E556" s="392"/>
      <c r="F556" s="392"/>
      <c r="G556" s="392"/>
      <c r="H556" s="392"/>
      <c r="I556" s="392"/>
      <c r="J556" s="392"/>
      <c r="K556" s="392"/>
      <c r="L556" s="392"/>
      <c r="M556" s="392"/>
      <c r="N556" s="392"/>
      <c r="O556" s="392"/>
      <c r="P556" s="392"/>
      <c r="Q556" s="392"/>
      <c r="R556" s="392"/>
      <c r="S556" s="392"/>
      <c r="T556" s="392"/>
      <c r="U556" s="392"/>
      <c r="V556" s="392"/>
      <c r="W556" s="392"/>
      <c r="X556" s="392"/>
      <c r="Y556" s="392"/>
      <c r="Z556" s="392"/>
      <c r="AA556" s="392"/>
      <c r="AB556" s="392"/>
      <c r="AC556" s="392"/>
      <c r="AD556" s="392"/>
      <c r="AE556" s="392"/>
      <c r="AF556" s="392"/>
      <c r="AG556" s="392"/>
      <c r="AH556" s="392"/>
      <c r="AI556" s="392"/>
      <c r="AJ556" s="392"/>
      <c r="AK556" s="392"/>
      <c r="AL556" s="392"/>
      <c r="AM556" s="392"/>
      <c r="AN556" s="392"/>
      <c r="AO556" s="392"/>
      <c r="AP556" s="392"/>
      <c r="AQ556" s="392"/>
      <c r="AR556" s="392"/>
      <c r="AS556" s="392"/>
      <c r="AT556" s="392"/>
      <c r="AU556" s="392"/>
      <c r="AV556" s="392"/>
      <c r="AW556" s="392"/>
      <c r="AX556" s="392"/>
      <c r="AY556" s="392"/>
      <c r="AZ556" s="392"/>
      <c r="BA556" s="392"/>
      <c r="BB556" s="392"/>
      <c r="BC556" s="392"/>
      <c r="BD556" s="392"/>
      <c r="BE556" s="392"/>
      <c r="BF556" s="392"/>
      <c r="BG556" s="392"/>
      <c r="BH556" s="392"/>
      <c r="BI556" s="392"/>
      <c r="BJ556" s="392"/>
      <c r="BK556" s="392"/>
      <c r="BL556" s="392"/>
      <c r="BM556" s="392"/>
      <c r="BN556" s="392"/>
      <c r="BO556" s="392"/>
      <c r="BP556" s="392"/>
      <c r="BQ556" s="392"/>
      <c r="BR556" s="392"/>
      <c r="BS556" s="392"/>
      <c r="BT556" s="392"/>
    </row>
    <row r="557" ht="15.75" customHeight="1">
      <c r="A557" s="216"/>
      <c r="B557" s="156"/>
      <c r="C557" s="156"/>
      <c r="D557" s="156"/>
      <c r="E557" s="392"/>
      <c r="F557" s="392"/>
      <c r="G557" s="392"/>
      <c r="H557" s="392"/>
      <c r="I557" s="392"/>
      <c r="J557" s="392"/>
      <c r="K557" s="392"/>
      <c r="L557" s="392"/>
      <c r="M557" s="392"/>
      <c r="N557" s="392"/>
      <c r="O557" s="392"/>
      <c r="P557" s="392"/>
      <c r="Q557" s="392"/>
      <c r="R557" s="392"/>
      <c r="S557" s="392"/>
      <c r="T557" s="392"/>
      <c r="U557" s="392"/>
      <c r="V557" s="392"/>
      <c r="W557" s="392"/>
      <c r="X557" s="392"/>
      <c r="Y557" s="392"/>
      <c r="Z557" s="392"/>
      <c r="AA557" s="392"/>
      <c r="AB557" s="392"/>
      <c r="AC557" s="392"/>
      <c r="AD557" s="392"/>
      <c r="AE557" s="392"/>
      <c r="AF557" s="392"/>
      <c r="AG557" s="392"/>
      <c r="AH557" s="392"/>
      <c r="AI557" s="392"/>
      <c r="AJ557" s="392"/>
      <c r="AK557" s="392"/>
      <c r="AL557" s="392"/>
      <c r="AM557" s="392"/>
      <c r="AN557" s="392"/>
      <c r="AO557" s="392"/>
      <c r="AP557" s="392"/>
      <c r="AQ557" s="392"/>
      <c r="AR557" s="392"/>
      <c r="AS557" s="392"/>
      <c r="AT557" s="392"/>
      <c r="AU557" s="392"/>
      <c r="AV557" s="392"/>
      <c r="AW557" s="392"/>
      <c r="AX557" s="392"/>
      <c r="AY557" s="392"/>
      <c r="AZ557" s="392"/>
      <c r="BA557" s="392"/>
      <c r="BB557" s="392"/>
      <c r="BC557" s="392"/>
      <c r="BD557" s="392"/>
      <c r="BE557" s="392"/>
      <c r="BF557" s="392"/>
      <c r="BG557" s="392"/>
      <c r="BH557" s="392"/>
      <c r="BI557" s="392"/>
      <c r="BJ557" s="392"/>
      <c r="BK557" s="392"/>
      <c r="BL557" s="392"/>
      <c r="BM557" s="392"/>
      <c r="BN557" s="392"/>
      <c r="BO557" s="392"/>
      <c r="BP557" s="392"/>
      <c r="BQ557" s="392"/>
      <c r="BR557" s="392"/>
      <c r="BS557" s="392"/>
      <c r="BT557" s="392"/>
    </row>
    <row r="558" ht="15.75" customHeight="1">
      <c r="A558" s="216"/>
      <c r="B558" s="156"/>
      <c r="C558" s="156"/>
      <c r="D558" s="156"/>
      <c r="E558" s="392"/>
      <c r="F558" s="392"/>
      <c r="G558" s="392"/>
      <c r="H558" s="392"/>
      <c r="I558" s="392"/>
      <c r="J558" s="392"/>
      <c r="K558" s="392"/>
      <c r="L558" s="392"/>
      <c r="M558" s="392"/>
      <c r="N558" s="392"/>
      <c r="O558" s="392"/>
      <c r="P558" s="392"/>
      <c r="Q558" s="392"/>
      <c r="R558" s="392"/>
      <c r="S558" s="392"/>
      <c r="T558" s="392"/>
      <c r="U558" s="392"/>
      <c r="V558" s="392"/>
      <c r="W558" s="392"/>
      <c r="X558" s="392"/>
      <c r="Y558" s="392"/>
      <c r="Z558" s="392"/>
      <c r="AA558" s="392"/>
      <c r="AB558" s="392"/>
      <c r="AC558" s="392"/>
      <c r="AD558" s="392"/>
      <c r="AE558" s="392"/>
      <c r="AF558" s="392"/>
      <c r="AG558" s="392"/>
      <c r="AH558" s="392"/>
      <c r="AI558" s="392"/>
      <c r="AJ558" s="392"/>
      <c r="AK558" s="392"/>
      <c r="AL558" s="392"/>
      <c r="AM558" s="392"/>
      <c r="AN558" s="392"/>
      <c r="AO558" s="392"/>
      <c r="AP558" s="392"/>
      <c r="AQ558" s="392"/>
      <c r="AR558" s="392"/>
      <c r="AS558" s="392"/>
      <c r="AT558" s="392"/>
      <c r="AU558" s="392"/>
      <c r="AV558" s="392"/>
      <c r="AW558" s="392"/>
      <c r="AX558" s="392"/>
      <c r="AY558" s="392"/>
      <c r="AZ558" s="392"/>
      <c r="BA558" s="392"/>
      <c r="BB558" s="392"/>
      <c r="BC558" s="392"/>
      <c r="BD558" s="392"/>
      <c r="BE558" s="392"/>
      <c r="BF558" s="392"/>
      <c r="BG558" s="392"/>
      <c r="BH558" s="392"/>
      <c r="BI558" s="392"/>
      <c r="BJ558" s="392"/>
      <c r="BK558" s="392"/>
      <c r="BL558" s="392"/>
      <c r="BM558" s="392"/>
      <c r="BN558" s="392"/>
      <c r="BO558" s="392"/>
      <c r="BP558" s="392"/>
      <c r="BQ558" s="392"/>
      <c r="BR558" s="392"/>
      <c r="BS558" s="392"/>
      <c r="BT558" s="392"/>
    </row>
    <row r="559" ht="15.75" customHeight="1">
      <c r="A559" s="216"/>
      <c r="B559" s="156"/>
      <c r="C559" s="156"/>
      <c r="D559" s="156"/>
      <c r="E559" s="392"/>
      <c r="F559" s="392"/>
      <c r="G559" s="392"/>
      <c r="H559" s="392"/>
      <c r="I559" s="392"/>
      <c r="J559" s="392"/>
      <c r="K559" s="392"/>
      <c r="L559" s="392"/>
      <c r="M559" s="392"/>
      <c r="N559" s="392"/>
      <c r="O559" s="392"/>
      <c r="P559" s="392"/>
      <c r="Q559" s="392"/>
      <c r="R559" s="392"/>
      <c r="S559" s="392"/>
      <c r="T559" s="392"/>
      <c r="U559" s="392"/>
      <c r="V559" s="392"/>
      <c r="W559" s="392"/>
      <c r="X559" s="392"/>
      <c r="Y559" s="392"/>
      <c r="Z559" s="392"/>
      <c r="AA559" s="392"/>
      <c r="AB559" s="392"/>
      <c r="AC559" s="392"/>
      <c r="AD559" s="392"/>
      <c r="AE559" s="392"/>
      <c r="AF559" s="392"/>
      <c r="AG559" s="392"/>
      <c r="AH559" s="392"/>
      <c r="AI559" s="392"/>
      <c r="AJ559" s="392"/>
      <c r="AK559" s="392"/>
      <c r="AL559" s="392"/>
      <c r="AM559" s="392"/>
      <c r="AN559" s="392"/>
      <c r="AO559" s="392"/>
      <c r="AP559" s="392"/>
      <c r="AQ559" s="392"/>
      <c r="AR559" s="392"/>
      <c r="AS559" s="392"/>
      <c r="AT559" s="392"/>
      <c r="AU559" s="392"/>
      <c r="AV559" s="392"/>
      <c r="AW559" s="392"/>
      <c r="AX559" s="392"/>
      <c r="AY559" s="392"/>
      <c r="AZ559" s="392"/>
      <c r="BA559" s="392"/>
      <c r="BB559" s="392"/>
      <c r="BC559" s="392"/>
      <c r="BD559" s="392"/>
      <c r="BE559" s="392"/>
      <c r="BF559" s="392"/>
      <c r="BG559" s="392"/>
      <c r="BH559" s="392"/>
      <c r="BI559" s="392"/>
      <c r="BJ559" s="392"/>
      <c r="BK559" s="392"/>
      <c r="BL559" s="392"/>
      <c r="BM559" s="392"/>
      <c r="BN559" s="392"/>
      <c r="BO559" s="392"/>
      <c r="BP559" s="392"/>
      <c r="BQ559" s="392"/>
      <c r="BR559" s="392"/>
      <c r="BS559" s="392"/>
      <c r="BT559" s="392"/>
    </row>
    <row r="560" ht="15.75" customHeight="1">
      <c r="A560" s="216"/>
      <c r="B560" s="156"/>
      <c r="C560" s="156"/>
      <c r="D560" s="156"/>
      <c r="E560" s="392"/>
      <c r="F560" s="392"/>
      <c r="G560" s="392"/>
      <c r="H560" s="392"/>
      <c r="I560" s="392"/>
      <c r="J560" s="392"/>
      <c r="K560" s="392"/>
      <c r="L560" s="392"/>
      <c r="M560" s="392"/>
      <c r="N560" s="392"/>
      <c r="O560" s="392"/>
      <c r="P560" s="392"/>
      <c r="Q560" s="392"/>
      <c r="R560" s="392"/>
      <c r="S560" s="392"/>
      <c r="T560" s="392"/>
      <c r="U560" s="392"/>
      <c r="V560" s="392"/>
      <c r="W560" s="392"/>
      <c r="X560" s="392"/>
      <c r="Y560" s="392"/>
      <c r="Z560" s="392"/>
      <c r="AA560" s="392"/>
      <c r="AB560" s="392"/>
      <c r="AC560" s="392"/>
      <c r="AD560" s="392"/>
      <c r="AE560" s="392"/>
      <c r="AF560" s="392"/>
      <c r="AG560" s="392"/>
      <c r="AH560" s="392"/>
      <c r="AI560" s="392"/>
      <c r="AJ560" s="392"/>
      <c r="AK560" s="392"/>
      <c r="AL560" s="392"/>
      <c r="AM560" s="392"/>
      <c r="AN560" s="392"/>
      <c r="AO560" s="392"/>
      <c r="AP560" s="392"/>
      <c r="AQ560" s="392"/>
      <c r="AR560" s="392"/>
      <c r="AS560" s="392"/>
      <c r="AT560" s="392"/>
      <c r="AU560" s="392"/>
      <c r="AV560" s="392"/>
      <c r="AW560" s="392"/>
      <c r="AX560" s="392"/>
      <c r="AY560" s="392"/>
      <c r="AZ560" s="392"/>
      <c r="BA560" s="392"/>
      <c r="BB560" s="392"/>
      <c r="BC560" s="392"/>
      <c r="BD560" s="392"/>
      <c r="BE560" s="392"/>
      <c r="BF560" s="392"/>
      <c r="BG560" s="392"/>
      <c r="BH560" s="392"/>
      <c r="BI560" s="392"/>
      <c r="BJ560" s="392"/>
      <c r="BK560" s="392"/>
      <c r="BL560" s="392"/>
      <c r="BM560" s="392"/>
      <c r="BN560" s="392"/>
      <c r="BO560" s="392"/>
      <c r="BP560" s="392"/>
      <c r="BQ560" s="392"/>
      <c r="BR560" s="392"/>
      <c r="BS560" s="392"/>
      <c r="BT560" s="392"/>
    </row>
    <row r="561" ht="15.75" customHeight="1">
      <c r="A561" s="216"/>
      <c r="B561" s="156"/>
      <c r="C561" s="156"/>
      <c r="D561" s="156"/>
      <c r="E561" s="392"/>
      <c r="F561" s="392"/>
      <c r="G561" s="392"/>
      <c r="H561" s="392"/>
      <c r="I561" s="392"/>
      <c r="J561" s="392"/>
      <c r="K561" s="392"/>
      <c r="L561" s="392"/>
      <c r="M561" s="392"/>
      <c r="N561" s="392"/>
      <c r="O561" s="392"/>
      <c r="P561" s="392"/>
      <c r="Q561" s="392"/>
      <c r="R561" s="392"/>
      <c r="S561" s="392"/>
      <c r="T561" s="392"/>
      <c r="U561" s="392"/>
      <c r="V561" s="392"/>
      <c r="W561" s="392"/>
      <c r="X561" s="392"/>
      <c r="Y561" s="392"/>
      <c r="Z561" s="392"/>
      <c r="AA561" s="392"/>
      <c r="AB561" s="392"/>
      <c r="AC561" s="392"/>
      <c r="AD561" s="392"/>
      <c r="AE561" s="392"/>
      <c r="AF561" s="392"/>
      <c r="AG561" s="392"/>
      <c r="AH561" s="392"/>
      <c r="AI561" s="392"/>
      <c r="AJ561" s="392"/>
      <c r="AK561" s="392"/>
      <c r="AL561" s="392"/>
      <c r="AM561" s="392"/>
      <c r="AN561" s="392"/>
      <c r="AO561" s="392"/>
      <c r="AP561" s="392"/>
      <c r="AQ561" s="392"/>
      <c r="AR561" s="392"/>
      <c r="AS561" s="392"/>
      <c r="AT561" s="392"/>
      <c r="AU561" s="392"/>
      <c r="AV561" s="392"/>
      <c r="AW561" s="392"/>
      <c r="AX561" s="392"/>
      <c r="AY561" s="392"/>
      <c r="AZ561" s="392"/>
      <c r="BA561" s="392"/>
      <c r="BB561" s="392"/>
      <c r="BC561" s="392"/>
      <c r="BD561" s="392"/>
      <c r="BE561" s="392"/>
      <c r="BF561" s="392"/>
      <c r="BG561" s="392"/>
      <c r="BH561" s="392"/>
      <c r="BI561" s="392"/>
      <c r="BJ561" s="392"/>
      <c r="BK561" s="392"/>
      <c r="BL561" s="392"/>
      <c r="BM561" s="392"/>
      <c r="BN561" s="392"/>
      <c r="BO561" s="392"/>
      <c r="BP561" s="392"/>
      <c r="BQ561" s="392"/>
      <c r="BR561" s="392"/>
      <c r="BS561" s="392"/>
      <c r="BT561" s="392"/>
    </row>
    <row r="562" ht="15.75" customHeight="1">
      <c r="A562" s="216"/>
      <c r="B562" s="156"/>
      <c r="C562" s="156"/>
      <c r="D562" s="156"/>
      <c r="E562" s="392"/>
      <c r="F562" s="392"/>
      <c r="G562" s="392"/>
      <c r="H562" s="392"/>
      <c r="I562" s="392"/>
      <c r="J562" s="392"/>
      <c r="K562" s="392"/>
      <c r="L562" s="392"/>
      <c r="M562" s="392"/>
      <c r="N562" s="392"/>
      <c r="O562" s="392"/>
      <c r="P562" s="392"/>
      <c r="Q562" s="392"/>
      <c r="R562" s="392"/>
      <c r="S562" s="392"/>
      <c r="T562" s="392"/>
      <c r="U562" s="392"/>
      <c r="V562" s="392"/>
      <c r="W562" s="392"/>
      <c r="X562" s="392"/>
      <c r="Y562" s="392"/>
      <c r="Z562" s="392"/>
      <c r="AA562" s="392"/>
      <c r="AB562" s="392"/>
      <c r="AC562" s="392"/>
      <c r="AD562" s="392"/>
      <c r="AE562" s="392"/>
      <c r="AF562" s="392"/>
      <c r="AG562" s="392"/>
      <c r="AH562" s="392"/>
      <c r="AI562" s="392"/>
      <c r="AJ562" s="392"/>
      <c r="AK562" s="392"/>
      <c r="AL562" s="392"/>
      <c r="AM562" s="392"/>
      <c r="AN562" s="392"/>
      <c r="AO562" s="392"/>
      <c r="AP562" s="392"/>
      <c r="AQ562" s="392"/>
      <c r="AR562" s="392"/>
      <c r="AS562" s="392"/>
      <c r="AT562" s="392"/>
      <c r="AU562" s="392"/>
      <c r="AV562" s="392"/>
      <c r="AW562" s="392"/>
      <c r="AX562" s="392"/>
      <c r="AY562" s="392"/>
      <c r="AZ562" s="392"/>
      <c r="BA562" s="392"/>
      <c r="BB562" s="392"/>
      <c r="BC562" s="392"/>
      <c r="BD562" s="392"/>
      <c r="BE562" s="392"/>
      <c r="BF562" s="392"/>
      <c r="BG562" s="392"/>
      <c r="BH562" s="392"/>
      <c r="BI562" s="392"/>
      <c r="BJ562" s="392"/>
      <c r="BK562" s="392"/>
      <c r="BL562" s="392"/>
      <c r="BM562" s="392"/>
      <c r="BN562" s="392"/>
      <c r="BO562" s="392"/>
      <c r="BP562" s="392"/>
      <c r="BQ562" s="392"/>
      <c r="BR562" s="392"/>
      <c r="BS562" s="392"/>
      <c r="BT562" s="392"/>
    </row>
    <row r="563" ht="15.75" customHeight="1">
      <c r="A563" s="216"/>
      <c r="B563" s="156"/>
      <c r="C563" s="156"/>
      <c r="D563" s="156"/>
      <c r="E563" s="392"/>
      <c r="F563" s="392"/>
      <c r="G563" s="392"/>
      <c r="H563" s="392"/>
      <c r="I563" s="392"/>
      <c r="J563" s="392"/>
      <c r="K563" s="392"/>
      <c r="L563" s="392"/>
      <c r="M563" s="392"/>
      <c r="N563" s="392"/>
      <c r="O563" s="392"/>
      <c r="P563" s="392"/>
      <c r="Q563" s="392"/>
      <c r="R563" s="392"/>
      <c r="S563" s="392"/>
      <c r="T563" s="392"/>
      <c r="U563" s="392"/>
      <c r="V563" s="392"/>
      <c r="W563" s="392"/>
      <c r="X563" s="392"/>
      <c r="Y563" s="392"/>
      <c r="Z563" s="392"/>
      <c r="AA563" s="392"/>
      <c r="AB563" s="392"/>
      <c r="AC563" s="392"/>
      <c r="AD563" s="392"/>
      <c r="AE563" s="392"/>
      <c r="AF563" s="392"/>
      <c r="AG563" s="392"/>
      <c r="AH563" s="392"/>
      <c r="AI563" s="392"/>
      <c r="AJ563" s="392"/>
      <c r="AK563" s="392"/>
      <c r="AL563" s="392"/>
      <c r="AM563" s="392"/>
      <c r="AN563" s="392"/>
      <c r="AO563" s="392"/>
      <c r="AP563" s="392"/>
      <c r="AQ563" s="392"/>
      <c r="AR563" s="392"/>
      <c r="AS563" s="392"/>
      <c r="AT563" s="392"/>
      <c r="AU563" s="392"/>
      <c r="AV563" s="392"/>
      <c r="AW563" s="392"/>
      <c r="AX563" s="392"/>
      <c r="AY563" s="392"/>
      <c r="AZ563" s="392"/>
      <c r="BA563" s="392"/>
      <c r="BB563" s="392"/>
      <c r="BC563" s="392"/>
      <c r="BD563" s="392"/>
      <c r="BE563" s="392"/>
      <c r="BF563" s="392"/>
      <c r="BG563" s="392"/>
      <c r="BH563" s="392"/>
      <c r="BI563" s="392"/>
      <c r="BJ563" s="392"/>
      <c r="BK563" s="392"/>
      <c r="BL563" s="392"/>
      <c r="BM563" s="392"/>
      <c r="BN563" s="392"/>
      <c r="BO563" s="392"/>
      <c r="BP563" s="392"/>
      <c r="BQ563" s="392"/>
      <c r="BR563" s="392"/>
      <c r="BS563" s="392"/>
      <c r="BT563" s="392"/>
    </row>
    <row r="564" ht="15.75" customHeight="1">
      <c r="A564" s="216"/>
      <c r="B564" s="156"/>
      <c r="C564" s="156"/>
      <c r="D564" s="156"/>
      <c r="E564" s="392"/>
      <c r="F564" s="392"/>
      <c r="G564" s="392"/>
      <c r="H564" s="392"/>
      <c r="I564" s="392"/>
      <c r="J564" s="392"/>
      <c r="K564" s="392"/>
      <c r="L564" s="392"/>
      <c r="M564" s="392"/>
      <c r="N564" s="392"/>
      <c r="O564" s="392"/>
      <c r="P564" s="392"/>
      <c r="Q564" s="392"/>
      <c r="R564" s="392"/>
      <c r="S564" s="392"/>
      <c r="T564" s="392"/>
      <c r="U564" s="392"/>
      <c r="V564" s="392"/>
      <c r="W564" s="392"/>
      <c r="X564" s="392"/>
      <c r="Y564" s="392"/>
      <c r="Z564" s="392"/>
      <c r="AA564" s="392"/>
      <c r="AB564" s="392"/>
      <c r="AC564" s="392"/>
      <c r="AD564" s="392"/>
      <c r="AE564" s="392"/>
      <c r="AF564" s="392"/>
      <c r="AG564" s="392"/>
      <c r="AH564" s="392"/>
      <c r="AI564" s="392"/>
      <c r="AJ564" s="392"/>
      <c r="AK564" s="392"/>
      <c r="AL564" s="392"/>
      <c r="AM564" s="392"/>
      <c r="AN564" s="392"/>
      <c r="AO564" s="392"/>
      <c r="AP564" s="392"/>
      <c r="AQ564" s="392"/>
      <c r="AR564" s="392"/>
      <c r="AS564" s="392"/>
      <c r="AT564" s="392"/>
      <c r="AU564" s="392"/>
      <c r="AV564" s="392"/>
      <c r="AW564" s="392"/>
      <c r="AX564" s="392"/>
      <c r="AY564" s="392"/>
      <c r="AZ564" s="392"/>
      <c r="BA564" s="392"/>
      <c r="BB564" s="392"/>
      <c r="BC564" s="392"/>
      <c r="BD564" s="392"/>
      <c r="BE564" s="392"/>
      <c r="BF564" s="392"/>
      <c r="BG564" s="392"/>
      <c r="BH564" s="392"/>
      <c r="BI564" s="392"/>
      <c r="BJ564" s="392"/>
      <c r="BK564" s="392"/>
      <c r="BL564" s="392"/>
      <c r="BM564" s="392"/>
      <c r="BN564" s="392"/>
      <c r="BO564" s="392"/>
      <c r="BP564" s="392"/>
      <c r="BQ564" s="392"/>
      <c r="BR564" s="392"/>
      <c r="BS564" s="392"/>
      <c r="BT564" s="392"/>
    </row>
    <row r="565" ht="15.75" customHeight="1">
      <c r="A565" s="216"/>
      <c r="B565" s="156"/>
      <c r="C565" s="156"/>
      <c r="D565" s="156"/>
      <c r="E565" s="392"/>
      <c r="F565" s="392"/>
      <c r="G565" s="392"/>
      <c r="H565" s="392"/>
      <c r="I565" s="392"/>
      <c r="J565" s="392"/>
      <c r="K565" s="392"/>
      <c r="L565" s="392"/>
      <c r="M565" s="392"/>
      <c r="N565" s="392"/>
      <c r="O565" s="392"/>
      <c r="P565" s="392"/>
      <c r="Q565" s="392"/>
      <c r="R565" s="392"/>
      <c r="S565" s="392"/>
      <c r="T565" s="392"/>
      <c r="U565" s="392"/>
      <c r="V565" s="392"/>
      <c r="W565" s="392"/>
      <c r="X565" s="392"/>
      <c r="Y565" s="392"/>
      <c r="Z565" s="392"/>
      <c r="AA565" s="392"/>
      <c r="AB565" s="392"/>
      <c r="AC565" s="392"/>
      <c r="AD565" s="392"/>
      <c r="AE565" s="392"/>
      <c r="AF565" s="392"/>
      <c r="AG565" s="392"/>
      <c r="AH565" s="392"/>
      <c r="AI565" s="392"/>
      <c r="AJ565" s="392"/>
      <c r="AK565" s="392"/>
      <c r="AL565" s="392"/>
      <c r="AM565" s="392"/>
      <c r="AN565" s="392"/>
      <c r="AO565" s="392"/>
      <c r="AP565" s="392"/>
      <c r="AQ565" s="392"/>
      <c r="AR565" s="392"/>
      <c r="AS565" s="392"/>
      <c r="AT565" s="392"/>
      <c r="AU565" s="392"/>
      <c r="AV565" s="392"/>
      <c r="AW565" s="392"/>
      <c r="AX565" s="392"/>
      <c r="AY565" s="392"/>
      <c r="AZ565" s="392"/>
      <c r="BA565" s="392"/>
      <c r="BB565" s="392"/>
      <c r="BC565" s="392"/>
      <c r="BD565" s="392"/>
      <c r="BE565" s="392"/>
      <c r="BF565" s="392"/>
      <c r="BG565" s="392"/>
      <c r="BH565" s="392"/>
      <c r="BI565" s="392"/>
      <c r="BJ565" s="392"/>
      <c r="BK565" s="392"/>
      <c r="BL565" s="392"/>
      <c r="BM565" s="392"/>
      <c r="BN565" s="392"/>
      <c r="BO565" s="392"/>
      <c r="BP565" s="392"/>
      <c r="BQ565" s="392"/>
      <c r="BR565" s="392"/>
      <c r="BS565" s="392"/>
      <c r="BT565" s="392"/>
    </row>
    <row r="566" ht="15.75" customHeight="1">
      <c r="A566" s="216"/>
      <c r="B566" s="156"/>
      <c r="C566" s="156"/>
      <c r="D566" s="156"/>
      <c r="E566" s="392"/>
      <c r="F566" s="392"/>
      <c r="G566" s="392"/>
      <c r="H566" s="392"/>
      <c r="I566" s="392"/>
      <c r="J566" s="392"/>
      <c r="K566" s="392"/>
      <c r="L566" s="392"/>
      <c r="M566" s="392"/>
      <c r="N566" s="392"/>
      <c r="O566" s="392"/>
      <c r="P566" s="392"/>
      <c r="Q566" s="392"/>
      <c r="R566" s="392"/>
      <c r="S566" s="392"/>
      <c r="T566" s="392"/>
      <c r="U566" s="392"/>
      <c r="V566" s="392"/>
      <c r="W566" s="392"/>
      <c r="X566" s="392"/>
      <c r="Y566" s="392"/>
      <c r="Z566" s="392"/>
      <c r="AA566" s="392"/>
      <c r="AB566" s="392"/>
      <c r="AC566" s="392"/>
      <c r="AD566" s="392"/>
      <c r="AE566" s="392"/>
      <c r="AF566" s="392"/>
      <c r="AG566" s="392"/>
      <c r="AH566" s="392"/>
      <c r="AI566" s="392"/>
      <c r="AJ566" s="392"/>
      <c r="AK566" s="392"/>
      <c r="AL566" s="392"/>
      <c r="AM566" s="392"/>
      <c r="AN566" s="392"/>
      <c r="AO566" s="392"/>
      <c r="AP566" s="392"/>
      <c r="AQ566" s="392"/>
      <c r="AR566" s="392"/>
      <c r="AS566" s="392"/>
      <c r="AT566" s="392"/>
      <c r="AU566" s="392"/>
      <c r="AV566" s="392"/>
      <c r="AW566" s="392"/>
      <c r="AX566" s="392"/>
      <c r="AY566" s="392"/>
      <c r="AZ566" s="392"/>
      <c r="BA566" s="392"/>
      <c r="BB566" s="392"/>
      <c r="BC566" s="392"/>
      <c r="BD566" s="392"/>
      <c r="BE566" s="392"/>
      <c r="BF566" s="392"/>
      <c r="BG566" s="392"/>
      <c r="BH566" s="392"/>
      <c r="BI566" s="392"/>
      <c r="BJ566" s="392"/>
      <c r="BK566" s="392"/>
      <c r="BL566" s="392"/>
      <c r="BM566" s="392"/>
      <c r="BN566" s="392"/>
      <c r="BO566" s="392"/>
      <c r="BP566" s="392"/>
      <c r="BQ566" s="392"/>
      <c r="BR566" s="392"/>
      <c r="BS566" s="392"/>
      <c r="BT566" s="392"/>
    </row>
    <row r="567" ht="15.75" customHeight="1">
      <c r="A567" s="216"/>
      <c r="B567" s="156"/>
      <c r="C567" s="156"/>
      <c r="D567" s="156"/>
      <c r="E567" s="392"/>
      <c r="F567" s="392"/>
      <c r="G567" s="392"/>
      <c r="H567" s="392"/>
      <c r="I567" s="392"/>
      <c r="J567" s="392"/>
      <c r="K567" s="392"/>
      <c r="L567" s="392"/>
      <c r="M567" s="392"/>
      <c r="N567" s="392"/>
      <c r="O567" s="392"/>
      <c r="P567" s="392"/>
      <c r="Q567" s="392"/>
      <c r="R567" s="392"/>
      <c r="S567" s="392"/>
      <c r="T567" s="392"/>
      <c r="U567" s="392"/>
      <c r="V567" s="392"/>
      <c r="W567" s="392"/>
      <c r="X567" s="392"/>
      <c r="Y567" s="392"/>
      <c r="Z567" s="392"/>
      <c r="AA567" s="392"/>
      <c r="AB567" s="392"/>
      <c r="AC567" s="392"/>
      <c r="AD567" s="392"/>
      <c r="AE567" s="392"/>
      <c r="AF567" s="392"/>
      <c r="AG567" s="392"/>
      <c r="AH567" s="392"/>
      <c r="AI567" s="392"/>
      <c r="AJ567" s="392"/>
      <c r="AK567" s="392"/>
      <c r="AL567" s="392"/>
      <c r="AM567" s="392"/>
      <c r="AN567" s="392"/>
      <c r="AO567" s="392"/>
      <c r="AP567" s="392"/>
      <c r="AQ567" s="392"/>
      <c r="AR567" s="392"/>
      <c r="AS567" s="392"/>
      <c r="AT567" s="392"/>
      <c r="AU567" s="392"/>
      <c r="AV567" s="392"/>
      <c r="AW567" s="392"/>
      <c r="AX567" s="392"/>
      <c r="AY567" s="392"/>
      <c r="AZ567" s="392"/>
      <c r="BA567" s="392"/>
      <c r="BB567" s="392"/>
      <c r="BC567" s="392"/>
      <c r="BD567" s="392"/>
      <c r="BE567" s="392"/>
      <c r="BF567" s="392"/>
      <c r="BG567" s="392"/>
      <c r="BH567" s="392"/>
      <c r="BI567" s="392"/>
      <c r="BJ567" s="392"/>
      <c r="BK567" s="392"/>
      <c r="BL567" s="392"/>
      <c r="BM567" s="392"/>
      <c r="BN567" s="392"/>
      <c r="BO567" s="392"/>
      <c r="BP567" s="392"/>
      <c r="BQ567" s="392"/>
      <c r="BR567" s="392"/>
      <c r="BS567" s="392"/>
      <c r="BT567" s="392"/>
    </row>
    <row r="568" ht="15.75" customHeight="1">
      <c r="A568" s="216"/>
      <c r="B568" s="156"/>
      <c r="C568" s="156"/>
      <c r="D568" s="156"/>
      <c r="E568" s="392"/>
      <c r="F568" s="392"/>
      <c r="G568" s="392"/>
      <c r="H568" s="392"/>
      <c r="I568" s="392"/>
      <c r="J568" s="392"/>
      <c r="K568" s="392"/>
      <c r="L568" s="392"/>
      <c r="M568" s="392"/>
      <c r="N568" s="392"/>
      <c r="O568" s="392"/>
      <c r="P568" s="392"/>
      <c r="Q568" s="392"/>
      <c r="R568" s="392"/>
      <c r="S568" s="392"/>
      <c r="T568" s="392"/>
      <c r="U568" s="392"/>
      <c r="V568" s="392"/>
      <c r="W568" s="392"/>
      <c r="X568" s="392"/>
      <c r="Y568" s="392"/>
      <c r="Z568" s="392"/>
      <c r="AA568" s="392"/>
      <c r="AB568" s="392"/>
      <c r="AC568" s="392"/>
      <c r="AD568" s="392"/>
      <c r="AE568" s="392"/>
      <c r="AF568" s="392"/>
      <c r="AG568" s="392"/>
      <c r="AH568" s="392"/>
      <c r="AI568" s="392"/>
      <c r="AJ568" s="392"/>
      <c r="AK568" s="392"/>
      <c r="AL568" s="392"/>
      <c r="AM568" s="392"/>
      <c r="AN568" s="392"/>
      <c r="AO568" s="392"/>
      <c r="AP568" s="392"/>
      <c r="AQ568" s="392"/>
      <c r="AR568" s="392"/>
      <c r="AS568" s="392"/>
      <c r="AT568" s="392"/>
      <c r="AU568" s="392"/>
      <c r="AV568" s="392"/>
      <c r="AW568" s="392"/>
      <c r="AX568" s="392"/>
      <c r="AY568" s="392"/>
      <c r="AZ568" s="392"/>
      <c r="BA568" s="392"/>
      <c r="BB568" s="392"/>
      <c r="BC568" s="392"/>
      <c r="BD568" s="392"/>
      <c r="BE568" s="392"/>
      <c r="BF568" s="392"/>
      <c r="BG568" s="392"/>
      <c r="BH568" s="392"/>
      <c r="BI568" s="392"/>
      <c r="BJ568" s="392"/>
      <c r="BK568" s="392"/>
      <c r="BL568" s="392"/>
      <c r="BM568" s="392"/>
      <c r="BN568" s="392"/>
      <c r="BO568" s="392"/>
      <c r="BP568" s="392"/>
      <c r="BQ568" s="392"/>
      <c r="BR568" s="392"/>
      <c r="BS568" s="392"/>
      <c r="BT568" s="392"/>
    </row>
    <row r="569" ht="15.75" customHeight="1">
      <c r="A569" s="216"/>
      <c r="B569" s="156"/>
      <c r="C569" s="156"/>
      <c r="D569" s="156"/>
      <c r="E569" s="392"/>
      <c r="F569" s="392"/>
      <c r="G569" s="392"/>
      <c r="H569" s="392"/>
      <c r="I569" s="392"/>
      <c r="J569" s="392"/>
      <c r="K569" s="392"/>
      <c r="L569" s="392"/>
      <c r="M569" s="392"/>
      <c r="N569" s="392"/>
      <c r="O569" s="392"/>
      <c r="P569" s="392"/>
      <c r="Q569" s="392"/>
      <c r="R569" s="392"/>
      <c r="S569" s="392"/>
      <c r="T569" s="392"/>
      <c r="U569" s="392"/>
      <c r="V569" s="392"/>
      <c r="W569" s="392"/>
      <c r="X569" s="392"/>
      <c r="Y569" s="392"/>
      <c r="Z569" s="392"/>
      <c r="AA569" s="392"/>
      <c r="AB569" s="392"/>
      <c r="AC569" s="392"/>
      <c r="AD569" s="392"/>
      <c r="AE569" s="392"/>
      <c r="AF569" s="392"/>
      <c r="AG569" s="392"/>
      <c r="AH569" s="392"/>
      <c r="AI569" s="392"/>
      <c r="AJ569" s="392"/>
      <c r="AK569" s="392"/>
      <c r="AL569" s="392"/>
      <c r="AM569" s="392"/>
      <c r="AN569" s="392"/>
      <c r="AO569" s="392"/>
      <c r="AP569" s="392"/>
      <c r="AQ569" s="392"/>
      <c r="AR569" s="392"/>
      <c r="AS569" s="392"/>
      <c r="AT569" s="392"/>
      <c r="AU569" s="392"/>
      <c r="AV569" s="392"/>
      <c r="AW569" s="392"/>
      <c r="AX569" s="392"/>
      <c r="AY569" s="392"/>
      <c r="AZ569" s="392"/>
      <c r="BA569" s="392"/>
      <c r="BB569" s="392"/>
      <c r="BC569" s="392"/>
      <c r="BD569" s="392"/>
      <c r="BE569" s="392"/>
      <c r="BF569" s="392"/>
      <c r="BG569" s="392"/>
      <c r="BH569" s="392"/>
      <c r="BI569" s="392"/>
      <c r="BJ569" s="392"/>
      <c r="BK569" s="392"/>
      <c r="BL569" s="392"/>
      <c r="BM569" s="392"/>
      <c r="BN569" s="392"/>
      <c r="BO569" s="392"/>
      <c r="BP569" s="392"/>
      <c r="BQ569" s="392"/>
      <c r="BR569" s="392"/>
      <c r="BS569" s="392"/>
      <c r="BT569" s="392"/>
    </row>
    <row r="570" ht="15.75" customHeight="1">
      <c r="A570" s="216"/>
      <c r="B570" s="156"/>
      <c r="C570" s="156"/>
      <c r="D570" s="156"/>
      <c r="E570" s="392"/>
      <c r="F570" s="392"/>
      <c r="G570" s="392"/>
      <c r="H570" s="392"/>
      <c r="I570" s="392"/>
      <c r="J570" s="392"/>
      <c r="K570" s="392"/>
      <c r="L570" s="392"/>
      <c r="M570" s="392"/>
      <c r="N570" s="392"/>
      <c r="O570" s="392"/>
      <c r="P570" s="392"/>
      <c r="Q570" s="392"/>
      <c r="R570" s="392"/>
      <c r="S570" s="392"/>
      <c r="T570" s="392"/>
      <c r="U570" s="392"/>
      <c r="V570" s="392"/>
      <c r="W570" s="392"/>
      <c r="X570" s="392"/>
      <c r="Y570" s="392"/>
      <c r="Z570" s="392"/>
      <c r="AA570" s="392"/>
      <c r="AB570" s="392"/>
      <c r="AC570" s="392"/>
      <c r="AD570" s="392"/>
      <c r="AE570" s="392"/>
      <c r="AF570" s="392"/>
      <c r="AG570" s="392"/>
      <c r="AH570" s="392"/>
      <c r="AI570" s="392"/>
      <c r="AJ570" s="392"/>
      <c r="AK570" s="392"/>
      <c r="AL570" s="392"/>
      <c r="AM570" s="392"/>
      <c r="AN570" s="392"/>
      <c r="AO570" s="392"/>
      <c r="AP570" s="392"/>
      <c r="AQ570" s="392"/>
      <c r="AR570" s="392"/>
      <c r="AS570" s="392"/>
      <c r="AT570" s="392"/>
      <c r="AU570" s="392"/>
      <c r="AV570" s="392"/>
      <c r="AW570" s="392"/>
      <c r="AX570" s="392"/>
      <c r="AY570" s="392"/>
      <c r="AZ570" s="392"/>
      <c r="BA570" s="392"/>
      <c r="BB570" s="392"/>
      <c r="BC570" s="392"/>
      <c r="BD570" s="392"/>
      <c r="BE570" s="392"/>
      <c r="BF570" s="392"/>
      <c r="BG570" s="392"/>
      <c r="BH570" s="392"/>
      <c r="BI570" s="392"/>
      <c r="BJ570" s="392"/>
      <c r="BK570" s="392"/>
      <c r="BL570" s="392"/>
      <c r="BM570" s="392"/>
      <c r="BN570" s="392"/>
      <c r="BO570" s="392"/>
      <c r="BP570" s="392"/>
      <c r="BQ570" s="392"/>
      <c r="BR570" s="392"/>
      <c r="BS570" s="392"/>
      <c r="BT570" s="392"/>
    </row>
    <row r="571" ht="15.75" customHeight="1">
      <c r="A571" s="216"/>
      <c r="B571" s="156"/>
      <c r="C571" s="156"/>
      <c r="D571" s="156"/>
      <c r="E571" s="392"/>
      <c r="F571" s="392"/>
      <c r="G571" s="392"/>
      <c r="H571" s="392"/>
      <c r="I571" s="392"/>
      <c r="J571" s="392"/>
      <c r="K571" s="392"/>
      <c r="L571" s="392"/>
      <c r="M571" s="392"/>
      <c r="N571" s="392"/>
      <c r="O571" s="392"/>
      <c r="P571" s="392"/>
      <c r="Q571" s="392"/>
      <c r="R571" s="392"/>
      <c r="S571" s="392"/>
      <c r="T571" s="392"/>
      <c r="U571" s="392"/>
      <c r="V571" s="392"/>
      <c r="W571" s="392"/>
      <c r="X571" s="392"/>
      <c r="Y571" s="392"/>
      <c r="Z571" s="392"/>
      <c r="AA571" s="392"/>
      <c r="AB571" s="392"/>
      <c r="AC571" s="392"/>
      <c r="AD571" s="392"/>
      <c r="AE571" s="392"/>
      <c r="AF571" s="392"/>
      <c r="AG571" s="392"/>
      <c r="AH571" s="392"/>
      <c r="AI571" s="392"/>
      <c r="AJ571" s="392"/>
      <c r="AK571" s="392"/>
      <c r="AL571" s="392"/>
      <c r="AM571" s="392"/>
      <c r="AN571" s="392"/>
      <c r="AO571" s="392"/>
      <c r="AP571" s="392"/>
      <c r="AQ571" s="392"/>
      <c r="AR571" s="392"/>
      <c r="AS571" s="392"/>
      <c r="AT571" s="392"/>
      <c r="AU571" s="392"/>
      <c r="AV571" s="392"/>
      <c r="AW571" s="392"/>
      <c r="AX571" s="392"/>
      <c r="AY571" s="392"/>
      <c r="AZ571" s="392"/>
      <c r="BA571" s="392"/>
      <c r="BB571" s="392"/>
      <c r="BC571" s="392"/>
      <c r="BD571" s="392"/>
      <c r="BE571" s="392"/>
      <c r="BF571" s="392"/>
      <c r="BG571" s="392"/>
      <c r="BH571" s="392"/>
      <c r="BI571" s="392"/>
      <c r="BJ571" s="392"/>
      <c r="BK571" s="392"/>
      <c r="BL571" s="392"/>
      <c r="BM571" s="392"/>
      <c r="BN571" s="392"/>
      <c r="BO571" s="392"/>
      <c r="BP571" s="392"/>
      <c r="BQ571" s="392"/>
      <c r="BR571" s="392"/>
      <c r="BS571" s="392"/>
      <c r="BT571" s="392"/>
    </row>
    <row r="572" ht="15.75" customHeight="1">
      <c r="A572" s="216"/>
      <c r="B572" s="156"/>
      <c r="C572" s="156"/>
      <c r="D572" s="156"/>
      <c r="E572" s="392"/>
      <c r="F572" s="392"/>
      <c r="G572" s="392"/>
      <c r="H572" s="392"/>
      <c r="I572" s="392"/>
      <c r="J572" s="392"/>
      <c r="K572" s="392"/>
      <c r="L572" s="392"/>
      <c r="M572" s="392"/>
      <c r="N572" s="392"/>
      <c r="O572" s="392"/>
      <c r="P572" s="392"/>
      <c r="Q572" s="392"/>
      <c r="R572" s="392"/>
      <c r="S572" s="392"/>
      <c r="T572" s="392"/>
      <c r="U572" s="392"/>
      <c r="V572" s="392"/>
      <c r="W572" s="392"/>
      <c r="X572" s="392"/>
      <c r="Y572" s="392"/>
      <c r="Z572" s="392"/>
      <c r="AA572" s="392"/>
      <c r="AB572" s="392"/>
      <c r="AC572" s="392"/>
      <c r="AD572" s="392"/>
      <c r="AE572" s="392"/>
      <c r="AF572" s="392"/>
      <c r="AG572" s="392"/>
      <c r="AH572" s="392"/>
      <c r="AI572" s="392"/>
      <c r="AJ572" s="392"/>
      <c r="AK572" s="392"/>
      <c r="AL572" s="392"/>
      <c r="AM572" s="392"/>
      <c r="AN572" s="392"/>
      <c r="AO572" s="392"/>
      <c r="AP572" s="392"/>
      <c r="AQ572" s="392"/>
      <c r="AR572" s="392"/>
      <c r="AS572" s="392"/>
      <c r="AT572" s="392"/>
      <c r="AU572" s="392"/>
      <c r="AV572" s="392"/>
      <c r="AW572" s="392"/>
      <c r="AX572" s="392"/>
      <c r="AY572" s="392"/>
      <c r="AZ572" s="392"/>
      <c r="BA572" s="392"/>
      <c r="BB572" s="392"/>
      <c r="BC572" s="392"/>
      <c r="BD572" s="392"/>
      <c r="BE572" s="392"/>
      <c r="BF572" s="392"/>
      <c r="BG572" s="392"/>
      <c r="BH572" s="392"/>
      <c r="BI572" s="392"/>
      <c r="BJ572" s="392"/>
      <c r="BK572" s="392"/>
      <c r="BL572" s="392"/>
      <c r="BM572" s="392"/>
      <c r="BN572" s="392"/>
      <c r="BO572" s="392"/>
      <c r="BP572" s="392"/>
      <c r="BQ572" s="392"/>
      <c r="BR572" s="392"/>
      <c r="BS572" s="392"/>
      <c r="BT572" s="392"/>
    </row>
    <row r="573" ht="15.75" customHeight="1">
      <c r="A573" s="216"/>
      <c r="B573" s="156"/>
      <c r="C573" s="156"/>
      <c r="D573" s="156"/>
      <c r="E573" s="392"/>
      <c r="F573" s="392"/>
      <c r="G573" s="392"/>
      <c r="H573" s="392"/>
      <c r="I573" s="392"/>
      <c r="J573" s="392"/>
      <c r="K573" s="392"/>
      <c r="L573" s="392"/>
      <c r="M573" s="392"/>
      <c r="N573" s="392"/>
      <c r="O573" s="392"/>
      <c r="P573" s="392"/>
      <c r="Q573" s="392"/>
      <c r="R573" s="392"/>
      <c r="S573" s="392"/>
      <c r="T573" s="392"/>
      <c r="U573" s="392"/>
      <c r="V573" s="392"/>
      <c r="W573" s="392"/>
      <c r="X573" s="392"/>
      <c r="Y573" s="392"/>
      <c r="Z573" s="392"/>
      <c r="AA573" s="392"/>
      <c r="AB573" s="392"/>
      <c r="AC573" s="392"/>
      <c r="AD573" s="392"/>
      <c r="AE573" s="392"/>
      <c r="AF573" s="392"/>
      <c r="AG573" s="392"/>
      <c r="AH573" s="392"/>
      <c r="AI573" s="392"/>
      <c r="AJ573" s="392"/>
      <c r="AK573" s="392"/>
      <c r="AL573" s="392"/>
      <c r="AM573" s="392"/>
      <c r="AN573" s="392"/>
      <c r="AO573" s="392"/>
      <c r="AP573" s="392"/>
      <c r="AQ573" s="392"/>
      <c r="AR573" s="392"/>
      <c r="AS573" s="392"/>
      <c r="AT573" s="392"/>
      <c r="AU573" s="392"/>
      <c r="AV573" s="392"/>
      <c r="AW573" s="392"/>
      <c r="AX573" s="392"/>
      <c r="AY573" s="392"/>
      <c r="AZ573" s="392"/>
      <c r="BA573" s="392"/>
      <c r="BB573" s="392"/>
      <c r="BC573" s="392"/>
      <c r="BD573" s="392"/>
      <c r="BE573" s="392"/>
      <c r="BF573" s="392"/>
      <c r="BG573" s="392"/>
      <c r="BH573" s="392"/>
      <c r="BI573" s="392"/>
      <c r="BJ573" s="392"/>
      <c r="BK573" s="392"/>
      <c r="BL573" s="392"/>
      <c r="BM573" s="392"/>
      <c r="BN573" s="392"/>
      <c r="BO573" s="392"/>
      <c r="BP573" s="392"/>
      <c r="BQ573" s="392"/>
      <c r="BR573" s="392"/>
      <c r="BS573" s="392"/>
      <c r="BT573" s="392"/>
    </row>
    <row r="574" ht="15.75" customHeight="1">
      <c r="A574" s="216"/>
      <c r="B574" s="156"/>
      <c r="C574" s="156"/>
      <c r="D574" s="156"/>
      <c r="E574" s="392"/>
      <c r="F574" s="392"/>
      <c r="G574" s="392"/>
      <c r="H574" s="392"/>
      <c r="I574" s="392"/>
      <c r="J574" s="392"/>
      <c r="K574" s="392"/>
      <c r="L574" s="392"/>
      <c r="M574" s="392"/>
      <c r="N574" s="392"/>
      <c r="O574" s="392"/>
      <c r="P574" s="392"/>
      <c r="Q574" s="392"/>
      <c r="R574" s="392"/>
      <c r="S574" s="392"/>
      <c r="T574" s="392"/>
      <c r="U574" s="392"/>
      <c r="V574" s="392"/>
      <c r="W574" s="392"/>
      <c r="X574" s="392"/>
      <c r="Y574" s="392"/>
      <c r="Z574" s="392"/>
      <c r="AA574" s="392"/>
      <c r="AB574" s="392"/>
      <c r="AC574" s="392"/>
      <c r="AD574" s="392"/>
      <c r="AE574" s="392"/>
      <c r="AF574" s="392"/>
      <c r="AG574" s="392"/>
      <c r="AH574" s="392"/>
      <c r="AI574" s="392"/>
      <c r="AJ574" s="392"/>
      <c r="AK574" s="392"/>
      <c r="AL574" s="392"/>
      <c r="AM574" s="392"/>
      <c r="AN574" s="392"/>
      <c r="AO574" s="392"/>
      <c r="AP574" s="392"/>
      <c r="AQ574" s="392"/>
      <c r="AR574" s="392"/>
      <c r="AS574" s="392"/>
      <c r="AT574" s="392"/>
      <c r="AU574" s="392"/>
      <c r="AV574" s="392"/>
      <c r="AW574" s="392"/>
      <c r="AX574" s="392"/>
      <c r="AY574" s="392"/>
      <c r="AZ574" s="392"/>
      <c r="BA574" s="392"/>
      <c r="BB574" s="392"/>
      <c r="BC574" s="392"/>
      <c r="BD574" s="392"/>
      <c r="BE574" s="392"/>
      <c r="BF574" s="392"/>
      <c r="BG574" s="392"/>
      <c r="BH574" s="392"/>
      <c r="BI574" s="392"/>
      <c r="BJ574" s="392"/>
      <c r="BK574" s="392"/>
      <c r="BL574" s="392"/>
      <c r="BM574" s="392"/>
      <c r="BN574" s="392"/>
      <c r="BO574" s="392"/>
      <c r="BP574" s="392"/>
      <c r="BQ574" s="392"/>
      <c r="BR574" s="392"/>
      <c r="BS574" s="392"/>
      <c r="BT574" s="392"/>
    </row>
    <row r="575" ht="15.75" customHeight="1">
      <c r="A575" s="216"/>
      <c r="B575" s="156"/>
      <c r="C575" s="156"/>
      <c r="D575" s="156"/>
      <c r="E575" s="392"/>
      <c r="F575" s="392"/>
      <c r="G575" s="392"/>
      <c r="H575" s="392"/>
      <c r="I575" s="392"/>
      <c r="J575" s="392"/>
      <c r="K575" s="392"/>
      <c r="L575" s="392"/>
      <c r="M575" s="392"/>
      <c r="N575" s="392"/>
      <c r="O575" s="392"/>
      <c r="P575" s="392"/>
      <c r="Q575" s="392"/>
      <c r="R575" s="392"/>
      <c r="S575" s="392"/>
      <c r="T575" s="392"/>
      <c r="U575" s="392"/>
      <c r="V575" s="392"/>
      <c r="W575" s="392"/>
      <c r="X575" s="392"/>
      <c r="Y575" s="392"/>
      <c r="Z575" s="392"/>
      <c r="AA575" s="392"/>
      <c r="AB575" s="392"/>
      <c r="AC575" s="392"/>
      <c r="AD575" s="392"/>
      <c r="AE575" s="392"/>
      <c r="AF575" s="392"/>
      <c r="AG575" s="392"/>
      <c r="AH575" s="392"/>
      <c r="AI575" s="392"/>
      <c r="AJ575" s="392"/>
      <c r="AK575" s="392"/>
      <c r="AL575" s="392"/>
      <c r="AM575" s="392"/>
      <c r="AN575" s="392"/>
      <c r="AO575" s="392"/>
      <c r="AP575" s="392"/>
      <c r="AQ575" s="392"/>
      <c r="AR575" s="392"/>
      <c r="AS575" s="392"/>
      <c r="AT575" s="392"/>
      <c r="AU575" s="392"/>
      <c r="AV575" s="392"/>
      <c r="AW575" s="392"/>
      <c r="AX575" s="392"/>
      <c r="AY575" s="392"/>
      <c r="AZ575" s="392"/>
      <c r="BA575" s="392"/>
      <c r="BB575" s="392"/>
      <c r="BC575" s="392"/>
      <c r="BD575" s="392"/>
      <c r="BE575" s="392"/>
      <c r="BF575" s="392"/>
      <c r="BG575" s="392"/>
      <c r="BH575" s="392"/>
      <c r="BI575" s="392"/>
      <c r="BJ575" s="392"/>
      <c r="BK575" s="392"/>
      <c r="BL575" s="392"/>
      <c r="BM575" s="392"/>
      <c r="BN575" s="392"/>
      <c r="BO575" s="392"/>
      <c r="BP575" s="392"/>
      <c r="BQ575" s="392"/>
      <c r="BR575" s="392"/>
      <c r="BS575" s="392"/>
      <c r="BT575" s="392"/>
    </row>
    <row r="576" ht="15.75" customHeight="1">
      <c r="A576" s="216"/>
      <c r="B576" s="156"/>
      <c r="C576" s="156"/>
      <c r="D576" s="156"/>
      <c r="E576" s="392"/>
      <c r="F576" s="392"/>
      <c r="G576" s="392"/>
      <c r="H576" s="392"/>
      <c r="I576" s="392"/>
      <c r="J576" s="392"/>
      <c r="K576" s="392"/>
      <c r="L576" s="392"/>
      <c r="M576" s="392"/>
      <c r="N576" s="392"/>
      <c r="O576" s="392"/>
      <c r="P576" s="392"/>
      <c r="Q576" s="392"/>
      <c r="R576" s="392"/>
      <c r="S576" s="392"/>
      <c r="T576" s="392"/>
      <c r="U576" s="392"/>
      <c r="V576" s="392"/>
      <c r="W576" s="392"/>
      <c r="X576" s="392"/>
      <c r="Y576" s="392"/>
      <c r="Z576" s="392"/>
      <c r="AA576" s="392"/>
      <c r="AB576" s="392"/>
      <c r="AC576" s="392"/>
      <c r="AD576" s="392"/>
      <c r="AE576" s="392"/>
      <c r="AF576" s="392"/>
      <c r="AG576" s="392"/>
      <c r="AH576" s="392"/>
      <c r="AI576" s="392"/>
      <c r="AJ576" s="392"/>
      <c r="AK576" s="392"/>
      <c r="AL576" s="392"/>
      <c r="AM576" s="392"/>
      <c r="AN576" s="392"/>
      <c r="AO576" s="392"/>
      <c r="AP576" s="392"/>
      <c r="AQ576" s="392"/>
      <c r="AR576" s="392"/>
      <c r="AS576" s="392"/>
      <c r="AT576" s="392"/>
      <c r="AU576" s="392"/>
      <c r="AV576" s="392"/>
      <c r="AW576" s="392"/>
      <c r="AX576" s="392"/>
      <c r="AY576" s="392"/>
      <c r="AZ576" s="392"/>
      <c r="BA576" s="392"/>
      <c r="BB576" s="392"/>
      <c r="BC576" s="392"/>
      <c r="BD576" s="392"/>
      <c r="BE576" s="392"/>
      <c r="BF576" s="392"/>
      <c r="BG576" s="392"/>
      <c r="BH576" s="392"/>
      <c r="BI576" s="392"/>
      <c r="BJ576" s="392"/>
      <c r="BK576" s="392"/>
      <c r="BL576" s="392"/>
      <c r="BM576" s="392"/>
      <c r="BN576" s="392"/>
      <c r="BO576" s="392"/>
      <c r="BP576" s="392"/>
      <c r="BQ576" s="392"/>
      <c r="BR576" s="392"/>
      <c r="BS576" s="392"/>
      <c r="BT576" s="392"/>
    </row>
    <row r="577" ht="15.75" customHeight="1">
      <c r="A577" s="216"/>
      <c r="B577" s="156"/>
      <c r="C577" s="156"/>
      <c r="D577" s="156"/>
      <c r="E577" s="392"/>
      <c r="F577" s="392"/>
      <c r="G577" s="392"/>
      <c r="H577" s="392"/>
      <c r="I577" s="392"/>
      <c r="J577" s="392"/>
      <c r="K577" s="392"/>
      <c r="L577" s="392"/>
      <c r="M577" s="392"/>
      <c r="N577" s="392"/>
      <c r="O577" s="392"/>
      <c r="P577" s="392"/>
      <c r="Q577" s="392"/>
      <c r="R577" s="392"/>
      <c r="S577" s="392"/>
      <c r="T577" s="392"/>
      <c r="U577" s="392"/>
      <c r="V577" s="392"/>
      <c r="W577" s="392"/>
      <c r="X577" s="392"/>
      <c r="Y577" s="392"/>
      <c r="Z577" s="392"/>
      <c r="AA577" s="392"/>
      <c r="AB577" s="392"/>
      <c r="AC577" s="392"/>
      <c r="AD577" s="392"/>
      <c r="AE577" s="392"/>
      <c r="AF577" s="392"/>
      <c r="AG577" s="392"/>
      <c r="AH577" s="392"/>
      <c r="AI577" s="392"/>
      <c r="AJ577" s="392"/>
      <c r="AK577" s="392"/>
      <c r="AL577" s="392"/>
      <c r="AM577" s="392"/>
      <c r="AN577" s="392"/>
      <c r="AO577" s="392"/>
      <c r="AP577" s="392"/>
      <c r="AQ577" s="392"/>
      <c r="AR577" s="392"/>
      <c r="AS577" s="392"/>
      <c r="AT577" s="392"/>
      <c r="AU577" s="392"/>
      <c r="AV577" s="392"/>
      <c r="AW577" s="392"/>
      <c r="AX577" s="392"/>
      <c r="AY577" s="392"/>
      <c r="AZ577" s="392"/>
      <c r="BA577" s="392"/>
      <c r="BB577" s="392"/>
      <c r="BC577" s="392"/>
      <c r="BD577" s="392"/>
      <c r="BE577" s="392"/>
      <c r="BF577" s="392"/>
      <c r="BG577" s="392"/>
      <c r="BH577" s="392"/>
      <c r="BI577" s="392"/>
      <c r="BJ577" s="392"/>
      <c r="BK577" s="392"/>
      <c r="BL577" s="392"/>
      <c r="BM577" s="392"/>
      <c r="BN577" s="392"/>
      <c r="BO577" s="392"/>
      <c r="BP577" s="392"/>
      <c r="BQ577" s="392"/>
      <c r="BR577" s="392"/>
      <c r="BS577" s="392"/>
      <c r="BT577" s="392"/>
    </row>
    <row r="578" ht="15.75" customHeight="1">
      <c r="A578" s="216"/>
      <c r="B578" s="156"/>
      <c r="C578" s="156"/>
      <c r="D578" s="156"/>
      <c r="E578" s="392"/>
      <c r="F578" s="392"/>
      <c r="G578" s="392"/>
      <c r="H578" s="392"/>
      <c r="I578" s="392"/>
      <c r="J578" s="392"/>
      <c r="K578" s="392"/>
      <c r="L578" s="392"/>
      <c r="M578" s="392"/>
      <c r="N578" s="392"/>
      <c r="O578" s="392"/>
      <c r="P578" s="392"/>
      <c r="Q578" s="392"/>
      <c r="R578" s="392"/>
      <c r="S578" s="392"/>
      <c r="T578" s="392"/>
      <c r="U578" s="392"/>
      <c r="V578" s="392"/>
      <c r="W578" s="392"/>
      <c r="X578" s="392"/>
      <c r="Y578" s="392"/>
      <c r="Z578" s="392"/>
      <c r="AA578" s="392"/>
      <c r="AB578" s="392"/>
      <c r="AC578" s="392"/>
      <c r="AD578" s="392"/>
      <c r="AE578" s="392"/>
      <c r="AF578" s="392"/>
      <c r="AG578" s="392"/>
      <c r="AH578" s="392"/>
      <c r="AI578" s="392"/>
      <c r="AJ578" s="392"/>
      <c r="AK578" s="392"/>
      <c r="AL578" s="392"/>
      <c r="AM578" s="392"/>
      <c r="AN578" s="392"/>
      <c r="AO578" s="392"/>
      <c r="AP578" s="392"/>
      <c r="AQ578" s="392"/>
      <c r="AR578" s="392"/>
      <c r="AS578" s="392"/>
      <c r="AT578" s="392"/>
      <c r="AU578" s="392"/>
      <c r="AV578" s="392"/>
      <c r="AW578" s="392"/>
      <c r="AX578" s="392"/>
      <c r="AY578" s="392"/>
      <c r="AZ578" s="392"/>
      <c r="BA578" s="392"/>
      <c r="BB578" s="392"/>
      <c r="BC578" s="392"/>
      <c r="BD578" s="392"/>
      <c r="BE578" s="392"/>
      <c r="BF578" s="392"/>
      <c r="BG578" s="392"/>
      <c r="BH578" s="392"/>
      <c r="BI578" s="392"/>
      <c r="BJ578" s="392"/>
      <c r="BK578" s="392"/>
      <c r="BL578" s="392"/>
      <c r="BM578" s="392"/>
      <c r="BN578" s="392"/>
      <c r="BO578" s="392"/>
      <c r="BP578" s="392"/>
      <c r="BQ578" s="392"/>
      <c r="BR578" s="392"/>
      <c r="BS578" s="392"/>
      <c r="BT578" s="392"/>
    </row>
    <row r="579" ht="15.75" customHeight="1">
      <c r="A579" s="216"/>
      <c r="B579" s="156"/>
      <c r="C579" s="156"/>
      <c r="D579" s="156"/>
      <c r="E579" s="392"/>
      <c r="F579" s="392"/>
      <c r="G579" s="392"/>
      <c r="H579" s="392"/>
      <c r="I579" s="392"/>
      <c r="J579" s="392"/>
      <c r="K579" s="392"/>
      <c r="L579" s="392"/>
      <c r="M579" s="392"/>
      <c r="N579" s="392"/>
      <c r="O579" s="392"/>
      <c r="P579" s="392"/>
      <c r="Q579" s="392"/>
      <c r="R579" s="392"/>
      <c r="S579" s="392"/>
      <c r="T579" s="392"/>
      <c r="U579" s="392"/>
      <c r="V579" s="392"/>
      <c r="W579" s="392"/>
      <c r="X579" s="392"/>
      <c r="Y579" s="392"/>
      <c r="Z579" s="392"/>
      <c r="AA579" s="392"/>
      <c r="AB579" s="392"/>
      <c r="AC579" s="392"/>
      <c r="AD579" s="392"/>
      <c r="AE579" s="392"/>
      <c r="AF579" s="392"/>
      <c r="AG579" s="392"/>
      <c r="AH579" s="392"/>
      <c r="AI579" s="392"/>
      <c r="AJ579" s="392"/>
      <c r="AK579" s="392"/>
      <c r="AL579" s="392"/>
      <c r="AM579" s="392"/>
      <c r="AN579" s="392"/>
      <c r="AO579" s="392"/>
      <c r="AP579" s="392"/>
      <c r="AQ579" s="392"/>
      <c r="AR579" s="392"/>
      <c r="AS579" s="392"/>
      <c r="AT579" s="392"/>
      <c r="AU579" s="392"/>
      <c r="AV579" s="392"/>
      <c r="AW579" s="392"/>
      <c r="AX579" s="392"/>
      <c r="AY579" s="392"/>
      <c r="AZ579" s="392"/>
      <c r="BA579" s="392"/>
      <c r="BB579" s="392"/>
      <c r="BC579" s="392"/>
      <c r="BD579" s="392"/>
      <c r="BE579" s="392"/>
      <c r="BF579" s="392"/>
      <c r="BG579" s="392"/>
      <c r="BH579" s="392"/>
      <c r="BI579" s="392"/>
      <c r="BJ579" s="392"/>
      <c r="BK579" s="392"/>
      <c r="BL579" s="392"/>
      <c r="BM579" s="392"/>
      <c r="BN579" s="392"/>
      <c r="BO579" s="392"/>
      <c r="BP579" s="392"/>
      <c r="BQ579" s="392"/>
      <c r="BR579" s="392"/>
      <c r="BS579" s="392"/>
      <c r="BT579" s="392"/>
    </row>
    <row r="580" ht="15.75" customHeight="1">
      <c r="A580" s="216"/>
      <c r="B580" s="156"/>
      <c r="C580" s="156"/>
      <c r="D580" s="156"/>
      <c r="E580" s="392"/>
      <c r="F580" s="392"/>
      <c r="G580" s="392"/>
      <c r="H580" s="392"/>
      <c r="I580" s="392"/>
      <c r="J580" s="392"/>
      <c r="K580" s="392"/>
      <c r="L580" s="392"/>
      <c r="M580" s="392"/>
      <c r="N580" s="392"/>
      <c r="O580" s="392"/>
      <c r="P580" s="392"/>
      <c r="Q580" s="392"/>
      <c r="R580" s="392"/>
      <c r="S580" s="392"/>
      <c r="T580" s="392"/>
      <c r="U580" s="392"/>
      <c r="V580" s="392"/>
      <c r="W580" s="392"/>
      <c r="X580" s="392"/>
      <c r="Y580" s="392"/>
      <c r="Z580" s="392"/>
      <c r="AA580" s="392"/>
      <c r="AB580" s="392"/>
      <c r="AC580" s="392"/>
      <c r="AD580" s="392"/>
      <c r="AE580" s="392"/>
      <c r="AF580" s="392"/>
      <c r="AG580" s="392"/>
      <c r="AH580" s="392"/>
      <c r="AI580" s="392"/>
      <c r="AJ580" s="392"/>
      <c r="AK580" s="392"/>
      <c r="AL580" s="392"/>
      <c r="AM580" s="392"/>
      <c r="AN580" s="392"/>
      <c r="AO580" s="392"/>
      <c r="AP580" s="392"/>
      <c r="AQ580" s="392"/>
      <c r="AR580" s="392"/>
      <c r="AS580" s="392"/>
      <c r="AT580" s="392"/>
      <c r="AU580" s="392"/>
      <c r="AV580" s="392"/>
      <c r="AW580" s="392"/>
      <c r="AX580" s="392"/>
      <c r="AY580" s="392"/>
      <c r="AZ580" s="392"/>
      <c r="BA580" s="392"/>
      <c r="BB580" s="392"/>
      <c r="BC580" s="392"/>
      <c r="BD580" s="392"/>
      <c r="BE580" s="392"/>
      <c r="BF580" s="392"/>
      <c r="BG580" s="392"/>
      <c r="BH580" s="392"/>
      <c r="BI580" s="392"/>
      <c r="BJ580" s="392"/>
      <c r="BK580" s="392"/>
      <c r="BL580" s="392"/>
      <c r="BM580" s="392"/>
      <c r="BN580" s="392"/>
      <c r="BO580" s="392"/>
      <c r="BP580" s="392"/>
      <c r="BQ580" s="392"/>
      <c r="BR580" s="392"/>
      <c r="BS580" s="392"/>
      <c r="BT580" s="392"/>
    </row>
    <row r="581" ht="15.75" customHeight="1">
      <c r="A581" s="216"/>
      <c r="B581" s="156"/>
      <c r="C581" s="156"/>
      <c r="D581" s="156"/>
      <c r="E581" s="392"/>
      <c r="F581" s="392"/>
      <c r="G581" s="392"/>
      <c r="H581" s="392"/>
      <c r="I581" s="392"/>
      <c r="J581" s="392"/>
      <c r="K581" s="392"/>
      <c r="L581" s="392"/>
      <c r="M581" s="392"/>
      <c r="N581" s="392"/>
      <c r="O581" s="392"/>
      <c r="P581" s="392"/>
      <c r="Q581" s="392"/>
      <c r="R581" s="392"/>
      <c r="S581" s="392"/>
      <c r="T581" s="392"/>
      <c r="U581" s="392"/>
      <c r="V581" s="392"/>
      <c r="W581" s="392"/>
      <c r="X581" s="392"/>
      <c r="Y581" s="392"/>
      <c r="Z581" s="392"/>
      <c r="AA581" s="392"/>
      <c r="AB581" s="392"/>
      <c r="AC581" s="392"/>
      <c r="AD581" s="392"/>
      <c r="AE581" s="392"/>
      <c r="AF581" s="392"/>
      <c r="AG581" s="392"/>
      <c r="AH581" s="392"/>
      <c r="AI581" s="392"/>
      <c r="AJ581" s="392"/>
      <c r="AK581" s="392"/>
      <c r="AL581" s="392"/>
      <c r="AM581" s="392"/>
      <c r="AN581" s="392"/>
      <c r="AO581" s="392"/>
      <c r="AP581" s="392"/>
      <c r="AQ581" s="392"/>
      <c r="AR581" s="392"/>
      <c r="AS581" s="392"/>
      <c r="AT581" s="392"/>
      <c r="AU581" s="392"/>
      <c r="AV581" s="392"/>
      <c r="AW581" s="392"/>
      <c r="AX581" s="392"/>
      <c r="AY581" s="392"/>
      <c r="AZ581" s="392"/>
      <c r="BA581" s="392"/>
      <c r="BB581" s="392"/>
      <c r="BC581" s="392"/>
      <c r="BD581" s="392"/>
      <c r="BE581" s="392"/>
      <c r="BF581" s="392"/>
      <c r="BG581" s="392"/>
      <c r="BH581" s="392"/>
      <c r="BI581" s="392"/>
      <c r="BJ581" s="392"/>
      <c r="BK581" s="392"/>
      <c r="BL581" s="392"/>
      <c r="BM581" s="392"/>
      <c r="BN581" s="392"/>
      <c r="BO581" s="392"/>
      <c r="BP581" s="392"/>
      <c r="BQ581" s="392"/>
      <c r="BR581" s="392"/>
      <c r="BS581" s="392"/>
      <c r="BT581" s="392"/>
    </row>
    <row r="582" ht="15.75" customHeight="1">
      <c r="A582" s="216"/>
      <c r="B582" s="156"/>
      <c r="C582" s="156"/>
      <c r="D582" s="156"/>
      <c r="E582" s="392"/>
      <c r="F582" s="392"/>
      <c r="G582" s="392"/>
      <c r="H582" s="392"/>
      <c r="I582" s="392"/>
      <c r="J582" s="392"/>
      <c r="K582" s="392"/>
      <c r="L582" s="392"/>
      <c r="M582" s="392"/>
      <c r="N582" s="392"/>
      <c r="O582" s="392"/>
      <c r="P582" s="392"/>
      <c r="Q582" s="392"/>
      <c r="R582" s="392"/>
      <c r="S582" s="392"/>
      <c r="T582" s="392"/>
      <c r="U582" s="392"/>
      <c r="V582" s="392"/>
      <c r="W582" s="392"/>
      <c r="X582" s="392"/>
      <c r="Y582" s="392"/>
      <c r="Z582" s="392"/>
      <c r="AA582" s="392"/>
      <c r="AB582" s="392"/>
      <c r="AC582" s="392"/>
      <c r="AD582" s="392"/>
      <c r="AE582" s="392"/>
      <c r="AF582" s="392"/>
      <c r="AG582" s="392"/>
      <c r="AH582" s="392"/>
      <c r="AI582" s="392"/>
      <c r="AJ582" s="392"/>
      <c r="AK582" s="392"/>
      <c r="AL582" s="392"/>
      <c r="AM582" s="392"/>
      <c r="AN582" s="392"/>
      <c r="AO582" s="392"/>
      <c r="AP582" s="392"/>
      <c r="AQ582" s="392"/>
      <c r="AR582" s="392"/>
      <c r="AS582" s="392"/>
      <c r="AT582" s="392"/>
      <c r="AU582" s="392"/>
      <c r="AV582" s="392"/>
      <c r="AW582" s="392"/>
      <c r="AX582" s="392"/>
      <c r="AY582" s="392"/>
      <c r="AZ582" s="392"/>
      <c r="BA582" s="392"/>
      <c r="BB582" s="392"/>
      <c r="BC582" s="392"/>
      <c r="BD582" s="392"/>
      <c r="BE582" s="392"/>
      <c r="BF582" s="392"/>
      <c r="BG582" s="392"/>
      <c r="BH582" s="392"/>
      <c r="BI582" s="392"/>
      <c r="BJ582" s="392"/>
      <c r="BK582" s="392"/>
      <c r="BL582" s="392"/>
      <c r="BM582" s="392"/>
      <c r="BN582" s="392"/>
      <c r="BO582" s="392"/>
      <c r="BP582" s="392"/>
      <c r="BQ582" s="392"/>
      <c r="BR582" s="392"/>
      <c r="BS582" s="392"/>
      <c r="BT582" s="392"/>
    </row>
    <row r="583" ht="15.75" customHeight="1">
      <c r="A583" s="216"/>
      <c r="B583" s="156"/>
      <c r="C583" s="156"/>
      <c r="D583" s="156"/>
      <c r="E583" s="392"/>
      <c r="F583" s="392"/>
      <c r="G583" s="392"/>
      <c r="H583" s="392"/>
      <c r="I583" s="392"/>
      <c r="J583" s="392"/>
      <c r="K583" s="392"/>
      <c r="L583" s="392"/>
      <c r="M583" s="392"/>
      <c r="N583" s="392"/>
      <c r="O583" s="392"/>
      <c r="P583" s="392"/>
      <c r="Q583" s="392"/>
      <c r="R583" s="392"/>
      <c r="S583" s="392"/>
      <c r="T583" s="392"/>
      <c r="U583" s="392"/>
      <c r="V583" s="392"/>
      <c r="W583" s="392"/>
      <c r="X583" s="392"/>
      <c r="Y583" s="392"/>
      <c r="Z583" s="392"/>
      <c r="AA583" s="392"/>
      <c r="AB583" s="392"/>
      <c r="AC583" s="392"/>
      <c r="AD583" s="392"/>
      <c r="AE583" s="392"/>
      <c r="AF583" s="392"/>
      <c r="AG583" s="392"/>
      <c r="AH583" s="392"/>
      <c r="AI583" s="392"/>
      <c r="AJ583" s="392"/>
      <c r="AK583" s="392"/>
      <c r="AL583" s="392"/>
      <c r="AM583" s="392"/>
      <c r="AN583" s="392"/>
      <c r="AO583" s="392"/>
      <c r="AP583" s="392"/>
      <c r="AQ583" s="392"/>
      <c r="AR583" s="392"/>
      <c r="AS583" s="392"/>
      <c r="AT583" s="392"/>
      <c r="AU583" s="392"/>
      <c r="AV583" s="392"/>
      <c r="AW583" s="392"/>
      <c r="AX583" s="392"/>
      <c r="AY583" s="392"/>
      <c r="AZ583" s="392"/>
      <c r="BA583" s="392"/>
      <c r="BB583" s="392"/>
      <c r="BC583" s="392"/>
      <c r="BD583" s="392"/>
      <c r="BE583" s="392"/>
      <c r="BF583" s="392"/>
      <c r="BG583" s="392"/>
      <c r="BH583" s="392"/>
      <c r="BI583" s="392"/>
      <c r="BJ583" s="392"/>
      <c r="BK583" s="392"/>
      <c r="BL583" s="392"/>
      <c r="BM583" s="392"/>
      <c r="BN583" s="392"/>
      <c r="BO583" s="392"/>
      <c r="BP583" s="392"/>
      <c r="BQ583" s="392"/>
      <c r="BR583" s="392"/>
      <c r="BS583" s="392"/>
      <c r="BT583" s="392"/>
    </row>
    <row r="584" ht="15.75" customHeight="1">
      <c r="A584" s="216"/>
      <c r="B584" s="156"/>
      <c r="C584" s="156"/>
      <c r="D584" s="156"/>
      <c r="E584" s="392"/>
      <c r="F584" s="392"/>
      <c r="G584" s="392"/>
      <c r="H584" s="392"/>
      <c r="I584" s="392"/>
      <c r="J584" s="392"/>
      <c r="K584" s="392"/>
      <c r="L584" s="392"/>
      <c r="M584" s="392"/>
      <c r="N584" s="392"/>
      <c r="O584" s="392"/>
      <c r="P584" s="392"/>
      <c r="Q584" s="392"/>
      <c r="R584" s="392"/>
      <c r="S584" s="392"/>
      <c r="T584" s="392"/>
      <c r="U584" s="392"/>
      <c r="V584" s="392"/>
      <c r="W584" s="392"/>
      <c r="X584" s="392"/>
      <c r="Y584" s="392"/>
      <c r="Z584" s="392"/>
      <c r="AA584" s="392"/>
      <c r="AB584" s="392"/>
      <c r="AC584" s="392"/>
      <c r="AD584" s="392"/>
      <c r="AE584" s="392"/>
      <c r="AF584" s="392"/>
      <c r="AG584" s="392"/>
      <c r="AH584" s="392"/>
      <c r="AI584" s="392"/>
      <c r="AJ584" s="392"/>
      <c r="AK584" s="392"/>
      <c r="AL584" s="392"/>
      <c r="AM584" s="392"/>
      <c r="AN584" s="392"/>
      <c r="AO584" s="392"/>
      <c r="AP584" s="392"/>
      <c r="AQ584" s="392"/>
      <c r="AR584" s="392"/>
      <c r="AS584" s="392"/>
      <c r="AT584" s="392"/>
      <c r="AU584" s="392"/>
      <c r="AV584" s="392"/>
      <c r="AW584" s="392"/>
      <c r="AX584" s="392"/>
      <c r="AY584" s="392"/>
      <c r="AZ584" s="392"/>
      <c r="BA584" s="392"/>
      <c r="BB584" s="392"/>
      <c r="BC584" s="392"/>
      <c r="BD584" s="392"/>
      <c r="BE584" s="392"/>
      <c r="BF584" s="392"/>
      <c r="BG584" s="392"/>
      <c r="BH584" s="392"/>
      <c r="BI584" s="392"/>
      <c r="BJ584" s="392"/>
      <c r="BK584" s="392"/>
      <c r="BL584" s="392"/>
      <c r="BM584" s="392"/>
      <c r="BN584" s="392"/>
      <c r="BO584" s="392"/>
      <c r="BP584" s="392"/>
      <c r="BQ584" s="392"/>
      <c r="BR584" s="392"/>
      <c r="BS584" s="392"/>
      <c r="BT584" s="392"/>
    </row>
    <row r="585" ht="15.75" customHeight="1">
      <c r="A585" s="216"/>
      <c r="B585" s="156"/>
      <c r="C585" s="156"/>
      <c r="D585" s="156"/>
      <c r="E585" s="392"/>
      <c r="F585" s="392"/>
      <c r="G585" s="392"/>
      <c r="H585" s="392"/>
      <c r="I585" s="392"/>
      <c r="J585" s="392"/>
      <c r="K585" s="392"/>
      <c r="L585" s="392"/>
      <c r="M585" s="392"/>
      <c r="N585" s="392"/>
      <c r="O585" s="392"/>
      <c r="P585" s="392"/>
      <c r="Q585" s="392"/>
      <c r="R585" s="392"/>
      <c r="S585" s="392"/>
      <c r="T585" s="392"/>
      <c r="U585" s="392"/>
      <c r="V585" s="392"/>
      <c r="W585" s="392"/>
      <c r="X585" s="392"/>
      <c r="Y585" s="392"/>
      <c r="Z585" s="392"/>
      <c r="AA585" s="392"/>
      <c r="AB585" s="392"/>
      <c r="AC585" s="392"/>
      <c r="AD585" s="392"/>
      <c r="AE585" s="392"/>
      <c r="AF585" s="392"/>
      <c r="AG585" s="392"/>
      <c r="AH585" s="392"/>
      <c r="AI585" s="392"/>
      <c r="AJ585" s="392"/>
      <c r="AK585" s="392"/>
      <c r="AL585" s="392"/>
      <c r="AM585" s="392"/>
      <c r="AN585" s="392"/>
      <c r="AO585" s="392"/>
      <c r="AP585" s="392"/>
      <c r="AQ585" s="392"/>
      <c r="AR585" s="392"/>
      <c r="AS585" s="392"/>
      <c r="AT585" s="392"/>
      <c r="AU585" s="392"/>
      <c r="AV585" s="392"/>
      <c r="AW585" s="392"/>
      <c r="AX585" s="392"/>
      <c r="AY585" s="392"/>
      <c r="AZ585" s="392"/>
      <c r="BA585" s="392"/>
      <c r="BB585" s="392"/>
      <c r="BC585" s="392"/>
      <c r="BD585" s="392"/>
      <c r="BE585" s="392"/>
      <c r="BF585" s="392"/>
      <c r="BG585" s="392"/>
      <c r="BH585" s="392"/>
      <c r="BI585" s="392"/>
      <c r="BJ585" s="392"/>
      <c r="BK585" s="392"/>
      <c r="BL585" s="392"/>
      <c r="BM585" s="392"/>
      <c r="BN585" s="392"/>
      <c r="BO585" s="392"/>
      <c r="BP585" s="392"/>
      <c r="BQ585" s="392"/>
      <c r="BR585" s="392"/>
      <c r="BS585" s="392"/>
      <c r="BT585" s="392"/>
    </row>
    <row r="586" ht="15.75" customHeight="1">
      <c r="A586" s="216"/>
      <c r="B586" s="156"/>
      <c r="C586" s="156"/>
      <c r="D586" s="156"/>
      <c r="E586" s="392"/>
      <c r="F586" s="392"/>
      <c r="G586" s="392"/>
      <c r="H586" s="392"/>
      <c r="I586" s="392"/>
      <c r="J586" s="392"/>
      <c r="K586" s="392"/>
      <c r="L586" s="392"/>
      <c r="M586" s="392"/>
      <c r="N586" s="392"/>
      <c r="O586" s="392"/>
      <c r="P586" s="392"/>
      <c r="Q586" s="392"/>
      <c r="R586" s="392"/>
      <c r="S586" s="392"/>
      <c r="T586" s="392"/>
      <c r="U586" s="392"/>
      <c r="V586" s="392"/>
      <c r="W586" s="392"/>
      <c r="X586" s="392"/>
      <c r="Y586" s="392"/>
      <c r="Z586" s="392"/>
      <c r="AA586" s="392"/>
      <c r="AB586" s="392"/>
      <c r="AC586" s="392"/>
      <c r="AD586" s="392"/>
      <c r="AE586" s="392"/>
      <c r="AF586" s="392"/>
      <c r="AG586" s="392"/>
      <c r="AH586" s="392"/>
      <c r="AI586" s="392"/>
      <c r="AJ586" s="392"/>
      <c r="AK586" s="392"/>
      <c r="AL586" s="392"/>
      <c r="AM586" s="392"/>
      <c r="AN586" s="392"/>
      <c r="AO586" s="392"/>
      <c r="AP586" s="392"/>
      <c r="AQ586" s="392"/>
      <c r="AR586" s="392"/>
      <c r="AS586" s="392"/>
      <c r="AT586" s="392"/>
      <c r="AU586" s="392"/>
      <c r="AV586" s="392"/>
      <c r="AW586" s="392"/>
      <c r="AX586" s="392"/>
      <c r="AY586" s="392"/>
      <c r="AZ586" s="392"/>
      <c r="BA586" s="392"/>
      <c r="BB586" s="392"/>
      <c r="BC586" s="392"/>
      <c r="BD586" s="392"/>
      <c r="BE586" s="392"/>
      <c r="BF586" s="392"/>
      <c r="BG586" s="392"/>
      <c r="BH586" s="392"/>
      <c r="BI586" s="392"/>
      <c r="BJ586" s="392"/>
      <c r="BK586" s="392"/>
      <c r="BL586" s="392"/>
      <c r="BM586" s="392"/>
      <c r="BN586" s="392"/>
      <c r="BO586" s="392"/>
      <c r="BP586" s="392"/>
      <c r="BQ586" s="392"/>
      <c r="BR586" s="392"/>
      <c r="BS586" s="392"/>
      <c r="BT586" s="392"/>
    </row>
    <row r="587" ht="15.75" customHeight="1">
      <c r="A587" s="216"/>
      <c r="B587" s="156"/>
      <c r="C587" s="156"/>
      <c r="D587" s="156"/>
      <c r="E587" s="392"/>
      <c r="F587" s="392"/>
      <c r="G587" s="392"/>
      <c r="H587" s="392"/>
      <c r="I587" s="392"/>
      <c r="J587" s="392"/>
      <c r="K587" s="392"/>
      <c r="L587" s="392"/>
      <c r="M587" s="392"/>
      <c r="N587" s="392"/>
      <c r="O587" s="392"/>
      <c r="P587" s="392"/>
      <c r="Q587" s="392"/>
      <c r="R587" s="392"/>
      <c r="S587" s="392"/>
      <c r="T587" s="392"/>
      <c r="U587" s="392"/>
      <c r="V587" s="392"/>
      <c r="W587" s="392"/>
      <c r="X587" s="392"/>
      <c r="Y587" s="392"/>
      <c r="Z587" s="392"/>
      <c r="AA587" s="392"/>
      <c r="AB587" s="392"/>
      <c r="AC587" s="392"/>
      <c r="AD587" s="392"/>
      <c r="AE587" s="392"/>
      <c r="AF587" s="392"/>
      <c r="AG587" s="392"/>
      <c r="AH587" s="392"/>
      <c r="AI587" s="392"/>
      <c r="AJ587" s="392"/>
      <c r="AK587" s="392"/>
      <c r="AL587" s="392"/>
      <c r="AM587" s="392"/>
      <c r="AN587" s="392"/>
      <c r="AO587" s="392"/>
      <c r="AP587" s="392"/>
      <c r="AQ587" s="392"/>
      <c r="AR587" s="392"/>
      <c r="AS587" s="392"/>
      <c r="AT587" s="392"/>
      <c r="AU587" s="392"/>
      <c r="AV587" s="392"/>
      <c r="AW587" s="392"/>
      <c r="AX587" s="392"/>
      <c r="AY587" s="392"/>
      <c r="AZ587" s="392"/>
      <c r="BA587" s="392"/>
      <c r="BB587" s="392"/>
      <c r="BC587" s="392"/>
      <c r="BD587" s="392"/>
      <c r="BE587" s="392"/>
      <c r="BF587" s="392"/>
      <c r="BG587" s="392"/>
      <c r="BH587" s="392"/>
      <c r="BI587" s="392"/>
      <c r="BJ587" s="392"/>
      <c r="BK587" s="392"/>
      <c r="BL587" s="392"/>
      <c r="BM587" s="392"/>
      <c r="BN587" s="392"/>
      <c r="BO587" s="392"/>
      <c r="BP587" s="392"/>
      <c r="BQ587" s="392"/>
      <c r="BR587" s="392"/>
      <c r="BS587" s="392"/>
      <c r="BT587" s="392"/>
    </row>
    <row r="588" ht="15.75" customHeight="1">
      <c r="A588" s="216"/>
      <c r="B588" s="156"/>
      <c r="C588" s="156"/>
      <c r="D588" s="156"/>
      <c r="E588" s="392"/>
      <c r="F588" s="392"/>
      <c r="G588" s="392"/>
      <c r="H588" s="392"/>
      <c r="I588" s="392"/>
      <c r="J588" s="392"/>
      <c r="K588" s="392"/>
      <c r="L588" s="392"/>
      <c r="M588" s="392"/>
      <c r="N588" s="392"/>
      <c r="O588" s="392"/>
      <c r="P588" s="392"/>
      <c r="Q588" s="392"/>
      <c r="R588" s="392"/>
      <c r="S588" s="392"/>
      <c r="T588" s="392"/>
      <c r="U588" s="392"/>
      <c r="V588" s="392"/>
      <c r="W588" s="392"/>
      <c r="X588" s="392"/>
      <c r="Y588" s="392"/>
      <c r="Z588" s="392"/>
      <c r="AA588" s="392"/>
      <c r="AB588" s="392"/>
      <c r="AC588" s="392"/>
      <c r="AD588" s="392"/>
      <c r="AE588" s="392"/>
      <c r="AF588" s="392"/>
      <c r="AG588" s="392"/>
      <c r="AH588" s="392"/>
      <c r="AI588" s="392"/>
      <c r="AJ588" s="392"/>
      <c r="AK588" s="392"/>
      <c r="AL588" s="392"/>
      <c r="AM588" s="392"/>
      <c r="AN588" s="392"/>
      <c r="AO588" s="392"/>
      <c r="AP588" s="392"/>
      <c r="AQ588" s="392"/>
      <c r="AR588" s="392"/>
      <c r="AS588" s="392"/>
      <c r="AT588" s="392"/>
      <c r="AU588" s="392"/>
      <c r="AV588" s="392"/>
      <c r="AW588" s="392"/>
      <c r="AX588" s="392"/>
      <c r="AY588" s="392"/>
      <c r="AZ588" s="392"/>
      <c r="BA588" s="392"/>
      <c r="BB588" s="392"/>
      <c r="BC588" s="392"/>
      <c r="BD588" s="392"/>
      <c r="BE588" s="392"/>
      <c r="BF588" s="392"/>
      <c r="BG588" s="392"/>
      <c r="BH588" s="392"/>
      <c r="BI588" s="392"/>
      <c r="BJ588" s="392"/>
      <c r="BK588" s="392"/>
      <c r="BL588" s="392"/>
      <c r="BM588" s="392"/>
      <c r="BN588" s="392"/>
      <c r="BO588" s="392"/>
      <c r="BP588" s="392"/>
      <c r="BQ588" s="392"/>
      <c r="BR588" s="392"/>
      <c r="BS588" s="392"/>
      <c r="BT588" s="392"/>
    </row>
    <row r="589" ht="15.75" customHeight="1">
      <c r="A589" s="216"/>
      <c r="B589" s="156"/>
      <c r="C589" s="156"/>
      <c r="D589" s="156"/>
      <c r="E589" s="392"/>
      <c r="F589" s="392"/>
      <c r="G589" s="392"/>
      <c r="H589" s="392"/>
      <c r="I589" s="392"/>
      <c r="J589" s="392"/>
      <c r="K589" s="392"/>
      <c r="L589" s="392"/>
      <c r="M589" s="392"/>
      <c r="N589" s="392"/>
      <c r="O589" s="392"/>
      <c r="P589" s="392"/>
      <c r="Q589" s="392"/>
      <c r="R589" s="392"/>
      <c r="S589" s="392"/>
      <c r="T589" s="392"/>
      <c r="U589" s="392"/>
      <c r="V589" s="392"/>
      <c r="W589" s="392"/>
      <c r="X589" s="392"/>
      <c r="Y589" s="392"/>
      <c r="Z589" s="392"/>
      <c r="AA589" s="392"/>
      <c r="AB589" s="392"/>
      <c r="AC589" s="392"/>
      <c r="AD589" s="392"/>
      <c r="AE589" s="392"/>
      <c r="AF589" s="392"/>
      <c r="AG589" s="392"/>
      <c r="AH589" s="392"/>
      <c r="AI589" s="392"/>
      <c r="AJ589" s="392"/>
      <c r="AK589" s="392"/>
      <c r="AL589" s="392"/>
      <c r="AM589" s="392"/>
      <c r="AN589" s="392"/>
      <c r="AO589" s="392"/>
      <c r="AP589" s="392"/>
      <c r="AQ589" s="392"/>
      <c r="AR589" s="392"/>
      <c r="AS589" s="392"/>
      <c r="AT589" s="392"/>
      <c r="AU589" s="392"/>
      <c r="AV589" s="392"/>
      <c r="AW589" s="392"/>
      <c r="AX589" s="392"/>
      <c r="AY589" s="392"/>
      <c r="AZ589" s="392"/>
      <c r="BA589" s="392"/>
      <c r="BB589" s="392"/>
      <c r="BC589" s="392"/>
      <c r="BD589" s="392"/>
      <c r="BE589" s="392"/>
      <c r="BF589" s="392"/>
      <c r="BG589" s="392"/>
      <c r="BH589" s="392"/>
      <c r="BI589" s="392"/>
      <c r="BJ589" s="392"/>
      <c r="BK589" s="392"/>
      <c r="BL589" s="392"/>
      <c r="BM589" s="392"/>
      <c r="BN589" s="392"/>
      <c r="BO589" s="392"/>
      <c r="BP589" s="392"/>
      <c r="BQ589" s="392"/>
      <c r="BR589" s="392"/>
      <c r="BS589" s="392"/>
      <c r="BT589" s="392"/>
    </row>
    <row r="590" ht="15.75" customHeight="1">
      <c r="A590" s="216"/>
      <c r="B590" s="156"/>
      <c r="C590" s="156"/>
      <c r="D590" s="156"/>
      <c r="E590" s="392"/>
      <c r="F590" s="392"/>
      <c r="G590" s="392"/>
      <c r="H590" s="392"/>
      <c r="I590" s="392"/>
      <c r="J590" s="392"/>
      <c r="K590" s="392"/>
      <c r="L590" s="392"/>
      <c r="M590" s="392"/>
      <c r="N590" s="392"/>
      <c r="O590" s="392"/>
      <c r="P590" s="392"/>
      <c r="Q590" s="392"/>
      <c r="R590" s="392"/>
      <c r="S590" s="392"/>
      <c r="T590" s="392"/>
      <c r="U590" s="392"/>
      <c r="V590" s="392"/>
      <c r="W590" s="392"/>
      <c r="X590" s="392"/>
      <c r="Y590" s="392"/>
      <c r="Z590" s="392"/>
      <c r="AA590" s="392"/>
      <c r="AB590" s="392"/>
      <c r="AC590" s="392"/>
      <c r="AD590" s="392"/>
      <c r="AE590" s="392"/>
      <c r="AF590" s="392"/>
      <c r="AG590" s="392"/>
      <c r="AH590" s="392"/>
      <c r="AI590" s="392"/>
      <c r="AJ590" s="392"/>
      <c r="AK590" s="392"/>
      <c r="AL590" s="392"/>
      <c r="AM590" s="392"/>
      <c r="AN590" s="392"/>
      <c r="AO590" s="392"/>
      <c r="AP590" s="392"/>
      <c r="AQ590" s="392"/>
      <c r="AR590" s="392"/>
      <c r="AS590" s="392"/>
      <c r="AT590" s="392"/>
      <c r="AU590" s="392"/>
      <c r="AV590" s="392"/>
      <c r="AW590" s="392"/>
      <c r="AX590" s="392"/>
      <c r="AY590" s="392"/>
      <c r="AZ590" s="392"/>
      <c r="BA590" s="392"/>
      <c r="BB590" s="392"/>
      <c r="BC590" s="392"/>
      <c r="BD590" s="392"/>
      <c r="BE590" s="392"/>
      <c r="BF590" s="392"/>
      <c r="BG590" s="392"/>
      <c r="BH590" s="392"/>
      <c r="BI590" s="392"/>
      <c r="BJ590" s="392"/>
      <c r="BK590" s="392"/>
      <c r="BL590" s="392"/>
      <c r="BM590" s="392"/>
      <c r="BN590" s="392"/>
      <c r="BO590" s="392"/>
      <c r="BP590" s="392"/>
      <c r="BQ590" s="392"/>
      <c r="BR590" s="392"/>
      <c r="BS590" s="392"/>
      <c r="BT590" s="392"/>
    </row>
    <row r="591" ht="15.75" customHeight="1">
      <c r="A591" s="216"/>
      <c r="B591" s="156"/>
      <c r="C591" s="156"/>
      <c r="D591" s="156"/>
      <c r="E591" s="392"/>
      <c r="F591" s="392"/>
      <c r="G591" s="392"/>
      <c r="H591" s="392"/>
      <c r="I591" s="392"/>
      <c r="J591" s="392"/>
      <c r="K591" s="392"/>
      <c r="L591" s="392"/>
      <c r="M591" s="392"/>
      <c r="N591" s="392"/>
      <c r="O591" s="392"/>
      <c r="P591" s="392"/>
      <c r="Q591" s="392"/>
      <c r="R591" s="392"/>
      <c r="S591" s="392"/>
      <c r="T591" s="392"/>
      <c r="U591" s="392"/>
      <c r="V591" s="392"/>
      <c r="W591" s="392"/>
      <c r="X591" s="392"/>
      <c r="Y591" s="392"/>
      <c r="Z591" s="392"/>
      <c r="AA591" s="392"/>
      <c r="AB591" s="392"/>
      <c r="AC591" s="392"/>
      <c r="AD591" s="392"/>
      <c r="AE591" s="392"/>
      <c r="AF591" s="392"/>
      <c r="AG591" s="392"/>
      <c r="AH591" s="392"/>
      <c r="AI591" s="392"/>
      <c r="AJ591" s="392"/>
      <c r="AK591" s="392"/>
      <c r="AL591" s="392"/>
      <c r="AM591" s="392"/>
      <c r="AN591" s="392"/>
      <c r="AO591" s="392"/>
      <c r="AP591" s="392"/>
      <c r="AQ591" s="392"/>
      <c r="AR591" s="392"/>
      <c r="AS591" s="392"/>
      <c r="AT591" s="392"/>
      <c r="AU591" s="392"/>
      <c r="AV591" s="392"/>
      <c r="AW591" s="392"/>
      <c r="AX591" s="392"/>
      <c r="AY591" s="392"/>
      <c r="AZ591" s="392"/>
      <c r="BA591" s="392"/>
      <c r="BB591" s="392"/>
      <c r="BC591" s="392"/>
      <c r="BD591" s="392"/>
      <c r="BE591" s="392"/>
      <c r="BF591" s="392"/>
      <c r="BG591" s="392"/>
      <c r="BH591" s="392"/>
      <c r="BI591" s="392"/>
      <c r="BJ591" s="392"/>
      <c r="BK591" s="392"/>
      <c r="BL591" s="392"/>
      <c r="BM591" s="392"/>
      <c r="BN591" s="392"/>
      <c r="BO591" s="392"/>
      <c r="BP591" s="392"/>
      <c r="BQ591" s="392"/>
      <c r="BR591" s="392"/>
      <c r="BS591" s="392"/>
      <c r="BT591" s="392"/>
    </row>
    <row r="592" ht="15.75" customHeight="1">
      <c r="A592" s="216"/>
      <c r="B592" s="156"/>
      <c r="C592" s="156"/>
      <c r="D592" s="156"/>
      <c r="E592" s="392"/>
      <c r="F592" s="392"/>
      <c r="G592" s="392"/>
      <c r="H592" s="392"/>
      <c r="I592" s="392"/>
      <c r="J592" s="392"/>
      <c r="K592" s="392"/>
      <c r="L592" s="392"/>
      <c r="M592" s="392"/>
      <c r="N592" s="392"/>
      <c r="O592" s="392"/>
      <c r="P592" s="392"/>
      <c r="Q592" s="392"/>
      <c r="R592" s="392"/>
      <c r="S592" s="392"/>
      <c r="T592" s="392"/>
      <c r="U592" s="392"/>
      <c r="V592" s="392"/>
      <c r="W592" s="392"/>
      <c r="X592" s="392"/>
      <c r="Y592" s="392"/>
      <c r="Z592" s="392"/>
      <c r="AA592" s="392"/>
      <c r="AB592" s="392"/>
      <c r="AC592" s="392"/>
      <c r="AD592" s="392"/>
      <c r="AE592" s="392"/>
      <c r="AF592" s="392"/>
      <c r="AG592" s="392"/>
      <c r="AH592" s="392"/>
      <c r="AI592" s="392"/>
      <c r="AJ592" s="392"/>
      <c r="AK592" s="392"/>
      <c r="AL592" s="392"/>
      <c r="AM592" s="392"/>
      <c r="AN592" s="392"/>
      <c r="AO592" s="392"/>
      <c r="AP592" s="392"/>
      <c r="AQ592" s="392"/>
      <c r="AR592" s="392"/>
      <c r="AS592" s="392"/>
      <c r="AT592" s="392"/>
      <c r="AU592" s="392"/>
      <c r="AV592" s="392"/>
      <c r="AW592" s="392"/>
      <c r="AX592" s="392"/>
      <c r="AY592" s="392"/>
      <c r="AZ592" s="392"/>
      <c r="BA592" s="392"/>
      <c r="BB592" s="392"/>
      <c r="BC592" s="392"/>
      <c r="BD592" s="392"/>
      <c r="BE592" s="392"/>
      <c r="BF592" s="392"/>
      <c r="BG592" s="392"/>
      <c r="BH592" s="392"/>
      <c r="BI592" s="392"/>
      <c r="BJ592" s="392"/>
      <c r="BK592" s="392"/>
      <c r="BL592" s="392"/>
      <c r="BM592" s="392"/>
      <c r="BN592" s="392"/>
      <c r="BO592" s="392"/>
      <c r="BP592" s="392"/>
      <c r="BQ592" s="392"/>
      <c r="BR592" s="392"/>
      <c r="BS592" s="392"/>
      <c r="BT592" s="392"/>
    </row>
    <row r="593" ht="15.75" customHeight="1">
      <c r="A593" s="216"/>
      <c r="B593" s="156"/>
      <c r="C593" s="156"/>
      <c r="D593" s="156"/>
      <c r="E593" s="392"/>
      <c r="F593" s="392"/>
      <c r="G593" s="392"/>
      <c r="H593" s="392"/>
      <c r="I593" s="392"/>
      <c r="J593" s="392"/>
      <c r="K593" s="392"/>
      <c r="L593" s="392"/>
      <c r="M593" s="392"/>
      <c r="N593" s="392"/>
      <c r="O593" s="392"/>
      <c r="P593" s="392"/>
      <c r="Q593" s="392"/>
      <c r="R593" s="392"/>
      <c r="S593" s="392"/>
      <c r="T593" s="392"/>
      <c r="U593" s="392"/>
      <c r="V593" s="392"/>
      <c r="W593" s="392"/>
      <c r="X593" s="392"/>
      <c r="Y593" s="392"/>
      <c r="Z593" s="392"/>
      <c r="AA593" s="392"/>
      <c r="AB593" s="392"/>
      <c r="AC593" s="392"/>
      <c r="AD593" s="392"/>
      <c r="AE593" s="392"/>
      <c r="AF593" s="392"/>
      <c r="AG593" s="392"/>
      <c r="AH593" s="392"/>
      <c r="AI593" s="392"/>
      <c r="AJ593" s="392"/>
      <c r="AK593" s="392"/>
      <c r="AL593" s="392"/>
      <c r="AM593" s="392"/>
      <c r="AN593" s="392"/>
      <c r="AO593" s="392"/>
      <c r="AP593" s="392"/>
      <c r="AQ593" s="392"/>
      <c r="AR593" s="392"/>
      <c r="AS593" s="392"/>
      <c r="AT593" s="392"/>
      <c r="AU593" s="392"/>
      <c r="AV593" s="392"/>
      <c r="AW593" s="392"/>
      <c r="AX593" s="392"/>
      <c r="AY593" s="392"/>
      <c r="AZ593" s="392"/>
      <c r="BA593" s="392"/>
      <c r="BB593" s="392"/>
      <c r="BC593" s="392"/>
      <c r="BD593" s="392"/>
      <c r="BE593" s="392"/>
      <c r="BF593" s="392"/>
      <c r="BG593" s="392"/>
      <c r="BH593" s="392"/>
      <c r="BI593" s="392"/>
      <c r="BJ593" s="392"/>
      <c r="BK593" s="392"/>
      <c r="BL593" s="392"/>
      <c r="BM593" s="392"/>
      <c r="BN593" s="392"/>
      <c r="BO593" s="392"/>
      <c r="BP593" s="392"/>
      <c r="BQ593" s="392"/>
      <c r="BR593" s="392"/>
      <c r="BS593" s="392"/>
      <c r="BT593" s="392"/>
    </row>
    <row r="594" ht="15.75" customHeight="1">
      <c r="A594" s="216"/>
      <c r="B594" s="156"/>
      <c r="C594" s="156"/>
      <c r="D594" s="156"/>
      <c r="E594" s="392"/>
      <c r="F594" s="392"/>
      <c r="G594" s="392"/>
      <c r="H594" s="392"/>
      <c r="I594" s="392"/>
      <c r="J594" s="392"/>
      <c r="K594" s="392"/>
      <c r="L594" s="392"/>
      <c r="M594" s="392"/>
      <c r="N594" s="392"/>
      <c r="O594" s="392"/>
      <c r="P594" s="392"/>
      <c r="Q594" s="392"/>
      <c r="R594" s="392"/>
      <c r="S594" s="392"/>
      <c r="T594" s="392"/>
      <c r="U594" s="392"/>
      <c r="V594" s="392"/>
      <c r="W594" s="392"/>
      <c r="X594" s="392"/>
      <c r="Y594" s="392"/>
      <c r="Z594" s="392"/>
      <c r="AA594" s="392"/>
      <c r="AB594" s="392"/>
      <c r="AC594" s="392"/>
      <c r="AD594" s="392"/>
      <c r="AE594" s="392"/>
      <c r="AF594" s="392"/>
      <c r="AG594" s="392"/>
      <c r="AH594" s="392"/>
      <c r="AI594" s="392"/>
      <c r="AJ594" s="392"/>
      <c r="AK594" s="392"/>
      <c r="AL594" s="392"/>
      <c r="AM594" s="392"/>
      <c r="AN594" s="392"/>
      <c r="AO594" s="392"/>
      <c r="AP594" s="392"/>
      <c r="AQ594" s="392"/>
      <c r="AR594" s="392"/>
      <c r="AS594" s="392"/>
      <c r="AT594" s="392"/>
      <c r="AU594" s="392"/>
      <c r="AV594" s="392"/>
      <c r="AW594" s="392"/>
      <c r="AX594" s="392"/>
      <c r="AY594" s="392"/>
      <c r="AZ594" s="392"/>
      <c r="BA594" s="392"/>
      <c r="BB594" s="392"/>
      <c r="BC594" s="392"/>
      <c r="BD594" s="392"/>
      <c r="BE594" s="392"/>
      <c r="BF594" s="392"/>
      <c r="BG594" s="392"/>
      <c r="BH594" s="392"/>
      <c r="BI594" s="392"/>
      <c r="BJ594" s="392"/>
      <c r="BK594" s="392"/>
      <c r="BL594" s="392"/>
      <c r="BM594" s="392"/>
      <c r="BN594" s="392"/>
      <c r="BO594" s="392"/>
      <c r="BP594" s="392"/>
      <c r="BQ594" s="392"/>
      <c r="BR594" s="392"/>
      <c r="BS594" s="392"/>
      <c r="BT594" s="392"/>
    </row>
    <row r="595" ht="15.75" customHeight="1">
      <c r="A595" s="216"/>
      <c r="B595" s="156"/>
      <c r="C595" s="156"/>
      <c r="D595" s="156"/>
      <c r="E595" s="392"/>
      <c r="F595" s="392"/>
      <c r="G595" s="392"/>
      <c r="H595" s="392"/>
      <c r="I595" s="392"/>
      <c r="J595" s="392"/>
      <c r="K595" s="392"/>
      <c r="L595" s="392"/>
      <c r="M595" s="392"/>
      <c r="N595" s="392"/>
      <c r="O595" s="392"/>
      <c r="P595" s="392"/>
      <c r="Q595" s="392"/>
      <c r="R595" s="392"/>
      <c r="S595" s="392"/>
      <c r="T595" s="392"/>
      <c r="U595" s="392"/>
      <c r="V595" s="392"/>
      <c r="W595" s="392"/>
      <c r="X595" s="392"/>
      <c r="Y595" s="392"/>
      <c r="Z595" s="392"/>
      <c r="AA595" s="392"/>
      <c r="AB595" s="392"/>
      <c r="AC595" s="392"/>
      <c r="AD595" s="392"/>
      <c r="AE595" s="392"/>
      <c r="AF595" s="392"/>
      <c r="AG595" s="392"/>
      <c r="AH595" s="392"/>
      <c r="AI595" s="392"/>
      <c r="AJ595" s="392"/>
      <c r="AK595" s="392"/>
      <c r="AL595" s="392"/>
      <c r="AM595" s="392"/>
      <c r="AN595" s="392"/>
      <c r="AO595" s="392"/>
      <c r="AP595" s="392"/>
      <c r="AQ595" s="392"/>
      <c r="AR595" s="392"/>
      <c r="AS595" s="392"/>
      <c r="AT595" s="392"/>
      <c r="AU595" s="392"/>
      <c r="AV595" s="392"/>
      <c r="AW595" s="392"/>
      <c r="AX595" s="392"/>
      <c r="AY595" s="392"/>
      <c r="AZ595" s="392"/>
      <c r="BA595" s="392"/>
      <c r="BB595" s="392"/>
      <c r="BC595" s="392"/>
      <c r="BD595" s="392"/>
      <c r="BE595" s="392"/>
      <c r="BF595" s="392"/>
      <c r="BG595" s="392"/>
      <c r="BH595" s="392"/>
      <c r="BI595" s="392"/>
      <c r="BJ595" s="392"/>
      <c r="BK595" s="392"/>
      <c r="BL595" s="392"/>
      <c r="BM595" s="392"/>
      <c r="BN595" s="392"/>
      <c r="BO595" s="392"/>
      <c r="BP595" s="392"/>
      <c r="BQ595" s="392"/>
      <c r="BR595" s="392"/>
      <c r="BS595" s="392"/>
      <c r="BT595" s="392"/>
    </row>
    <row r="596" ht="15.75" customHeight="1">
      <c r="A596" s="216"/>
      <c r="B596" s="156"/>
      <c r="C596" s="156"/>
      <c r="D596" s="156"/>
      <c r="E596" s="392"/>
      <c r="F596" s="392"/>
      <c r="G596" s="392"/>
      <c r="H596" s="392"/>
      <c r="I596" s="392"/>
      <c r="J596" s="392"/>
      <c r="K596" s="392"/>
      <c r="L596" s="392"/>
      <c r="M596" s="392"/>
      <c r="N596" s="392"/>
      <c r="O596" s="392"/>
      <c r="P596" s="392"/>
      <c r="Q596" s="392"/>
      <c r="R596" s="392"/>
      <c r="S596" s="392"/>
      <c r="T596" s="392"/>
      <c r="U596" s="392"/>
      <c r="V596" s="392"/>
      <c r="W596" s="392"/>
      <c r="X596" s="392"/>
      <c r="Y596" s="392"/>
      <c r="Z596" s="392"/>
      <c r="AA596" s="392"/>
      <c r="AB596" s="392"/>
      <c r="AC596" s="392"/>
      <c r="AD596" s="392"/>
      <c r="AE596" s="392"/>
      <c r="AF596" s="392"/>
      <c r="AG596" s="392"/>
      <c r="AH596" s="392"/>
      <c r="AI596" s="392"/>
      <c r="AJ596" s="392"/>
      <c r="AK596" s="392"/>
      <c r="AL596" s="392"/>
      <c r="AM596" s="392"/>
      <c r="AN596" s="392"/>
      <c r="AO596" s="392"/>
      <c r="AP596" s="392"/>
      <c r="AQ596" s="392"/>
      <c r="AR596" s="392"/>
      <c r="AS596" s="392"/>
      <c r="AT596" s="392"/>
      <c r="AU596" s="392"/>
      <c r="AV596" s="392"/>
      <c r="AW596" s="392"/>
      <c r="AX596" s="392"/>
      <c r="AY596" s="392"/>
      <c r="AZ596" s="392"/>
      <c r="BA596" s="392"/>
      <c r="BB596" s="392"/>
      <c r="BC596" s="392"/>
      <c r="BD596" s="392"/>
      <c r="BE596" s="392"/>
      <c r="BF596" s="392"/>
      <c r="BG596" s="392"/>
      <c r="BH596" s="392"/>
      <c r="BI596" s="392"/>
      <c r="BJ596" s="392"/>
      <c r="BK596" s="392"/>
      <c r="BL596" s="392"/>
      <c r="BM596" s="392"/>
      <c r="BN596" s="392"/>
      <c r="BO596" s="392"/>
      <c r="BP596" s="392"/>
      <c r="BQ596" s="392"/>
      <c r="BR596" s="392"/>
      <c r="BS596" s="392"/>
      <c r="BT596" s="392"/>
    </row>
    <row r="597" ht="15.75" customHeight="1">
      <c r="A597" s="216"/>
      <c r="B597" s="156"/>
      <c r="C597" s="156"/>
      <c r="D597" s="156"/>
      <c r="E597" s="392"/>
      <c r="F597" s="392"/>
      <c r="G597" s="392"/>
      <c r="H597" s="392"/>
      <c r="I597" s="392"/>
      <c r="J597" s="392"/>
      <c r="K597" s="392"/>
      <c r="L597" s="392"/>
      <c r="M597" s="392"/>
      <c r="N597" s="392"/>
      <c r="O597" s="392"/>
      <c r="P597" s="392"/>
      <c r="Q597" s="392"/>
      <c r="R597" s="392"/>
      <c r="S597" s="392"/>
      <c r="T597" s="392"/>
      <c r="U597" s="392"/>
      <c r="V597" s="392"/>
      <c r="W597" s="392"/>
      <c r="X597" s="392"/>
      <c r="Y597" s="392"/>
      <c r="Z597" s="392"/>
      <c r="AA597" s="392"/>
      <c r="AB597" s="392"/>
      <c r="AC597" s="392"/>
      <c r="AD597" s="392"/>
      <c r="AE597" s="392"/>
      <c r="AF597" s="392"/>
      <c r="AG597" s="392"/>
      <c r="AH597" s="392"/>
      <c r="AI597" s="392"/>
      <c r="AJ597" s="392"/>
      <c r="AK597" s="392"/>
      <c r="AL597" s="392"/>
      <c r="AM597" s="392"/>
      <c r="AN597" s="392"/>
      <c r="AO597" s="392"/>
      <c r="AP597" s="392"/>
      <c r="AQ597" s="392"/>
      <c r="AR597" s="392"/>
      <c r="AS597" s="392"/>
      <c r="AT597" s="392"/>
      <c r="AU597" s="392"/>
      <c r="AV597" s="392"/>
      <c r="AW597" s="392"/>
      <c r="AX597" s="392"/>
      <c r="AY597" s="392"/>
      <c r="AZ597" s="392"/>
      <c r="BA597" s="392"/>
      <c r="BB597" s="392"/>
      <c r="BC597" s="392"/>
      <c r="BD597" s="392"/>
      <c r="BE597" s="392"/>
      <c r="BF597" s="392"/>
      <c r="BG597" s="392"/>
      <c r="BH597" s="392"/>
      <c r="BI597" s="392"/>
      <c r="BJ597" s="392"/>
      <c r="BK597" s="392"/>
      <c r="BL597" s="392"/>
      <c r="BM597" s="392"/>
      <c r="BN597" s="392"/>
      <c r="BO597" s="392"/>
      <c r="BP597" s="392"/>
      <c r="BQ597" s="392"/>
      <c r="BR597" s="392"/>
      <c r="BS597" s="392"/>
      <c r="BT597" s="392"/>
    </row>
    <row r="598" ht="15.75" customHeight="1">
      <c r="A598" s="216"/>
      <c r="B598" s="156"/>
      <c r="C598" s="156"/>
      <c r="D598" s="156"/>
      <c r="E598" s="392"/>
      <c r="F598" s="392"/>
      <c r="G598" s="392"/>
      <c r="H598" s="392"/>
      <c r="I598" s="392"/>
      <c r="J598" s="392"/>
      <c r="K598" s="392"/>
      <c r="L598" s="392"/>
      <c r="M598" s="392"/>
      <c r="N598" s="392"/>
      <c r="O598" s="392"/>
      <c r="P598" s="392"/>
      <c r="Q598" s="392"/>
      <c r="R598" s="392"/>
      <c r="S598" s="392"/>
      <c r="T598" s="392"/>
      <c r="U598" s="392"/>
      <c r="V598" s="392"/>
      <c r="W598" s="392"/>
      <c r="X598" s="392"/>
      <c r="Y598" s="392"/>
      <c r="Z598" s="392"/>
      <c r="AA598" s="392"/>
      <c r="AB598" s="392"/>
      <c r="AC598" s="392"/>
      <c r="AD598" s="392"/>
      <c r="AE598" s="392"/>
      <c r="AF598" s="392"/>
      <c r="AG598" s="392"/>
      <c r="AH598" s="392"/>
      <c r="AI598" s="392"/>
      <c r="AJ598" s="392"/>
      <c r="AK598" s="392"/>
      <c r="AL598" s="392"/>
      <c r="AM598" s="392"/>
      <c r="AN598" s="392"/>
      <c r="AO598" s="392"/>
      <c r="AP598" s="392"/>
      <c r="AQ598" s="392"/>
      <c r="AR598" s="392"/>
      <c r="AS598" s="392"/>
      <c r="AT598" s="392"/>
      <c r="AU598" s="392"/>
      <c r="AV598" s="392"/>
      <c r="AW598" s="392"/>
      <c r="AX598" s="392"/>
      <c r="AY598" s="392"/>
      <c r="AZ598" s="392"/>
      <c r="BA598" s="392"/>
      <c r="BB598" s="392"/>
      <c r="BC598" s="392"/>
      <c r="BD598" s="392"/>
      <c r="BE598" s="392"/>
      <c r="BF598" s="392"/>
      <c r="BG598" s="392"/>
      <c r="BH598" s="392"/>
      <c r="BI598" s="392"/>
      <c r="BJ598" s="392"/>
      <c r="BK598" s="392"/>
      <c r="BL598" s="392"/>
      <c r="BM598" s="392"/>
      <c r="BN598" s="392"/>
      <c r="BO598" s="392"/>
      <c r="BP598" s="392"/>
      <c r="BQ598" s="392"/>
      <c r="BR598" s="392"/>
      <c r="BS598" s="392"/>
      <c r="BT598" s="392"/>
    </row>
    <row r="599" ht="15.75" customHeight="1">
      <c r="A599" s="216"/>
      <c r="B599" s="156"/>
      <c r="C599" s="156"/>
      <c r="D599" s="156"/>
      <c r="E599" s="392"/>
      <c r="F599" s="392"/>
      <c r="G599" s="392"/>
      <c r="H599" s="392"/>
      <c r="I599" s="392"/>
      <c r="J599" s="392"/>
      <c r="K599" s="392"/>
      <c r="L599" s="392"/>
      <c r="M599" s="392"/>
      <c r="N599" s="392"/>
      <c r="O599" s="392"/>
      <c r="P599" s="392"/>
      <c r="Q599" s="392"/>
      <c r="R599" s="392"/>
      <c r="S599" s="392"/>
      <c r="T599" s="392"/>
      <c r="U599" s="392"/>
      <c r="V599" s="392"/>
      <c r="W599" s="392"/>
      <c r="X599" s="392"/>
      <c r="Y599" s="392"/>
      <c r="Z599" s="392"/>
      <c r="AA599" s="392"/>
      <c r="AB599" s="392"/>
      <c r="AC599" s="392"/>
      <c r="AD599" s="392"/>
      <c r="AE599" s="392"/>
      <c r="AF599" s="392"/>
      <c r="AG599" s="392"/>
      <c r="AH599" s="392"/>
      <c r="AI599" s="392"/>
      <c r="AJ599" s="392"/>
      <c r="AK599" s="392"/>
      <c r="AL599" s="392"/>
      <c r="AM599" s="392"/>
      <c r="AN599" s="392"/>
      <c r="AO599" s="392"/>
      <c r="AP599" s="392"/>
      <c r="AQ599" s="392"/>
      <c r="AR599" s="392"/>
      <c r="AS599" s="392"/>
      <c r="AT599" s="392"/>
      <c r="AU599" s="392"/>
      <c r="AV599" s="392"/>
      <c r="AW599" s="392"/>
      <c r="AX599" s="392"/>
      <c r="AY599" s="392"/>
      <c r="AZ599" s="392"/>
      <c r="BA599" s="392"/>
      <c r="BB599" s="392"/>
      <c r="BC599" s="392"/>
      <c r="BD599" s="392"/>
      <c r="BE599" s="392"/>
      <c r="BF599" s="392"/>
      <c r="BG599" s="392"/>
      <c r="BH599" s="392"/>
      <c r="BI599" s="392"/>
      <c r="BJ599" s="392"/>
      <c r="BK599" s="392"/>
      <c r="BL599" s="392"/>
      <c r="BM599" s="392"/>
      <c r="BN599" s="392"/>
      <c r="BO599" s="392"/>
      <c r="BP599" s="392"/>
      <c r="BQ599" s="392"/>
      <c r="BR599" s="392"/>
      <c r="BS599" s="392"/>
      <c r="BT599" s="392"/>
    </row>
    <row r="600" ht="15.75" customHeight="1">
      <c r="A600" s="216"/>
      <c r="B600" s="156"/>
      <c r="C600" s="156"/>
      <c r="D600" s="156"/>
      <c r="E600" s="392"/>
      <c r="F600" s="392"/>
      <c r="G600" s="392"/>
      <c r="H600" s="392"/>
      <c r="I600" s="392"/>
      <c r="J600" s="392"/>
      <c r="K600" s="392"/>
      <c r="L600" s="392"/>
      <c r="M600" s="392"/>
      <c r="N600" s="392"/>
      <c r="O600" s="392"/>
      <c r="P600" s="392"/>
      <c r="Q600" s="392"/>
      <c r="R600" s="392"/>
      <c r="S600" s="392"/>
      <c r="T600" s="392"/>
      <c r="U600" s="392"/>
      <c r="V600" s="392"/>
      <c r="W600" s="392"/>
      <c r="X600" s="392"/>
      <c r="Y600" s="392"/>
      <c r="Z600" s="392"/>
      <c r="AA600" s="392"/>
      <c r="AB600" s="392"/>
      <c r="AC600" s="392"/>
      <c r="AD600" s="392"/>
      <c r="AE600" s="392"/>
      <c r="AF600" s="392"/>
      <c r="AG600" s="392"/>
      <c r="AH600" s="392"/>
      <c r="AI600" s="392"/>
      <c r="AJ600" s="392"/>
      <c r="AK600" s="392"/>
      <c r="AL600" s="392"/>
      <c r="AM600" s="392"/>
      <c r="AN600" s="392"/>
      <c r="AO600" s="392"/>
      <c r="AP600" s="392"/>
      <c r="AQ600" s="392"/>
      <c r="AR600" s="392"/>
      <c r="AS600" s="392"/>
      <c r="AT600" s="392"/>
      <c r="AU600" s="392"/>
      <c r="AV600" s="392"/>
      <c r="AW600" s="392"/>
      <c r="AX600" s="392"/>
      <c r="AY600" s="392"/>
      <c r="AZ600" s="392"/>
      <c r="BA600" s="392"/>
      <c r="BB600" s="392"/>
      <c r="BC600" s="392"/>
      <c r="BD600" s="392"/>
      <c r="BE600" s="392"/>
      <c r="BF600" s="392"/>
      <c r="BG600" s="392"/>
      <c r="BH600" s="392"/>
      <c r="BI600" s="392"/>
      <c r="BJ600" s="392"/>
      <c r="BK600" s="392"/>
      <c r="BL600" s="392"/>
      <c r="BM600" s="392"/>
      <c r="BN600" s="392"/>
      <c r="BO600" s="392"/>
      <c r="BP600" s="392"/>
      <c r="BQ600" s="392"/>
      <c r="BR600" s="392"/>
      <c r="BS600" s="392"/>
      <c r="BT600" s="392"/>
    </row>
    <row r="601" ht="15.75" customHeight="1">
      <c r="A601" s="216"/>
      <c r="B601" s="156"/>
      <c r="C601" s="156"/>
      <c r="D601" s="156"/>
      <c r="E601" s="392"/>
      <c r="F601" s="392"/>
      <c r="G601" s="392"/>
      <c r="H601" s="392"/>
      <c r="I601" s="392"/>
      <c r="J601" s="392"/>
      <c r="K601" s="392"/>
      <c r="L601" s="392"/>
      <c r="M601" s="392"/>
      <c r="N601" s="392"/>
      <c r="O601" s="392"/>
      <c r="P601" s="392"/>
      <c r="Q601" s="392"/>
      <c r="R601" s="392"/>
      <c r="S601" s="392"/>
      <c r="T601" s="392"/>
      <c r="U601" s="392"/>
      <c r="V601" s="392"/>
      <c r="W601" s="392"/>
      <c r="X601" s="392"/>
      <c r="Y601" s="392"/>
      <c r="Z601" s="392"/>
      <c r="AA601" s="392"/>
      <c r="AB601" s="392"/>
      <c r="AC601" s="392"/>
      <c r="AD601" s="392"/>
      <c r="AE601" s="392"/>
      <c r="AF601" s="392"/>
      <c r="AG601" s="392"/>
      <c r="AH601" s="392"/>
      <c r="AI601" s="392"/>
      <c r="AJ601" s="392"/>
      <c r="AK601" s="392"/>
      <c r="AL601" s="392"/>
      <c r="AM601" s="392"/>
      <c r="AN601" s="392"/>
      <c r="AO601" s="392"/>
      <c r="AP601" s="392"/>
      <c r="AQ601" s="392"/>
      <c r="AR601" s="392"/>
      <c r="AS601" s="392"/>
      <c r="AT601" s="392"/>
      <c r="AU601" s="392"/>
      <c r="AV601" s="392"/>
      <c r="AW601" s="392"/>
      <c r="AX601" s="392"/>
      <c r="AY601" s="392"/>
      <c r="AZ601" s="392"/>
      <c r="BA601" s="392"/>
      <c r="BB601" s="392"/>
      <c r="BC601" s="392"/>
      <c r="BD601" s="392"/>
      <c r="BE601" s="392"/>
      <c r="BF601" s="392"/>
      <c r="BG601" s="392"/>
      <c r="BH601" s="392"/>
      <c r="BI601" s="392"/>
      <c r="BJ601" s="392"/>
      <c r="BK601" s="392"/>
      <c r="BL601" s="392"/>
      <c r="BM601" s="392"/>
      <c r="BN601" s="392"/>
      <c r="BO601" s="392"/>
      <c r="BP601" s="392"/>
      <c r="BQ601" s="392"/>
      <c r="BR601" s="392"/>
      <c r="BS601" s="392"/>
      <c r="BT601" s="392"/>
    </row>
    <row r="602" ht="15.75" customHeight="1">
      <c r="A602" s="216"/>
      <c r="B602" s="156"/>
      <c r="C602" s="156"/>
      <c r="D602" s="156"/>
      <c r="E602" s="392"/>
      <c r="F602" s="392"/>
      <c r="G602" s="392"/>
      <c r="H602" s="392"/>
      <c r="I602" s="392"/>
      <c r="J602" s="392"/>
      <c r="K602" s="392"/>
      <c r="L602" s="392"/>
      <c r="M602" s="392"/>
      <c r="N602" s="392"/>
      <c r="O602" s="392"/>
      <c r="P602" s="392"/>
      <c r="Q602" s="392"/>
      <c r="R602" s="392"/>
      <c r="S602" s="392"/>
      <c r="T602" s="392"/>
      <c r="U602" s="392"/>
      <c r="V602" s="392"/>
      <c r="W602" s="392"/>
      <c r="X602" s="392"/>
      <c r="Y602" s="392"/>
      <c r="Z602" s="392"/>
      <c r="AA602" s="392"/>
      <c r="AB602" s="392"/>
      <c r="AC602" s="392"/>
      <c r="AD602" s="392"/>
      <c r="AE602" s="392"/>
      <c r="AF602" s="392"/>
      <c r="AG602" s="392"/>
      <c r="AH602" s="392"/>
      <c r="AI602" s="392"/>
      <c r="AJ602" s="392"/>
      <c r="AK602" s="392"/>
      <c r="AL602" s="392"/>
      <c r="AM602" s="392"/>
      <c r="AN602" s="392"/>
      <c r="AO602" s="392"/>
      <c r="AP602" s="392"/>
      <c r="AQ602" s="392"/>
      <c r="AR602" s="392"/>
      <c r="AS602" s="392"/>
      <c r="AT602" s="392"/>
      <c r="AU602" s="392"/>
      <c r="AV602" s="392"/>
      <c r="AW602" s="392"/>
      <c r="AX602" s="392"/>
      <c r="AY602" s="392"/>
      <c r="AZ602" s="392"/>
      <c r="BA602" s="392"/>
      <c r="BB602" s="392"/>
      <c r="BC602" s="392"/>
      <c r="BD602" s="392"/>
      <c r="BE602" s="392"/>
      <c r="BF602" s="392"/>
      <c r="BG602" s="392"/>
      <c r="BH602" s="392"/>
      <c r="BI602" s="392"/>
      <c r="BJ602" s="392"/>
      <c r="BK602" s="392"/>
      <c r="BL602" s="392"/>
      <c r="BM602" s="392"/>
      <c r="BN602" s="392"/>
      <c r="BO602" s="392"/>
      <c r="BP602" s="392"/>
      <c r="BQ602" s="392"/>
      <c r="BR602" s="392"/>
      <c r="BS602" s="392"/>
      <c r="BT602" s="392"/>
    </row>
    <row r="603" ht="15.75" customHeight="1">
      <c r="A603" s="216"/>
      <c r="B603" s="156"/>
      <c r="C603" s="156"/>
      <c r="D603" s="156"/>
      <c r="E603" s="392"/>
      <c r="F603" s="392"/>
      <c r="G603" s="392"/>
      <c r="H603" s="392"/>
      <c r="I603" s="392"/>
      <c r="J603" s="392"/>
      <c r="K603" s="392"/>
      <c r="L603" s="392"/>
      <c r="M603" s="392"/>
      <c r="N603" s="392"/>
      <c r="O603" s="392"/>
      <c r="P603" s="392"/>
      <c r="Q603" s="392"/>
      <c r="R603" s="392"/>
      <c r="S603" s="392"/>
      <c r="T603" s="392"/>
      <c r="U603" s="392"/>
      <c r="V603" s="392"/>
      <c r="W603" s="392"/>
      <c r="X603" s="392"/>
      <c r="Y603" s="392"/>
      <c r="Z603" s="392"/>
      <c r="AA603" s="392"/>
      <c r="AB603" s="392"/>
      <c r="AC603" s="392"/>
      <c r="AD603" s="392"/>
      <c r="AE603" s="392"/>
      <c r="AF603" s="392"/>
      <c r="AG603" s="392"/>
      <c r="AH603" s="392"/>
      <c r="AI603" s="392"/>
      <c r="AJ603" s="392"/>
      <c r="AK603" s="392"/>
      <c r="AL603" s="392"/>
      <c r="AM603" s="392"/>
      <c r="AN603" s="392"/>
      <c r="AO603" s="392"/>
      <c r="AP603" s="392"/>
      <c r="AQ603" s="392"/>
      <c r="AR603" s="392"/>
      <c r="AS603" s="392"/>
      <c r="AT603" s="392"/>
      <c r="AU603" s="392"/>
      <c r="AV603" s="392"/>
      <c r="AW603" s="392"/>
      <c r="AX603" s="392"/>
      <c r="AY603" s="392"/>
      <c r="AZ603" s="392"/>
      <c r="BA603" s="392"/>
      <c r="BB603" s="392"/>
      <c r="BC603" s="392"/>
      <c r="BD603" s="392"/>
      <c r="BE603" s="392"/>
      <c r="BF603" s="392"/>
      <c r="BG603" s="392"/>
      <c r="BH603" s="392"/>
      <c r="BI603" s="392"/>
      <c r="BJ603" s="392"/>
      <c r="BK603" s="392"/>
      <c r="BL603" s="392"/>
      <c r="BM603" s="392"/>
      <c r="BN603" s="392"/>
      <c r="BO603" s="392"/>
      <c r="BP603" s="392"/>
      <c r="BQ603" s="392"/>
      <c r="BR603" s="392"/>
      <c r="BS603" s="392"/>
      <c r="BT603" s="392"/>
    </row>
    <row r="604" ht="15.75" customHeight="1">
      <c r="A604" s="216"/>
      <c r="B604" s="156"/>
      <c r="C604" s="156"/>
      <c r="D604" s="156"/>
      <c r="E604" s="392"/>
      <c r="F604" s="392"/>
      <c r="G604" s="392"/>
      <c r="H604" s="392"/>
      <c r="I604" s="392"/>
      <c r="J604" s="392"/>
      <c r="K604" s="392"/>
      <c r="L604" s="392"/>
      <c r="M604" s="392"/>
      <c r="N604" s="392"/>
      <c r="O604" s="392"/>
      <c r="P604" s="392"/>
      <c r="Q604" s="392"/>
      <c r="R604" s="392"/>
      <c r="S604" s="392"/>
      <c r="T604" s="392"/>
      <c r="U604" s="392"/>
      <c r="V604" s="392"/>
      <c r="W604" s="392"/>
      <c r="X604" s="392"/>
      <c r="Y604" s="392"/>
      <c r="Z604" s="392"/>
      <c r="AA604" s="392"/>
      <c r="AB604" s="392"/>
      <c r="AC604" s="392"/>
      <c r="AD604" s="392"/>
      <c r="AE604" s="392"/>
      <c r="AF604" s="392"/>
      <c r="AG604" s="392"/>
      <c r="AH604" s="392"/>
      <c r="AI604" s="392"/>
      <c r="AJ604" s="392"/>
      <c r="AK604" s="392"/>
      <c r="AL604" s="392"/>
      <c r="AM604" s="392"/>
      <c r="AN604" s="392"/>
      <c r="AO604" s="392"/>
      <c r="AP604" s="392"/>
      <c r="AQ604" s="392"/>
      <c r="AR604" s="392"/>
      <c r="AS604" s="392"/>
      <c r="AT604" s="392"/>
      <c r="AU604" s="392"/>
      <c r="AV604" s="392"/>
      <c r="AW604" s="392"/>
      <c r="AX604" s="392"/>
      <c r="AY604" s="392"/>
      <c r="AZ604" s="392"/>
      <c r="BA604" s="392"/>
      <c r="BB604" s="392"/>
      <c r="BC604" s="392"/>
      <c r="BD604" s="392"/>
      <c r="BE604" s="392"/>
      <c r="BF604" s="392"/>
      <c r="BG604" s="392"/>
      <c r="BH604" s="392"/>
      <c r="BI604" s="392"/>
      <c r="BJ604" s="392"/>
      <c r="BK604" s="392"/>
      <c r="BL604" s="392"/>
      <c r="BM604" s="392"/>
      <c r="BN604" s="392"/>
      <c r="BO604" s="392"/>
      <c r="BP604" s="392"/>
      <c r="BQ604" s="392"/>
      <c r="BR604" s="392"/>
      <c r="BS604" s="392"/>
      <c r="BT604" s="392"/>
    </row>
    <row r="605" ht="15.75" customHeight="1">
      <c r="A605" s="216"/>
      <c r="B605" s="156"/>
      <c r="C605" s="156"/>
      <c r="D605" s="156"/>
      <c r="E605" s="392"/>
      <c r="F605" s="392"/>
      <c r="G605" s="392"/>
      <c r="H605" s="392"/>
      <c r="I605" s="392"/>
      <c r="J605" s="392"/>
      <c r="K605" s="392"/>
      <c r="L605" s="392"/>
      <c r="M605" s="392"/>
      <c r="N605" s="392"/>
      <c r="O605" s="392"/>
      <c r="P605" s="392"/>
      <c r="Q605" s="392"/>
      <c r="R605" s="392"/>
      <c r="S605" s="392"/>
      <c r="T605" s="392"/>
      <c r="U605" s="392"/>
      <c r="V605" s="392"/>
      <c r="W605" s="392"/>
      <c r="X605" s="392"/>
      <c r="Y605" s="392"/>
      <c r="Z605" s="392"/>
      <c r="AA605" s="392"/>
      <c r="AB605" s="392"/>
      <c r="AC605" s="392"/>
      <c r="AD605" s="392"/>
      <c r="AE605" s="392"/>
      <c r="AF605" s="392"/>
      <c r="AG605" s="392"/>
      <c r="AH605" s="392"/>
      <c r="AI605" s="392"/>
      <c r="AJ605" s="392"/>
      <c r="AK605" s="392"/>
      <c r="AL605" s="392"/>
      <c r="AM605" s="392"/>
      <c r="AN605" s="392"/>
      <c r="AO605" s="392"/>
      <c r="AP605" s="392"/>
      <c r="AQ605" s="392"/>
      <c r="AR605" s="392"/>
      <c r="AS605" s="392"/>
      <c r="AT605" s="392"/>
      <c r="AU605" s="392"/>
      <c r="AV605" s="392"/>
      <c r="AW605" s="392"/>
      <c r="AX605" s="392"/>
      <c r="AY605" s="392"/>
      <c r="AZ605" s="392"/>
      <c r="BA605" s="392"/>
      <c r="BB605" s="392"/>
      <c r="BC605" s="392"/>
      <c r="BD605" s="392"/>
      <c r="BE605" s="392"/>
      <c r="BF605" s="392"/>
      <c r="BG605" s="392"/>
      <c r="BH605" s="392"/>
      <c r="BI605" s="392"/>
      <c r="BJ605" s="392"/>
      <c r="BK605" s="392"/>
      <c r="BL605" s="392"/>
      <c r="BM605" s="392"/>
      <c r="BN605" s="392"/>
      <c r="BO605" s="392"/>
      <c r="BP605" s="392"/>
      <c r="BQ605" s="392"/>
      <c r="BR605" s="392"/>
      <c r="BS605" s="392"/>
      <c r="BT605" s="392"/>
    </row>
    <row r="606" ht="15.75" customHeight="1">
      <c r="A606" s="216"/>
      <c r="B606" s="156"/>
      <c r="C606" s="156"/>
      <c r="D606" s="156"/>
      <c r="E606" s="392"/>
      <c r="F606" s="392"/>
      <c r="G606" s="392"/>
      <c r="H606" s="392"/>
      <c r="I606" s="392"/>
      <c r="J606" s="392"/>
      <c r="K606" s="392"/>
      <c r="L606" s="392"/>
      <c r="M606" s="392"/>
      <c r="N606" s="392"/>
      <c r="O606" s="392"/>
      <c r="P606" s="392"/>
      <c r="Q606" s="392"/>
      <c r="R606" s="392"/>
      <c r="S606" s="392"/>
      <c r="T606" s="392"/>
      <c r="U606" s="392"/>
      <c r="V606" s="392"/>
      <c r="W606" s="392"/>
      <c r="X606" s="392"/>
      <c r="Y606" s="392"/>
      <c r="Z606" s="392"/>
      <c r="AA606" s="392"/>
      <c r="AB606" s="392"/>
      <c r="AC606" s="392"/>
      <c r="AD606" s="392"/>
      <c r="AE606" s="392"/>
      <c r="AF606" s="392"/>
      <c r="AG606" s="392"/>
      <c r="AH606" s="392"/>
      <c r="AI606" s="392"/>
      <c r="AJ606" s="392"/>
      <c r="AK606" s="392"/>
      <c r="AL606" s="392"/>
      <c r="AM606" s="392"/>
      <c r="AN606" s="392"/>
      <c r="AO606" s="392"/>
      <c r="AP606" s="392"/>
      <c r="AQ606" s="392"/>
      <c r="AR606" s="392"/>
      <c r="AS606" s="392"/>
      <c r="AT606" s="392"/>
      <c r="AU606" s="392"/>
      <c r="AV606" s="392"/>
      <c r="AW606" s="392"/>
      <c r="AX606" s="392"/>
      <c r="AY606" s="392"/>
      <c r="AZ606" s="392"/>
      <c r="BA606" s="392"/>
      <c r="BB606" s="392"/>
      <c r="BC606" s="392"/>
      <c r="BD606" s="392"/>
      <c r="BE606" s="392"/>
      <c r="BF606" s="392"/>
      <c r="BG606" s="392"/>
      <c r="BH606" s="392"/>
      <c r="BI606" s="392"/>
      <c r="BJ606" s="392"/>
      <c r="BK606" s="392"/>
      <c r="BL606" s="392"/>
      <c r="BM606" s="392"/>
      <c r="BN606" s="392"/>
      <c r="BO606" s="392"/>
      <c r="BP606" s="392"/>
      <c r="BQ606" s="392"/>
      <c r="BR606" s="392"/>
      <c r="BS606" s="392"/>
      <c r="BT606" s="392"/>
    </row>
    <row r="607" ht="15.75" customHeight="1">
      <c r="A607" s="216"/>
      <c r="B607" s="156"/>
      <c r="C607" s="156"/>
      <c r="D607" s="156"/>
      <c r="E607" s="392"/>
      <c r="F607" s="392"/>
      <c r="G607" s="392"/>
      <c r="H607" s="392"/>
      <c r="I607" s="392"/>
      <c r="J607" s="392"/>
      <c r="K607" s="392"/>
      <c r="L607" s="392"/>
      <c r="M607" s="392"/>
      <c r="N607" s="392"/>
      <c r="O607" s="392"/>
      <c r="P607" s="392"/>
      <c r="Q607" s="392"/>
      <c r="R607" s="392"/>
      <c r="S607" s="392"/>
      <c r="T607" s="392"/>
      <c r="U607" s="392"/>
      <c r="V607" s="392"/>
      <c r="W607" s="392"/>
      <c r="X607" s="392"/>
      <c r="Y607" s="392"/>
      <c r="Z607" s="392"/>
      <c r="AA607" s="392"/>
      <c r="AB607" s="392"/>
      <c r="AC607" s="392"/>
      <c r="AD607" s="392"/>
      <c r="AE607" s="392"/>
      <c r="AF607" s="392"/>
      <c r="AG607" s="392"/>
      <c r="AH607" s="392"/>
      <c r="AI607" s="392"/>
      <c r="AJ607" s="392"/>
      <c r="AK607" s="392"/>
      <c r="AL607" s="392"/>
      <c r="AM607" s="392"/>
      <c r="AN607" s="392"/>
      <c r="AO607" s="392"/>
      <c r="AP607" s="392"/>
      <c r="AQ607" s="392"/>
      <c r="AR607" s="392"/>
      <c r="AS607" s="392"/>
      <c r="AT607" s="392"/>
      <c r="AU607" s="392"/>
      <c r="AV607" s="392"/>
      <c r="AW607" s="392"/>
      <c r="AX607" s="392"/>
      <c r="AY607" s="392"/>
      <c r="AZ607" s="392"/>
      <c r="BA607" s="392"/>
      <c r="BB607" s="392"/>
      <c r="BC607" s="392"/>
      <c r="BD607" s="392"/>
      <c r="BE607" s="392"/>
      <c r="BF607" s="392"/>
      <c r="BG607" s="392"/>
      <c r="BH607" s="392"/>
      <c r="BI607" s="392"/>
      <c r="BJ607" s="392"/>
      <c r="BK607" s="392"/>
      <c r="BL607" s="392"/>
      <c r="BM607" s="392"/>
      <c r="BN607" s="392"/>
      <c r="BO607" s="392"/>
      <c r="BP607" s="392"/>
      <c r="BQ607" s="392"/>
      <c r="BR607" s="392"/>
      <c r="BS607" s="392"/>
      <c r="BT607" s="392"/>
    </row>
    <row r="608" ht="15.75" customHeight="1">
      <c r="A608" s="216"/>
      <c r="B608" s="156"/>
      <c r="C608" s="156"/>
      <c r="D608" s="156"/>
      <c r="E608" s="392"/>
      <c r="F608" s="392"/>
      <c r="G608" s="392"/>
      <c r="H608" s="392"/>
      <c r="I608" s="392"/>
      <c r="J608" s="392"/>
      <c r="K608" s="392"/>
      <c r="L608" s="392"/>
      <c r="M608" s="392"/>
      <c r="N608" s="392"/>
      <c r="O608" s="392"/>
      <c r="P608" s="392"/>
      <c r="Q608" s="392"/>
      <c r="R608" s="392"/>
      <c r="S608" s="392"/>
      <c r="T608" s="392"/>
      <c r="U608" s="392"/>
      <c r="V608" s="392"/>
      <c r="W608" s="392"/>
      <c r="X608" s="392"/>
      <c r="Y608" s="392"/>
      <c r="Z608" s="392"/>
      <c r="AA608" s="392"/>
      <c r="AB608" s="392"/>
      <c r="AC608" s="392"/>
      <c r="AD608" s="392"/>
      <c r="AE608" s="392"/>
      <c r="AF608" s="392"/>
      <c r="AG608" s="392"/>
      <c r="AH608" s="392"/>
      <c r="AI608" s="392"/>
      <c r="AJ608" s="392"/>
      <c r="AK608" s="392"/>
      <c r="AL608" s="392"/>
      <c r="AM608" s="392"/>
      <c r="AN608" s="392"/>
      <c r="AO608" s="392"/>
      <c r="AP608" s="392"/>
      <c r="AQ608" s="392"/>
      <c r="AR608" s="392"/>
      <c r="AS608" s="392"/>
      <c r="AT608" s="392"/>
      <c r="AU608" s="392"/>
      <c r="AV608" s="392"/>
      <c r="AW608" s="392"/>
      <c r="AX608" s="392"/>
      <c r="AY608" s="392"/>
      <c r="AZ608" s="392"/>
      <c r="BA608" s="392"/>
      <c r="BB608" s="392"/>
      <c r="BC608" s="392"/>
      <c r="BD608" s="392"/>
      <c r="BE608" s="392"/>
      <c r="BF608" s="392"/>
      <c r="BG608" s="392"/>
      <c r="BH608" s="392"/>
      <c r="BI608" s="392"/>
      <c r="BJ608" s="392"/>
      <c r="BK608" s="392"/>
      <c r="BL608" s="392"/>
      <c r="BM608" s="392"/>
      <c r="BN608" s="392"/>
      <c r="BO608" s="392"/>
      <c r="BP608" s="392"/>
      <c r="BQ608" s="392"/>
      <c r="BR608" s="392"/>
      <c r="BS608" s="392"/>
      <c r="BT608" s="392"/>
    </row>
    <row r="609" ht="15.75" customHeight="1">
      <c r="A609" s="216"/>
      <c r="B609" s="156"/>
      <c r="C609" s="156"/>
      <c r="D609" s="156"/>
      <c r="E609" s="392"/>
      <c r="F609" s="392"/>
      <c r="G609" s="392"/>
      <c r="H609" s="392"/>
      <c r="I609" s="392"/>
      <c r="J609" s="392"/>
      <c r="K609" s="392"/>
      <c r="L609" s="392"/>
      <c r="M609" s="392"/>
      <c r="N609" s="392"/>
      <c r="O609" s="392"/>
      <c r="P609" s="392"/>
      <c r="Q609" s="392"/>
      <c r="R609" s="392"/>
      <c r="S609" s="392"/>
      <c r="T609" s="392"/>
      <c r="U609" s="392"/>
      <c r="V609" s="392"/>
      <c r="W609" s="392"/>
      <c r="X609" s="392"/>
      <c r="Y609" s="392"/>
      <c r="Z609" s="392"/>
      <c r="AA609" s="392"/>
      <c r="AB609" s="392"/>
      <c r="AC609" s="392"/>
      <c r="AD609" s="392"/>
      <c r="AE609" s="392"/>
      <c r="AF609" s="392"/>
      <c r="AG609" s="392"/>
      <c r="AH609" s="392"/>
      <c r="AI609" s="392"/>
      <c r="AJ609" s="392"/>
      <c r="AK609" s="392"/>
      <c r="AL609" s="392"/>
      <c r="AM609" s="392"/>
      <c r="AN609" s="392"/>
      <c r="AO609" s="392"/>
      <c r="AP609" s="392"/>
      <c r="AQ609" s="392"/>
      <c r="AR609" s="392"/>
      <c r="AS609" s="392"/>
      <c r="AT609" s="392"/>
      <c r="AU609" s="392"/>
      <c r="AV609" s="392"/>
      <c r="AW609" s="392"/>
      <c r="AX609" s="392"/>
      <c r="AY609" s="392"/>
      <c r="AZ609" s="392"/>
      <c r="BA609" s="392"/>
      <c r="BB609" s="392"/>
      <c r="BC609" s="392"/>
      <c r="BD609" s="392"/>
      <c r="BE609" s="392"/>
      <c r="BF609" s="392"/>
      <c r="BG609" s="392"/>
      <c r="BH609" s="392"/>
      <c r="BI609" s="392"/>
      <c r="BJ609" s="392"/>
      <c r="BK609" s="392"/>
      <c r="BL609" s="392"/>
      <c r="BM609" s="392"/>
      <c r="BN609" s="392"/>
      <c r="BO609" s="392"/>
      <c r="BP609" s="392"/>
      <c r="BQ609" s="392"/>
      <c r="BR609" s="392"/>
      <c r="BS609" s="392"/>
      <c r="BT609" s="392"/>
    </row>
    <row r="610" ht="15.75" customHeight="1">
      <c r="A610" s="216"/>
      <c r="B610" s="156"/>
      <c r="C610" s="156"/>
      <c r="D610" s="156"/>
      <c r="E610" s="392"/>
      <c r="F610" s="392"/>
      <c r="G610" s="392"/>
      <c r="H610" s="392"/>
      <c r="I610" s="392"/>
      <c r="J610" s="392"/>
      <c r="K610" s="392"/>
      <c r="L610" s="392"/>
      <c r="M610" s="392"/>
      <c r="N610" s="392"/>
      <c r="O610" s="392"/>
      <c r="P610" s="392"/>
      <c r="Q610" s="392"/>
      <c r="R610" s="392"/>
      <c r="S610" s="392"/>
      <c r="T610" s="392"/>
      <c r="U610" s="392"/>
      <c r="V610" s="392"/>
      <c r="W610" s="392"/>
      <c r="X610" s="392"/>
      <c r="Y610" s="392"/>
      <c r="Z610" s="392"/>
      <c r="AA610" s="392"/>
      <c r="AB610" s="392"/>
      <c r="AC610" s="392"/>
      <c r="AD610" s="392"/>
      <c r="AE610" s="392"/>
      <c r="AF610" s="392"/>
      <c r="AG610" s="392"/>
      <c r="AH610" s="392"/>
      <c r="AI610" s="392"/>
      <c r="AJ610" s="392"/>
      <c r="AK610" s="392"/>
      <c r="AL610" s="392"/>
      <c r="AM610" s="392"/>
      <c r="AN610" s="392"/>
      <c r="AO610" s="392"/>
      <c r="AP610" s="392"/>
      <c r="AQ610" s="392"/>
      <c r="AR610" s="392"/>
      <c r="AS610" s="392"/>
      <c r="AT610" s="392"/>
      <c r="AU610" s="392"/>
      <c r="AV610" s="392"/>
      <c r="AW610" s="392"/>
      <c r="AX610" s="392"/>
      <c r="AY610" s="392"/>
      <c r="AZ610" s="392"/>
      <c r="BA610" s="392"/>
      <c r="BB610" s="392"/>
      <c r="BC610" s="392"/>
      <c r="BD610" s="392"/>
      <c r="BE610" s="392"/>
      <c r="BF610" s="392"/>
      <c r="BG610" s="392"/>
      <c r="BH610" s="392"/>
      <c r="BI610" s="392"/>
      <c r="BJ610" s="392"/>
      <c r="BK610" s="392"/>
      <c r="BL610" s="392"/>
      <c r="BM610" s="392"/>
      <c r="BN610" s="392"/>
      <c r="BO610" s="392"/>
      <c r="BP610" s="392"/>
      <c r="BQ610" s="392"/>
      <c r="BR610" s="392"/>
      <c r="BS610" s="392"/>
      <c r="BT610" s="392"/>
    </row>
    <row r="611" ht="15.75" customHeight="1">
      <c r="A611" s="216"/>
      <c r="B611" s="156"/>
      <c r="C611" s="156"/>
      <c r="D611" s="156"/>
      <c r="E611" s="392"/>
      <c r="F611" s="392"/>
      <c r="G611" s="392"/>
      <c r="H611" s="392"/>
      <c r="I611" s="392"/>
      <c r="J611" s="392"/>
      <c r="K611" s="392"/>
      <c r="L611" s="392"/>
      <c r="M611" s="392"/>
      <c r="N611" s="392"/>
      <c r="O611" s="392"/>
      <c r="P611" s="392"/>
      <c r="Q611" s="392"/>
      <c r="R611" s="392"/>
      <c r="S611" s="392"/>
      <c r="T611" s="392"/>
      <c r="U611" s="392"/>
      <c r="V611" s="392"/>
      <c r="W611" s="392"/>
      <c r="X611" s="392"/>
      <c r="Y611" s="392"/>
      <c r="Z611" s="392"/>
      <c r="AA611" s="392"/>
      <c r="AB611" s="392"/>
      <c r="AC611" s="392"/>
      <c r="AD611" s="392"/>
      <c r="AE611" s="392"/>
      <c r="AF611" s="392"/>
      <c r="AG611" s="392"/>
      <c r="AH611" s="392"/>
      <c r="AI611" s="392"/>
      <c r="AJ611" s="392"/>
      <c r="AK611" s="392"/>
      <c r="AL611" s="392"/>
      <c r="AM611" s="392"/>
      <c r="AN611" s="392"/>
      <c r="AO611" s="392"/>
      <c r="AP611" s="392"/>
      <c r="AQ611" s="392"/>
      <c r="AR611" s="392"/>
      <c r="AS611" s="392"/>
      <c r="AT611" s="392"/>
      <c r="AU611" s="392"/>
      <c r="AV611" s="392"/>
      <c r="AW611" s="392"/>
      <c r="AX611" s="392"/>
      <c r="AY611" s="392"/>
      <c r="AZ611" s="392"/>
      <c r="BA611" s="392"/>
      <c r="BB611" s="392"/>
      <c r="BC611" s="392"/>
      <c r="BD611" s="392"/>
      <c r="BE611" s="392"/>
      <c r="BF611" s="392"/>
      <c r="BG611" s="392"/>
      <c r="BH611" s="392"/>
      <c r="BI611" s="392"/>
      <c r="BJ611" s="392"/>
      <c r="BK611" s="392"/>
      <c r="BL611" s="392"/>
      <c r="BM611" s="392"/>
      <c r="BN611" s="392"/>
      <c r="BO611" s="392"/>
      <c r="BP611" s="392"/>
      <c r="BQ611" s="392"/>
      <c r="BR611" s="392"/>
      <c r="BS611" s="392"/>
      <c r="BT611" s="392"/>
    </row>
    <row r="612" ht="15.75" customHeight="1">
      <c r="A612" s="216"/>
      <c r="B612" s="156"/>
      <c r="C612" s="156"/>
      <c r="D612" s="156"/>
      <c r="E612" s="392"/>
      <c r="F612" s="392"/>
      <c r="G612" s="392"/>
      <c r="H612" s="392"/>
      <c r="I612" s="392"/>
      <c r="J612" s="392"/>
      <c r="K612" s="392"/>
      <c r="L612" s="392"/>
      <c r="M612" s="392"/>
      <c r="N612" s="392"/>
      <c r="O612" s="392"/>
      <c r="P612" s="392"/>
      <c r="Q612" s="392"/>
      <c r="R612" s="392"/>
      <c r="S612" s="392"/>
      <c r="T612" s="392"/>
      <c r="U612" s="392"/>
      <c r="V612" s="392"/>
      <c r="W612" s="392"/>
      <c r="X612" s="392"/>
      <c r="Y612" s="392"/>
      <c r="Z612" s="392"/>
      <c r="AA612" s="392"/>
      <c r="AB612" s="392"/>
      <c r="AC612" s="392"/>
      <c r="AD612" s="392"/>
      <c r="AE612" s="392"/>
      <c r="AF612" s="392"/>
      <c r="AG612" s="392"/>
      <c r="AH612" s="392"/>
      <c r="AI612" s="392"/>
      <c r="AJ612" s="392"/>
      <c r="AK612" s="392"/>
      <c r="AL612" s="392"/>
      <c r="AM612" s="392"/>
      <c r="AN612" s="392"/>
      <c r="AO612" s="392"/>
      <c r="AP612" s="392"/>
      <c r="AQ612" s="392"/>
      <c r="AR612" s="392"/>
      <c r="AS612" s="392"/>
      <c r="AT612" s="392"/>
      <c r="AU612" s="392"/>
      <c r="AV612" s="392"/>
      <c r="AW612" s="392"/>
      <c r="AX612" s="392"/>
      <c r="AY612" s="392"/>
      <c r="AZ612" s="392"/>
      <c r="BA612" s="392"/>
      <c r="BB612" s="392"/>
      <c r="BC612" s="392"/>
      <c r="BD612" s="392"/>
      <c r="BE612" s="392"/>
      <c r="BF612" s="392"/>
      <c r="BG612" s="392"/>
      <c r="BH612" s="392"/>
      <c r="BI612" s="392"/>
      <c r="BJ612" s="392"/>
      <c r="BK612" s="392"/>
      <c r="BL612" s="392"/>
      <c r="BM612" s="392"/>
      <c r="BN612" s="392"/>
      <c r="BO612" s="392"/>
      <c r="BP612" s="392"/>
      <c r="BQ612" s="392"/>
      <c r="BR612" s="392"/>
      <c r="BS612" s="392"/>
      <c r="BT612" s="392"/>
    </row>
    <row r="613" ht="15.75" customHeight="1">
      <c r="A613" s="216"/>
      <c r="B613" s="156"/>
      <c r="C613" s="156"/>
      <c r="D613" s="156"/>
      <c r="E613" s="392"/>
      <c r="F613" s="392"/>
      <c r="G613" s="392"/>
      <c r="H613" s="392"/>
      <c r="I613" s="392"/>
      <c r="J613" s="392"/>
      <c r="K613" s="392"/>
      <c r="L613" s="392"/>
      <c r="M613" s="392"/>
      <c r="N613" s="392"/>
      <c r="O613" s="392"/>
      <c r="P613" s="392"/>
      <c r="Q613" s="392"/>
      <c r="R613" s="392"/>
      <c r="S613" s="392"/>
      <c r="T613" s="392"/>
      <c r="U613" s="392"/>
      <c r="V613" s="392"/>
      <c r="W613" s="392"/>
      <c r="X613" s="392"/>
      <c r="Y613" s="392"/>
      <c r="Z613" s="392"/>
      <c r="AA613" s="392"/>
      <c r="AB613" s="392"/>
      <c r="AC613" s="392"/>
      <c r="AD613" s="392"/>
      <c r="AE613" s="392"/>
      <c r="AF613" s="392"/>
      <c r="AG613" s="392"/>
      <c r="AH613" s="392"/>
      <c r="AI613" s="392"/>
      <c r="AJ613" s="392"/>
      <c r="AK613" s="392"/>
      <c r="AL613" s="392"/>
      <c r="AM613" s="392"/>
      <c r="AN613" s="392"/>
      <c r="AO613" s="392"/>
      <c r="AP613" s="392"/>
      <c r="AQ613" s="392"/>
      <c r="AR613" s="392"/>
      <c r="AS613" s="392"/>
      <c r="AT613" s="392"/>
      <c r="AU613" s="392"/>
      <c r="AV613" s="392"/>
      <c r="AW613" s="392"/>
      <c r="AX613" s="392"/>
      <c r="AY613" s="392"/>
      <c r="AZ613" s="392"/>
      <c r="BA613" s="392"/>
      <c r="BB613" s="392"/>
      <c r="BC613" s="392"/>
      <c r="BD613" s="392"/>
      <c r="BE613" s="392"/>
      <c r="BF613" s="392"/>
      <c r="BG613" s="392"/>
      <c r="BH613" s="392"/>
      <c r="BI613" s="392"/>
      <c r="BJ613" s="392"/>
      <c r="BK613" s="392"/>
      <c r="BL613" s="392"/>
      <c r="BM613" s="392"/>
      <c r="BN613" s="392"/>
      <c r="BO613" s="392"/>
      <c r="BP613" s="392"/>
      <c r="BQ613" s="392"/>
      <c r="BR613" s="392"/>
      <c r="BS613" s="392"/>
      <c r="BT613" s="392"/>
    </row>
    <row r="614" ht="15.75" customHeight="1">
      <c r="A614" s="216"/>
      <c r="B614" s="156"/>
      <c r="C614" s="156"/>
      <c r="D614" s="156"/>
      <c r="E614" s="392"/>
      <c r="F614" s="392"/>
      <c r="G614" s="392"/>
      <c r="H614" s="392"/>
      <c r="I614" s="392"/>
      <c r="J614" s="392"/>
      <c r="K614" s="392"/>
      <c r="L614" s="392"/>
      <c r="M614" s="392"/>
      <c r="N614" s="392"/>
      <c r="O614" s="392"/>
      <c r="P614" s="392"/>
      <c r="Q614" s="392"/>
      <c r="R614" s="392"/>
      <c r="S614" s="392"/>
      <c r="T614" s="392"/>
      <c r="U614" s="392"/>
      <c r="V614" s="392"/>
      <c r="W614" s="392"/>
      <c r="X614" s="392"/>
      <c r="Y614" s="392"/>
      <c r="Z614" s="392"/>
      <c r="AA614" s="392"/>
      <c r="AB614" s="392"/>
      <c r="AC614" s="392"/>
      <c r="AD614" s="392"/>
      <c r="AE614" s="392"/>
      <c r="AF614" s="392"/>
      <c r="AG614" s="392"/>
      <c r="AH614" s="392"/>
      <c r="AI614" s="392"/>
      <c r="AJ614" s="392"/>
      <c r="AK614" s="392"/>
      <c r="AL614" s="392"/>
      <c r="AM614" s="392"/>
      <c r="AN614" s="392"/>
      <c r="AO614" s="392"/>
      <c r="AP614" s="392"/>
      <c r="AQ614" s="392"/>
      <c r="AR614" s="392"/>
      <c r="AS614" s="392"/>
      <c r="AT614" s="392"/>
      <c r="AU614" s="392"/>
      <c r="AV614" s="392"/>
      <c r="AW614" s="392"/>
      <c r="AX614" s="392"/>
      <c r="AY614" s="392"/>
      <c r="AZ614" s="392"/>
      <c r="BA614" s="392"/>
      <c r="BB614" s="392"/>
      <c r="BC614" s="392"/>
      <c r="BD614" s="392"/>
      <c r="BE614" s="392"/>
      <c r="BF614" s="392"/>
      <c r="BG614" s="392"/>
      <c r="BH614" s="392"/>
      <c r="BI614" s="392"/>
      <c r="BJ614" s="392"/>
      <c r="BK614" s="392"/>
      <c r="BL614" s="392"/>
      <c r="BM614" s="392"/>
      <c r="BN614" s="392"/>
      <c r="BO614" s="392"/>
      <c r="BP614" s="392"/>
      <c r="BQ614" s="392"/>
      <c r="BR614" s="392"/>
      <c r="BS614" s="392"/>
      <c r="BT614" s="392"/>
    </row>
    <row r="615" ht="15.75" customHeight="1">
      <c r="A615" s="216"/>
      <c r="B615" s="156"/>
      <c r="C615" s="156"/>
      <c r="D615" s="156"/>
      <c r="E615" s="392"/>
      <c r="F615" s="392"/>
      <c r="G615" s="392"/>
      <c r="H615" s="392"/>
      <c r="I615" s="392"/>
      <c r="J615" s="392"/>
      <c r="K615" s="392"/>
      <c r="L615" s="392"/>
      <c r="M615" s="392"/>
      <c r="N615" s="392"/>
      <c r="O615" s="392"/>
      <c r="P615" s="392"/>
      <c r="Q615" s="392"/>
      <c r="R615" s="392"/>
      <c r="S615" s="392"/>
      <c r="T615" s="392"/>
      <c r="U615" s="392"/>
      <c r="V615" s="392"/>
      <c r="W615" s="392"/>
      <c r="X615" s="392"/>
      <c r="Y615" s="392"/>
      <c r="Z615" s="392"/>
      <c r="AA615" s="392"/>
      <c r="AB615" s="392"/>
      <c r="AC615" s="392"/>
      <c r="AD615" s="392"/>
      <c r="AE615" s="392"/>
      <c r="AF615" s="392"/>
      <c r="AG615" s="392"/>
      <c r="AH615" s="392"/>
      <c r="AI615" s="392"/>
      <c r="AJ615" s="392"/>
      <c r="AK615" s="392"/>
      <c r="AL615" s="392"/>
      <c r="AM615" s="392"/>
      <c r="AN615" s="392"/>
      <c r="AO615" s="392"/>
      <c r="AP615" s="392"/>
      <c r="AQ615" s="392"/>
      <c r="AR615" s="392"/>
      <c r="AS615" s="392"/>
      <c r="AT615" s="392"/>
      <c r="AU615" s="392"/>
      <c r="AV615" s="392"/>
      <c r="AW615" s="392"/>
      <c r="AX615" s="392"/>
      <c r="AY615" s="392"/>
      <c r="AZ615" s="392"/>
      <c r="BA615" s="392"/>
      <c r="BB615" s="392"/>
      <c r="BC615" s="392"/>
      <c r="BD615" s="392"/>
      <c r="BE615" s="392"/>
      <c r="BF615" s="392"/>
      <c r="BG615" s="392"/>
      <c r="BH615" s="392"/>
      <c r="BI615" s="392"/>
      <c r="BJ615" s="392"/>
      <c r="BK615" s="392"/>
      <c r="BL615" s="392"/>
      <c r="BM615" s="392"/>
      <c r="BN615" s="392"/>
      <c r="BO615" s="392"/>
      <c r="BP615" s="392"/>
      <c r="BQ615" s="392"/>
      <c r="BR615" s="392"/>
      <c r="BS615" s="392"/>
      <c r="BT615" s="392"/>
    </row>
    <row r="616" ht="15.75" customHeight="1">
      <c r="A616" s="216"/>
      <c r="B616" s="156"/>
      <c r="C616" s="156"/>
      <c r="D616" s="156"/>
      <c r="E616" s="392"/>
      <c r="F616" s="392"/>
      <c r="G616" s="392"/>
      <c r="H616" s="392"/>
      <c r="I616" s="392"/>
      <c r="J616" s="392"/>
      <c r="K616" s="392"/>
      <c r="L616" s="392"/>
      <c r="M616" s="392"/>
      <c r="N616" s="392"/>
      <c r="O616" s="392"/>
      <c r="P616" s="392"/>
      <c r="Q616" s="392"/>
      <c r="R616" s="392"/>
      <c r="S616" s="392"/>
      <c r="T616" s="392"/>
      <c r="U616" s="392"/>
      <c r="V616" s="392"/>
      <c r="W616" s="392"/>
      <c r="X616" s="392"/>
      <c r="Y616" s="392"/>
      <c r="Z616" s="392"/>
      <c r="AA616" s="392"/>
      <c r="AB616" s="392"/>
      <c r="AC616" s="392"/>
      <c r="AD616" s="392"/>
      <c r="AE616" s="392"/>
      <c r="AF616" s="392"/>
      <c r="AG616" s="392"/>
      <c r="AH616" s="392"/>
      <c r="AI616" s="392"/>
      <c r="AJ616" s="392"/>
      <c r="AK616" s="392"/>
      <c r="AL616" s="392"/>
      <c r="AM616" s="392"/>
      <c r="AN616" s="392"/>
      <c r="AO616" s="392"/>
      <c r="AP616" s="392"/>
      <c r="AQ616" s="392"/>
      <c r="AR616" s="392"/>
      <c r="AS616" s="392"/>
      <c r="AT616" s="392"/>
      <c r="AU616" s="392"/>
      <c r="AV616" s="392"/>
      <c r="AW616" s="392"/>
      <c r="AX616" s="392"/>
      <c r="AY616" s="392"/>
      <c r="AZ616" s="392"/>
      <c r="BA616" s="392"/>
      <c r="BB616" s="392"/>
      <c r="BC616" s="392"/>
      <c r="BD616" s="392"/>
      <c r="BE616" s="392"/>
      <c r="BF616" s="392"/>
      <c r="BG616" s="392"/>
      <c r="BH616" s="392"/>
      <c r="BI616" s="392"/>
      <c r="BJ616" s="392"/>
      <c r="BK616" s="392"/>
      <c r="BL616" s="392"/>
      <c r="BM616" s="392"/>
      <c r="BN616" s="392"/>
      <c r="BO616" s="392"/>
      <c r="BP616" s="392"/>
      <c r="BQ616" s="392"/>
      <c r="BR616" s="392"/>
      <c r="BS616" s="392"/>
      <c r="BT616" s="392"/>
    </row>
    <row r="617" ht="15.75" customHeight="1">
      <c r="A617" s="216"/>
      <c r="B617" s="156"/>
      <c r="C617" s="156"/>
      <c r="D617" s="156"/>
      <c r="E617" s="392"/>
      <c r="F617" s="392"/>
      <c r="G617" s="392"/>
      <c r="H617" s="392"/>
      <c r="I617" s="392"/>
      <c r="J617" s="392"/>
      <c r="K617" s="392"/>
      <c r="L617" s="392"/>
      <c r="M617" s="392"/>
      <c r="N617" s="392"/>
      <c r="O617" s="392"/>
      <c r="P617" s="392"/>
      <c r="Q617" s="392"/>
      <c r="R617" s="392"/>
      <c r="S617" s="392"/>
      <c r="T617" s="392"/>
      <c r="U617" s="392"/>
      <c r="V617" s="392"/>
      <c r="W617" s="392"/>
      <c r="X617" s="392"/>
      <c r="Y617" s="392"/>
      <c r="Z617" s="392"/>
      <c r="AA617" s="392"/>
      <c r="AB617" s="392"/>
      <c r="AC617" s="392"/>
      <c r="AD617" s="392"/>
      <c r="AE617" s="392"/>
      <c r="AF617" s="392"/>
      <c r="AG617" s="392"/>
      <c r="AH617" s="392"/>
      <c r="AI617" s="392"/>
      <c r="AJ617" s="392"/>
      <c r="AK617" s="392"/>
      <c r="AL617" s="392"/>
      <c r="AM617" s="392"/>
      <c r="AN617" s="392"/>
      <c r="AO617" s="392"/>
      <c r="AP617" s="392"/>
      <c r="AQ617" s="392"/>
      <c r="AR617" s="392"/>
      <c r="AS617" s="392"/>
      <c r="AT617" s="392"/>
      <c r="AU617" s="392"/>
      <c r="AV617" s="392"/>
      <c r="AW617" s="392"/>
      <c r="AX617" s="392"/>
      <c r="AY617" s="392"/>
      <c r="AZ617" s="392"/>
      <c r="BA617" s="392"/>
      <c r="BB617" s="392"/>
      <c r="BC617" s="392"/>
      <c r="BD617" s="392"/>
      <c r="BE617" s="392"/>
      <c r="BF617" s="392"/>
      <c r="BG617" s="392"/>
      <c r="BH617" s="392"/>
      <c r="BI617" s="392"/>
      <c r="BJ617" s="392"/>
      <c r="BK617" s="392"/>
      <c r="BL617" s="392"/>
      <c r="BM617" s="392"/>
      <c r="BN617" s="392"/>
      <c r="BO617" s="392"/>
      <c r="BP617" s="392"/>
      <c r="BQ617" s="392"/>
      <c r="BR617" s="392"/>
      <c r="BS617" s="392"/>
      <c r="BT617" s="392"/>
    </row>
    <row r="618" ht="15.75" customHeight="1">
      <c r="A618" s="216"/>
      <c r="B618" s="156"/>
      <c r="C618" s="156"/>
      <c r="D618" s="156"/>
      <c r="E618" s="392"/>
      <c r="F618" s="392"/>
      <c r="G618" s="392"/>
      <c r="H618" s="392"/>
      <c r="I618" s="392"/>
      <c r="J618" s="392"/>
      <c r="K618" s="392"/>
      <c r="L618" s="392"/>
      <c r="M618" s="392"/>
      <c r="N618" s="392"/>
      <c r="O618" s="392"/>
      <c r="P618" s="392"/>
      <c r="Q618" s="392"/>
      <c r="R618" s="392"/>
      <c r="S618" s="392"/>
      <c r="T618" s="392"/>
      <c r="U618" s="392"/>
      <c r="V618" s="392"/>
      <c r="W618" s="392"/>
      <c r="X618" s="392"/>
      <c r="Y618" s="392"/>
      <c r="Z618" s="392"/>
      <c r="AA618" s="392"/>
      <c r="AB618" s="392"/>
      <c r="AC618" s="392"/>
      <c r="AD618" s="392"/>
      <c r="AE618" s="392"/>
      <c r="AF618" s="392"/>
      <c r="AG618" s="392"/>
      <c r="AH618" s="392"/>
      <c r="AI618" s="392"/>
      <c r="AJ618" s="392"/>
      <c r="AK618" s="392"/>
      <c r="AL618" s="392"/>
      <c r="AM618" s="392"/>
      <c r="AN618" s="392"/>
      <c r="AO618" s="392"/>
      <c r="AP618" s="392"/>
      <c r="AQ618" s="392"/>
      <c r="AR618" s="392"/>
      <c r="AS618" s="392"/>
      <c r="AT618" s="392"/>
      <c r="AU618" s="392"/>
      <c r="AV618" s="392"/>
      <c r="AW618" s="392"/>
      <c r="AX618" s="392"/>
      <c r="AY618" s="392"/>
      <c r="AZ618" s="392"/>
      <c r="BA618" s="392"/>
      <c r="BB618" s="392"/>
      <c r="BC618" s="392"/>
      <c r="BD618" s="392"/>
      <c r="BE618" s="392"/>
      <c r="BF618" s="392"/>
      <c r="BG618" s="392"/>
      <c r="BH618" s="392"/>
      <c r="BI618" s="392"/>
      <c r="BJ618" s="392"/>
      <c r="BK618" s="392"/>
      <c r="BL618" s="392"/>
      <c r="BM618" s="392"/>
      <c r="BN618" s="392"/>
      <c r="BO618" s="392"/>
      <c r="BP618" s="392"/>
      <c r="BQ618" s="392"/>
      <c r="BR618" s="392"/>
      <c r="BS618" s="392"/>
      <c r="BT618" s="392"/>
    </row>
    <row r="619" ht="15.75" customHeight="1">
      <c r="A619" s="216"/>
      <c r="B619" s="156"/>
      <c r="C619" s="156"/>
      <c r="D619" s="156"/>
      <c r="E619" s="392"/>
      <c r="F619" s="392"/>
      <c r="G619" s="392"/>
      <c r="H619" s="392"/>
      <c r="I619" s="392"/>
      <c r="J619" s="392"/>
      <c r="K619" s="392"/>
      <c r="L619" s="392"/>
      <c r="M619" s="392"/>
      <c r="N619" s="392"/>
      <c r="O619" s="392"/>
      <c r="P619" s="392"/>
      <c r="Q619" s="392"/>
      <c r="R619" s="392"/>
      <c r="S619" s="392"/>
      <c r="T619" s="392"/>
      <c r="U619" s="392"/>
      <c r="V619" s="392"/>
      <c r="W619" s="392"/>
      <c r="X619" s="392"/>
      <c r="Y619" s="392"/>
      <c r="Z619" s="392"/>
      <c r="AA619" s="392"/>
      <c r="AB619" s="392"/>
      <c r="AC619" s="392"/>
      <c r="AD619" s="392"/>
      <c r="AE619" s="392"/>
      <c r="AF619" s="392"/>
      <c r="AG619" s="392"/>
      <c r="AH619" s="392"/>
      <c r="AI619" s="392"/>
      <c r="AJ619" s="392"/>
      <c r="AK619" s="392"/>
      <c r="AL619" s="392"/>
      <c r="AM619" s="392"/>
      <c r="AN619" s="392"/>
      <c r="AO619" s="392"/>
      <c r="AP619" s="392"/>
      <c r="AQ619" s="392"/>
      <c r="AR619" s="392"/>
      <c r="AS619" s="392"/>
      <c r="AT619" s="392"/>
      <c r="AU619" s="392"/>
      <c r="AV619" s="392"/>
      <c r="AW619" s="392"/>
      <c r="AX619" s="392"/>
      <c r="AY619" s="392"/>
      <c r="AZ619" s="392"/>
      <c r="BA619" s="392"/>
      <c r="BB619" s="392"/>
      <c r="BC619" s="392"/>
      <c r="BD619" s="392"/>
      <c r="BE619" s="392"/>
      <c r="BF619" s="392"/>
      <c r="BG619" s="392"/>
      <c r="BH619" s="392"/>
      <c r="BI619" s="392"/>
      <c r="BJ619" s="392"/>
      <c r="BK619" s="392"/>
      <c r="BL619" s="392"/>
      <c r="BM619" s="392"/>
      <c r="BN619" s="392"/>
      <c r="BO619" s="392"/>
      <c r="BP619" s="392"/>
      <c r="BQ619" s="392"/>
      <c r="BR619" s="392"/>
      <c r="BS619" s="392"/>
      <c r="BT619" s="392"/>
    </row>
    <row r="620" ht="15.75" customHeight="1">
      <c r="A620" s="216"/>
      <c r="B620" s="156"/>
      <c r="C620" s="156"/>
      <c r="D620" s="156"/>
      <c r="E620" s="392"/>
      <c r="F620" s="392"/>
      <c r="G620" s="392"/>
      <c r="H620" s="392"/>
      <c r="I620" s="392"/>
      <c r="J620" s="392"/>
      <c r="K620" s="392"/>
      <c r="L620" s="392"/>
      <c r="M620" s="392"/>
      <c r="N620" s="392"/>
      <c r="O620" s="392"/>
      <c r="P620" s="392"/>
      <c r="Q620" s="392"/>
      <c r="R620" s="392"/>
      <c r="S620" s="392"/>
      <c r="T620" s="392"/>
      <c r="U620" s="392"/>
      <c r="V620" s="392"/>
      <c r="W620" s="392"/>
      <c r="X620" s="392"/>
      <c r="Y620" s="392"/>
      <c r="Z620" s="392"/>
      <c r="AA620" s="392"/>
      <c r="AB620" s="392"/>
      <c r="AC620" s="392"/>
      <c r="AD620" s="392"/>
      <c r="AE620" s="392"/>
      <c r="AF620" s="392"/>
      <c r="AG620" s="392"/>
      <c r="AH620" s="392"/>
      <c r="AI620" s="392"/>
      <c r="AJ620" s="392"/>
      <c r="AK620" s="392"/>
      <c r="AL620" s="392"/>
      <c r="AM620" s="392"/>
      <c r="AN620" s="392"/>
      <c r="AO620" s="392"/>
      <c r="AP620" s="392"/>
      <c r="AQ620" s="392"/>
      <c r="AR620" s="392"/>
      <c r="AS620" s="392"/>
      <c r="AT620" s="392"/>
      <c r="AU620" s="392"/>
      <c r="AV620" s="392"/>
      <c r="AW620" s="392"/>
      <c r="AX620" s="392"/>
      <c r="AY620" s="392"/>
      <c r="AZ620" s="392"/>
      <c r="BA620" s="392"/>
      <c r="BB620" s="392"/>
      <c r="BC620" s="392"/>
      <c r="BD620" s="392"/>
      <c r="BE620" s="392"/>
      <c r="BF620" s="392"/>
      <c r="BG620" s="392"/>
      <c r="BH620" s="392"/>
      <c r="BI620" s="392"/>
      <c r="BJ620" s="392"/>
      <c r="BK620" s="392"/>
      <c r="BL620" s="392"/>
      <c r="BM620" s="392"/>
      <c r="BN620" s="392"/>
      <c r="BO620" s="392"/>
      <c r="BP620" s="392"/>
      <c r="BQ620" s="392"/>
      <c r="BR620" s="392"/>
      <c r="BS620" s="392"/>
      <c r="BT620" s="392"/>
    </row>
    <row r="621" ht="15.75" customHeight="1">
      <c r="A621" s="216"/>
      <c r="B621" s="156"/>
      <c r="C621" s="156"/>
      <c r="D621" s="156"/>
      <c r="E621" s="392"/>
      <c r="F621" s="392"/>
      <c r="G621" s="392"/>
      <c r="H621" s="392"/>
      <c r="I621" s="392"/>
      <c r="J621" s="392"/>
      <c r="K621" s="392"/>
      <c r="L621" s="392"/>
      <c r="M621" s="392"/>
      <c r="N621" s="392"/>
      <c r="O621" s="392"/>
      <c r="P621" s="392"/>
      <c r="Q621" s="392"/>
      <c r="R621" s="392"/>
      <c r="S621" s="392"/>
      <c r="T621" s="392"/>
      <c r="U621" s="392"/>
      <c r="V621" s="392"/>
      <c r="W621" s="392"/>
      <c r="X621" s="392"/>
      <c r="Y621" s="392"/>
      <c r="Z621" s="392"/>
      <c r="AA621" s="392"/>
      <c r="AB621" s="392"/>
      <c r="AC621" s="392"/>
      <c r="AD621" s="392"/>
      <c r="AE621" s="392"/>
      <c r="AF621" s="392"/>
      <c r="AG621" s="392"/>
      <c r="AH621" s="392"/>
      <c r="AI621" s="392"/>
      <c r="AJ621" s="392"/>
      <c r="AK621" s="392"/>
      <c r="AL621" s="392"/>
      <c r="AM621" s="392"/>
      <c r="AN621" s="392"/>
      <c r="AO621" s="392"/>
      <c r="AP621" s="392"/>
      <c r="AQ621" s="392"/>
      <c r="AR621" s="392"/>
      <c r="AS621" s="392"/>
      <c r="AT621" s="392"/>
      <c r="AU621" s="392"/>
      <c r="AV621" s="392"/>
      <c r="AW621" s="392"/>
      <c r="AX621" s="392"/>
      <c r="AY621" s="392"/>
      <c r="AZ621" s="392"/>
      <c r="BA621" s="392"/>
      <c r="BB621" s="392"/>
      <c r="BC621" s="392"/>
      <c r="BD621" s="392"/>
      <c r="BE621" s="392"/>
      <c r="BF621" s="392"/>
      <c r="BG621" s="392"/>
      <c r="BH621" s="392"/>
      <c r="BI621" s="392"/>
      <c r="BJ621" s="392"/>
      <c r="BK621" s="392"/>
      <c r="BL621" s="392"/>
      <c r="BM621" s="392"/>
      <c r="BN621" s="392"/>
      <c r="BO621" s="392"/>
      <c r="BP621" s="392"/>
      <c r="BQ621" s="392"/>
      <c r="BR621" s="392"/>
      <c r="BS621" s="392"/>
      <c r="BT621" s="392"/>
    </row>
    <row r="622" ht="15.75" customHeight="1">
      <c r="A622" s="216"/>
      <c r="B622" s="156"/>
      <c r="C622" s="156"/>
      <c r="D622" s="156"/>
      <c r="E622" s="392"/>
      <c r="F622" s="392"/>
      <c r="G622" s="392"/>
      <c r="H622" s="392"/>
      <c r="I622" s="392"/>
      <c r="J622" s="392"/>
      <c r="K622" s="392"/>
      <c r="L622" s="392"/>
      <c r="M622" s="392"/>
      <c r="N622" s="392"/>
      <c r="O622" s="392"/>
      <c r="P622" s="392"/>
      <c r="Q622" s="392"/>
      <c r="R622" s="392"/>
      <c r="S622" s="392"/>
      <c r="T622" s="392"/>
      <c r="U622" s="392"/>
      <c r="V622" s="392"/>
      <c r="W622" s="392"/>
      <c r="X622" s="392"/>
      <c r="Y622" s="392"/>
      <c r="Z622" s="392"/>
      <c r="AA622" s="392"/>
      <c r="AB622" s="392"/>
      <c r="AC622" s="392"/>
      <c r="AD622" s="392"/>
      <c r="AE622" s="392"/>
      <c r="AF622" s="392"/>
      <c r="AG622" s="392"/>
      <c r="AH622" s="392"/>
      <c r="AI622" s="392"/>
      <c r="AJ622" s="392"/>
      <c r="AK622" s="392"/>
      <c r="AL622" s="392"/>
      <c r="AM622" s="392"/>
      <c r="AN622" s="392"/>
      <c r="AO622" s="392"/>
      <c r="AP622" s="392"/>
      <c r="AQ622" s="392"/>
      <c r="AR622" s="392"/>
      <c r="AS622" s="392"/>
      <c r="AT622" s="392"/>
      <c r="AU622" s="392"/>
      <c r="AV622" s="392"/>
      <c r="AW622" s="392"/>
      <c r="AX622" s="392"/>
      <c r="AY622" s="392"/>
      <c r="AZ622" s="392"/>
      <c r="BA622" s="392"/>
      <c r="BB622" s="392"/>
      <c r="BC622" s="392"/>
      <c r="BD622" s="392"/>
      <c r="BE622" s="392"/>
      <c r="BF622" s="392"/>
      <c r="BG622" s="392"/>
      <c r="BH622" s="392"/>
      <c r="BI622" s="392"/>
      <c r="BJ622" s="392"/>
      <c r="BK622" s="392"/>
      <c r="BL622" s="392"/>
      <c r="BM622" s="392"/>
      <c r="BN622" s="392"/>
      <c r="BO622" s="392"/>
      <c r="BP622" s="392"/>
      <c r="BQ622" s="392"/>
      <c r="BR622" s="392"/>
      <c r="BS622" s="392"/>
      <c r="BT622" s="392"/>
    </row>
    <row r="623" ht="15.75" customHeight="1">
      <c r="A623" s="216"/>
      <c r="B623" s="156"/>
      <c r="C623" s="156"/>
      <c r="D623" s="156"/>
      <c r="E623" s="392"/>
      <c r="F623" s="392"/>
      <c r="G623" s="392"/>
      <c r="H623" s="392"/>
      <c r="I623" s="392"/>
      <c r="J623" s="392"/>
      <c r="K623" s="392"/>
      <c r="L623" s="392"/>
      <c r="M623" s="392"/>
      <c r="N623" s="392"/>
      <c r="O623" s="392"/>
      <c r="P623" s="392"/>
      <c r="Q623" s="392"/>
      <c r="R623" s="392"/>
      <c r="S623" s="392"/>
      <c r="T623" s="392"/>
      <c r="U623" s="392"/>
      <c r="V623" s="392"/>
      <c r="W623" s="392"/>
      <c r="X623" s="392"/>
      <c r="Y623" s="392"/>
      <c r="Z623" s="392"/>
      <c r="AA623" s="392"/>
      <c r="AB623" s="392"/>
      <c r="AC623" s="392"/>
      <c r="AD623" s="392"/>
      <c r="AE623" s="392"/>
      <c r="AF623" s="392"/>
      <c r="AG623" s="392"/>
      <c r="AH623" s="392"/>
      <c r="AI623" s="392"/>
      <c r="AJ623" s="392"/>
      <c r="AK623" s="392"/>
      <c r="AL623" s="392"/>
      <c r="AM623" s="392"/>
      <c r="AN623" s="392"/>
      <c r="AO623" s="392"/>
      <c r="AP623" s="392"/>
      <c r="AQ623" s="392"/>
      <c r="AR623" s="392"/>
      <c r="AS623" s="392"/>
      <c r="AT623" s="392"/>
      <c r="AU623" s="392"/>
      <c r="AV623" s="392"/>
      <c r="AW623" s="392"/>
      <c r="AX623" s="392"/>
      <c r="AY623" s="392"/>
      <c r="AZ623" s="392"/>
      <c r="BA623" s="392"/>
      <c r="BB623" s="392"/>
      <c r="BC623" s="392"/>
      <c r="BD623" s="392"/>
      <c r="BE623" s="392"/>
      <c r="BF623" s="392"/>
      <c r="BG623" s="392"/>
      <c r="BH623" s="392"/>
      <c r="BI623" s="392"/>
      <c r="BJ623" s="392"/>
      <c r="BK623" s="392"/>
      <c r="BL623" s="392"/>
      <c r="BM623" s="392"/>
      <c r="BN623" s="392"/>
      <c r="BO623" s="392"/>
      <c r="BP623" s="392"/>
      <c r="BQ623" s="392"/>
      <c r="BR623" s="392"/>
      <c r="BS623" s="392"/>
      <c r="BT623" s="392"/>
    </row>
    <row r="624" ht="15.75" customHeight="1">
      <c r="A624" s="216"/>
      <c r="B624" s="156"/>
      <c r="C624" s="156"/>
      <c r="D624" s="156"/>
      <c r="E624" s="392"/>
      <c r="F624" s="392"/>
      <c r="G624" s="392"/>
      <c r="H624" s="392"/>
      <c r="I624" s="392"/>
      <c r="J624" s="392"/>
      <c r="K624" s="392"/>
      <c r="L624" s="392"/>
      <c r="M624" s="392"/>
      <c r="N624" s="392"/>
      <c r="O624" s="392"/>
      <c r="P624" s="392"/>
      <c r="Q624" s="392"/>
      <c r="R624" s="392"/>
      <c r="S624" s="392"/>
      <c r="T624" s="392"/>
      <c r="U624" s="392"/>
      <c r="V624" s="392"/>
      <c r="W624" s="392"/>
      <c r="X624" s="392"/>
      <c r="Y624" s="392"/>
      <c r="Z624" s="392"/>
      <c r="AA624" s="392"/>
      <c r="AB624" s="392"/>
      <c r="AC624" s="392"/>
      <c r="AD624" s="392"/>
      <c r="AE624" s="392"/>
      <c r="AF624" s="392"/>
      <c r="AG624" s="392"/>
      <c r="AH624" s="392"/>
      <c r="AI624" s="392"/>
      <c r="AJ624" s="392"/>
      <c r="AK624" s="392"/>
      <c r="AL624" s="392"/>
      <c r="AM624" s="392"/>
      <c r="AN624" s="392"/>
      <c r="AO624" s="392"/>
      <c r="AP624" s="392"/>
      <c r="AQ624" s="392"/>
      <c r="AR624" s="392"/>
      <c r="AS624" s="392"/>
      <c r="AT624" s="392"/>
      <c r="AU624" s="392"/>
      <c r="AV624" s="392"/>
      <c r="AW624" s="392"/>
      <c r="AX624" s="392"/>
      <c r="AY624" s="392"/>
      <c r="AZ624" s="392"/>
      <c r="BA624" s="392"/>
      <c r="BB624" s="392"/>
      <c r="BC624" s="392"/>
      <c r="BD624" s="392"/>
      <c r="BE624" s="392"/>
      <c r="BF624" s="392"/>
      <c r="BG624" s="392"/>
      <c r="BH624" s="392"/>
      <c r="BI624" s="392"/>
      <c r="BJ624" s="392"/>
      <c r="BK624" s="392"/>
      <c r="BL624" s="392"/>
      <c r="BM624" s="392"/>
      <c r="BN624" s="392"/>
      <c r="BO624" s="392"/>
      <c r="BP624" s="392"/>
      <c r="BQ624" s="392"/>
      <c r="BR624" s="392"/>
      <c r="BS624" s="392"/>
      <c r="BT624" s="392"/>
    </row>
    <row r="625" ht="15.75" customHeight="1">
      <c r="A625" s="216"/>
      <c r="B625" s="156"/>
      <c r="C625" s="156"/>
      <c r="D625" s="156"/>
      <c r="E625" s="392"/>
      <c r="F625" s="392"/>
      <c r="G625" s="392"/>
      <c r="H625" s="392"/>
      <c r="I625" s="392"/>
      <c r="J625" s="392"/>
      <c r="K625" s="392"/>
      <c r="L625" s="392"/>
      <c r="M625" s="392"/>
      <c r="N625" s="392"/>
      <c r="O625" s="392"/>
      <c r="P625" s="392"/>
      <c r="Q625" s="392"/>
      <c r="R625" s="392"/>
      <c r="S625" s="392"/>
      <c r="T625" s="392"/>
      <c r="U625" s="392"/>
      <c r="V625" s="392"/>
      <c r="W625" s="392"/>
      <c r="X625" s="392"/>
      <c r="Y625" s="392"/>
      <c r="Z625" s="392"/>
      <c r="AA625" s="392"/>
      <c r="AB625" s="392"/>
      <c r="AC625" s="392"/>
      <c r="AD625" s="392"/>
      <c r="AE625" s="392"/>
      <c r="AF625" s="392"/>
      <c r="AG625" s="392"/>
      <c r="AH625" s="392"/>
      <c r="AI625" s="392"/>
      <c r="AJ625" s="392"/>
      <c r="AK625" s="392"/>
      <c r="AL625" s="392"/>
      <c r="AM625" s="392"/>
      <c r="AN625" s="392"/>
      <c r="AO625" s="392"/>
      <c r="AP625" s="392"/>
      <c r="AQ625" s="392"/>
      <c r="AR625" s="392"/>
      <c r="AS625" s="392"/>
      <c r="AT625" s="392"/>
      <c r="AU625" s="392"/>
      <c r="AV625" s="392"/>
      <c r="AW625" s="392"/>
      <c r="AX625" s="392"/>
      <c r="AY625" s="392"/>
      <c r="AZ625" s="392"/>
      <c r="BA625" s="392"/>
      <c r="BB625" s="392"/>
      <c r="BC625" s="392"/>
      <c r="BD625" s="392"/>
      <c r="BE625" s="392"/>
      <c r="BF625" s="392"/>
      <c r="BG625" s="392"/>
      <c r="BH625" s="392"/>
      <c r="BI625" s="392"/>
      <c r="BJ625" s="392"/>
      <c r="BK625" s="392"/>
      <c r="BL625" s="392"/>
      <c r="BM625" s="392"/>
      <c r="BN625" s="392"/>
      <c r="BO625" s="392"/>
      <c r="BP625" s="392"/>
      <c r="BQ625" s="392"/>
      <c r="BR625" s="392"/>
      <c r="BS625" s="392"/>
      <c r="BT625" s="392"/>
    </row>
    <row r="626" ht="15.75" customHeight="1">
      <c r="A626" s="216"/>
      <c r="B626" s="156"/>
      <c r="C626" s="156"/>
      <c r="D626" s="156"/>
      <c r="E626" s="392"/>
      <c r="F626" s="392"/>
      <c r="G626" s="392"/>
      <c r="H626" s="392"/>
      <c r="I626" s="392"/>
      <c r="J626" s="392"/>
      <c r="K626" s="392"/>
      <c r="L626" s="392"/>
      <c r="M626" s="392"/>
      <c r="N626" s="392"/>
      <c r="O626" s="392"/>
      <c r="P626" s="392"/>
      <c r="Q626" s="392"/>
      <c r="R626" s="392"/>
      <c r="S626" s="392"/>
      <c r="T626" s="392"/>
      <c r="U626" s="392"/>
      <c r="V626" s="392"/>
      <c r="W626" s="392"/>
      <c r="X626" s="392"/>
      <c r="Y626" s="392"/>
      <c r="Z626" s="392"/>
      <c r="AA626" s="392"/>
      <c r="AB626" s="392"/>
      <c r="AC626" s="392"/>
      <c r="AD626" s="392"/>
      <c r="AE626" s="392"/>
      <c r="AF626" s="392"/>
      <c r="AG626" s="392"/>
      <c r="AH626" s="392"/>
      <c r="AI626" s="392"/>
      <c r="AJ626" s="392"/>
      <c r="AK626" s="392"/>
      <c r="AL626" s="392"/>
      <c r="AM626" s="392"/>
      <c r="AN626" s="392"/>
      <c r="AO626" s="392"/>
      <c r="AP626" s="392"/>
      <c r="AQ626" s="392"/>
      <c r="AR626" s="392"/>
      <c r="AS626" s="392"/>
      <c r="AT626" s="392"/>
      <c r="AU626" s="392"/>
      <c r="AV626" s="392"/>
      <c r="AW626" s="392"/>
      <c r="AX626" s="392"/>
      <c r="AY626" s="392"/>
      <c r="AZ626" s="392"/>
      <c r="BA626" s="392"/>
      <c r="BB626" s="392"/>
      <c r="BC626" s="392"/>
      <c r="BD626" s="392"/>
      <c r="BE626" s="392"/>
      <c r="BF626" s="392"/>
      <c r="BG626" s="392"/>
      <c r="BH626" s="392"/>
      <c r="BI626" s="392"/>
      <c r="BJ626" s="392"/>
      <c r="BK626" s="392"/>
      <c r="BL626" s="392"/>
      <c r="BM626" s="392"/>
      <c r="BN626" s="392"/>
      <c r="BO626" s="392"/>
      <c r="BP626" s="392"/>
      <c r="BQ626" s="392"/>
      <c r="BR626" s="392"/>
      <c r="BS626" s="392"/>
      <c r="BT626" s="392"/>
    </row>
    <row r="627" ht="15.75" customHeight="1">
      <c r="A627" s="216"/>
      <c r="B627" s="156"/>
      <c r="C627" s="156"/>
      <c r="D627" s="156"/>
      <c r="E627" s="392"/>
      <c r="F627" s="392"/>
      <c r="G627" s="392"/>
      <c r="H627" s="392"/>
      <c r="I627" s="392"/>
      <c r="J627" s="392"/>
      <c r="K627" s="392"/>
      <c r="L627" s="392"/>
      <c r="M627" s="392"/>
      <c r="N627" s="392"/>
      <c r="O627" s="392"/>
      <c r="P627" s="392"/>
      <c r="Q627" s="392"/>
      <c r="R627" s="392"/>
      <c r="S627" s="392"/>
      <c r="T627" s="392"/>
      <c r="U627" s="392"/>
      <c r="V627" s="392"/>
      <c r="W627" s="392"/>
      <c r="X627" s="392"/>
      <c r="Y627" s="392"/>
      <c r="Z627" s="392"/>
      <c r="AA627" s="392"/>
      <c r="AB627" s="392"/>
      <c r="AC627" s="392"/>
      <c r="AD627" s="392"/>
      <c r="AE627" s="392"/>
      <c r="AF627" s="392"/>
      <c r="AG627" s="392"/>
      <c r="AH627" s="392"/>
      <c r="AI627" s="392"/>
      <c r="AJ627" s="392"/>
      <c r="AK627" s="392"/>
      <c r="AL627" s="392"/>
      <c r="AM627" s="392"/>
      <c r="AN627" s="392"/>
      <c r="AO627" s="392"/>
      <c r="AP627" s="392"/>
      <c r="AQ627" s="392"/>
      <c r="AR627" s="392"/>
      <c r="AS627" s="392"/>
      <c r="AT627" s="392"/>
      <c r="AU627" s="392"/>
      <c r="AV627" s="392"/>
      <c r="AW627" s="392"/>
      <c r="AX627" s="392"/>
      <c r="AY627" s="392"/>
      <c r="AZ627" s="392"/>
      <c r="BA627" s="392"/>
      <c r="BB627" s="392"/>
      <c r="BC627" s="392"/>
      <c r="BD627" s="392"/>
      <c r="BE627" s="392"/>
      <c r="BF627" s="392"/>
      <c r="BG627" s="392"/>
      <c r="BH627" s="392"/>
      <c r="BI627" s="392"/>
      <c r="BJ627" s="392"/>
      <c r="BK627" s="392"/>
      <c r="BL627" s="392"/>
      <c r="BM627" s="392"/>
      <c r="BN627" s="392"/>
      <c r="BO627" s="392"/>
      <c r="BP627" s="392"/>
      <c r="BQ627" s="392"/>
      <c r="BR627" s="392"/>
      <c r="BS627" s="392"/>
      <c r="BT627" s="392"/>
    </row>
    <row r="628" ht="15.75" customHeight="1">
      <c r="A628" s="216"/>
      <c r="B628" s="156"/>
      <c r="C628" s="156"/>
      <c r="D628" s="156"/>
      <c r="E628" s="392"/>
      <c r="F628" s="392"/>
      <c r="G628" s="392"/>
      <c r="H628" s="392"/>
      <c r="I628" s="392"/>
      <c r="J628" s="392"/>
      <c r="K628" s="392"/>
      <c r="L628" s="392"/>
      <c r="M628" s="392"/>
      <c r="N628" s="392"/>
      <c r="O628" s="392"/>
      <c r="P628" s="392"/>
      <c r="Q628" s="392"/>
      <c r="R628" s="392"/>
      <c r="S628" s="392"/>
      <c r="T628" s="392"/>
      <c r="U628" s="392"/>
      <c r="V628" s="392"/>
      <c r="W628" s="392"/>
      <c r="X628" s="392"/>
      <c r="Y628" s="392"/>
      <c r="Z628" s="392"/>
      <c r="AA628" s="392"/>
      <c r="AB628" s="392"/>
      <c r="AC628" s="392"/>
      <c r="AD628" s="392"/>
      <c r="AE628" s="392"/>
      <c r="AF628" s="392"/>
      <c r="AG628" s="392"/>
      <c r="AH628" s="392"/>
      <c r="AI628" s="392"/>
      <c r="AJ628" s="392"/>
      <c r="AK628" s="392"/>
      <c r="AL628" s="392"/>
      <c r="AM628" s="392"/>
      <c r="AN628" s="392"/>
      <c r="AO628" s="392"/>
      <c r="AP628" s="392"/>
      <c r="AQ628" s="392"/>
      <c r="AR628" s="392"/>
      <c r="AS628" s="392"/>
      <c r="AT628" s="392"/>
      <c r="AU628" s="392"/>
      <c r="AV628" s="392"/>
      <c r="AW628" s="392"/>
      <c r="AX628" s="392"/>
      <c r="AY628" s="392"/>
      <c r="AZ628" s="392"/>
      <c r="BA628" s="392"/>
      <c r="BB628" s="392"/>
      <c r="BC628" s="392"/>
      <c r="BD628" s="392"/>
      <c r="BE628" s="392"/>
      <c r="BF628" s="392"/>
      <c r="BG628" s="392"/>
      <c r="BH628" s="392"/>
      <c r="BI628" s="392"/>
      <c r="BJ628" s="392"/>
      <c r="BK628" s="392"/>
      <c r="BL628" s="392"/>
      <c r="BM628" s="392"/>
      <c r="BN628" s="392"/>
      <c r="BO628" s="392"/>
      <c r="BP628" s="392"/>
      <c r="BQ628" s="392"/>
      <c r="BR628" s="392"/>
      <c r="BS628" s="392"/>
      <c r="BT628" s="392"/>
    </row>
    <row r="629" ht="15.75" customHeight="1">
      <c r="A629" s="216"/>
      <c r="B629" s="156"/>
      <c r="C629" s="156"/>
      <c r="D629" s="156"/>
      <c r="E629" s="392"/>
      <c r="F629" s="392"/>
      <c r="G629" s="392"/>
      <c r="H629" s="392"/>
      <c r="I629" s="392"/>
      <c r="J629" s="392"/>
      <c r="K629" s="392"/>
      <c r="L629" s="392"/>
      <c r="M629" s="392"/>
      <c r="N629" s="392"/>
      <c r="O629" s="392"/>
      <c r="P629" s="392"/>
      <c r="Q629" s="392"/>
      <c r="R629" s="392"/>
      <c r="S629" s="392"/>
      <c r="T629" s="392"/>
      <c r="U629" s="392"/>
      <c r="V629" s="392"/>
      <c r="W629" s="392"/>
      <c r="X629" s="392"/>
      <c r="Y629" s="392"/>
      <c r="Z629" s="392"/>
      <c r="AA629" s="392"/>
      <c r="AB629" s="392"/>
      <c r="AC629" s="392"/>
      <c r="AD629" s="392"/>
      <c r="AE629" s="392"/>
      <c r="AF629" s="392"/>
      <c r="AG629" s="392"/>
      <c r="AH629" s="392"/>
      <c r="AI629" s="392"/>
      <c r="AJ629" s="392"/>
      <c r="AK629" s="392"/>
      <c r="AL629" s="392"/>
      <c r="AM629" s="392"/>
      <c r="AN629" s="392"/>
      <c r="AO629" s="392"/>
      <c r="AP629" s="392"/>
      <c r="AQ629" s="392"/>
      <c r="AR629" s="392"/>
      <c r="AS629" s="392"/>
      <c r="AT629" s="392"/>
      <c r="AU629" s="392"/>
      <c r="AV629" s="392"/>
      <c r="AW629" s="392"/>
      <c r="AX629" s="392"/>
      <c r="AY629" s="392"/>
      <c r="AZ629" s="392"/>
      <c r="BA629" s="392"/>
      <c r="BB629" s="392"/>
      <c r="BC629" s="392"/>
      <c r="BD629" s="392"/>
      <c r="BE629" s="392"/>
      <c r="BF629" s="392"/>
      <c r="BG629" s="392"/>
      <c r="BH629" s="392"/>
      <c r="BI629" s="392"/>
      <c r="BJ629" s="392"/>
      <c r="BK629" s="392"/>
      <c r="BL629" s="392"/>
      <c r="BM629" s="392"/>
      <c r="BN629" s="392"/>
      <c r="BO629" s="392"/>
      <c r="BP629" s="392"/>
      <c r="BQ629" s="392"/>
      <c r="BR629" s="392"/>
      <c r="BS629" s="392"/>
      <c r="BT629" s="392"/>
    </row>
    <row r="630" ht="15.75" customHeight="1">
      <c r="A630" s="216"/>
      <c r="B630" s="156"/>
      <c r="C630" s="156"/>
      <c r="D630" s="156"/>
      <c r="E630" s="392"/>
      <c r="F630" s="392"/>
      <c r="G630" s="392"/>
      <c r="H630" s="392"/>
      <c r="I630" s="392"/>
      <c r="J630" s="392"/>
      <c r="K630" s="392"/>
      <c r="L630" s="392"/>
      <c r="M630" s="392"/>
      <c r="N630" s="392"/>
      <c r="O630" s="392"/>
      <c r="P630" s="392"/>
      <c r="Q630" s="392"/>
      <c r="R630" s="392"/>
      <c r="S630" s="392"/>
      <c r="T630" s="392"/>
      <c r="U630" s="392"/>
      <c r="V630" s="392"/>
      <c r="W630" s="392"/>
      <c r="X630" s="392"/>
      <c r="Y630" s="392"/>
      <c r="Z630" s="392"/>
      <c r="AA630" s="392"/>
      <c r="AB630" s="392"/>
      <c r="AC630" s="392"/>
      <c r="AD630" s="392"/>
      <c r="AE630" s="392"/>
      <c r="AF630" s="392"/>
      <c r="AG630" s="392"/>
      <c r="AH630" s="392"/>
      <c r="AI630" s="392"/>
      <c r="AJ630" s="392"/>
      <c r="AK630" s="392"/>
      <c r="AL630" s="392"/>
      <c r="AM630" s="392"/>
      <c r="AN630" s="392"/>
      <c r="AO630" s="392"/>
      <c r="AP630" s="392"/>
      <c r="AQ630" s="392"/>
      <c r="AR630" s="392"/>
      <c r="AS630" s="392"/>
      <c r="AT630" s="392"/>
      <c r="AU630" s="392"/>
      <c r="AV630" s="392"/>
      <c r="AW630" s="392"/>
      <c r="AX630" s="392"/>
      <c r="AY630" s="392"/>
      <c r="AZ630" s="392"/>
      <c r="BA630" s="392"/>
      <c r="BB630" s="392"/>
      <c r="BC630" s="392"/>
      <c r="BD630" s="392"/>
      <c r="BE630" s="392"/>
      <c r="BF630" s="392"/>
      <c r="BG630" s="392"/>
      <c r="BH630" s="392"/>
      <c r="BI630" s="392"/>
      <c r="BJ630" s="392"/>
      <c r="BK630" s="392"/>
      <c r="BL630" s="392"/>
      <c r="BM630" s="392"/>
      <c r="BN630" s="392"/>
      <c r="BO630" s="392"/>
      <c r="BP630" s="392"/>
      <c r="BQ630" s="392"/>
      <c r="BR630" s="392"/>
      <c r="BS630" s="392"/>
      <c r="BT630" s="392"/>
    </row>
    <row r="631" ht="15.75" customHeight="1">
      <c r="A631" s="216"/>
      <c r="B631" s="156"/>
      <c r="C631" s="156"/>
      <c r="D631" s="156"/>
      <c r="E631" s="392"/>
      <c r="F631" s="392"/>
      <c r="G631" s="392"/>
      <c r="H631" s="392"/>
      <c r="I631" s="392"/>
      <c r="J631" s="392"/>
      <c r="K631" s="392"/>
      <c r="L631" s="392"/>
      <c r="M631" s="392"/>
      <c r="N631" s="392"/>
      <c r="O631" s="392"/>
      <c r="P631" s="392"/>
      <c r="Q631" s="392"/>
      <c r="R631" s="392"/>
      <c r="S631" s="392"/>
      <c r="T631" s="392"/>
      <c r="U631" s="392"/>
      <c r="V631" s="392"/>
      <c r="W631" s="392"/>
      <c r="X631" s="392"/>
      <c r="Y631" s="392"/>
      <c r="Z631" s="392"/>
      <c r="AA631" s="392"/>
      <c r="AB631" s="392"/>
      <c r="AC631" s="392"/>
      <c r="AD631" s="392"/>
      <c r="AE631" s="392"/>
      <c r="AF631" s="392"/>
      <c r="AG631" s="392"/>
      <c r="AH631" s="392"/>
      <c r="AI631" s="392"/>
      <c r="AJ631" s="392"/>
      <c r="AK631" s="392"/>
      <c r="AL631" s="392"/>
      <c r="AM631" s="392"/>
      <c r="AN631" s="392"/>
      <c r="AO631" s="392"/>
      <c r="AP631" s="392"/>
      <c r="AQ631" s="392"/>
      <c r="AR631" s="392"/>
      <c r="AS631" s="392"/>
      <c r="AT631" s="392"/>
      <c r="AU631" s="392"/>
      <c r="AV631" s="392"/>
      <c r="AW631" s="392"/>
      <c r="AX631" s="392"/>
      <c r="AY631" s="392"/>
      <c r="AZ631" s="392"/>
      <c r="BA631" s="392"/>
      <c r="BB631" s="392"/>
      <c r="BC631" s="392"/>
      <c r="BD631" s="392"/>
      <c r="BE631" s="392"/>
      <c r="BF631" s="392"/>
      <c r="BG631" s="392"/>
      <c r="BH631" s="392"/>
      <c r="BI631" s="392"/>
      <c r="BJ631" s="392"/>
      <c r="BK631" s="392"/>
      <c r="BL631" s="392"/>
      <c r="BM631" s="392"/>
      <c r="BN631" s="392"/>
      <c r="BO631" s="392"/>
      <c r="BP631" s="392"/>
      <c r="BQ631" s="392"/>
      <c r="BR631" s="392"/>
      <c r="BS631" s="392"/>
      <c r="BT631" s="392"/>
    </row>
    <row r="632" ht="15.75" customHeight="1">
      <c r="A632" s="216"/>
      <c r="B632" s="156"/>
      <c r="C632" s="156"/>
      <c r="D632" s="156"/>
      <c r="E632" s="392"/>
      <c r="F632" s="392"/>
      <c r="G632" s="392"/>
      <c r="H632" s="392"/>
      <c r="I632" s="392"/>
      <c r="J632" s="392"/>
      <c r="K632" s="392"/>
      <c r="L632" s="392"/>
      <c r="M632" s="392"/>
      <c r="N632" s="392"/>
      <c r="O632" s="392"/>
      <c r="P632" s="392"/>
      <c r="Q632" s="392"/>
      <c r="R632" s="392"/>
      <c r="S632" s="392"/>
      <c r="T632" s="392"/>
      <c r="U632" s="392"/>
      <c r="V632" s="392"/>
      <c r="W632" s="392"/>
      <c r="X632" s="392"/>
      <c r="Y632" s="392"/>
      <c r="Z632" s="392"/>
      <c r="AA632" s="392"/>
      <c r="AB632" s="392"/>
      <c r="AC632" s="392"/>
      <c r="AD632" s="392"/>
      <c r="AE632" s="392"/>
      <c r="AF632" s="392"/>
      <c r="AG632" s="392"/>
      <c r="AH632" s="392"/>
      <c r="AI632" s="392"/>
      <c r="AJ632" s="392"/>
      <c r="AK632" s="392"/>
      <c r="AL632" s="392"/>
      <c r="AM632" s="392"/>
      <c r="AN632" s="392"/>
      <c r="AO632" s="392"/>
      <c r="AP632" s="392"/>
      <c r="AQ632" s="392"/>
      <c r="AR632" s="392"/>
      <c r="AS632" s="392"/>
      <c r="AT632" s="392"/>
      <c r="AU632" s="392"/>
      <c r="AV632" s="392"/>
      <c r="AW632" s="392"/>
      <c r="AX632" s="392"/>
      <c r="AY632" s="392"/>
      <c r="AZ632" s="392"/>
      <c r="BA632" s="392"/>
      <c r="BB632" s="392"/>
      <c r="BC632" s="392"/>
      <c r="BD632" s="392"/>
      <c r="BE632" s="392"/>
      <c r="BF632" s="392"/>
      <c r="BG632" s="392"/>
      <c r="BH632" s="392"/>
      <c r="BI632" s="392"/>
      <c r="BJ632" s="392"/>
      <c r="BK632" s="392"/>
      <c r="BL632" s="392"/>
      <c r="BM632" s="392"/>
      <c r="BN632" s="392"/>
      <c r="BO632" s="392"/>
      <c r="BP632" s="392"/>
      <c r="BQ632" s="392"/>
      <c r="BR632" s="392"/>
      <c r="BS632" s="392"/>
      <c r="BT632" s="392"/>
    </row>
    <row r="633" ht="15.75" customHeight="1">
      <c r="A633" s="216"/>
      <c r="B633" s="156"/>
      <c r="C633" s="156"/>
      <c r="D633" s="156"/>
      <c r="E633" s="392"/>
      <c r="F633" s="392"/>
      <c r="G633" s="392"/>
      <c r="H633" s="392"/>
      <c r="I633" s="392"/>
      <c r="J633" s="392"/>
      <c r="K633" s="392"/>
      <c r="L633" s="392"/>
      <c r="M633" s="392"/>
      <c r="N633" s="392"/>
      <c r="O633" s="392"/>
      <c r="P633" s="392"/>
      <c r="Q633" s="392"/>
      <c r="R633" s="392"/>
      <c r="S633" s="392"/>
      <c r="T633" s="392"/>
      <c r="U633" s="392"/>
      <c r="V633" s="392"/>
      <c r="W633" s="392"/>
      <c r="X633" s="392"/>
      <c r="Y633" s="392"/>
      <c r="Z633" s="392"/>
      <c r="AA633" s="392"/>
      <c r="AB633" s="392"/>
      <c r="AC633" s="392"/>
      <c r="AD633" s="392"/>
      <c r="AE633" s="392"/>
      <c r="AF633" s="392"/>
      <c r="AG633" s="392"/>
      <c r="AH633" s="392"/>
      <c r="AI633" s="392"/>
      <c r="AJ633" s="392"/>
      <c r="AK633" s="392"/>
      <c r="AL633" s="392"/>
      <c r="AM633" s="392"/>
      <c r="AN633" s="392"/>
      <c r="AO633" s="392"/>
      <c r="AP633" s="392"/>
      <c r="AQ633" s="392"/>
      <c r="AR633" s="392"/>
      <c r="AS633" s="392"/>
      <c r="AT633" s="392"/>
      <c r="AU633" s="392"/>
      <c r="AV633" s="392"/>
      <c r="AW633" s="392"/>
      <c r="AX633" s="392"/>
      <c r="AY633" s="392"/>
      <c r="AZ633" s="392"/>
      <c r="BA633" s="392"/>
      <c r="BB633" s="392"/>
      <c r="BC633" s="392"/>
      <c r="BD633" s="392"/>
      <c r="BE633" s="392"/>
      <c r="BF633" s="392"/>
      <c r="BG633" s="392"/>
      <c r="BH633" s="392"/>
      <c r="BI633" s="392"/>
      <c r="BJ633" s="392"/>
      <c r="BK633" s="392"/>
      <c r="BL633" s="392"/>
      <c r="BM633" s="392"/>
      <c r="BN633" s="392"/>
      <c r="BO633" s="392"/>
      <c r="BP633" s="392"/>
      <c r="BQ633" s="392"/>
      <c r="BR633" s="392"/>
      <c r="BS633" s="392"/>
      <c r="BT633" s="392"/>
    </row>
    <row r="634" ht="15.75" customHeight="1">
      <c r="A634" s="216"/>
      <c r="B634" s="156"/>
      <c r="C634" s="156"/>
      <c r="D634" s="156"/>
      <c r="E634" s="392"/>
      <c r="F634" s="392"/>
      <c r="G634" s="392"/>
      <c r="H634" s="392"/>
      <c r="I634" s="392"/>
      <c r="J634" s="392"/>
      <c r="K634" s="392"/>
      <c r="L634" s="392"/>
      <c r="M634" s="392"/>
      <c r="N634" s="392"/>
      <c r="O634" s="392"/>
      <c r="P634" s="392"/>
      <c r="Q634" s="392"/>
      <c r="R634" s="392"/>
      <c r="S634" s="392"/>
      <c r="T634" s="392"/>
      <c r="U634" s="392"/>
      <c r="V634" s="392"/>
      <c r="W634" s="392"/>
      <c r="X634" s="392"/>
      <c r="Y634" s="392"/>
      <c r="Z634" s="392"/>
      <c r="AA634" s="392"/>
      <c r="AB634" s="392"/>
      <c r="AC634" s="392"/>
      <c r="AD634" s="392"/>
      <c r="AE634" s="392"/>
      <c r="AF634" s="392"/>
      <c r="AG634" s="392"/>
      <c r="AH634" s="392"/>
      <c r="AI634" s="392"/>
      <c r="AJ634" s="392"/>
      <c r="AK634" s="392"/>
      <c r="AL634" s="392"/>
      <c r="AM634" s="392"/>
      <c r="AN634" s="392"/>
      <c r="AO634" s="392"/>
      <c r="AP634" s="392"/>
      <c r="AQ634" s="392"/>
      <c r="AR634" s="392"/>
      <c r="AS634" s="392"/>
      <c r="AT634" s="392"/>
      <c r="AU634" s="392"/>
      <c r="AV634" s="392"/>
      <c r="AW634" s="392"/>
      <c r="AX634" s="392"/>
      <c r="AY634" s="392"/>
      <c r="AZ634" s="392"/>
      <c r="BA634" s="392"/>
      <c r="BB634" s="392"/>
      <c r="BC634" s="392"/>
      <c r="BD634" s="392"/>
      <c r="BE634" s="392"/>
      <c r="BF634" s="392"/>
      <c r="BG634" s="392"/>
      <c r="BH634" s="392"/>
      <c r="BI634" s="392"/>
      <c r="BJ634" s="392"/>
      <c r="BK634" s="392"/>
      <c r="BL634" s="392"/>
      <c r="BM634" s="392"/>
      <c r="BN634" s="392"/>
      <c r="BO634" s="392"/>
      <c r="BP634" s="392"/>
      <c r="BQ634" s="392"/>
      <c r="BR634" s="392"/>
      <c r="BS634" s="392"/>
      <c r="BT634" s="392"/>
    </row>
    <row r="635" ht="15.75" customHeight="1">
      <c r="A635" s="216"/>
      <c r="B635" s="156"/>
      <c r="C635" s="156"/>
      <c r="D635" s="156"/>
      <c r="E635" s="392"/>
      <c r="F635" s="392"/>
      <c r="G635" s="392"/>
      <c r="H635" s="392"/>
      <c r="I635" s="392"/>
      <c r="J635" s="392"/>
      <c r="K635" s="392"/>
      <c r="L635" s="392"/>
      <c r="M635" s="392"/>
      <c r="N635" s="392"/>
      <c r="O635" s="392"/>
      <c r="P635" s="392"/>
      <c r="Q635" s="392"/>
      <c r="R635" s="392"/>
      <c r="S635" s="392"/>
      <c r="T635" s="392"/>
      <c r="U635" s="392"/>
      <c r="V635" s="392"/>
      <c r="W635" s="392"/>
      <c r="X635" s="392"/>
      <c r="Y635" s="392"/>
      <c r="Z635" s="392"/>
      <c r="AA635" s="392"/>
      <c r="AB635" s="392"/>
      <c r="AC635" s="392"/>
      <c r="AD635" s="392"/>
      <c r="AE635" s="392"/>
      <c r="AF635" s="392"/>
      <c r="AG635" s="392"/>
      <c r="AH635" s="392"/>
      <c r="AI635" s="392"/>
      <c r="AJ635" s="392"/>
      <c r="AK635" s="392"/>
      <c r="AL635" s="392"/>
      <c r="AM635" s="392"/>
      <c r="AN635" s="392"/>
      <c r="AO635" s="392"/>
      <c r="AP635" s="392"/>
      <c r="AQ635" s="392"/>
      <c r="AR635" s="392"/>
      <c r="AS635" s="392"/>
      <c r="AT635" s="392"/>
      <c r="AU635" s="392"/>
      <c r="AV635" s="392"/>
      <c r="AW635" s="392"/>
      <c r="AX635" s="392"/>
      <c r="AY635" s="392"/>
      <c r="AZ635" s="392"/>
      <c r="BA635" s="392"/>
      <c r="BB635" s="392"/>
      <c r="BC635" s="392"/>
      <c r="BD635" s="392"/>
      <c r="BE635" s="392"/>
      <c r="BF635" s="392"/>
      <c r="BG635" s="392"/>
      <c r="BH635" s="392"/>
      <c r="BI635" s="392"/>
      <c r="BJ635" s="392"/>
      <c r="BK635" s="392"/>
      <c r="BL635" s="392"/>
      <c r="BM635" s="392"/>
      <c r="BN635" s="392"/>
      <c r="BO635" s="392"/>
      <c r="BP635" s="392"/>
      <c r="BQ635" s="392"/>
      <c r="BR635" s="392"/>
      <c r="BS635" s="392"/>
      <c r="BT635" s="392"/>
    </row>
    <row r="636" ht="15.75" customHeight="1">
      <c r="A636" s="216"/>
      <c r="B636" s="156"/>
      <c r="C636" s="156"/>
      <c r="D636" s="156"/>
      <c r="E636" s="392"/>
      <c r="F636" s="392"/>
      <c r="G636" s="392"/>
      <c r="H636" s="392"/>
      <c r="I636" s="392"/>
      <c r="J636" s="392"/>
      <c r="K636" s="392"/>
      <c r="L636" s="392"/>
      <c r="M636" s="392"/>
      <c r="N636" s="392"/>
      <c r="O636" s="392"/>
      <c r="P636" s="392"/>
      <c r="Q636" s="392"/>
      <c r="R636" s="392"/>
      <c r="S636" s="392"/>
      <c r="T636" s="392"/>
      <c r="U636" s="392"/>
      <c r="V636" s="392"/>
      <c r="W636" s="392"/>
      <c r="X636" s="392"/>
      <c r="Y636" s="392"/>
      <c r="Z636" s="392"/>
      <c r="AA636" s="392"/>
      <c r="AB636" s="392"/>
      <c r="AC636" s="392"/>
      <c r="AD636" s="392"/>
      <c r="AE636" s="392"/>
      <c r="AF636" s="392"/>
      <c r="AG636" s="392"/>
      <c r="AH636" s="392"/>
      <c r="AI636" s="392"/>
      <c r="AJ636" s="392"/>
      <c r="AK636" s="392"/>
      <c r="AL636" s="392"/>
      <c r="AM636" s="392"/>
      <c r="AN636" s="392"/>
      <c r="AO636" s="392"/>
      <c r="AP636" s="392"/>
      <c r="AQ636" s="392"/>
      <c r="AR636" s="392"/>
      <c r="AS636" s="392"/>
      <c r="AT636" s="392"/>
      <c r="AU636" s="392"/>
      <c r="AV636" s="392"/>
      <c r="AW636" s="392"/>
      <c r="AX636" s="392"/>
      <c r="AY636" s="392"/>
      <c r="AZ636" s="392"/>
      <c r="BA636" s="392"/>
      <c r="BB636" s="392"/>
      <c r="BC636" s="392"/>
      <c r="BD636" s="392"/>
      <c r="BE636" s="392"/>
      <c r="BF636" s="392"/>
      <c r="BG636" s="392"/>
      <c r="BH636" s="392"/>
      <c r="BI636" s="392"/>
      <c r="BJ636" s="392"/>
      <c r="BK636" s="392"/>
      <c r="BL636" s="392"/>
      <c r="BM636" s="392"/>
      <c r="BN636" s="392"/>
      <c r="BO636" s="392"/>
      <c r="BP636" s="392"/>
      <c r="BQ636" s="392"/>
      <c r="BR636" s="392"/>
      <c r="BS636" s="392"/>
      <c r="BT636" s="392"/>
    </row>
    <row r="637" ht="15.75" customHeight="1">
      <c r="A637" s="216"/>
      <c r="B637" s="156"/>
      <c r="C637" s="156"/>
      <c r="D637" s="156"/>
      <c r="E637" s="392"/>
      <c r="F637" s="392"/>
      <c r="G637" s="392"/>
      <c r="H637" s="392"/>
      <c r="I637" s="392"/>
      <c r="J637" s="392"/>
      <c r="K637" s="392"/>
      <c r="L637" s="392"/>
      <c r="M637" s="392"/>
      <c r="N637" s="392"/>
      <c r="O637" s="392"/>
      <c r="P637" s="392"/>
      <c r="Q637" s="392"/>
      <c r="R637" s="392"/>
      <c r="S637" s="392"/>
      <c r="T637" s="392"/>
      <c r="U637" s="392"/>
      <c r="V637" s="392"/>
      <c r="W637" s="392"/>
      <c r="X637" s="392"/>
      <c r="Y637" s="392"/>
      <c r="Z637" s="392"/>
      <c r="AA637" s="392"/>
      <c r="AB637" s="392"/>
      <c r="AC637" s="392"/>
      <c r="AD637" s="392"/>
      <c r="AE637" s="392"/>
      <c r="AF637" s="392"/>
      <c r="AG637" s="392"/>
      <c r="AH637" s="392"/>
      <c r="AI637" s="392"/>
      <c r="AJ637" s="392"/>
      <c r="AK637" s="392"/>
      <c r="AL637" s="392"/>
      <c r="AM637" s="392"/>
      <c r="AN637" s="392"/>
      <c r="AO637" s="392"/>
      <c r="AP637" s="392"/>
      <c r="AQ637" s="392"/>
      <c r="AR637" s="392"/>
      <c r="AS637" s="392"/>
      <c r="AT637" s="392"/>
      <c r="AU637" s="392"/>
      <c r="AV637" s="392"/>
      <c r="AW637" s="392"/>
      <c r="AX637" s="392"/>
      <c r="AY637" s="392"/>
      <c r="AZ637" s="392"/>
      <c r="BA637" s="392"/>
      <c r="BB637" s="392"/>
      <c r="BC637" s="392"/>
      <c r="BD637" s="392"/>
      <c r="BE637" s="392"/>
      <c r="BF637" s="392"/>
      <c r="BG637" s="392"/>
      <c r="BH637" s="392"/>
      <c r="BI637" s="392"/>
      <c r="BJ637" s="392"/>
      <c r="BK637" s="392"/>
      <c r="BL637" s="392"/>
      <c r="BM637" s="392"/>
      <c r="BN637" s="392"/>
      <c r="BO637" s="392"/>
      <c r="BP637" s="392"/>
      <c r="BQ637" s="392"/>
      <c r="BR637" s="392"/>
      <c r="BS637" s="392"/>
      <c r="BT637" s="392"/>
    </row>
    <row r="638" ht="15.75" customHeight="1">
      <c r="A638" s="216"/>
      <c r="B638" s="156"/>
      <c r="C638" s="156"/>
      <c r="D638" s="156"/>
      <c r="E638" s="392"/>
      <c r="F638" s="392"/>
      <c r="G638" s="392"/>
      <c r="H638" s="392"/>
      <c r="I638" s="392"/>
      <c r="J638" s="392"/>
      <c r="K638" s="392"/>
      <c r="L638" s="392"/>
      <c r="M638" s="392"/>
      <c r="N638" s="392"/>
      <c r="O638" s="392"/>
      <c r="P638" s="392"/>
      <c r="Q638" s="392"/>
      <c r="R638" s="392"/>
      <c r="S638" s="392"/>
      <c r="T638" s="392"/>
      <c r="U638" s="392"/>
      <c r="V638" s="392"/>
      <c r="W638" s="392"/>
      <c r="X638" s="392"/>
      <c r="Y638" s="392"/>
      <c r="Z638" s="392"/>
      <c r="AA638" s="392"/>
      <c r="AB638" s="392"/>
      <c r="AC638" s="392"/>
      <c r="AD638" s="392"/>
      <c r="AE638" s="392"/>
      <c r="AF638" s="392"/>
      <c r="AG638" s="392"/>
      <c r="AH638" s="392"/>
      <c r="AI638" s="392"/>
      <c r="AJ638" s="392"/>
      <c r="AK638" s="392"/>
      <c r="AL638" s="392"/>
      <c r="AM638" s="392"/>
      <c r="AN638" s="392"/>
      <c r="AO638" s="392"/>
      <c r="AP638" s="392"/>
      <c r="AQ638" s="392"/>
      <c r="AR638" s="392"/>
      <c r="AS638" s="392"/>
      <c r="AT638" s="392"/>
      <c r="AU638" s="392"/>
      <c r="AV638" s="392"/>
      <c r="AW638" s="392"/>
      <c r="AX638" s="392"/>
      <c r="AY638" s="392"/>
      <c r="AZ638" s="392"/>
      <c r="BA638" s="392"/>
      <c r="BB638" s="392"/>
      <c r="BC638" s="392"/>
      <c r="BD638" s="392"/>
      <c r="BE638" s="392"/>
      <c r="BF638" s="392"/>
      <c r="BG638" s="392"/>
      <c r="BH638" s="392"/>
      <c r="BI638" s="392"/>
      <c r="BJ638" s="392"/>
      <c r="BK638" s="392"/>
      <c r="BL638" s="392"/>
      <c r="BM638" s="392"/>
      <c r="BN638" s="392"/>
      <c r="BO638" s="392"/>
      <c r="BP638" s="392"/>
      <c r="BQ638" s="392"/>
      <c r="BR638" s="392"/>
      <c r="BS638" s="392"/>
      <c r="BT638" s="392"/>
    </row>
    <row r="639" ht="15.75" customHeight="1">
      <c r="A639" s="216"/>
      <c r="B639" s="156"/>
      <c r="C639" s="156"/>
      <c r="D639" s="156"/>
      <c r="E639" s="392"/>
      <c r="F639" s="392"/>
      <c r="G639" s="392"/>
      <c r="H639" s="392"/>
      <c r="I639" s="392"/>
      <c r="J639" s="392"/>
      <c r="K639" s="392"/>
      <c r="L639" s="392"/>
      <c r="M639" s="392"/>
      <c r="N639" s="392"/>
      <c r="O639" s="392"/>
      <c r="P639" s="392"/>
      <c r="Q639" s="392"/>
      <c r="R639" s="392"/>
      <c r="S639" s="392"/>
      <c r="T639" s="392"/>
      <c r="U639" s="392"/>
      <c r="V639" s="392"/>
      <c r="W639" s="392"/>
      <c r="X639" s="392"/>
      <c r="Y639" s="392"/>
      <c r="Z639" s="392"/>
      <c r="AA639" s="392"/>
      <c r="AB639" s="392"/>
      <c r="AC639" s="392"/>
      <c r="AD639" s="392"/>
      <c r="AE639" s="392"/>
      <c r="AF639" s="392"/>
      <c r="AG639" s="392"/>
      <c r="AH639" s="392"/>
      <c r="AI639" s="392"/>
      <c r="AJ639" s="392"/>
      <c r="AK639" s="392"/>
      <c r="AL639" s="392"/>
      <c r="AM639" s="392"/>
      <c r="AN639" s="392"/>
      <c r="AO639" s="392"/>
      <c r="AP639" s="392"/>
      <c r="AQ639" s="392"/>
      <c r="AR639" s="392"/>
      <c r="AS639" s="392"/>
      <c r="AT639" s="392"/>
      <c r="AU639" s="392"/>
      <c r="AV639" s="392"/>
      <c r="AW639" s="392"/>
      <c r="AX639" s="392"/>
      <c r="AY639" s="392"/>
      <c r="AZ639" s="392"/>
      <c r="BA639" s="392"/>
      <c r="BB639" s="392"/>
      <c r="BC639" s="392"/>
      <c r="BD639" s="392"/>
      <c r="BE639" s="392"/>
      <c r="BF639" s="392"/>
      <c r="BG639" s="392"/>
      <c r="BH639" s="392"/>
      <c r="BI639" s="392"/>
      <c r="BJ639" s="392"/>
      <c r="BK639" s="392"/>
      <c r="BL639" s="392"/>
      <c r="BM639" s="392"/>
      <c r="BN639" s="392"/>
      <c r="BO639" s="392"/>
      <c r="BP639" s="392"/>
      <c r="BQ639" s="392"/>
      <c r="BR639" s="392"/>
      <c r="BS639" s="392"/>
      <c r="BT639" s="392"/>
    </row>
    <row r="640" ht="15.75" customHeight="1">
      <c r="A640" s="216"/>
      <c r="B640" s="156"/>
      <c r="C640" s="156"/>
      <c r="D640" s="156"/>
      <c r="E640" s="392"/>
      <c r="F640" s="392"/>
      <c r="G640" s="392"/>
      <c r="H640" s="392"/>
      <c r="I640" s="392"/>
      <c r="J640" s="392"/>
      <c r="K640" s="392"/>
      <c r="L640" s="392"/>
      <c r="M640" s="392"/>
      <c r="N640" s="392"/>
      <c r="O640" s="392"/>
      <c r="P640" s="392"/>
      <c r="Q640" s="392"/>
      <c r="R640" s="392"/>
      <c r="S640" s="392"/>
      <c r="T640" s="392"/>
      <c r="U640" s="392"/>
      <c r="V640" s="392"/>
      <c r="W640" s="392"/>
      <c r="X640" s="392"/>
      <c r="Y640" s="392"/>
      <c r="Z640" s="392"/>
      <c r="AA640" s="392"/>
      <c r="AB640" s="392"/>
      <c r="AC640" s="392"/>
      <c r="AD640" s="392"/>
      <c r="AE640" s="392"/>
      <c r="AF640" s="392"/>
      <c r="AG640" s="392"/>
      <c r="AH640" s="392"/>
      <c r="AI640" s="392"/>
      <c r="AJ640" s="392"/>
      <c r="AK640" s="392"/>
      <c r="AL640" s="392"/>
      <c r="AM640" s="392"/>
      <c r="AN640" s="392"/>
      <c r="AO640" s="392"/>
      <c r="AP640" s="392"/>
      <c r="AQ640" s="392"/>
      <c r="AR640" s="392"/>
      <c r="AS640" s="392"/>
      <c r="AT640" s="392"/>
      <c r="AU640" s="392"/>
      <c r="AV640" s="392"/>
      <c r="AW640" s="392"/>
      <c r="AX640" s="392"/>
      <c r="AY640" s="392"/>
      <c r="AZ640" s="392"/>
      <c r="BA640" s="392"/>
      <c r="BB640" s="392"/>
      <c r="BC640" s="392"/>
      <c r="BD640" s="392"/>
      <c r="BE640" s="392"/>
      <c r="BF640" s="392"/>
      <c r="BG640" s="392"/>
      <c r="BH640" s="392"/>
      <c r="BI640" s="392"/>
      <c r="BJ640" s="392"/>
      <c r="BK640" s="392"/>
      <c r="BL640" s="392"/>
      <c r="BM640" s="392"/>
      <c r="BN640" s="392"/>
      <c r="BO640" s="392"/>
      <c r="BP640" s="392"/>
      <c r="BQ640" s="392"/>
      <c r="BR640" s="392"/>
      <c r="BS640" s="392"/>
      <c r="BT640" s="392"/>
    </row>
    <row r="641" ht="15.75" customHeight="1">
      <c r="A641" s="216"/>
      <c r="B641" s="156"/>
      <c r="C641" s="156"/>
      <c r="D641" s="156"/>
      <c r="E641" s="392"/>
      <c r="F641" s="392"/>
      <c r="G641" s="392"/>
      <c r="H641" s="392"/>
      <c r="I641" s="392"/>
      <c r="J641" s="392"/>
      <c r="K641" s="392"/>
      <c r="L641" s="392"/>
      <c r="M641" s="392"/>
      <c r="N641" s="392"/>
      <c r="O641" s="392"/>
      <c r="P641" s="392"/>
      <c r="Q641" s="392"/>
      <c r="R641" s="392"/>
      <c r="S641" s="392"/>
      <c r="T641" s="392"/>
      <c r="U641" s="392"/>
      <c r="V641" s="392"/>
      <c r="W641" s="392"/>
      <c r="X641" s="392"/>
      <c r="Y641" s="392"/>
      <c r="Z641" s="392"/>
      <c r="AA641" s="392"/>
      <c r="AB641" s="392"/>
      <c r="AC641" s="392"/>
      <c r="AD641" s="392"/>
      <c r="AE641" s="392"/>
      <c r="AF641" s="392"/>
      <c r="AG641" s="392"/>
      <c r="AH641" s="392"/>
      <c r="AI641" s="392"/>
      <c r="AJ641" s="392"/>
      <c r="AK641" s="392"/>
      <c r="AL641" s="392"/>
      <c r="AM641" s="392"/>
      <c r="AN641" s="392"/>
      <c r="AO641" s="392"/>
      <c r="AP641" s="392"/>
      <c r="AQ641" s="392"/>
      <c r="AR641" s="392"/>
      <c r="AS641" s="392"/>
      <c r="AT641" s="392"/>
      <c r="AU641" s="392"/>
      <c r="AV641" s="392"/>
      <c r="AW641" s="392"/>
      <c r="AX641" s="392"/>
      <c r="AY641" s="392"/>
      <c r="AZ641" s="392"/>
      <c r="BA641" s="392"/>
      <c r="BB641" s="392"/>
      <c r="BC641" s="392"/>
      <c r="BD641" s="392"/>
      <c r="BE641" s="392"/>
      <c r="BF641" s="392"/>
      <c r="BG641" s="392"/>
      <c r="BH641" s="392"/>
      <c r="BI641" s="392"/>
      <c r="BJ641" s="392"/>
      <c r="BK641" s="392"/>
      <c r="BL641" s="392"/>
      <c r="BM641" s="392"/>
      <c r="BN641" s="392"/>
      <c r="BO641" s="392"/>
      <c r="BP641" s="392"/>
      <c r="BQ641" s="392"/>
      <c r="BR641" s="392"/>
      <c r="BS641" s="392"/>
      <c r="BT641" s="392"/>
    </row>
    <row r="642" ht="15.75" customHeight="1">
      <c r="A642" s="216"/>
      <c r="B642" s="156"/>
      <c r="C642" s="156"/>
      <c r="D642" s="156"/>
      <c r="E642" s="392"/>
      <c r="F642" s="392"/>
      <c r="G642" s="392"/>
      <c r="H642" s="392"/>
      <c r="I642" s="392"/>
      <c r="J642" s="392"/>
      <c r="K642" s="392"/>
      <c r="L642" s="392"/>
      <c r="M642" s="392"/>
      <c r="N642" s="392"/>
      <c r="O642" s="392"/>
      <c r="P642" s="392"/>
      <c r="Q642" s="392"/>
      <c r="R642" s="392"/>
      <c r="S642" s="392"/>
      <c r="T642" s="392"/>
      <c r="U642" s="392"/>
      <c r="V642" s="392"/>
      <c r="W642" s="392"/>
      <c r="X642" s="392"/>
      <c r="Y642" s="392"/>
      <c r="Z642" s="392"/>
      <c r="AA642" s="392"/>
      <c r="AB642" s="392"/>
      <c r="AC642" s="392"/>
      <c r="AD642" s="392"/>
      <c r="AE642" s="392"/>
      <c r="AF642" s="392"/>
      <c r="AG642" s="392"/>
      <c r="AH642" s="392"/>
      <c r="AI642" s="392"/>
      <c r="AJ642" s="392"/>
      <c r="AK642" s="392"/>
      <c r="AL642" s="392"/>
      <c r="AM642" s="392"/>
      <c r="AN642" s="392"/>
      <c r="AO642" s="392"/>
      <c r="AP642" s="392"/>
      <c r="AQ642" s="392"/>
      <c r="AR642" s="392"/>
      <c r="AS642" s="392"/>
      <c r="AT642" s="392"/>
      <c r="AU642" s="392"/>
      <c r="AV642" s="392"/>
      <c r="AW642" s="392"/>
      <c r="AX642" s="392"/>
      <c r="AY642" s="392"/>
      <c r="AZ642" s="392"/>
      <c r="BA642" s="392"/>
      <c r="BB642" s="392"/>
      <c r="BC642" s="392"/>
      <c r="BD642" s="392"/>
      <c r="BE642" s="392"/>
      <c r="BF642" s="392"/>
      <c r="BG642" s="392"/>
      <c r="BH642" s="392"/>
      <c r="BI642" s="392"/>
      <c r="BJ642" s="392"/>
      <c r="BK642" s="392"/>
      <c r="BL642" s="392"/>
      <c r="BM642" s="392"/>
      <c r="BN642" s="392"/>
      <c r="BO642" s="392"/>
      <c r="BP642" s="392"/>
      <c r="BQ642" s="392"/>
      <c r="BR642" s="392"/>
      <c r="BS642" s="392"/>
      <c r="BT642" s="392"/>
    </row>
    <row r="643" ht="15.75" customHeight="1">
      <c r="A643" s="216"/>
      <c r="B643" s="156"/>
      <c r="C643" s="156"/>
      <c r="D643" s="156"/>
      <c r="E643" s="392"/>
      <c r="F643" s="392"/>
      <c r="G643" s="392"/>
      <c r="H643" s="392"/>
      <c r="I643" s="392"/>
      <c r="J643" s="392"/>
      <c r="K643" s="392"/>
      <c r="L643" s="392"/>
      <c r="M643" s="392"/>
      <c r="N643" s="392"/>
      <c r="O643" s="392"/>
      <c r="P643" s="392"/>
      <c r="Q643" s="392"/>
      <c r="R643" s="392"/>
      <c r="S643" s="392"/>
      <c r="T643" s="392"/>
      <c r="U643" s="392"/>
      <c r="V643" s="392"/>
      <c r="W643" s="392"/>
      <c r="X643" s="392"/>
      <c r="Y643" s="392"/>
      <c r="Z643" s="392"/>
      <c r="AA643" s="392"/>
      <c r="AB643" s="392"/>
      <c r="AC643" s="392"/>
      <c r="AD643" s="392"/>
      <c r="AE643" s="392"/>
      <c r="AF643" s="392"/>
      <c r="AG643" s="392"/>
      <c r="AH643" s="392"/>
      <c r="AI643" s="392"/>
      <c r="AJ643" s="392"/>
      <c r="AK643" s="392"/>
      <c r="AL643" s="392"/>
      <c r="AM643" s="392"/>
      <c r="AN643" s="392"/>
      <c r="AO643" s="392"/>
      <c r="AP643" s="392"/>
      <c r="AQ643" s="392"/>
      <c r="AR643" s="392"/>
      <c r="AS643" s="392"/>
      <c r="AT643" s="392"/>
      <c r="AU643" s="392"/>
      <c r="AV643" s="392"/>
      <c r="AW643" s="392"/>
      <c r="AX643" s="392"/>
      <c r="AY643" s="392"/>
      <c r="AZ643" s="392"/>
      <c r="BA643" s="392"/>
      <c r="BB643" s="392"/>
      <c r="BC643" s="392"/>
      <c r="BD643" s="392"/>
      <c r="BE643" s="392"/>
      <c r="BF643" s="392"/>
      <c r="BG643" s="392"/>
      <c r="BH643" s="392"/>
      <c r="BI643" s="392"/>
      <c r="BJ643" s="392"/>
      <c r="BK643" s="392"/>
      <c r="BL643" s="392"/>
      <c r="BM643" s="392"/>
      <c r="BN643" s="392"/>
      <c r="BO643" s="392"/>
      <c r="BP643" s="392"/>
      <c r="BQ643" s="392"/>
      <c r="BR643" s="392"/>
      <c r="BS643" s="392"/>
      <c r="BT643" s="392"/>
    </row>
    <row r="644" ht="15.75" customHeight="1">
      <c r="A644" s="216"/>
      <c r="B644" s="156"/>
      <c r="C644" s="156"/>
      <c r="D644" s="156"/>
      <c r="E644" s="392"/>
      <c r="F644" s="392"/>
      <c r="G644" s="392"/>
      <c r="H644" s="392"/>
      <c r="I644" s="392"/>
      <c r="J644" s="392"/>
      <c r="K644" s="392"/>
      <c r="L644" s="392"/>
      <c r="M644" s="392"/>
      <c r="N644" s="392"/>
      <c r="O644" s="392"/>
      <c r="P644" s="392"/>
      <c r="Q644" s="392"/>
      <c r="R644" s="392"/>
      <c r="S644" s="392"/>
      <c r="T644" s="392"/>
      <c r="U644" s="392"/>
      <c r="V644" s="392"/>
      <c r="W644" s="392"/>
      <c r="X644" s="392"/>
      <c r="Y644" s="392"/>
      <c r="Z644" s="392"/>
      <c r="AA644" s="392"/>
      <c r="AB644" s="392"/>
      <c r="AC644" s="392"/>
      <c r="AD644" s="392"/>
      <c r="AE644" s="392"/>
      <c r="AF644" s="392"/>
      <c r="AG644" s="392"/>
      <c r="AH644" s="392"/>
      <c r="AI644" s="392"/>
      <c r="AJ644" s="392"/>
      <c r="AK644" s="392"/>
      <c r="AL644" s="392"/>
      <c r="AM644" s="392"/>
      <c r="AN644" s="392"/>
      <c r="AO644" s="392"/>
      <c r="AP644" s="392"/>
      <c r="AQ644" s="392"/>
      <c r="AR644" s="392"/>
      <c r="AS644" s="392"/>
      <c r="AT644" s="392"/>
      <c r="AU644" s="392"/>
      <c r="AV644" s="392"/>
      <c r="AW644" s="392"/>
      <c r="AX644" s="392"/>
      <c r="AY644" s="392"/>
      <c r="AZ644" s="392"/>
      <c r="BA644" s="392"/>
      <c r="BB644" s="392"/>
      <c r="BC644" s="392"/>
      <c r="BD644" s="392"/>
      <c r="BE644" s="392"/>
      <c r="BF644" s="392"/>
      <c r="BG644" s="392"/>
      <c r="BH644" s="392"/>
      <c r="BI644" s="392"/>
      <c r="BJ644" s="392"/>
      <c r="BK644" s="392"/>
      <c r="BL644" s="392"/>
      <c r="BM644" s="392"/>
      <c r="BN644" s="392"/>
      <c r="BO644" s="392"/>
      <c r="BP644" s="392"/>
      <c r="BQ644" s="392"/>
      <c r="BR644" s="392"/>
      <c r="BS644" s="392"/>
      <c r="BT644" s="392"/>
    </row>
    <row r="645" ht="15.75" customHeight="1">
      <c r="A645" s="216"/>
      <c r="B645" s="156"/>
      <c r="C645" s="156"/>
      <c r="D645" s="156"/>
      <c r="E645" s="392"/>
      <c r="F645" s="392"/>
      <c r="G645" s="392"/>
      <c r="H645" s="392"/>
      <c r="I645" s="392"/>
      <c r="J645" s="392"/>
      <c r="K645" s="392"/>
      <c r="L645" s="392"/>
      <c r="M645" s="392"/>
      <c r="N645" s="392"/>
      <c r="O645" s="392"/>
      <c r="P645" s="392"/>
      <c r="Q645" s="392"/>
      <c r="R645" s="392"/>
      <c r="S645" s="392"/>
      <c r="T645" s="392"/>
      <c r="U645" s="392"/>
      <c r="V645" s="392"/>
      <c r="W645" s="392"/>
      <c r="X645" s="392"/>
      <c r="Y645" s="392"/>
      <c r="Z645" s="392"/>
      <c r="AA645" s="392"/>
      <c r="AB645" s="392"/>
      <c r="AC645" s="392"/>
      <c r="AD645" s="392"/>
      <c r="AE645" s="392"/>
      <c r="AF645" s="392"/>
      <c r="AG645" s="392"/>
      <c r="AH645" s="392"/>
      <c r="AI645" s="392"/>
      <c r="AJ645" s="392"/>
      <c r="AK645" s="392"/>
      <c r="AL645" s="392"/>
      <c r="AM645" s="392"/>
      <c r="AN645" s="392"/>
      <c r="AO645" s="392"/>
      <c r="AP645" s="392"/>
      <c r="AQ645" s="392"/>
      <c r="AR645" s="392"/>
      <c r="AS645" s="392"/>
      <c r="AT645" s="392"/>
      <c r="AU645" s="392"/>
      <c r="AV645" s="392"/>
      <c r="AW645" s="392"/>
      <c r="AX645" s="392"/>
      <c r="AY645" s="392"/>
      <c r="AZ645" s="392"/>
      <c r="BA645" s="392"/>
      <c r="BB645" s="392"/>
      <c r="BC645" s="392"/>
      <c r="BD645" s="392"/>
      <c r="BE645" s="392"/>
      <c r="BF645" s="392"/>
      <c r="BG645" s="392"/>
      <c r="BH645" s="392"/>
      <c r="BI645" s="392"/>
      <c r="BJ645" s="392"/>
      <c r="BK645" s="392"/>
      <c r="BL645" s="392"/>
      <c r="BM645" s="392"/>
      <c r="BN645" s="392"/>
      <c r="BO645" s="392"/>
      <c r="BP645" s="392"/>
      <c r="BQ645" s="392"/>
      <c r="BR645" s="392"/>
      <c r="BS645" s="392"/>
      <c r="BT645" s="392"/>
    </row>
    <row r="646" ht="15.75" customHeight="1">
      <c r="A646" s="216"/>
      <c r="B646" s="156"/>
      <c r="C646" s="156"/>
      <c r="D646" s="156"/>
      <c r="E646" s="392"/>
      <c r="F646" s="392"/>
      <c r="G646" s="392"/>
      <c r="H646" s="392"/>
      <c r="I646" s="392"/>
      <c r="J646" s="392"/>
      <c r="K646" s="392"/>
      <c r="L646" s="392"/>
      <c r="M646" s="392"/>
      <c r="N646" s="392"/>
      <c r="O646" s="392"/>
      <c r="P646" s="392"/>
      <c r="Q646" s="392"/>
      <c r="R646" s="392"/>
      <c r="S646" s="392"/>
      <c r="T646" s="392"/>
      <c r="U646" s="392"/>
      <c r="V646" s="392"/>
      <c r="W646" s="392"/>
      <c r="X646" s="392"/>
      <c r="Y646" s="392"/>
      <c r="Z646" s="392"/>
      <c r="AA646" s="392"/>
      <c r="AB646" s="392"/>
      <c r="AC646" s="392"/>
      <c r="AD646" s="392"/>
      <c r="AE646" s="392"/>
      <c r="AF646" s="392"/>
      <c r="AG646" s="392"/>
      <c r="AH646" s="392"/>
      <c r="AI646" s="392"/>
      <c r="AJ646" s="392"/>
      <c r="AK646" s="392"/>
      <c r="AL646" s="392"/>
      <c r="AM646" s="392"/>
      <c r="AN646" s="392"/>
      <c r="AO646" s="392"/>
      <c r="AP646" s="392"/>
      <c r="AQ646" s="392"/>
      <c r="AR646" s="392"/>
      <c r="AS646" s="392"/>
      <c r="AT646" s="392"/>
      <c r="AU646" s="392"/>
      <c r="AV646" s="392"/>
      <c r="AW646" s="392"/>
      <c r="AX646" s="392"/>
      <c r="AY646" s="392"/>
      <c r="AZ646" s="392"/>
      <c r="BA646" s="392"/>
      <c r="BB646" s="392"/>
      <c r="BC646" s="392"/>
      <c r="BD646" s="392"/>
      <c r="BE646" s="392"/>
      <c r="BF646" s="392"/>
      <c r="BG646" s="392"/>
      <c r="BH646" s="392"/>
      <c r="BI646" s="392"/>
      <c r="BJ646" s="392"/>
      <c r="BK646" s="392"/>
      <c r="BL646" s="392"/>
      <c r="BM646" s="392"/>
      <c r="BN646" s="392"/>
      <c r="BO646" s="392"/>
      <c r="BP646" s="392"/>
      <c r="BQ646" s="392"/>
      <c r="BR646" s="392"/>
      <c r="BS646" s="392"/>
      <c r="BT646" s="392"/>
    </row>
    <row r="647" ht="15.75" customHeight="1">
      <c r="A647" s="216"/>
      <c r="B647" s="156"/>
      <c r="C647" s="156"/>
      <c r="D647" s="156"/>
      <c r="E647" s="392"/>
      <c r="F647" s="392"/>
      <c r="G647" s="392"/>
      <c r="H647" s="392"/>
      <c r="I647" s="392"/>
      <c r="J647" s="392"/>
      <c r="K647" s="392"/>
      <c r="L647" s="392"/>
      <c r="M647" s="392"/>
      <c r="N647" s="392"/>
      <c r="O647" s="392"/>
      <c r="P647" s="392"/>
      <c r="Q647" s="392"/>
      <c r="R647" s="392"/>
      <c r="S647" s="392"/>
      <c r="T647" s="392"/>
      <c r="U647" s="392"/>
      <c r="V647" s="392"/>
      <c r="W647" s="392"/>
      <c r="X647" s="392"/>
      <c r="Y647" s="392"/>
      <c r="Z647" s="392"/>
      <c r="AA647" s="392"/>
      <c r="AB647" s="392"/>
      <c r="AC647" s="392"/>
      <c r="AD647" s="392"/>
      <c r="AE647" s="392"/>
      <c r="AF647" s="392"/>
      <c r="AG647" s="392"/>
      <c r="AH647" s="392"/>
      <c r="AI647" s="392"/>
      <c r="AJ647" s="392"/>
      <c r="AK647" s="392"/>
      <c r="AL647" s="392"/>
      <c r="AM647" s="392"/>
      <c r="AN647" s="392"/>
      <c r="AO647" s="392"/>
      <c r="AP647" s="392"/>
      <c r="AQ647" s="392"/>
      <c r="AR647" s="392"/>
      <c r="AS647" s="392"/>
      <c r="AT647" s="392"/>
      <c r="AU647" s="392"/>
      <c r="AV647" s="392"/>
      <c r="AW647" s="392"/>
      <c r="AX647" s="392"/>
      <c r="AY647" s="392"/>
      <c r="AZ647" s="392"/>
      <c r="BA647" s="392"/>
      <c r="BB647" s="392"/>
      <c r="BC647" s="392"/>
      <c r="BD647" s="392"/>
      <c r="BE647" s="392"/>
      <c r="BF647" s="392"/>
      <c r="BG647" s="392"/>
      <c r="BH647" s="392"/>
      <c r="BI647" s="392"/>
      <c r="BJ647" s="392"/>
      <c r="BK647" s="392"/>
      <c r="BL647" s="392"/>
      <c r="BM647" s="392"/>
      <c r="BN647" s="392"/>
      <c r="BO647" s="392"/>
      <c r="BP647" s="392"/>
      <c r="BQ647" s="392"/>
      <c r="BR647" s="392"/>
      <c r="BS647" s="392"/>
      <c r="BT647" s="392"/>
    </row>
    <row r="648" ht="15.75" customHeight="1">
      <c r="A648" s="216"/>
      <c r="B648" s="156"/>
      <c r="C648" s="156"/>
      <c r="D648" s="156"/>
      <c r="E648" s="392"/>
      <c r="F648" s="392"/>
      <c r="G648" s="392"/>
      <c r="H648" s="392"/>
      <c r="I648" s="392"/>
      <c r="J648" s="392"/>
      <c r="K648" s="392"/>
      <c r="L648" s="392"/>
      <c r="M648" s="392"/>
      <c r="N648" s="392"/>
      <c r="O648" s="392"/>
      <c r="P648" s="392"/>
      <c r="Q648" s="392"/>
      <c r="R648" s="392"/>
      <c r="S648" s="392"/>
      <c r="T648" s="392"/>
      <c r="U648" s="392"/>
      <c r="V648" s="392"/>
      <c r="W648" s="392"/>
      <c r="X648" s="392"/>
      <c r="Y648" s="392"/>
      <c r="Z648" s="392"/>
      <c r="AA648" s="392"/>
      <c r="AB648" s="392"/>
      <c r="AC648" s="392"/>
      <c r="AD648" s="392"/>
      <c r="AE648" s="392"/>
      <c r="AF648" s="392"/>
      <c r="AG648" s="392"/>
      <c r="AH648" s="392"/>
      <c r="AI648" s="392"/>
      <c r="AJ648" s="392"/>
      <c r="AK648" s="392"/>
      <c r="AL648" s="392"/>
      <c r="AM648" s="392"/>
      <c r="AN648" s="392"/>
      <c r="AO648" s="392"/>
      <c r="AP648" s="392"/>
      <c r="AQ648" s="392"/>
      <c r="AR648" s="392"/>
      <c r="AS648" s="392"/>
      <c r="AT648" s="392"/>
      <c r="AU648" s="392"/>
      <c r="AV648" s="392"/>
      <c r="AW648" s="392"/>
      <c r="AX648" s="392"/>
      <c r="AY648" s="392"/>
      <c r="AZ648" s="392"/>
      <c r="BA648" s="392"/>
      <c r="BB648" s="392"/>
      <c r="BC648" s="392"/>
      <c r="BD648" s="392"/>
      <c r="BE648" s="392"/>
      <c r="BF648" s="392"/>
      <c r="BG648" s="392"/>
      <c r="BH648" s="392"/>
      <c r="BI648" s="392"/>
      <c r="BJ648" s="392"/>
      <c r="BK648" s="392"/>
      <c r="BL648" s="392"/>
      <c r="BM648" s="392"/>
      <c r="BN648" s="392"/>
      <c r="BO648" s="392"/>
      <c r="BP648" s="392"/>
      <c r="BQ648" s="392"/>
      <c r="BR648" s="392"/>
      <c r="BS648" s="392"/>
      <c r="BT648" s="392"/>
    </row>
    <row r="649" ht="15.75" customHeight="1">
      <c r="A649" s="216"/>
      <c r="B649" s="156"/>
      <c r="C649" s="156"/>
      <c r="D649" s="156"/>
      <c r="E649" s="392"/>
      <c r="F649" s="392"/>
      <c r="G649" s="392"/>
      <c r="H649" s="392"/>
      <c r="I649" s="392"/>
      <c r="J649" s="392"/>
      <c r="K649" s="392"/>
      <c r="L649" s="392"/>
      <c r="M649" s="392"/>
      <c r="N649" s="392"/>
      <c r="O649" s="392"/>
      <c r="P649" s="392"/>
      <c r="Q649" s="392"/>
      <c r="R649" s="392"/>
      <c r="S649" s="392"/>
      <c r="T649" s="392"/>
      <c r="U649" s="392"/>
      <c r="V649" s="392"/>
      <c r="W649" s="392"/>
      <c r="X649" s="392"/>
      <c r="Y649" s="392"/>
      <c r="Z649" s="392"/>
      <c r="AA649" s="392"/>
      <c r="AB649" s="392"/>
      <c r="AC649" s="392"/>
      <c r="AD649" s="392"/>
      <c r="AE649" s="392"/>
      <c r="AF649" s="392"/>
      <c r="AG649" s="392"/>
      <c r="AH649" s="392"/>
      <c r="AI649" s="392"/>
      <c r="AJ649" s="392"/>
      <c r="AK649" s="392"/>
      <c r="AL649" s="392"/>
      <c r="AM649" s="392"/>
      <c r="AN649" s="392"/>
      <c r="AO649" s="392"/>
      <c r="AP649" s="392"/>
      <c r="AQ649" s="392"/>
      <c r="AR649" s="392"/>
      <c r="AS649" s="392"/>
      <c r="AT649" s="392"/>
      <c r="AU649" s="392"/>
      <c r="AV649" s="392"/>
      <c r="AW649" s="392"/>
      <c r="AX649" s="392"/>
      <c r="AY649" s="392"/>
      <c r="AZ649" s="392"/>
      <c r="BA649" s="392"/>
      <c r="BB649" s="392"/>
      <c r="BC649" s="392"/>
      <c r="BD649" s="392"/>
      <c r="BE649" s="392"/>
      <c r="BF649" s="392"/>
      <c r="BG649" s="392"/>
      <c r="BH649" s="392"/>
      <c r="BI649" s="392"/>
      <c r="BJ649" s="392"/>
      <c r="BK649" s="392"/>
      <c r="BL649" s="392"/>
      <c r="BM649" s="392"/>
      <c r="BN649" s="392"/>
      <c r="BO649" s="392"/>
      <c r="BP649" s="392"/>
      <c r="BQ649" s="392"/>
      <c r="BR649" s="392"/>
      <c r="BS649" s="392"/>
      <c r="BT649" s="392"/>
    </row>
    <row r="650" ht="15.75" customHeight="1">
      <c r="A650" s="216"/>
      <c r="B650" s="156"/>
      <c r="C650" s="156"/>
      <c r="D650" s="156"/>
      <c r="E650" s="392"/>
      <c r="F650" s="392"/>
      <c r="G650" s="392"/>
      <c r="H650" s="392"/>
      <c r="I650" s="392"/>
      <c r="J650" s="392"/>
      <c r="K650" s="392"/>
      <c r="L650" s="392"/>
      <c r="M650" s="392"/>
      <c r="N650" s="392"/>
      <c r="O650" s="392"/>
      <c r="P650" s="392"/>
      <c r="Q650" s="392"/>
      <c r="R650" s="392"/>
      <c r="S650" s="392"/>
      <c r="T650" s="392"/>
      <c r="U650" s="392"/>
      <c r="V650" s="392"/>
      <c r="W650" s="392"/>
      <c r="X650" s="392"/>
      <c r="Y650" s="392"/>
      <c r="Z650" s="392"/>
      <c r="AA650" s="392"/>
      <c r="AB650" s="392"/>
      <c r="AC650" s="392"/>
      <c r="AD650" s="392"/>
      <c r="AE650" s="392"/>
      <c r="AF650" s="392"/>
      <c r="AG650" s="392"/>
      <c r="AH650" s="392"/>
      <c r="AI650" s="392"/>
      <c r="AJ650" s="392"/>
      <c r="AK650" s="392"/>
      <c r="AL650" s="392"/>
      <c r="AM650" s="392"/>
      <c r="AN650" s="392"/>
      <c r="AO650" s="392"/>
      <c r="AP650" s="392"/>
      <c r="AQ650" s="392"/>
      <c r="AR650" s="392"/>
      <c r="AS650" s="392"/>
      <c r="AT650" s="392"/>
      <c r="AU650" s="392"/>
      <c r="AV650" s="392"/>
      <c r="AW650" s="392"/>
      <c r="AX650" s="392"/>
      <c r="AY650" s="392"/>
      <c r="AZ650" s="392"/>
      <c r="BA650" s="392"/>
      <c r="BB650" s="392"/>
      <c r="BC650" s="392"/>
      <c r="BD650" s="392"/>
      <c r="BE650" s="392"/>
      <c r="BF650" s="392"/>
      <c r="BG650" s="392"/>
      <c r="BH650" s="392"/>
      <c r="BI650" s="392"/>
      <c r="BJ650" s="392"/>
      <c r="BK650" s="392"/>
      <c r="BL650" s="392"/>
      <c r="BM650" s="392"/>
      <c r="BN650" s="392"/>
      <c r="BO650" s="392"/>
      <c r="BP650" s="392"/>
      <c r="BQ650" s="392"/>
      <c r="BR650" s="392"/>
      <c r="BS650" s="392"/>
      <c r="BT650" s="392"/>
    </row>
    <row r="651" ht="15.75" customHeight="1">
      <c r="A651" s="216"/>
      <c r="B651" s="156"/>
      <c r="C651" s="156"/>
      <c r="D651" s="156"/>
      <c r="E651" s="392"/>
      <c r="F651" s="392"/>
      <c r="G651" s="392"/>
      <c r="H651" s="392"/>
      <c r="I651" s="392"/>
      <c r="J651" s="392"/>
      <c r="K651" s="392"/>
      <c r="L651" s="392"/>
      <c r="M651" s="392"/>
      <c r="N651" s="392"/>
      <c r="O651" s="392"/>
      <c r="P651" s="392"/>
      <c r="Q651" s="392"/>
      <c r="R651" s="392"/>
      <c r="S651" s="392"/>
      <c r="T651" s="392"/>
      <c r="U651" s="392"/>
      <c r="V651" s="392"/>
      <c r="W651" s="392"/>
      <c r="X651" s="392"/>
      <c r="Y651" s="392"/>
      <c r="Z651" s="392"/>
      <c r="AA651" s="392"/>
      <c r="AB651" s="392"/>
      <c r="AC651" s="392"/>
      <c r="AD651" s="392"/>
      <c r="AE651" s="392"/>
      <c r="AF651" s="392"/>
      <c r="AG651" s="392"/>
      <c r="AH651" s="392"/>
      <c r="AI651" s="392"/>
      <c r="AJ651" s="392"/>
      <c r="AK651" s="392"/>
      <c r="AL651" s="392"/>
      <c r="AM651" s="392"/>
      <c r="AN651" s="392"/>
      <c r="AO651" s="392"/>
      <c r="AP651" s="392"/>
      <c r="AQ651" s="392"/>
      <c r="AR651" s="392"/>
      <c r="AS651" s="392"/>
      <c r="AT651" s="392"/>
      <c r="AU651" s="392"/>
      <c r="AV651" s="392"/>
      <c r="AW651" s="392"/>
      <c r="AX651" s="392"/>
      <c r="AY651" s="392"/>
      <c r="AZ651" s="392"/>
      <c r="BA651" s="392"/>
      <c r="BB651" s="392"/>
      <c r="BC651" s="392"/>
      <c r="BD651" s="392"/>
      <c r="BE651" s="392"/>
      <c r="BF651" s="392"/>
      <c r="BG651" s="392"/>
      <c r="BH651" s="392"/>
      <c r="BI651" s="392"/>
      <c r="BJ651" s="392"/>
      <c r="BK651" s="392"/>
      <c r="BL651" s="392"/>
      <c r="BM651" s="392"/>
      <c r="BN651" s="392"/>
      <c r="BO651" s="392"/>
      <c r="BP651" s="392"/>
      <c r="BQ651" s="392"/>
      <c r="BR651" s="392"/>
      <c r="BS651" s="392"/>
      <c r="BT651" s="392"/>
    </row>
    <row r="652" ht="15.75" customHeight="1">
      <c r="A652" s="216"/>
      <c r="B652" s="156"/>
      <c r="C652" s="156"/>
      <c r="D652" s="156"/>
      <c r="E652" s="392"/>
      <c r="F652" s="392"/>
      <c r="G652" s="392"/>
      <c r="H652" s="392"/>
      <c r="I652" s="392"/>
      <c r="J652" s="392"/>
      <c r="K652" s="392"/>
      <c r="L652" s="392"/>
      <c r="M652" s="392"/>
      <c r="N652" s="392"/>
      <c r="O652" s="392"/>
      <c r="P652" s="392"/>
      <c r="Q652" s="392"/>
      <c r="R652" s="392"/>
      <c r="S652" s="392"/>
      <c r="T652" s="392"/>
      <c r="U652" s="392"/>
      <c r="V652" s="392"/>
      <c r="W652" s="392"/>
      <c r="X652" s="392"/>
      <c r="Y652" s="392"/>
      <c r="Z652" s="392"/>
      <c r="AA652" s="392"/>
      <c r="AB652" s="392"/>
      <c r="AC652" s="392"/>
      <c r="AD652" s="392"/>
      <c r="AE652" s="392"/>
      <c r="AF652" s="392"/>
      <c r="AG652" s="392"/>
      <c r="AH652" s="392"/>
      <c r="AI652" s="392"/>
      <c r="AJ652" s="392"/>
      <c r="AK652" s="392"/>
      <c r="AL652" s="392"/>
      <c r="AM652" s="392"/>
      <c r="AN652" s="392"/>
      <c r="AO652" s="392"/>
      <c r="AP652" s="392"/>
      <c r="AQ652" s="392"/>
      <c r="AR652" s="392"/>
      <c r="AS652" s="392"/>
      <c r="AT652" s="392"/>
      <c r="AU652" s="392"/>
      <c r="AV652" s="392"/>
      <c r="AW652" s="392"/>
      <c r="AX652" s="392"/>
      <c r="AY652" s="392"/>
      <c r="AZ652" s="392"/>
      <c r="BA652" s="392"/>
      <c r="BB652" s="392"/>
      <c r="BC652" s="392"/>
      <c r="BD652" s="392"/>
      <c r="BE652" s="392"/>
      <c r="BF652" s="392"/>
      <c r="BG652" s="392"/>
      <c r="BH652" s="392"/>
      <c r="BI652" s="392"/>
      <c r="BJ652" s="392"/>
      <c r="BK652" s="392"/>
      <c r="BL652" s="392"/>
      <c r="BM652" s="392"/>
      <c r="BN652" s="392"/>
      <c r="BO652" s="392"/>
      <c r="BP652" s="392"/>
      <c r="BQ652" s="392"/>
      <c r="BR652" s="392"/>
      <c r="BS652" s="392"/>
      <c r="BT652" s="392"/>
    </row>
    <row r="653" ht="15.75" customHeight="1">
      <c r="A653" s="216"/>
      <c r="B653" s="156"/>
      <c r="C653" s="156"/>
      <c r="D653" s="156"/>
      <c r="E653" s="392"/>
      <c r="F653" s="392"/>
      <c r="G653" s="392"/>
      <c r="H653" s="392"/>
      <c r="I653" s="392"/>
      <c r="J653" s="392"/>
      <c r="K653" s="392"/>
      <c r="L653" s="392"/>
      <c r="M653" s="392"/>
      <c r="N653" s="392"/>
      <c r="O653" s="392"/>
      <c r="P653" s="392"/>
      <c r="Q653" s="392"/>
      <c r="R653" s="392"/>
      <c r="S653" s="392"/>
      <c r="T653" s="392"/>
      <c r="U653" s="392"/>
      <c r="V653" s="392"/>
      <c r="W653" s="392"/>
      <c r="X653" s="392"/>
      <c r="Y653" s="392"/>
      <c r="Z653" s="392"/>
      <c r="AA653" s="392"/>
      <c r="AB653" s="392"/>
      <c r="AC653" s="392"/>
      <c r="AD653" s="392"/>
      <c r="AE653" s="392"/>
      <c r="AF653" s="392"/>
      <c r="AG653" s="392"/>
      <c r="AH653" s="392"/>
      <c r="AI653" s="392"/>
      <c r="AJ653" s="392"/>
      <c r="AK653" s="392"/>
      <c r="AL653" s="392"/>
      <c r="AM653" s="392"/>
      <c r="AN653" s="392"/>
      <c r="AO653" s="392"/>
      <c r="AP653" s="392"/>
      <c r="AQ653" s="392"/>
      <c r="AR653" s="392"/>
      <c r="AS653" s="392"/>
      <c r="AT653" s="392"/>
      <c r="AU653" s="392"/>
      <c r="AV653" s="392"/>
      <c r="AW653" s="392"/>
      <c r="AX653" s="392"/>
      <c r="AY653" s="392"/>
      <c r="AZ653" s="392"/>
      <c r="BA653" s="392"/>
      <c r="BB653" s="392"/>
      <c r="BC653" s="392"/>
      <c r="BD653" s="392"/>
      <c r="BE653" s="392"/>
      <c r="BF653" s="392"/>
      <c r="BG653" s="392"/>
      <c r="BH653" s="392"/>
      <c r="BI653" s="392"/>
      <c r="BJ653" s="392"/>
      <c r="BK653" s="392"/>
      <c r="BL653" s="392"/>
      <c r="BM653" s="392"/>
      <c r="BN653" s="392"/>
      <c r="BO653" s="392"/>
      <c r="BP653" s="392"/>
      <c r="BQ653" s="392"/>
      <c r="BR653" s="392"/>
      <c r="BS653" s="392"/>
      <c r="BT653" s="392"/>
    </row>
    <row r="654" ht="15.75" customHeight="1">
      <c r="A654" s="216"/>
      <c r="B654" s="156"/>
      <c r="C654" s="156"/>
      <c r="D654" s="156"/>
      <c r="E654" s="392"/>
      <c r="F654" s="392"/>
      <c r="G654" s="392"/>
      <c r="H654" s="392"/>
      <c r="I654" s="392"/>
      <c r="J654" s="392"/>
      <c r="K654" s="392"/>
      <c r="L654" s="392"/>
      <c r="M654" s="392"/>
      <c r="N654" s="392"/>
      <c r="O654" s="392"/>
      <c r="P654" s="392"/>
      <c r="Q654" s="392"/>
      <c r="R654" s="392"/>
      <c r="S654" s="392"/>
      <c r="T654" s="392"/>
      <c r="U654" s="392"/>
      <c r="V654" s="392"/>
      <c r="W654" s="392"/>
      <c r="X654" s="392"/>
      <c r="Y654" s="392"/>
      <c r="Z654" s="392"/>
      <c r="AA654" s="392"/>
      <c r="AB654" s="392"/>
      <c r="AC654" s="392"/>
      <c r="AD654" s="392"/>
      <c r="AE654" s="392"/>
      <c r="AF654" s="392"/>
      <c r="AG654" s="392"/>
      <c r="AH654" s="392"/>
      <c r="AI654" s="392"/>
      <c r="AJ654" s="392"/>
      <c r="AK654" s="392"/>
      <c r="AL654" s="392"/>
      <c r="AM654" s="392"/>
      <c r="AN654" s="392"/>
      <c r="AO654" s="392"/>
      <c r="AP654" s="392"/>
      <c r="AQ654" s="392"/>
      <c r="AR654" s="392"/>
      <c r="AS654" s="392"/>
      <c r="AT654" s="392"/>
      <c r="AU654" s="392"/>
      <c r="AV654" s="392"/>
      <c r="AW654" s="392"/>
      <c r="AX654" s="392"/>
      <c r="AY654" s="392"/>
      <c r="AZ654" s="392"/>
      <c r="BA654" s="392"/>
      <c r="BB654" s="392"/>
      <c r="BC654" s="392"/>
      <c r="BD654" s="392"/>
      <c r="BE654" s="392"/>
      <c r="BF654" s="392"/>
      <c r="BG654" s="392"/>
      <c r="BH654" s="392"/>
      <c r="BI654" s="392"/>
      <c r="BJ654" s="392"/>
      <c r="BK654" s="392"/>
      <c r="BL654" s="392"/>
      <c r="BM654" s="392"/>
      <c r="BN654" s="392"/>
      <c r="BO654" s="392"/>
      <c r="BP654" s="392"/>
      <c r="BQ654" s="392"/>
      <c r="BR654" s="392"/>
      <c r="BS654" s="392"/>
      <c r="BT654" s="392"/>
    </row>
    <row r="655" ht="15.75" customHeight="1">
      <c r="A655" s="216"/>
      <c r="B655" s="156"/>
      <c r="C655" s="156"/>
      <c r="D655" s="156"/>
      <c r="E655" s="392"/>
      <c r="F655" s="392"/>
      <c r="G655" s="392"/>
      <c r="H655" s="392"/>
      <c r="I655" s="392"/>
      <c r="J655" s="392"/>
      <c r="K655" s="392"/>
      <c r="L655" s="392"/>
      <c r="M655" s="392"/>
      <c r="N655" s="392"/>
      <c r="O655" s="392"/>
      <c r="P655" s="392"/>
      <c r="Q655" s="392"/>
      <c r="R655" s="392"/>
      <c r="S655" s="392"/>
      <c r="T655" s="392"/>
      <c r="U655" s="392"/>
      <c r="V655" s="392"/>
      <c r="W655" s="392"/>
      <c r="X655" s="392"/>
      <c r="Y655" s="392"/>
      <c r="Z655" s="392"/>
      <c r="AA655" s="392"/>
      <c r="AB655" s="392"/>
      <c r="AC655" s="392"/>
      <c r="AD655" s="392"/>
      <c r="AE655" s="392"/>
      <c r="AF655" s="392"/>
      <c r="AG655" s="392"/>
      <c r="AH655" s="392"/>
      <c r="AI655" s="392"/>
      <c r="AJ655" s="392"/>
      <c r="AK655" s="392"/>
      <c r="AL655" s="392"/>
      <c r="AM655" s="392"/>
      <c r="AN655" s="392"/>
      <c r="AO655" s="392"/>
      <c r="AP655" s="392"/>
      <c r="AQ655" s="392"/>
      <c r="AR655" s="392"/>
      <c r="AS655" s="392"/>
      <c r="AT655" s="392"/>
      <c r="AU655" s="392"/>
      <c r="AV655" s="392"/>
      <c r="AW655" s="392"/>
      <c r="AX655" s="392"/>
      <c r="AY655" s="392"/>
      <c r="AZ655" s="392"/>
      <c r="BA655" s="392"/>
      <c r="BB655" s="392"/>
      <c r="BC655" s="392"/>
      <c r="BD655" s="392"/>
      <c r="BE655" s="392"/>
      <c r="BF655" s="392"/>
      <c r="BG655" s="392"/>
      <c r="BH655" s="392"/>
      <c r="BI655" s="392"/>
      <c r="BJ655" s="392"/>
      <c r="BK655" s="392"/>
      <c r="BL655" s="392"/>
      <c r="BM655" s="392"/>
      <c r="BN655" s="392"/>
      <c r="BO655" s="392"/>
      <c r="BP655" s="392"/>
      <c r="BQ655" s="392"/>
      <c r="BR655" s="392"/>
      <c r="BS655" s="392"/>
      <c r="BT655" s="392"/>
    </row>
    <row r="656" ht="15.75" customHeight="1">
      <c r="A656" s="216"/>
      <c r="B656" s="156"/>
      <c r="C656" s="156"/>
      <c r="D656" s="156"/>
      <c r="E656" s="392"/>
      <c r="F656" s="392"/>
      <c r="G656" s="392"/>
      <c r="H656" s="392"/>
      <c r="I656" s="392"/>
      <c r="J656" s="392"/>
      <c r="K656" s="392"/>
      <c r="L656" s="392"/>
      <c r="M656" s="392"/>
      <c r="N656" s="392"/>
      <c r="O656" s="392"/>
      <c r="P656" s="392"/>
      <c r="Q656" s="392"/>
      <c r="R656" s="392"/>
      <c r="S656" s="392"/>
      <c r="T656" s="392"/>
      <c r="U656" s="392"/>
      <c r="V656" s="392"/>
      <c r="W656" s="392"/>
      <c r="X656" s="392"/>
      <c r="Y656" s="392"/>
      <c r="Z656" s="392"/>
      <c r="AA656" s="392"/>
      <c r="AB656" s="392"/>
      <c r="AC656" s="392"/>
      <c r="AD656" s="392"/>
      <c r="AE656" s="392"/>
      <c r="AF656" s="392"/>
      <c r="AG656" s="392"/>
      <c r="AH656" s="392"/>
      <c r="AI656" s="392"/>
      <c r="AJ656" s="392"/>
      <c r="AK656" s="392"/>
      <c r="AL656" s="392"/>
      <c r="AM656" s="392"/>
      <c r="AN656" s="392"/>
      <c r="AO656" s="392"/>
      <c r="AP656" s="392"/>
      <c r="AQ656" s="392"/>
      <c r="AR656" s="392"/>
      <c r="AS656" s="392"/>
      <c r="AT656" s="392"/>
      <c r="AU656" s="392"/>
      <c r="AV656" s="392"/>
      <c r="AW656" s="392"/>
      <c r="AX656" s="392"/>
      <c r="AY656" s="392"/>
      <c r="AZ656" s="392"/>
      <c r="BA656" s="392"/>
      <c r="BB656" s="392"/>
      <c r="BC656" s="392"/>
      <c r="BD656" s="392"/>
      <c r="BE656" s="392"/>
      <c r="BF656" s="392"/>
      <c r="BG656" s="392"/>
      <c r="BH656" s="392"/>
      <c r="BI656" s="392"/>
      <c r="BJ656" s="392"/>
      <c r="BK656" s="392"/>
      <c r="BL656" s="392"/>
      <c r="BM656" s="392"/>
      <c r="BN656" s="392"/>
      <c r="BO656" s="392"/>
      <c r="BP656" s="392"/>
      <c r="BQ656" s="392"/>
      <c r="BR656" s="392"/>
      <c r="BS656" s="392"/>
      <c r="BT656" s="392"/>
    </row>
    <row r="657" ht="15.75" customHeight="1">
      <c r="A657" s="216"/>
      <c r="B657" s="156"/>
      <c r="C657" s="156"/>
      <c r="D657" s="156"/>
      <c r="E657" s="392"/>
      <c r="F657" s="392"/>
      <c r="G657" s="392"/>
      <c r="H657" s="392"/>
      <c r="I657" s="392"/>
      <c r="J657" s="392"/>
      <c r="K657" s="392"/>
      <c r="L657" s="392"/>
      <c r="M657" s="392"/>
      <c r="N657" s="392"/>
      <c r="O657" s="392"/>
      <c r="P657" s="392"/>
      <c r="Q657" s="392"/>
      <c r="R657" s="392"/>
      <c r="S657" s="392"/>
      <c r="T657" s="392"/>
      <c r="U657" s="392"/>
      <c r="V657" s="392"/>
      <c r="W657" s="392"/>
      <c r="X657" s="392"/>
      <c r="Y657" s="392"/>
      <c r="Z657" s="392"/>
      <c r="AA657" s="392"/>
      <c r="AB657" s="392"/>
      <c r="AC657" s="392"/>
      <c r="AD657" s="392"/>
      <c r="AE657" s="392"/>
      <c r="AF657" s="392"/>
      <c r="AG657" s="392"/>
      <c r="AH657" s="392"/>
      <c r="AI657" s="392"/>
      <c r="AJ657" s="392"/>
      <c r="AK657" s="392"/>
      <c r="AL657" s="392"/>
      <c r="AM657" s="392"/>
      <c r="AN657" s="392"/>
      <c r="AO657" s="392"/>
      <c r="AP657" s="392"/>
      <c r="AQ657" s="392"/>
      <c r="AR657" s="392"/>
      <c r="AS657" s="392"/>
      <c r="AT657" s="392"/>
      <c r="AU657" s="392"/>
      <c r="AV657" s="392"/>
      <c r="AW657" s="392"/>
      <c r="AX657" s="392"/>
      <c r="AY657" s="392"/>
      <c r="AZ657" s="392"/>
      <c r="BA657" s="392"/>
      <c r="BB657" s="392"/>
      <c r="BC657" s="392"/>
      <c r="BD657" s="392"/>
      <c r="BE657" s="392"/>
      <c r="BF657" s="392"/>
      <c r="BG657" s="392"/>
      <c r="BH657" s="392"/>
      <c r="BI657" s="392"/>
      <c r="BJ657" s="392"/>
      <c r="BK657" s="392"/>
      <c r="BL657" s="392"/>
      <c r="BM657" s="392"/>
      <c r="BN657" s="392"/>
      <c r="BO657" s="392"/>
      <c r="BP657" s="392"/>
      <c r="BQ657" s="392"/>
      <c r="BR657" s="392"/>
      <c r="BS657" s="392"/>
      <c r="BT657" s="392"/>
    </row>
    <row r="658" ht="15.75" customHeight="1">
      <c r="A658" s="216"/>
      <c r="B658" s="156"/>
      <c r="C658" s="156"/>
      <c r="D658" s="156"/>
      <c r="E658" s="392"/>
      <c r="F658" s="392"/>
      <c r="G658" s="392"/>
      <c r="H658" s="392"/>
      <c r="I658" s="392"/>
      <c r="J658" s="392"/>
      <c r="K658" s="392"/>
      <c r="L658" s="392"/>
      <c r="M658" s="392"/>
      <c r="N658" s="392"/>
      <c r="O658" s="392"/>
      <c r="P658" s="392"/>
      <c r="Q658" s="392"/>
      <c r="R658" s="392"/>
      <c r="S658" s="392"/>
      <c r="T658" s="392"/>
      <c r="U658" s="392"/>
      <c r="V658" s="392"/>
      <c r="W658" s="392"/>
      <c r="X658" s="392"/>
      <c r="Y658" s="392"/>
      <c r="Z658" s="392"/>
      <c r="AA658" s="392"/>
      <c r="AB658" s="392"/>
      <c r="AC658" s="392"/>
      <c r="AD658" s="392"/>
      <c r="AE658" s="392"/>
      <c r="AF658" s="392"/>
      <c r="AG658" s="392"/>
      <c r="AH658" s="392"/>
      <c r="AI658" s="392"/>
      <c r="AJ658" s="392"/>
      <c r="AK658" s="392"/>
      <c r="AL658" s="392"/>
      <c r="AM658" s="392"/>
      <c r="AN658" s="392"/>
      <c r="AO658" s="392"/>
      <c r="AP658" s="392"/>
      <c r="AQ658" s="392"/>
      <c r="AR658" s="392"/>
      <c r="AS658" s="392"/>
      <c r="AT658" s="392"/>
      <c r="AU658" s="392"/>
      <c r="AV658" s="392"/>
      <c r="AW658" s="392"/>
      <c r="AX658" s="392"/>
      <c r="AY658" s="392"/>
      <c r="AZ658" s="392"/>
      <c r="BA658" s="392"/>
      <c r="BB658" s="392"/>
      <c r="BC658" s="392"/>
      <c r="BD658" s="392"/>
      <c r="BE658" s="392"/>
      <c r="BF658" s="392"/>
      <c r="BG658" s="392"/>
      <c r="BH658" s="392"/>
      <c r="BI658" s="392"/>
      <c r="BJ658" s="392"/>
      <c r="BK658" s="392"/>
      <c r="BL658" s="392"/>
      <c r="BM658" s="392"/>
      <c r="BN658" s="392"/>
      <c r="BO658" s="392"/>
      <c r="BP658" s="392"/>
      <c r="BQ658" s="392"/>
      <c r="BR658" s="392"/>
      <c r="BS658" s="392"/>
      <c r="BT658" s="392"/>
    </row>
    <row r="659" ht="15.75" customHeight="1">
      <c r="A659" s="216"/>
      <c r="B659" s="156"/>
      <c r="C659" s="156"/>
      <c r="D659" s="156"/>
      <c r="E659" s="392"/>
      <c r="F659" s="392"/>
      <c r="G659" s="392"/>
      <c r="H659" s="392"/>
      <c r="I659" s="392"/>
      <c r="J659" s="392"/>
      <c r="K659" s="392"/>
      <c r="L659" s="392"/>
      <c r="M659" s="392"/>
      <c r="N659" s="392"/>
      <c r="O659" s="392"/>
      <c r="P659" s="392"/>
      <c r="Q659" s="392"/>
      <c r="R659" s="392"/>
      <c r="S659" s="392"/>
      <c r="T659" s="392"/>
      <c r="U659" s="392"/>
      <c r="V659" s="392"/>
      <c r="W659" s="392"/>
      <c r="X659" s="392"/>
      <c r="Y659" s="392"/>
      <c r="Z659" s="392"/>
      <c r="AA659" s="392"/>
      <c r="AB659" s="392"/>
      <c r="AC659" s="392"/>
      <c r="AD659" s="392"/>
      <c r="AE659" s="392"/>
      <c r="AF659" s="392"/>
      <c r="AG659" s="392"/>
      <c r="AH659" s="392"/>
      <c r="AI659" s="392"/>
      <c r="AJ659" s="392"/>
      <c r="AK659" s="392"/>
      <c r="AL659" s="392"/>
      <c r="AM659" s="392"/>
      <c r="AN659" s="392"/>
      <c r="AO659" s="392"/>
      <c r="AP659" s="392"/>
      <c r="AQ659" s="392"/>
      <c r="AR659" s="392"/>
      <c r="AS659" s="392"/>
      <c r="AT659" s="392"/>
      <c r="AU659" s="392"/>
      <c r="AV659" s="392"/>
      <c r="AW659" s="392"/>
      <c r="AX659" s="392"/>
      <c r="AY659" s="392"/>
      <c r="AZ659" s="392"/>
      <c r="BA659" s="392"/>
      <c r="BB659" s="392"/>
      <c r="BC659" s="392"/>
      <c r="BD659" s="392"/>
      <c r="BE659" s="392"/>
      <c r="BF659" s="392"/>
      <c r="BG659" s="392"/>
      <c r="BH659" s="392"/>
      <c r="BI659" s="392"/>
      <c r="BJ659" s="392"/>
      <c r="BK659" s="392"/>
      <c r="BL659" s="392"/>
      <c r="BM659" s="392"/>
      <c r="BN659" s="392"/>
      <c r="BO659" s="392"/>
      <c r="BP659" s="392"/>
      <c r="BQ659" s="392"/>
      <c r="BR659" s="392"/>
      <c r="BS659" s="392"/>
      <c r="BT659" s="392"/>
    </row>
    <row r="660" ht="15.75" customHeight="1">
      <c r="A660" s="216"/>
      <c r="B660" s="156"/>
      <c r="C660" s="156"/>
      <c r="D660" s="156"/>
      <c r="E660" s="392"/>
      <c r="F660" s="392"/>
      <c r="G660" s="392"/>
      <c r="H660" s="392"/>
      <c r="I660" s="392"/>
      <c r="J660" s="392"/>
      <c r="K660" s="392"/>
      <c r="L660" s="392"/>
      <c r="M660" s="392"/>
      <c r="N660" s="392"/>
      <c r="O660" s="392"/>
      <c r="P660" s="392"/>
      <c r="Q660" s="392"/>
      <c r="R660" s="392"/>
      <c r="S660" s="392"/>
      <c r="T660" s="392"/>
      <c r="U660" s="392"/>
      <c r="V660" s="392"/>
      <c r="W660" s="392"/>
      <c r="X660" s="392"/>
      <c r="Y660" s="392"/>
      <c r="Z660" s="392"/>
      <c r="AA660" s="392"/>
      <c r="AB660" s="392"/>
      <c r="AC660" s="392"/>
      <c r="AD660" s="392"/>
      <c r="AE660" s="392"/>
      <c r="AF660" s="392"/>
      <c r="AG660" s="392"/>
      <c r="AH660" s="392"/>
      <c r="AI660" s="392"/>
      <c r="AJ660" s="392"/>
      <c r="AK660" s="392"/>
      <c r="AL660" s="392"/>
      <c r="AM660" s="392"/>
      <c r="AN660" s="392"/>
      <c r="AO660" s="392"/>
      <c r="AP660" s="392"/>
      <c r="AQ660" s="392"/>
      <c r="AR660" s="392"/>
      <c r="AS660" s="392"/>
      <c r="AT660" s="392"/>
      <c r="AU660" s="392"/>
      <c r="AV660" s="392"/>
      <c r="AW660" s="392"/>
      <c r="AX660" s="392"/>
      <c r="AY660" s="392"/>
      <c r="AZ660" s="392"/>
      <c r="BA660" s="392"/>
      <c r="BB660" s="392"/>
      <c r="BC660" s="392"/>
      <c r="BD660" s="392"/>
      <c r="BE660" s="392"/>
      <c r="BF660" s="392"/>
      <c r="BG660" s="392"/>
      <c r="BH660" s="392"/>
      <c r="BI660" s="392"/>
      <c r="BJ660" s="392"/>
      <c r="BK660" s="392"/>
      <c r="BL660" s="392"/>
      <c r="BM660" s="392"/>
      <c r="BN660" s="392"/>
      <c r="BO660" s="392"/>
      <c r="BP660" s="392"/>
      <c r="BQ660" s="392"/>
      <c r="BR660" s="392"/>
      <c r="BS660" s="392"/>
      <c r="BT660" s="392"/>
    </row>
    <row r="661" ht="15.75" customHeight="1">
      <c r="A661" s="216"/>
      <c r="B661" s="156"/>
      <c r="C661" s="156"/>
      <c r="D661" s="156"/>
      <c r="E661" s="392"/>
      <c r="F661" s="392"/>
      <c r="G661" s="392"/>
      <c r="H661" s="392"/>
      <c r="I661" s="392"/>
      <c r="J661" s="392"/>
      <c r="K661" s="392"/>
      <c r="L661" s="392"/>
      <c r="M661" s="392"/>
      <c r="N661" s="392"/>
      <c r="O661" s="392"/>
      <c r="P661" s="392"/>
      <c r="Q661" s="392"/>
      <c r="R661" s="392"/>
      <c r="S661" s="392"/>
      <c r="T661" s="392"/>
      <c r="U661" s="392"/>
      <c r="V661" s="392"/>
      <c r="W661" s="392"/>
      <c r="X661" s="392"/>
      <c r="Y661" s="392"/>
      <c r="Z661" s="392"/>
      <c r="AA661" s="392"/>
      <c r="AB661" s="392"/>
      <c r="AC661" s="392"/>
      <c r="AD661" s="392"/>
      <c r="AE661" s="392"/>
      <c r="AF661" s="392"/>
      <c r="AG661" s="392"/>
      <c r="AH661" s="392"/>
      <c r="AI661" s="392"/>
      <c r="AJ661" s="392"/>
      <c r="AK661" s="392"/>
      <c r="AL661" s="392"/>
      <c r="AM661" s="392"/>
      <c r="AN661" s="392"/>
      <c r="AO661" s="392"/>
      <c r="AP661" s="392"/>
      <c r="AQ661" s="392"/>
      <c r="AR661" s="392"/>
      <c r="AS661" s="392"/>
      <c r="AT661" s="392"/>
      <c r="AU661" s="392"/>
      <c r="AV661" s="392"/>
      <c r="AW661" s="392"/>
      <c r="AX661" s="392"/>
      <c r="AY661" s="392"/>
      <c r="AZ661" s="392"/>
      <c r="BA661" s="392"/>
      <c r="BB661" s="392"/>
      <c r="BC661" s="392"/>
      <c r="BD661" s="392"/>
      <c r="BE661" s="392"/>
      <c r="BF661" s="392"/>
      <c r="BG661" s="392"/>
      <c r="BH661" s="392"/>
      <c r="BI661" s="392"/>
      <c r="BJ661" s="392"/>
      <c r="BK661" s="392"/>
      <c r="BL661" s="392"/>
      <c r="BM661" s="392"/>
      <c r="BN661" s="392"/>
      <c r="BO661" s="392"/>
      <c r="BP661" s="392"/>
      <c r="BQ661" s="392"/>
      <c r="BR661" s="392"/>
      <c r="BS661" s="392"/>
      <c r="BT661" s="392"/>
    </row>
    <row r="662" ht="15.75" customHeight="1">
      <c r="A662" s="216"/>
      <c r="B662" s="156"/>
      <c r="C662" s="156"/>
      <c r="D662" s="156"/>
      <c r="E662" s="392"/>
      <c r="F662" s="392"/>
      <c r="G662" s="392"/>
      <c r="H662" s="392"/>
      <c r="I662" s="392"/>
      <c r="J662" s="392"/>
      <c r="K662" s="392"/>
      <c r="L662" s="392"/>
      <c r="M662" s="392"/>
      <c r="N662" s="392"/>
      <c r="O662" s="392"/>
      <c r="P662" s="392"/>
      <c r="Q662" s="392"/>
      <c r="R662" s="392"/>
      <c r="S662" s="392"/>
      <c r="T662" s="392"/>
      <c r="U662" s="392"/>
      <c r="V662" s="392"/>
      <c r="W662" s="392"/>
      <c r="X662" s="392"/>
      <c r="Y662" s="392"/>
      <c r="Z662" s="392"/>
      <c r="AA662" s="392"/>
      <c r="AB662" s="392"/>
      <c r="AC662" s="392"/>
      <c r="AD662" s="392"/>
      <c r="AE662" s="392"/>
      <c r="AF662" s="392"/>
      <c r="AG662" s="392"/>
      <c r="AH662" s="392"/>
      <c r="AI662" s="392"/>
      <c r="AJ662" s="392"/>
      <c r="AK662" s="392"/>
      <c r="AL662" s="392"/>
      <c r="AM662" s="392"/>
      <c r="AN662" s="392"/>
      <c r="AO662" s="392"/>
      <c r="AP662" s="392"/>
      <c r="AQ662" s="392"/>
      <c r="AR662" s="392"/>
      <c r="AS662" s="392"/>
      <c r="AT662" s="392"/>
      <c r="AU662" s="392"/>
      <c r="AV662" s="392"/>
      <c r="AW662" s="392"/>
      <c r="AX662" s="392"/>
      <c r="AY662" s="392"/>
      <c r="AZ662" s="392"/>
      <c r="BA662" s="392"/>
      <c r="BB662" s="392"/>
      <c r="BC662" s="392"/>
      <c r="BD662" s="392"/>
      <c r="BE662" s="392"/>
      <c r="BF662" s="392"/>
      <c r="BG662" s="392"/>
      <c r="BH662" s="392"/>
      <c r="BI662" s="392"/>
      <c r="BJ662" s="392"/>
      <c r="BK662" s="392"/>
      <c r="BL662" s="392"/>
      <c r="BM662" s="392"/>
      <c r="BN662" s="392"/>
      <c r="BO662" s="392"/>
      <c r="BP662" s="392"/>
      <c r="BQ662" s="392"/>
      <c r="BR662" s="392"/>
      <c r="BS662" s="392"/>
      <c r="BT662" s="392"/>
    </row>
    <row r="663" ht="15.75" customHeight="1">
      <c r="A663" s="216"/>
      <c r="B663" s="156"/>
      <c r="C663" s="156"/>
      <c r="D663" s="156"/>
      <c r="E663" s="392"/>
      <c r="F663" s="392"/>
      <c r="G663" s="392"/>
      <c r="H663" s="392"/>
      <c r="I663" s="392"/>
      <c r="J663" s="392"/>
      <c r="K663" s="392"/>
      <c r="L663" s="392"/>
      <c r="M663" s="392"/>
      <c r="N663" s="392"/>
      <c r="O663" s="392"/>
      <c r="P663" s="392"/>
      <c r="Q663" s="392"/>
      <c r="R663" s="392"/>
      <c r="S663" s="392"/>
      <c r="T663" s="392"/>
      <c r="U663" s="392"/>
      <c r="V663" s="392"/>
      <c r="W663" s="392"/>
      <c r="X663" s="392"/>
      <c r="Y663" s="392"/>
      <c r="Z663" s="392"/>
      <c r="AA663" s="392"/>
      <c r="AB663" s="392"/>
      <c r="AC663" s="392"/>
      <c r="AD663" s="392"/>
      <c r="AE663" s="392"/>
      <c r="AF663" s="392"/>
      <c r="AG663" s="392"/>
      <c r="AH663" s="392"/>
      <c r="AI663" s="392"/>
      <c r="AJ663" s="392"/>
      <c r="AK663" s="392"/>
      <c r="AL663" s="392"/>
      <c r="AM663" s="392"/>
      <c r="AN663" s="392"/>
      <c r="AO663" s="392"/>
      <c r="AP663" s="392"/>
      <c r="AQ663" s="392"/>
      <c r="AR663" s="392"/>
      <c r="AS663" s="392"/>
      <c r="AT663" s="392"/>
      <c r="AU663" s="392"/>
      <c r="AV663" s="392"/>
      <c r="AW663" s="392"/>
      <c r="AX663" s="392"/>
      <c r="AY663" s="392"/>
      <c r="AZ663" s="392"/>
      <c r="BA663" s="392"/>
      <c r="BB663" s="392"/>
      <c r="BC663" s="392"/>
      <c r="BD663" s="392"/>
      <c r="BE663" s="392"/>
      <c r="BF663" s="392"/>
      <c r="BG663" s="392"/>
      <c r="BH663" s="392"/>
      <c r="BI663" s="392"/>
      <c r="BJ663" s="392"/>
      <c r="BK663" s="392"/>
      <c r="BL663" s="392"/>
      <c r="BM663" s="392"/>
      <c r="BN663" s="392"/>
      <c r="BO663" s="392"/>
      <c r="BP663" s="392"/>
      <c r="BQ663" s="392"/>
      <c r="BR663" s="392"/>
      <c r="BS663" s="392"/>
      <c r="BT663" s="392"/>
    </row>
    <row r="664" ht="15.75" customHeight="1">
      <c r="A664" s="216"/>
      <c r="B664" s="156"/>
      <c r="C664" s="156"/>
      <c r="D664" s="156"/>
      <c r="E664" s="392"/>
      <c r="F664" s="392"/>
      <c r="G664" s="392"/>
      <c r="H664" s="392"/>
      <c r="I664" s="392"/>
      <c r="J664" s="392"/>
      <c r="K664" s="392"/>
      <c r="L664" s="392"/>
      <c r="M664" s="392"/>
      <c r="N664" s="392"/>
      <c r="O664" s="392"/>
      <c r="P664" s="392"/>
      <c r="Q664" s="392"/>
      <c r="R664" s="392"/>
      <c r="S664" s="392"/>
      <c r="T664" s="392"/>
      <c r="U664" s="392"/>
      <c r="V664" s="392"/>
      <c r="W664" s="392"/>
      <c r="X664" s="392"/>
      <c r="Y664" s="392"/>
      <c r="Z664" s="392"/>
      <c r="AA664" s="392"/>
      <c r="AB664" s="392"/>
      <c r="AC664" s="392"/>
      <c r="AD664" s="392"/>
      <c r="AE664" s="392"/>
      <c r="AF664" s="392"/>
      <c r="AG664" s="392"/>
      <c r="AH664" s="392"/>
      <c r="AI664" s="392"/>
      <c r="AJ664" s="392"/>
      <c r="AK664" s="392"/>
      <c r="AL664" s="392"/>
      <c r="AM664" s="392"/>
      <c r="AN664" s="392"/>
      <c r="AO664" s="392"/>
      <c r="AP664" s="392"/>
      <c r="AQ664" s="392"/>
      <c r="AR664" s="392"/>
      <c r="AS664" s="392"/>
      <c r="AT664" s="392"/>
      <c r="AU664" s="392"/>
      <c r="AV664" s="392"/>
      <c r="AW664" s="392"/>
      <c r="AX664" s="392"/>
      <c r="AY664" s="392"/>
      <c r="AZ664" s="392"/>
      <c r="BA664" s="392"/>
      <c r="BB664" s="392"/>
      <c r="BC664" s="392"/>
      <c r="BD664" s="392"/>
      <c r="BE664" s="392"/>
      <c r="BF664" s="392"/>
      <c r="BG664" s="392"/>
      <c r="BH664" s="392"/>
      <c r="BI664" s="392"/>
      <c r="BJ664" s="392"/>
      <c r="BK664" s="392"/>
      <c r="BL664" s="392"/>
      <c r="BM664" s="392"/>
      <c r="BN664" s="392"/>
      <c r="BO664" s="392"/>
      <c r="BP664" s="392"/>
      <c r="BQ664" s="392"/>
      <c r="BR664" s="392"/>
      <c r="BS664" s="392"/>
      <c r="BT664" s="392"/>
    </row>
    <row r="665" ht="15.75" customHeight="1">
      <c r="A665" s="216"/>
      <c r="B665" s="156"/>
      <c r="C665" s="156"/>
      <c r="D665" s="156"/>
      <c r="E665" s="392"/>
      <c r="F665" s="392"/>
      <c r="G665" s="392"/>
      <c r="H665" s="392"/>
      <c r="I665" s="392"/>
      <c r="J665" s="392"/>
      <c r="K665" s="392"/>
      <c r="L665" s="392"/>
      <c r="M665" s="392"/>
      <c r="N665" s="392"/>
      <c r="O665" s="392"/>
      <c r="P665" s="392"/>
      <c r="Q665" s="392"/>
      <c r="R665" s="392"/>
      <c r="S665" s="392"/>
      <c r="T665" s="392"/>
      <c r="U665" s="392"/>
      <c r="V665" s="392"/>
      <c r="W665" s="392"/>
      <c r="X665" s="392"/>
      <c r="Y665" s="392"/>
      <c r="Z665" s="392"/>
      <c r="AA665" s="392"/>
      <c r="AB665" s="392"/>
      <c r="AC665" s="392"/>
      <c r="AD665" s="392"/>
      <c r="AE665" s="392"/>
      <c r="AF665" s="392"/>
      <c r="AG665" s="392"/>
      <c r="AH665" s="392"/>
      <c r="AI665" s="392"/>
      <c r="AJ665" s="392"/>
      <c r="AK665" s="392"/>
      <c r="AL665" s="392"/>
      <c r="AM665" s="392"/>
      <c r="AN665" s="392"/>
      <c r="AO665" s="392"/>
      <c r="AP665" s="392"/>
      <c r="AQ665" s="392"/>
      <c r="AR665" s="392"/>
      <c r="AS665" s="392"/>
      <c r="AT665" s="392"/>
      <c r="AU665" s="392"/>
      <c r="AV665" s="392"/>
      <c r="AW665" s="392"/>
      <c r="AX665" s="392"/>
      <c r="AY665" s="392"/>
      <c r="AZ665" s="392"/>
      <c r="BA665" s="392"/>
      <c r="BB665" s="392"/>
      <c r="BC665" s="392"/>
      <c r="BD665" s="392"/>
      <c r="BE665" s="392"/>
      <c r="BF665" s="392"/>
      <c r="BG665" s="392"/>
      <c r="BH665" s="392"/>
      <c r="BI665" s="392"/>
      <c r="BJ665" s="392"/>
      <c r="BK665" s="392"/>
      <c r="BL665" s="392"/>
      <c r="BM665" s="392"/>
      <c r="BN665" s="392"/>
      <c r="BO665" s="392"/>
      <c r="BP665" s="392"/>
      <c r="BQ665" s="392"/>
      <c r="BR665" s="392"/>
      <c r="BS665" s="392"/>
      <c r="BT665" s="392"/>
    </row>
    <row r="666" ht="15.75" customHeight="1">
      <c r="A666" s="216"/>
      <c r="B666" s="156"/>
      <c r="C666" s="156"/>
      <c r="D666" s="156"/>
      <c r="E666" s="392"/>
      <c r="F666" s="392"/>
      <c r="G666" s="392"/>
      <c r="H666" s="392"/>
      <c r="I666" s="392"/>
      <c r="J666" s="392"/>
      <c r="K666" s="392"/>
      <c r="L666" s="392"/>
      <c r="M666" s="392"/>
      <c r="N666" s="392"/>
      <c r="O666" s="392"/>
      <c r="P666" s="392"/>
      <c r="Q666" s="392"/>
      <c r="R666" s="392"/>
      <c r="S666" s="392"/>
      <c r="T666" s="392"/>
      <c r="U666" s="392"/>
      <c r="V666" s="392"/>
      <c r="W666" s="392"/>
      <c r="X666" s="392"/>
      <c r="Y666" s="392"/>
      <c r="Z666" s="392"/>
      <c r="AA666" s="392"/>
      <c r="AB666" s="392"/>
      <c r="AC666" s="392"/>
      <c r="AD666" s="392"/>
      <c r="AE666" s="392"/>
      <c r="AF666" s="392"/>
      <c r="AG666" s="392"/>
      <c r="AH666" s="392"/>
      <c r="AI666" s="392"/>
      <c r="AJ666" s="392"/>
      <c r="AK666" s="392"/>
      <c r="AL666" s="392"/>
      <c r="AM666" s="392"/>
      <c r="AN666" s="392"/>
      <c r="AO666" s="392"/>
      <c r="AP666" s="392"/>
      <c r="AQ666" s="392"/>
      <c r="AR666" s="392"/>
      <c r="AS666" s="392"/>
      <c r="AT666" s="392"/>
      <c r="AU666" s="392"/>
      <c r="AV666" s="392"/>
      <c r="AW666" s="392"/>
      <c r="AX666" s="392"/>
      <c r="AY666" s="392"/>
      <c r="AZ666" s="392"/>
      <c r="BA666" s="392"/>
      <c r="BB666" s="392"/>
      <c r="BC666" s="392"/>
      <c r="BD666" s="392"/>
      <c r="BE666" s="392"/>
      <c r="BF666" s="392"/>
      <c r="BG666" s="392"/>
      <c r="BH666" s="392"/>
      <c r="BI666" s="392"/>
      <c r="BJ666" s="392"/>
      <c r="BK666" s="392"/>
      <c r="BL666" s="392"/>
      <c r="BM666" s="392"/>
      <c r="BN666" s="392"/>
      <c r="BO666" s="392"/>
      <c r="BP666" s="392"/>
      <c r="BQ666" s="392"/>
      <c r="BR666" s="392"/>
      <c r="BS666" s="392"/>
      <c r="BT666" s="392"/>
    </row>
    <row r="667" ht="15.75" customHeight="1">
      <c r="A667" s="216"/>
      <c r="B667" s="156"/>
      <c r="C667" s="156"/>
      <c r="D667" s="156"/>
      <c r="E667" s="392"/>
      <c r="F667" s="392"/>
      <c r="G667" s="392"/>
      <c r="H667" s="392"/>
      <c r="I667" s="392"/>
      <c r="J667" s="392"/>
      <c r="K667" s="392"/>
      <c r="L667" s="392"/>
      <c r="M667" s="392"/>
      <c r="N667" s="392"/>
      <c r="O667" s="392"/>
      <c r="P667" s="392"/>
      <c r="Q667" s="392"/>
      <c r="R667" s="392"/>
      <c r="S667" s="392"/>
      <c r="T667" s="392"/>
      <c r="U667" s="392"/>
      <c r="V667" s="392"/>
      <c r="W667" s="392"/>
      <c r="X667" s="392"/>
      <c r="Y667" s="392"/>
      <c r="Z667" s="392"/>
      <c r="AA667" s="392"/>
      <c r="AB667" s="392"/>
      <c r="AC667" s="392"/>
      <c r="AD667" s="392"/>
      <c r="AE667" s="392"/>
      <c r="AF667" s="392"/>
      <c r="AG667" s="392"/>
      <c r="AH667" s="392"/>
      <c r="AI667" s="392"/>
      <c r="AJ667" s="392"/>
      <c r="AK667" s="392"/>
      <c r="AL667" s="392"/>
      <c r="AM667" s="392"/>
      <c r="AN667" s="392"/>
      <c r="AO667" s="392"/>
      <c r="AP667" s="392"/>
      <c r="AQ667" s="392"/>
      <c r="AR667" s="392"/>
      <c r="AS667" s="392"/>
      <c r="AT667" s="392"/>
      <c r="AU667" s="392"/>
      <c r="AV667" s="392"/>
      <c r="AW667" s="392"/>
      <c r="AX667" s="392"/>
      <c r="AY667" s="392"/>
      <c r="AZ667" s="392"/>
      <c r="BA667" s="392"/>
      <c r="BB667" s="392"/>
      <c r="BC667" s="392"/>
      <c r="BD667" s="392"/>
      <c r="BE667" s="392"/>
      <c r="BF667" s="392"/>
      <c r="BG667" s="392"/>
      <c r="BH667" s="392"/>
      <c r="BI667" s="392"/>
      <c r="BJ667" s="392"/>
      <c r="BK667" s="392"/>
      <c r="BL667" s="392"/>
      <c r="BM667" s="392"/>
      <c r="BN667" s="392"/>
      <c r="BO667" s="392"/>
      <c r="BP667" s="392"/>
      <c r="BQ667" s="392"/>
      <c r="BR667" s="392"/>
      <c r="BS667" s="392"/>
      <c r="BT667" s="392"/>
    </row>
    <row r="668" ht="15.75" customHeight="1">
      <c r="A668" s="216"/>
      <c r="B668" s="156"/>
      <c r="C668" s="156"/>
      <c r="D668" s="156"/>
      <c r="E668" s="392"/>
      <c r="F668" s="392"/>
      <c r="G668" s="392"/>
      <c r="H668" s="392"/>
      <c r="I668" s="392"/>
      <c r="J668" s="392"/>
      <c r="K668" s="392"/>
      <c r="L668" s="392"/>
      <c r="M668" s="392"/>
      <c r="N668" s="392"/>
      <c r="O668" s="392"/>
      <c r="P668" s="392"/>
      <c r="Q668" s="392"/>
      <c r="R668" s="392"/>
      <c r="S668" s="392"/>
      <c r="T668" s="392"/>
      <c r="U668" s="392"/>
      <c r="V668" s="392"/>
      <c r="W668" s="392"/>
      <c r="X668" s="392"/>
      <c r="Y668" s="392"/>
      <c r="Z668" s="392"/>
      <c r="AA668" s="392"/>
      <c r="AB668" s="392"/>
      <c r="AC668" s="392"/>
      <c r="AD668" s="392"/>
      <c r="AE668" s="392"/>
      <c r="AF668" s="392"/>
      <c r="AG668" s="392"/>
      <c r="AH668" s="392"/>
      <c r="AI668" s="392"/>
      <c r="AJ668" s="392"/>
      <c r="AK668" s="392"/>
      <c r="AL668" s="392"/>
      <c r="AM668" s="392"/>
      <c r="AN668" s="392"/>
      <c r="AO668" s="392"/>
      <c r="AP668" s="392"/>
      <c r="AQ668" s="392"/>
      <c r="AR668" s="392"/>
      <c r="AS668" s="392"/>
      <c r="AT668" s="392"/>
      <c r="AU668" s="392"/>
      <c r="AV668" s="392"/>
      <c r="AW668" s="392"/>
      <c r="AX668" s="392"/>
      <c r="AY668" s="392"/>
      <c r="AZ668" s="392"/>
      <c r="BA668" s="392"/>
      <c r="BB668" s="392"/>
      <c r="BC668" s="392"/>
      <c r="BD668" s="392"/>
      <c r="BE668" s="392"/>
      <c r="BF668" s="392"/>
      <c r="BG668" s="392"/>
      <c r="BH668" s="392"/>
      <c r="BI668" s="392"/>
      <c r="BJ668" s="392"/>
      <c r="BK668" s="392"/>
      <c r="BL668" s="392"/>
      <c r="BM668" s="392"/>
      <c r="BN668" s="392"/>
      <c r="BO668" s="392"/>
      <c r="BP668" s="392"/>
      <c r="BQ668" s="392"/>
      <c r="BR668" s="392"/>
      <c r="BS668" s="392"/>
      <c r="BT668" s="392"/>
    </row>
    <row r="669" ht="15.75" customHeight="1">
      <c r="A669" s="216"/>
      <c r="B669" s="156"/>
      <c r="C669" s="156"/>
      <c r="D669" s="156"/>
      <c r="E669" s="392"/>
      <c r="F669" s="392"/>
      <c r="G669" s="392"/>
      <c r="H669" s="392"/>
      <c r="I669" s="392"/>
      <c r="J669" s="392"/>
      <c r="K669" s="392"/>
      <c r="L669" s="392"/>
      <c r="M669" s="392"/>
      <c r="N669" s="392"/>
      <c r="O669" s="392"/>
      <c r="P669" s="392"/>
      <c r="Q669" s="392"/>
      <c r="R669" s="392"/>
      <c r="S669" s="392"/>
      <c r="T669" s="392"/>
      <c r="U669" s="392"/>
      <c r="V669" s="392"/>
      <c r="W669" s="392"/>
      <c r="X669" s="392"/>
      <c r="Y669" s="392"/>
      <c r="Z669" s="392"/>
      <c r="AA669" s="392"/>
      <c r="AB669" s="392"/>
      <c r="AC669" s="392"/>
      <c r="AD669" s="392"/>
      <c r="AE669" s="392"/>
      <c r="AF669" s="392"/>
      <c r="AG669" s="392"/>
      <c r="AH669" s="392"/>
      <c r="AI669" s="392"/>
      <c r="AJ669" s="392"/>
      <c r="AK669" s="392"/>
      <c r="AL669" s="392"/>
      <c r="AM669" s="392"/>
      <c r="AN669" s="392"/>
      <c r="AO669" s="392"/>
      <c r="AP669" s="392"/>
      <c r="AQ669" s="392"/>
      <c r="AR669" s="392"/>
      <c r="AS669" s="392"/>
      <c r="AT669" s="392"/>
      <c r="AU669" s="392"/>
      <c r="AV669" s="392"/>
      <c r="AW669" s="392"/>
      <c r="AX669" s="392"/>
      <c r="AY669" s="392"/>
      <c r="AZ669" s="392"/>
      <c r="BA669" s="392"/>
      <c r="BB669" s="392"/>
      <c r="BC669" s="392"/>
      <c r="BD669" s="392"/>
      <c r="BE669" s="392"/>
      <c r="BF669" s="392"/>
      <c r="BG669" s="392"/>
      <c r="BH669" s="392"/>
      <c r="BI669" s="392"/>
      <c r="BJ669" s="392"/>
      <c r="BK669" s="392"/>
      <c r="BL669" s="392"/>
      <c r="BM669" s="392"/>
      <c r="BN669" s="392"/>
      <c r="BO669" s="392"/>
      <c r="BP669" s="392"/>
      <c r="BQ669" s="392"/>
      <c r="BR669" s="392"/>
      <c r="BS669" s="392"/>
      <c r="BT669" s="392"/>
    </row>
    <row r="670" ht="15.75" customHeight="1">
      <c r="A670" s="216"/>
      <c r="B670" s="156"/>
      <c r="C670" s="156"/>
      <c r="D670" s="156"/>
      <c r="E670" s="392"/>
      <c r="F670" s="392"/>
      <c r="G670" s="392"/>
      <c r="H670" s="392"/>
      <c r="I670" s="392"/>
      <c r="J670" s="392"/>
      <c r="K670" s="392"/>
      <c r="L670" s="392"/>
      <c r="M670" s="392"/>
      <c r="N670" s="392"/>
      <c r="O670" s="392"/>
      <c r="P670" s="392"/>
      <c r="Q670" s="392"/>
      <c r="R670" s="392"/>
      <c r="S670" s="392"/>
      <c r="T670" s="392"/>
      <c r="U670" s="392"/>
      <c r="V670" s="392"/>
      <c r="W670" s="392"/>
      <c r="X670" s="392"/>
      <c r="Y670" s="392"/>
      <c r="Z670" s="392"/>
      <c r="AA670" s="392"/>
      <c r="AB670" s="392"/>
      <c r="AC670" s="392"/>
      <c r="AD670" s="392"/>
      <c r="AE670" s="392"/>
      <c r="AF670" s="392"/>
      <c r="AG670" s="392"/>
      <c r="AH670" s="392"/>
      <c r="AI670" s="392"/>
      <c r="AJ670" s="392"/>
      <c r="AK670" s="392"/>
      <c r="AL670" s="392"/>
      <c r="AM670" s="392"/>
      <c r="AN670" s="392"/>
      <c r="AO670" s="392"/>
      <c r="AP670" s="392"/>
      <c r="AQ670" s="392"/>
      <c r="AR670" s="392"/>
      <c r="AS670" s="392"/>
      <c r="AT670" s="392"/>
      <c r="AU670" s="392"/>
      <c r="AV670" s="392"/>
      <c r="AW670" s="392"/>
      <c r="AX670" s="392"/>
      <c r="AY670" s="392"/>
      <c r="AZ670" s="392"/>
      <c r="BA670" s="392"/>
      <c r="BB670" s="392"/>
      <c r="BC670" s="392"/>
      <c r="BD670" s="392"/>
      <c r="BE670" s="392"/>
      <c r="BF670" s="392"/>
      <c r="BG670" s="392"/>
      <c r="BH670" s="392"/>
      <c r="BI670" s="392"/>
      <c r="BJ670" s="392"/>
      <c r="BK670" s="392"/>
      <c r="BL670" s="392"/>
      <c r="BM670" s="392"/>
      <c r="BN670" s="392"/>
      <c r="BO670" s="392"/>
      <c r="BP670" s="392"/>
      <c r="BQ670" s="392"/>
      <c r="BR670" s="392"/>
      <c r="BS670" s="392"/>
      <c r="BT670" s="392"/>
    </row>
    <row r="671" ht="15.75" customHeight="1">
      <c r="A671" s="216"/>
      <c r="B671" s="156"/>
      <c r="C671" s="156"/>
      <c r="D671" s="156"/>
      <c r="E671" s="392"/>
      <c r="F671" s="392"/>
      <c r="G671" s="392"/>
      <c r="H671" s="392"/>
      <c r="I671" s="392"/>
      <c r="J671" s="392"/>
      <c r="K671" s="392"/>
      <c r="L671" s="392"/>
      <c r="M671" s="392"/>
      <c r="N671" s="392"/>
      <c r="O671" s="392"/>
      <c r="P671" s="392"/>
      <c r="Q671" s="392"/>
      <c r="R671" s="392"/>
      <c r="S671" s="392"/>
      <c r="T671" s="392"/>
      <c r="U671" s="392"/>
      <c r="V671" s="392"/>
      <c r="W671" s="392"/>
      <c r="X671" s="392"/>
      <c r="Y671" s="392"/>
      <c r="Z671" s="392"/>
      <c r="AA671" s="392"/>
      <c r="AB671" s="392"/>
      <c r="AC671" s="392"/>
      <c r="AD671" s="392"/>
      <c r="AE671" s="392"/>
      <c r="AF671" s="392"/>
      <c r="AG671" s="392"/>
      <c r="AH671" s="392"/>
      <c r="AI671" s="392"/>
      <c r="AJ671" s="392"/>
      <c r="AK671" s="392"/>
      <c r="AL671" s="392"/>
      <c r="AM671" s="392"/>
      <c r="AN671" s="392"/>
      <c r="AO671" s="392"/>
      <c r="AP671" s="392"/>
      <c r="AQ671" s="392"/>
      <c r="AR671" s="392"/>
      <c r="AS671" s="392"/>
      <c r="AT671" s="392"/>
      <c r="AU671" s="392"/>
      <c r="AV671" s="392"/>
      <c r="AW671" s="392"/>
      <c r="AX671" s="392"/>
      <c r="AY671" s="392"/>
      <c r="AZ671" s="392"/>
      <c r="BA671" s="392"/>
      <c r="BB671" s="392"/>
      <c r="BC671" s="392"/>
      <c r="BD671" s="392"/>
      <c r="BE671" s="392"/>
      <c r="BF671" s="392"/>
      <c r="BG671" s="392"/>
      <c r="BH671" s="392"/>
      <c r="BI671" s="392"/>
      <c r="BJ671" s="392"/>
      <c r="BK671" s="392"/>
      <c r="BL671" s="392"/>
      <c r="BM671" s="392"/>
      <c r="BN671" s="392"/>
      <c r="BO671" s="392"/>
      <c r="BP671" s="392"/>
      <c r="BQ671" s="392"/>
      <c r="BR671" s="392"/>
      <c r="BS671" s="392"/>
      <c r="BT671" s="392"/>
    </row>
    <row r="672" ht="15.75" customHeight="1">
      <c r="A672" s="216"/>
      <c r="B672" s="156"/>
      <c r="C672" s="156"/>
      <c r="D672" s="156"/>
      <c r="E672" s="392"/>
      <c r="F672" s="392"/>
      <c r="G672" s="392"/>
      <c r="H672" s="392"/>
      <c r="I672" s="392"/>
      <c r="J672" s="392"/>
      <c r="K672" s="392"/>
      <c r="L672" s="392"/>
      <c r="M672" s="392"/>
      <c r="N672" s="392"/>
      <c r="O672" s="392"/>
      <c r="P672" s="392"/>
      <c r="Q672" s="392"/>
      <c r="R672" s="392"/>
      <c r="S672" s="392"/>
      <c r="T672" s="392"/>
      <c r="U672" s="392"/>
      <c r="V672" s="392"/>
      <c r="W672" s="392"/>
      <c r="X672" s="392"/>
      <c r="Y672" s="392"/>
      <c r="Z672" s="392"/>
      <c r="AA672" s="392"/>
      <c r="AB672" s="392"/>
      <c r="AC672" s="392"/>
      <c r="AD672" s="392"/>
      <c r="AE672" s="392"/>
      <c r="AF672" s="392"/>
      <c r="AG672" s="392"/>
      <c r="AH672" s="392"/>
      <c r="AI672" s="392"/>
      <c r="AJ672" s="392"/>
      <c r="AK672" s="392"/>
      <c r="AL672" s="392"/>
      <c r="AM672" s="392"/>
      <c r="AN672" s="392"/>
      <c r="AO672" s="392"/>
      <c r="AP672" s="392"/>
      <c r="AQ672" s="392"/>
      <c r="AR672" s="392"/>
      <c r="AS672" s="392"/>
      <c r="AT672" s="392"/>
      <c r="AU672" s="392"/>
      <c r="AV672" s="392"/>
      <c r="AW672" s="392"/>
      <c r="AX672" s="392"/>
      <c r="AY672" s="392"/>
      <c r="AZ672" s="392"/>
      <c r="BA672" s="392"/>
      <c r="BB672" s="392"/>
      <c r="BC672" s="392"/>
      <c r="BD672" s="392"/>
      <c r="BE672" s="392"/>
      <c r="BF672" s="392"/>
      <c r="BG672" s="392"/>
      <c r="BH672" s="392"/>
      <c r="BI672" s="392"/>
      <c r="BJ672" s="392"/>
      <c r="BK672" s="392"/>
      <c r="BL672" s="392"/>
      <c r="BM672" s="392"/>
      <c r="BN672" s="392"/>
      <c r="BO672" s="392"/>
      <c r="BP672" s="392"/>
      <c r="BQ672" s="392"/>
      <c r="BR672" s="392"/>
      <c r="BS672" s="392"/>
      <c r="BT672" s="392"/>
    </row>
    <row r="673" ht="15.75" customHeight="1">
      <c r="A673" s="216"/>
      <c r="B673" s="156"/>
      <c r="C673" s="156"/>
      <c r="D673" s="156"/>
      <c r="E673" s="392"/>
      <c r="F673" s="392"/>
      <c r="G673" s="392"/>
      <c r="H673" s="392"/>
      <c r="I673" s="392"/>
      <c r="J673" s="392"/>
      <c r="K673" s="392"/>
      <c r="L673" s="392"/>
      <c r="M673" s="392"/>
      <c r="N673" s="392"/>
      <c r="O673" s="392"/>
      <c r="P673" s="392"/>
      <c r="Q673" s="392"/>
      <c r="R673" s="392"/>
      <c r="S673" s="392"/>
      <c r="T673" s="392"/>
      <c r="U673" s="392"/>
      <c r="V673" s="392"/>
      <c r="W673" s="392"/>
      <c r="X673" s="392"/>
      <c r="Y673" s="392"/>
      <c r="Z673" s="392"/>
      <c r="AA673" s="392"/>
      <c r="AB673" s="392"/>
      <c r="AC673" s="392"/>
      <c r="AD673" s="392"/>
      <c r="AE673" s="392"/>
      <c r="AF673" s="392"/>
      <c r="AG673" s="392"/>
      <c r="AH673" s="392"/>
      <c r="AI673" s="392"/>
      <c r="AJ673" s="392"/>
      <c r="AK673" s="392"/>
      <c r="AL673" s="392"/>
      <c r="AM673" s="392"/>
      <c r="AN673" s="392"/>
      <c r="AO673" s="392"/>
      <c r="AP673" s="392"/>
      <c r="AQ673" s="392"/>
      <c r="AR673" s="392"/>
      <c r="AS673" s="392"/>
      <c r="AT673" s="392"/>
      <c r="AU673" s="392"/>
      <c r="AV673" s="392"/>
      <c r="AW673" s="392"/>
      <c r="AX673" s="392"/>
      <c r="AY673" s="392"/>
      <c r="AZ673" s="392"/>
      <c r="BA673" s="392"/>
      <c r="BB673" s="392"/>
      <c r="BC673" s="392"/>
      <c r="BD673" s="392"/>
      <c r="BE673" s="392"/>
      <c r="BF673" s="392"/>
      <c r="BG673" s="392"/>
      <c r="BH673" s="392"/>
      <c r="BI673" s="392"/>
      <c r="BJ673" s="392"/>
      <c r="BK673" s="392"/>
      <c r="BL673" s="392"/>
      <c r="BM673" s="392"/>
      <c r="BN673" s="392"/>
      <c r="BO673" s="392"/>
      <c r="BP673" s="392"/>
      <c r="BQ673" s="392"/>
      <c r="BR673" s="392"/>
      <c r="BS673" s="392"/>
      <c r="BT673" s="392"/>
    </row>
    <row r="674" ht="15.75" customHeight="1">
      <c r="A674" s="216"/>
      <c r="B674" s="156"/>
      <c r="C674" s="156"/>
      <c r="D674" s="156"/>
      <c r="E674" s="392"/>
      <c r="F674" s="392"/>
      <c r="G674" s="392"/>
      <c r="H674" s="392"/>
      <c r="I674" s="392"/>
      <c r="J674" s="392"/>
      <c r="K674" s="392"/>
      <c r="L674" s="392"/>
      <c r="M674" s="392"/>
      <c r="N674" s="392"/>
      <c r="O674" s="392"/>
      <c r="P674" s="392"/>
      <c r="Q674" s="392"/>
      <c r="R674" s="392"/>
      <c r="S674" s="392"/>
      <c r="T674" s="392"/>
      <c r="U674" s="392"/>
      <c r="V674" s="392"/>
      <c r="W674" s="392"/>
      <c r="X674" s="392"/>
      <c r="Y674" s="392"/>
      <c r="Z674" s="392"/>
      <c r="AA674" s="392"/>
      <c r="AB674" s="392"/>
      <c r="AC674" s="392"/>
      <c r="AD674" s="392"/>
      <c r="AE674" s="392"/>
      <c r="AF674" s="392"/>
      <c r="AG674" s="392"/>
      <c r="AH674" s="392"/>
      <c r="AI674" s="392"/>
      <c r="AJ674" s="392"/>
      <c r="AK674" s="392"/>
      <c r="AL674" s="392"/>
      <c r="AM674" s="392"/>
      <c r="AN674" s="392"/>
      <c r="AO674" s="392"/>
      <c r="AP674" s="392"/>
      <c r="AQ674" s="392"/>
      <c r="AR674" s="392"/>
      <c r="AS674" s="392"/>
      <c r="AT674" s="392"/>
      <c r="AU674" s="392"/>
      <c r="AV674" s="392"/>
      <c r="AW674" s="392"/>
      <c r="AX674" s="392"/>
      <c r="AY674" s="392"/>
      <c r="AZ674" s="392"/>
      <c r="BA674" s="392"/>
      <c r="BB674" s="392"/>
      <c r="BC674" s="392"/>
      <c r="BD674" s="392"/>
      <c r="BE674" s="392"/>
      <c r="BF674" s="392"/>
      <c r="BG674" s="392"/>
      <c r="BH674" s="392"/>
      <c r="BI674" s="392"/>
      <c r="BJ674" s="392"/>
      <c r="BK674" s="392"/>
      <c r="BL674" s="392"/>
      <c r="BM674" s="392"/>
      <c r="BN674" s="392"/>
      <c r="BO674" s="392"/>
      <c r="BP674" s="392"/>
      <c r="BQ674" s="392"/>
      <c r="BR674" s="392"/>
      <c r="BS674" s="392"/>
      <c r="BT674" s="392"/>
    </row>
    <row r="675" ht="15.75" customHeight="1">
      <c r="A675" s="216"/>
      <c r="B675" s="156"/>
      <c r="C675" s="156"/>
      <c r="D675" s="156"/>
      <c r="E675" s="392"/>
      <c r="F675" s="392"/>
      <c r="G675" s="392"/>
      <c r="H675" s="392"/>
      <c r="I675" s="392"/>
      <c r="J675" s="392"/>
      <c r="K675" s="392"/>
      <c r="L675" s="392"/>
      <c r="M675" s="392"/>
      <c r="N675" s="392"/>
      <c r="O675" s="392"/>
      <c r="P675" s="392"/>
      <c r="Q675" s="392"/>
      <c r="R675" s="392"/>
      <c r="S675" s="392"/>
      <c r="T675" s="392"/>
      <c r="U675" s="392"/>
      <c r="V675" s="392"/>
      <c r="W675" s="392"/>
      <c r="X675" s="392"/>
      <c r="Y675" s="392"/>
      <c r="Z675" s="392"/>
      <c r="AA675" s="392"/>
      <c r="AB675" s="392"/>
      <c r="AC675" s="392"/>
      <c r="AD675" s="392"/>
      <c r="AE675" s="392"/>
      <c r="AF675" s="392"/>
      <c r="AG675" s="392"/>
      <c r="AH675" s="392"/>
      <c r="AI675" s="392"/>
      <c r="AJ675" s="392"/>
      <c r="AK675" s="392"/>
      <c r="AL675" s="392"/>
      <c r="AM675" s="392"/>
      <c r="AN675" s="392"/>
      <c r="AO675" s="392"/>
      <c r="AP675" s="392"/>
      <c r="AQ675" s="392"/>
      <c r="AR675" s="392"/>
      <c r="AS675" s="392"/>
      <c r="AT675" s="392"/>
      <c r="AU675" s="392"/>
      <c r="AV675" s="392"/>
      <c r="AW675" s="392"/>
      <c r="AX675" s="392"/>
      <c r="AY675" s="392"/>
      <c r="AZ675" s="392"/>
      <c r="BA675" s="392"/>
      <c r="BB675" s="392"/>
      <c r="BC675" s="392"/>
      <c r="BD675" s="392"/>
      <c r="BE675" s="392"/>
      <c r="BF675" s="392"/>
      <c r="BG675" s="392"/>
      <c r="BH675" s="392"/>
      <c r="BI675" s="392"/>
      <c r="BJ675" s="392"/>
      <c r="BK675" s="392"/>
      <c r="BL675" s="392"/>
      <c r="BM675" s="392"/>
      <c r="BN675" s="392"/>
      <c r="BO675" s="392"/>
      <c r="BP675" s="392"/>
      <c r="BQ675" s="392"/>
      <c r="BR675" s="392"/>
      <c r="BS675" s="392"/>
      <c r="BT675" s="392"/>
    </row>
    <row r="676" ht="15.75" customHeight="1">
      <c r="A676" s="216"/>
      <c r="B676" s="156"/>
      <c r="C676" s="156"/>
      <c r="D676" s="156"/>
      <c r="E676" s="392"/>
      <c r="F676" s="392"/>
      <c r="G676" s="392"/>
      <c r="H676" s="392"/>
      <c r="I676" s="392"/>
      <c r="J676" s="392"/>
      <c r="K676" s="392"/>
      <c r="L676" s="392"/>
      <c r="M676" s="392"/>
      <c r="N676" s="392"/>
      <c r="O676" s="392"/>
      <c r="P676" s="392"/>
      <c r="Q676" s="392"/>
      <c r="R676" s="392"/>
      <c r="S676" s="392"/>
      <c r="T676" s="392"/>
      <c r="U676" s="392"/>
      <c r="V676" s="392"/>
      <c r="W676" s="392"/>
      <c r="X676" s="392"/>
      <c r="Y676" s="392"/>
      <c r="Z676" s="392"/>
      <c r="AA676" s="392"/>
      <c r="AB676" s="392"/>
      <c r="AC676" s="392"/>
      <c r="AD676" s="392"/>
      <c r="AE676" s="392"/>
      <c r="AF676" s="392"/>
      <c r="AG676" s="392"/>
      <c r="AH676" s="392"/>
      <c r="AI676" s="392"/>
      <c r="AJ676" s="392"/>
      <c r="AK676" s="392"/>
      <c r="AL676" s="392"/>
      <c r="AM676" s="392"/>
      <c r="AN676" s="392"/>
      <c r="AO676" s="392"/>
      <c r="AP676" s="392"/>
      <c r="AQ676" s="392"/>
      <c r="AR676" s="392"/>
      <c r="AS676" s="392"/>
      <c r="AT676" s="392"/>
      <c r="AU676" s="392"/>
      <c r="AV676" s="392"/>
      <c r="AW676" s="392"/>
      <c r="AX676" s="392"/>
      <c r="AY676" s="392"/>
      <c r="AZ676" s="392"/>
      <c r="BA676" s="392"/>
      <c r="BB676" s="392"/>
      <c r="BC676" s="392"/>
      <c r="BD676" s="392"/>
      <c r="BE676" s="392"/>
      <c r="BF676" s="392"/>
      <c r="BG676" s="392"/>
      <c r="BH676" s="392"/>
      <c r="BI676" s="392"/>
      <c r="BJ676" s="392"/>
      <c r="BK676" s="392"/>
      <c r="BL676" s="392"/>
      <c r="BM676" s="392"/>
      <c r="BN676" s="392"/>
      <c r="BO676" s="392"/>
      <c r="BP676" s="392"/>
      <c r="BQ676" s="392"/>
      <c r="BR676" s="392"/>
      <c r="BS676" s="392"/>
      <c r="BT676" s="392"/>
    </row>
    <row r="677" ht="15.75" customHeight="1">
      <c r="A677" s="216"/>
      <c r="B677" s="156"/>
      <c r="C677" s="156"/>
      <c r="D677" s="156"/>
      <c r="E677" s="392"/>
      <c r="F677" s="392"/>
      <c r="G677" s="392"/>
      <c r="H677" s="392"/>
      <c r="I677" s="392"/>
      <c r="J677" s="392"/>
      <c r="K677" s="392"/>
      <c r="L677" s="392"/>
      <c r="M677" s="392"/>
      <c r="N677" s="392"/>
      <c r="O677" s="392"/>
      <c r="P677" s="392"/>
      <c r="Q677" s="392"/>
      <c r="R677" s="392"/>
      <c r="S677" s="392"/>
      <c r="T677" s="392"/>
      <c r="U677" s="392"/>
      <c r="V677" s="392"/>
      <c r="W677" s="392"/>
      <c r="X677" s="392"/>
      <c r="Y677" s="392"/>
      <c r="Z677" s="392"/>
      <c r="AA677" s="392"/>
      <c r="AB677" s="392"/>
      <c r="AC677" s="392"/>
      <c r="AD677" s="392"/>
      <c r="AE677" s="392"/>
      <c r="AF677" s="392"/>
      <c r="AG677" s="392"/>
      <c r="AH677" s="392"/>
      <c r="AI677" s="392"/>
      <c r="AJ677" s="392"/>
      <c r="AK677" s="392"/>
      <c r="AL677" s="392"/>
      <c r="AM677" s="392"/>
      <c r="AN677" s="392"/>
      <c r="AO677" s="392"/>
      <c r="AP677" s="392"/>
      <c r="AQ677" s="392"/>
      <c r="AR677" s="392"/>
      <c r="AS677" s="392"/>
      <c r="AT677" s="392"/>
      <c r="AU677" s="392"/>
      <c r="AV677" s="392"/>
      <c r="AW677" s="392"/>
      <c r="AX677" s="392"/>
      <c r="AY677" s="392"/>
      <c r="AZ677" s="392"/>
      <c r="BA677" s="392"/>
      <c r="BB677" s="392"/>
      <c r="BC677" s="392"/>
      <c r="BD677" s="392"/>
      <c r="BE677" s="392"/>
      <c r="BF677" s="392"/>
      <c r="BG677" s="392"/>
      <c r="BH677" s="392"/>
      <c r="BI677" s="392"/>
      <c r="BJ677" s="392"/>
      <c r="BK677" s="392"/>
      <c r="BL677" s="392"/>
      <c r="BM677" s="392"/>
      <c r="BN677" s="392"/>
      <c r="BO677" s="392"/>
      <c r="BP677" s="392"/>
      <c r="BQ677" s="392"/>
      <c r="BR677" s="392"/>
      <c r="BS677" s="392"/>
      <c r="BT677" s="392"/>
    </row>
    <row r="678" ht="15.75" customHeight="1">
      <c r="A678" s="216"/>
      <c r="B678" s="156"/>
      <c r="C678" s="156"/>
      <c r="D678" s="156"/>
      <c r="E678" s="392"/>
      <c r="F678" s="392"/>
      <c r="G678" s="392"/>
      <c r="H678" s="392"/>
      <c r="I678" s="392"/>
      <c r="J678" s="392"/>
      <c r="K678" s="392"/>
      <c r="L678" s="392"/>
      <c r="M678" s="392"/>
      <c r="N678" s="392"/>
      <c r="O678" s="392"/>
      <c r="P678" s="392"/>
      <c r="Q678" s="392"/>
      <c r="R678" s="392"/>
      <c r="S678" s="392"/>
      <c r="T678" s="392"/>
      <c r="U678" s="392"/>
      <c r="V678" s="392"/>
      <c r="W678" s="392"/>
      <c r="X678" s="392"/>
      <c r="Y678" s="392"/>
      <c r="Z678" s="392"/>
      <c r="AA678" s="392"/>
      <c r="AB678" s="392"/>
      <c r="AC678" s="392"/>
      <c r="AD678" s="392"/>
      <c r="AE678" s="392"/>
      <c r="AF678" s="392"/>
      <c r="AG678" s="392"/>
      <c r="AH678" s="392"/>
      <c r="AI678" s="392"/>
      <c r="AJ678" s="392"/>
      <c r="AK678" s="392"/>
      <c r="AL678" s="392"/>
      <c r="AM678" s="392"/>
      <c r="AN678" s="392"/>
      <c r="AO678" s="392"/>
      <c r="AP678" s="392"/>
      <c r="AQ678" s="392"/>
      <c r="AR678" s="392"/>
      <c r="AS678" s="392"/>
      <c r="AT678" s="392"/>
      <c r="AU678" s="392"/>
      <c r="AV678" s="392"/>
      <c r="AW678" s="392"/>
      <c r="AX678" s="392"/>
      <c r="AY678" s="392"/>
      <c r="AZ678" s="392"/>
      <c r="BA678" s="392"/>
      <c r="BB678" s="392"/>
      <c r="BC678" s="392"/>
      <c r="BD678" s="392"/>
      <c r="BE678" s="392"/>
      <c r="BF678" s="392"/>
      <c r="BG678" s="392"/>
      <c r="BH678" s="392"/>
      <c r="BI678" s="392"/>
      <c r="BJ678" s="392"/>
      <c r="BK678" s="392"/>
      <c r="BL678" s="392"/>
      <c r="BM678" s="392"/>
      <c r="BN678" s="392"/>
      <c r="BO678" s="392"/>
      <c r="BP678" s="392"/>
      <c r="BQ678" s="392"/>
      <c r="BR678" s="392"/>
      <c r="BS678" s="392"/>
      <c r="BT678" s="392"/>
    </row>
    <row r="679" ht="15.75" customHeight="1">
      <c r="A679" s="216"/>
      <c r="B679" s="156"/>
      <c r="C679" s="156"/>
      <c r="D679" s="156"/>
      <c r="E679" s="392"/>
      <c r="F679" s="392"/>
      <c r="G679" s="392"/>
      <c r="H679" s="392"/>
      <c r="I679" s="392"/>
      <c r="J679" s="392"/>
      <c r="K679" s="392"/>
      <c r="L679" s="392"/>
      <c r="M679" s="392"/>
      <c r="N679" s="392"/>
      <c r="O679" s="392"/>
      <c r="P679" s="392"/>
      <c r="Q679" s="392"/>
      <c r="R679" s="392"/>
      <c r="S679" s="392"/>
      <c r="T679" s="392"/>
      <c r="U679" s="392"/>
      <c r="V679" s="392"/>
      <c r="W679" s="392"/>
      <c r="X679" s="392"/>
      <c r="Y679" s="392"/>
      <c r="Z679" s="392"/>
      <c r="AA679" s="392"/>
      <c r="AB679" s="392"/>
      <c r="AC679" s="392"/>
      <c r="AD679" s="392"/>
      <c r="AE679" s="392"/>
      <c r="AF679" s="392"/>
      <c r="AG679" s="392"/>
      <c r="AH679" s="392"/>
      <c r="AI679" s="392"/>
      <c r="AJ679" s="392"/>
      <c r="AK679" s="392"/>
      <c r="AL679" s="392"/>
      <c r="AM679" s="392"/>
      <c r="AN679" s="392"/>
      <c r="AO679" s="392"/>
      <c r="AP679" s="392"/>
      <c r="AQ679" s="392"/>
      <c r="AR679" s="392"/>
      <c r="AS679" s="392"/>
      <c r="AT679" s="392"/>
      <c r="AU679" s="392"/>
      <c r="AV679" s="392"/>
      <c r="AW679" s="392"/>
      <c r="AX679" s="392"/>
      <c r="AY679" s="392"/>
      <c r="AZ679" s="392"/>
      <c r="BA679" s="392"/>
      <c r="BB679" s="392"/>
      <c r="BC679" s="392"/>
      <c r="BD679" s="392"/>
      <c r="BE679" s="392"/>
      <c r="BF679" s="392"/>
      <c r="BG679" s="392"/>
      <c r="BH679" s="392"/>
      <c r="BI679" s="392"/>
      <c r="BJ679" s="392"/>
      <c r="BK679" s="392"/>
      <c r="BL679" s="392"/>
      <c r="BM679" s="392"/>
      <c r="BN679" s="392"/>
      <c r="BO679" s="392"/>
      <c r="BP679" s="392"/>
      <c r="BQ679" s="392"/>
      <c r="BR679" s="392"/>
      <c r="BS679" s="392"/>
      <c r="BT679" s="392"/>
    </row>
    <row r="680" ht="15.75" customHeight="1">
      <c r="A680" s="216"/>
      <c r="B680" s="156"/>
      <c r="C680" s="156"/>
      <c r="D680" s="156"/>
      <c r="E680" s="392"/>
      <c r="F680" s="392"/>
      <c r="G680" s="392"/>
      <c r="H680" s="392"/>
      <c r="I680" s="392"/>
      <c r="J680" s="392"/>
      <c r="K680" s="392"/>
      <c r="L680" s="392"/>
      <c r="M680" s="392"/>
      <c r="N680" s="392"/>
      <c r="O680" s="392"/>
      <c r="P680" s="392"/>
      <c r="Q680" s="392"/>
      <c r="R680" s="392"/>
      <c r="S680" s="392"/>
      <c r="T680" s="392"/>
      <c r="U680" s="392"/>
      <c r="V680" s="392"/>
      <c r="W680" s="392"/>
      <c r="X680" s="392"/>
      <c r="Y680" s="392"/>
      <c r="Z680" s="392"/>
      <c r="AA680" s="392"/>
      <c r="AB680" s="392"/>
      <c r="AC680" s="392"/>
      <c r="AD680" s="392"/>
      <c r="AE680" s="392"/>
      <c r="AF680" s="392"/>
      <c r="AG680" s="392"/>
      <c r="AH680" s="392"/>
      <c r="AI680" s="392"/>
      <c r="AJ680" s="392"/>
      <c r="AK680" s="392"/>
      <c r="AL680" s="392"/>
      <c r="AM680" s="392"/>
      <c r="AN680" s="392"/>
      <c r="AO680" s="392"/>
      <c r="AP680" s="392"/>
      <c r="AQ680" s="392"/>
      <c r="AR680" s="392"/>
      <c r="AS680" s="392"/>
      <c r="AT680" s="392"/>
      <c r="AU680" s="392"/>
      <c r="AV680" s="392"/>
      <c r="AW680" s="392"/>
      <c r="AX680" s="392"/>
      <c r="AY680" s="392"/>
      <c r="AZ680" s="392"/>
      <c r="BA680" s="392"/>
      <c r="BB680" s="392"/>
      <c r="BC680" s="392"/>
      <c r="BD680" s="392"/>
      <c r="BE680" s="392"/>
      <c r="BF680" s="392"/>
      <c r="BG680" s="392"/>
      <c r="BH680" s="392"/>
      <c r="BI680" s="392"/>
      <c r="BJ680" s="392"/>
      <c r="BK680" s="392"/>
      <c r="BL680" s="392"/>
      <c r="BM680" s="392"/>
      <c r="BN680" s="392"/>
      <c r="BO680" s="392"/>
      <c r="BP680" s="392"/>
      <c r="BQ680" s="392"/>
      <c r="BR680" s="392"/>
      <c r="BS680" s="392"/>
      <c r="BT680" s="392"/>
    </row>
    <row r="681" ht="15.75" customHeight="1">
      <c r="A681" s="216"/>
      <c r="B681" s="156"/>
      <c r="C681" s="156"/>
      <c r="D681" s="156"/>
      <c r="E681" s="392"/>
      <c r="F681" s="392"/>
      <c r="G681" s="392"/>
      <c r="H681" s="392"/>
      <c r="I681" s="392"/>
      <c r="J681" s="392"/>
      <c r="K681" s="392"/>
      <c r="L681" s="392"/>
      <c r="M681" s="392"/>
      <c r="N681" s="392"/>
      <c r="O681" s="392"/>
      <c r="P681" s="392"/>
      <c r="Q681" s="392"/>
      <c r="R681" s="392"/>
      <c r="S681" s="392"/>
      <c r="T681" s="392"/>
      <c r="U681" s="392"/>
      <c r="V681" s="392"/>
      <c r="W681" s="392"/>
      <c r="X681" s="392"/>
      <c r="Y681" s="392"/>
      <c r="Z681" s="392"/>
      <c r="AA681" s="392"/>
      <c r="AB681" s="392"/>
      <c r="AC681" s="392"/>
      <c r="AD681" s="392"/>
      <c r="AE681" s="392"/>
      <c r="AF681" s="392"/>
      <c r="AG681" s="392"/>
      <c r="AH681" s="392"/>
      <c r="AI681" s="392"/>
      <c r="AJ681" s="392"/>
      <c r="AK681" s="392"/>
      <c r="AL681" s="392"/>
      <c r="AM681" s="392"/>
      <c r="AN681" s="392"/>
      <c r="AO681" s="392"/>
      <c r="AP681" s="392"/>
      <c r="AQ681" s="392"/>
      <c r="AR681" s="392"/>
      <c r="AS681" s="392"/>
      <c r="AT681" s="392"/>
      <c r="AU681" s="392"/>
      <c r="AV681" s="392"/>
      <c r="AW681" s="392"/>
      <c r="AX681" s="392"/>
      <c r="AY681" s="392"/>
      <c r="AZ681" s="392"/>
      <c r="BA681" s="392"/>
      <c r="BB681" s="392"/>
      <c r="BC681" s="392"/>
      <c r="BD681" s="392"/>
      <c r="BE681" s="392"/>
      <c r="BF681" s="392"/>
      <c r="BG681" s="392"/>
      <c r="BH681" s="392"/>
      <c r="BI681" s="392"/>
      <c r="BJ681" s="392"/>
      <c r="BK681" s="392"/>
      <c r="BL681" s="392"/>
      <c r="BM681" s="392"/>
      <c r="BN681" s="392"/>
      <c r="BO681" s="392"/>
      <c r="BP681" s="392"/>
      <c r="BQ681" s="392"/>
      <c r="BR681" s="392"/>
      <c r="BS681" s="392"/>
      <c r="BT681" s="392"/>
    </row>
    <row r="682" ht="15.75" customHeight="1">
      <c r="A682" s="216"/>
      <c r="B682" s="156"/>
      <c r="C682" s="156"/>
      <c r="D682" s="156"/>
      <c r="E682" s="392"/>
      <c r="F682" s="392"/>
      <c r="G682" s="392"/>
      <c r="H682" s="392"/>
      <c r="I682" s="392"/>
      <c r="J682" s="392"/>
      <c r="K682" s="392"/>
      <c r="L682" s="392"/>
      <c r="M682" s="392"/>
      <c r="N682" s="392"/>
      <c r="O682" s="392"/>
      <c r="P682" s="392"/>
      <c r="Q682" s="392"/>
      <c r="R682" s="392"/>
      <c r="S682" s="392"/>
      <c r="T682" s="392"/>
      <c r="U682" s="392"/>
      <c r="V682" s="392"/>
      <c r="W682" s="392"/>
      <c r="X682" s="392"/>
      <c r="Y682" s="392"/>
      <c r="Z682" s="392"/>
      <c r="AA682" s="392"/>
      <c r="AB682" s="392"/>
      <c r="AC682" s="392"/>
      <c r="AD682" s="392"/>
      <c r="AE682" s="392"/>
      <c r="AF682" s="392"/>
      <c r="AG682" s="392"/>
      <c r="AH682" s="392"/>
      <c r="AI682" s="392"/>
      <c r="AJ682" s="392"/>
      <c r="AK682" s="392"/>
      <c r="AL682" s="392"/>
      <c r="AM682" s="392"/>
      <c r="AN682" s="392"/>
      <c r="AO682" s="392"/>
      <c r="AP682" s="392"/>
      <c r="AQ682" s="392"/>
      <c r="AR682" s="392"/>
      <c r="AS682" s="392"/>
      <c r="AT682" s="392"/>
      <c r="AU682" s="392"/>
      <c r="AV682" s="392"/>
      <c r="AW682" s="392"/>
      <c r="AX682" s="392"/>
      <c r="AY682" s="392"/>
      <c r="AZ682" s="392"/>
      <c r="BA682" s="392"/>
      <c r="BB682" s="392"/>
      <c r="BC682" s="392"/>
      <c r="BD682" s="392"/>
      <c r="BE682" s="392"/>
      <c r="BF682" s="392"/>
      <c r="BG682" s="392"/>
      <c r="BH682" s="392"/>
      <c r="BI682" s="392"/>
      <c r="BJ682" s="392"/>
      <c r="BK682" s="392"/>
      <c r="BL682" s="392"/>
      <c r="BM682" s="392"/>
      <c r="BN682" s="392"/>
      <c r="BO682" s="392"/>
      <c r="BP682" s="392"/>
      <c r="BQ682" s="392"/>
      <c r="BR682" s="392"/>
      <c r="BS682" s="392"/>
      <c r="BT682" s="392"/>
    </row>
    <row r="683" ht="15.75" customHeight="1">
      <c r="A683" s="216"/>
      <c r="B683" s="156"/>
      <c r="C683" s="156"/>
      <c r="D683" s="156"/>
      <c r="E683" s="392"/>
      <c r="F683" s="392"/>
      <c r="G683" s="392"/>
      <c r="H683" s="392"/>
      <c r="I683" s="392"/>
      <c r="J683" s="392"/>
      <c r="K683" s="392"/>
      <c r="L683" s="392"/>
      <c r="M683" s="392"/>
      <c r="N683" s="392"/>
      <c r="O683" s="392"/>
      <c r="P683" s="392"/>
      <c r="Q683" s="392"/>
      <c r="R683" s="392"/>
      <c r="S683" s="392"/>
      <c r="T683" s="392"/>
      <c r="U683" s="392"/>
      <c r="V683" s="392"/>
      <c r="W683" s="392"/>
      <c r="X683" s="392"/>
      <c r="Y683" s="392"/>
      <c r="Z683" s="392"/>
      <c r="AA683" s="392"/>
      <c r="AB683" s="392"/>
      <c r="AC683" s="392"/>
      <c r="AD683" s="392"/>
      <c r="AE683" s="392"/>
      <c r="AF683" s="392"/>
      <c r="AG683" s="392"/>
      <c r="AH683" s="392"/>
      <c r="AI683" s="392"/>
      <c r="AJ683" s="392"/>
      <c r="AK683" s="392"/>
      <c r="AL683" s="392"/>
      <c r="AM683" s="392"/>
      <c r="AN683" s="392"/>
      <c r="AO683" s="392"/>
      <c r="AP683" s="392"/>
      <c r="AQ683" s="392"/>
      <c r="AR683" s="392"/>
      <c r="AS683" s="392"/>
      <c r="AT683" s="392"/>
      <c r="AU683" s="392"/>
      <c r="AV683" s="392"/>
      <c r="AW683" s="392"/>
      <c r="AX683" s="392"/>
      <c r="AY683" s="392"/>
      <c r="AZ683" s="392"/>
      <c r="BA683" s="392"/>
      <c r="BB683" s="392"/>
      <c r="BC683" s="392"/>
      <c r="BD683" s="392"/>
      <c r="BE683" s="392"/>
      <c r="BF683" s="392"/>
      <c r="BG683" s="392"/>
      <c r="BH683" s="392"/>
      <c r="BI683" s="392"/>
      <c r="BJ683" s="392"/>
      <c r="BK683" s="392"/>
      <c r="BL683" s="392"/>
      <c r="BM683" s="392"/>
      <c r="BN683" s="392"/>
      <c r="BO683" s="392"/>
      <c r="BP683" s="392"/>
      <c r="BQ683" s="392"/>
      <c r="BR683" s="392"/>
      <c r="BS683" s="392"/>
      <c r="BT683" s="392"/>
    </row>
    <row r="684" ht="15.75" customHeight="1">
      <c r="A684" s="216"/>
      <c r="B684" s="156"/>
      <c r="C684" s="156"/>
      <c r="D684" s="156"/>
      <c r="E684" s="392"/>
      <c r="F684" s="392"/>
      <c r="G684" s="392"/>
      <c r="H684" s="392"/>
      <c r="I684" s="392"/>
      <c r="J684" s="392"/>
      <c r="K684" s="392"/>
      <c r="L684" s="392"/>
      <c r="M684" s="392"/>
      <c r="N684" s="392"/>
      <c r="O684" s="392"/>
      <c r="P684" s="392"/>
      <c r="Q684" s="392"/>
      <c r="R684" s="392"/>
      <c r="S684" s="392"/>
      <c r="T684" s="392"/>
      <c r="U684" s="392"/>
      <c r="V684" s="392"/>
      <c r="W684" s="392"/>
      <c r="X684" s="392"/>
      <c r="Y684" s="392"/>
      <c r="Z684" s="392"/>
      <c r="AA684" s="392"/>
      <c r="AB684" s="392"/>
      <c r="AC684" s="392"/>
      <c r="AD684" s="392"/>
      <c r="AE684" s="392"/>
      <c r="AF684" s="392"/>
      <c r="AG684" s="392"/>
      <c r="AH684" s="392"/>
      <c r="AI684" s="392"/>
      <c r="AJ684" s="392"/>
      <c r="AK684" s="392"/>
      <c r="AL684" s="392"/>
      <c r="AM684" s="392"/>
      <c r="AN684" s="392"/>
      <c r="AO684" s="392"/>
      <c r="AP684" s="392"/>
      <c r="AQ684" s="392"/>
      <c r="AR684" s="392"/>
      <c r="AS684" s="392"/>
      <c r="AT684" s="392"/>
      <c r="AU684" s="392"/>
      <c r="AV684" s="392"/>
      <c r="AW684" s="392"/>
      <c r="AX684" s="392"/>
      <c r="AY684" s="392"/>
      <c r="AZ684" s="392"/>
      <c r="BA684" s="392"/>
      <c r="BB684" s="392"/>
      <c r="BC684" s="392"/>
      <c r="BD684" s="392"/>
      <c r="BE684" s="392"/>
      <c r="BF684" s="392"/>
      <c r="BG684" s="392"/>
      <c r="BH684" s="392"/>
      <c r="BI684" s="392"/>
      <c r="BJ684" s="392"/>
      <c r="BK684" s="392"/>
      <c r="BL684" s="392"/>
      <c r="BM684" s="392"/>
      <c r="BN684" s="392"/>
      <c r="BO684" s="392"/>
      <c r="BP684" s="392"/>
      <c r="BQ684" s="392"/>
      <c r="BR684" s="392"/>
      <c r="BS684" s="392"/>
      <c r="BT684" s="392"/>
    </row>
    <row r="685" ht="15.75" customHeight="1">
      <c r="A685" s="216"/>
      <c r="B685" s="156"/>
      <c r="C685" s="156"/>
      <c r="D685" s="156"/>
      <c r="E685" s="392"/>
      <c r="F685" s="392"/>
      <c r="G685" s="392"/>
      <c r="H685" s="392"/>
      <c r="I685" s="392"/>
      <c r="J685" s="392"/>
      <c r="K685" s="392"/>
      <c r="L685" s="392"/>
      <c r="M685" s="392"/>
      <c r="N685" s="392"/>
      <c r="O685" s="392"/>
      <c r="P685" s="392"/>
      <c r="Q685" s="392"/>
      <c r="R685" s="392"/>
      <c r="S685" s="392"/>
      <c r="T685" s="392"/>
      <c r="U685" s="392"/>
      <c r="V685" s="392"/>
      <c r="W685" s="392"/>
      <c r="X685" s="392"/>
      <c r="Y685" s="392"/>
      <c r="Z685" s="392"/>
      <c r="AA685" s="392"/>
      <c r="AB685" s="392"/>
      <c r="AC685" s="392"/>
      <c r="AD685" s="392"/>
      <c r="AE685" s="392"/>
      <c r="AF685" s="392"/>
      <c r="AG685" s="392"/>
      <c r="AH685" s="392"/>
      <c r="AI685" s="392"/>
      <c r="AJ685" s="392"/>
      <c r="AK685" s="392"/>
      <c r="AL685" s="392"/>
      <c r="AM685" s="392"/>
      <c r="AN685" s="392"/>
      <c r="AO685" s="392"/>
      <c r="AP685" s="392"/>
      <c r="AQ685" s="392"/>
      <c r="AR685" s="392"/>
      <c r="AS685" s="392"/>
      <c r="AT685" s="392"/>
      <c r="AU685" s="392"/>
      <c r="AV685" s="392"/>
      <c r="AW685" s="392"/>
      <c r="AX685" s="392"/>
      <c r="AY685" s="392"/>
      <c r="AZ685" s="392"/>
      <c r="BA685" s="392"/>
      <c r="BB685" s="392"/>
      <c r="BC685" s="392"/>
      <c r="BD685" s="392"/>
      <c r="BE685" s="392"/>
      <c r="BF685" s="392"/>
      <c r="BG685" s="392"/>
      <c r="BH685" s="392"/>
      <c r="BI685" s="392"/>
      <c r="BJ685" s="392"/>
      <c r="BK685" s="392"/>
      <c r="BL685" s="392"/>
      <c r="BM685" s="392"/>
      <c r="BN685" s="392"/>
      <c r="BO685" s="392"/>
      <c r="BP685" s="392"/>
      <c r="BQ685" s="392"/>
      <c r="BR685" s="392"/>
      <c r="BS685" s="392"/>
      <c r="BT685" s="392"/>
    </row>
    <row r="686" ht="15.75" customHeight="1">
      <c r="A686" s="216"/>
      <c r="B686" s="156"/>
      <c r="C686" s="156"/>
      <c r="D686" s="156"/>
      <c r="E686" s="392"/>
      <c r="F686" s="392"/>
      <c r="G686" s="392"/>
      <c r="H686" s="392"/>
      <c r="I686" s="392"/>
      <c r="J686" s="392"/>
      <c r="K686" s="392"/>
      <c r="L686" s="392"/>
      <c r="M686" s="392"/>
      <c r="N686" s="392"/>
      <c r="O686" s="392"/>
      <c r="P686" s="392"/>
      <c r="Q686" s="392"/>
      <c r="R686" s="392"/>
      <c r="S686" s="392"/>
      <c r="T686" s="392"/>
      <c r="U686" s="392"/>
      <c r="V686" s="392"/>
      <c r="W686" s="392"/>
      <c r="X686" s="392"/>
      <c r="Y686" s="392"/>
      <c r="Z686" s="392"/>
      <c r="AA686" s="392"/>
      <c r="AB686" s="392"/>
      <c r="AC686" s="392"/>
      <c r="AD686" s="392"/>
      <c r="AE686" s="392"/>
      <c r="AF686" s="392"/>
      <c r="AG686" s="392"/>
      <c r="AH686" s="392"/>
      <c r="AI686" s="392"/>
      <c r="AJ686" s="392"/>
      <c r="AK686" s="392"/>
      <c r="AL686" s="392"/>
      <c r="AM686" s="392"/>
      <c r="AN686" s="392"/>
      <c r="AO686" s="392"/>
      <c r="AP686" s="392"/>
      <c r="AQ686" s="392"/>
      <c r="AR686" s="392"/>
      <c r="AS686" s="392"/>
      <c r="AT686" s="392"/>
      <c r="AU686" s="392"/>
      <c r="AV686" s="392"/>
      <c r="AW686" s="392"/>
      <c r="AX686" s="392"/>
      <c r="AY686" s="392"/>
      <c r="AZ686" s="392"/>
      <c r="BA686" s="392"/>
      <c r="BB686" s="392"/>
      <c r="BC686" s="392"/>
      <c r="BD686" s="392"/>
      <c r="BE686" s="392"/>
      <c r="BF686" s="392"/>
      <c r="BG686" s="392"/>
      <c r="BH686" s="392"/>
      <c r="BI686" s="392"/>
      <c r="BJ686" s="392"/>
      <c r="BK686" s="392"/>
      <c r="BL686" s="392"/>
      <c r="BM686" s="392"/>
      <c r="BN686" s="392"/>
      <c r="BO686" s="392"/>
      <c r="BP686" s="392"/>
      <c r="BQ686" s="392"/>
      <c r="BR686" s="392"/>
      <c r="BS686" s="392"/>
      <c r="BT686" s="392"/>
    </row>
    <row r="687" ht="15.75" customHeight="1">
      <c r="A687" s="216"/>
      <c r="B687" s="156"/>
      <c r="C687" s="156"/>
      <c r="D687" s="156"/>
      <c r="E687" s="392"/>
      <c r="F687" s="392"/>
      <c r="G687" s="392"/>
      <c r="H687" s="392"/>
      <c r="I687" s="392"/>
      <c r="J687" s="392"/>
      <c r="K687" s="392"/>
      <c r="L687" s="392"/>
      <c r="M687" s="392"/>
      <c r="N687" s="392"/>
      <c r="O687" s="392"/>
      <c r="P687" s="392"/>
      <c r="Q687" s="392"/>
      <c r="R687" s="392"/>
      <c r="S687" s="392"/>
      <c r="T687" s="392"/>
      <c r="U687" s="392"/>
      <c r="V687" s="392"/>
      <c r="W687" s="392"/>
      <c r="X687" s="392"/>
      <c r="Y687" s="392"/>
      <c r="Z687" s="392"/>
      <c r="AA687" s="392"/>
      <c r="AB687" s="392"/>
      <c r="AC687" s="392"/>
      <c r="AD687" s="392"/>
      <c r="AE687" s="392"/>
      <c r="AF687" s="392"/>
      <c r="AG687" s="392"/>
      <c r="AH687" s="392"/>
      <c r="AI687" s="392"/>
      <c r="AJ687" s="392"/>
      <c r="AK687" s="392"/>
      <c r="AL687" s="392"/>
      <c r="AM687" s="392"/>
      <c r="AN687" s="392"/>
      <c r="AO687" s="392"/>
      <c r="AP687" s="392"/>
      <c r="AQ687" s="392"/>
      <c r="AR687" s="392"/>
      <c r="AS687" s="392"/>
      <c r="AT687" s="392"/>
      <c r="AU687" s="392"/>
      <c r="AV687" s="392"/>
      <c r="AW687" s="392"/>
      <c r="AX687" s="392"/>
      <c r="AY687" s="392"/>
      <c r="AZ687" s="392"/>
      <c r="BA687" s="392"/>
      <c r="BB687" s="392"/>
      <c r="BC687" s="392"/>
      <c r="BD687" s="392"/>
      <c r="BE687" s="392"/>
      <c r="BF687" s="392"/>
      <c r="BG687" s="392"/>
      <c r="BH687" s="392"/>
      <c r="BI687" s="392"/>
      <c r="BJ687" s="392"/>
      <c r="BK687" s="392"/>
      <c r="BL687" s="392"/>
      <c r="BM687" s="392"/>
      <c r="BN687" s="392"/>
      <c r="BO687" s="392"/>
      <c r="BP687" s="392"/>
      <c r="BQ687" s="392"/>
      <c r="BR687" s="392"/>
      <c r="BS687" s="392"/>
      <c r="BT687" s="392"/>
    </row>
    <row r="688" ht="15.75" customHeight="1">
      <c r="A688" s="216"/>
      <c r="B688" s="156"/>
      <c r="C688" s="156"/>
      <c r="D688" s="156"/>
      <c r="E688" s="392"/>
      <c r="F688" s="392"/>
      <c r="G688" s="392"/>
      <c r="H688" s="392"/>
      <c r="I688" s="392"/>
      <c r="J688" s="392"/>
      <c r="K688" s="392"/>
      <c r="L688" s="392"/>
      <c r="M688" s="392"/>
      <c r="N688" s="392"/>
      <c r="O688" s="392"/>
      <c r="P688" s="392"/>
      <c r="Q688" s="392"/>
      <c r="R688" s="392"/>
      <c r="S688" s="392"/>
      <c r="T688" s="392"/>
      <c r="U688" s="392"/>
      <c r="V688" s="392"/>
      <c r="W688" s="392"/>
      <c r="X688" s="392"/>
      <c r="Y688" s="392"/>
      <c r="Z688" s="392"/>
      <c r="AA688" s="392"/>
      <c r="AB688" s="392"/>
      <c r="AC688" s="392"/>
      <c r="AD688" s="392"/>
      <c r="AE688" s="392"/>
      <c r="AF688" s="392"/>
      <c r="AG688" s="392"/>
      <c r="AH688" s="392"/>
      <c r="AI688" s="392"/>
      <c r="AJ688" s="392"/>
      <c r="AK688" s="392"/>
      <c r="AL688" s="392"/>
      <c r="AM688" s="392"/>
      <c r="AN688" s="392"/>
      <c r="AO688" s="392"/>
      <c r="AP688" s="392"/>
      <c r="AQ688" s="392"/>
      <c r="AR688" s="392"/>
      <c r="AS688" s="392"/>
      <c r="AT688" s="392"/>
      <c r="AU688" s="392"/>
      <c r="AV688" s="392"/>
      <c r="AW688" s="392"/>
      <c r="AX688" s="392"/>
      <c r="AY688" s="392"/>
      <c r="AZ688" s="392"/>
      <c r="BA688" s="392"/>
      <c r="BB688" s="392"/>
      <c r="BC688" s="392"/>
      <c r="BD688" s="392"/>
      <c r="BE688" s="392"/>
      <c r="BF688" s="392"/>
      <c r="BG688" s="392"/>
      <c r="BH688" s="392"/>
      <c r="BI688" s="392"/>
      <c r="BJ688" s="392"/>
      <c r="BK688" s="392"/>
      <c r="BL688" s="392"/>
      <c r="BM688" s="392"/>
      <c r="BN688" s="392"/>
      <c r="BO688" s="392"/>
      <c r="BP688" s="392"/>
      <c r="BQ688" s="392"/>
      <c r="BR688" s="392"/>
      <c r="BS688" s="392"/>
      <c r="BT688" s="392"/>
    </row>
    <row r="689" ht="15.75" customHeight="1">
      <c r="A689" s="216"/>
      <c r="B689" s="156"/>
      <c r="C689" s="156"/>
      <c r="D689" s="156"/>
      <c r="E689" s="392"/>
      <c r="F689" s="392"/>
      <c r="G689" s="392"/>
      <c r="H689" s="392"/>
      <c r="I689" s="392"/>
      <c r="J689" s="392"/>
      <c r="K689" s="392"/>
      <c r="L689" s="392"/>
      <c r="M689" s="392"/>
      <c r="N689" s="392"/>
      <c r="O689" s="392"/>
      <c r="P689" s="392"/>
      <c r="Q689" s="392"/>
      <c r="R689" s="392"/>
      <c r="S689" s="392"/>
      <c r="T689" s="392"/>
      <c r="U689" s="392"/>
      <c r="V689" s="392"/>
      <c r="W689" s="392"/>
      <c r="X689" s="392"/>
      <c r="Y689" s="392"/>
      <c r="Z689" s="392"/>
      <c r="AA689" s="392"/>
      <c r="AB689" s="392"/>
      <c r="AC689" s="392"/>
      <c r="AD689" s="392"/>
      <c r="AE689" s="392"/>
      <c r="AF689" s="392"/>
      <c r="AG689" s="392"/>
      <c r="AH689" s="392"/>
      <c r="AI689" s="392"/>
      <c r="AJ689" s="392"/>
      <c r="AK689" s="392"/>
      <c r="AL689" s="392"/>
      <c r="AM689" s="392"/>
      <c r="AN689" s="392"/>
      <c r="AO689" s="392"/>
      <c r="AP689" s="392"/>
      <c r="AQ689" s="392"/>
      <c r="AR689" s="392"/>
      <c r="AS689" s="392"/>
      <c r="AT689" s="392"/>
      <c r="AU689" s="392"/>
      <c r="AV689" s="392"/>
      <c r="AW689" s="392"/>
      <c r="AX689" s="392"/>
      <c r="AY689" s="392"/>
      <c r="AZ689" s="392"/>
      <c r="BA689" s="392"/>
      <c r="BB689" s="392"/>
      <c r="BC689" s="392"/>
      <c r="BD689" s="392"/>
      <c r="BE689" s="392"/>
      <c r="BF689" s="392"/>
      <c r="BG689" s="392"/>
      <c r="BH689" s="392"/>
      <c r="BI689" s="392"/>
      <c r="BJ689" s="392"/>
      <c r="BK689" s="392"/>
      <c r="BL689" s="392"/>
      <c r="BM689" s="392"/>
      <c r="BN689" s="392"/>
      <c r="BO689" s="392"/>
      <c r="BP689" s="392"/>
      <c r="BQ689" s="392"/>
      <c r="BR689" s="392"/>
      <c r="BS689" s="392"/>
      <c r="BT689" s="392"/>
    </row>
    <row r="690" ht="15.75" customHeight="1">
      <c r="A690" s="216"/>
      <c r="B690" s="156"/>
      <c r="C690" s="156"/>
      <c r="D690" s="156"/>
      <c r="E690" s="392"/>
      <c r="F690" s="392"/>
      <c r="G690" s="392"/>
      <c r="H690" s="392"/>
      <c r="I690" s="392"/>
      <c r="J690" s="392"/>
      <c r="K690" s="392"/>
      <c r="L690" s="392"/>
      <c r="M690" s="392"/>
      <c r="N690" s="392"/>
      <c r="O690" s="392"/>
      <c r="P690" s="392"/>
      <c r="Q690" s="392"/>
      <c r="R690" s="392"/>
      <c r="S690" s="392"/>
      <c r="T690" s="392"/>
      <c r="U690" s="392"/>
      <c r="V690" s="392"/>
      <c r="W690" s="392"/>
      <c r="X690" s="392"/>
      <c r="Y690" s="392"/>
      <c r="Z690" s="392"/>
      <c r="AA690" s="392"/>
      <c r="AB690" s="392"/>
      <c r="AC690" s="392"/>
      <c r="AD690" s="392"/>
      <c r="AE690" s="392"/>
      <c r="AF690" s="392"/>
      <c r="AG690" s="392"/>
      <c r="AH690" s="392"/>
      <c r="AI690" s="392"/>
      <c r="AJ690" s="392"/>
      <c r="AK690" s="392"/>
      <c r="AL690" s="392"/>
      <c r="AM690" s="392"/>
      <c r="AN690" s="392"/>
      <c r="AO690" s="392"/>
      <c r="AP690" s="392"/>
      <c r="AQ690" s="392"/>
      <c r="AR690" s="392"/>
      <c r="AS690" s="392"/>
      <c r="AT690" s="392"/>
      <c r="AU690" s="392"/>
      <c r="AV690" s="392"/>
      <c r="AW690" s="392"/>
      <c r="AX690" s="392"/>
      <c r="AY690" s="392"/>
      <c r="AZ690" s="392"/>
      <c r="BA690" s="392"/>
      <c r="BB690" s="392"/>
      <c r="BC690" s="392"/>
      <c r="BD690" s="392"/>
      <c r="BE690" s="392"/>
      <c r="BF690" s="392"/>
      <c r="BG690" s="392"/>
      <c r="BH690" s="392"/>
      <c r="BI690" s="392"/>
      <c r="BJ690" s="392"/>
      <c r="BK690" s="392"/>
      <c r="BL690" s="392"/>
      <c r="BM690" s="392"/>
      <c r="BN690" s="392"/>
      <c r="BO690" s="392"/>
      <c r="BP690" s="392"/>
      <c r="BQ690" s="392"/>
      <c r="BR690" s="392"/>
      <c r="BS690" s="392"/>
      <c r="BT690" s="392"/>
    </row>
    <row r="691" ht="15.75" customHeight="1">
      <c r="A691" s="216"/>
      <c r="B691" s="156"/>
      <c r="C691" s="156"/>
      <c r="D691" s="156"/>
      <c r="E691" s="392"/>
      <c r="F691" s="392"/>
      <c r="G691" s="392"/>
      <c r="H691" s="392"/>
      <c r="I691" s="392"/>
      <c r="J691" s="392"/>
      <c r="K691" s="392"/>
      <c r="L691" s="392"/>
      <c r="M691" s="392"/>
      <c r="N691" s="392"/>
      <c r="O691" s="392"/>
      <c r="P691" s="392"/>
      <c r="Q691" s="392"/>
      <c r="R691" s="392"/>
      <c r="S691" s="392"/>
      <c r="T691" s="392"/>
      <c r="U691" s="392"/>
      <c r="V691" s="392"/>
      <c r="W691" s="392"/>
      <c r="X691" s="392"/>
      <c r="Y691" s="392"/>
      <c r="Z691" s="392"/>
      <c r="AA691" s="392"/>
      <c r="AB691" s="392"/>
      <c r="AC691" s="392"/>
      <c r="AD691" s="392"/>
      <c r="AE691" s="392"/>
      <c r="AF691" s="392"/>
      <c r="AG691" s="392"/>
      <c r="AH691" s="392"/>
      <c r="AI691" s="392"/>
      <c r="AJ691" s="392"/>
      <c r="AK691" s="392"/>
      <c r="AL691" s="392"/>
      <c r="AM691" s="392"/>
      <c r="AN691" s="392"/>
      <c r="AO691" s="392"/>
      <c r="AP691" s="392"/>
      <c r="AQ691" s="392"/>
      <c r="AR691" s="392"/>
      <c r="AS691" s="392"/>
      <c r="AT691" s="392"/>
      <c r="AU691" s="392"/>
      <c r="AV691" s="392"/>
      <c r="AW691" s="392"/>
      <c r="AX691" s="392"/>
      <c r="AY691" s="392"/>
      <c r="AZ691" s="392"/>
      <c r="BA691" s="392"/>
      <c r="BB691" s="392"/>
      <c r="BC691" s="392"/>
      <c r="BD691" s="392"/>
      <c r="BE691" s="392"/>
      <c r="BF691" s="392"/>
      <c r="BG691" s="392"/>
      <c r="BH691" s="392"/>
      <c r="BI691" s="392"/>
      <c r="BJ691" s="392"/>
      <c r="BK691" s="392"/>
      <c r="BL691" s="392"/>
      <c r="BM691" s="392"/>
      <c r="BN691" s="392"/>
      <c r="BO691" s="392"/>
      <c r="BP691" s="392"/>
      <c r="BQ691" s="392"/>
      <c r="BR691" s="392"/>
      <c r="BS691" s="392"/>
      <c r="BT691" s="392"/>
    </row>
    <row r="692" ht="15.75" customHeight="1">
      <c r="A692" s="216"/>
      <c r="B692" s="156"/>
      <c r="C692" s="156"/>
      <c r="D692" s="156"/>
      <c r="E692" s="392"/>
      <c r="F692" s="392"/>
      <c r="G692" s="392"/>
      <c r="H692" s="392"/>
      <c r="I692" s="392"/>
      <c r="J692" s="392"/>
      <c r="K692" s="392"/>
      <c r="L692" s="392"/>
      <c r="M692" s="392"/>
      <c r="N692" s="392"/>
      <c r="O692" s="392"/>
      <c r="P692" s="392"/>
      <c r="Q692" s="392"/>
      <c r="R692" s="392"/>
      <c r="S692" s="392"/>
      <c r="T692" s="392"/>
      <c r="U692" s="392"/>
      <c r="V692" s="392"/>
      <c r="W692" s="392"/>
      <c r="X692" s="392"/>
      <c r="Y692" s="392"/>
      <c r="Z692" s="392"/>
      <c r="AA692" s="392"/>
      <c r="AB692" s="392"/>
      <c r="AC692" s="392"/>
      <c r="AD692" s="392"/>
      <c r="AE692" s="392"/>
      <c r="AF692" s="392"/>
      <c r="AG692" s="392"/>
      <c r="AH692" s="392"/>
      <c r="AI692" s="392"/>
      <c r="AJ692" s="392"/>
      <c r="AK692" s="392"/>
      <c r="AL692" s="392"/>
      <c r="AM692" s="392"/>
      <c r="AN692" s="392"/>
      <c r="AO692" s="392"/>
      <c r="AP692" s="392"/>
      <c r="AQ692" s="392"/>
      <c r="AR692" s="392"/>
      <c r="AS692" s="392"/>
      <c r="AT692" s="392"/>
      <c r="AU692" s="392"/>
      <c r="AV692" s="392"/>
      <c r="AW692" s="392"/>
      <c r="AX692" s="392"/>
      <c r="AY692" s="392"/>
      <c r="AZ692" s="392"/>
      <c r="BA692" s="392"/>
      <c r="BB692" s="392"/>
      <c r="BC692" s="392"/>
      <c r="BD692" s="392"/>
      <c r="BE692" s="392"/>
      <c r="BF692" s="392"/>
      <c r="BG692" s="392"/>
      <c r="BH692" s="392"/>
      <c r="BI692" s="392"/>
      <c r="BJ692" s="392"/>
      <c r="BK692" s="392"/>
      <c r="BL692" s="392"/>
      <c r="BM692" s="392"/>
      <c r="BN692" s="392"/>
      <c r="BO692" s="392"/>
      <c r="BP692" s="392"/>
      <c r="BQ692" s="392"/>
      <c r="BR692" s="392"/>
      <c r="BS692" s="392"/>
      <c r="BT692" s="392"/>
    </row>
    <row r="693" ht="15.75" customHeight="1">
      <c r="A693" s="216"/>
      <c r="B693" s="156"/>
      <c r="C693" s="156"/>
      <c r="D693" s="156"/>
      <c r="E693" s="392"/>
      <c r="F693" s="392"/>
      <c r="G693" s="392"/>
      <c r="H693" s="392"/>
      <c r="I693" s="392"/>
      <c r="J693" s="392"/>
      <c r="K693" s="392"/>
      <c r="L693" s="392"/>
      <c r="M693" s="392"/>
      <c r="N693" s="392"/>
      <c r="O693" s="392"/>
      <c r="P693" s="392"/>
      <c r="Q693" s="392"/>
      <c r="R693" s="392"/>
      <c r="S693" s="392"/>
      <c r="T693" s="392"/>
      <c r="U693" s="392"/>
      <c r="V693" s="392"/>
      <c r="W693" s="392"/>
      <c r="X693" s="392"/>
      <c r="Y693" s="392"/>
      <c r="Z693" s="392"/>
      <c r="AA693" s="392"/>
      <c r="AB693" s="392"/>
      <c r="AC693" s="392"/>
      <c r="AD693" s="392"/>
      <c r="AE693" s="392"/>
      <c r="AF693" s="392"/>
      <c r="AG693" s="392"/>
      <c r="AH693" s="392"/>
      <c r="AI693" s="392"/>
      <c r="AJ693" s="392"/>
      <c r="AK693" s="392"/>
      <c r="AL693" s="392"/>
      <c r="AM693" s="392"/>
      <c r="AN693" s="392"/>
      <c r="AO693" s="392"/>
      <c r="AP693" s="392"/>
      <c r="AQ693" s="392"/>
      <c r="AR693" s="392"/>
      <c r="AS693" s="392"/>
      <c r="AT693" s="392"/>
      <c r="AU693" s="392"/>
      <c r="AV693" s="392"/>
      <c r="AW693" s="392"/>
      <c r="AX693" s="392"/>
      <c r="AY693" s="392"/>
      <c r="AZ693" s="392"/>
      <c r="BA693" s="392"/>
      <c r="BB693" s="392"/>
      <c r="BC693" s="392"/>
      <c r="BD693" s="392"/>
      <c r="BE693" s="392"/>
      <c r="BF693" s="392"/>
      <c r="BG693" s="392"/>
      <c r="BH693" s="392"/>
      <c r="BI693" s="392"/>
      <c r="BJ693" s="392"/>
      <c r="BK693" s="392"/>
      <c r="BL693" s="392"/>
      <c r="BM693" s="392"/>
      <c r="BN693" s="392"/>
      <c r="BO693" s="392"/>
      <c r="BP693" s="392"/>
      <c r="BQ693" s="392"/>
      <c r="BR693" s="392"/>
      <c r="BS693" s="392"/>
      <c r="BT693" s="392"/>
    </row>
    <row r="694" ht="15.75" customHeight="1">
      <c r="A694" s="216"/>
      <c r="B694" s="156"/>
      <c r="C694" s="156"/>
      <c r="D694" s="156"/>
      <c r="E694" s="392"/>
      <c r="F694" s="392"/>
      <c r="G694" s="392"/>
      <c r="H694" s="392"/>
      <c r="I694" s="392"/>
      <c r="J694" s="392"/>
      <c r="K694" s="392"/>
      <c r="L694" s="392"/>
      <c r="M694" s="392"/>
      <c r="N694" s="392"/>
      <c r="O694" s="392"/>
      <c r="P694" s="392"/>
      <c r="Q694" s="392"/>
      <c r="R694" s="392"/>
      <c r="S694" s="392"/>
      <c r="T694" s="392"/>
      <c r="U694" s="392"/>
      <c r="V694" s="392"/>
      <c r="W694" s="392"/>
      <c r="X694" s="392"/>
      <c r="Y694" s="392"/>
      <c r="Z694" s="392"/>
      <c r="AA694" s="392"/>
      <c r="AB694" s="392"/>
      <c r="AC694" s="392"/>
      <c r="AD694" s="392"/>
      <c r="AE694" s="392"/>
      <c r="AF694" s="392"/>
      <c r="AG694" s="392"/>
      <c r="AH694" s="392"/>
      <c r="AI694" s="392"/>
      <c r="AJ694" s="392"/>
      <c r="AK694" s="392"/>
      <c r="AL694" s="392"/>
      <c r="AM694" s="392"/>
      <c r="AN694" s="392"/>
      <c r="AO694" s="392"/>
      <c r="AP694" s="392"/>
      <c r="AQ694" s="392"/>
      <c r="AR694" s="392"/>
      <c r="AS694" s="392"/>
      <c r="AT694" s="392"/>
      <c r="AU694" s="392"/>
      <c r="AV694" s="392"/>
      <c r="AW694" s="392"/>
      <c r="AX694" s="392"/>
      <c r="AY694" s="392"/>
      <c r="AZ694" s="392"/>
      <c r="BA694" s="392"/>
      <c r="BB694" s="392"/>
      <c r="BC694" s="392"/>
      <c r="BD694" s="392"/>
      <c r="BE694" s="392"/>
      <c r="BF694" s="392"/>
      <c r="BG694" s="392"/>
      <c r="BH694" s="392"/>
      <c r="BI694" s="392"/>
      <c r="BJ694" s="392"/>
      <c r="BK694" s="392"/>
      <c r="BL694" s="392"/>
      <c r="BM694" s="392"/>
      <c r="BN694" s="392"/>
      <c r="BO694" s="392"/>
      <c r="BP694" s="392"/>
      <c r="BQ694" s="392"/>
      <c r="BR694" s="392"/>
      <c r="BS694" s="392"/>
      <c r="BT694" s="392"/>
    </row>
    <row r="695" ht="15.75" customHeight="1">
      <c r="A695" s="216"/>
      <c r="B695" s="156"/>
      <c r="C695" s="156"/>
      <c r="D695" s="156"/>
      <c r="E695" s="392"/>
      <c r="F695" s="392"/>
      <c r="G695" s="392"/>
      <c r="H695" s="392"/>
      <c r="I695" s="392"/>
      <c r="J695" s="392"/>
      <c r="K695" s="392"/>
      <c r="L695" s="392"/>
      <c r="M695" s="392"/>
      <c r="N695" s="392"/>
      <c r="O695" s="392"/>
      <c r="P695" s="392"/>
      <c r="Q695" s="392"/>
      <c r="R695" s="392"/>
      <c r="S695" s="392"/>
      <c r="T695" s="392"/>
      <c r="U695" s="392"/>
      <c r="V695" s="392"/>
      <c r="W695" s="392"/>
      <c r="X695" s="392"/>
      <c r="Y695" s="392"/>
      <c r="Z695" s="392"/>
      <c r="AA695" s="392"/>
      <c r="AB695" s="392"/>
      <c r="AC695" s="392"/>
      <c r="AD695" s="392"/>
      <c r="AE695" s="392"/>
      <c r="AF695" s="392"/>
      <c r="AG695" s="392"/>
      <c r="AH695" s="392"/>
      <c r="AI695" s="392"/>
      <c r="AJ695" s="392"/>
      <c r="AK695" s="392"/>
      <c r="AL695" s="392"/>
      <c r="AM695" s="392"/>
      <c r="AN695" s="392"/>
      <c r="AO695" s="392"/>
      <c r="AP695" s="392"/>
      <c r="AQ695" s="392"/>
      <c r="AR695" s="392"/>
      <c r="AS695" s="392"/>
      <c r="AT695" s="392"/>
      <c r="AU695" s="392"/>
      <c r="AV695" s="392"/>
      <c r="AW695" s="392"/>
      <c r="AX695" s="392"/>
      <c r="AY695" s="392"/>
      <c r="AZ695" s="392"/>
      <c r="BA695" s="392"/>
      <c r="BB695" s="392"/>
      <c r="BC695" s="392"/>
      <c r="BD695" s="392"/>
      <c r="BE695" s="392"/>
      <c r="BF695" s="392"/>
      <c r="BG695" s="392"/>
      <c r="BH695" s="392"/>
      <c r="BI695" s="392"/>
      <c r="BJ695" s="392"/>
      <c r="BK695" s="392"/>
      <c r="BL695" s="392"/>
      <c r="BM695" s="392"/>
      <c r="BN695" s="392"/>
      <c r="BO695" s="392"/>
      <c r="BP695" s="392"/>
      <c r="BQ695" s="392"/>
      <c r="BR695" s="392"/>
      <c r="BS695" s="392"/>
      <c r="BT695" s="392"/>
    </row>
    <row r="696" ht="15.75" customHeight="1">
      <c r="A696" s="216"/>
      <c r="B696" s="156"/>
      <c r="C696" s="156"/>
      <c r="D696" s="156"/>
      <c r="E696" s="392"/>
      <c r="F696" s="392"/>
      <c r="G696" s="392"/>
      <c r="H696" s="392"/>
      <c r="I696" s="392"/>
      <c r="J696" s="392"/>
      <c r="K696" s="392"/>
      <c r="L696" s="392"/>
      <c r="M696" s="392"/>
      <c r="N696" s="392"/>
      <c r="O696" s="392"/>
      <c r="P696" s="392"/>
      <c r="Q696" s="392"/>
      <c r="R696" s="392"/>
      <c r="S696" s="392"/>
      <c r="T696" s="392"/>
      <c r="U696" s="392"/>
      <c r="V696" s="392"/>
      <c r="W696" s="392"/>
      <c r="X696" s="392"/>
      <c r="Y696" s="392"/>
      <c r="Z696" s="392"/>
      <c r="AA696" s="392"/>
      <c r="AB696" s="392"/>
      <c r="AC696" s="392"/>
      <c r="AD696" s="392"/>
      <c r="AE696" s="392"/>
      <c r="AF696" s="392"/>
      <c r="AG696" s="392"/>
      <c r="AH696" s="392"/>
      <c r="AI696" s="392"/>
      <c r="AJ696" s="392"/>
      <c r="AK696" s="392"/>
      <c r="AL696" s="392"/>
      <c r="AM696" s="392"/>
      <c r="AN696" s="392"/>
      <c r="AO696" s="392"/>
      <c r="AP696" s="392"/>
      <c r="AQ696" s="392"/>
      <c r="AR696" s="392"/>
      <c r="AS696" s="392"/>
      <c r="AT696" s="392"/>
      <c r="AU696" s="392"/>
      <c r="AV696" s="392"/>
      <c r="AW696" s="392"/>
      <c r="AX696" s="392"/>
      <c r="AY696" s="392"/>
      <c r="AZ696" s="392"/>
      <c r="BA696" s="392"/>
      <c r="BB696" s="392"/>
      <c r="BC696" s="392"/>
      <c r="BD696" s="392"/>
      <c r="BE696" s="392"/>
      <c r="BF696" s="392"/>
      <c r="BG696" s="392"/>
      <c r="BH696" s="392"/>
      <c r="BI696" s="392"/>
      <c r="BJ696" s="392"/>
      <c r="BK696" s="392"/>
      <c r="BL696" s="392"/>
      <c r="BM696" s="392"/>
      <c r="BN696" s="392"/>
      <c r="BO696" s="392"/>
      <c r="BP696" s="392"/>
      <c r="BQ696" s="392"/>
      <c r="BR696" s="392"/>
      <c r="BS696" s="392"/>
      <c r="BT696" s="392"/>
    </row>
    <row r="697" ht="15.75" customHeight="1">
      <c r="A697" s="216"/>
      <c r="B697" s="156"/>
      <c r="C697" s="156"/>
      <c r="D697" s="156"/>
      <c r="E697" s="392"/>
      <c r="F697" s="392"/>
      <c r="G697" s="392"/>
      <c r="H697" s="392"/>
      <c r="I697" s="392"/>
      <c r="J697" s="392"/>
      <c r="K697" s="392"/>
      <c r="L697" s="392"/>
      <c r="M697" s="392"/>
      <c r="N697" s="392"/>
      <c r="O697" s="392"/>
      <c r="P697" s="392"/>
      <c r="Q697" s="392"/>
      <c r="R697" s="392"/>
      <c r="S697" s="392"/>
      <c r="T697" s="392"/>
      <c r="U697" s="392"/>
      <c r="V697" s="392"/>
      <c r="W697" s="392"/>
      <c r="X697" s="392"/>
      <c r="Y697" s="392"/>
      <c r="Z697" s="392"/>
      <c r="AA697" s="392"/>
      <c r="AB697" s="392"/>
      <c r="AC697" s="392"/>
      <c r="AD697" s="392"/>
      <c r="AE697" s="392"/>
      <c r="AF697" s="392"/>
      <c r="AG697" s="392"/>
      <c r="AH697" s="392"/>
      <c r="AI697" s="392"/>
      <c r="AJ697" s="392"/>
      <c r="AK697" s="392"/>
      <c r="AL697" s="392"/>
      <c r="AM697" s="392"/>
      <c r="AN697" s="392"/>
      <c r="AO697" s="392"/>
      <c r="AP697" s="392"/>
      <c r="AQ697" s="392"/>
      <c r="AR697" s="392"/>
      <c r="AS697" s="392"/>
      <c r="AT697" s="392"/>
      <c r="AU697" s="392"/>
      <c r="AV697" s="392"/>
      <c r="AW697" s="392"/>
      <c r="AX697" s="392"/>
      <c r="AY697" s="392"/>
      <c r="AZ697" s="392"/>
      <c r="BA697" s="392"/>
      <c r="BB697" s="392"/>
      <c r="BC697" s="392"/>
      <c r="BD697" s="392"/>
      <c r="BE697" s="392"/>
      <c r="BF697" s="392"/>
      <c r="BG697" s="392"/>
      <c r="BH697" s="392"/>
      <c r="BI697" s="392"/>
      <c r="BJ697" s="392"/>
      <c r="BK697" s="392"/>
      <c r="BL697" s="392"/>
      <c r="BM697" s="392"/>
      <c r="BN697" s="392"/>
      <c r="BO697" s="392"/>
      <c r="BP697" s="392"/>
      <c r="BQ697" s="392"/>
      <c r="BR697" s="392"/>
      <c r="BS697" s="392"/>
      <c r="BT697" s="392"/>
    </row>
    <row r="698" ht="15.75" customHeight="1">
      <c r="A698" s="216"/>
      <c r="B698" s="156"/>
      <c r="C698" s="156"/>
      <c r="D698" s="156"/>
      <c r="E698" s="392"/>
      <c r="F698" s="392"/>
      <c r="G698" s="392"/>
      <c r="H698" s="392"/>
      <c r="I698" s="392"/>
      <c r="J698" s="392"/>
      <c r="K698" s="392"/>
      <c r="L698" s="392"/>
      <c r="M698" s="392"/>
      <c r="N698" s="392"/>
      <c r="O698" s="392"/>
      <c r="P698" s="392"/>
      <c r="Q698" s="392"/>
      <c r="R698" s="392"/>
      <c r="S698" s="392"/>
      <c r="T698" s="392"/>
      <c r="U698" s="392"/>
      <c r="V698" s="392"/>
      <c r="W698" s="392"/>
      <c r="X698" s="392"/>
      <c r="Y698" s="392"/>
      <c r="Z698" s="392"/>
      <c r="AA698" s="392"/>
      <c r="AB698" s="392"/>
      <c r="AC698" s="392"/>
      <c r="AD698" s="392"/>
      <c r="AE698" s="392"/>
      <c r="AF698" s="392"/>
      <c r="AG698" s="392"/>
      <c r="AH698" s="392"/>
      <c r="AI698" s="392"/>
      <c r="AJ698" s="392"/>
      <c r="AK698" s="392"/>
      <c r="AL698" s="392"/>
      <c r="AM698" s="392"/>
      <c r="AN698" s="392"/>
      <c r="AO698" s="392"/>
      <c r="AP698" s="392"/>
      <c r="AQ698" s="392"/>
      <c r="AR698" s="392"/>
      <c r="AS698" s="392"/>
      <c r="AT698" s="392"/>
      <c r="AU698" s="392"/>
      <c r="AV698" s="392"/>
      <c r="AW698" s="392"/>
      <c r="AX698" s="392"/>
      <c r="AY698" s="392"/>
      <c r="AZ698" s="392"/>
      <c r="BA698" s="392"/>
      <c r="BB698" s="392"/>
      <c r="BC698" s="392"/>
      <c r="BD698" s="392"/>
      <c r="BE698" s="392"/>
      <c r="BF698" s="392"/>
      <c r="BG698" s="392"/>
      <c r="BH698" s="392"/>
      <c r="BI698" s="392"/>
      <c r="BJ698" s="392"/>
      <c r="BK698" s="392"/>
      <c r="BL698" s="392"/>
      <c r="BM698" s="392"/>
      <c r="BN698" s="392"/>
      <c r="BO698" s="392"/>
      <c r="BP698" s="392"/>
      <c r="BQ698" s="392"/>
      <c r="BR698" s="392"/>
      <c r="BS698" s="392"/>
      <c r="BT698" s="392"/>
    </row>
    <row r="699" ht="15.75" customHeight="1">
      <c r="A699" s="216"/>
      <c r="B699" s="156"/>
      <c r="C699" s="156"/>
      <c r="D699" s="156"/>
      <c r="E699" s="392"/>
      <c r="F699" s="392"/>
      <c r="G699" s="392"/>
      <c r="H699" s="392"/>
      <c r="I699" s="392"/>
      <c r="J699" s="392"/>
      <c r="K699" s="392"/>
      <c r="L699" s="392"/>
      <c r="M699" s="392"/>
      <c r="N699" s="392"/>
      <c r="O699" s="392"/>
      <c r="P699" s="392"/>
      <c r="Q699" s="392"/>
      <c r="R699" s="392"/>
      <c r="S699" s="392"/>
      <c r="T699" s="392"/>
      <c r="U699" s="392"/>
      <c r="V699" s="392"/>
      <c r="W699" s="392"/>
      <c r="X699" s="392"/>
      <c r="Y699" s="392"/>
      <c r="Z699" s="392"/>
      <c r="AA699" s="392"/>
      <c r="AB699" s="392"/>
      <c r="AC699" s="392"/>
      <c r="AD699" s="392"/>
      <c r="AE699" s="392"/>
      <c r="AF699" s="392"/>
      <c r="AG699" s="392"/>
      <c r="AH699" s="392"/>
      <c r="AI699" s="392"/>
      <c r="AJ699" s="392"/>
      <c r="AK699" s="392"/>
      <c r="AL699" s="392"/>
      <c r="AM699" s="392"/>
      <c r="AN699" s="392"/>
      <c r="AO699" s="392"/>
      <c r="AP699" s="392"/>
      <c r="AQ699" s="392"/>
      <c r="AR699" s="392"/>
      <c r="AS699" s="392"/>
      <c r="AT699" s="392"/>
      <c r="AU699" s="392"/>
      <c r="AV699" s="392"/>
      <c r="AW699" s="392"/>
      <c r="AX699" s="392"/>
      <c r="AY699" s="392"/>
      <c r="AZ699" s="392"/>
      <c r="BA699" s="392"/>
      <c r="BB699" s="392"/>
      <c r="BC699" s="392"/>
      <c r="BD699" s="392"/>
      <c r="BE699" s="392"/>
      <c r="BF699" s="392"/>
      <c r="BG699" s="392"/>
      <c r="BH699" s="392"/>
      <c r="BI699" s="392"/>
      <c r="BJ699" s="392"/>
      <c r="BK699" s="392"/>
      <c r="BL699" s="392"/>
      <c r="BM699" s="392"/>
      <c r="BN699" s="392"/>
      <c r="BO699" s="392"/>
      <c r="BP699" s="392"/>
      <c r="BQ699" s="392"/>
      <c r="BR699" s="392"/>
      <c r="BS699" s="392"/>
      <c r="BT699" s="392"/>
    </row>
    <row r="700" ht="15.75" customHeight="1">
      <c r="A700" s="216"/>
      <c r="B700" s="156"/>
      <c r="C700" s="156"/>
      <c r="D700" s="156"/>
      <c r="E700" s="392"/>
      <c r="F700" s="392"/>
      <c r="G700" s="392"/>
      <c r="H700" s="392"/>
      <c r="I700" s="392"/>
      <c r="J700" s="392"/>
      <c r="K700" s="392"/>
      <c r="L700" s="392"/>
      <c r="M700" s="392"/>
      <c r="N700" s="392"/>
      <c r="O700" s="392"/>
      <c r="P700" s="392"/>
      <c r="Q700" s="392"/>
      <c r="R700" s="392"/>
      <c r="S700" s="392"/>
      <c r="T700" s="392"/>
      <c r="U700" s="392"/>
      <c r="V700" s="392"/>
      <c r="W700" s="392"/>
      <c r="X700" s="392"/>
      <c r="Y700" s="392"/>
      <c r="Z700" s="392"/>
      <c r="AA700" s="392"/>
      <c r="AB700" s="392"/>
      <c r="AC700" s="392"/>
      <c r="AD700" s="392"/>
      <c r="AE700" s="392"/>
      <c r="AF700" s="392"/>
      <c r="AG700" s="392"/>
      <c r="AH700" s="392"/>
      <c r="AI700" s="392"/>
      <c r="AJ700" s="392"/>
      <c r="AK700" s="392"/>
      <c r="AL700" s="392"/>
      <c r="AM700" s="392"/>
      <c r="AN700" s="392"/>
      <c r="AO700" s="392"/>
      <c r="AP700" s="392"/>
      <c r="AQ700" s="392"/>
      <c r="AR700" s="392"/>
      <c r="AS700" s="392"/>
      <c r="AT700" s="392"/>
      <c r="AU700" s="392"/>
      <c r="AV700" s="392"/>
      <c r="AW700" s="392"/>
      <c r="AX700" s="392"/>
      <c r="AY700" s="392"/>
      <c r="AZ700" s="392"/>
      <c r="BA700" s="392"/>
      <c r="BB700" s="392"/>
      <c r="BC700" s="392"/>
      <c r="BD700" s="392"/>
      <c r="BE700" s="392"/>
      <c r="BF700" s="392"/>
      <c r="BG700" s="392"/>
      <c r="BH700" s="392"/>
      <c r="BI700" s="392"/>
      <c r="BJ700" s="392"/>
      <c r="BK700" s="392"/>
      <c r="BL700" s="392"/>
      <c r="BM700" s="392"/>
      <c r="BN700" s="392"/>
      <c r="BO700" s="392"/>
      <c r="BP700" s="392"/>
      <c r="BQ700" s="392"/>
      <c r="BR700" s="392"/>
      <c r="BS700" s="392"/>
      <c r="BT700" s="392"/>
    </row>
    <row r="701" ht="15.75" customHeight="1">
      <c r="A701" s="216"/>
      <c r="B701" s="156"/>
      <c r="C701" s="156"/>
      <c r="D701" s="156"/>
      <c r="E701" s="392"/>
      <c r="F701" s="392"/>
      <c r="G701" s="392"/>
      <c r="H701" s="392"/>
      <c r="I701" s="392"/>
      <c r="J701" s="392"/>
      <c r="K701" s="392"/>
      <c r="L701" s="392"/>
      <c r="M701" s="392"/>
      <c r="N701" s="392"/>
      <c r="O701" s="392"/>
      <c r="P701" s="392"/>
      <c r="Q701" s="392"/>
      <c r="R701" s="392"/>
      <c r="S701" s="392"/>
      <c r="T701" s="392"/>
      <c r="U701" s="392"/>
      <c r="V701" s="392"/>
      <c r="W701" s="392"/>
      <c r="X701" s="392"/>
      <c r="Y701" s="392"/>
      <c r="Z701" s="392"/>
      <c r="AA701" s="392"/>
      <c r="AB701" s="392"/>
      <c r="AC701" s="392"/>
      <c r="AD701" s="392"/>
      <c r="AE701" s="392"/>
      <c r="AF701" s="392"/>
      <c r="AG701" s="392"/>
      <c r="AH701" s="392"/>
      <c r="AI701" s="392"/>
      <c r="AJ701" s="392"/>
      <c r="AK701" s="392"/>
      <c r="AL701" s="392"/>
      <c r="AM701" s="392"/>
      <c r="AN701" s="392"/>
      <c r="AO701" s="392"/>
      <c r="AP701" s="392"/>
      <c r="AQ701" s="392"/>
      <c r="AR701" s="392"/>
      <c r="AS701" s="392"/>
      <c r="AT701" s="392"/>
      <c r="AU701" s="392"/>
      <c r="AV701" s="392"/>
      <c r="AW701" s="392"/>
      <c r="AX701" s="392"/>
      <c r="AY701" s="392"/>
      <c r="AZ701" s="392"/>
      <c r="BA701" s="392"/>
      <c r="BB701" s="392"/>
      <c r="BC701" s="392"/>
      <c r="BD701" s="392"/>
      <c r="BE701" s="392"/>
      <c r="BF701" s="392"/>
      <c r="BG701" s="392"/>
      <c r="BH701" s="392"/>
      <c r="BI701" s="392"/>
      <c r="BJ701" s="392"/>
      <c r="BK701" s="392"/>
      <c r="BL701" s="392"/>
      <c r="BM701" s="392"/>
      <c r="BN701" s="392"/>
      <c r="BO701" s="392"/>
      <c r="BP701" s="392"/>
      <c r="BQ701" s="392"/>
      <c r="BR701" s="392"/>
      <c r="BS701" s="392"/>
      <c r="BT701" s="392"/>
    </row>
    <row r="702" ht="15.75" customHeight="1">
      <c r="A702" s="216"/>
      <c r="B702" s="156"/>
      <c r="C702" s="156"/>
      <c r="D702" s="156"/>
      <c r="E702" s="392"/>
      <c r="F702" s="392"/>
      <c r="G702" s="392"/>
      <c r="H702" s="392"/>
      <c r="I702" s="392"/>
      <c r="J702" s="392"/>
      <c r="K702" s="392"/>
      <c r="L702" s="392"/>
      <c r="M702" s="392"/>
      <c r="N702" s="392"/>
      <c r="O702" s="392"/>
      <c r="P702" s="392"/>
      <c r="Q702" s="392"/>
      <c r="R702" s="392"/>
      <c r="S702" s="392"/>
      <c r="T702" s="392"/>
      <c r="U702" s="392"/>
      <c r="V702" s="392"/>
      <c r="W702" s="392"/>
      <c r="X702" s="392"/>
      <c r="Y702" s="392"/>
      <c r="Z702" s="392"/>
      <c r="AA702" s="392"/>
      <c r="AB702" s="392"/>
      <c r="AC702" s="392"/>
      <c r="AD702" s="392"/>
      <c r="AE702" s="392"/>
      <c r="AF702" s="392"/>
      <c r="AG702" s="392"/>
      <c r="AH702" s="392"/>
      <c r="AI702" s="392"/>
      <c r="AJ702" s="392"/>
      <c r="AK702" s="392"/>
      <c r="AL702" s="392"/>
      <c r="AM702" s="392"/>
      <c r="AN702" s="392"/>
      <c r="AO702" s="392"/>
      <c r="AP702" s="392"/>
      <c r="AQ702" s="392"/>
      <c r="AR702" s="392"/>
      <c r="AS702" s="392"/>
      <c r="AT702" s="392"/>
      <c r="AU702" s="392"/>
      <c r="AV702" s="392"/>
      <c r="AW702" s="392"/>
      <c r="AX702" s="392"/>
      <c r="AY702" s="392"/>
      <c r="AZ702" s="392"/>
      <c r="BA702" s="392"/>
      <c r="BB702" s="392"/>
      <c r="BC702" s="392"/>
      <c r="BD702" s="392"/>
      <c r="BE702" s="392"/>
      <c r="BF702" s="392"/>
      <c r="BG702" s="392"/>
      <c r="BH702" s="392"/>
      <c r="BI702" s="392"/>
      <c r="BJ702" s="392"/>
      <c r="BK702" s="392"/>
      <c r="BL702" s="392"/>
      <c r="BM702" s="392"/>
      <c r="BN702" s="392"/>
      <c r="BO702" s="392"/>
      <c r="BP702" s="392"/>
      <c r="BQ702" s="392"/>
      <c r="BR702" s="392"/>
      <c r="BS702" s="392"/>
      <c r="BT702" s="392"/>
    </row>
    <row r="703" ht="15.75" customHeight="1">
      <c r="A703" s="216"/>
      <c r="B703" s="156"/>
      <c r="C703" s="156"/>
      <c r="D703" s="156"/>
      <c r="E703" s="392"/>
      <c r="F703" s="392"/>
      <c r="G703" s="392"/>
      <c r="H703" s="392"/>
      <c r="I703" s="392"/>
      <c r="J703" s="392"/>
      <c r="K703" s="392"/>
      <c r="L703" s="392"/>
      <c r="M703" s="392"/>
      <c r="N703" s="392"/>
      <c r="O703" s="392"/>
      <c r="P703" s="392"/>
      <c r="Q703" s="392"/>
      <c r="R703" s="392"/>
      <c r="S703" s="392"/>
      <c r="T703" s="392"/>
      <c r="U703" s="392"/>
      <c r="V703" s="392"/>
      <c r="W703" s="392"/>
      <c r="X703" s="392"/>
      <c r="Y703" s="392"/>
      <c r="Z703" s="392"/>
      <c r="AA703" s="392"/>
      <c r="AB703" s="392"/>
      <c r="AC703" s="392"/>
      <c r="AD703" s="392"/>
      <c r="AE703" s="392"/>
      <c r="AF703" s="392"/>
      <c r="AG703" s="392"/>
      <c r="AH703" s="392"/>
      <c r="AI703" s="392"/>
      <c r="AJ703" s="392"/>
      <c r="AK703" s="392"/>
      <c r="AL703" s="392"/>
      <c r="AM703" s="392"/>
      <c r="AN703" s="392"/>
      <c r="AO703" s="392"/>
      <c r="AP703" s="392"/>
      <c r="AQ703" s="392"/>
      <c r="AR703" s="392"/>
      <c r="AS703" s="392"/>
      <c r="AT703" s="392"/>
      <c r="AU703" s="392"/>
      <c r="AV703" s="392"/>
      <c r="AW703" s="392"/>
      <c r="AX703" s="392"/>
      <c r="AY703" s="392"/>
      <c r="AZ703" s="392"/>
      <c r="BA703" s="392"/>
      <c r="BB703" s="392"/>
      <c r="BC703" s="392"/>
      <c r="BD703" s="392"/>
      <c r="BE703" s="392"/>
      <c r="BF703" s="392"/>
      <c r="BG703" s="392"/>
      <c r="BH703" s="392"/>
      <c r="BI703" s="392"/>
      <c r="BJ703" s="392"/>
      <c r="BK703" s="392"/>
      <c r="BL703" s="392"/>
      <c r="BM703" s="392"/>
      <c r="BN703" s="392"/>
      <c r="BO703" s="392"/>
      <c r="BP703" s="392"/>
      <c r="BQ703" s="392"/>
      <c r="BR703" s="392"/>
      <c r="BS703" s="392"/>
      <c r="BT703" s="392"/>
    </row>
    <row r="704" ht="15.75" customHeight="1">
      <c r="A704" s="216"/>
      <c r="B704" s="156"/>
      <c r="C704" s="156"/>
      <c r="D704" s="156"/>
      <c r="E704" s="392"/>
      <c r="F704" s="392"/>
      <c r="G704" s="392"/>
      <c r="H704" s="392"/>
      <c r="I704" s="392"/>
      <c r="J704" s="392"/>
      <c r="K704" s="392"/>
      <c r="L704" s="392"/>
      <c r="M704" s="392"/>
      <c r="N704" s="392"/>
      <c r="O704" s="392"/>
      <c r="P704" s="392"/>
      <c r="Q704" s="392"/>
      <c r="R704" s="392"/>
      <c r="S704" s="392"/>
      <c r="T704" s="392"/>
      <c r="U704" s="392"/>
      <c r="V704" s="392"/>
      <c r="W704" s="392"/>
      <c r="X704" s="392"/>
      <c r="Y704" s="392"/>
      <c r="Z704" s="392"/>
      <c r="AA704" s="392"/>
      <c r="AB704" s="392"/>
      <c r="AC704" s="392"/>
      <c r="AD704" s="392"/>
      <c r="AE704" s="392"/>
      <c r="AF704" s="392"/>
      <c r="AG704" s="392"/>
      <c r="AH704" s="392"/>
      <c r="AI704" s="392"/>
      <c r="AJ704" s="392"/>
      <c r="AK704" s="392"/>
      <c r="AL704" s="392"/>
      <c r="AM704" s="392"/>
      <c r="AN704" s="392"/>
      <c r="AO704" s="392"/>
      <c r="AP704" s="392"/>
      <c r="AQ704" s="392"/>
      <c r="AR704" s="392"/>
      <c r="AS704" s="392"/>
      <c r="AT704" s="392"/>
      <c r="AU704" s="392"/>
      <c r="AV704" s="392"/>
      <c r="AW704" s="392"/>
      <c r="AX704" s="392"/>
      <c r="AY704" s="392"/>
      <c r="AZ704" s="392"/>
      <c r="BA704" s="392"/>
      <c r="BB704" s="392"/>
      <c r="BC704" s="392"/>
      <c r="BD704" s="392"/>
      <c r="BE704" s="392"/>
      <c r="BF704" s="392"/>
      <c r="BG704" s="392"/>
      <c r="BH704" s="392"/>
      <c r="BI704" s="392"/>
      <c r="BJ704" s="392"/>
      <c r="BK704" s="392"/>
      <c r="BL704" s="392"/>
      <c r="BM704" s="392"/>
      <c r="BN704" s="392"/>
      <c r="BO704" s="392"/>
      <c r="BP704" s="392"/>
      <c r="BQ704" s="392"/>
      <c r="BR704" s="392"/>
      <c r="BS704" s="392"/>
      <c r="BT704" s="392"/>
    </row>
    <row r="705" ht="15.75" customHeight="1">
      <c r="A705" s="216"/>
      <c r="B705" s="156"/>
      <c r="C705" s="156"/>
      <c r="D705" s="156"/>
      <c r="E705" s="392"/>
      <c r="F705" s="392"/>
      <c r="G705" s="392"/>
      <c r="H705" s="392"/>
      <c r="I705" s="392"/>
      <c r="J705" s="392"/>
      <c r="K705" s="392"/>
      <c r="L705" s="392"/>
      <c r="M705" s="392"/>
      <c r="N705" s="392"/>
      <c r="O705" s="392"/>
      <c r="P705" s="392"/>
      <c r="Q705" s="392"/>
      <c r="R705" s="392"/>
      <c r="S705" s="392"/>
      <c r="T705" s="392"/>
      <c r="U705" s="392"/>
      <c r="V705" s="392"/>
      <c r="W705" s="392"/>
      <c r="X705" s="392"/>
      <c r="Y705" s="392"/>
      <c r="Z705" s="392"/>
      <c r="AA705" s="392"/>
      <c r="AB705" s="392"/>
      <c r="AC705" s="392"/>
      <c r="AD705" s="392"/>
      <c r="AE705" s="392"/>
      <c r="AF705" s="392"/>
      <c r="AG705" s="392"/>
      <c r="AH705" s="392"/>
      <c r="AI705" s="392"/>
      <c r="AJ705" s="392"/>
      <c r="AK705" s="392"/>
      <c r="AL705" s="392"/>
      <c r="AM705" s="392"/>
      <c r="AN705" s="392"/>
      <c r="AO705" s="392"/>
      <c r="AP705" s="392"/>
      <c r="AQ705" s="392"/>
      <c r="AR705" s="392"/>
      <c r="AS705" s="392"/>
      <c r="AT705" s="392"/>
      <c r="AU705" s="392"/>
      <c r="AV705" s="392"/>
      <c r="AW705" s="392"/>
      <c r="AX705" s="392"/>
      <c r="AY705" s="392"/>
      <c r="AZ705" s="392"/>
      <c r="BA705" s="392"/>
      <c r="BB705" s="392"/>
      <c r="BC705" s="392"/>
      <c r="BD705" s="392"/>
      <c r="BE705" s="392"/>
      <c r="BF705" s="392"/>
      <c r="BG705" s="392"/>
      <c r="BH705" s="392"/>
      <c r="BI705" s="392"/>
      <c r="BJ705" s="392"/>
      <c r="BK705" s="392"/>
      <c r="BL705" s="392"/>
      <c r="BM705" s="392"/>
      <c r="BN705" s="392"/>
      <c r="BO705" s="392"/>
      <c r="BP705" s="392"/>
      <c r="BQ705" s="392"/>
      <c r="BR705" s="392"/>
      <c r="BS705" s="392"/>
      <c r="BT705" s="392"/>
    </row>
    <row r="706" ht="15.75" customHeight="1">
      <c r="A706" s="216"/>
      <c r="B706" s="156"/>
      <c r="C706" s="156"/>
      <c r="D706" s="156"/>
      <c r="E706" s="392"/>
      <c r="F706" s="392"/>
      <c r="G706" s="392"/>
      <c r="H706" s="392"/>
      <c r="I706" s="392"/>
      <c r="J706" s="392"/>
      <c r="K706" s="392"/>
      <c r="L706" s="392"/>
      <c r="M706" s="392"/>
      <c r="N706" s="392"/>
      <c r="O706" s="392"/>
      <c r="P706" s="392"/>
      <c r="Q706" s="392"/>
      <c r="R706" s="392"/>
      <c r="S706" s="392"/>
      <c r="T706" s="392"/>
      <c r="U706" s="392"/>
      <c r="V706" s="392"/>
      <c r="W706" s="392"/>
      <c r="X706" s="392"/>
      <c r="Y706" s="392"/>
      <c r="Z706" s="392"/>
      <c r="AA706" s="392"/>
      <c r="AB706" s="392"/>
      <c r="AC706" s="392"/>
      <c r="AD706" s="392"/>
      <c r="AE706" s="392"/>
      <c r="AF706" s="392"/>
      <c r="AG706" s="392"/>
      <c r="AH706" s="392"/>
      <c r="AI706" s="392"/>
      <c r="AJ706" s="392"/>
      <c r="AK706" s="392"/>
      <c r="AL706" s="392"/>
      <c r="AM706" s="392"/>
      <c r="AN706" s="392"/>
      <c r="AO706" s="392"/>
      <c r="AP706" s="392"/>
      <c r="AQ706" s="392"/>
      <c r="AR706" s="392"/>
      <c r="AS706" s="392"/>
      <c r="AT706" s="392"/>
      <c r="AU706" s="392"/>
      <c r="AV706" s="392"/>
      <c r="AW706" s="392"/>
      <c r="AX706" s="392"/>
      <c r="AY706" s="392"/>
      <c r="AZ706" s="392"/>
      <c r="BA706" s="392"/>
      <c r="BB706" s="392"/>
      <c r="BC706" s="392"/>
      <c r="BD706" s="392"/>
      <c r="BE706" s="392"/>
      <c r="BF706" s="392"/>
      <c r="BG706" s="392"/>
      <c r="BH706" s="392"/>
      <c r="BI706" s="392"/>
      <c r="BJ706" s="392"/>
      <c r="BK706" s="392"/>
      <c r="BL706" s="392"/>
      <c r="BM706" s="392"/>
      <c r="BN706" s="392"/>
      <c r="BO706" s="392"/>
      <c r="BP706" s="392"/>
      <c r="BQ706" s="392"/>
      <c r="BR706" s="392"/>
      <c r="BS706" s="392"/>
      <c r="BT706" s="392"/>
    </row>
    <row r="707" ht="15.75" customHeight="1">
      <c r="A707" s="216"/>
      <c r="B707" s="156"/>
      <c r="C707" s="156"/>
      <c r="D707" s="156"/>
      <c r="E707" s="392"/>
      <c r="F707" s="392"/>
      <c r="G707" s="392"/>
      <c r="H707" s="392"/>
      <c r="I707" s="392"/>
      <c r="J707" s="392"/>
      <c r="K707" s="392"/>
      <c r="L707" s="392"/>
      <c r="M707" s="392"/>
      <c r="N707" s="392"/>
      <c r="O707" s="392"/>
      <c r="P707" s="392"/>
      <c r="Q707" s="392"/>
      <c r="R707" s="392"/>
      <c r="S707" s="392"/>
      <c r="T707" s="392"/>
      <c r="U707" s="392"/>
      <c r="V707" s="392"/>
      <c r="W707" s="392"/>
      <c r="X707" s="392"/>
      <c r="Y707" s="392"/>
      <c r="Z707" s="392"/>
      <c r="AA707" s="392"/>
      <c r="AB707" s="392"/>
      <c r="AC707" s="392"/>
      <c r="AD707" s="392"/>
      <c r="AE707" s="392"/>
      <c r="AF707" s="392"/>
      <c r="AG707" s="392"/>
      <c r="AH707" s="392"/>
      <c r="AI707" s="392"/>
      <c r="AJ707" s="392"/>
      <c r="AK707" s="392"/>
      <c r="AL707" s="392"/>
      <c r="AM707" s="392"/>
      <c r="AN707" s="392"/>
      <c r="AO707" s="392"/>
      <c r="AP707" s="392"/>
      <c r="AQ707" s="392"/>
      <c r="AR707" s="392"/>
      <c r="AS707" s="392"/>
      <c r="AT707" s="392"/>
      <c r="AU707" s="392"/>
      <c r="AV707" s="392"/>
      <c r="AW707" s="392"/>
      <c r="AX707" s="392"/>
      <c r="AY707" s="392"/>
      <c r="AZ707" s="392"/>
      <c r="BA707" s="392"/>
      <c r="BB707" s="392"/>
      <c r="BC707" s="392"/>
      <c r="BD707" s="392"/>
      <c r="BE707" s="392"/>
      <c r="BF707" s="392"/>
      <c r="BG707" s="392"/>
      <c r="BH707" s="392"/>
      <c r="BI707" s="392"/>
      <c r="BJ707" s="392"/>
      <c r="BK707" s="392"/>
      <c r="BL707" s="392"/>
      <c r="BM707" s="392"/>
      <c r="BN707" s="392"/>
      <c r="BO707" s="392"/>
      <c r="BP707" s="392"/>
      <c r="BQ707" s="392"/>
      <c r="BR707" s="392"/>
      <c r="BS707" s="392"/>
      <c r="BT707" s="392"/>
    </row>
    <row r="708" ht="15.75" customHeight="1">
      <c r="A708" s="216"/>
      <c r="B708" s="156"/>
      <c r="C708" s="156"/>
      <c r="D708" s="156"/>
      <c r="E708" s="392"/>
      <c r="F708" s="392"/>
      <c r="G708" s="392"/>
      <c r="H708" s="392"/>
      <c r="I708" s="392"/>
      <c r="J708" s="392"/>
      <c r="K708" s="392"/>
      <c r="L708" s="392"/>
      <c r="M708" s="392"/>
      <c r="N708" s="392"/>
      <c r="O708" s="392"/>
      <c r="P708" s="392"/>
      <c r="Q708" s="392"/>
      <c r="R708" s="392"/>
      <c r="S708" s="392"/>
      <c r="T708" s="392"/>
      <c r="U708" s="392"/>
      <c r="V708" s="392"/>
      <c r="W708" s="392"/>
      <c r="X708" s="392"/>
      <c r="Y708" s="392"/>
      <c r="Z708" s="392"/>
      <c r="AA708" s="392"/>
      <c r="AB708" s="392"/>
      <c r="AC708" s="392"/>
      <c r="AD708" s="392"/>
      <c r="AE708" s="392"/>
      <c r="AF708" s="392"/>
      <c r="AG708" s="392"/>
      <c r="AH708" s="392"/>
      <c r="AI708" s="392"/>
      <c r="AJ708" s="392"/>
      <c r="AK708" s="392"/>
      <c r="AL708" s="392"/>
      <c r="AM708" s="392"/>
      <c r="AN708" s="392"/>
      <c r="AO708" s="392"/>
      <c r="AP708" s="392"/>
      <c r="AQ708" s="392"/>
      <c r="AR708" s="392"/>
      <c r="AS708" s="392"/>
      <c r="AT708" s="392"/>
      <c r="AU708" s="392"/>
      <c r="AV708" s="392"/>
      <c r="AW708" s="392"/>
      <c r="AX708" s="392"/>
      <c r="AY708" s="392"/>
      <c r="AZ708" s="392"/>
      <c r="BA708" s="392"/>
      <c r="BB708" s="392"/>
      <c r="BC708" s="392"/>
      <c r="BD708" s="392"/>
      <c r="BE708" s="392"/>
      <c r="BF708" s="392"/>
      <c r="BG708" s="392"/>
      <c r="BH708" s="392"/>
      <c r="BI708" s="392"/>
      <c r="BJ708" s="392"/>
      <c r="BK708" s="392"/>
      <c r="BL708" s="392"/>
      <c r="BM708" s="392"/>
      <c r="BN708" s="392"/>
      <c r="BO708" s="392"/>
      <c r="BP708" s="392"/>
      <c r="BQ708" s="392"/>
      <c r="BR708" s="392"/>
      <c r="BS708" s="392"/>
      <c r="BT708" s="392"/>
    </row>
    <row r="709" ht="15.75" customHeight="1">
      <c r="A709" s="216"/>
      <c r="B709" s="156"/>
      <c r="C709" s="156"/>
      <c r="D709" s="156"/>
      <c r="E709" s="392"/>
      <c r="F709" s="392"/>
      <c r="G709" s="392"/>
      <c r="H709" s="392"/>
      <c r="I709" s="392"/>
      <c r="J709" s="392"/>
      <c r="K709" s="392"/>
      <c r="L709" s="392"/>
      <c r="M709" s="392"/>
      <c r="N709" s="392"/>
      <c r="O709" s="392"/>
      <c r="P709" s="392"/>
      <c r="Q709" s="392"/>
      <c r="R709" s="392"/>
      <c r="S709" s="392"/>
      <c r="T709" s="392"/>
      <c r="U709" s="392"/>
      <c r="V709" s="392"/>
      <c r="W709" s="392"/>
      <c r="X709" s="392"/>
      <c r="Y709" s="392"/>
      <c r="Z709" s="392"/>
      <c r="AA709" s="392"/>
      <c r="AB709" s="392"/>
      <c r="AC709" s="392"/>
      <c r="AD709" s="392"/>
      <c r="AE709" s="392"/>
      <c r="AF709" s="392"/>
      <c r="AG709" s="392"/>
      <c r="AH709" s="392"/>
      <c r="AI709" s="392"/>
      <c r="AJ709" s="392"/>
      <c r="AK709" s="392"/>
      <c r="AL709" s="392"/>
      <c r="AM709" s="392"/>
      <c r="AN709" s="392"/>
      <c r="AO709" s="392"/>
      <c r="AP709" s="392"/>
      <c r="AQ709" s="392"/>
      <c r="AR709" s="392"/>
      <c r="AS709" s="392"/>
      <c r="AT709" s="392"/>
      <c r="AU709" s="392"/>
      <c r="AV709" s="392"/>
      <c r="AW709" s="392"/>
      <c r="AX709" s="392"/>
      <c r="AY709" s="392"/>
      <c r="AZ709" s="392"/>
      <c r="BA709" s="392"/>
      <c r="BB709" s="392"/>
      <c r="BC709" s="392"/>
      <c r="BD709" s="392"/>
      <c r="BE709" s="392"/>
      <c r="BF709" s="392"/>
      <c r="BG709" s="392"/>
      <c r="BH709" s="392"/>
      <c r="BI709" s="392"/>
      <c r="BJ709" s="392"/>
      <c r="BK709" s="392"/>
      <c r="BL709" s="392"/>
      <c r="BM709" s="392"/>
      <c r="BN709" s="392"/>
      <c r="BO709" s="392"/>
      <c r="BP709" s="392"/>
      <c r="BQ709" s="392"/>
      <c r="BR709" s="392"/>
      <c r="BS709" s="392"/>
      <c r="BT709" s="392"/>
    </row>
    <row r="710" ht="15.75" customHeight="1">
      <c r="A710" s="216"/>
      <c r="B710" s="156"/>
      <c r="C710" s="156"/>
      <c r="D710" s="156"/>
      <c r="E710" s="392"/>
      <c r="F710" s="392"/>
      <c r="G710" s="392"/>
      <c r="H710" s="392"/>
      <c r="I710" s="392"/>
      <c r="J710" s="392"/>
      <c r="K710" s="392"/>
      <c r="L710" s="392"/>
      <c r="M710" s="392"/>
      <c r="N710" s="392"/>
      <c r="O710" s="392"/>
      <c r="P710" s="392"/>
      <c r="Q710" s="392"/>
      <c r="R710" s="392"/>
      <c r="S710" s="392"/>
      <c r="T710" s="392"/>
      <c r="U710" s="392"/>
      <c r="V710" s="392"/>
      <c r="W710" s="392"/>
      <c r="X710" s="392"/>
      <c r="Y710" s="392"/>
      <c r="Z710" s="392"/>
      <c r="AA710" s="392"/>
      <c r="AB710" s="392"/>
      <c r="AC710" s="392"/>
      <c r="AD710" s="392"/>
      <c r="AE710" s="392"/>
      <c r="AF710" s="392"/>
      <c r="AG710" s="392"/>
      <c r="AH710" s="392"/>
      <c r="AI710" s="392"/>
      <c r="AJ710" s="392"/>
      <c r="AK710" s="392"/>
      <c r="AL710" s="392"/>
      <c r="AM710" s="392"/>
      <c r="AN710" s="392"/>
      <c r="AO710" s="392"/>
      <c r="AP710" s="392"/>
      <c r="AQ710" s="392"/>
      <c r="AR710" s="392"/>
      <c r="AS710" s="392"/>
      <c r="AT710" s="392"/>
      <c r="AU710" s="392"/>
      <c r="AV710" s="392"/>
      <c r="AW710" s="392"/>
      <c r="AX710" s="392"/>
      <c r="AY710" s="392"/>
      <c r="AZ710" s="392"/>
      <c r="BA710" s="392"/>
      <c r="BB710" s="392"/>
      <c r="BC710" s="392"/>
      <c r="BD710" s="392"/>
      <c r="BE710" s="392"/>
      <c r="BF710" s="392"/>
      <c r="BG710" s="392"/>
      <c r="BH710" s="392"/>
      <c r="BI710" s="392"/>
      <c r="BJ710" s="392"/>
      <c r="BK710" s="392"/>
      <c r="BL710" s="392"/>
      <c r="BM710" s="392"/>
      <c r="BN710" s="392"/>
      <c r="BO710" s="392"/>
      <c r="BP710" s="392"/>
      <c r="BQ710" s="392"/>
      <c r="BR710" s="392"/>
      <c r="BS710" s="392"/>
      <c r="BT710" s="392"/>
    </row>
    <row r="711" ht="15.75" customHeight="1">
      <c r="A711" s="216"/>
      <c r="B711" s="156"/>
      <c r="C711" s="156"/>
      <c r="D711" s="156"/>
      <c r="E711" s="392"/>
      <c r="F711" s="392"/>
      <c r="G711" s="392"/>
      <c r="H711" s="392"/>
      <c r="I711" s="392"/>
      <c r="J711" s="392"/>
      <c r="K711" s="392"/>
      <c r="L711" s="392"/>
      <c r="M711" s="392"/>
      <c r="N711" s="392"/>
      <c r="O711" s="392"/>
      <c r="P711" s="392"/>
      <c r="Q711" s="392"/>
      <c r="R711" s="392"/>
      <c r="S711" s="392"/>
      <c r="T711" s="392"/>
      <c r="U711" s="392"/>
      <c r="V711" s="392"/>
      <c r="W711" s="392"/>
      <c r="X711" s="392"/>
      <c r="Y711" s="392"/>
      <c r="Z711" s="392"/>
      <c r="AA711" s="392"/>
      <c r="AB711" s="392"/>
      <c r="AC711" s="392"/>
      <c r="AD711" s="392"/>
      <c r="AE711" s="392"/>
      <c r="AF711" s="392"/>
      <c r="AG711" s="392"/>
      <c r="AH711" s="392"/>
      <c r="AI711" s="392"/>
      <c r="AJ711" s="392"/>
      <c r="AK711" s="392"/>
      <c r="AL711" s="392"/>
      <c r="AM711" s="392"/>
      <c r="AN711" s="392"/>
      <c r="AO711" s="392"/>
      <c r="AP711" s="392"/>
      <c r="AQ711" s="392"/>
      <c r="AR711" s="392"/>
      <c r="AS711" s="392"/>
      <c r="AT711" s="392"/>
      <c r="AU711" s="392"/>
      <c r="AV711" s="392"/>
      <c r="AW711" s="392"/>
      <c r="AX711" s="392"/>
      <c r="AY711" s="392"/>
      <c r="AZ711" s="392"/>
      <c r="BA711" s="392"/>
      <c r="BB711" s="392"/>
      <c r="BC711" s="392"/>
      <c r="BD711" s="392"/>
      <c r="BE711" s="392"/>
      <c r="BF711" s="392"/>
      <c r="BG711" s="392"/>
      <c r="BH711" s="392"/>
      <c r="BI711" s="392"/>
      <c r="BJ711" s="392"/>
      <c r="BK711" s="392"/>
      <c r="BL711" s="392"/>
      <c r="BM711" s="392"/>
      <c r="BN711" s="392"/>
      <c r="BO711" s="392"/>
      <c r="BP711" s="392"/>
      <c r="BQ711" s="392"/>
      <c r="BR711" s="392"/>
      <c r="BS711" s="392"/>
      <c r="BT711" s="392"/>
    </row>
    <row r="712" ht="15.75" customHeight="1">
      <c r="A712" s="216"/>
      <c r="B712" s="156"/>
      <c r="C712" s="156"/>
      <c r="D712" s="156"/>
      <c r="E712" s="392"/>
      <c r="F712" s="392"/>
      <c r="G712" s="392"/>
      <c r="H712" s="392"/>
      <c r="I712" s="392"/>
      <c r="J712" s="392"/>
      <c r="K712" s="392"/>
      <c r="L712" s="392"/>
      <c r="M712" s="392"/>
      <c r="N712" s="392"/>
      <c r="O712" s="392"/>
      <c r="P712" s="392"/>
      <c r="Q712" s="392"/>
      <c r="R712" s="392"/>
      <c r="S712" s="392"/>
      <c r="T712" s="392"/>
      <c r="U712" s="392"/>
      <c r="V712" s="392"/>
      <c r="W712" s="392"/>
      <c r="X712" s="392"/>
      <c r="Y712" s="392"/>
      <c r="Z712" s="392"/>
      <c r="AA712" s="392"/>
      <c r="AB712" s="392"/>
      <c r="AC712" s="392"/>
      <c r="AD712" s="392"/>
      <c r="AE712" s="392"/>
      <c r="AF712" s="392"/>
      <c r="AG712" s="392"/>
      <c r="AH712" s="392"/>
      <c r="AI712" s="392"/>
      <c r="AJ712" s="392"/>
      <c r="AK712" s="392"/>
      <c r="AL712" s="392"/>
      <c r="AM712" s="392"/>
      <c r="AN712" s="392"/>
      <c r="AO712" s="392"/>
      <c r="AP712" s="392"/>
      <c r="AQ712" s="392"/>
      <c r="AR712" s="392"/>
      <c r="AS712" s="392"/>
      <c r="AT712" s="392"/>
      <c r="AU712" s="392"/>
      <c r="AV712" s="392"/>
      <c r="AW712" s="392"/>
      <c r="AX712" s="392"/>
      <c r="AY712" s="392"/>
      <c r="AZ712" s="392"/>
      <c r="BA712" s="392"/>
      <c r="BB712" s="392"/>
      <c r="BC712" s="392"/>
      <c r="BD712" s="392"/>
      <c r="BE712" s="392"/>
      <c r="BF712" s="392"/>
      <c r="BG712" s="392"/>
      <c r="BH712" s="392"/>
      <c r="BI712" s="392"/>
      <c r="BJ712" s="392"/>
      <c r="BK712" s="392"/>
      <c r="BL712" s="392"/>
      <c r="BM712" s="392"/>
      <c r="BN712" s="392"/>
      <c r="BO712" s="392"/>
      <c r="BP712" s="392"/>
      <c r="BQ712" s="392"/>
      <c r="BR712" s="392"/>
      <c r="BS712" s="392"/>
      <c r="BT712" s="392"/>
    </row>
    <row r="713" ht="15.75" customHeight="1">
      <c r="A713" s="216"/>
      <c r="B713" s="156"/>
      <c r="C713" s="156"/>
      <c r="D713" s="156"/>
      <c r="E713" s="392"/>
      <c r="F713" s="392"/>
      <c r="G713" s="392"/>
      <c r="H713" s="392"/>
      <c r="I713" s="392"/>
      <c r="J713" s="392"/>
      <c r="K713" s="392"/>
      <c r="L713" s="392"/>
      <c r="M713" s="392"/>
      <c r="N713" s="392"/>
      <c r="O713" s="392"/>
      <c r="P713" s="392"/>
      <c r="Q713" s="392"/>
      <c r="R713" s="392"/>
      <c r="S713" s="392"/>
      <c r="T713" s="392"/>
      <c r="U713" s="392"/>
      <c r="V713" s="392"/>
      <c r="W713" s="392"/>
      <c r="X713" s="392"/>
      <c r="Y713" s="392"/>
      <c r="Z713" s="392"/>
      <c r="AA713" s="392"/>
      <c r="AB713" s="392"/>
      <c r="AC713" s="392"/>
      <c r="AD713" s="392"/>
      <c r="AE713" s="392"/>
      <c r="AF713" s="392"/>
      <c r="AG713" s="392"/>
      <c r="AH713" s="392"/>
      <c r="AI713" s="392"/>
      <c r="AJ713" s="392"/>
      <c r="AK713" s="392"/>
      <c r="AL713" s="392"/>
      <c r="AM713" s="392"/>
      <c r="AN713" s="392"/>
      <c r="AO713" s="392"/>
      <c r="AP713" s="392"/>
      <c r="AQ713" s="392"/>
      <c r="AR713" s="392"/>
      <c r="AS713" s="392"/>
      <c r="AT713" s="392"/>
      <c r="AU713" s="392"/>
      <c r="AV713" s="392"/>
      <c r="AW713" s="392"/>
      <c r="AX713" s="392"/>
      <c r="AY713" s="392"/>
      <c r="AZ713" s="392"/>
      <c r="BA713" s="392"/>
      <c r="BB713" s="392"/>
      <c r="BC713" s="392"/>
      <c r="BD713" s="392"/>
      <c r="BE713" s="392"/>
      <c r="BF713" s="392"/>
      <c r="BG713" s="392"/>
      <c r="BH713" s="392"/>
      <c r="BI713" s="392"/>
      <c r="BJ713" s="392"/>
      <c r="BK713" s="392"/>
      <c r="BL713" s="392"/>
      <c r="BM713" s="392"/>
      <c r="BN713" s="392"/>
      <c r="BO713" s="392"/>
      <c r="BP713" s="392"/>
      <c r="BQ713" s="392"/>
      <c r="BR713" s="392"/>
      <c r="BS713" s="392"/>
      <c r="BT713" s="392"/>
    </row>
    <row r="714" ht="15.75" customHeight="1">
      <c r="A714" s="216"/>
      <c r="B714" s="156"/>
      <c r="C714" s="156"/>
      <c r="D714" s="156"/>
      <c r="E714" s="392"/>
      <c r="F714" s="392"/>
      <c r="G714" s="392"/>
      <c r="H714" s="392"/>
      <c r="I714" s="392"/>
      <c r="J714" s="392"/>
      <c r="K714" s="392"/>
      <c r="L714" s="392"/>
      <c r="M714" s="392"/>
      <c r="N714" s="392"/>
      <c r="O714" s="392"/>
      <c r="P714" s="392"/>
      <c r="Q714" s="392"/>
      <c r="R714" s="392"/>
      <c r="S714" s="392"/>
      <c r="T714" s="392"/>
      <c r="U714" s="392"/>
      <c r="V714" s="392"/>
      <c r="W714" s="392"/>
      <c r="X714" s="392"/>
      <c r="Y714" s="392"/>
      <c r="Z714" s="392"/>
      <c r="AA714" s="392"/>
      <c r="AB714" s="392"/>
      <c r="AC714" s="392"/>
      <c r="AD714" s="392"/>
      <c r="AE714" s="392"/>
      <c r="AF714" s="392"/>
      <c r="AG714" s="392"/>
      <c r="AH714" s="392"/>
      <c r="AI714" s="392"/>
      <c r="AJ714" s="392"/>
      <c r="AK714" s="392"/>
      <c r="AL714" s="392"/>
      <c r="AM714" s="392"/>
      <c r="AN714" s="392"/>
      <c r="AO714" s="392"/>
      <c r="AP714" s="392"/>
      <c r="AQ714" s="392"/>
      <c r="AR714" s="392"/>
      <c r="AS714" s="392"/>
      <c r="AT714" s="392"/>
      <c r="AU714" s="392"/>
      <c r="AV714" s="392"/>
      <c r="AW714" s="392"/>
      <c r="AX714" s="392"/>
      <c r="AY714" s="392"/>
      <c r="AZ714" s="392"/>
      <c r="BA714" s="392"/>
      <c r="BB714" s="392"/>
      <c r="BC714" s="392"/>
      <c r="BD714" s="392"/>
      <c r="BE714" s="392"/>
      <c r="BF714" s="392"/>
      <c r="BG714" s="392"/>
      <c r="BH714" s="392"/>
      <c r="BI714" s="392"/>
      <c r="BJ714" s="392"/>
      <c r="BK714" s="392"/>
      <c r="BL714" s="392"/>
      <c r="BM714" s="392"/>
      <c r="BN714" s="392"/>
      <c r="BO714" s="392"/>
      <c r="BP714" s="392"/>
      <c r="BQ714" s="392"/>
      <c r="BR714" s="392"/>
      <c r="BS714" s="392"/>
      <c r="BT714" s="392"/>
    </row>
    <row r="715" ht="15.75" customHeight="1">
      <c r="A715" s="216"/>
      <c r="B715" s="156"/>
      <c r="C715" s="156"/>
      <c r="D715" s="156"/>
      <c r="E715" s="392"/>
      <c r="F715" s="392"/>
      <c r="G715" s="392"/>
      <c r="H715" s="392"/>
      <c r="I715" s="392"/>
      <c r="J715" s="392"/>
      <c r="K715" s="392"/>
      <c r="L715" s="392"/>
      <c r="M715" s="392"/>
      <c r="N715" s="392"/>
      <c r="O715" s="392"/>
      <c r="P715" s="392"/>
      <c r="Q715" s="392"/>
      <c r="R715" s="392"/>
      <c r="S715" s="392"/>
      <c r="T715" s="392"/>
      <c r="U715" s="392"/>
      <c r="V715" s="392"/>
      <c r="W715" s="392"/>
      <c r="X715" s="392"/>
      <c r="Y715" s="392"/>
      <c r="Z715" s="392"/>
      <c r="AA715" s="392"/>
      <c r="AB715" s="392"/>
      <c r="AC715" s="392"/>
      <c r="AD715" s="392"/>
      <c r="AE715" s="392"/>
      <c r="AF715" s="392"/>
      <c r="AG715" s="392"/>
      <c r="AH715" s="392"/>
      <c r="AI715" s="392"/>
      <c r="AJ715" s="392"/>
      <c r="AK715" s="392"/>
      <c r="AL715" s="392"/>
      <c r="AM715" s="392"/>
      <c r="AN715" s="392"/>
      <c r="AO715" s="392"/>
      <c r="AP715" s="392"/>
      <c r="AQ715" s="392"/>
      <c r="AR715" s="392"/>
      <c r="AS715" s="392"/>
      <c r="AT715" s="392"/>
      <c r="AU715" s="392"/>
      <c r="AV715" s="392"/>
      <c r="AW715" s="392"/>
      <c r="AX715" s="392"/>
      <c r="AY715" s="392"/>
      <c r="AZ715" s="392"/>
      <c r="BA715" s="392"/>
      <c r="BB715" s="392"/>
      <c r="BC715" s="392"/>
      <c r="BD715" s="392"/>
      <c r="BE715" s="392"/>
      <c r="BF715" s="392"/>
      <c r="BG715" s="392"/>
      <c r="BH715" s="392"/>
      <c r="BI715" s="392"/>
      <c r="BJ715" s="392"/>
      <c r="BK715" s="392"/>
      <c r="BL715" s="392"/>
      <c r="BM715" s="392"/>
      <c r="BN715" s="392"/>
      <c r="BO715" s="392"/>
      <c r="BP715" s="392"/>
      <c r="BQ715" s="392"/>
      <c r="BR715" s="392"/>
      <c r="BS715" s="392"/>
      <c r="BT715" s="392"/>
    </row>
    <row r="716" ht="15.75" customHeight="1">
      <c r="A716" s="216"/>
      <c r="B716" s="156"/>
      <c r="C716" s="156"/>
      <c r="D716" s="156"/>
      <c r="E716" s="392"/>
      <c r="F716" s="392"/>
      <c r="G716" s="392"/>
      <c r="H716" s="392"/>
      <c r="I716" s="392"/>
      <c r="J716" s="392"/>
      <c r="K716" s="392"/>
      <c r="L716" s="392"/>
      <c r="M716" s="392"/>
      <c r="N716" s="392"/>
      <c r="O716" s="392"/>
      <c r="P716" s="392"/>
      <c r="Q716" s="392"/>
      <c r="R716" s="392"/>
      <c r="S716" s="392"/>
      <c r="T716" s="392"/>
      <c r="U716" s="392"/>
      <c r="V716" s="392"/>
      <c r="W716" s="392"/>
      <c r="X716" s="392"/>
      <c r="Y716" s="392"/>
      <c r="Z716" s="392"/>
      <c r="AA716" s="392"/>
      <c r="AB716" s="392"/>
      <c r="AC716" s="392"/>
      <c r="AD716" s="392"/>
      <c r="AE716" s="392"/>
      <c r="AF716" s="392"/>
      <c r="AG716" s="392"/>
      <c r="AH716" s="392"/>
      <c r="AI716" s="392"/>
      <c r="AJ716" s="392"/>
      <c r="AK716" s="392"/>
      <c r="AL716" s="392"/>
      <c r="AM716" s="392"/>
      <c r="AN716" s="392"/>
      <c r="AO716" s="392"/>
      <c r="AP716" s="392"/>
      <c r="AQ716" s="392"/>
      <c r="AR716" s="392"/>
      <c r="AS716" s="392"/>
      <c r="AT716" s="392"/>
      <c r="AU716" s="392"/>
      <c r="AV716" s="392"/>
      <c r="AW716" s="392"/>
      <c r="AX716" s="392"/>
      <c r="AY716" s="392"/>
      <c r="AZ716" s="392"/>
      <c r="BA716" s="392"/>
      <c r="BB716" s="392"/>
      <c r="BC716" s="392"/>
      <c r="BD716" s="392"/>
      <c r="BE716" s="392"/>
      <c r="BF716" s="392"/>
      <c r="BG716" s="392"/>
      <c r="BH716" s="392"/>
      <c r="BI716" s="392"/>
      <c r="BJ716" s="392"/>
      <c r="BK716" s="392"/>
      <c r="BL716" s="392"/>
      <c r="BM716" s="392"/>
      <c r="BN716" s="392"/>
      <c r="BO716" s="392"/>
      <c r="BP716" s="392"/>
      <c r="BQ716" s="392"/>
      <c r="BR716" s="392"/>
      <c r="BS716" s="392"/>
      <c r="BT716" s="392"/>
    </row>
    <row r="717" ht="15.75" customHeight="1">
      <c r="A717" s="216"/>
      <c r="B717" s="156"/>
      <c r="C717" s="156"/>
      <c r="D717" s="156"/>
      <c r="E717" s="392"/>
      <c r="F717" s="392"/>
      <c r="G717" s="392"/>
      <c r="H717" s="392"/>
      <c r="I717" s="392"/>
      <c r="J717" s="392"/>
      <c r="K717" s="392"/>
      <c r="L717" s="392"/>
      <c r="M717" s="392"/>
      <c r="N717" s="392"/>
      <c r="O717" s="392"/>
      <c r="P717" s="392"/>
      <c r="Q717" s="392"/>
      <c r="R717" s="392"/>
      <c r="S717" s="392"/>
      <c r="T717" s="392"/>
      <c r="U717" s="392"/>
      <c r="V717" s="392"/>
      <c r="W717" s="392"/>
      <c r="X717" s="392"/>
      <c r="Y717" s="392"/>
      <c r="Z717" s="392"/>
      <c r="AA717" s="392"/>
      <c r="AB717" s="392"/>
      <c r="AC717" s="392"/>
      <c r="AD717" s="392"/>
      <c r="AE717" s="392"/>
      <c r="AF717" s="392"/>
      <c r="AG717" s="392"/>
      <c r="AH717" s="392"/>
      <c r="AI717" s="392"/>
      <c r="AJ717" s="392"/>
      <c r="AK717" s="392"/>
      <c r="AL717" s="392"/>
      <c r="AM717" s="392"/>
      <c r="AN717" s="392"/>
      <c r="AO717" s="392"/>
      <c r="AP717" s="392"/>
      <c r="AQ717" s="392"/>
      <c r="AR717" s="392"/>
      <c r="AS717" s="392"/>
      <c r="AT717" s="392"/>
      <c r="AU717" s="392"/>
      <c r="AV717" s="392"/>
      <c r="AW717" s="392"/>
      <c r="AX717" s="392"/>
      <c r="AY717" s="392"/>
      <c r="AZ717" s="392"/>
      <c r="BA717" s="392"/>
      <c r="BB717" s="392"/>
      <c r="BC717" s="392"/>
      <c r="BD717" s="392"/>
      <c r="BE717" s="392"/>
      <c r="BF717" s="392"/>
      <c r="BG717" s="392"/>
      <c r="BH717" s="392"/>
      <c r="BI717" s="392"/>
      <c r="BJ717" s="392"/>
      <c r="BK717" s="392"/>
      <c r="BL717" s="392"/>
      <c r="BM717" s="392"/>
      <c r="BN717" s="392"/>
      <c r="BO717" s="392"/>
      <c r="BP717" s="392"/>
      <c r="BQ717" s="392"/>
      <c r="BR717" s="392"/>
      <c r="BS717" s="392"/>
      <c r="BT717" s="392"/>
    </row>
    <row r="718" ht="15.75" customHeight="1">
      <c r="A718" s="216"/>
      <c r="B718" s="156"/>
      <c r="C718" s="156"/>
      <c r="D718" s="156"/>
      <c r="E718" s="392"/>
      <c r="F718" s="392"/>
      <c r="G718" s="392"/>
      <c r="H718" s="392"/>
      <c r="I718" s="392"/>
      <c r="J718" s="392"/>
      <c r="K718" s="392"/>
      <c r="L718" s="392"/>
      <c r="M718" s="392"/>
      <c r="N718" s="392"/>
      <c r="O718" s="392"/>
      <c r="P718" s="392"/>
      <c r="Q718" s="392"/>
      <c r="R718" s="392"/>
      <c r="S718" s="392"/>
      <c r="T718" s="392"/>
      <c r="U718" s="392"/>
      <c r="V718" s="392"/>
      <c r="W718" s="392"/>
      <c r="X718" s="392"/>
      <c r="Y718" s="392"/>
      <c r="Z718" s="392"/>
      <c r="AA718" s="392"/>
      <c r="AB718" s="392"/>
      <c r="AC718" s="392"/>
      <c r="AD718" s="392"/>
      <c r="AE718" s="392"/>
      <c r="AF718" s="392"/>
      <c r="AG718" s="392"/>
      <c r="AH718" s="392"/>
      <c r="AI718" s="392"/>
      <c r="AJ718" s="392"/>
      <c r="AK718" s="392"/>
      <c r="AL718" s="392"/>
      <c r="AM718" s="392"/>
      <c r="AN718" s="392"/>
      <c r="AO718" s="392"/>
      <c r="AP718" s="392"/>
      <c r="AQ718" s="392"/>
      <c r="AR718" s="392"/>
      <c r="AS718" s="392"/>
      <c r="AT718" s="392"/>
      <c r="AU718" s="392"/>
      <c r="AV718" s="392"/>
      <c r="AW718" s="392"/>
      <c r="AX718" s="392"/>
      <c r="AY718" s="392"/>
      <c r="AZ718" s="392"/>
      <c r="BA718" s="392"/>
      <c r="BB718" s="392"/>
      <c r="BC718" s="392"/>
      <c r="BD718" s="392"/>
      <c r="BE718" s="392"/>
      <c r="BF718" s="392"/>
      <c r="BG718" s="392"/>
      <c r="BH718" s="392"/>
      <c r="BI718" s="392"/>
      <c r="BJ718" s="392"/>
      <c r="BK718" s="392"/>
      <c r="BL718" s="392"/>
      <c r="BM718" s="392"/>
      <c r="BN718" s="392"/>
      <c r="BO718" s="392"/>
      <c r="BP718" s="392"/>
      <c r="BQ718" s="392"/>
      <c r="BR718" s="392"/>
      <c r="BS718" s="392"/>
      <c r="BT718" s="392"/>
    </row>
    <row r="719" ht="15.75" customHeight="1">
      <c r="A719" s="216"/>
      <c r="B719" s="156"/>
      <c r="C719" s="156"/>
      <c r="D719" s="156"/>
      <c r="E719" s="392"/>
      <c r="F719" s="392"/>
      <c r="G719" s="392"/>
      <c r="H719" s="392"/>
      <c r="I719" s="392"/>
      <c r="J719" s="392"/>
      <c r="K719" s="392"/>
      <c r="L719" s="392"/>
      <c r="M719" s="392"/>
      <c r="N719" s="392"/>
      <c r="O719" s="392"/>
      <c r="P719" s="392"/>
      <c r="Q719" s="392"/>
      <c r="R719" s="392"/>
      <c r="S719" s="392"/>
      <c r="T719" s="392"/>
      <c r="U719" s="392"/>
      <c r="V719" s="392"/>
      <c r="W719" s="392"/>
      <c r="X719" s="392"/>
      <c r="Y719" s="392"/>
      <c r="Z719" s="392"/>
      <c r="AA719" s="392"/>
      <c r="AB719" s="392"/>
      <c r="AC719" s="392"/>
      <c r="AD719" s="392"/>
      <c r="AE719" s="392"/>
      <c r="AF719" s="392"/>
      <c r="AG719" s="392"/>
      <c r="AH719" s="392"/>
      <c r="AI719" s="392"/>
      <c r="AJ719" s="392"/>
      <c r="AK719" s="392"/>
      <c r="AL719" s="392"/>
      <c r="AM719" s="392"/>
      <c r="AN719" s="392"/>
      <c r="AO719" s="392"/>
      <c r="AP719" s="392"/>
      <c r="AQ719" s="392"/>
      <c r="AR719" s="392"/>
      <c r="AS719" s="392"/>
      <c r="AT719" s="392"/>
      <c r="AU719" s="392"/>
      <c r="AV719" s="392"/>
      <c r="AW719" s="392"/>
      <c r="AX719" s="392"/>
      <c r="AY719" s="392"/>
      <c r="AZ719" s="392"/>
      <c r="BA719" s="392"/>
      <c r="BB719" s="392"/>
      <c r="BC719" s="392"/>
      <c r="BD719" s="392"/>
      <c r="BE719" s="392"/>
      <c r="BF719" s="392"/>
      <c r="BG719" s="392"/>
      <c r="BH719" s="392"/>
      <c r="BI719" s="392"/>
      <c r="BJ719" s="392"/>
      <c r="BK719" s="392"/>
      <c r="BL719" s="392"/>
      <c r="BM719" s="392"/>
      <c r="BN719" s="392"/>
      <c r="BO719" s="392"/>
      <c r="BP719" s="392"/>
      <c r="BQ719" s="392"/>
      <c r="BR719" s="392"/>
      <c r="BS719" s="392"/>
      <c r="BT719" s="392"/>
    </row>
    <row r="720" ht="15.75" customHeight="1">
      <c r="A720" s="216"/>
      <c r="B720" s="156"/>
      <c r="C720" s="156"/>
      <c r="D720" s="156"/>
      <c r="E720" s="392"/>
      <c r="F720" s="392"/>
      <c r="G720" s="392"/>
      <c r="H720" s="392"/>
      <c r="I720" s="392"/>
      <c r="J720" s="392"/>
      <c r="K720" s="392"/>
      <c r="L720" s="392"/>
      <c r="M720" s="392"/>
      <c r="N720" s="392"/>
      <c r="O720" s="392"/>
      <c r="P720" s="392"/>
      <c r="Q720" s="392"/>
      <c r="R720" s="392"/>
      <c r="S720" s="392"/>
      <c r="T720" s="392"/>
      <c r="U720" s="392"/>
      <c r="V720" s="392"/>
      <c r="W720" s="392"/>
      <c r="X720" s="392"/>
      <c r="Y720" s="392"/>
      <c r="Z720" s="392"/>
      <c r="AA720" s="392"/>
      <c r="AB720" s="392"/>
      <c r="AC720" s="392"/>
      <c r="AD720" s="392"/>
      <c r="AE720" s="392"/>
      <c r="AF720" s="392"/>
      <c r="AG720" s="392"/>
      <c r="AH720" s="392"/>
      <c r="AI720" s="392"/>
      <c r="AJ720" s="392"/>
      <c r="AK720" s="392"/>
      <c r="AL720" s="392"/>
      <c r="AM720" s="392"/>
      <c r="AN720" s="392"/>
      <c r="AO720" s="392"/>
      <c r="AP720" s="392"/>
      <c r="AQ720" s="392"/>
      <c r="AR720" s="392"/>
      <c r="AS720" s="392"/>
      <c r="AT720" s="392"/>
      <c r="AU720" s="392"/>
      <c r="AV720" s="392"/>
      <c r="AW720" s="392"/>
      <c r="AX720" s="392"/>
      <c r="AY720" s="392"/>
      <c r="AZ720" s="392"/>
      <c r="BA720" s="392"/>
      <c r="BB720" s="392"/>
      <c r="BC720" s="392"/>
      <c r="BD720" s="392"/>
      <c r="BE720" s="392"/>
      <c r="BF720" s="392"/>
      <c r="BG720" s="392"/>
      <c r="BH720" s="392"/>
      <c r="BI720" s="392"/>
      <c r="BJ720" s="392"/>
      <c r="BK720" s="392"/>
      <c r="BL720" s="392"/>
      <c r="BM720" s="392"/>
      <c r="BN720" s="392"/>
      <c r="BO720" s="392"/>
      <c r="BP720" s="392"/>
      <c r="BQ720" s="392"/>
      <c r="BR720" s="392"/>
      <c r="BS720" s="392"/>
      <c r="BT720" s="392"/>
    </row>
    <row r="721" ht="15.75" customHeight="1">
      <c r="A721" s="216"/>
      <c r="B721" s="156"/>
      <c r="C721" s="156"/>
      <c r="D721" s="156"/>
      <c r="E721" s="392"/>
      <c r="F721" s="392"/>
      <c r="G721" s="392"/>
      <c r="H721" s="392"/>
      <c r="I721" s="392"/>
      <c r="J721" s="392"/>
      <c r="K721" s="392"/>
      <c r="L721" s="392"/>
      <c r="M721" s="392"/>
      <c r="N721" s="392"/>
      <c r="O721" s="392"/>
      <c r="P721" s="392"/>
      <c r="Q721" s="392"/>
      <c r="R721" s="392"/>
      <c r="S721" s="392"/>
      <c r="T721" s="392"/>
      <c r="U721" s="392"/>
      <c r="V721" s="392"/>
      <c r="W721" s="392"/>
      <c r="X721" s="392"/>
      <c r="Y721" s="392"/>
      <c r="Z721" s="392"/>
      <c r="AA721" s="392"/>
      <c r="AB721" s="392"/>
      <c r="AC721" s="392"/>
      <c r="AD721" s="392"/>
      <c r="AE721" s="392"/>
      <c r="AF721" s="392"/>
      <c r="AG721" s="392"/>
      <c r="AH721" s="392"/>
      <c r="AI721" s="392"/>
      <c r="AJ721" s="392"/>
      <c r="AK721" s="392"/>
      <c r="AL721" s="392"/>
      <c r="AM721" s="392"/>
      <c r="AN721" s="392"/>
      <c r="AO721" s="392"/>
      <c r="AP721" s="392"/>
      <c r="AQ721" s="392"/>
      <c r="AR721" s="392"/>
      <c r="AS721" s="392"/>
      <c r="AT721" s="392"/>
      <c r="AU721" s="392"/>
      <c r="AV721" s="392"/>
      <c r="AW721" s="392"/>
      <c r="AX721" s="392"/>
      <c r="AY721" s="392"/>
      <c r="AZ721" s="392"/>
      <c r="BA721" s="392"/>
      <c r="BB721" s="392"/>
      <c r="BC721" s="392"/>
      <c r="BD721" s="392"/>
      <c r="BE721" s="392"/>
      <c r="BF721" s="392"/>
      <c r="BG721" s="392"/>
      <c r="BH721" s="392"/>
      <c r="BI721" s="392"/>
      <c r="BJ721" s="392"/>
      <c r="BK721" s="392"/>
      <c r="BL721" s="392"/>
      <c r="BM721" s="392"/>
      <c r="BN721" s="392"/>
      <c r="BO721" s="392"/>
      <c r="BP721" s="392"/>
      <c r="BQ721" s="392"/>
      <c r="BR721" s="392"/>
      <c r="BS721" s="392"/>
      <c r="BT721" s="392"/>
    </row>
    <row r="722" ht="15.75" customHeight="1">
      <c r="A722" s="216"/>
      <c r="B722" s="156"/>
      <c r="C722" s="156"/>
      <c r="D722" s="156"/>
      <c r="E722" s="392"/>
      <c r="F722" s="392"/>
      <c r="G722" s="392"/>
      <c r="H722" s="392"/>
      <c r="I722" s="392"/>
      <c r="J722" s="392"/>
      <c r="K722" s="392"/>
      <c r="L722" s="392"/>
      <c r="M722" s="392"/>
      <c r="N722" s="392"/>
      <c r="O722" s="392"/>
      <c r="P722" s="392"/>
      <c r="Q722" s="392"/>
      <c r="R722" s="392"/>
      <c r="S722" s="392"/>
      <c r="T722" s="392"/>
      <c r="U722" s="392"/>
      <c r="V722" s="392"/>
      <c r="W722" s="392"/>
      <c r="X722" s="392"/>
      <c r="Y722" s="392"/>
      <c r="Z722" s="392"/>
      <c r="AA722" s="392"/>
      <c r="AB722" s="392"/>
      <c r="AC722" s="392"/>
      <c r="AD722" s="392"/>
      <c r="AE722" s="392"/>
      <c r="AF722" s="392"/>
      <c r="AG722" s="392"/>
      <c r="AH722" s="392"/>
      <c r="AI722" s="392"/>
      <c r="AJ722" s="392"/>
      <c r="AK722" s="392"/>
      <c r="AL722" s="392"/>
      <c r="AM722" s="392"/>
      <c r="AN722" s="392"/>
      <c r="AO722" s="392"/>
      <c r="AP722" s="392"/>
      <c r="AQ722" s="392"/>
      <c r="AR722" s="392"/>
      <c r="AS722" s="392"/>
      <c r="AT722" s="392"/>
      <c r="AU722" s="392"/>
      <c r="AV722" s="392"/>
      <c r="AW722" s="392"/>
      <c r="AX722" s="392"/>
      <c r="AY722" s="392"/>
      <c r="AZ722" s="392"/>
      <c r="BA722" s="392"/>
      <c r="BB722" s="392"/>
      <c r="BC722" s="392"/>
      <c r="BD722" s="392"/>
      <c r="BE722" s="392"/>
      <c r="BF722" s="392"/>
      <c r="BG722" s="392"/>
      <c r="BH722" s="392"/>
      <c r="BI722" s="392"/>
      <c r="BJ722" s="392"/>
      <c r="BK722" s="392"/>
      <c r="BL722" s="392"/>
      <c r="BM722" s="392"/>
      <c r="BN722" s="392"/>
      <c r="BO722" s="392"/>
      <c r="BP722" s="392"/>
      <c r="BQ722" s="392"/>
      <c r="BR722" s="392"/>
      <c r="BS722" s="392"/>
      <c r="BT722" s="392"/>
    </row>
    <row r="723" ht="15.75" customHeight="1">
      <c r="A723" s="216"/>
      <c r="B723" s="156"/>
      <c r="C723" s="156"/>
      <c r="D723" s="156"/>
      <c r="E723" s="392"/>
      <c r="F723" s="392"/>
      <c r="G723" s="392"/>
      <c r="H723" s="392"/>
      <c r="I723" s="392"/>
      <c r="J723" s="392"/>
      <c r="K723" s="392"/>
      <c r="L723" s="392"/>
      <c r="M723" s="392"/>
      <c r="N723" s="392"/>
      <c r="O723" s="392"/>
      <c r="P723" s="392"/>
      <c r="Q723" s="392"/>
      <c r="R723" s="392"/>
      <c r="S723" s="392"/>
      <c r="T723" s="392"/>
      <c r="U723" s="392"/>
      <c r="V723" s="392"/>
      <c r="W723" s="392"/>
      <c r="X723" s="392"/>
      <c r="Y723" s="392"/>
      <c r="Z723" s="392"/>
      <c r="AA723" s="392"/>
      <c r="AB723" s="392"/>
      <c r="AC723" s="392"/>
      <c r="AD723" s="392"/>
      <c r="AE723" s="392"/>
      <c r="AF723" s="392"/>
      <c r="AG723" s="392"/>
      <c r="AH723" s="392"/>
      <c r="AI723" s="392"/>
      <c r="AJ723" s="392"/>
      <c r="AK723" s="392"/>
      <c r="AL723" s="392"/>
      <c r="AM723" s="392"/>
      <c r="AN723" s="392"/>
      <c r="AO723" s="392"/>
      <c r="AP723" s="392"/>
      <c r="AQ723" s="392"/>
      <c r="AR723" s="392"/>
      <c r="AS723" s="392"/>
      <c r="AT723" s="392"/>
      <c r="AU723" s="392"/>
      <c r="AV723" s="392"/>
      <c r="AW723" s="392"/>
      <c r="AX723" s="392"/>
      <c r="AY723" s="392"/>
      <c r="AZ723" s="392"/>
      <c r="BA723" s="392"/>
      <c r="BB723" s="392"/>
      <c r="BC723" s="392"/>
      <c r="BD723" s="392"/>
      <c r="BE723" s="392"/>
      <c r="BF723" s="392"/>
      <c r="BG723" s="392"/>
      <c r="BH723" s="392"/>
      <c r="BI723" s="392"/>
      <c r="BJ723" s="392"/>
      <c r="BK723" s="392"/>
      <c r="BL723" s="392"/>
      <c r="BM723" s="392"/>
      <c r="BN723" s="392"/>
      <c r="BO723" s="392"/>
      <c r="BP723" s="392"/>
      <c r="BQ723" s="392"/>
      <c r="BR723" s="392"/>
      <c r="BS723" s="392"/>
      <c r="BT723" s="392"/>
    </row>
    <row r="724" ht="15.75" customHeight="1">
      <c r="A724" s="216"/>
      <c r="B724" s="156"/>
      <c r="C724" s="156"/>
      <c r="D724" s="156"/>
      <c r="E724" s="392"/>
      <c r="F724" s="392"/>
      <c r="G724" s="392"/>
      <c r="H724" s="392"/>
      <c r="I724" s="392"/>
      <c r="J724" s="392"/>
      <c r="K724" s="392"/>
      <c r="L724" s="392"/>
      <c r="M724" s="392"/>
      <c r="N724" s="392"/>
      <c r="O724" s="392"/>
      <c r="P724" s="392"/>
      <c r="Q724" s="392"/>
      <c r="R724" s="392"/>
      <c r="S724" s="392"/>
      <c r="T724" s="392"/>
      <c r="U724" s="392"/>
      <c r="V724" s="392"/>
      <c r="W724" s="392"/>
      <c r="X724" s="392"/>
      <c r="Y724" s="392"/>
      <c r="Z724" s="392"/>
      <c r="AA724" s="392"/>
      <c r="AB724" s="392"/>
      <c r="AC724" s="392"/>
      <c r="AD724" s="392"/>
      <c r="AE724" s="392"/>
      <c r="AF724" s="392"/>
      <c r="AG724" s="392"/>
      <c r="AH724" s="392"/>
      <c r="AI724" s="392"/>
      <c r="AJ724" s="392"/>
      <c r="AK724" s="392"/>
      <c r="AL724" s="392"/>
      <c r="AM724" s="392"/>
      <c r="AN724" s="392"/>
      <c r="AO724" s="392"/>
      <c r="AP724" s="392"/>
      <c r="AQ724" s="392"/>
      <c r="AR724" s="392"/>
      <c r="AS724" s="392"/>
      <c r="AT724" s="392"/>
      <c r="AU724" s="392"/>
      <c r="AV724" s="392"/>
      <c r="AW724" s="392"/>
      <c r="AX724" s="392"/>
      <c r="AY724" s="392"/>
      <c r="AZ724" s="392"/>
      <c r="BA724" s="392"/>
      <c r="BB724" s="392"/>
      <c r="BC724" s="392"/>
      <c r="BD724" s="392"/>
      <c r="BE724" s="392"/>
      <c r="BF724" s="392"/>
      <c r="BG724" s="392"/>
      <c r="BH724" s="392"/>
      <c r="BI724" s="392"/>
      <c r="BJ724" s="392"/>
      <c r="BK724" s="392"/>
      <c r="BL724" s="392"/>
      <c r="BM724" s="392"/>
      <c r="BN724" s="392"/>
      <c r="BO724" s="392"/>
      <c r="BP724" s="392"/>
      <c r="BQ724" s="392"/>
      <c r="BR724" s="392"/>
      <c r="BS724" s="392"/>
      <c r="BT724" s="392"/>
    </row>
    <row r="725" ht="15.75" customHeight="1">
      <c r="A725" s="216"/>
      <c r="B725" s="156"/>
      <c r="C725" s="156"/>
      <c r="D725" s="156"/>
      <c r="E725" s="392"/>
      <c r="F725" s="392"/>
      <c r="G725" s="392"/>
      <c r="H725" s="392"/>
      <c r="I725" s="392"/>
      <c r="J725" s="392"/>
      <c r="K725" s="392"/>
      <c r="L725" s="392"/>
      <c r="M725" s="392"/>
      <c r="N725" s="392"/>
      <c r="O725" s="392"/>
      <c r="P725" s="392"/>
      <c r="Q725" s="392"/>
      <c r="R725" s="392"/>
      <c r="S725" s="392"/>
      <c r="T725" s="392"/>
      <c r="U725" s="392"/>
      <c r="V725" s="392"/>
      <c r="W725" s="392"/>
      <c r="X725" s="392"/>
      <c r="Y725" s="392"/>
      <c r="Z725" s="392"/>
      <c r="AA725" s="392"/>
      <c r="AB725" s="392"/>
      <c r="AC725" s="392"/>
      <c r="AD725" s="392"/>
      <c r="AE725" s="392"/>
      <c r="AF725" s="392"/>
      <c r="AG725" s="392"/>
      <c r="AH725" s="392"/>
      <c r="AI725" s="392"/>
      <c r="AJ725" s="392"/>
      <c r="AK725" s="392"/>
      <c r="AL725" s="392"/>
      <c r="AM725" s="392"/>
      <c r="AN725" s="392"/>
      <c r="AO725" s="392"/>
      <c r="AP725" s="392"/>
      <c r="AQ725" s="392"/>
      <c r="AR725" s="392"/>
      <c r="AS725" s="392"/>
      <c r="AT725" s="392"/>
      <c r="AU725" s="392"/>
      <c r="AV725" s="392"/>
      <c r="AW725" s="392"/>
      <c r="AX725" s="392"/>
      <c r="AY725" s="392"/>
      <c r="AZ725" s="392"/>
      <c r="BA725" s="392"/>
      <c r="BB725" s="392"/>
      <c r="BC725" s="392"/>
      <c r="BD725" s="392"/>
      <c r="BE725" s="392"/>
      <c r="BF725" s="392"/>
      <c r="BG725" s="392"/>
      <c r="BH725" s="392"/>
      <c r="BI725" s="392"/>
      <c r="BJ725" s="392"/>
      <c r="BK725" s="392"/>
      <c r="BL725" s="392"/>
      <c r="BM725" s="392"/>
      <c r="BN725" s="392"/>
      <c r="BO725" s="392"/>
      <c r="BP725" s="392"/>
      <c r="BQ725" s="392"/>
      <c r="BR725" s="392"/>
      <c r="BS725" s="392"/>
      <c r="BT725" s="392"/>
    </row>
    <row r="726" ht="15.75" customHeight="1">
      <c r="A726" s="216"/>
      <c r="B726" s="156"/>
      <c r="C726" s="156"/>
      <c r="D726" s="156"/>
      <c r="E726" s="392"/>
      <c r="F726" s="392"/>
      <c r="G726" s="392"/>
      <c r="H726" s="392"/>
      <c r="I726" s="392"/>
      <c r="J726" s="392"/>
      <c r="K726" s="392"/>
      <c r="L726" s="392"/>
      <c r="M726" s="392"/>
      <c r="N726" s="392"/>
      <c r="O726" s="392"/>
      <c r="P726" s="392"/>
      <c r="Q726" s="392"/>
      <c r="R726" s="392"/>
      <c r="S726" s="392"/>
      <c r="T726" s="392"/>
      <c r="U726" s="392"/>
      <c r="V726" s="392"/>
      <c r="W726" s="392"/>
      <c r="X726" s="392"/>
      <c r="Y726" s="392"/>
      <c r="Z726" s="392"/>
      <c r="AA726" s="392"/>
      <c r="AB726" s="392"/>
      <c r="AC726" s="392"/>
      <c r="AD726" s="392"/>
      <c r="AE726" s="392"/>
      <c r="AF726" s="392"/>
      <c r="AG726" s="392"/>
      <c r="AH726" s="392"/>
      <c r="AI726" s="392"/>
      <c r="AJ726" s="392"/>
      <c r="AK726" s="392"/>
      <c r="AL726" s="392"/>
      <c r="AM726" s="392"/>
      <c r="AN726" s="392"/>
      <c r="AO726" s="392"/>
      <c r="AP726" s="392"/>
      <c r="AQ726" s="392"/>
      <c r="AR726" s="392"/>
      <c r="AS726" s="392"/>
      <c r="AT726" s="392"/>
      <c r="AU726" s="392"/>
      <c r="AV726" s="392"/>
      <c r="AW726" s="392"/>
      <c r="AX726" s="392"/>
      <c r="AY726" s="392"/>
      <c r="AZ726" s="392"/>
      <c r="BA726" s="392"/>
      <c r="BB726" s="392"/>
      <c r="BC726" s="392"/>
      <c r="BD726" s="392"/>
      <c r="BE726" s="392"/>
      <c r="BF726" s="392"/>
      <c r="BG726" s="392"/>
      <c r="BH726" s="392"/>
      <c r="BI726" s="392"/>
      <c r="BJ726" s="392"/>
      <c r="BK726" s="392"/>
      <c r="BL726" s="392"/>
      <c r="BM726" s="392"/>
      <c r="BN726" s="392"/>
      <c r="BO726" s="392"/>
      <c r="BP726" s="392"/>
      <c r="BQ726" s="392"/>
      <c r="BR726" s="392"/>
      <c r="BS726" s="392"/>
      <c r="BT726" s="392"/>
    </row>
    <row r="727" ht="15.75" customHeight="1">
      <c r="A727" s="216"/>
      <c r="B727" s="156"/>
      <c r="C727" s="156"/>
      <c r="D727" s="156"/>
      <c r="E727" s="392"/>
      <c r="F727" s="392"/>
      <c r="G727" s="392"/>
      <c r="H727" s="392"/>
      <c r="I727" s="392"/>
      <c r="J727" s="392"/>
      <c r="K727" s="392"/>
      <c r="L727" s="392"/>
      <c r="M727" s="392"/>
      <c r="N727" s="392"/>
      <c r="O727" s="392"/>
      <c r="P727" s="392"/>
      <c r="Q727" s="392"/>
      <c r="R727" s="392"/>
      <c r="S727" s="392"/>
      <c r="T727" s="392"/>
      <c r="U727" s="392"/>
      <c r="V727" s="392"/>
      <c r="W727" s="392"/>
      <c r="X727" s="392"/>
      <c r="Y727" s="392"/>
      <c r="Z727" s="392"/>
      <c r="AA727" s="392"/>
      <c r="AB727" s="392"/>
      <c r="AC727" s="392"/>
      <c r="AD727" s="392"/>
      <c r="AE727" s="392"/>
      <c r="AF727" s="392"/>
      <c r="AG727" s="392"/>
      <c r="AH727" s="392"/>
      <c r="AI727" s="392"/>
      <c r="AJ727" s="392"/>
      <c r="AK727" s="392"/>
      <c r="AL727" s="392"/>
      <c r="AM727" s="392"/>
      <c r="AN727" s="392"/>
      <c r="AO727" s="392"/>
      <c r="AP727" s="392"/>
      <c r="AQ727" s="392"/>
      <c r="AR727" s="392"/>
      <c r="AS727" s="392"/>
      <c r="AT727" s="392"/>
      <c r="AU727" s="392"/>
      <c r="AV727" s="392"/>
      <c r="AW727" s="392"/>
      <c r="AX727" s="392"/>
      <c r="AY727" s="392"/>
      <c r="AZ727" s="392"/>
      <c r="BA727" s="392"/>
      <c r="BB727" s="392"/>
      <c r="BC727" s="392"/>
      <c r="BD727" s="392"/>
      <c r="BE727" s="392"/>
      <c r="BF727" s="392"/>
      <c r="BG727" s="392"/>
      <c r="BH727" s="392"/>
      <c r="BI727" s="392"/>
      <c r="BJ727" s="392"/>
      <c r="BK727" s="392"/>
      <c r="BL727" s="392"/>
      <c r="BM727" s="392"/>
      <c r="BN727" s="392"/>
      <c r="BO727" s="392"/>
      <c r="BP727" s="392"/>
      <c r="BQ727" s="392"/>
      <c r="BR727" s="392"/>
      <c r="BS727" s="392"/>
      <c r="BT727" s="392"/>
    </row>
    <row r="728" ht="15.75" customHeight="1">
      <c r="A728" s="216"/>
      <c r="B728" s="156"/>
      <c r="C728" s="156"/>
      <c r="D728" s="156"/>
      <c r="E728" s="392"/>
      <c r="F728" s="392"/>
      <c r="G728" s="392"/>
      <c r="H728" s="392"/>
      <c r="I728" s="392"/>
      <c r="J728" s="392"/>
      <c r="K728" s="392"/>
      <c r="L728" s="392"/>
      <c r="M728" s="392"/>
      <c r="N728" s="392"/>
      <c r="O728" s="392"/>
      <c r="P728" s="392"/>
      <c r="Q728" s="392"/>
      <c r="R728" s="392"/>
      <c r="S728" s="392"/>
      <c r="T728" s="392"/>
      <c r="U728" s="392"/>
      <c r="V728" s="392"/>
      <c r="W728" s="392"/>
      <c r="X728" s="392"/>
      <c r="Y728" s="392"/>
      <c r="Z728" s="392"/>
      <c r="AA728" s="392"/>
      <c r="AB728" s="392"/>
      <c r="AC728" s="392"/>
      <c r="AD728" s="392"/>
      <c r="AE728" s="392"/>
      <c r="AF728" s="392"/>
      <c r="AG728" s="392"/>
      <c r="AH728" s="392"/>
      <c r="AI728" s="392"/>
      <c r="AJ728" s="392"/>
      <c r="AK728" s="392"/>
      <c r="AL728" s="392"/>
      <c r="AM728" s="392"/>
      <c r="AN728" s="392"/>
      <c r="AO728" s="392"/>
      <c r="AP728" s="392"/>
      <c r="AQ728" s="392"/>
      <c r="AR728" s="392"/>
      <c r="AS728" s="392"/>
      <c r="AT728" s="392"/>
      <c r="AU728" s="392"/>
      <c r="AV728" s="392"/>
      <c r="AW728" s="392"/>
      <c r="AX728" s="392"/>
      <c r="AY728" s="392"/>
      <c r="AZ728" s="392"/>
      <c r="BA728" s="392"/>
      <c r="BB728" s="392"/>
      <c r="BC728" s="392"/>
      <c r="BD728" s="392"/>
      <c r="BE728" s="392"/>
      <c r="BF728" s="392"/>
      <c r="BG728" s="392"/>
      <c r="BH728" s="392"/>
      <c r="BI728" s="392"/>
      <c r="BJ728" s="392"/>
      <c r="BK728" s="392"/>
      <c r="BL728" s="392"/>
      <c r="BM728" s="392"/>
      <c r="BN728" s="392"/>
      <c r="BO728" s="392"/>
      <c r="BP728" s="392"/>
      <c r="BQ728" s="392"/>
      <c r="BR728" s="392"/>
      <c r="BS728" s="392"/>
      <c r="BT728" s="392"/>
    </row>
    <row r="729" ht="15.75" customHeight="1">
      <c r="A729" s="216"/>
      <c r="B729" s="156"/>
      <c r="C729" s="156"/>
      <c r="D729" s="156"/>
      <c r="E729" s="392"/>
      <c r="F729" s="392"/>
      <c r="G729" s="392"/>
      <c r="H729" s="392"/>
      <c r="I729" s="392"/>
      <c r="J729" s="392"/>
      <c r="K729" s="392"/>
      <c r="L729" s="392"/>
      <c r="M729" s="392"/>
      <c r="N729" s="392"/>
      <c r="O729" s="392"/>
      <c r="P729" s="392"/>
      <c r="Q729" s="392"/>
      <c r="R729" s="392"/>
      <c r="S729" s="392"/>
      <c r="T729" s="392"/>
      <c r="U729" s="392"/>
      <c r="V729" s="392"/>
      <c r="W729" s="392"/>
      <c r="X729" s="392"/>
      <c r="Y729" s="392"/>
      <c r="Z729" s="392"/>
      <c r="AA729" s="392"/>
      <c r="AB729" s="392"/>
      <c r="AC729" s="392"/>
      <c r="AD729" s="392"/>
      <c r="AE729" s="392"/>
      <c r="AF729" s="392"/>
      <c r="AG729" s="392"/>
      <c r="AH729" s="392"/>
      <c r="AI729" s="392"/>
      <c r="AJ729" s="392"/>
      <c r="AK729" s="392"/>
      <c r="AL729" s="392"/>
      <c r="AM729" s="392"/>
      <c r="AN729" s="392"/>
      <c r="AO729" s="392"/>
      <c r="AP729" s="392"/>
      <c r="AQ729" s="392"/>
      <c r="AR729" s="392"/>
      <c r="AS729" s="392"/>
      <c r="AT729" s="392"/>
      <c r="AU729" s="392"/>
      <c r="AV729" s="392"/>
      <c r="AW729" s="392"/>
      <c r="AX729" s="392"/>
      <c r="AY729" s="392"/>
      <c r="AZ729" s="392"/>
      <c r="BA729" s="392"/>
      <c r="BB729" s="392"/>
      <c r="BC729" s="392"/>
      <c r="BD729" s="392"/>
      <c r="BE729" s="392"/>
      <c r="BF729" s="392"/>
      <c r="BG729" s="392"/>
      <c r="BH729" s="392"/>
      <c r="BI729" s="392"/>
      <c r="BJ729" s="392"/>
      <c r="BK729" s="392"/>
      <c r="BL729" s="392"/>
      <c r="BM729" s="392"/>
      <c r="BN729" s="392"/>
      <c r="BO729" s="392"/>
      <c r="BP729" s="392"/>
      <c r="BQ729" s="392"/>
      <c r="BR729" s="392"/>
      <c r="BS729" s="392"/>
      <c r="BT729" s="392"/>
    </row>
    <row r="730" ht="15.75" customHeight="1">
      <c r="A730" s="216"/>
      <c r="B730" s="156"/>
      <c r="C730" s="156"/>
      <c r="D730" s="156"/>
      <c r="E730" s="392"/>
      <c r="F730" s="392"/>
      <c r="G730" s="392"/>
      <c r="H730" s="392"/>
      <c r="I730" s="392"/>
      <c r="J730" s="392"/>
      <c r="K730" s="392"/>
      <c r="L730" s="392"/>
      <c r="M730" s="392"/>
      <c r="N730" s="392"/>
      <c r="O730" s="392"/>
      <c r="P730" s="392"/>
      <c r="Q730" s="392"/>
      <c r="R730" s="392"/>
      <c r="S730" s="392"/>
      <c r="T730" s="392"/>
      <c r="U730" s="392"/>
      <c r="V730" s="392"/>
      <c r="W730" s="392"/>
      <c r="X730" s="392"/>
      <c r="Y730" s="392"/>
      <c r="Z730" s="392"/>
      <c r="AA730" s="392"/>
      <c r="AB730" s="392"/>
      <c r="AC730" s="392"/>
      <c r="AD730" s="392"/>
      <c r="AE730" s="392"/>
      <c r="AF730" s="392"/>
      <c r="AG730" s="392"/>
      <c r="AH730" s="392"/>
      <c r="AI730" s="392"/>
      <c r="AJ730" s="392"/>
      <c r="AK730" s="392"/>
      <c r="AL730" s="392"/>
      <c r="AM730" s="392"/>
      <c r="AN730" s="392"/>
      <c r="AO730" s="392"/>
      <c r="AP730" s="392"/>
      <c r="AQ730" s="392"/>
      <c r="AR730" s="392"/>
      <c r="AS730" s="392"/>
      <c r="AT730" s="392"/>
      <c r="AU730" s="392"/>
      <c r="AV730" s="392"/>
      <c r="AW730" s="392"/>
      <c r="AX730" s="392"/>
      <c r="AY730" s="392"/>
      <c r="AZ730" s="392"/>
      <c r="BA730" s="392"/>
      <c r="BB730" s="392"/>
      <c r="BC730" s="392"/>
      <c r="BD730" s="392"/>
      <c r="BE730" s="392"/>
      <c r="BF730" s="392"/>
      <c r="BG730" s="392"/>
      <c r="BH730" s="392"/>
      <c r="BI730" s="392"/>
      <c r="BJ730" s="392"/>
      <c r="BK730" s="392"/>
      <c r="BL730" s="392"/>
      <c r="BM730" s="392"/>
      <c r="BN730" s="392"/>
      <c r="BO730" s="392"/>
      <c r="BP730" s="392"/>
      <c r="BQ730" s="392"/>
      <c r="BR730" s="392"/>
      <c r="BS730" s="392"/>
      <c r="BT730" s="392"/>
    </row>
    <row r="731" ht="15.75" customHeight="1">
      <c r="A731" s="216"/>
      <c r="B731" s="156"/>
      <c r="C731" s="156"/>
      <c r="D731" s="156"/>
      <c r="E731" s="392"/>
      <c r="F731" s="392"/>
      <c r="G731" s="392"/>
      <c r="H731" s="392"/>
      <c r="I731" s="392"/>
      <c r="J731" s="392"/>
      <c r="K731" s="392"/>
      <c r="L731" s="392"/>
      <c r="M731" s="392"/>
      <c r="N731" s="392"/>
      <c r="O731" s="392"/>
      <c r="P731" s="392"/>
      <c r="Q731" s="392"/>
      <c r="R731" s="392"/>
      <c r="S731" s="392"/>
      <c r="T731" s="392"/>
      <c r="U731" s="392"/>
      <c r="V731" s="392"/>
      <c r="W731" s="392"/>
      <c r="X731" s="392"/>
      <c r="Y731" s="392"/>
      <c r="Z731" s="392"/>
      <c r="AA731" s="392"/>
      <c r="AB731" s="392"/>
      <c r="AC731" s="392"/>
      <c r="AD731" s="392"/>
      <c r="AE731" s="392"/>
      <c r="AF731" s="392"/>
      <c r="AG731" s="392"/>
      <c r="AH731" s="392"/>
      <c r="AI731" s="392"/>
      <c r="AJ731" s="392"/>
      <c r="AK731" s="392"/>
      <c r="AL731" s="392"/>
      <c r="AM731" s="392"/>
      <c r="AN731" s="392"/>
      <c r="AO731" s="392"/>
      <c r="AP731" s="392"/>
      <c r="AQ731" s="392"/>
      <c r="AR731" s="392"/>
      <c r="AS731" s="392"/>
      <c r="AT731" s="392"/>
      <c r="AU731" s="392"/>
      <c r="AV731" s="392"/>
      <c r="AW731" s="392"/>
      <c r="AX731" s="392"/>
      <c r="AY731" s="392"/>
      <c r="AZ731" s="392"/>
      <c r="BA731" s="392"/>
      <c r="BB731" s="392"/>
      <c r="BC731" s="392"/>
      <c r="BD731" s="392"/>
      <c r="BE731" s="392"/>
      <c r="BF731" s="392"/>
      <c r="BG731" s="392"/>
      <c r="BH731" s="392"/>
      <c r="BI731" s="392"/>
      <c r="BJ731" s="392"/>
      <c r="BK731" s="392"/>
      <c r="BL731" s="392"/>
      <c r="BM731" s="392"/>
      <c r="BN731" s="392"/>
      <c r="BO731" s="392"/>
      <c r="BP731" s="392"/>
      <c r="BQ731" s="392"/>
      <c r="BR731" s="392"/>
      <c r="BS731" s="392"/>
      <c r="BT731" s="392"/>
    </row>
    <row r="732" ht="15.75" customHeight="1">
      <c r="A732" s="216"/>
      <c r="B732" s="156"/>
      <c r="C732" s="156"/>
      <c r="D732" s="156"/>
      <c r="E732" s="392"/>
      <c r="F732" s="392"/>
      <c r="G732" s="392"/>
      <c r="H732" s="392"/>
      <c r="I732" s="392"/>
      <c r="J732" s="392"/>
      <c r="K732" s="392"/>
      <c r="L732" s="392"/>
      <c r="M732" s="392"/>
      <c r="N732" s="392"/>
      <c r="O732" s="392"/>
      <c r="P732" s="392"/>
      <c r="Q732" s="392"/>
      <c r="R732" s="392"/>
      <c r="S732" s="392"/>
      <c r="T732" s="392"/>
      <c r="U732" s="392"/>
      <c r="V732" s="392"/>
      <c r="W732" s="392"/>
      <c r="X732" s="392"/>
      <c r="Y732" s="392"/>
      <c r="Z732" s="392"/>
      <c r="AA732" s="392"/>
      <c r="AB732" s="392"/>
      <c r="AC732" s="392"/>
      <c r="AD732" s="392"/>
      <c r="AE732" s="392"/>
      <c r="AF732" s="392"/>
      <c r="AG732" s="392"/>
      <c r="AH732" s="392"/>
      <c r="AI732" s="392"/>
      <c r="AJ732" s="392"/>
      <c r="AK732" s="392"/>
      <c r="AL732" s="392"/>
      <c r="AM732" s="392"/>
      <c r="AN732" s="392"/>
      <c r="AO732" s="392"/>
      <c r="AP732" s="392"/>
      <c r="AQ732" s="392"/>
      <c r="AR732" s="392"/>
      <c r="AS732" s="392"/>
      <c r="AT732" s="392"/>
      <c r="AU732" s="392"/>
      <c r="AV732" s="392"/>
      <c r="AW732" s="392"/>
      <c r="AX732" s="392"/>
      <c r="AY732" s="392"/>
      <c r="AZ732" s="392"/>
      <c r="BA732" s="392"/>
      <c r="BB732" s="392"/>
      <c r="BC732" s="392"/>
      <c r="BD732" s="392"/>
      <c r="BE732" s="392"/>
      <c r="BF732" s="392"/>
      <c r="BG732" s="392"/>
      <c r="BH732" s="392"/>
      <c r="BI732" s="392"/>
      <c r="BJ732" s="392"/>
      <c r="BK732" s="392"/>
      <c r="BL732" s="392"/>
      <c r="BM732" s="392"/>
      <c r="BN732" s="392"/>
      <c r="BO732" s="392"/>
      <c r="BP732" s="392"/>
      <c r="BQ732" s="392"/>
      <c r="BR732" s="392"/>
      <c r="BS732" s="392"/>
      <c r="BT732" s="392"/>
    </row>
    <row r="733" ht="15.75" customHeight="1">
      <c r="A733" s="216"/>
      <c r="B733" s="156"/>
      <c r="C733" s="156"/>
      <c r="D733" s="156"/>
      <c r="E733" s="392"/>
      <c r="F733" s="392"/>
      <c r="G733" s="392"/>
      <c r="H733" s="392"/>
      <c r="I733" s="392"/>
      <c r="J733" s="392"/>
      <c r="K733" s="392"/>
      <c r="L733" s="392"/>
      <c r="M733" s="392"/>
      <c r="N733" s="392"/>
      <c r="O733" s="392"/>
      <c r="P733" s="392"/>
      <c r="Q733" s="392"/>
      <c r="R733" s="392"/>
      <c r="S733" s="392"/>
      <c r="T733" s="392"/>
      <c r="U733" s="392"/>
      <c r="V733" s="392"/>
      <c r="W733" s="392"/>
      <c r="X733" s="392"/>
      <c r="Y733" s="392"/>
      <c r="Z733" s="392"/>
      <c r="AA733" s="392"/>
      <c r="AB733" s="392"/>
      <c r="AC733" s="392"/>
      <c r="AD733" s="392"/>
      <c r="AE733" s="392"/>
      <c r="AF733" s="392"/>
      <c r="AG733" s="392"/>
      <c r="AH733" s="392"/>
      <c r="AI733" s="392"/>
      <c r="AJ733" s="392"/>
      <c r="AK733" s="392"/>
      <c r="AL733" s="392"/>
      <c r="AM733" s="392"/>
      <c r="AN733" s="392"/>
      <c r="AO733" s="392"/>
      <c r="AP733" s="392"/>
      <c r="AQ733" s="392"/>
      <c r="AR733" s="392"/>
      <c r="AS733" s="392"/>
      <c r="AT733" s="392"/>
      <c r="AU733" s="392"/>
      <c r="AV733" s="392"/>
      <c r="AW733" s="392"/>
      <c r="AX733" s="392"/>
      <c r="AY733" s="392"/>
      <c r="AZ733" s="392"/>
      <c r="BA733" s="392"/>
      <c r="BB733" s="392"/>
      <c r="BC733" s="392"/>
      <c r="BD733" s="392"/>
      <c r="BE733" s="392"/>
      <c r="BF733" s="392"/>
      <c r="BG733" s="392"/>
      <c r="BH733" s="392"/>
      <c r="BI733" s="392"/>
      <c r="BJ733" s="392"/>
      <c r="BK733" s="392"/>
      <c r="BL733" s="392"/>
      <c r="BM733" s="392"/>
      <c r="BN733" s="392"/>
      <c r="BO733" s="392"/>
      <c r="BP733" s="392"/>
      <c r="BQ733" s="392"/>
      <c r="BR733" s="392"/>
      <c r="BS733" s="392"/>
      <c r="BT733" s="392"/>
    </row>
    <row r="734" ht="15.75" customHeight="1">
      <c r="A734" s="216"/>
      <c r="B734" s="156"/>
      <c r="C734" s="156"/>
      <c r="D734" s="156"/>
      <c r="E734" s="392"/>
      <c r="F734" s="392"/>
      <c r="G734" s="392"/>
      <c r="H734" s="392"/>
      <c r="I734" s="392"/>
      <c r="J734" s="392"/>
      <c r="K734" s="392"/>
      <c r="L734" s="392"/>
      <c r="M734" s="392"/>
      <c r="N734" s="392"/>
      <c r="O734" s="392"/>
      <c r="P734" s="392"/>
      <c r="Q734" s="392"/>
      <c r="R734" s="392"/>
      <c r="S734" s="392"/>
      <c r="T734" s="392"/>
      <c r="U734" s="392"/>
      <c r="V734" s="392"/>
      <c r="W734" s="392"/>
      <c r="X734" s="392"/>
      <c r="Y734" s="392"/>
      <c r="Z734" s="392"/>
      <c r="AA734" s="392"/>
      <c r="AB734" s="392"/>
      <c r="AC734" s="392"/>
      <c r="AD734" s="392"/>
      <c r="AE734" s="392"/>
      <c r="AF734" s="392"/>
      <c r="AG734" s="392"/>
      <c r="AH734" s="392"/>
      <c r="AI734" s="392"/>
      <c r="AJ734" s="392"/>
      <c r="AK734" s="392"/>
      <c r="AL734" s="392"/>
      <c r="AM734" s="392"/>
      <c r="AN734" s="392"/>
      <c r="AO734" s="392"/>
      <c r="AP734" s="392"/>
      <c r="AQ734" s="392"/>
      <c r="AR734" s="392"/>
      <c r="AS734" s="392"/>
      <c r="AT734" s="392"/>
      <c r="AU734" s="392"/>
      <c r="AV734" s="392"/>
      <c r="AW734" s="392"/>
      <c r="AX734" s="392"/>
      <c r="AY734" s="392"/>
      <c r="AZ734" s="392"/>
      <c r="BA734" s="392"/>
      <c r="BB734" s="392"/>
      <c r="BC734" s="392"/>
      <c r="BD734" s="392"/>
      <c r="BE734" s="392"/>
      <c r="BF734" s="392"/>
      <c r="BG734" s="392"/>
      <c r="BH734" s="392"/>
      <c r="BI734" s="392"/>
      <c r="BJ734" s="392"/>
      <c r="BK734" s="392"/>
      <c r="BL734" s="392"/>
      <c r="BM734" s="392"/>
      <c r="BN734" s="392"/>
      <c r="BO734" s="392"/>
      <c r="BP734" s="392"/>
      <c r="BQ734" s="392"/>
      <c r="BR734" s="392"/>
      <c r="BS734" s="392"/>
      <c r="BT734" s="392"/>
    </row>
    <row r="735" ht="15.75" customHeight="1">
      <c r="A735" s="216"/>
      <c r="B735" s="156"/>
      <c r="C735" s="156"/>
      <c r="D735" s="156"/>
      <c r="E735" s="392"/>
      <c r="F735" s="392"/>
      <c r="G735" s="392"/>
      <c r="H735" s="392"/>
      <c r="I735" s="392"/>
      <c r="J735" s="392"/>
      <c r="K735" s="392"/>
      <c r="L735" s="392"/>
      <c r="M735" s="392"/>
      <c r="N735" s="392"/>
      <c r="O735" s="392"/>
      <c r="P735" s="392"/>
      <c r="Q735" s="392"/>
      <c r="R735" s="392"/>
      <c r="S735" s="392"/>
      <c r="T735" s="392"/>
      <c r="U735" s="392"/>
      <c r="V735" s="392"/>
      <c r="W735" s="392"/>
      <c r="X735" s="392"/>
      <c r="Y735" s="392"/>
      <c r="Z735" s="392"/>
      <c r="AA735" s="392"/>
      <c r="AB735" s="392"/>
      <c r="AC735" s="392"/>
      <c r="AD735" s="392"/>
      <c r="AE735" s="392"/>
      <c r="AF735" s="392"/>
      <c r="AG735" s="392"/>
      <c r="AH735" s="392"/>
      <c r="AI735" s="392"/>
      <c r="AJ735" s="392"/>
      <c r="AK735" s="392"/>
      <c r="AL735" s="392"/>
      <c r="AM735" s="392"/>
      <c r="AN735" s="392"/>
      <c r="AO735" s="392"/>
      <c r="AP735" s="392"/>
      <c r="AQ735" s="392"/>
      <c r="AR735" s="392"/>
      <c r="AS735" s="392"/>
      <c r="AT735" s="392"/>
      <c r="AU735" s="392"/>
      <c r="AV735" s="392"/>
      <c r="AW735" s="392"/>
      <c r="AX735" s="392"/>
      <c r="AY735" s="392"/>
      <c r="AZ735" s="392"/>
      <c r="BA735" s="392"/>
      <c r="BB735" s="392"/>
      <c r="BC735" s="392"/>
      <c r="BD735" s="392"/>
      <c r="BE735" s="392"/>
      <c r="BF735" s="392"/>
      <c r="BG735" s="392"/>
      <c r="BH735" s="392"/>
      <c r="BI735" s="392"/>
      <c r="BJ735" s="392"/>
      <c r="BK735" s="392"/>
      <c r="BL735" s="392"/>
      <c r="BM735" s="392"/>
      <c r="BN735" s="392"/>
      <c r="BO735" s="392"/>
      <c r="BP735" s="392"/>
      <c r="BQ735" s="392"/>
      <c r="BR735" s="392"/>
      <c r="BS735" s="392"/>
      <c r="BT735" s="392"/>
    </row>
    <row r="736" ht="15.75" customHeight="1">
      <c r="A736" s="216"/>
      <c r="B736" s="156"/>
      <c r="C736" s="156"/>
      <c r="D736" s="156"/>
      <c r="E736" s="392"/>
      <c r="F736" s="392"/>
      <c r="G736" s="392"/>
      <c r="H736" s="392"/>
      <c r="I736" s="392"/>
      <c r="J736" s="392"/>
      <c r="K736" s="392"/>
      <c r="L736" s="392"/>
      <c r="M736" s="392"/>
      <c r="N736" s="392"/>
      <c r="O736" s="392"/>
      <c r="P736" s="392"/>
      <c r="Q736" s="392"/>
      <c r="R736" s="392"/>
      <c r="S736" s="392"/>
      <c r="T736" s="392"/>
      <c r="U736" s="392"/>
      <c r="V736" s="392"/>
      <c r="W736" s="392"/>
      <c r="X736" s="392"/>
      <c r="Y736" s="392"/>
      <c r="Z736" s="392"/>
      <c r="AA736" s="392"/>
      <c r="AB736" s="392"/>
      <c r="AC736" s="392"/>
      <c r="AD736" s="392"/>
      <c r="AE736" s="392"/>
      <c r="AF736" s="392"/>
      <c r="AG736" s="392"/>
      <c r="AH736" s="392"/>
      <c r="AI736" s="392"/>
      <c r="AJ736" s="392"/>
      <c r="AK736" s="392"/>
      <c r="AL736" s="392"/>
      <c r="AM736" s="392"/>
      <c r="AN736" s="392"/>
      <c r="AO736" s="392"/>
      <c r="AP736" s="392"/>
      <c r="AQ736" s="392"/>
      <c r="AR736" s="392"/>
      <c r="AS736" s="392"/>
      <c r="AT736" s="392"/>
      <c r="AU736" s="392"/>
      <c r="AV736" s="392"/>
      <c r="AW736" s="392"/>
      <c r="AX736" s="392"/>
      <c r="AY736" s="392"/>
      <c r="AZ736" s="392"/>
      <c r="BA736" s="392"/>
      <c r="BB736" s="392"/>
      <c r="BC736" s="392"/>
      <c r="BD736" s="392"/>
      <c r="BE736" s="392"/>
      <c r="BF736" s="392"/>
      <c r="BG736" s="392"/>
      <c r="BH736" s="392"/>
      <c r="BI736" s="392"/>
      <c r="BJ736" s="392"/>
      <c r="BK736" s="392"/>
      <c r="BL736" s="392"/>
      <c r="BM736" s="392"/>
      <c r="BN736" s="392"/>
      <c r="BO736" s="392"/>
      <c r="BP736" s="392"/>
      <c r="BQ736" s="392"/>
      <c r="BR736" s="392"/>
      <c r="BS736" s="392"/>
      <c r="BT736" s="392"/>
    </row>
    <row r="737" ht="15.75" customHeight="1">
      <c r="A737" s="216"/>
      <c r="B737" s="156"/>
      <c r="C737" s="156"/>
      <c r="D737" s="156"/>
      <c r="E737" s="392"/>
      <c r="F737" s="392"/>
      <c r="G737" s="392"/>
      <c r="H737" s="392"/>
      <c r="I737" s="392"/>
      <c r="J737" s="392"/>
      <c r="K737" s="392"/>
      <c r="L737" s="392"/>
      <c r="M737" s="392"/>
      <c r="N737" s="392"/>
      <c r="O737" s="392"/>
      <c r="P737" s="392"/>
      <c r="Q737" s="392"/>
      <c r="R737" s="392"/>
      <c r="S737" s="392"/>
      <c r="T737" s="392"/>
      <c r="U737" s="392"/>
      <c r="V737" s="392"/>
      <c r="W737" s="392"/>
      <c r="X737" s="392"/>
      <c r="Y737" s="392"/>
      <c r="Z737" s="392"/>
      <c r="AA737" s="392"/>
      <c r="AB737" s="392"/>
      <c r="AC737" s="392"/>
      <c r="AD737" s="392"/>
      <c r="AE737" s="392"/>
      <c r="AF737" s="392"/>
      <c r="AG737" s="392"/>
      <c r="AH737" s="392"/>
      <c r="AI737" s="392"/>
      <c r="AJ737" s="392"/>
      <c r="AK737" s="392"/>
      <c r="AL737" s="392"/>
      <c r="AM737" s="392"/>
      <c r="AN737" s="392"/>
      <c r="AO737" s="392"/>
      <c r="AP737" s="392"/>
      <c r="AQ737" s="392"/>
      <c r="AR737" s="392"/>
      <c r="AS737" s="392"/>
      <c r="AT737" s="392"/>
      <c r="AU737" s="392"/>
      <c r="AV737" s="392"/>
      <c r="AW737" s="392"/>
      <c r="AX737" s="392"/>
      <c r="AY737" s="392"/>
      <c r="AZ737" s="392"/>
      <c r="BA737" s="392"/>
      <c r="BB737" s="392"/>
      <c r="BC737" s="392"/>
      <c r="BD737" s="392"/>
      <c r="BE737" s="392"/>
      <c r="BF737" s="392"/>
      <c r="BG737" s="392"/>
      <c r="BH737" s="392"/>
      <c r="BI737" s="392"/>
      <c r="BJ737" s="392"/>
      <c r="BK737" s="392"/>
      <c r="BL737" s="392"/>
      <c r="BM737" s="392"/>
      <c r="BN737" s="392"/>
      <c r="BO737" s="392"/>
      <c r="BP737" s="392"/>
      <c r="BQ737" s="392"/>
      <c r="BR737" s="392"/>
      <c r="BS737" s="392"/>
      <c r="BT737" s="392"/>
    </row>
    <row r="738" ht="15.75" customHeight="1">
      <c r="A738" s="216"/>
      <c r="B738" s="156"/>
      <c r="C738" s="156"/>
      <c r="D738" s="156"/>
      <c r="E738" s="392"/>
      <c r="F738" s="392"/>
      <c r="G738" s="392"/>
      <c r="H738" s="392"/>
      <c r="I738" s="392"/>
      <c r="J738" s="392"/>
      <c r="K738" s="392"/>
      <c r="L738" s="392"/>
      <c r="M738" s="392"/>
      <c r="N738" s="392"/>
      <c r="O738" s="392"/>
      <c r="P738" s="392"/>
      <c r="Q738" s="392"/>
      <c r="R738" s="392"/>
      <c r="S738" s="392"/>
      <c r="T738" s="392"/>
      <c r="U738" s="392"/>
      <c r="V738" s="392"/>
      <c r="W738" s="392"/>
      <c r="X738" s="392"/>
      <c r="Y738" s="392"/>
      <c r="Z738" s="392"/>
      <c r="AA738" s="392"/>
      <c r="AB738" s="392"/>
      <c r="AC738" s="392"/>
      <c r="AD738" s="392"/>
      <c r="AE738" s="392"/>
      <c r="AF738" s="392"/>
      <c r="AG738" s="392"/>
      <c r="AH738" s="392"/>
      <c r="AI738" s="392"/>
      <c r="AJ738" s="392"/>
      <c r="AK738" s="392"/>
      <c r="AL738" s="392"/>
      <c r="AM738" s="392"/>
      <c r="AN738" s="392"/>
      <c r="AO738" s="392"/>
      <c r="AP738" s="392"/>
      <c r="AQ738" s="392"/>
      <c r="AR738" s="392"/>
      <c r="AS738" s="392"/>
      <c r="AT738" s="392"/>
      <c r="AU738" s="392"/>
      <c r="AV738" s="392"/>
      <c r="AW738" s="392"/>
      <c r="AX738" s="392"/>
      <c r="AY738" s="392"/>
      <c r="AZ738" s="392"/>
      <c r="BA738" s="392"/>
      <c r="BB738" s="392"/>
      <c r="BC738" s="392"/>
      <c r="BD738" s="392"/>
      <c r="BE738" s="392"/>
      <c r="BF738" s="392"/>
      <c r="BG738" s="392"/>
      <c r="BH738" s="392"/>
      <c r="BI738" s="392"/>
      <c r="BJ738" s="392"/>
      <c r="BK738" s="392"/>
      <c r="BL738" s="392"/>
      <c r="BM738" s="392"/>
      <c r="BN738" s="392"/>
      <c r="BO738" s="392"/>
      <c r="BP738" s="392"/>
      <c r="BQ738" s="392"/>
      <c r="BR738" s="392"/>
      <c r="BS738" s="392"/>
      <c r="BT738" s="392"/>
    </row>
    <row r="739" ht="15.75" customHeight="1">
      <c r="A739" s="216"/>
      <c r="B739" s="156"/>
      <c r="C739" s="156"/>
      <c r="D739" s="156"/>
      <c r="E739" s="392"/>
      <c r="F739" s="392"/>
      <c r="G739" s="392"/>
      <c r="H739" s="392"/>
      <c r="I739" s="392"/>
      <c r="J739" s="392"/>
      <c r="K739" s="392"/>
      <c r="L739" s="392"/>
      <c r="M739" s="392"/>
      <c r="N739" s="392"/>
      <c r="O739" s="392"/>
      <c r="P739" s="392"/>
      <c r="Q739" s="392"/>
      <c r="R739" s="392"/>
      <c r="S739" s="392"/>
      <c r="T739" s="392"/>
      <c r="U739" s="392"/>
      <c r="V739" s="392"/>
      <c r="W739" s="392"/>
      <c r="X739" s="392"/>
      <c r="Y739" s="392"/>
      <c r="Z739" s="392"/>
      <c r="AA739" s="392"/>
      <c r="AB739" s="392"/>
      <c r="AC739" s="392"/>
      <c r="AD739" s="392"/>
      <c r="AE739" s="392"/>
      <c r="AF739" s="392"/>
      <c r="AG739" s="392"/>
      <c r="AH739" s="392"/>
      <c r="AI739" s="392"/>
      <c r="AJ739" s="392"/>
      <c r="AK739" s="392"/>
      <c r="AL739" s="392"/>
      <c r="AM739" s="392"/>
      <c r="AN739" s="392"/>
      <c r="AO739" s="392"/>
      <c r="AP739" s="392"/>
      <c r="AQ739" s="392"/>
      <c r="AR739" s="392"/>
      <c r="AS739" s="392"/>
      <c r="AT739" s="392"/>
      <c r="AU739" s="392"/>
      <c r="AV739" s="392"/>
      <c r="AW739" s="392"/>
      <c r="AX739" s="392"/>
      <c r="AY739" s="392"/>
      <c r="AZ739" s="392"/>
      <c r="BA739" s="392"/>
      <c r="BB739" s="392"/>
      <c r="BC739" s="392"/>
      <c r="BD739" s="392"/>
      <c r="BE739" s="392"/>
      <c r="BF739" s="392"/>
      <c r="BG739" s="392"/>
      <c r="BH739" s="392"/>
      <c r="BI739" s="392"/>
      <c r="BJ739" s="392"/>
      <c r="BK739" s="392"/>
      <c r="BL739" s="392"/>
      <c r="BM739" s="392"/>
      <c r="BN739" s="392"/>
      <c r="BO739" s="392"/>
      <c r="BP739" s="392"/>
      <c r="BQ739" s="392"/>
      <c r="BR739" s="392"/>
      <c r="BS739" s="392"/>
      <c r="BT739" s="392"/>
    </row>
    <row r="740" ht="15.75" customHeight="1">
      <c r="A740" s="216"/>
      <c r="B740" s="156"/>
      <c r="C740" s="156"/>
      <c r="D740" s="156"/>
      <c r="E740" s="392"/>
      <c r="F740" s="392"/>
      <c r="G740" s="392"/>
      <c r="H740" s="392"/>
      <c r="I740" s="392"/>
      <c r="J740" s="392"/>
      <c r="K740" s="392"/>
      <c r="L740" s="392"/>
      <c r="M740" s="392"/>
      <c r="N740" s="392"/>
      <c r="O740" s="392"/>
      <c r="P740" s="392"/>
      <c r="Q740" s="392"/>
      <c r="R740" s="392"/>
      <c r="S740" s="392"/>
      <c r="T740" s="392"/>
      <c r="U740" s="392"/>
      <c r="V740" s="392"/>
      <c r="W740" s="392"/>
      <c r="X740" s="392"/>
      <c r="Y740" s="392"/>
      <c r="Z740" s="392"/>
      <c r="AA740" s="392"/>
      <c r="AB740" s="392"/>
      <c r="AC740" s="392"/>
      <c r="AD740" s="392"/>
      <c r="AE740" s="392"/>
      <c r="AF740" s="392"/>
      <c r="AG740" s="392"/>
      <c r="AH740" s="392"/>
      <c r="AI740" s="392"/>
      <c r="AJ740" s="392"/>
      <c r="AK740" s="392"/>
      <c r="AL740" s="392"/>
      <c r="AM740" s="392"/>
      <c r="AN740" s="392"/>
      <c r="AO740" s="392"/>
      <c r="AP740" s="392"/>
      <c r="AQ740" s="392"/>
      <c r="AR740" s="392"/>
      <c r="AS740" s="392"/>
      <c r="AT740" s="392"/>
      <c r="AU740" s="392"/>
      <c r="AV740" s="392"/>
      <c r="AW740" s="392"/>
      <c r="AX740" s="392"/>
      <c r="AY740" s="392"/>
      <c r="AZ740" s="392"/>
      <c r="BA740" s="392"/>
      <c r="BB740" s="392"/>
      <c r="BC740" s="392"/>
      <c r="BD740" s="392"/>
      <c r="BE740" s="392"/>
      <c r="BF740" s="392"/>
      <c r="BG740" s="392"/>
      <c r="BH740" s="392"/>
      <c r="BI740" s="392"/>
      <c r="BJ740" s="392"/>
      <c r="BK740" s="392"/>
      <c r="BL740" s="392"/>
      <c r="BM740" s="392"/>
      <c r="BN740" s="392"/>
      <c r="BO740" s="392"/>
      <c r="BP740" s="392"/>
      <c r="BQ740" s="392"/>
      <c r="BR740" s="392"/>
      <c r="BS740" s="392"/>
      <c r="BT740" s="392"/>
    </row>
    <row r="741" ht="15.75" customHeight="1">
      <c r="A741" s="216"/>
      <c r="B741" s="156"/>
      <c r="C741" s="156"/>
      <c r="D741" s="156"/>
      <c r="E741" s="392"/>
      <c r="F741" s="392"/>
      <c r="G741" s="392"/>
      <c r="H741" s="392"/>
      <c r="I741" s="392"/>
      <c r="J741" s="392"/>
      <c r="K741" s="392"/>
      <c r="L741" s="392"/>
      <c r="M741" s="392"/>
      <c r="N741" s="392"/>
      <c r="O741" s="392"/>
      <c r="P741" s="392"/>
      <c r="Q741" s="392"/>
      <c r="R741" s="392"/>
      <c r="S741" s="392"/>
      <c r="T741" s="392"/>
      <c r="U741" s="392"/>
      <c r="V741" s="392"/>
      <c r="W741" s="392"/>
      <c r="X741" s="392"/>
      <c r="Y741" s="392"/>
      <c r="Z741" s="392"/>
      <c r="AA741" s="392"/>
      <c r="AB741" s="392"/>
      <c r="AC741" s="392"/>
      <c r="AD741" s="392"/>
      <c r="AE741" s="392"/>
      <c r="AF741" s="392"/>
      <c r="AG741" s="392"/>
      <c r="AH741" s="392"/>
      <c r="AI741" s="392"/>
      <c r="AJ741" s="392"/>
      <c r="AK741" s="392"/>
      <c r="AL741" s="392"/>
      <c r="AM741" s="392"/>
      <c r="AN741" s="392"/>
      <c r="AO741" s="392"/>
      <c r="AP741" s="392"/>
      <c r="AQ741" s="392"/>
      <c r="AR741" s="392"/>
      <c r="AS741" s="392"/>
      <c r="AT741" s="392"/>
      <c r="AU741" s="392"/>
      <c r="AV741" s="392"/>
      <c r="AW741" s="392"/>
      <c r="AX741" s="392"/>
      <c r="AY741" s="392"/>
      <c r="AZ741" s="392"/>
      <c r="BA741" s="392"/>
      <c r="BB741" s="392"/>
      <c r="BC741" s="392"/>
      <c r="BD741" s="392"/>
      <c r="BE741" s="392"/>
      <c r="BF741" s="392"/>
      <c r="BG741" s="392"/>
      <c r="BH741" s="392"/>
      <c r="BI741" s="392"/>
      <c r="BJ741" s="392"/>
      <c r="BK741" s="392"/>
      <c r="BL741" s="392"/>
      <c r="BM741" s="392"/>
      <c r="BN741" s="392"/>
      <c r="BO741" s="392"/>
      <c r="BP741" s="392"/>
      <c r="BQ741" s="392"/>
      <c r="BR741" s="392"/>
      <c r="BS741" s="392"/>
      <c r="BT741" s="392"/>
    </row>
    <row r="742" ht="15.75" customHeight="1">
      <c r="A742" s="216"/>
      <c r="B742" s="156"/>
      <c r="C742" s="156"/>
      <c r="D742" s="156"/>
      <c r="E742" s="392"/>
      <c r="F742" s="392"/>
      <c r="G742" s="392"/>
      <c r="H742" s="392"/>
      <c r="I742" s="392"/>
      <c r="J742" s="392"/>
      <c r="K742" s="392"/>
      <c r="L742" s="392"/>
      <c r="M742" s="392"/>
      <c r="N742" s="392"/>
      <c r="O742" s="392"/>
      <c r="P742" s="392"/>
      <c r="Q742" s="392"/>
      <c r="R742" s="392"/>
      <c r="S742" s="392"/>
      <c r="T742" s="392"/>
      <c r="U742" s="392"/>
      <c r="V742" s="392"/>
      <c r="W742" s="392"/>
      <c r="X742" s="392"/>
      <c r="Y742" s="392"/>
      <c r="Z742" s="392"/>
      <c r="AA742" s="392"/>
      <c r="AB742" s="392"/>
      <c r="AC742" s="392"/>
      <c r="AD742" s="392"/>
      <c r="AE742" s="392"/>
      <c r="AF742" s="392"/>
      <c r="AG742" s="392"/>
      <c r="AH742" s="392"/>
      <c r="AI742" s="392"/>
      <c r="AJ742" s="392"/>
      <c r="AK742" s="392"/>
      <c r="AL742" s="392"/>
      <c r="AM742" s="392"/>
      <c r="AN742" s="392"/>
      <c r="AO742" s="392"/>
      <c r="AP742" s="392"/>
      <c r="AQ742" s="392"/>
      <c r="AR742" s="392"/>
      <c r="AS742" s="392"/>
      <c r="AT742" s="392"/>
      <c r="AU742" s="392"/>
      <c r="AV742" s="392"/>
      <c r="AW742" s="392"/>
      <c r="AX742" s="392"/>
      <c r="AY742" s="392"/>
      <c r="AZ742" s="392"/>
      <c r="BA742" s="392"/>
      <c r="BB742" s="392"/>
      <c r="BC742" s="392"/>
      <c r="BD742" s="392"/>
      <c r="BE742" s="392"/>
      <c r="BF742" s="392"/>
      <c r="BG742" s="392"/>
      <c r="BH742" s="392"/>
      <c r="BI742" s="392"/>
      <c r="BJ742" s="392"/>
      <c r="BK742" s="392"/>
      <c r="BL742" s="392"/>
      <c r="BM742" s="392"/>
      <c r="BN742" s="392"/>
      <c r="BO742" s="392"/>
      <c r="BP742" s="392"/>
      <c r="BQ742" s="392"/>
      <c r="BR742" s="392"/>
      <c r="BS742" s="392"/>
      <c r="BT742" s="392"/>
    </row>
    <row r="743" ht="15.75" customHeight="1">
      <c r="A743" s="216"/>
      <c r="B743" s="156"/>
      <c r="C743" s="156"/>
      <c r="D743" s="156"/>
      <c r="E743" s="392"/>
      <c r="F743" s="392"/>
      <c r="G743" s="392"/>
      <c r="H743" s="392"/>
      <c r="I743" s="392"/>
      <c r="J743" s="392"/>
      <c r="K743" s="392"/>
      <c r="L743" s="392"/>
      <c r="M743" s="392"/>
      <c r="N743" s="392"/>
      <c r="O743" s="392"/>
      <c r="P743" s="392"/>
      <c r="Q743" s="392"/>
      <c r="R743" s="392"/>
      <c r="S743" s="392"/>
      <c r="T743" s="392"/>
      <c r="U743" s="392"/>
      <c r="V743" s="392"/>
      <c r="W743" s="392"/>
      <c r="X743" s="392"/>
      <c r="Y743" s="392"/>
      <c r="Z743" s="392"/>
      <c r="AA743" s="392"/>
      <c r="AB743" s="392"/>
      <c r="AC743" s="392"/>
      <c r="AD743" s="392"/>
      <c r="AE743" s="392"/>
      <c r="AF743" s="392"/>
      <c r="AG743" s="392"/>
      <c r="AH743" s="392"/>
      <c r="AI743" s="392"/>
      <c r="AJ743" s="392"/>
      <c r="AK743" s="392"/>
      <c r="AL743" s="392"/>
      <c r="AM743" s="392"/>
      <c r="AN743" s="392"/>
      <c r="AO743" s="392"/>
      <c r="AP743" s="392"/>
      <c r="AQ743" s="392"/>
      <c r="AR743" s="392"/>
      <c r="AS743" s="392"/>
      <c r="AT743" s="392"/>
      <c r="AU743" s="392"/>
      <c r="AV743" s="392"/>
      <c r="AW743" s="392"/>
      <c r="AX743" s="392"/>
      <c r="AY743" s="392"/>
      <c r="AZ743" s="392"/>
      <c r="BA743" s="392"/>
      <c r="BB743" s="392"/>
      <c r="BC743" s="392"/>
      <c r="BD743" s="392"/>
      <c r="BE743" s="392"/>
      <c r="BF743" s="392"/>
      <c r="BG743" s="392"/>
      <c r="BH743" s="392"/>
      <c r="BI743" s="392"/>
      <c r="BJ743" s="392"/>
      <c r="BK743" s="392"/>
      <c r="BL743" s="392"/>
      <c r="BM743" s="392"/>
      <c r="BN743" s="392"/>
      <c r="BO743" s="392"/>
      <c r="BP743" s="392"/>
      <c r="BQ743" s="392"/>
      <c r="BR743" s="392"/>
      <c r="BS743" s="392"/>
      <c r="BT743" s="392"/>
    </row>
    <row r="744" ht="15.75" customHeight="1">
      <c r="A744" s="216"/>
      <c r="B744" s="156"/>
      <c r="C744" s="156"/>
      <c r="D744" s="156"/>
      <c r="E744" s="392"/>
      <c r="F744" s="392"/>
      <c r="G744" s="392"/>
      <c r="H744" s="392"/>
      <c r="I744" s="392"/>
      <c r="J744" s="392"/>
      <c r="K744" s="392"/>
      <c r="L744" s="392"/>
      <c r="M744" s="392"/>
      <c r="N744" s="392"/>
      <c r="O744" s="392"/>
      <c r="P744" s="392"/>
      <c r="Q744" s="392"/>
      <c r="R744" s="392"/>
      <c r="S744" s="392"/>
      <c r="T744" s="392"/>
      <c r="U744" s="392"/>
      <c r="V744" s="392"/>
      <c r="W744" s="392"/>
      <c r="X744" s="392"/>
      <c r="Y744" s="392"/>
      <c r="Z744" s="392"/>
      <c r="AA744" s="392"/>
      <c r="AB744" s="392"/>
      <c r="AC744" s="392"/>
      <c r="AD744" s="392"/>
      <c r="AE744" s="392"/>
      <c r="AF744" s="392"/>
      <c r="AG744" s="392"/>
      <c r="AH744" s="392"/>
      <c r="AI744" s="392"/>
      <c r="AJ744" s="392"/>
      <c r="AK744" s="392"/>
      <c r="AL744" s="392"/>
      <c r="AM744" s="392"/>
      <c r="AN744" s="392"/>
      <c r="AO744" s="392"/>
      <c r="AP744" s="392"/>
      <c r="AQ744" s="392"/>
      <c r="AR744" s="392"/>
      <c r="AS744" s="392"/>
      <c r="AT744" s="392"/>
      <c r="AU744" s="392"/>
      <c r="AV744" s="392"/>
      <c r="AW744" s="392"/>
      <c r="AX744" s="392"/>
      <c r="AY744" s="392"/>
      <c r="AZ744" s="392"/>
      <c r="BA744" s="392"/>
      <c r="BB744" s="392"/>
      <c r="BC744" s="392"/>
      <c r="BD744" s="392"/>
      <c r="BE744" s="392"/>
      <c r="BF744" s="392"/>
      <c r="BG744" s="392"/>
      <c r="BH744" s="392"/>
      <c r="BI744" s="392"/>
      <c r="BJ744" s="392"/>
      <c r="BK744" s="392"/>
      <c r="BL744" s="392"/>
      <c r="BM744" s="392"/>
      <c r="BN744" s="392"/>
      <c r="BO744" s="392"/>
      <c r="BP744" s="392"/>
      <c r="BQ744" s="392"/>
      <c r="BR744" s="392"/>
      <c r="BS744" s="392"/>
      <c r="BT744" s="392"/>
    </row>
    <row r="745" ht="15.75" customHeight="1">
      <c r="A745" s="216"/>
      <c r="B745" s="156"/>
      <c r="C745" s="156"/>
      <c r="D745" s="156"/>
      <c r="E745" s="392"/>
      <c r="F745" s="392"/>
      <c r="G745" s="392"/>
      <c r="H745" s="392"/>
      <c r="I745" s="392"/>
      <c r="J745" s="392"/>
      <c r="K745" s="392"/>
      <c r="L745" s="392"/>
      <c r="M745" s="392"/>
      <c r="N745" s="392"/>
      <c r="O745" s="392"/>
      <c r="P745" s="392"/>
      <c r="Q745" s="392"/>
      <c r="R745" s="392"/>
      <c r="S745" s="392"/>
      <c r="T745" s="392"/>
      <c r="U745" s="392"/>
      <c r="V745" s="392"/>
      <c r="W745" s="392"/>
      <c r="X745" s="392"/>
      <c r="Y745" s="392"/>
      <c r="Z745" s="392"/>
      <c r="AA745" s="392"/>
      <c r="AB745" s="392"/>
      <c r="AC745" s="392"/>
      <c r="AD745" s="392"/>
      <c r="AE745" s="392"/>
      <c r="AF745" s="392"/>
      <c r="AG745" s="392"/>
      <c r="AH745" s="392"/>
      <c r="AI745" s="392"/>
      <c r="AJ745" s="392"/>
      <c r="AK745" s="392"/>
      <c r="AL745" s="392"/>
      <c r="AM745" s="392"/>
      <c r="AN745" s="392"/>
      <c r="AO745" s="392"/>
      <c r="AP745" s="392"/>
      <c r="AQ745" s="392"/>
      <c r="AR745" s="392"/>
      <c r="AS745" s="392"/>
      <c r="AT745" s="392"/>
      <c r="AU745" s="392"/>
      <c r="AV745" s="392"/>
      <c r="AW745" s="392"/>
      <c r="AX745" s="392"/>
      <c r="AY745" s="392"/>
      <c r="AZ745" s="392"/>
      <c r="BA745" s="392"/>
      <c r="BB745" s="392"/>
      <c r="BC745" s="392"/>
      <c r="BD745" s="392"/>
      <c r="BE745" s="392"/>
      <c r="BF745" s="392"/>
      <c r="BG745" s="392"/>
      <c r="BH745" s="392"/>
      <c r="BI745" s="392"/>
      <c r="BJ745" s="392"/>
      <c r="BK745" s="392"/>
      <c r="BL745" s="392"/>
      <c r="BM745" s="392"/>
      <c r="BN745" s="392"/>
      <c r="BO745" s="392"/>
      <c r="BP745" s="392"/>
      <c r="BQ745" s="392"/>
      <c r="BR745" s="392"/>
      <c r="BS745" s="392"/>
      <c r="BT745" s="392"/>
    </row>
    <row r="746" ht="15.75" customHeight="1">
      <c r="A746" s="216"/>
      <c r="B746" s="156"/>
      <c r="C746" s="156"/>
      <c r="D746" s="156"/>
      <c r="E746" s="392"/>
      <c r="F746" s="392"/>
      <c r="G746" s="392"/>
      <c r="H746" s="392"/>
      <c r="I746" s="392"/>
      <c r="J746" s="392"/>
      <c r="K746" s="392"/>
      <c r="L746" s="392"/>
      <c r="M746" s="392"/>
      <c r="N746" s="392"/>
      <c r="O746" s="392"/>
      <c r="P746" s="392"/>
      <c r="Q746" s="392"/>
      <c r="R746" s="392"/>
      <c r="S746" s="392"/>
      <c r="T746" s="392"/>
      <c r="U746" s="392"/>
      <c r="V746" s="392"/>
      <c r="W746" s="392"/>
      <c r="X746" s="392"/>
      <c r="Y746" s="392"/>
      <c r="Z746" s="392"/>
      <c r="AA746" s="392"/>
      <c r="AB746" s="392"/>
      <c r="AC746" s="392"/>
      <c r="AD746" s="392"/>
      <c r="AE746" s="392"/>
      <c r="AF746" s="392"/>
      <c r="AG746" s="392"/>
      <c r="AH746" s="392"/>
      <c r="AI746" s="392"/>
      <c r="AJ746" s="392"/>
      <c r="AK746" s="392"/>
      <c r="AL746" s="392"/>
      <c r="AM746" s="392"/>
      <c r="AN746" s="392"/>
      <c r="AO746" s="392"/>
      <c r="AP746" s="392"/>
      <c r="AQ746" s="392"/>
      <c r="AR746" s="392"/>
      <c r="AS746" s="392"/>
      <c r="AT746" s="392"/>
      <c r="AU746" s="392"/>
      <c r="AV746" s="392"/>
      <c r="AW746" s="392"/>
      <c r="AX746" s="392"/>
      <c r="AY746" s="392"/>
      <c r="AZ746" s="392"/>
      <c r="BA746" s="392"/>
      <c r="BB746" s="392"/>
      <c r="BC746" s="392"/>
      <c r="BD746" s="392"/>
      <c r="BE746" s="392"/>
      <c r="BF746" s="392"/>
      <c r="BG746" s="392"/>
      <c r="BH746" s="392"/>
      <c r="BI746" s="392"/>
      <c r="BJ746" s="392"/>
      <c r="BK746" s="392"/>
      <c r="BL746" s="392"/>
      <c r="BM746" s="392"/>
      <c r="BN746" s="392"/>
      <c r="BO746" s="392"/>
      <c r="BP746" s="392"/>
      <c r="BQ746" s="392"/>
      <c r="BR746" s="392"/>
      <c r="BS746" s="392"/>
      <c r="BT746" s="392"/>
    </row>
    <row r="747" ht="15.75" customHeight="1">
      <c r="A747" s="216"/>
      <c r="B747" s="156"/>
      <c r="C747" s="156"/>
      <c r="D747" s="156"/>
      <c r="E747" s="392"/>
      <c r="F747" s="392"/>
      <c r="G747" s="392"/>
      <c r="H747" s="392"/>
      <c r="I747" s="392"/>
      <c r="J747" s="392"/>
      <c r="K747" s="392"/>
      <c r="L747" s="392"/>
      <c r="M747" s="392"/>
      <c r="N747" s="392"/>
      <c r="O747" s="392"/>
      <c r="P747" s="392"/>
      <c r="Q747" s="392"/>
      <c r="R747" s="392"/>
      <c r="S747" s="392"/>
      <c r="T747" s="392"/>
      <c r="U747" s="392"/>
      <c r="V747" s="392"/>
      <c r="W747" s="392"/>
      <c r="X747" s="392"/>
      <c r="Y747" s="392"/>
      <c r="Z747" s="392"/>
      <c r="AA747" s="392"/>
      <c r="AB747" s="392"/>
      <c r="AC747" s="392"/>
      <c r="AD747" s="392"/>
      <c r="AE747" s="392"/>
      <c r="AF747" s="392"/>
      <c r="AG747" s="392"/>
      <c r="AH747" s="392"/>
      <c r="AI747" s="392"/>
      <c r="AJ747" s="392"/>
      <c r="AK747" s="392"/>
      <c r="AL747" s="392"/>
      <c r="AM747" s="392"/>
      <c r="AN747" s="392"/>
      <c r="AO747" s="392"/>
      <c r="AP747" s="392"/>
      <c r="AQ747" s="392"/>
      <c r="AR747" s="392"/>
      <c r="AS747" s="392"/>
      <c r="AT747" s="392"/>
      <c r="AU747" s="392"/>
      <c r="AV747" s="392"/>
      <c r="AW747" s="392"/>
      <c r="AX747" s="392"/>
      <c r="AY747" s="392"/>
      <c r="AZ747" s="392"/>
      <c r="BA747" s="392"/>
      <c r="BB747" s="392"/>
      <c r="BC747" s="392"/>
      <c r="BD747" s="392"/>
      <c r="BE747" s="392"/>
      <c r="BF747" s="392"/>
      <c r="BG747" s="392"/>
      <c r="BH747" s="392"/>
      <c r="BI747" s="392"/>
      <c r="BJ747" s="392"/>
      <c r="BK747" s="392"/>
      <c r="BL747" s="392"/>
      <c r="BM747" s="392"/>
      <c r="BN747" s="392"/>
      <c r="BO747" s="392"/>
      <c r="BP747" s="392"/>
      <c r="BQ747" s="392"/>
      <c r="BR747" s="392"/>
      <c r="BS747" s="392"/>
      <c r="BT747" s="392"/>
    </row>
    <row r="748" ht="15.75" customHeight="1">
      <c r="A748" s="216"/>
      <c r="B748" s="156"/>
      <c r="C748" s="156"/>
      <c r="D748" s="156"/>
      <c r="E748" s="392"/>
      <c r="F748" s="392"/>
      <c r="G748" s="392"/>
      <c r="H748" s="392"/>
      <c r="I748" s="392"/>
      <c r="J748" s="392"/>
      <c r="K748" s="392"/>
      <c r="L748" s="392"/>
      <c r="M748" s="392"/>
      <c r="N748" s="392"/>
      <c r="O748" s="392"/>
      <c r="P748" s="392"/>
      <c r="Q748" s="392"/>
      <c r="R748" s="392"/>
      <c r="S748" s="392"/>
      <c r="T748" s="392"/>
      <c r="U748" s="392"/>
      <c r="V748" s="392"/>
      <c r="W748" s="392"/>
      <c r="X748" s="392"/>
      <c r="Y748" s="392"/>
      <c r="Z748" s="392"/>
      <c r="AA748" s="392"/>
      <c r="AB748" s="392"/>
      <c r="AC748" s="392"/>
      <c r="AD748" s="392"/>
      <c r="AE748" s="392"/>
      <c r="AF748" s="392"/>
      <c r="AG748" s="392"/>
      <c r="AH748" s="392"/>
      <c r="AI748" s="392"/>
      <c r="AJ748" s="392"/>
      <c r="AK748" s="392"/>
      <c r="AL748" s="392"/>
      <c r="AM748" s="392"/>
      <c r="AN748" s="392"/>
      <c r="AO748" s="392"/>
      <c r="AP748" s="392"/>
      <c r="AQ748" s="392"/>
      <c r="AR748" s="392"/>
      <c r="AS748" s="392"/>
      <c r="AT748" s="392"/>
      <c r="AU748" s="392"/>
      <c r="AV748" s="392"/>
      <c r="AW748" s="392"/>
      <c r="AX748" s="392"/>
      <c r="AY748" s="392"/>
      <c r="AZ748" s="392"/>
      <c r="BA748" s="392"/>
      <c r="BB748" s="392"/>
      <c r="BC748" s="392"/>
      <c r="BD748" s="392"/>
      <c r="BE748" s="392"/>
      <c r="BF748" s="392"/>
      <c r="BG748" s="392"/>
      <c r="BH748" s="392"/>
      <c r="BI748" s="392"/>
      <c r="BJ748" s="392"/>
      <c r="BK748" s="392"/>
      <c r="BL748" s="392"/>
      <c r="BM748" s="392"/>
      <c r="BN748" s="392"/>
      <c r="BO748" s="392"/>
      <c r="BP748" s="392"/>
      <c r="BQ748" s="392"/>
      <c r="BR748" s="392"/>
      <c r="BS748" s="392"/>
      <c r="BT748" s="392"/>
    </row>
    <row r="749" ht="15.75" customHeight="1">
      <c r="A749" s="216"/>
      <c r="B749" s="156"/>
      <c r="C749" s="156"/>
      <c r="D749" s="156"/>
      <c r="E749" s="392"/>
      <c r="F749" s="392"/>
      <c r="G749" s="392"/>
      <c r="H749" s="392"/>
      <c r="I749" s="392"/>
      <c r="J749" s="392"/>
      <c r="K749" s="392"/>
      <c r="L749" s="392"/>
      <c r="M749" s="392"/>
      <c r="N749" s="392"/>
      <c r="O749" s="392"/>
      <c r="P749" s="392"/>
      <c r="Q749" s="392"/>
      <c r="R749" s="392"/>
      <c r="S749" s="392"/>
      <c r="T749" s="392"/>
      <c r="U749" s="392"/>
      <c r="V749" s="392"/>
      <c r="W749" s="392"/>
      <c r="X749" s="392"/>
      <c r="Y749" s="392"/>
      <c r="Z749" s="392"/>
      <c r="AA749" s="392"/>
      <c r="AB749" s="392"/>
      <c r="AC749" s="392"/>
      <c r="AD749" s="392"/>
      <c r="AE749" s="392"/>
      <c r="AF749" s="392"/>
      <c r="AG749" s="392"/>
      <c r="AH749" s="392"/>
      <c r="AI749" s="392"/>
      <c r="AJ749" s="392"/>
      <c r="AK749" s="392"/>
      <c r="AL749" s="392"/>
      <c r="AM749" s="392"/>
      <c r="AN749" s="392"/>
      <c r="AO749" s="392"/>
      <c r="AP749" s="392"/>
      <c r="AQ749" s="392"/>
      <c r="AR749" s="392"/>
      <c r="AS749" s="392"/>
      <c r="AT749" s="392"/>
      <c r="AU749" s="392"/>
      <c r="AV749" s="392"/>
      <c r="AW749" s="392"/>
      <c r="AX749" s="392"/>
      <c r="AY749" s="392"/>
      <c r="AZ749" s="392"/>
      <c r="BA749" s="392"/>
      <c r="BB749" s="392"/>
      <c r="BC749" s="392"/>
      <c r="BD749" s="392"/>
      <c r="BE749" s="392"/>
      <c r="BF749" s="392"/>
      <c r="BG749" s="392"/>
      <c r="BH749" s="392"/>
      <c r="BI749" s="392"/>
      <c r="BJ749" s="392"/>
      <c r="BK749" s="392"/>
      <c r="BL749" s="392"/>
      <c r="BM749" s="392"/>
      <c r="BN749" s="392"/>
      <c r="BO749" s="392"/>
      <c r="BP749" s="392"/>
      <c r="BQ749" s="392"/>
      <c r="BR749" s="392"/>
      <c r="BS749" s="392"/>
      <c r="BT749" s="392"/>
    </row>
    <row r="750" ht="15.75" customHeight="1">
      <c r="A750" s="216"/>
      <c r="B750" s="156"/>
      <c r="C750" s="156"/>
      <c r="D750" s="156"/>
      <c r="E750" s="392"/>
      <c r="F750" s="392"/>
      <c r="G750" s="392"/>
      <c r="H750" s="392"/>
      <c r="I750" s="392"/>
      <c r="J750" s="392"/>
      <c r="K750" s="392"/>
      <c r="L750" s="392"/>
      <c r="M750" s="392"/>
      <c r="N750" s="392"/>
      <c r="O750" s="392"/>
      <c r="P750" s="392"/>
      <c r="Q750" s="392"/>
      <c r="R750" s="392"/>
      <c r="S750" s="392"/>
      <c r="T750" s="392"/>
      <c r="U750" s="392"/>
      <c r="V750" s="392"/>
      <c r="W750" s="392"/>
      <c r="X750" s="392"/>
      <c r="Y750" s="392"/>
      <c r="Z750" s="392"/>
      <c r="AA750" s="392"/>
      <c r="AB750" s="392"/>
      <c r="AC750" s="392"/>
      <c r="AD750" s="392"/>
      <c r="AE750" s="392"/>
      <c r="AF750" s="392"/>
      <c r="AG750" s="392"/>
      <c r="AH750" s="392"/>
      <c r="AI750" s="392"/>
      <c r="AJ750" s="392"/>
      <c r="AK750" s="392"/>
      <c r="AL750" s="392"/>
      <c r="AM750" s="392"/>
      <c r="AN750" s="392"/>
      <c r="AO750" s="392"/>
      <c r="AP750" s="392"/>
      <c r="AQ750" s="392"/>
      <c r="AR750" s="392"/>
      <c r="AS750" s="392"/>
      <c r="AT750" s="392"/>
      <c r="AU750" s="392"/>
      <c r="AV750" s="392"/>
      <c r="AW750" s="392"/>
      <c r="AX750" s="392"/>
      <c r="AY750" s="392"/>
      <c r="AZ750" s="392"/>
      <c r="BA750" s="392"/>
      <c r="BB750" s="392"/>
      <c r="BC750" s="392"/>
      <c r="BD750" s="392"/>
      <c r="BE750" s="392"/>
      <c r="BF750" s="392"/>
      <c r="BG750" s="392"/>
      <c r="BH750" s="392"/>
      <c r="BI750" s="392"/>
      <c r="BJ750" s="392"/>
      <c r="BK750" s="392"/>
      <c r="BL750" s="392"/>
      <c r="BM750" s="392"/>
      <c r="BN750" s="392"/>
      <c r="BO750" s="392"/>
      <c r="BP750" s="392"/>
      <c r="BQ750" s="392"/>
      <c r="BR750" s="392"/>
      <c r="BS750" s="392"/>
      <c r="BT750" s="392"/>
    </row>
    <row r="751" ht="15.75" customHeight="1">
      <c r="A751" s="216"/>
      <c r="B751" s="156"/>
      <c r="C751" s="156"/>
      <c r="D751" s="156"/>
      <c r="E751" s="392"/>
      <c r="F751" s="392"/>
      <c r="G751" s="392"/>
      <c r="H751" s="392"/>
      <c r="I751" s="392"/>
      <c r="J751" s="392"/>
      <c r="K751" s="392"/>
      <c r="L751" s="392"/>
      <c r="M751" s="392"/>
      <c r="N751" s="392"/>
      <c r="O751" s="392"/>
      <c r="P751" s="392"/>
      <c r="Q751" s="392"/>
      <c r="R751" s="392"/>
      <c r="S751" s="392"/>
      <c r="T751" s="392"/>
      <c r="U751" s="392"/>
      <c r="V751" s="392"/>
      <c r="W751" s="392"/>
      <c r="X751" s="392"/>
      <c r="Y751" s="392"/>
      <c r="Z751" s="392"/>
      <c r="AA751" s="392"/>
      <c r="AB751" s="392"/>
      <c r="AC751" s="392"/>
      <c r="AD751" s="392"/>
      <c r="AE751" s="392"/>
      <c r="AF751" s="392"/>
      <c r="AG751" s="392"/>
      <c r="AH751" s="392"/>
      <c r="AI751" s="392"/>
      <c r="AJ751" s="392"/>
      <c r="AK751" s="392"/>
      <c r="AL751" s="392"/>
      <c r="AM751" s="392"/>
      <c r="AN751" s="392"/>
      <c r="AO751" s="392"/>
      <c r="AP751" s="392"/>
      <c r="AQ751" s="392"/>
      <c r="AR751" s="392"/>
      <c r="AS751" s="392"/>
      <c r="AT751" s="392"/>
      <c r="AU751" s="392"/>
      <c r="AV751" s="392"/>
      <c r="AW751" s="392"/>
      <c r="AX751" s="392"/>
      <c r="AY751" s="392"/>
      <c r="AZ751" s="392"/>
      <c r="BA751" s="392"/>
      <c r="BB751" s="392"/>
      <c r="BC751" s="392"/>
      <c r="BD751" s="392"/>
      <c r="BE751" s="392"/>
      <c r="BF751" s="392"/>
      <c r="BG751" s="392"/>
      <c r="BH751" s="392"/>
      <c r="BI751" s="392"/>
      <c r="BJ751" s="392"/>
      <c r="BK751" s="392"/>
      <c r="BL751" s="392"/>
      <c r="BM751" s="392"/>
      <c r="BN751" s="392"/>
      <c r="BO751" s="392"/>
      <c r="BP751" s="392"/>
      <c r="BQ751" s="392"/>
      <c r="BR751" s="392"/>
      <c r="BS751" s="392"/>
      <c r="BT751" s="392"/>
    </row>
    <row r="752" ht="15.75" customHeight="1">
      <c r="A752" s="216"/>
      <c r="B752" s="156"/>
      <c r="C752" s="156"/>
      <c r="D752" s="156"/>
      <c r="E752" s="392"/>
      <c r="F752" s="392"/>
      <c r="G752" s="392"/>
      <c r="H752" s="392"/>
      <c r="I752" s="392"/>
      <c r="J752" s="392"/>
      <c r="K752" s="392"/>
      <c r="L752" s="392"/>
      <c r="M752" s="392"/>
      <c r="N752" s="392"/>
      <c r="O752" s="392"/>
      <c r="P752" s="392"/>
      <c r="Q752" s="392"/>
      <c r="R752" s="392"/>
      <c r="S752" s="392"/>
      <c r="T752" s="392"/>
      <c r="U752" s="392"/>
      <c r="V752" s="392"/>
      <c r="W752" s="392"/>
      <c r="X752" s="392"/>
      <c r="Y752" s="392"/>
      <c r="Z752" s="392"/>
      <c r="AA752" s="392"/>
      <c r="AB752" s="392"/>
      <c r="AC752" s="392"/>
      <c r="AD752" s="392"/>
      <c r="AE752" s="392"/>
      <c r="AF752" s="392"/>
      <c r="AG752" s="392"/>
      <c r="AH752" s="392"/>
      <c r="AI752" s="392"/>
      <c r="AJ752" s="392"/>
      <c r="AK752" s="392"/>
      <c r="AL752" s="392"/>
      <c r="AM752" s="392"/>
      <c r="AN752" s="392"/>
      <c r="AO752" s="392"/>
      <c r="AP752" s="392"/>
      <c r="AQ752" s="392"/>
      <c r="AR752" s="392"/>
      <c r="AS752" s="392"/>
      <c r="AT752" s="392"/>
      <c r="AU752" s="392"/>
      <c r="AV752" s="392"/>
      <c r="AW752" s="392"/>
      <c r="AX752" s="392"/>
      <c r="AY752" s="392"/>
      <c r="AZ752" s="392"/>
      <c r="BA752" s="392"/>
      <c r="BB752" s="392"/>
      <c r="BC752" s="392"/>
      <c r="BD752" s="392"/>
      <c r="BE752" s="392"/>
      <c r="BF752" s="392"/>
      <c r="BG752" s="392"/>
      <c r="BH752" s="392"/>
      <c r="BI752" s="392"/>
      <c r="BJ752" s="392"/>
      <c r="BK752" s="392"/>
      <c r="BL752" s="392"/>
      <c r="BM752" s="392"/>
      <c r="BN752" s="392"/>
      <c r="BO752" s="392"/>
      <c r="BP752" s="392"/>
      <c r="BQ752" s="392"/>
      <c r="BR752" s="392"/>
      <c r="BS752" s="392"/>
      <c r="BT752" s="392"/>
    </row>
    <row r="753" ht="15.75" customHeight="1">
      <c r="A753" s="216"/>
      <c r="B753" s="156"/>
      <c r="C753" s="156"/>
      <c r="D753" s="156"/>
      <c r="E753" s="392"/>
      <c r="F753" s="392"/>
      <c r="G753" s="392"/>
      <c r="H753" s="392"/>
      <c r="I753" s="392"/>
      <c r="J753" s="392"/>
      <c r="K753" s="392"/>
      <c r="L753" s="392"/>
      <c r="M753" s="392"/>
      <c r="N753" s="392"/>
      <c r="O753" s="392"/>
      <c r="P753" s="392"/>
      <c r="Q753" s="392"/>
      <c r="R753" s="392"/>
      <c r="S753" s="392"/>
      <c r="T753" s="392"/>
      <c r="U753" s="392"/>
      <c r="V753" s="392"/>
      <c r="W753" s="392"/>
      <c r="X753" s="392"/>
      <c r="Y753" s="392"/>
      <c r="Z753" s="392"/>
      <c r="AA753" s="392"/>
      <c r="AB753" s="392"/>
      <c r="AC753" s="392"/>
      <c r="AD753" s="392"/>
      <c r="AE753" s="392"/>
      <c r="AF753" s="392"/>
      <c r="AG753" s="392"/>
      <c r="AH753" s="392"/>
      <c r="AI753" s="392"/>
      <c r="AJ753" s="392"/>
      <c r="AK753" s="392"/>
      <c r="AL753" s="392"/>
      <c r="AM753" s="392"/>
      <c r="AN753" s="392"/>
      <c r="AO753" s="392"/>
      <c r="AP753" s="392"/>
      <c r="AQ753" s="392"/>
      <c r="AR753" s="392"/>
      <c r="AS753" s="392"/>
      <c r="AT753" s="392"/>
      <c r="AU753" s="392"/>
      <c r="AV753" s="392"/>
      <c r="AW753" s="392"/>
      <c r="AX753" s="392"/>
      <c r="AY753" s="392"/>
      <c r="AZ753" s="392"/>
      <c r="BA753" s="392"/>
      <c r="BB753" s="392"/>
      <c r="BC753" s="392"/>
      <c r="BD753" s="392"/>
      <c r="BE753" s="392"/>
      <c r="BF753" s="392"/>
      <c r="BG753" s="392"/>
      <c r="BH753" s="392"/>
      <c r="BI753" s="392"/>
      <c r="BJ753" s="392"/>
      <c r="BK753" s="392"/>
      <c r="BL753" s="392"/>
      <c r="BM753" s="392"/>
      <c r="BN753" s="392"/>
      <c r="BO753" s="392"/>
      <c r="BP753" s="392"/>
      <c r="BQ753" s="392"/>
      <c r="BR753" s="392"/>
      <c r="BS753" s="392"/>
      <c r="BT753" s="392"/>
    </row>
    <row r="754" ht="15.75" customHeight="1">
      <c r="A754" s="216"/>
      <c r="B754" s="156"/>
      <c r="C754" s="156"/>
      <c r="D754" s="156"/>
      <c r="E754" s="392"/>
      <c r="F754" s="392"/>
      <c r="G754" s="392"/>
      <c r="H754" s="392"/>
      <c r="I754" s="392"/>
      <c r="J754" s="392"/>
      <c r="K754" s="392"/>
      <c r="L754" s="392"/>
      <c r="M754" s="392"/>
      <c r="N754" s="392"/>
      <c r="O754" s="392"/>
      <c r="P754" s="392"/>
      <c r="Q754" s="392"/>
      <c r="R754" s="392"/>
      <c r="S754" s="392"/>
      <c r="T754" s="392"/>
      <c r="U754" s="392"/>
      <c r="V754" s="392"/>
      <c r="W754" s="392"/>
      <c r="X754" s="392"/>
      <c r="Y754" s="392"/>
      <c r="Z754" s="392"/>
      <c r="AA754" s="392"/>
      <c r="AB754" s="392"/>
      <c r="AC754" s="392"/>
      <c r="AD754" s="392"/>
      <c r="AE754" s="392"/>
      <c r="AF754" s="392"/>
      <c r="AG754" s="392"/>
      <c r="AH754" s="392"/>
      <c r="AI754" s="392"/>
      <c r="AJ754" s="392"/>
      <c r="AK754" s="392"/>
      <c r="AL754" s="392"/>
      <c r="AM754" s="392"/>
      <c r="AN754" s="392"/>
      <c r="AO754" s="392"/>
      <c r="AP754" s="392"/>
      <c r="AQ754" s="392"/>
      <c r="AR754" s="392"/>
      <c r="AS754" s="392"/>
      <c r="AT754" s="392"/>
      <c r="AU754" s="392"/>
      <c r="AV754" s="392"/>
      <c r="AW754" s="392"/>
      <c r="AX754" s="392"/>
      <c r="AY754" s="392"/>
      <c r="AZ754" s="392"/>
      <c r="BA754" s="392"/>
      <c r="BB754" s="392"/>
      <c r="BC754" s="392"/>
      <c r="BD754" s="392"/>
      <c r="BE754" s="392"/>
      <c r="BF754" s="392"/>
      <c r="BG754" s="392"/>
      <c r="BH754" s="392"/>
      <c r="BI754" s="392"/>
      <c r="BJ754" s="392"/>
      <c r="BK754" s="392"/>
      <c r="BL754" s="392"/>
      <c r="BM754" s="392"/>
      <c r="BN754" s="392"/>
      <c r="BO754" s="392"/>
      <c r="BP754" s="392"/>
      <c r="BQ754" s="392"/>
      <c r="BR754" s="392"/>
      <c r="BS754" s="392"/>
      <c r="BT754" s="392"/>
    </row>
    <row r="755" ht="15.75" customHeight="1">
      <c r="A755" s="216"/>
      <c r="B755" s="156"/>
      <c r="C755" s="156"/>
      <c r="D755" s="156"/>
      <c r="E755" s="392"/>
      <c r="F755" s="392"/>
      <c r="G755" s="392"/>
      <c r="H755" s="392"/>
      <c r="I755" s="392"/>
      <c r="J755" s="392"/>
      <c r="K755" s="392"/>
      <c r="L755" s="392"/>
      <c r="M755" s="392"/>
      <c r="N755" s="392"/>
      <c r="O755" s="392"/>
      <c r="P755" s="392"/>
      <c r="Q755" s="392"/>
      <c r="R755" s="392"/>
      <c r="S755" s="392"/>
      <c r="T755" s="392"/>
      <c r="U755" s="392"/>
      <c r="V755" s="392"/>
      <c r="W755" s="392"/>
      <c r="X755" s="392"/>
      <c r="Y755" s="392"/>
      <c r="Z755" s="392"/>
      <c r="AA755" s="392"/>
      <c r="AB755" s="392"/>
      <c r="AC755" s="392"/>
      <c r="AD755" s="392"/>
      <c r="AE755" s="392"/>
      <c r="AF755" s="392"/>
      <c r="AG755" s="392"/>
      <c r="AH755" s="392"/>
      <c r="AI755" s="392"/>
      <c r="AJ755" s="392"/>
      <c r="AK755" s="392"/>
      <c r="AL755" s="392"/>
      <c r="AM755" s="392"/>
      <c r="AN755" s="392"/>
      <c r="AO755" s="392"/>
      <c r="AP755" s="392"/>
      <c r="AQ755" s="392"/>
      <c r="AR755" s="392"/>
      <c r="AS755" s="392"/>
      <c r="AT755" s="392"/>
      <c r="AU755" s="392"/>
      <c r="AV755" s="392"/>
      <c r="AW755" s="392"/>
      <c r="AX755" s="392"/>
      <c r="AY755" s="392"/>
      <c r="AZ755" s="392"/>
      <c r="BA755" s="392"/>
      <c r="BB755" s="392"/>
      <c r="BC755" s="392"/>
      <c r="BD755" s="392"/>
      <c r="BE755" s="392"/>
      <c r="BF755" s="392"/>
      <c r="BG755" s="392"/>
      <c r="BH755" s="392"/>
      <c r="BI755" s="392"/>
      <c r="BJ755" s="392"/>
      <c r="BK755" s="392"/>
      <c r="BL755" s="392"/>
      <c r="BM755" s="392"/>
      <c r="BN755" s="392"/>
      <c r="BO755" s="392"/>
      <c r="BP755" s="392"/>
      <c r="BQ755" s="392"/>
      <c r="BR755" s="392"/>
      <c r="BS755" s="392"/>
      <c r="BT755" s="392"/>
    </row>
    <row r="756" ht="15.75" customHeight="1">
      <c r="A756" s="216"/>
      <c r="B756" s="156"/>
      <c r="C756" s="156"/>
      <c r="D756" s="156"/>
      <c r="E756" s="392"/>
      <c r="F756" s="392"/>
      <c r="G756" s="392"/>
      <c r="H756" s="392"/>
      <c r="I756" s="392"/>
      <c r="J756" s="392"/>
      <c r="K756" s="392"/>
      <c r="L756" s="392"/>
      <c r="M756" s="392"/>
      <c r="N756" s="392"/>
      <c r="O756" s="392"/>
      <c r="P756" s="392"/>
      <c r="Q756" s="392"/>
      <c r="R756" s="392"/>
      <c r="S756" s="392"/>
      <c r="T756" s="392"/>
      <c r="U756" s="392"/>
      <c r="V756" s="392"/>
      <c r="W756" s="392"/>
      <c r="X756" s="392"/>
      <c r="Y756" s="392"/>
      <c r="Z756" s="392"/>
      <c r="AA756" s="392"/>
      <c r="AB756" s="392"/>
      <c r="AC756" s="392"/>
      <c r="AD756" s="392"/>
      <c r="AE756" s="392"/>
      <c r="AF756" s="392"/>
      <c r="AG756" s="392"/>
      <c r="AH756" s="392"/>
      <c r="AI756" s="392"/>
      <c r="AJ756" s="392"/>
      <c r="AK756" s="392"/>
      <c r="AL756" s="392"/>
      <c r="AM756" s="392"/>
      <c r="AN756" s="392"/>
      <c r="AO756" s="392"/>
      <c r="AP756" s="392"/>
      <c r="AQ756" s="392"/>
      <c r="AR756" s="392"/>
      <c r="AS756" s="392"/>
      <c r="AT756" s="392"/>
      <c r="AU756" s="392"/>
      <c r="AV756" s="392"/>
      <c r="AW756" s="392"/>
      <c r="AX756" s="392"/>
      <c r="AY756" s="392"/>
      <c r="AZ756" s="392"/>
      <c r="BA756" s="392"/>
      <c r="BB756" s="392"/>
      <c r="BC756" s="392"/>
      <c r="BD756" s="392"/>
      <c r="BE756" s="392"/>
      <c r="BF756" s="392"/>
      <c r="BG756" s="392"/>
      <c r="BH756" s="392"/>
      <c r="BI756" s="392"/>
      <c r="BJ756" s="392"/>
      <c r="BK756" s="392"/>
      <c r="BL756" s="392"/>
      <c r="BM756" s="392"/>
      <c r="BN756" s="392"/>
      <c r="BO756" s="392"/>
      <c r="BP756" s="392"/>
      <c r="BQ756" s="392"/>
      <c r="BR756" s="392"/>
      <c r="BS756" s="392"/>
      <c r="BT756" s="392"/>
    </row>
    <row r="757" ht="15.75" customHeight="1">
      <c r="A757" s="216"/>
      <c r="B757" s="156"/>
      <c r="C757" s="156"/>
      <c r="D757" s="156"/>
      <c r="E757" s="392"/>
      <c r="F757" s="392"/>
      <c r="G757" s="392"/>
      <c r="H757" s="392"/>
      <c r="I757" s="392"/>
      <c r="J757" s="392"/>
      <c r="K757" s="392"/>
      <c r="L757" s="392"/>
      <c r="M757" s="392"/>
      <c r="N757" s="392"/>
      <c r="O757" s="392"/>
      <c r="P757" s="392"/>
      <c r="Q757" s="392"/>
      <c r="R757" s="392"/>
      <c r="S757" s="392"/>
      <c r="T757" s="392"/>
      <c r="U757" s="392"/>
      <c r="V757" s="392"/>
      <c r="W757" s="392"/>
      <c r="X757" s="392"/>
      <c r="Y757" s="392"/>
      <c r="Z757" s="392"/>
      <c r="AA757" s="392"/>
      <c r="AB757" s="392"/>
      <c r="AC757" s="392"/>
      <c r="AD757" s="392"/>
      <c r="AE757" s="392"/>
      <c r="AF757" s="392"/>
      <c r="AG757" s="392"/>
      <c r="AH757" s="392"/>
      <c r="AI757" s="392"/>
      <c r="AJ757" s="392"/>
      <c r="AK757" s="392"/>
      <c r="AL757" s="392"/>
      <c r="AM757" s="392"/>
      <c r="AN757" s="392"/>
      <c r="AO757" s="392"/>
      <c r="AP757" s="392"/>
      <c r="AQ757" s="392"/>
      <c r="AR757" s="392"/>
      <c r="AS757" s="392"/>
      <c r="AT757" s="392"/>
      <c r="AU757" s="392"/>
      <c r="AV757" s="392"/>
      <c r="AW757" s="392"/>
      <c r="AX757" s="392"/>
      <c r="AY757" s="392"/>
      <c r="AZ757" s="392"/>
      <c r="BA757" s="392"/>
      <c r="BB757" s="392"/>
      <c r="BC757" s="392"/>
      <c r="BD757" s="392"/>
      <c r="BE757" s="392"/>
      <c r="BF757" s="392"/>
      <c r="BG757" s="392"/>
      <c r="BH757" s="392"/>
      <c r="BI757" s="392"/>
      <c r="BJ757" s="392"/>
      <c r="BK757" s="392"/>
      <c r="BL757" s="392"/>
      <c r="BM757" s="392"/>
      <c r="BN757" s="392"/>
      <c r="BO757" s="392"/>
      <c r="BP757" s="392"/>
      <c r="BQ757" s="392"/>
      <c r="BR757" s="392"/>
      <c r="BS757" s="392"/>
      <c r="BT757" s="392"/>
    </row>
    <row r="758" ht="15.75" customHeight="1">
      <c r="A758" s="216"/>
      <c r="B758" s="156"/>
      <c r="C758" s="156"/>
      <c r="D758" s="156"/>
      <c r="E758" s="392"/>
      <c r="F758" s="392"/>
      <c r="G758" s="392"/>
      <c r="H758" s="392"/>
      <c r="I758" s="392"/>
      <c r="J758" s="392"/>
      <c r="K758" s="392"/>
      <c r="L758" s="392"/>
      <c r="M758" s="392"/>
      <c r="N758" s="392"/>
      <c r="O758" s="392"/>
      <c r="P758" s="392"/>
      <c r="Q758" s="392"/>
      <c r="R758" s="392"/>
      <c r="S758" s="392"/>
      <c r="T758" s="392"/>
      <c r="U758" s="392"/>
      <c r="V758" s="392"/>
      <c r="W758" s="392"/>
      <c r="X758" s="392"/>
      <c r="Y758" s="392"/>
      <c r="Z758" s="392"/>
      <c r="AA758" s="392"/>
      <c r="AB758" s="392"/>
      <c r="AC758" s="392"/>
      <c r="AD758" s="392"/>
      <c r="AE758" s="392"/>
      <c r="AF758" s="392"/>
      <c r="AG758" s="392"/>
      <c r="AH758" s="392"/>
      <c r="AI758" s="392"/>
      <c r="AJ758" s="392"/>
      <c r="AK758" s="392"/>
      <c r="AL758" s="392"/>
      <c r="AM758" s="392"/>
      <c r="AN758" s="392"/>
      <c r="AO758" s="392"/>
      <c r="AP758" s="392"/>
      <c r="AQ758" s="392"/>
      <c r="AR758" s="392"/>
      <c r="AS758" s="392"/>
      <c r="AT758" s="392"/>
      <c r="AU758" s="392"/>
      <c r="AV758" s="392"/>
      <c r="AW758" s="392"/>
      <c r="AX758" s="392"/>
      <c r="AY758" s="392"/>
      <c r="AZ758" s="392"/>
      <c r="BA758" s="392"/>
      <c r="BB758" s="392"/>
      <c r="BC758" s="392"/>
      <c r="BD758" s="392"/>
      <c r="BE758" s="392"/>
      <c r="BF758" s="392"/>
      <c r="BG758" s="392"/>
      <c r="BH758" s="392"/>
      <c r="BI758" s="392"/>
      <c r="BJ758" s="392"/>
      <c r="BK758" s="392"/>
      <c r="BL758" s="392"/>
      <c r="BM758" s="392"/>
      <c r="BN758" s="392"/>
      <c r="BO758" s="392"/>
      <c r="BP758" s="392"/>
      <c r="BQ758" s="392"/>
      <c r="BR758" s="392"/>
      <c r="BS758" s="392"/>
      <c r="BT758" s="392"/>
    </row>
    <row r="759" ht="15.75" customHeight="1">
      <c r="A759" s="216"/>
      <c r="B759" s="156"/>
      <c r="C759" s="156"/>
      <c r="D759" s="156"/>
      <c r="E759" s="392"/>
      <c r="F759" s="392"/>
      <c r="G759" s="392"/>
      <c r="H759" s="392"/>
      <c r="I759" s="392"/>
      <c r="J759" s="392"/>
      <c r="K759" s="392"/>
      <c r="L759" s="392"/>
      <c r="M759" s="392"/>
      <c r="N759" s="392"/>
      <c r="O759" s="392"/>
      <c r="P759" s="392"/>
      <c r="Q759" s="392"/>
      <c r="R759" s="392"/>
      <c r="S759" s="392"/>
      <c r="T759" s="392"/>
      <c r="U759" s="392"/>
      <c r="V759" s="392"/>
      <c r="W759" s="392"/>
      <c r="X759" s="392"/>
      <c r="Y759" s="392"/>
      <c r="Z759" s="392"/>
      <c r="AA759" s="392"/>
      <c r="AB759" s="392"/>
      <c r="AC759" s="392"/>
      <c r="AD759" s="392"/>
      <c r="AE759" s="392"/>
      <c r="AF759" s="392"/>
      <c r="AG759" s="392"/>
      <c r="AH759" s="392"/>
      <c r="AI759" s="392"/>
      <c r="AJ759" s="392"/>
      <c r="AK759" s="392"/>
      <c r="AL759" s="392"/>
      <c r="AM759" s="392"/>
      <c r="AN759" s="392"/>
      <c r="AO759" s="392"/>
      <c r="AP759" s="392"/>
      <c r="AQ759" s="392"/>
      <c r="AR759" s="392"/>
      <c r="AS759" s="392"/>
      <c r="AT759" s="392"/>
      <c r="AU759" s="392"/>
      <c r="AV759" s="392"/>
      <c r="AW759" s="392"/>
      <c r="AX759" s="392"/>
      <c r="AY759" s="392"/>
      <c r="AZ759" s="392"/>
      <c r="BA759" s="392"/>
      <c r="BB759" s="392"/>
      <c r="BC759" s="392"/>
      <c r="BD759" s="392"/>
      <c r="BE759" s="392"/>
      <c r="BF759" s="392"/>
      <c r="BG759" s="392"/>
      <c r="BH759" s="392"/>
      <c r="BI759" s="392"/>
      <c r="BJ759" s="392"/>
      <c r="BK759" s="392"/>
      <c r="BL759" s="392"/>
      <c r="BM759" s="392"/>
      <c r="BN759" s="392"/>
      <c r="BO759" s="392"/>
      <c r="BP759" s="392"/>
      <c r="BQ759" s="392"/>
      <c r="BR759" s="392"/>
      <c r="BS759" s="392"/>
      <c r="BT759" s="392"/>
    </row>
    <row r="760" ht="15.75" customHeight="1">
      <c r="A760" s="216"/>
      <c r="B760" s="156"/>
      <c r="C760" s="156"/>
      <c r="D760" s="156"/>
      <c r="E760" s="392"/>
      <c r="F760" s="392"/>
      <c r="G760" s="392"/>
      <c r="H760" s="392"/>
      <c r="I760" s="392"/>
      <c r="J760" s="392"/>
      <c r="K760" s="392"/>
      <c r="L760" s="392"/>
      <c r="M760" s="392"/>
      <c r="N760" s="392"/>
      <c r="O760" s="392"/>
      <c r="P760" s="392"/>
      <c r="Q760" s="392"/>
      <c r="R760" s="392"/>
      <c r="S760" s="392"/>
      <c r="T760" s="392"/>
      <c r="U760" s="392"/>
      <c r="V760" s="392"/>
      <c r="W760" s="392"/>
      <c r="X760" s="392"/>
      <c r="Y760" s="392"/>
      <c r="Z760" s="392"/>
      <c r="AA760" s="392"/>
      <c r="AB760" s="392"/>
      <c r="AC760" s="392"/>
      <c r="AD760" s="392"/>
      <c r="AE760" s="392"/>
      <c r="AF760" s="392"/>
      <c r="AG760" s="392"/>
      <c r="AH760" s="392"/>
      <c r="AI760" s="392"/>
      <c r="AJ760" s="392"/>
      <c r="AK760" s="392"/>
      <c r="AL760" s="392"/>
      <c r="AM760" s="392"/>
      <c r="AN760" s="392"/>
      <c r="AO760" s="392"/>
      <c r="AP760" s="392"/>
      <c r="AQ760" s="392"/>
      <c r="AR760" s="392"/>
      <c r="AS760" s="392"/>
      <c r="AT760" s="392"/>
      <c r="AU760" s="392"/>
      <c r="AV760" s="392"/>
      <c r="AW760" s="392"/>
      <c r="AX760" s="392"/>
      <c r="AY760" s="392"/>
      <c r="AZ760" s="392"/>
      <c r="BA760" s="392"/>
      <c r="BB760" s="392"/>
      <c r="BC760" s="392"/>
      <c r="BD760" s="392"/>
      <c r="BE760" s="392"/>
      <c r="BF760" s="392"/>
      <c r="BG760" s="392"/>
      <c r="BH760" s="392"/>
      <c r="BI760" s="392"/>
      <c r="BJ760" s="392"/>
      <c r="BK760" s="392"/>
      <c r="BL760" s="392"/>
      <c r="BM760" s="392"/>
      <c r="BN760" s="392"/>
      <c r="BO760" s="392"/>
      <c r="BP760" s="392"/>
      <c r="BQ760" s="392"/>
      <c r="BR760" s="392"/>
      <c r="BS760" s="392"/>
      <c r="BT760" s="392"/>
    </row>
    <row r="761" ht="15.75" customHeight="1">
      <c r="A761" s="216"/>
      <c r="B761" s="156"/>
      <c r="C761" s="156"/>
      <c r="D761" s="156"/>
      <c r="E761" s="392"/>
      <c r="F761" s="392"/>
      <c r="G761" s="392"/>
      <c r="H761" s="392"/>
      <c r="I761" s="392"/>
      <c r="J761" s="392"/>
      <c r="K761" s="392"/>
      <c r="L761" s="392"/>
      <c r="M761" s="392"/>
      <c r="N761" s="392"/>
      <c r="O761" s="392"/>
      <c r="P761" s="392"/>
      <c r="Q761" s="392"/>
      <c r="R761" s="392"/>
      <c r="S761" s="392"/>
      <c r="T761" s="392"/>
      <c r="U761" s="392"/>
      <c r="V761" s="392"/>
      <c r="W761" s="392"/>
      <c r="X761" s="392"/>
      <c r="Y761" s="392"/>
      <c r="Z761" s="392"/>
      <c r="AA761" s="392"/>
      <c r="AB761" s="392"/>
      <c r="AC761" s="392"/>
      <c r="AD761" s="392"/>
      <c r="AE761" s="392"/>
      <c r="AF761" s="392"/>
      <c r="AG761" s="392"/>
      <c r="AH761" s="392"/>
      <c r="AI761" s="392"/>
      <c r="AJ761" s="392"/>
      <c r="AK761" s="392"/>
      <c r="AL761" s="392"/>
      <c r="AM761" s="392"/>
      <c r="AN761" s="392"/>
      <c r="AO761" s="392"/>
      <c r="AP761" s="392"/>
      <c r="AQ761" s="392"/>
      <c r="AR761" s="392"/>
      <c r="AS761" s="392"/>
      <c r="AT761" s="392"/>
      <c r="AU761" s="392"/>
      <c r="AV761" s="392"/>
      <c r="AW761" s="392"/>
      <c r="AX761" s="392"/>
      <c r="AY761" s="392"/>
      <c r="AZ761" s="392"/>
      <c r="BA761" s="392"/>
      <c r="BB761" s="392"/>
      <c r="BC761" s="392"/>
      <c r="BD761" s="392"/>
      <c r="BE761" s="392"/>
      <c r="BF761" s="392"/>
      <c r="BG761" s="392"/>
      <c r="BH761" s="392"/>
      <c r="BI761" s="392"/>
      <c r="BJ761" s="392"/>
      <c r="BK761" s="392"/>
      <c r="BL761" s="392"/>
      <c r="BM761" s="392"/>
      <c r="BN761" s="392"/>
      <c r="BO761" s="392"/>
      <c r="BP761" s="392"/>
      <c r="BQ761" s="392"/>
      <c r="BR761" s="392"/>
      <c r="BS761" s="392"/>
      <c r="BT761" s="392"/>
    </row>
    <row r="762" ht="15.75" customHeight="1">
      <c r="A762" s="216"/>
      <c r="B762" s="156"/>
      <c r="C762" s="156"/>
      <c r="D762" s="156"/>
      <c r="E762" s="392"/>
      <c r="F762" s="392"/>
      <c r="G762" s="392"/>
      <c r="H762" s="392"/>
      <c r="I762" s="392"/>
      <c r="J762" s="392"/>
      <c r="K762" s="392"/>
      <c r="L762" s="392"/>
      <c r="M762" s="392"/>
      <c r="N762" s="392"/>
      <c r="O762" s="392"/>
      <c r="P762" s="392"/>
      <c r="Q762" s="392"/>
      <c r="R762" s="392"/>
      <c r="S762" s="392"/>
      <c r="T762" s="392"/>
      <c r="U762" s="392"/>
      <c r="V762" s="392"/>
      <c r="W762" s="392"/>
      <c r="X762" s="392"/>
      <c r="Y762" s="392"/>
      <c r="Z762" s="392"/>
      <c r="AA762" s="392"/>
      <c r="AB762" s="392"/>
      <c r="AC762" s="392"/>
      <c r="AD762" s="392"/>
      <c r="AE762" s="392"/>
      <c r="AF762" s="392"/>
      <c r="AG762" s="392"/>
      <c r="AH762" s="392"/>
      <c r="AI762" s="392"/>
      <c r="AJ762" s="392"/>
      <c r="AK762" s="392"/>
      <c r="AL762" s="392"/>
      <c r="AM762" s="392"/>
      <c r="AN762" s="392"/>
      <c r="AO762" s="392"/>
      <c r="AP762" s="392"/>
      <c r="AQ762" s="392"/>
      <c r="AR762" s="392"/>
      <c r="AS762" s="392"/>
      <c r="AT762" s="392"/>
      <c r="AU762" s="392"/>
      <c r="AV762" s="392"/>
      <c r="AW762" s="392"/>
      <c r="AX762" s="392"/>
      <c r="AY762" s="392"/>
      <c r="AZ762" s="392"/>
      <c r="BA762" s="392"/>
      <c r="BB762" s="392"/>
      <c r="BC762" s="392"/>
      <c r="BD762" s="392"/>
      <c r="BE762" s="392"/>
      <c r="BF762" s="392"/>
      <c r="BG762" s="392"/>
      <c r="BH762" s="392"/>
      <c r="BI762" s="392"/>
      <c r="BJ762" s="392"/>
      <c r="BK762" s="392"/>
      <c r="BL762" s="392"/>
      <c r="BM762" s="392"/>
      <c r="BN762" s="392"/>
      <c r="BO762" s="392"/>
      <c r="BP762" s="392"/>
      <c r="BQ762" s="392"/>
      <c r="BR762" s="392"/>
      <c r="BS762" s="392"/>
      <c r="BT762" s="392"/>
    </row>
    <row r="763" ht="15.75" customHeight="1">
      <c r="A763" s="216"/>
      <c r="B763" s="156"/>
      <c r="C763" s="156"/>
      <c r="D763" s="156"/>
      <c r="E763" s="392"/>
      <c r="F763" s="392"/>
      <c r="G763" s="392"/>
      <c r="H763" s="392"/>
      <c r="I763" s="392"/>
      <c r="J763" s="392"/>
      <c r="K763" s="392"/>
      <c r="L763" s="392"/>
      <c r="M763" s="392"/>
      <c r="N763" s="392"/>
      <c r="O763" s="392"/>
      <c r="P763" s="392"/>
      <c r="Q763" s="392"/>
      <c r="R763" s="392"/>
      <c r="S763" s="392"/>
      <c r="T763" s="392"/>
      <c r="U763" s="392"/>
      <c r="V763" s="392"/>
      <c r="W763" s="392"/>
      <c r="X763" s="392"/>
      <c r="Y763" s="392"/>
      <c r="Z763" s="392"/>
      <c r="AA763" s="392"/>
      <c r="AB763" s="392"/>
      <c r="AC763" s="392"/>
      <c r="AD763" s="392"/>
      <c r="AE763" s="392"/>
      <c r="AF763" s="392"/>
      <c r="AG763" s="392"/>
      <c r="AH763" s="392"/>
      <c r="AI763" s="392"/>
      <c r="AJ763" s="392"/>
      <c r="AK763" s="392"/>
      <c r="AL763" s="392"/>
      <c r="AM763" s="392"/>
      <c r="AN763" s="392"/>
      <c r="AO763" s="392"/>
      <c r="AP763" s="392"/>
      <c r="AQ763" s="392"/>
      <c r="AR763" s="392"/>
      <c r="AS763" s="392"/>
      <c r="AT763" s="392"/>
      <c r="AU763" s="392"/>
      <c r="AV763" s="392"/>
      <c r="AW763" s="392"/>
      <c r="AX763" s="392"/>
      <c r="AY763" s="392"/>
      <c r="AZ763" s="392"/>
      <c r="BA763" s="392"/>
      <c r="BB763" s="392"/>
      <c r="BC763" s="392"/>
      <c r="BD763" s="392"/>
      <c r="BE763" s="392"/>
      <c r="BF763" s="392"/>
      <c r="BG763" s="392"/>
      <c r="BH763" s="392"/>
      <c r="BI763" s="392"/>
      <c r="BJ763" s="392"/>
      <c r="BK763" s="392"/>
      <c r="BL763" s="392"/>
      <c r="BM763" s="392"/>
      <c r="BN763" s="392"/>
      <c r="BO763" s="392"/>
      <c r="BP763" s="392"/>
      <c r="BQ763" s="392"/>
      <c r="BR763" s="392"/>
      <c r="BS763" s="392"/>
      <c r="BT763" s="392"/>
    </row>
    <row r="764" ht="15.75" customHeight="1">
      <c r="A764" s="216"/>
      <c r="B764" s="156"/>
      <c r="C764" s="156"/>
      <c r="D764" s="156"/>
      <c r="E764" s="392"/>
      <c r="F764" s="392"/>
      <c r="G764" s="392"/>
      <c r="H764" s="392"/>
      <c r="I764" s="392"/>
      <c r="J764" s="392"/>
      <c r="K764" s="392"/>
      <c r="L764" s="392"/>
      <c r="M764" s="392"/>
      <c r="N764" s="392"/>
      <c r="O764" s="392"/>
      <c r="P764" s="392"/>
      <c r="Q764" s="392"/>
      <c r="R764" s="392"/>
      <c r="S764" s="392"/>
      <c r="T764" s="392"/>
      <c r="U764" s="392"/>
      <c r="V764" s="392"/>
      <c r="W764" s="392"/>
      <c r="X764" s="392"/>
      <c r="Y764" s="392"/>
      <c r="Z764" s="392"/>
      <c r="AA764" s="392"/>
      <c r="AB764" s="392"/>
      <c r="AC764" s="392"/>
      <c r="AD764" s="392"/>
      <c r="AE764" s="392"/>
      <c r="AF764" s="392"/>
      <c r="AG764" s="392"/>
      <c r="AH764" s="392"/>
      <c r="AI764" s="392"/>
      <c r="AJ764" s="392"/>
      <c r="AK764" s="392"/>
      <c r="AL764" s="392"/>
      <c r="AM764" s="392"/>
      <c r="AN764" s="392"/>
      <c r="AO764" s="392"/>
      <c r="AP764" s="392"/>
      <c r="AQ764" s="392"/>
      <c r="AR764" s="392"/>
      <c r="AS764" s="392"/>
      <c r="AT764" s="392"/>
      <c r="AU764" s="392"/>
      <c r="AV764" s="392"/>
      <c r="AW764" s="392"/>
      <c r="AX764" s="392"/>
      <c r="AY764" s="392"/>
      <c r="AZ764" s="392"/>
      <c r="BA764" s="392"/>
      <c r="BB764" s="392"/>
      <c r="BC764" s="392"/>
      <c r="BD764" s="392"/>
      <c r="BE764" s="392"/>
      <c r="BF764" s="392"/>
      <c r="BG764" s="392"/>
      <c r="BH764" s="392"/>
      <c r="BI764" s="392"/>
      <c r="BJ764" s="392"/>
      <c r="BK764" s="392"/>
      <c r="BL764" s="392"/>
      <c r="BM764" s="392"/>
      <c r="BN764" s="392"/>
      <c r="BO764" s="392"/>
      <c r="BP764" s="392"/>
      <c r="BQ764" s="392"/>
      <c r="BR764" s="392"/>
      <c r="BS764" s="392"/>
      <c r="BT764" s="392"/>
    </row>
    <row r="765" ht="15.75" customHeight="1">
      <c r="A765" s="216"/>
      <c r="B765" s="156"/>
      <c r="C765" s="156"/>
      <c r="D765" s="156"/>
      <c r="E765" s="392"/>
      <c r="F765" s="392"/>
      <c r="G765" s="392"/>
      <c r="H765" s="392"/>
      <c r="I765" s="392"/>
      <c r="J765" s="392"/>
      <c r="K765" s="392"/>
      <c r="L765" s="392"/>
      <c r="M765" s="392"/>
      <c r="N765" s="392"/>
      <c r="O765" s="392"/>
      <c r="P765" s="392"/>
      <c r="Q765" s="392"/>
      <c r="R765" s="392"/>
      <c r="S765" s="392"/>
      <c r="T765" s="392"/>
      <c r="U765" s="392"/>
      <c r="V765" s="392"/>
      <c r="W765" s="392"/>
      <c r="X765" s="392"/>
      <c r="Y765" s="392"/>
      <c r="Z765" s="392"/>
      <c r="AA765" s="392"/>
      <c r="AB765" s="392"/>
      <c r="AC765" s="392"/>
      <c r="AD765" s="392"/>
      <c r="AE765" s="392"/>
      <c r="AF765" s="392"/>
      <c r="AG765" s="392"/>
      <c r="AH765" s="392"/>
      <c r="AI765" s="392"/>
      <c r="AJ765" s="392"/>
      <c r="AK765" s="392"/>
      <c r="AL765" s="392"/>
      <c r="AM765" s="392"/>
      <c r="AN765" s="392"/>
      <c r="AO765" s="392"/>
      <c r="AP765" s="392"/>
      <c r="AQ765" s="392"/>
      <c r="AR765" s="392"/>
      <c r="AS765" s="392"/>
      <c r="AT765" s="392"/>
      <c r="AU765" s="392"/>
      <c r="AV765" s="392"/>
      <c r="AW765" s="392"/>
      <c r="AX765" s="392"/>
      <c r="AY765" s="392"/>
      <c r="AZ765" s="392"/>
      <c r="BA765" s="392"/>
      <c r="BB765" s="392"/>
      <c r="BC765" s="392"/>
      <c r="BD765" s="392"/>
      <c r="BE765" s="392"/>
      <c r="BF765" s="392"/>
      <c r="BG765" s="392"/>
      <c r="BH765" s="392"/>
      <c r="BI765" s="392"/>
      <c r="BJ765" s="392"/>
      <c r="BK765" s="392"/>
      <c r="BL765" s="392"/>
      <c r="BM765" s="392"/>
      <c r="BN765" s="392"/>
      <c r="BO765" s="392"/>
      <c r="BP765" s="392"/>
      <c r="BQ765" s="392"/>
      <c r="BR765" s="392"/>
      <c r="BS765" s="392"/>
      <c r="BT765" s="392"/>
    </row>
    <row r="766" ht="15.75" customHeight="1">
      <c r="A766" s="216"/>
      <c r="B766" s="156"/>
      <c r="C766" s="156"/>
      <c r="D766" s="156"/>
      <c r="E766" s="392"/>
      <c r="F766" s="392"/>
      <c r="G766" s="392"/>
      <c r="H766" s="392"/>
      <c r="I766" s="392"/>
      <c r="J766" s="392"/>
      <c r="K766" s="392"/>
      <c r="L766" s="392"/>
      <c r="M766" s="392"/>
      <c r="N766" s="392"/>
      <c r="O766" s="392"/>
      <c r="P766" s="392"/>
      <c r="Q766" s="392"/>
      <c r="R766" s="392"/>
      <c r="S766" s="392"/>
      <c r="T766" s="392"/>
      <c r="U766" s="392"/>
      <c r="V766" s="392"/>
      <c r="W766" s="392"/>
      <c r="X766" s="392"/>
      <c r="Y766" s="392"/>
      <c r="Z766" s="392"/>
      <c r="AA766" s="392"/>
      <c r="AB766" s="392"/>
      <c r="AC766" s="392"/>
      <c r="AD766" s="392"/>
      <c r="AE766" s="392"/>
      <c r="AF766" s="392"/>
      <c r="AG766" s="392"/>
      <c r="AH766" s="392"/>
      <c r="AI766" s="392"/>
      <c r="AJ766" s="392"/>
      <c r="AK766" s="392"/>
      <c r="AL766" s="392"/>
      <c r="AM766" s="392"/>
      <c r="AN766" s="392"/>
      <c r="AO766" s="392"/>
      <c r="AP766" s="392"/>
      <c r="AQ766" s="392"/>
      <c r="AR766" s="392"/>
      <c r="AS766" s="392"/>
      <c r="AT766" s="392"/>
      <c r="AU766" s="392"/>
      <c r="AV766" s="392"/>
      <c r="AW766" s="392"/>
      <c r="AX766" s="392"/>
      <c r="AY766" s="392"/>
      <c r="AZ766" s="392"/>
      <c r="BA766" s="392"/>
      <c r="BB766" s="392"/>
      <c r="BC766" s="392"/>
      <c r="BD766" s="392"/>
      <c r="BE766" s="392"/>
      <c r="BF766" s="392"/>
      <c r="BG766" s="392"/>
      <c r="BH766" s="392"/>
      <c r="BI766" s="392"/>
      <c r="BJ766" s="392"/>
      <c r="BK766" s="392"/>
      <c r="BL766" s="392"/>
      <c r="BM766" s="392"/>
      <c r="BN766" s="392"/>
      <c r="BO766" s="392"/>
      <c r="BP766" s="392"/>
      <c r="BQ766" s="392"/>
      <c r="BR766" s="392"/>
      <c r="BS766" s="392"/>
      <c r="BT766" s="392"/>
    </row>
    <row r="767" ht="15.75" customHeight="1">
      <c r="A767" s="216"/>
      <c r="B767" s="156"/>
      <c r="C767" s="156"/>
      <c r="D767" s="156"/>
      <c r="E767" s="392"/>
      <c r="F767" s="392"/>
      <c r="G767" s="392"/>
      <c r="H767" s="392"/>
      <c r="I767" s="392"/>
      <c r="J767" s="392"/>
      <c r="K767" s="392"/>
      <c r="L767" s="392"/>
      <c r="M767" s="392"/>
      <c r="N767" s="392"/>
      <c r="O767" s="392"/>
      <c r="P767" s="392"/>
      <c r="Q767" s="392"/>
      <c r="R767" s="392"/>
      <c r="S767" s="392"/>
      <c r="T767" s="392"/>
      <c r="U767" s="392"/>
      <c r="V767" s="392"/>
      <c r="W767" s="392"/>
      <c r="X767" s="392"/>
      <c r="Y767" s="392"/>
      <c r="Z767" s="392"/>
      <c r="AA767" s="392"/>
      <c r="AB767" s="392"/>
      <c r="AC767" s="392"/>
      <c r="AD767" s="392"/>
      <c r="AE767" s="392"/>
      <c r="AF767" s="392"/>
      <c r="AG767" s="392"/>
      <c r="AH767" s="392"/>
      <c r="AI767" s="392"/>
      <c r="AJ767" s="392"/>
      <c r="AK767" s="392"/>
      <c r="AL767" s="392"/>
      <c r="AM767" s="392"/>
      <c r="AN767" s="392"/>
      <c r="AO767" s="392"/>
      <c r="AP767" s="392"/>
      <c r="AQ767" s="392"/>
      <c r="AR767" s="392"/>
      <c r="AS767" s="392"/>
      <c r="AT767" s="392"/>
      <c r="AU767" s="392"/>
      <c r="AV767" s="392"/>
      <c r="AW767" s="392"/>
      <c r="AX767" s="392"/>
      <c r="AY767" s="392"/>
      <c r="AZ767" s="392"/>
      <c r="BA767" s="392"/>
      <c r="BB767" s="392"/>
      <c r="BC767" s="392"/>
      <c r="BD767" s="392"/>
      <c r="BE767" s="392"/>
      <c r="BF767" s="392"/>
      <c r="BG767" s="392"/>
      <c r="BH767" s="392"/>
      <c r="BI767" s="392"/>
      <c r="BJ767" s="392"/>
      <c r="BK767" s="392"/>
      <c r="BL767" s="392"/>
      <c r="BM767" s="392"/>
      <c r="BN767" s="392"/>
      <c r="BO767" s="392"/>
      <c r="BP767" s="392"/>
      <c r="BQ767" s="392"/>
      <c r="BR767" s="392"/>
      <c r="BS767" s="392"/>
      <c r="BT767" s="392"/>
    </row>
    <row r="768" ht="15.75" customHeight="1">
      <c r="A768" s="216"/>
      <c r="B768" s="156"/>
      <c r="C768" s="156"/>
      <c r="D768" s="156"/>
      <c r="E768" s="392"/>
      <c r="F768" s="392"/>
      <c r="G768" s="392"/>
      <c r="H768" s="392"/>
      <c r="I768" s="392"/>
      <c r="J768" s="392"/>
      <c r="K768" s="392"/>
      <c r="L768" s="392"/>
      <c r="M768" s="392"/>
      <c r="N768" s="392"/>
      <c r="O768" s="392"/>
      <c r="P768" s="392"/>
      <c r="Q768" s="392"/>
      <c r="R768" s="392"/>
      <c r="S768" s="392"/>
      <c r="T768" s="392"/>
      <c r="U768" s="392"/>
      <c r="V768" s="392"/>
      <c r="W768" s="392"/>
      <c r="X768" s="392"/>
      <c r="Y768" s="392"/>
      <c r="Z768" s="392"/>
      <c r="AA768" s="392"/>
      <c r="AB768" s="392"/>
      <c r="AC768" s="392"/>
      <c r="AD768" s="392"/>
      <c r="AE768" s="392"/>
      <c r="AF768" s="392"/>
      <c r="AG768" s="392"/>
      <c r="AH768" s="392"/>
      <c r="AI768" s="392"/>
      <c r="AJ768" s="392"/>
      <c r="AK768" s="392"/>
      <c r="AL768" s="392"/>
      <c r="AM768" s="392"/>
      <c r="AN768" s="392"/>
      <c r="AO768" s="392"/>
      <c r="AP768" s="392"/>
      <c r="AQ768" s="392"/>
      <c r="AR768" s="392"/>
      <c r="AS768" s="392"/>
      <c r="AT768" s="392"/>
      <c r="AU768" s="392"/>
      <c r="AV768" s="392"/>
      <c r="AW768" s="392"/>
      <c r="AX768" s="392"/>
      <c r="AY768" s="392"/>
      <c r="AZ768" s="392"/>
      <c r="BA768" s="392"/>
      <c r="BB768" s="392"/>
      <c r="BC768" s="392"/>
      <c r="BD768" s="392"/>
      <c r="BE768" s="392"/>
      <c r="BF768" s="392"/>
      <c r="BG768" s="392"/>
      <c r="BH768" s="392"/>
      <c r="BI768" s="392"/>
      <c r="BJ768" s="392"/>
      <c r="BK768" s="392"/>
      <c r="BL768" s="392"/>
      <c r="BM768" s="392"/>
      <c r="BN768" s="392"/>
      <c r="BO768" s="392"/>
      <c r="BP768" s="392"/>
      <c r="BQ768" s="392"/>
      <c r="BR768" s="392"/>
      <c r="BS768" s="392"/>
      <c r="BT768" s="392"/>
    </row>
    <row r="769" ht="15.75" customHeight="1">
      <c r="A769" s="216"/>
      <c r="B769" s="156"/>
      <c r="C769" s="156"/>
      <c r="D769" s="156"/>
      <c r="E769" s="392"/>
      <c r="F769" s="392"/>
      <c r="G769" s="392"/>
      <c r="H769" s="392"/>
      <c r="I769" s="392"/>
      <c r="J769" s="392"/>
      <c r="K769" s="392"/>
      <c r="L769" s="392"/>
      <c r="M769" s="392"/>
      <c r="N769" s="392"/>
      <c r="O769" s="392"/>
      <c r="P769" s="392"/>
      <c r="Q769" s="392"/>
      <c r="R769" s="392"/>
      <c r="S769" s="392"/>
      <c r="T769" s="392"/>
      <c r="U769" s="392"/>
      <c r="V769" s="392"/>
      <c r="W769" s="392"/>
      <c r="X769" s="392"/>
      <c r="Y769" s="392"/>
      <c r="Z769" s="392"/>
      <c r="AA769" s="392"/>
      <c r="AB769" s="392"/>
      <c r="AC769" s="392"/>
      <c r="AD769" s="392"/>
      <c r="AE769" s="392"/>
      <c r="AF769" s="392"/>
      <c r="AG769" s="392"/>
      <c r="AH769" s="392"/>
      <c r="AI769" s="392"/>
      <c r="AJ769" s="392"/>
      <c r="AK769" s="392"/>
      <c r="AL769" s="392"/>
      <c r="AM769" s="392"/>
      <c r="AN769" s="392"/>
      <c r="AO769" s="392"/>
      <c r="AP769" s="392"/>
      <c r="AQ769" s="392"/>
      <c r="AR769" s="392"/>
      <c r="AS769" s="392"/>
      <c r="AT769" s="392"/>
      <c r="AU769" s="392"/>
      <c r="AV769" s="392"/>
      <c r="AW769" s="392"/>
      <c r="AX769" s="392"/>
      <c r="AY769" s="392"/>
      <c r="AZ769" s="392"/>
      <c r="BA769" s="392"/>
      <c r="BB769" s="392"/>
      <c r="BC769" s="392"/>
      <c r="BD769" s="392"/>
      <c r="BE769" s="392"/>
      <c r="BF769" s="392"/>
      <c r="BG769" s="392"/>
      <c r="BH769" s="392"/>
      <c r="BI769" s="392"/>
      <c r="BJ769" s="392"/>
      <c r="BK769" s="392"/>
      <c r="BL769" s="392"/>
      <c r="BM769" s="392"/>
      <c r="BN769" s="392"/>
      <c r="BO769" s="392"/>
      <c r="BP769" s="392"/>
      <c r="BQ769" s="392"/>
      <c r="BR769" s="392"/>
      <c r="BS769" s="392"/>
      <c r="BT769" s="392"/>
    </row>
    <row r="770" ht="15.75" customHeight="1">
      <c r="A770" s="216"/>
      <c r="B770" s="156"/>
      <c r="C770" s="156"/>
      <c r="D770" s="156"/>
      <c r="E770" s="392"/>
      <c r="F770" s="392"/>
      <c r="G770" s="392"/>
      <c r="H770" s="392"/>
      <c r="I770" s="392"/>
      <c r="J770" s="392"/>
      <c r="K770" s="392"/>
      <c r="L770" s="392"/>
      <c r="M770" s="392"/>
      <c r="N770" s="392"/>
      <c r="O770" s="392"/>
      <c r="P770" s="392"/>
      <c r="Q770" s="392"/>
      <c r="R770" s="392"/>
      <c r="S770" s="392"/>
      <c r="T770" s="392"/>
      <c r="U770" s="392"/>
      <c r="V770" s="392"/>
      <c r="W770" s="392"/>
      <c r="X770" s="392"/>
      <c r="Y770" s="392"/>
      <c r="Z770" s="392"/>
      <c r="AA770" s="392"/>
      <c r="AB770" s="392"/>
      <c r="AC770" s="392"/>
      <c r="AD770" s="392"/>
      <c r="AE770" s="392"/>
      <c r="AF770" s="392"/>
      <c r="AG770" s="392"/>
      <c r="AH770" s="392"/>
      <c r="AI770" s="392"/>
      <c r="AJ770" s="392"/>
      <c r="AK770" s="392"/>
      <c r="AL770" s="392"/>
      <c r="AM770" s="392"/>
      <c r="AN770" s="392"/>
      <c r="AO770" s="392"/>
      <c r="AP770" s="392"/>
      <c r="AQ770" s="392"/>
      <c r="AR770" s="392"/>
      <c r="AS770" s="392"/>
      <c r="AT770" s="392"/>
      <c r="AU770" s="392"/>
      <c r="AV770" s="392"/>
      <c r="AW770" s="392"/>
      <c r="AX770" s="392"/>
      <c r="AY770" s="392"/>
      <c r="AZ770" s="392"/>
      <c r="BA770" s="392"/>
      <c r="BB770" s="392"/>
      <c r="BC770" s="392"/>
      <c r="BD770" s="392"/>
      <c r="BE770" s="392"/>
      <c r="BF770" s="392"/>
      <c r="BG770" s="392"/>
      <c r="BH770" s="392"/>
      <c r="BI770" s="392"/>
      <c r="BJ770" s="392"/>
      <c r="BK770" s="392"/>
      <c r="BL770" s="392"/>
      <c r="BM770" s="392"/>
      <c r="BN770" s="392"/>
      <c r="BO770" s="392"/>
      <c r="BP770" s="392"/>
      <c r="BQ770" s="392"/>
      <c r="BR770" s="392"/>
      <c r="BS770" s="392"/>
      <c r="BT770" s="392"/>
    </row>
    <row r="771" ht="15.75" customHeight="1">
      <c r="A771" s="216"/>
      <c r="B771" s="156"/>
      <c r="C771" s="156"/>
      <c r="D771" s="156"/>
      <c r="E771" s="392"/>
      <c r="F771" s="392"/>
      <c r="G771" s="392"/>
      <c r="H771" s="392"/>
      <c r="I771" s="392"/>
      <c r="J771" s="392"/>
      <c r="K771" s="392"/>
      <c r="L771" s="392"/>
      <c r="M771" s="392"/>
      <c r="N771" s="392"/>
      <c r="O771" s="392"/>
      <c r="P771" s="392"/>
      <c r="Q771" s="392"/>
      <c r="R771" s="392"/>
      <c r="S771" s="392"/>
      <c r="T771" s="392"/>
      <c r="U771" s="392"/>
      <c r="V771" s="392"/>
      <c r="W771" s="392"/>
      <c r="X771" s="392"/>
      <c r="Y771" s="392"/>
      <c r="Z771" s="392"/>
      <c r="AA771" s="392"/>
      <c r="AB771" s="392"/>
      <c r="AC771" s="392"/>
      <c r="AD771" s="392"/>
      <c r="AE771" s="392"/>
      <c r="AF771" s="392"/>
      <c r="AG771" s="392"/>
      <c r="AH771" s="392"/>
      <c r="AI771" s="392"/>
      <c r="AJ771" s="392"/>
      <c r="AK771" s="392"/>
      <c r="AL771" s="392"/>
      <c r="AM771" s="392"/>
      <c r="AN771" s="392"/>
      <c r="AO771" s="392"/>
      <c r="AP771" s="392"/>
      <c r="AQ771" s="392"/>
      <c r="AR771" s="392"/>
      <c r="AS771" s="392"/>
      <c r="AT771" s="392"/>
      <c r="AU771" s="392"/>
      <c r="AV771" s="392"/>
      <c r="AW771" s="392"/>
      <c r="AX771" s="392"/>
      <c r="AY771" s="392"/>
      <c r="AZ771" s="392"/>
      <c r="BA771" s="392"/>
      <c r="BB771" s="392"/>
      <c r="BC771" s="392"/>
      <c r="BD771" s="392"/>
      <c r="BE771" s="392"/>
      <c r="BF771" s="392"/>
      <c r="BG771" s="392"/>
      <c r="BH771" s="392"/>
      <c r="BI771" s="392"/>
      <c r="BJ771" s="392"/>
      <c r="BK771" s="392"/>
      <c r="BL771" s="392"/>
      <c r="BM771" s="392"/>
      <c r="BN771" s="392"/>
      <c r="BO771" s="392"/>
      <c r="BP771" s="392"/>
      <c r="BQ771" s="392"/>
      <c r="BR771" s="392"/>
      <c r="BS771" s="392"/>
      <c r="BT771" s="392"/>
    </row>
    <row r="772" ht="15.75" customHeight="1">
      <c r="A772" s="216"/>
      <c r="B772" s="156"/>
      <c r="C772" s="156"/>
      <c r="D772" s="156"/>
      <c r="E772" s="392"/>
      <c r="F772" s="392"/>
      <c r="G772" s="392"/>
      <c r="H772" s="392"/>
      <c r="I772" s="392"/>
      <c r="J772" s="392"/>
      <c r="K772" s="392"/>
      <c r="L772" s="392"/>
      <c r="M772" s="392"/>
      <c r="N772" s="392"/>
      <c r="O772" s="392"/>
      <c r="P772" s="392"/>
      <c r="Q772" s="392"/>
      <c r="R772" s="392"/>
      <c r="S772" s="392"/>
      <c r="T772" s="392"/>
      <c r="U772" s="392"/>
      <c r="V772" s="392"/>
      <c r="W772" s="392"/>
      <c r="X772" s="392"/>
      <c r="Y772" s="392"/>
      <c r="Z772" s="392"/>
      <c r="AA772" s="392"/>
      <c r="AB772" s="392"/>
      <c r="AC772" s="392"/>
      <c r="AD772" s="392"/>
      <c r="AE772" s="392"/>
      <c r="AF772" s="392"/>
      <c r="AG772" s="392"/>
      <c r="AH772" s="392"/>
      <c r="AI772" s="392"/>
      <c r="AJ772" s="392"/>
      <c r="AK772" s="392"/>
      <c r="AL772" s="392"/>
      <c r="AM772" s="392"/>
      <c r="AN772" s="392"/>
      <c r="AO772" s="392"/>
      <c r="AP772" s="392"/>
      <c r="AQ772" s="392"/>
      <c r="AR772" s="392"/>
      <c r="AS772" s="392"/>
      <c r="AT772" s="392"/>
      <c r="AU772" s="392"/>
      <c r="AV772" s="392"/>
      <c r="AW772" s="392"/>
      <c r="AX772" s="392"/>
      <c r="AY772" s="392"/>
      <c r="AZ772" s="392"/>
      <c r="BA772" s="392"/>
      <c r="BB772" s="392"/>
      <c r="BC772" s="392"/>
      <c r="BD772" s="392"/>
      <c r="BE772" s="392"/>
      <c r="BF772" s="392"/>
      <c r="BG772" s="392"/>
      <c r="BH772" s="392"/>
      <c r="BI772" s="392"/>
      <c r="BJ772" s="392"/>
      <c r="BK772" s="392"/>
      <c r="BL772" s="392"/>
      <c r="BM772" s="392"/>
      <c r="BN772" s="392"/>
      <c r="BO772" s="392"/>
      <c r="BP772" s="392"/>
      <c r="BQ772" s="392"/>
      <c r="BR772" s="392"/>
      <c r="BS772" s="392"/>
      <c r="BT772" s="392"/>
    </row>
    <row r="773" ht="15.75" customHeight="1">
      <c r="A773" s="216"/>
      <c r="B773" s="156"/>
      <c r="C773" s="156"/>
      <c r="D773" s="156"/>
      <c r="E773" s="392"/>
      <c r="F773" s="392"/>
      <c r="G773" s="392"/>
      <c r="H773" s="392"/>
      <c r="I773" s="392"/>
      <c r="J773" s="392"/>
      <c r="K773" s="392"/>
      <c r="L773" s="392"/>
      <c r="M773" s="392"/>
      <c r="N773" s="392"/>
      <c r="O773" s="392"/>
      <c r="P773" s="392"/>
      <c r="Q773" s="392"/>
      <c r="R773" s="392"/>
      <c r="S773" s="392"/>
      <c r="T773" s="392"/>
      <c r="U773" s="392"/>
      <c r="V773" s="392"/>
      <c r="W773" s="392"/>
      <c r="X773" s="392"/>
      <c r="Y773" s="392"/>
      <c r="Z773" s="392"/>
      <c r="AA773" s="392"/>
      <c r="AB773" s="392"/>
      <c r="AC773" s="392"/>
      <c r="AD773" s="392"/>
      <c r="AE773" s="392"/>
      <c r="AF773" s="392"/>
      <c r="AG773" s="392"/>
      <c r="AH773" s="392"/>
      <c r="AI773" s="392"/>
      <c r="AJ773" s="392"/>
      <c r="AK773" s="392"/>
      <c r="AL773" s="392"/>
      <c r="AM773" s="392"/>
      <c r="AN773" s="392"/>
      <c r="AO773" s="392"/>
      <c r="AP773" s="392"/>
      <c r="AQ773" s="392"/>
      <c r="AR773" s="392"/>
      <c r="AS773" s="392"/>
      <c r="AT773" s="392"/>
      <c r="AU773" s="392"/>
      <c r="AV773" s="392"/>
      <c r="AW773" s="392"/>
      <c r="AX773" s="392"/>
      <c r="AY773" s="392"/>
      <c r="AZ773" s="392"/>
      <c r="BA773" s="392"/>
      <c r="BB773" s="392"/>
      <c r="BC773" s="392"/>
      <c r="BD773" s="392"/>
      <c r="BE773" s="392"/>
      <c r="BF773" s="392"/>
      <c r="BG773" s="392"/>
      <c r="BH773" s="392"/>
      <c r="BI773" s="392"/>
      <c r="BJ773" s="392"/>
      <c r="BK773" s="392"/>
      <c r="BL773" s="392"/>
      <c r="BM773" s="392"/>
      <c r="BN773" s="392"/>
      <c r="BO773" s="392"/>
      <c r="BP773" s="392"/>
      <c r="BQ773" s="392"/>
      <c r="BR773" s="392"/>
      <c r="BS773" s="392"/>
      <c r="BT773" s="392"/>
    </row>
    <row r="774" ht="15.75" customHeight="1">
      <c r="A774" s="216"/>
      <c r="B774" s="156"/>
      <c r="C774" s="156"/>
      <c r="D774" s="156"/>
      <c r="E774" s="392"/>
      <c r="F774" s="392"/>
      <c r="G774" s="392"/>
      <c r="H774" s="392"/>
      <c r="I774" s="392"/>
      <c r="J774" s="392"/>
      <c r="K774" s="392"/>
      <c r="L774" s="392"/>
      <c r="M774" s="392"/>
      <c r="N774" s="392"/>
      <c r="O774" s="392"/>
      <c r="P774" s="392"/>
      <c r="Q774" s="392"/>
      <c r="R774" s="392"/>
      <c r="S774" s="392"/>
      <c r="T774" s="392"/>
      <c r="U774" s="392"/>
      <c r="V774" s="392"/>
      <c r="W774" s="392"/>
      <c r="X774" s="392"/>
      <c r="Y774" s="392"/>
      <c r="Z774" s="392"/>
      <c r="AA774" s="392"/>
      <c r="AB774" s="392"/>
      <c r="AC774" s="392"/>
      <c r="AD774" s="392"/>
      <c r="AE774" s="392"/>
      <c r="AF774" s="392"/>
      <c r="AG774" s="392"/>
      <c r="AH774" s="392"/>
      <c r="AI774" s="392"/>
      <c r="AJ774" s="392"/>
      <c r="AK774" s="392"/>
      <c r="AL774" s="392"/>
      <c r="AM774" s="392"/>
      <c r="AN774" s="392"/>
      <c r="AO774" s="392"/>
      <c r="AP774" s="392"/>
      <c r="AQ774" s="392"/>
      <c r="AR774" s="392"/>
      <c r="AS774" s="392"/>
      <c r="AT774" s="392"/>
      <c r="AU774" s="392"/>
      <c r="AV774" s="392"/>
      <c r="AW774" s="392"/>
      <c r="AX774" s="392"/>
      <c r="AY774" s="392"/>
      <c r="AZ774" s="392"/>
      <c r="BA774" s="392"/>
      <c r="BB774" s="392"/>
      <c r="BC774" s="392"/>
      <c r="BD774" s="392"/>
      <c r="BE774" s="392"/>
      <c r="BF774" s="392"/>
      <c r="BG774" s="392"/>
      <c r="BH774" s="392"/>
      <c r="BI774" s="392"/>
      <c r="BJ774" s="392"/>
      <c r="BK774" s="392"/>
      <c r="BL774" s="392"/>
      <c r="BM774" s="392"/>
      <c r="BN774" s="392"/>
      <c r="BO774" s="392"/>
      <c r="BP774" s="392"/>
      <c r="BQ774" s="392"/>
      <c r="BR774" s="392"/>
      <c r="BS774" s="392"/>
      <c r="BT774" s="392"/>
    </row>
    <row r="775" ht="15.75" customHeight="1">
      <c r="A775" s="216"/>
      <c r="B775" s="156"/>
      <c r="C775" s="156"/>
      <c r="D775" s="156"/>
      <c r="E775" s="392"/>
      <c r="F775" s="392"/>
      <c r="G775" s="392"/>
      <c r="H775" s="392"/>
      <c r="I775" s="392"/>
      <c r="J775" s="392"/>
      <c r="K775" s="392"/>
      <c r="L775" s="392"/>
      <c r="M775" s="392"/>
      <c r="N775" s="392"/>
      <c r="O775" s="392"/>
      <c r="P775" s="392"/>
      <c r="Q775" s="392"/>
      <c r="R775" s="392"/>
      <c r="S775" s="392"/>
      <c r="T775" s="392"/>
      <c r="U775" s="392"/>
      <c r="V775" s="392"/>
      <c r="W775" s="392"/>
      <c r="X775" s="392"/>
      <c r="Y775" s="392"/>
      <c r="Z775" s="392"/>
      <c r="AA775" s="392"/>
      <c r="AB775" s="392"/>
      <c r="AC775" s="392"/>
      <c r="AD775" s="392"/>
      <c r="AE775" s="392"/>
      <c r="AF775" s="392"/>
      <c r="AG775" s="392"/>
      <c r="AH775" s="392"/>
      <c r="AI775" s="392"/>
      <c r="AJ775" s="392"/>
      <c r="AK775" s="392"/>
      <c r="AL775" s="392"/>
      <c r="AM775" s="392"/>
      <c r="AN775" s="392"/>
      <c r="AO775" s="392"/>
      <c r="AP775" s="392"/>
      <c r="AQ775" s="392"/>
      <c r="AR775" s="392"/>
      <c r="AS775" s="392"/>
      <c r="AT775" s="392"/>
      <c r="AU775" s="392"/>
      <c r="AV775" s="392"/>
      <c r="AW775" s="392"/>
      <c r="AX775" s="392"/>
      <c r="AY775" s="392"/>
      <c r="AZ775" s="392"/>
      <c r="BA775" s="392"/>
      <c r="BB775" s="392"/>
      <c r="BC775" s="392"/>
      <c r="BD775" s="392"/>
      <c r="BE775" s="392"/>
      <c r="BF775" s="392"/>
      <c r="BG775" s="392"/>
      <c r="BH775" s="392"/>
      <c r="BI775" s="392"/>
      <c r="BJ775" s="392"/>
      <c r="BK775" s="392"/>
      <c r="BL775" s="392"/>
      <c r="BM775" s="392"/>
      <c r="BN775" s="392"/>
      <c r="BO775" s="392"/>
      <c r="BP775" s="392"/>
      <c r="BQ775" s="392"/>
      <c r="BR775" s="392"/>
      <c r="BS775" s="392"/>
      <c r="BT775" s="392"/>
    </row>
    <row r="776" ht="15.75" customHeight="1">
      <c r="A776" s="216"/>
      <c r="B776" s="156"/>
      <c r="C776" s="156"/>
      <c r="D776" s="156"/>
      <c r="E776" s="392"/>
      <c r="F776" s="392"/>
      <c r="G776" s="392"/>
      <c r="H776" s="392"/>
      <c r="I776" s="392"/>
      <c r="J776" s="392"/>
      <c r="K776" s="392"/>
      <c r="L776" s="392"/>
      <c r="M776" s="392"/>
      <c r="N776" s="392"/>
      <c r="O776" s="392"/>
      <c r="P776" s="392"/>
      <c r="Q776" s="392"/>
      <c r="R776" s="392"/>
      <c r="S776" s="392"/>
      <c r="T776" s="392"/>
      <c r="U776" s="392"/>
      <c r="V776" s="392"/>
      <c r="W776" s="392"/>
      <c r="X776" s="392"/>
      <c r="Y776" s="392"/>
      <c r="Z776" s="392"/>
      <c r="AA776" s="392"/>
      <c r="AB776" s="392"/>
      <c r="AC776" s="392"/>
      <c r="AD776" s="392"/>
      <c r="AE776" s="392"/>
      <c r="AF776" s="392"/>
      <c r="AG776" s="392"/>
      <c r="AH776" s="392"/>
      <c r="AI776" s="392"/>
      <c r="AJ776" s="392"/>
      <c r="AK776" s="392"/>
      <c r="AL776" s="392"/>
      <c r="AM776" s="392"/>
      <c r="AN776" s="392"/>
      <c r="AO776" s="392"/>
      <c r="AP776" s="392"/>
      <c r="AQ776" s="392"/>
      <c r="AR776" s="392"/>
      <c r="AS776" s="392"/>
      <c r="AT776" s="392"/>
      <c r="AU776" s="392"/>
      <c r="AV776" s="392"/>
      <c r="AW776" s="392"/>
      <c r="AX776" s="392"/>
      <c r="AY776" s="392"/>
      <c r="AZ776" s="392"/>
      <c r="BA776" s="392"/>
      <c r="BB776" s="392"/>
      <c r="BC776" s="392"/>
      <c r="BD776" s="392"/>
      <c r="BE776" s="392"/>
      <c r="BF776" s="392"/>
      <c r="BG776" s="392"/>
      <c r="BH776" s="392"/>
      <c r="BI776" s="392"/>
      <c r="BJ776" s="392"/>
      <c r="BK776" s="392"/>
      <c r="BL776" s="392"/>
      <c r="BM776" s="392"/>
      <c r="BN776" s="392"/>
      <c r="BO776" s="392"/>
      <c r="BP776" s="392"/>
      <c r="BQ776" s="392"/>
      <c r="BR776" s="392"/>
      <c r="BS776" s="392"/>
      <c r="BT776" s="392"/>
    </row>
    <row r="777" ht="15.75" customHeight="1">
      <c r="A777" s="216"/>
      <c r="B777" s="156"/>
      <c r="C777" s="156"/>
      <c r="D777" s="156"/>
      <c r="E777" s="392"/>
      <c r="F777" s="392"/>
      <c r="G777" s="392"/>
      <c r="H777" s="392"/>
      <c r="I777" s="392"/>
      <c r="J777" s="392"/>
      <c r="K777" s="392"/>
      <c r="L777" s="392"/>
      <c r="M777" s="392"/>
      <c r="N777" s="392"/>
      <c r="O777" s="392"/>
      <c r="P777" s="392"/>
      <c r="Q777" s="392"/>
      <c r="R777" s="392"/>
      <c r="S777" s="392"/>
      <c r="T777" s="392"/>
      <c r="U777" s="392"/>
      <c r="V777" s="392"/>
      <c r="W777" s="392"/>
      <c r="X777" s="392"/>
      <c r="Y777" s="392"/>
      <c r="Z777" s="392"/>
      <c r="AA777" s="392"/>
      <c r="AB777" s="392"/>
      <c r="AC777" s="392"/>
      <c r="AD777" s="392"/>
      <c r="AE777" s="392"/>
      <c r="AF777" s="392"/>
      <c r="AG777" s="392"/>
      <c r="AH777" s="392"/>
      <c r="AI777" s="392"/>
      <c r="AJ777" s="392"/>
      <c r="AK777" s="392"/>
      <c r="AL777" s="392"/>
      <c r="AM777" s="392"/>
      <c r="AN777" s="392"/>
      <c r="AO777" s="392"/>
      <c r="AP777" s="392"/>
      <c r="AQ777" s="392"/>
      <c r="AR777" s="392"/>
      <c r="AS777" s="392"/>
      <c r="AT777" s="392"/>
      <c r="AU777" s="392"/>
      <c r="AV777" s="392"/>
      <c r="AW777" s="392"/>
      <c r="AX777" s="392"/>
      <c r="AY777" s="392"/>
      <c r="AZ777" s="392"/>
      <c r="BA777" s="392"/>
      <c r="BB777" s="392"/>
      <c r="BC777" s="392"/>
      <c r="BD777" s="392"/>
      <c r="BE777" s="392"/>
      <c r="BF777" s="392"/>
      <c r="BG777" s="392"/>
      <c r="BH777" s="392"/>
      <c r="BI777" s="392"/>
      <c r="BJ777" s="392"/>
      <c r="BK777" s="392"/>
      <c r="BL777" s="392"/>
      <c r="BM777" s="392"/>
      <c r="BN777" s="392"/>
      <c r="BO777" s="392"/>
      <c r="BP777" s="392"/>
      <c r="BQ777" s="392"/>
      <c r="BR777" s="392"/>
      <c r="BS777" s="392"/>
      <c r="BT777" s="392"/>
    </row>
    <row r="778" ht="15.75" customHeight="1">
      <c r="A778" s="216"/>
      <c r="B778" s="156"/>
      <c r="C778" s="156"/>
      <c r="D778" s="156"/>
      <c r="E778" s="392"/>
      <c r="F778" s="392"/>
      <c r="G778" s="392"/>
      <c r="H778" s="392"/>
      <c r="I778" s="392"/>
      <c r="J778" s="392"/>
      <c r="K778" s="392"/>
      <c r="L778" s="392"/>
      <c r="M778" s="392"/>
      <c r="N778" s="392"/>
      <c r="O778" s="392"/>
      <c r="P778" s="392"/>
      <c r="Q778" s="392"/>
      <c r="R778" s="392"/>
      <c r="S778" s="392"/>
      <c r="T778" s="392"/>
      <c r="U778" s="392"/>
      <c r="V778" s="392"/>
      <c r="W778" s="392"/>
      <c r="X778" s="392"/>
      <c r="Y778" s="392"/>
      <c r="Z778" s="392"/>
      <c r="AA778" s="392"/>
      <c r="AB778" s="392"/>
      <c r="AC778" s="392"/>
      <c r="AD778" s="392"/>
      <c r="AE778" s="392"/>
      <c r="AF778" s="392"/>
      <c r="AG778" s="392"/>
      <c r="AH778" s="392"/>
      <c r="AI778" s="392"/>
      <c r="AJ778" s="392"/>
      <c r="AK778" s="392"/>
      <c r="AL778" s="392"/>
      <c r="AM778" s="392"/>
      <c r="AN778" s="392"/>
      <c r="AO778" s="392"/>
      <c r="AP778" s="392"/>
      <c r="AQ778" s="392"/>
      <c r="AR778" s="392"/>
      <c r="AS778" s="392"/>
      <c r="AT778" s="392"/>
      <c r="AU778" s="392"/>
      <c r="AV778" s="392"/>
      <c r="AW778" s="392"/>
      <c r="AX778" s="392"/>
      <c r="AY778" s="392"/>
      <c r="AZ778" s="392"/>
      <c r="BA778" s="392"/>
      <c r="BB778" s="392"/>
      <c r="BC778" s="392"/>
      <c r="BD778" s="392"/>
      <c r="BE778" s="392"/>
      <c r="BF778" s="392"/>
      <c r="BG778" s="392"/>
      <c r="BH778" s="392"/>
      <c r="BI778" s="392"/>
      <c r="BJ778" s="392"/>
      <c r="BK778" s="392"/>
      <c r="BL778" s="392"/>
      <c r="BM778" s="392"/>
      <c r="BN778" s="392"/>
      <c r="BO778" s="392"/>
      <c r="BP778" s="392"/>
      <c r="BQ778" s="392"/>
      <c r="BR778" s="392"/>
      <c r="BS778" s="392"/>
      <c r="BT778" s="392"/>
    </row>
    <row r="779" ht="15.75" customHeight="1">
      <c r="A779" s="216"/>
      <c r="B779" s="156"/>
      <c r="C779" s="156"/>
      <c r="D779" s="156"/>
      <c r="E779" s="392"/>
      <c r="F779" s="392"/>
      <c r="G779" s="392"/>
      <c r="H779" s="392"/>
      <c r="I779" s="392"/>
      <c r="J779" s="392"/>
      <c r="K779" s="392"/>
      <c r="L779" s="392"/>
      <c r="M779" s="392"/>
      <c r="N779" s="392"/>
      <c r="O779" s="392"/>
      <c r="P779" s="392"/>
      <c r="Q779" s="392"/>
      <c r="R779" s="392"/>
      <c r="S779" s="392"/>
      <c r="T779" s="392"/>
      <c r="U779" s="392"/>
      <c r="V779" s="392"/>
      <c r="W779" s="392"/>
      <c r="X779" s="392"/>
      <c r="Y779" s="392"/>
      <c r="Z779" s="392"/>
      <c r="AA779" s="392"/>
      <c r="AB779" s="392"/>
      <c r="AC779" s="392"/>
      <c r="AD779" s="392"/>
      <c r="AE779" s="392"/>
      <c r="AF779" s="392"/>
      <c r="AG779" s="392"/>
      <c r="AH779" s="392"/>
      <c r="AI779" s="392"/>
      <c r="AJ779" s="392"/>
      <c r="AK779" s="392"/>
      <c r="AL779" s="392"/>
      <c r="AM779" s="392"/>
      <c r="AN779" s="392"/>
      <c r="AO779" s="392"/>
      <c r="AP779" s="392"/>
      <c r="AQ779" s="392"/>
      <c r="AR779" s="392"/>
      <c r="AS779" s="392"/>
      <c r="AT779" s="392"/>
      <c r="AU779" s="392"/>
      <c r="AV779" s="392"/>
      <c r="AW779" s="392"/>
      <c r="AX779" s="392"/>
      <c r="AY779" s="392"/>
      <c r="AZ779" s="392"/>
      <c r="BA779" s="392"/>
      <c r="BB779" s="392"/>
      <c r="BC779" s="392"/>
      <c r="BD779" s="392"/>
      <c r="BE779" s="392"/>
      <c r="BF779" s="392"/>
      <c r="BG779" s="392"/>
      <c r="BH779" s="392"/>
      <c r="BI779" s="392"/>
      <c r="BJ779" s="392"/>
      <c r="BK779" s="392"/>
      <c r="BL779" s="392"/>
      <c r="BM779" s="392"/>
      <c r="BN779" s="392"/>
      <c r="BO779" s="392"/>
      <c r="BP779" s="392"/>
      <c r="BQ779" s="392"/>
      <c r="BR779" s="392"/>
      <c r="BS779" s="392"/>
      <c r="BT779" s="392"/>
    </row>
    <row r="780" ht="15.75" customHeight="1">
      <c r="A780" s="216"/>
      <c r="B780" s="156"/>
      <c r="C780" s="156"/>
      <c r="D780" s="156"/>
      <c r="E780" s="392"/>
      <c r="F780" s="392"/>
      <c r="G780" s="392"/>
      <c r="H780" s="392"/>
      <c r="I780" s="392"/>
      <c r="J780" s="392"/>
      <c r="K780" s="392"/>
      <c r="L780" s="392"/>
      <c r="M780" s="392"/>
      <c r="N780" s="392"/>
      <c r="O780" s="392"/>
      <c r="P780" s="392"/>
      <c r="Q780" s="392"/>
      <c r="R780" s="392"/>
      <c r="S780" s="392"/>
      <c r="T780" s="392"/>
      <c r="U780" s="392"/>
      <c r="V780" s="392"/>
      <c r="W780" s="392"/>
      <c r="X780" s="392"/>
      <c r="Y780" s="392"/>
      <c r="Z780" s="392"/>
      <c r="AA780" s="392"/>
      <c r="AB780" s="392"/>
      <c r="AC780" s="392"/>
      <c r="AD780" s="392"/>
      <c r="AE780" s="392"/>
      <c r="AF780" s="392"/>
      <c r="AG780" s="392"/>
      <c r="AH780" s="392"/>
      <c r="AI780" s="392"/>
      <c r="AJ780" s="392"/>
      <c r="AK780" s="392"/>
      <c r="AL780" s="392"/>
      <c r="AM780" s="392"/>
      <c r="AN780" s="392"/>
      <c r="AO780" s="392"/>
      <c r="AP780" s="392"/>
      <c r="AQ780" s="392"/>
      <c r="AR780" s="392"/>
      <c r="AS780" s="392"/>
      <c r="AT780" s="392"/>
      <c r="AU780" s="392"/>
      <c r="AV780" s="392"/>
      <c r="AW780" s="392"/>
      <c r="AX780" s="392"/>
      <c r="AY780" s="392"/>
      <c r="AZ780" s="392"/>
      <c r="BA780" s="392"/>
      <c r="BB780" s="392"/>
      <c r="BC780" s="392"/>
      <c r="BD780" s="392"/>
      <c r="BE780" s="392"/>
      <c r="BF780" s="392"/>
      <c r="BG780" s="392"/>
      <c r="BH780" s="392"/>
      <c r="BI780" s="392"/>
      <c r="BJ780" s="392"/>
      <c r="BK780" s="392"/>
      <c r="BL780" s="392"/>
      <c r="BM780" s="392"/>
      <c r="BN780" s="392"/>
      <c r="BO780" s="392"/>
      <c r="BP780" s="392"/>
      <c r="BQ780" s="392"/>
      <c r="BR780" s="392"/>
      <c r="BS780" s="392"/>
      <c r="BT780" s="392"/>
    </row>
    <row r="781" ht="15.75" customHeight="1">
      <c r="A781" s="216"/>
      <c r="B781" s="156"/>
      <c r="C781" s="156"/>
      <c r="D781" s="156"/>
      <c r="E781" s="392"/>
      <c r="F781" s="392"/>
      <c r="G781" s="392"/>
      <c r="H781" s="392"/>
      <c r="I781" s="392"/>
      <c r="J781" s="392"/>
      <c r="K781" s="392"/>
      <c r="L781" s="392"/>
      <c r="M781" s="392"/>
      <c r="N781" s="392"/>
      <c r="O781" s="392"/>
      <c r="P781" s="392"/>
      <c r="Q781" s="392"/>
      <c r="R781" s="392"/>
      <c r="S781" s="392"/>
      <c r="T781" s="392"/>
      <c r="U781" s="392"/>
      <c r="V781" s="392"/>
      <c r="W781" s="392"/>
      <c r="X781" s="392"/>
      <c r="Y781" s="392"/>
      <c r="Z781" s="392"/>
      <c r="AA781" s="392"/>
      <c r="AB781" s="392"/>
      <c r="AC781" s="392"/>
      <c r="AD781" s="392"/>
      <c r="AE781" s="392"/>
      <c r="AF781" s="392"/>
      <c r="AG781" s="392"/>
      <c r="AH781" s="392"/>
      <c r="AI781" s="392"/>
      <c r="AJ781" s="392"/>
      <c r="AK781" s="392"/>
      <c r="AL781" s="392"/>
      <c r="AM781" s="392"/>
      <c r="AN781" s="392"/>
      <c r="AO781" s="392"/>
      <c r="AP781" s="392"/>
      <c r="AQ781" s="392"/>
      <c r="AR781" s="392"/>
      <c r="AS781" s="392"/>
      <c r="AT781" s="392"/>
      <c r="AU781" s="392"/>
      <c r="AV781" s="392"/>
      <c r="AW781" s="392"/>
      <c r="AX781" s="392"/>
      <c r="AY781" s="392"/>
      <c r="AZ781" s="392"/>
      <c r="BA781" s="392"/>
      <c r="BB781" s="392"/>
      <c r="BC781" s="392"/>
      <c r="BD781" s="392"/>
      <c r="BE781" s="392"/>
      <c r="BF781" s="392"/>
      <c r="BG781" s="392"/>
      <c r="BH781" s="392"/>
      <c r="BI781" s="392"/>
      <c r="BJ781" s="392"/>
      <c r="BK781" s="392"/>
      <c r="BL781" s="392"/>
      <c r="BM781" s="392"/>
      <c r="BN781" s="392"/>
      <c r="BO781" s="392"/>
      <c r="BP781" s="392"/>
      <c r="BQ781" s="392"/>
      <c r="BR781" s="392"/>
      <c r="BS781" s="392"/>
      <c r="BT781" s="392"/>
    </row>
    <row r="782" ht="15.75" customHeight="1">
      <c r="A782" s="216"/>
      <c r="B782" s="156"/>
      <c r="C782" s="156"/>
      <c r="D782" s="156"/>
      <c r="E782" s="392"/>
      <c r="F782" s="392"/>
      <c r="G782" s="392"/>
      <c r="H782" s="392"/>
      <c r="I782" s="392"/>
      <c r="J782" s="392"/>
      <c r="K782" s="392"/>
      <c r="L782" s="392"/>
      <c r="M782" s="392"/>
      <c r="N782" s="392"/>
      <c r="O782" s="392"/>
      <c r="P782" s="392"/>
      <c r="Q782" s="392"/>
      <c r="R782" s="392"/>
      <c r="S782" s="392"/>
      <c r="T782" s="392"/>
      <c r="U782" s="392"/>
      <c r="V782" s="392"/>
      <c r="W782" s="392"/>
      <c r="X782" s="392"/>
      <c r="Y782" s="392"/>
      <c r="Z782" s="392"/>
      <c r="AA782" s="392"/>
      <c r="AB782" s="392"/>
      <c r="AC782" s="392"/>
      <c r="AD782" s="392"/>
      <c r="AE782" s="392"/>
      <c r="AF782" s="392"/>
      <c r="AG782" s="392"/>
      <c r="AH782" s="392"/>
      <c r="AI782" s="392"/>
      <c r="AJ782" s="392"/>
      <c r="AK782" s="392"/>
      <c r="AL782" s="392"/>
      <c r="AM782" s="392"/>
      <c r="AN782" s="392"/>
      <c r="AO782" s="392"/>
      <c r="AP782" s="392"/>
      <c r="AQ782" s="392"/>
      <c r="AR782" s="392"/>
      <c r="AS782" s="392"/>
      <c r="AT782" s="392"/>
      <c r="AU782" s="392"/>
      <c r="AV782" s="392"/>
      <c r="AW782" s="392"/>
      <c r="AX782" s="392"/>
      <c r="AY782" s="392"/>
      <c r="AZ782" s="392"/>
      <c r="BA782" s="392"/>
      <c r="BB782" s="392"/>
      <c r="BC782" s="392"/>
      <c r="BD782" s="392"/>
      <c r="BE782" s="392"/>
      <c r="BF782" s="392"/>
      <c r="BG782" s="392"/>
      <c r="BH782" s="392"/>
      <c r="BI782" s="392"/>
      <c r="BJ782" s="392"/>
      <c r="BK782" s="392"/>
      <c r="BL782" s="392"/>
      <c r="BM782" s="392"/>
      <c r="BN782" s="392"/>
      <c r="BO782" s="392"/>
      <c r="BP782" s="392"/>
      <c r="BQ782" s="392"/>
      <c r="BR782" s="392"/>
      <c r="BS782" s="392"/>
      <c r="BT782" s="392"/>
    </row>
    <row r="783" ht="15.75" customHeight="1">
      <c r="A783" s="216"/>
      <c r="B783" s="156"/>
      <c r="C783" s="156"/>
      <c r="D783" s="156"/>
      <c r="E783" s="392"/>
      <c r="F783" s="392"/>
      <c r="G783" s="392"/>
      <c r="H783" s="392"/>
      <c r="I783" s="392"/>
      <c r="J783" s="392"/>
      <c r="K783" s="392"/>
      <c r="L783" s="392"/>
      <c r="M783" s="392"/>
      <c r="N783" s="392"/>
      <c r="O783" s="392"/>
      <c r="P783" s="392"/>
      <c r="Q783" s="392"/>
      <c r="R783" s="392"/>
      <c r="S783" s="392"/>
      <c r="T783" s="392"/>
      <c r="U783" s="392"/>
      <c r="V783" s="392"/>
      <c r="W783" s="392"/>
      <c r="X783" s="392"/>
      <c r="Y783" s="392"/>
      <c r="Z783" s="392"/>
      <c r="AA783" s="392"/>
      <c r="AB783" s="392"/>
      <c r="AC783" s="392"/>
      <c r="AD783" s="392"/>
      <c r="AE783" s="392"/>
      <c r="AF783" s="392"/>
      <c r="AG783" s="392"/>
      <c r="AH783" s="392"/>
      <c r="AI783" s="392"/>
      <c r="AJ783" s="392"/>
      <c r="AK783" s="392"/>
      <c r="AL783" s="392"/>
      <c r="AM783" s="392"/>
      <c r="AN783" s="392"/>
      <c r="AO783" s="392"/>
      <c r="AP783" s="392"/>
      <c r="AQ783" s="392"/>
      <c r="AR783" s="392"/>
      <c r="AS783" s="392"/>
      <c r="AT783" s="392"/>
      <c r="AU783" s="392"/>
      <c r="AV783" s="392"/>
      <c r="AW783" s="392"/>
      <c r="AX783" s="392"/>
      <c r="AY783" s="392"/>
      <c r="AZ783" s="392"/>
      <c r="BA783" s="392"/>
      <c r="BB783" s="392"/>
      <c r="BC783" s="392"/>
      <c r="BD783" s="392"/>
      <c r="BE783" s="392"/>
      <c r="BF783" s="392"/>
      <c r="BG783" s="392"/>
      <c r="BH783" s="392"/>
      <c r="BI783" s="392"/>
      <c r="BJ783" s="392"/>
      <c r="BK783" s="392"/>
      <c r="BL783" s="392"/>
      <c r="BM783" s="392"/>
      <c r="BN783" s="392"/>
      <c r="BO783" s="392"/>
      <c r="BP783" s="392"/>
      <c r="BQ783" s="392"/>
      <c r="BR783" s="392"/>
      <c r="BS783" s="392"/>
      <c r="BT783" s="392"/>
    </row>
    <row r="784" ht="15.75" customHeight="1">
      <c r="A784" s="216"/>
      <c r="B784" s="156"/>
      <c r="C784" s="156"/>
      <c r="D784" s="156"/>
      <c r="E784" s="392"/>
      <c r="F784" s="392"/>
      <c r="G784" s="392"/>
      <c r="H784" s="392"/>
      <c r="I784" s="392"/>
      <c r="J784" s="392"/>
      <c r="K784" s="392"/>
      <c r="L784" s="392"/>
      <c r="M784" s="392"/>
      <c r="N784" s="392"/>
      <c r="O784" s="392"/>
      <c r="P784" s="392"/>
      <c r="Q784" s="392"/>
      <c r="R784" s="392"/>
      <c r="S784" s="392"/>
      <c r="T784" s="392"/>
      <c r="U784" s="392"/>
      <c r="V784" s="392"/>
      <c r="W784" s="392"/>
      <c r="X784" s="392"/>
      <c r="Y784" s="392"/>
      <c r="Z784" s="392"/>
      <c r="AA784" s="392"/>
      <c r="AB784" s="392"/>
      <c r="AC784" s="392"/>
      <c r="AD784" s="392"/>
      <c r="AE784" s="392"/>
      <c r="AF784" s="392"/>
      <c r="AG784" s="392"/>
      <c r="AH784" s="392"/>
      <c r="AI784" s="392"/>
      <c r="AJ784" s="392"/>
      <c r="AK784" s="392"/>
      <c r="AL784" s="392"/>
      <c r="AM784" s="392"/>
      <c r="AN784" s="392"/>
      <c r="AO784" s="392"/>
      <c r="AP784" s="392"/>
      <c r="AQ784" s="392"/>
      <c r="AR784" s="392"/>
      <c r="AS784" s="392"/>
      <c r="AT784" s="392"/>
      <c r="AU784" s="392"/>
      <c r="AV784" s="392"/>
      <c r="AW784" s="392"/>
      <c r="AX784" s="392"/>
      <c r="AY784" s="392"/>
      <c r="AZ784" s="392"/>
      <c r="BA784" s="392"/>
      <c r="BB784" s="392"/>
      <c r="BC784" s="392"/>
      <c r="BD784" s="392"/>
      <c r="BE784" s="392"/>
      <c r="BF784" s="392"/>
      <c r="BG784" s="392"/>
      <c r="BH784" s="392"/>
      <c r="BI784" s="392"/>
      <c r="BJ784" s="392"/>
      <c r="BK784" s="392"/>
      <c r="BL784" s="392"/>
      <c r="BM784" s="392"/>
      <c r="BN784" s="392"/>
      <c r="BO784" s="392"/>
      <c r="BP784" s="392"/>
      <c r="BQ784" s="392"/>
      <c r="BR784" s="392"/>
      <c r="BS784" s="392"/>
      <c r="BT784" s="392"/>
    </row>
    <row r="785" ht="15.75" customHeight="1">
      <c r="A785" s="216"/>
      <c r="B785" s="156"/>
      <c r="C785" s="156"/>
      <c r="D785" s="156"/>
      <c r="E785" s="392"/>
      <c r="F785" s="392"/>
      <c r="G785" s="392"/>
      <c r="H785" s="392"/>
      <c r="I785" s="392"/>
      <c r="J785" s="392"/>
      <c r="K785" s="392"/>
      <c r="L785" s="392"/>
      <c r="M785" s="392"/>
      <c r="N785" s="392"/>
      <c r="O785" s="392"/>
      <c r="P785" s="392"/>
      <c r="Q785" s="392"/>
      <c r="R785" s="392"/>
      <c r="S785" s="392"/>
      <c r="T785" s="392"/>
      <c r="U785" s="392"/>
      <c r="V785" s="392"/>
      <c r="W785" s="392"/>
      <c r="X785" s="392"/>
      <c r="Y785" s="392"/>
      <c r="Z785" s="392"/>
      <c r="AA785" s="392"/>
      <c r="AB785" s="392"/>
      <c r="AC785" s="392"/>
      <c r="AD785" s="392"/>
      <c r="AE785" s="392"/>
      <c r="AF785" s="392"/>
      <c r="AG785" s="392"/>
      <c r="AH785" s="392"/>
      <c r="AI785" s="392"/>
      <c r="AJ785" s="392"/>
      <c r="AK785" s="392"/>
      <c r="AL785" s="392"/>
      <c r="AM785" s="392"/>
      <c r="AN785" s="392"/>
      <c r="AO785" s="392"/>
      <c r="AP785" s="392"/>
      <c r="AQ785" s="392"/>
      <c r="AR785" s="392"/>
      <c r="AS785" s="392"/>
      <c r="AT785" s="392"/>
      <c r="AU785" s="392"/>
      <c r="AV785" s="392"/>
      <c r="AW785" s="392"/>
      <c r="AX785" s="392"/>
      <c r="AY785" s="392"/>
      <c r="AZ785" s="392"/>
      <c r="BA785" s="392"/>
      <c r="BB785" s="392"/>
      <c r="BC785" s="392"/>
      <c r="BD785" s="392"/>
      <c r="BE785" s="392"/>
      <c r="BF785" s="392"/>
      <c r="BG785" s="392"/>
      <c r="BH785" s="392"/>
      <c r="BI785" s="392"/>
      <c r="BJ785" s="392"/>
      <c r="BK785" s="392"/>
      <c r="BL785" s="392"/>
      <c r="BM785" s="392"/>
      <c r="BN785" s="392"/>
      <c r="BO785" s="392"/>
      <c r="BP785" s="392"/>
      <c r="BQ785" s="392"/>
      <c r="BR785" s="392"/>
      <c r="BS785" s="392"/>
      <c r="BT785" s="392"/>
    </row>
    <row r="786" ht="15.75" customHeight="1">
      <c r="A786" s="216"/>
      <c r="B786" s="156"/>
      <c r="C786" s="156"/>
      <c r="D786" s="156"/>
      <c r="E786" s="392"/>
      <c r="F786" s="392"/>
      <c r="G786" s="392"/>
      <c r="H786" s="392"/>
      <c r="I786" s="392"/>
      <c r="J786" s="392"/>
      <c r="K786" s="392"/>
      <c r="L786" s="392"/>
      <c r="M786" s="392"/>
      <c r="N786" s="392"/>
      <c r="O786" s="392"/>
      <c r="P786" s="392"/>
      <c r="Q786" s="392"/>
      <c r="R786" s="392"/>
      <c r="S786" s="392"/>
      <c r="T786" s="392"/>
      <c r="U786" s="392"/>
      <c r="V786" s="392"/>
      <c r="W786" s="392"/>
      <c r="X786" s="392"/>
      <c r="Y786" s="392"/>
      <c r="Z786" s="392"/>
      <c r="AA786" s="392"/>
      <c r="AB786" s="392"/>
      <c r="AC786" s="392"/>
      <c r="AD786" s="392"/>
      <c r="AE786" s="392"/>
      <c r="AF786" s="392"/>
      <c r="AG786" s="392"/>
      <c r="AH786" s="392"/>
      <c r="AI786" s="392"/>
      <c r="AJ786" s="392"/>
      <c r="AK786" s="392"/>
      <c r="AL786" s="392"/>
      <c r="AM786" s="392"/>
      <c r="AN786" s="392"/>
      <c r="AO786" s="392"/>
      <c r="AP786" s="392"/>
      <c r="AQ786" s="392"/>
      <c r="AR786" s="392"/>
      <c r="AS786" s="392"/>
      <c r="AT786" s="392"/>
      <c r="AU786" s="392"/>
      <c r="AV786" s="392"/>
      <c r="AW786" s="392"/>
      <c r="AX786" s="392"/>
      <c r="AY786" s="392"/>
      <c r="AZ786" s="392"/>
      <c r="BA786" s="392"/>
      <c r="BB786" s="392"/>
      <c r="BC786" s="392"/>
      <c r="BD786" s="392"/>
      <c r="BE786" s="392"/>
      <c r="BF786" s="392"/>
      <c r="BG786" s="392"/>
      <c r="BH786" s="392"/>
      <c r="BI786" s="392"/>
      <c r="BJ786" s="392"/>
      <c r="BK786" s="392"/>
      <c r="BL786" s="392"/>
      <c r="BM786" s="392"/>
      <c r="BN786" s="392"/>
      <c r="BO786" s="392"/>
      <c r="BP786" s="392"/>
      <c r="BQ786" s="392"/>
      <c r="BR786" s="392"/>
      <c r="BS786" s="392"/>
      <c r="BT786" s="392"/>
    </row>
    <row r="787" ht="15.75" customHeight="1">
      <c r="A787" s="216"/>
      <c r="B787" s="156"/>
      <c r="C787" s="156"/>
      <c r="D787" s="156"/>
      <c r="E787" s="392"/>
      <c r="F787" s="392"/>
      <c r="G787" s="392"/>
      <c r="H787" s="392"/>
      <c r="I787" s="392"/>
      <c r="J787" s="392"/>
      <c r="K787" s="392"/>
      <c r="L787" s="392"/>
      <c r="M787" s="392"/>
      <c r="N787" s="392"/>
      <c r="O787" s="392"/>
      <c r="P787" s="392"/>
      <c r="Q787" s="392"/>
      <c r="R787" s="392"/>
      <c r="S787" s="392"/>
      <c r="T787" s="392"/>
      <c r="U787" s="392"/>
      <c r="V787" s="392"/>
      <c r="W787" s="392"/>
      <c r="X787" s="392"/>
      <c r="Y787" s="392"/>
      <c r="Z787" s="392"/>
      <c r="AA787" s="392"/>
      <c r="AB787" s="392"/>
      <c r="AC787" s="392"/>
      <c r="AD787" s="392"/>
      <c r="AE787" s="392"/>
      <c r="AF787" s="392"/>
      <c r="AG787" s="392"/>
      <c r="AH787" s="392"/>
      <c r="AI787" s="392"/>
      <c r="AJ787" s="392"/>
      <c r="AK787" s="392"/>
      <c r="AL787" s="392"/>
      <c r="AM787" s="392"/>
      <c r="AN787" s="392"/>
      <c r="AO787" s="392"/>
      <c r="AP787" s="392"/>
      <c r="AQ787" s="392"/>
      <c r="AR787" s="392"/>
      <c r="AS787" s="392"/>
      <c r="AT787" s="392"/>
      <c r="AU787" s="392"/>
      <c r="AV787" s="392"/>
      <c r="AW787" s="392"/>
      <c r="AX787" s="392"/>
      <c r="AY787" s="392"/>
      <c r="AZ787" s="392"/>
      <c r="BA787" s="392"/>
      <c r="BB787" s="392"/>
      <c r="BC787" s="392"/>
      <c r="BD787" s="392"/>
      <c r="BE787" s="392"/>
      <c r="BF787" s="392"/>
      <c r="BG787" s="392"/>
      <c r="BH787" s="392"/>
      <c r="BI787" s="392"/>
      <c r="BJ787" s="392"/>
      <c r="BK787" s="392"/>
      <c r="BL787" s="392"/>
      <c r="BM787" s="392"/>
      <c r="BN787" s="392"/>
      <c r="BO787" s="392"/>
      <c r="BP787" s="392"/>
      <c r="BQ787" s="392"/>
      <c r="BR787" s="392"/>
      <c r="BS787" s="392"/>
      <c r="BT787" s="392"/>
    </row>
    <row r="788" ht="15.75" customHeight="1">
      <c r="A788" s="216"/>
      <c r="B788" s="156"/>
      <c r="C788" s="156"/>
      <c r="D788" s="156"/>
      <c r="E788" s="392"/>
      <c r="F788" s="392"/>
      <c r="G788" s="392"/>
      <c r="H788" s="392"/>
      <c r="I788" s="392"/>
      <c r="J788" s="392"/>
      <c r="K788" s="392"/>
      <c r="L788" s="392"/>
      <c r="M788" s="392"/>
      <c r="N788" s="392"/>
      <c r="O788" s="392"/>
      <c r="P788" s="392"/>
      <c r="Q788" s="392"/>
      <c r="R788" s="392"/>
      <c r="S788" s="392"/>
      <c r="T788" s="392"/>
      <c r="U788" s="392"/>
      <c r="V788" s="392"/>
      <c r="W788" s="392"/>
      <c r="X788" s="392"/>
      <c r="Y788" s="392"/>
      <c r="Z788" s="392"/>
      <c r="AA788" s="392"/>
      <c r="AB788" s="392"/>
      <c r="AC788" s="392"/>
      <c r="AD788" s="392"/>
      <c r="AE788" s="392"/>
      <c r="AF788" s="392"/>
      <c r="AG788" s="392"/>
      <c r="AH788" s="392"/>
      <c r="AI788" s="392"/>
      <c r="AJ788" s="392"/>
      <c r="AK788" s="392"/>
      <c r="AL788" s="392"/>
      <c r="AM788" s="392"/>
      <c r="AN788" s="392"/>
      <c r="AO788" s="392"/>
      <c r="AP788" s="392"/>
      <c r="AQ788" s="392"/>
      <c r="AR788" s="392"/>
      <c r="AS788" s="392"/>
      <c r="AT788" s="392"/>
      <c r="AU788" s="392"/>
      <c r="AV788" s="392"/>
      <c r="AW788" s="392"/>
      <c r="AX788" s="392"/>
      <c r="AY788" s="392"/>
      <c r="AZ788" s="392"/>
      <c r="BA788" s="392"/>
      <c r="BB788" s="392"/>
      <c r="BC788" s="392"/>
      <c r="BD788" s="392"/>
      <c r="BE788" s="392"/>
      <c r="BF788" s="392"/>
      <c r="BG788" s="392"/>
      <c r="BH788" s="392"/>
      <c r="BI788" s="392"/>
      <c r="BJ788" s="392"/>
      <c r="BK788" s="392"/>
      <c r="BL788" s="392"/>
      <c r="BM788" s="392"/>
      <c r="BN788" s="392"/>
      <c r="BO788" s="392"/>
      <c r="BP788" s="392"/>
      <c r="BQ788" s="392"/>
      <c r="BR788" s="392"/>
      <c r="BS788" s="392"/>
      <c r="BT788" s="392"/>
    </row>
    <row r="789" ht="15.75" customHeight="1">
      <c r="A789" s="216"/>
      <c r="B789" s="156"/>
      <c r="C789" s="156"/>
      <c r="D789" s="156"/>
      <c r="E789" s="392"/>
      <c r="F789" s="392"/>
      <c r="G789" s="392"/>
      <c r="H789" s="392"/>
      <c r="I789" s="392"/>
      <c r="J789" s="392"/>
      <c r="K789" s="392"/>
      <c r="L789" s="392"/>
      <c r="M789" s="392"/>
      <c r="N789" s="392"/>
      <c r="O789" s="392"/>
      <c r="P789" s="392"/>
      <c r="Q789" s="392"/>
      <c r="R789" s="392"/>
      <c r="S789" s="392"/>
      <c r="T789" s="392"/>
      <c r="U789" s="392"/>
      <c r="V789" s="392"/>
      <c r="W789" s="392"/>
      <c r="X789" s="392"/>
      <c r="Y789" s="392"/>
      <c r="Z789" s="392"/>
      <c r="AA789" s="392"/>
      <c r="AB789" s="392"/>
      <c r="AC789" s="392"/>
      <c r="AD789" s="392"/>
      <c r="AE789" s="392"/>
      <c r="AF789" s="392"/>
      <c r="AG789" s="392"/>
      <c r="AH789" s="392"/>
      <c r="AI789" s="392"/>
      <c r="AJ789" s="392"/>
      <c r="AK789" s="392"/>
      <c r="AL789" s="392"/>
      <c r="AM789" s="392"/>
      <c r="AN789" s="392"/>
      <c r="AO789" s="392"/>
      <c r="AP789" s="392"/>
      <c r="AQ789" s="392"/>
      <c r="AR789" s="392"/>
      <c r="AS789" s="392"/>
      <c r="AT789" s="392"/>
      <c r="AU789" s="392"/>
      <c r="AV789" s="392"/>
      <c r="AW789" s="392"/>
      <c r="AX789" s="392"/>
      <c r="AY789" s="392"/>
      <c r="AZ789" s="392"/>
      <c r="BA789" s="392"/>
      <c r="BB789" s="392"/>
      <c r="BC789" s="392"/>
      <c r="BD789" s="392"/>
      <c r="BE789" s="392"/>
      <c r="BF789" s="392"/>
      <c r="BG789" s="392"/>
      <c r="BH789" s="392"/>
      <c r="BI789" s="392"/>
      <c r="BJ789" s="392"/>
      <c r="BK789" s="392"/>
      <c r="BL789" s="392"/>
      <c r="BM789" s="392"/>
      <c r="BN789" s="392"/>
      <c r="BO789" s="392"/>
      <c r="BP789" s="392"/>
      <c r="BQ789" s="392"/>
      <c r="BR789" s="392"/>
      <c r="BS789" s="392"/>
      <c r="BT789" s="392"/>
    </row>
    <row r="790" ht="15.75" customHeight="1">
      <c r="A790" s="216"/>
      <c r="B790" s="156"/>
      <c r="C790" s="156"/>
      <c r="D790" s="156"/>
      <c r="E790" s="392"/>
      <c r="F790" s="392"/>
      <c r="G790" s="392"/>
      <c r="H790" s="392"/>
      <c r="I790" s="392"/>
      <c r="J790" s="392"/>
      <c r="K790" s="392"/>
      <c r="L790" s="392"/>
      <c r="M790" s="392"/>
      <c r="N790" s="392"/>
      <c r="O790" s="392"/>
      <c r="P790" s="392"/>
      <c r="Q790" s="392"/>
      <c r="R790" s="392"/>
      <c r="S790" s="392"/>
      <c r="T790" s="392"/>
      <c r="U790" s="392"/>
      <c r="V790" s="392"/>
      <c r="W790" s="392"/>
      <c r="X790" s="392"/>
      <c r="Y790" s="392"/>
      <c r="Z790" s="392"/>
      <c r="AA790" s="392"/>
      <c r="AB790" s="392"/>
      <c r="AC790" s="392"/>
      <c r="AD790" s="392"/>
      <c r="AE790" s="392"/>
      <c r="AF790" s="392"/>
      <c r="AG790" s="392"/>
      <c r="AH790" s="392"/>
      <c r="AI790" s="392"/>
      <c r="AJ790" s="392"/>
      <c r="AK790" s="392"/>
      <c r="AL790" s="392"/>
      <c r="AM790" s="392"/>
      <c r="AN790" s="392"/>
      <c r="AO790" s="392"/>
      <c r="AP790" s="392"/>
      <c r="AQ790" s="392"/>
      <c r="AR790" s="392"/>
      <c r="AS790" s="392"/>
      <c r="AT790" s="392"/>
      <c r="AU790" s="392"/>
      <c r="AV790" s="392"/>
      <c r="AW790" s="392"/>
      <c r="AX790" s="392"/>
      <c r="AY790" s="392"/>
      <c r="AZ790" s="392"/>
      <c r="BA790" s="392"/>
      <c r="BB790" s="392"/>
      <c r="BC790" s="392"/>
      <c r="BD790" s="392"/>
      <c r="BE790" s="392"/>
      <c r="BF790" s="392"/>
      <c r="BG790" s="392"/>
      <c r="BH790" s="392"/>
      <c r="BI790" s="392"/>
      <c r="BJ790" s="392"/>
      <c r="BK790" s="392"/>
      <c r="BL790" s="392"/>
      <c r="BM790" s="392"/>
      <c r="BN790" s="392"/>
      <c r="BO790" s="392"/>
      <c r="BP790" s="392"/>
      <c r="BQ790" s="392"/>
      <c r="BR790" s="392"/>
      <c r="BS790" s="392"/>
      <c r="BT790" s="392"/>
    </row>
    <row r="791" ht="15.75" customHeight="1">
      <c r="A791" s="216"/>
      <c r="B791" s="156"/>
      <c r="C791" s="156"/>
      <c r="D791" s="156"/>
      <c r="E791" s="392"/>
      <c r="F791" s="392"/>
      <c r="G791" s="392"/>
      <c r="H791" s="392"/>
      <c r="I791" s="392"/>
      <c r="J791" s="392"/>
      <c r="K791" s="392"/>
      <c r="L791" s="392"/>
      <c r="M791" s="392"/>
      <c r="N791" s="392"/>
      <c r="O791" s="392"/>
      <c r="P791" s="392"/>
      <c r="Q791" s="392"/>
      <c r="R791" s="392"/>
      <c r="S791" s="392"/>
      <c r="T791" s="392"/>
      <c r="U791" s="392"/>
      <c r="V791" s="392"/>
      <c r="W791" s="392"/>
      <c r="X791" s="392"/>
      <c r="Y791" s="392"/>
      <c r="Z791" s="392"/>
      <c r="AA791" s="392"/>
      <c r="AB791" s="392"/>
      <c r="AC791" s="392"/>
      <c r="AD791" s="392"/>
      <c r="AE791" s="392"/>
      <c r="AF791" s="392"/>
      <c r="AG791" s="392"/>
      <c r="AH791" s="392"/>
      <c r="AI791" s="392"/>
      <c r="AJ791" s="392"/>
      <c r="AK791" s="392"/>
      <c r="AL791" s="392"/>
      <c r="AM791" s="392"/>
      <c r="AN791" s="392"/>
      <c r="AO791" s="392"/>
      <c r="AP791" s="392"/>
      <c r="AQ791" s="392"/>
      <c r="AR791" s="392"/>
      <c r="AS791" s="392"/>
      <c r="AT791" s="392"/>
      <c r="AU791" s="392"/>
      <c r="AV791" s="392"/>
      <c r="AW791" s="392"/>
      <c r="AX791" s="392"/>
      <c r="AY791" s="392"/>
      <c r="AZ791" s="392"/>
      <c r="BA791" s="392"/>
      <c r="BB791" s="392"/>
      <c r="BC791" s="392"/>
      <c r="BD791" s="392"/>
      <c r="BE791" s="392"/>
      <c r="BF791" s="392"/>
      <c r="BG791" s="392"/>
      <c r="BH791" s="392"/>
      <c r="BI791" s="392"/>
      <c r="BJ791" s="392"/>
      <c r="BK791" s="392"/>
      <c r="BL791" s="392"/>
      <c r="BM791" s="392"/>
      <c r="BN791" s="392"/>
      <c r="BO791" s="392"/>
      <c r="BP791" s="392"/>
      <c r="BQ791" s="392"/>
      <c r="BR791" s="392"/>
      <c r="BS791" s="392"/>
      <c r="BT791" s="392"/>
    </row>
    <row r="792" ht="15.75" customHeight="1">
      <c r="A792" s="216"/>
      <c r="B792" s="156"/>
      <c r="C792" s="156"/>
      <c r="D792" s="156"/>
      <c r="E792" s="392"/>
      <c r="F792" s="392"/>
      <c r="G792" s="392"/>
      <c r="H792" s="392"/>
      <c r="I792" s="392"/>
      <c r="J792" s="392"/>
      <c r="K792" s="392"/>
      <c r="L792" s="392"/>
      <c r="M792" s="392"/>
      <c r="N792" s="392"/>
      <c r="O792" s="392"/>
      <c r="P792" s="392"/>
      <c r="Q792" s="392"/>
      <c r="R792" s="392"/>
      <c r="S792" s="392"/>
      <c r="T792" s="392"/>
      <c r="U792" s="392"/>
      <c r="V792" s="392"/>
      <c r="W792" s="392"/>
      <c r="X792" s="392"/>
      <c r="Y792" s="392"/>
      <c r="Z792" s="392"/>
      <c r="AA792" s="392"/>
      <c r="AB792" s="392"/>
      <c r="AC792" s="392"/>
      <c r="AD792" s="392"/>
      <c r="AE792" s="392"/>
      <c r="AF792" s="392"/>
      <c r="AG792" s="392"/>
      <c r="AH792" s="392"/>
      <c r="AI792" s="392"/>
      <c r="AJ792" s="392"/>
      <c r="AK792" s="392"/>
      <c r="AL792" s="392"/>
      <c r="AM792" s="392"/>
      <c r="AN792" s="392"/>
      <c r="AO792" s="392"/>
      <c r="AP792" s="392"/>
      <c r="AQ792" s="392"/>
      <c r="AR792" s="392"/>
      <c r="AS792" s="392"/>
      <c r="AT792" s="392"/>
      <c r="AU792" s="392"/>
      <c r="AV792" s="392"/>
      <c r="AW792" s="392"/>
      <c r="AX792" s="392"/>
      <c r="AY792" s="392"/>
      <c r="AZ792" s="392"/>
      <c r="BA792" s="392"/>
      <c r="BB792" s="392"/>
      <c r="BC792" s="392"/>
      <c r="BD792" s="392"/>
      <c r="BE792" s="392"/>
      <c r="BF792" s="392"/>
      <c r="BG792" s="392"/>
      <c r="BH792" s="392"/>
      <c r="BI792" s="392"/>
      <c r="BJ792" s="392"/>
      <c r="BK792" s="392"/>
      <c r="BL792" s="392"/>
      <c r="BM792" s="392"/>
      <c r="BN792" s="392"/>
      <c r="BO792" s="392"/>
      <c r="BP792" s="392"/>
      <c r="BQ792" s="392"/>
      <c r="BR792" s="392"/>
      <c r="BS792" s="392"/>
      <c r="BT792" s="392"/>
    </row>
    <row r="793" ht="15.75" customHeight="1">
      <c r="A793" s="216"/>
      <c r="B793" s="156"/>
      <c r="C793" s="156"/>
      <c r="D793" s="156"/>
      <c r="E793" s="392"/>
      <c r="F793" s="392"/>
      <c r="G793" s="392"/>
      <c r="H793" s="392"/>
      <c r="I793" s="392"/>
      <c r="J793" s="392"/>
      <c r="K793" s="392"/>
      <c r="L793" s="392"/>
      <c r="M793" s="392"/>
      <c r="N793" s="392"/>
      <c r="O793" s="392"/>
      <c r="P793" s="392"/>
      <c r="Q793" s="392"/>
      <c r="R793" s="392"/>
      <c r="S793" s="392"/>
      <c r="T793" s="392"/>
      <c r="U793" s="392"/>
      <c r="V793" s="392"/>
      <c r="W793" s="392"/>
      <c r="X793" s="392"/>
      <c r="Y793" s="392"/>
      <c r="Z793" s="392"/>
      <c r="AA793" s="392"/>
      <c r="AB793" s="392"/>
      <c r="AC793" s="392"/>
      <c r="AD793" s="392"/>
      <c r="AE793" s="392"/>
      <c r="AF793" s="392"/>
      <c r="AG793" s="392"/>
      <c r="AH793" s="392"/>
      <c r="AI793" s="392"/>
      <c r="AJ793" s="392"/>
      <c r="AK793" s="392"/>
      <c r="AL793" s="392"/>
      <c r="AM793" s="392"/>
      <c r="AN793" s="392"/>
      <c r="AO793" s="392"/>
      <c r="AP793" s="392"/>
      <c r="AQ793" s="392"/>
      <c r="AR793" s="392"/>
      <c r="AS793" s="392"/>
      <c r="AT793" s="392"/>
      <c r="AU793" s="392"/>
      <c r="AV793" s="392"/>
      <c r="AW793" s="392"/>
      <c r="AX793" s="392"/>
      <c r="AY793" s="392"/>
      <c r="AZ793" s="392"/>
      <c r="BA793" s="392"/>
      <c r="BB793" s="392"/>
      <c r="BC793" s="392"/>
      <c r="BD793" s="392"/>
      <c r="BE793" s="392"/>
      <c r="BF793" s="392"/>
      <c r="BG793" s="392"/>
      <c r="BH793" s="392"/>
      <c r="BI793" s="392"/>
      <c r="BJ793" s="392"/>
      <c r="BK793" s="392"/>
      <c r="BL793" s="392"/>
      <c r="BM793" s="392"/>
      <c r="BN793" s="392"/>
      <c r="BO793" s="392"/>
      <c r="BP793" s="392"/>
      <c r="BQ793" s="392"/>
      <c r="BR793" s="392"/>
      <c r="BS793" s="392"/>
      <c r="BT793" s="392"/>
    </row>
    <row r="794" ht="15.75" customHeight="1">
      <c r="A794" s="216"/>
      <c r="B794" s="156"/>
      <c r="C794" s="156"/>
      <c r="D794" s="156"/>
      <c r="E794" s="392"/>
      <c r="F794" s="392"/>
      <c r="G794" s="392"/>
      <c r="H794" s="392"/>
      <c r="I794" s="392"/>
      <c r="J794" s="392"/>
      <c r="K794" s="392"/>
      <c r="L794" s="392"/>
      <c r="M794" s="392"/>
      <c r="N794" s="392"/>
      <c r="O794" s="392"/>
      <c r="P794" s="392"/>
      <c r="Q794" s="392"/>
      <c r="R794" s="392"/>
      <c r="S794" s="392"/>
      <c r="T794" s="392"/>
      <c r="U794" s="392"/>
      <c r="V794" s="392"/>
      <c r="W794" s="392"/>
      <c r="X794" s="392"/>
      <c r="Y794" s="392"/>
      <c r="Z794" s="392"/>
      <c r="AA794" s="392"/>
      <c r="AB794" s="392"/>
      <c r="AC794" s="392"/>
      <c r="AD794" s="392"/>
      <c r="AE794" s="392"/>
      <c r="AF794" s="392"/>
      <c r="AG794" s="392"/>
      <c r="AH794" s="392"/>
      <c r="AI794" s="392"/>
      <c r="AJ794" s="392"/>
      <c r="AK794" s="392"/>
      <c r="AL794" s="392"/>
      <c r="AM794" s="392"/>
      <c r="AN794" s="392"/>
      <c r="AO794" s="392"/>
      <c r="AP794" s="392"/>
      <c r="AQ794" s="392"/>
      <c r="AR794" s="392"/>
      <c r="AS794" s="392"/>
      <c r="AT794" s="392"/>
      <c r="AU794" s="392"/>
      <c r="AV794" s="392"/>
      <c r="AW794" s="392"/>
      <c r="AX794" s="392"/>
      <c r="AY794" s="392"/>
      <c r="AZ794" s="392"/>
      <c r="BA794" s="392"/>
      <c r="BB794" s="392"/>
      <c r="BC794" s="392"/>
      <c r="BD794" s="392"/>
      <c r="BE794" s="392"/>
      <c r="BF794" s="392"/>
      <c r="BG794" s="392"/>
      <c r="BH794" s="392"/>
      <c r="BI794" s="392"/>
      <c r="BJ794" s="392"/>
      <c r="BK794" s="392"/>
      <c r="BL794" s="392"/>
      <c r="BM794" s="392"/>
      <c r="BN794" s="392"/>
      <c r="BO794" s="392"/>
      <c r="BP794" s="392"/>
      <c r="BQ794" s="392"/>
      <c r="BR794" s="392"/>
      <c r="BS794" s="392"/>
      <c r="BT794" s="392"/>
    </row>
    <row r="795" ht="15.75" customHeight="1">
      <c r="A795" s="216"/>
      <c r="B795" s="156"/>
      <c r="C795" s="156"/>
      <c r="D795" s="156"/>
      <c r="E795" s="392"/>
      <c r="F795" s="392"/>
      <c r="G795" s="392"/>
      <c r="H795" s="392"/>
      <c r="I795" s="392"/>
      <c r="J795" s="392"/>
      <c r="K795" s="392"/>
      <c r="L795" s="392"/>
      <c r="M795" s="392"/>
      <c r="N795" s="392"/>
      <c r="O795" s="392"/>
      <c r="P795" s="392"/>
      <c r="Q795" s="392"/>
      <c r="R795" s="392"/>
      <c r="S795" s="392"/>
      <c r="T795" s="392"/>
      <c r="U795" s="392"/>
      <c r="V795" s="392"/>
      <c r="W795" s="392"/>
      <c r="X795" s="392"/>
      <c r="Y795" s="392"/>
      <c r="Z795" s="392"/>
      <c r="AA795" s="392"/>
      <c r="AB795" s="392"/>
      <c r="AC795" s="392"/>
      <c r="AD795" s="392"/>
      <c r="AE795" s="392"/>
      <c r="AF795" s="392"/>
      <c r="AG795" s="392"/>
      <c r="AH795" s="392"/>
      <c r="AI795" s="392"/>
      <c r="AJ795" s="392"/>
      <c r="AK795" s="392"/>
      <c r="AL795" s="392"/>
      <c r="AM795" s="392"/>
      <c r="AN795" s="392"/>
      <c r="AO795" s="392"/>
      <c r="AP795" s="392"/>
      <c r="AQ795" s="392"/>
      <c r="AR795" s="392"/>
      <c r="AS795" s="392"/>
      <c r="AT795" s="392"/>
      <c r="AU795" s="392"/>
      <c r="AV795" s="392"/>
      <c r="AW795" s="392"/>
      <c r="AX795" s="392"/>
      <c r="AY795" s="392"/>
      <c r="AZ795" s="392"/>
      <c r="BA795" s="392"/>
      <c r="BB795" s="392"/>
      <c r="BC795" s="392"/>
      <c r="BD795" s="392"/>
      <c r="BE795" s="392"/>
      <c r="BF795" s="392"/>
      <c r="BG795" s="392"/>
      <c r="BH795" s="392"/>
      <c r="BI795" s="392"/>
      <c r="BJ795" s="392"/>
      <c r="BK795" s="392"/>
      <c r="BL795" s="392"/>
      <c r="BM795" s="392"/>
      <c r="BN795" s="392"/>
      <c r="BO795" s="392"/>
      <c r="BP795" s="392"/>
      <c r="BQ795" s="392"/>
      <c r="BR795" s="392"/>
      <c r="BS795" s="392"/>
      <c r="BT795" s="392"/>
    </row>
    <row r="796" ht="15.75" customHeight="1">
      <c r="A796" s="216"/>
      <c r="B796" s="156"/>
      <c r="C796" s="156"/>
      <c r="D796" s="156"/>
      <c r="E796" s="392"/>
      <c r="F796" s="392"/>
      <c r="G796" s="392"/>
      <c r="H796" s="392"/>
      <c r="I796" s="392"/>
      <c r="J796" s="392"/>
      <c r="K796" s="392"/>
      <c r="L796" s="392"/>
      <c r="M796" s="392"/>
      <c r="N796" s="392"/>
      <c r="O796" s="392"/>
      <c r="P796" s="392"/>
      <c r="Q796" s="392"/>
      <c r="R796" s="392"/>
      <c r="S796" s="392"/>
      <c r="T796" s="392"/>
      <c r="U796" s="392"/>
      <c r="V796" s="392"/>
      <c r="W796" s="392"/>
      <c r="X796" s="392"/>
      <c r="Y796" s="392"/>
      <c r="Z796" s="392"/>
      <c r="AA796" s="392"/>
      <c r="AB796" s="392"/>
      <c r="AC796" s="392"/>
      <c r="AD796" s="392"/>
      <c r="AE796" s="392"/>
      <c r="AF796" s="392"/>
      <c r="AG796" s="392"/>
      <c r="AH796" s="392"/>
      <c r="AI796" s="392"/>
      <c r="AJ796" s="392"/>
      <c r="AK796" s="392"/>
      <c r="AL796" s="392"/>
      <c r="AM796" s="392"/>
      <c r="AN796" s="392"/>
      <c r="AO796" s="392"/>
      <c r="AP796" s="392"/>
      <c r="AQ796" s="392"/>
      <c r="AR796" s="392"/>
      <c r="AS796" s="392"/>
      <c r="AT796" s="392"/>
      <c r="AU796" s="392"/>
      <c r="AV796" s="392"/>
      <c r="AW796" s="392"/>
      <c r="AX796" s="392"/>
      <c r="AY796" s="392"/>
      <c r="AZ796" s="392"/>
      <c r="BA796" s="392"/>
      <c r="BB796" s="392"/>
      <c r="BC796" s="392"/>
      <c r="BD796" s="392"/>
      <c r="BE796" s="392"/>
      <c r="BF796" s="392"/>
      <c r="BG796" s="392"/>
      <c r="BH796" s="392"/>
      <c r="BI796" s="392"/>
      <c r="BJ796" s="392"/>
      <c r="BK796" s="392"/>
      <c r="BL796" s="392"/>
      <c r="BM796" s="392"/>
      <c r="BN796" s="392"/>
      <c r="BO796" s="392"/>
      <c r="BP796" s="392"/>
      <c r="BQ796" s="392"/>
      <c r="BR796" s="392"/>
      <c r="BS796" s="392"/>
      <c r="BT796" s="392"/>
    </row>
    <row r="797" ht="15.75" customHeight="1">
      <c r="A797" s="216"/>
      <c r="B797" s="156"/>
      <c r="C797" s="156"/>
      <c r="D797" s="156"/>
      <c r="E797" s="392"/>
      <c r="F797" s="392"/>
      <c r="G797" s="392"/>
      <c r="H797" s="392"/>
      <c r="I797" s="392"/>
      <c r="J797" s="392"/>
      <c r="K797" s="392"/>
      <c r="L797" s="392"/>
      <c r="M797" s="392"/>
      <c r="N797" s="392"/>
      <c r="O797" s="392"/>
      <c r="P797" s="392"/>
      <c r="Q797" s="392"/>
      <c r="R797" s="392"/>
      <c r="S797" s="392"/>
      <c r="T797" s="392"/>
      <c r="U797" s="392"/>
      <c r="V797" s="392"/>
      <c r="W797" s="392"/>
      <c r="X797" s="392"/>
      <c r="Y797" s="392"/>
      <c r="Z797" s="392"/>
      <c r="AA797" s="392"/>
      <c r="AB797" s="392"/>
      <c r="AC797" s="392"/>
      <c r="AD797" s="392"/>
      <c r="AE797" s="392"/>
      <c r="AF797" s="392"/>
      <c r="AG797" s="392"/>
      <c r="AH797" s="392"/>
      <c r="AI797" s="392"/>
      <c r="AJ797" s="392"/>
      <c r="AK797" s="392"/>
      <c r="AL797" s="392"/>
      <c r="AM797" s="392"/>
      <c r="AN797" s="392"/>
      <c r="AO797" s="392"/>
      <c r="AP797" s="392"/>
      <c r="AQ797" s="392"/>
      <c r="AR797" s="392"/>
      <c r="AS797" s="392"/>
      <c r="AT797" s="392"/>
      <c r="AU797" s="392"/>
      <c r="AV797" s="392"/>
      <c r="AW797" s="392"/>
      <c r="AX797" s="392"/>
      <c r="AY797" s="392"/>
      <c r="AZ797" s="392"/>
      <c r="BA797" s="392"/>
      <c r="BB797" s="392"/>
      <c r="BC797" s="392"/>
      <c r="BD797" s="392"/>
      <c r="BE797" s="392"/>
      <c r="BF797" s="392"/>
      <c r="BG797" s="392"/>
      <c r="BH797" s="392"/>
      <c r="BI797" s="392"/>
      <c r="BJ797" s="392"/>
      <c r="BK797" s="392"/>
      <c r="BL797" s="392"/>
      <c r="BM797" s="392"/>
      <c r="BN797" s="392"/>
      <c r="BO797" s="392"/>
      <c r="BP797" s="392"/>
      <c r="BQ797" s="392"/>
      <c r="BR797" s="392"/>
      <c r="BS797" s="392"/>
      <c r="BT797" s="392"/>
    </row>
    <row r="798" ht="15.75" customHeight="1">
      <c r="A798" s="216"/>
      <c r="B798" s="156"/>
      <c r="C798" s="156"/>
      <c r="D798" s="156"/>
      <c r="E798" s="392"/>
      <c r="F798" s="392"/>
      <c r="G798" s="392"/>
      <c r="H798" s="392"/>
      <c r="I798" s="392"/>
      <c r="J798" s="392"/>
      <c r="K798" s="392"/>
      <c r="L798" s="392"/>
      <c r="M798" s="392"/>
      <c r="N798" s="392"/>
      <c r="O798" s="392"/>
      <c r="P798" s="392"/>
      <c r="Q798" s="392"/>
      <c r="R798" s="392"/>
      <c r="S798" s="392"/>
      <c r="T798" s="392"/>
      <c r="U798" s="392"/>
      <c r="V798" s="392"/>
      <c r="W798" s="392"/>
      <c r="X798" s="392"/>
      <c r="Y798" s="392"/>
      <c r="Z798" s="392"/>
      <c r="AA798" s="392"/>
      <c r="AB798" s="392"/>
      <c r="AC798" s="392"/>
      <c r="AD798" s="392"/>
      <c r="AE798" s="392"/>
      <c r="AF798" s="392"/>
      <c r="AG798" s="392"/>
      <c r="AH798" s="392"/>
      <c r="AI798" s="392"/>
      <c r="AJ798" s="392"/>
      <c r="AK798" s="392"/>
      <c r="AL798" s="392"/>
      <c r="AM798" s="392"/>
      <c r="AN798" s="392"/>
      <c r="AO798" s="392"/>
      <c r="AP798" s="392"/>
      <c r="AQ798" s="392"/>
      <c r="AR798" s="392"/>
      <c r="AS798" s="392"/>
      <c r="AT798" s="392"/>
      <c r="AU798" s="392"/>
      <c r="AV798" s="392"/>
      <c r="AW798" s="392"/>
      <c r="AX798" s="392"/>
      <c r="AY798" s="392"/>
      <c r="AZ798" s="392"/>
      <c r="BA798" s="392"/>
      <c r="BB798" s="392"/>
      <c r="BC798" s="392"/>
      <c r="BD798" s="392"/>
      <c r="BE798" s="392"/>
      <c r="BF798" s="392"/>
      <c r="BG798" s="392"/>
      <c r="BH798" s="392"/>
      <c r="BI798" s="392"/>
      <c r="BJ798" s="392"/>
      <c r="BK798" s="392"/>
      <c r="BL798" s="392"/>
      <c r="BM798" s="392"/>
      <c r="BN798" s="392"/>
      <c r="BO798" s="392"/>
      <c r="BP798" s="392"/>
      <c r="BQ798" s="392"/>
      <c r="BR798" s="392"/>
      <c r="BS798" s="392"/>
      <c r="BT798" s="392"/>
    </row>
    <row r="799" ht="15.75" customHeight="1">
      <c r="A799" s="216"/>
      <c r="B799" s="156"/>
      <c r="C799" s="156"/>
      <c r="D799" s="156"/>
      <c r="E799" s="392"/>
      <c r="F799" s="392"/>
      <c r="G799" s="392"/>
      <c r="H799" s="392"/>
      <c r="I799" s="392"/>
      <c r="J799" s="392"/>
      <c r="K799" s="392"/>
      <c r="L799" s="392"/>
      <c r="M799" s="392"/>
      <c r="N799" s="392"/>
      <c r="O799" s="392"/>
      <c r="P799" s="392"/>
      <c r="Q799" s="392"/>
      <c r="R799" s="392"/>
      <c r="S799" s="392"/>
      <c r="T799" s="392"/>
      <c r="U799" s="392"/>
      <c r="V799" s="392"/>
      <c r="W799" s="392"/>
      <c r="X799" s="392"/>
      <c r="Y799" s="392"/>
      <c r="Z799" s="392"/>
      <c r="AA799" s="392"/>
      <c r="AB799" s="392"/>
      <c r="AC799" s="392"/>
      <c r="AD799" s="392"/>
      <c r="AE799" s="392"/>
      <c r="AF799" s="392"/>
      <c r="AG799" s="392"/>
      <c r="AH799" s="392"/>
      <c r="AI799" s="392"/>
      <c r="AJ799" s="392"/>
      <c r="AK799" s="392"/>
      <c r="AL799" s="392"/>
      <c r="AM799" s="392"/>
      <c r="AN799" s="392"/>
      <c r="AO799" s="392"/>
      <c r="AP799" s="392"/>
      <c r="AQ799" s="392"/>
      <c r="AR799" s="392"/>
      <c r="AS799" s="392"/>
      <c r="AT799" s="392"/>
      <c r="AU799" s="392"/>
      <c r="AV799" s="392"/>
      <c r="AW799" s="392"/>
      <c r="AX799" s="392"/>
      <c r="AY799" s="392"/>
      <c r="AZ799" s="392"/>
      <c r="BA799" s="392"/>
      <c r="BB799" s="392"/>
      <c r="BC799" s="392"/>
      <c r="BD799" s="392"/>
      <c r="BE799" s="392"/>
      <c r="BF799" s="392"/>
      <c r="BG799" s="392"/>
      <c r="BH799" s="392"/>
      <c r="BI799" s="392"/>
      <c r="BJ799" s="392"/>
      <c r="BK799" s="392"/>
      <c r="BL799" s="392"/>
      <c r="BM799" s="392"/>
      <c r="BN799" s="392"/>
      <c r="BO799" s="392"/>
      <c r="BP799" s="392"/>
      <c r="BQ799" s="392"/>
      <c r="BR799" s="392"/>
      <c r="BS799" s="392"/>
      <c r="BT799" s="392"/>
    </row>
    <row r="800" ht="15.75" customHeight="1">
      <c r="A800" s="216"/>
      <c r="B800" s="156"/>
      <c r="C800" s="156"/>
      <c r="D800" s="156"/>
      <c r="E800" s="392"/>
      <c r="F800" s="392"/>
      <c r="G800" s="392"/>
      <c r="H800" s="392"/>
      <c r="I800" s="392"/>
      <c r="J800" s="392"/>
      <c r="K800" s="392"/>
      <c r="L800" s="392"/>
      <c r="M800" s="392"/>
      <c r="N800" s="392"/>
      <c r="O800" s="392"/>
      <c r="P800" s="392"/>
      <c r="Q800" s="392"/>
      <c r="R800" s="392"/>
      <c r="S800" s="392"/>
      <c r="T800" s="392"/>
      <c r="U800" s="392"/>
      <c r="V800" s="392"/>
      <c r="W800" s="392"/>
      <c r="X800" s="392"/>
      <c r="Y800" s="392"/>
      <c r="Z800" s="392"/>
      <c r="AA800" s="392"/>
      <c r="AB800" s="392"/>
      <c r="AC800" s="392"/>
      <c r="AD800" s="392"/>
      <c r="AE800" s="392"/>
      <c r="AF800" s="392"/>
      <c r="AG800" s="392"/>
      <c r="AH800" s="392"/>
      <c r="AI800" s="392"/>
      <c r="AJ800" s="392"/>
      <c r="AK800" s="392"/>
      <c r="AL800" s="392"/>
      <c r="AM800" s="392"/>
      <c r="AN800" s="392"/>
      <c r="AO800" s="392"/>
      <c r="AP800" s="392"/>
      <c r="AQ800" s="392"/>
      <c r="AR800" s="392"/>
      <c r="AS800" s="392"/>
      <c r="AT800" s="392"/>
      <c r="AU800" s="392"/>
      <c r="AV800" s="392"/>
      <c r="AW800" s="392"/>
      <c r="AX800" s="392"/>
      <c r="AY800" s="392"/>
      <c r="AZ800" s="392"/>
      <c r="BA800" s="392"/>
      <c r="BB800" s="392"/>
      <c r="BC800" s="392"/>
      <c r="BD800" s="392"/>
      <c r="BE800" s="392"/>
      <c r="BF800" s="392"/>
      <c r="BG800" s="392"/>
      <c r="BH800" s="392"/>
      <c r="BI800" s="392"/>
      <c r="BJ800" s="392"/>
      <c r="BK800" s="392"/>
      <c r="BL800" s="392"/>
      <c r="BM800" s="392"/>
      <c r="BN800" s="392"/>
      <c r="BO800" s="392"/>
      <c r="BP800" s="392"/>
      <c r="BQ800" s="392"/>
      <c r="BR800" s="392"/>
      <c r="BS800" s="392"/>
      <c r="BT800" s="392"/>
    </row>
    <row r="801" ht="15.75" customHeight="1">
      <c r="A801" s="216"/>
      <c r="B801" s="156"/>
      <c r="C801" s="156"/>
      <c r="D801" s="156"/>
      <c r="E801" s="392"/>
      <c r="F801" s="392"/>
      <c r="G801" s="392"/>
      <c r="H801" s="392"/>
      <c r="I801" s="392"/>
      <c r="J801" s="392"/>
      <c r="K801" s="392"/>
      <c r="L801" s="392"/>
      <c r="M801" s="392"/>
      <c r="N801" s="392"/>
      <c r="O801" s="392"/>
      <c r="P801" s="392"/>
      <c r="Q801" s="392"/>
      <c r="R801" s="392"/>
      <c r="S801" s="392"/>
      <c r="T801" s="392"/>
      <c r="U801" s="392"/>
      <c r="V801" s="392"/>
      <c r="W801" s="392"/>
      <c r="X801" s="392"/>
      <c r="Y801" s="392"/>
      <c r="Z801" s="392"/>
      <c r="AA801" s="392"/>
      <c r="AB801" s="392"/>
      <c r="AC801" s="392"/>
      <c r="AD801" s="392"/>
      <c r="AE801" s="392"/>
      <c r="AF801" s="392"/>
      <c r="AG801" s="392"/>
      <c r="AH801" s="392"/>
      <c r="AI801" s="392"/>
      <c r="AJ801" s="392"/>
      <c r="AK801" s="392"/>
      <c r="AL801" s="392"/>
      <c r="AM801" s="392"/>
      <c r="AN801" s="392"/>
      <c r="AO801" s="392"/>
      <c r="AP801" s="392"/>
      <c r="AQ801" s="392"/>
      <c r="AR801" s="392"/>
      <c r="AS801" s="392"/>
      <c r="AT801" s="392"/>
      <c r="AU801" s="392"/>
      <c r="AV801" s="392"/>
      <c r="AW801" s="392"/>
      <c r="AX801" s="392"/>
      <c r="AY801" s="392"/>
      <c r="AZ801" s="392"/>
      <c r="BA801" s="392"/>
      <c r="BB801" s="392"/>
      <c r="BC801" s="392"/>
      <c r="BD801" s="392"/>
      <c r="BE801" s="392"/>
      <c r="BF801" s="392"/>
      <c r="BG801" s="392"/>
      <c r="BH801" s="392"/>
      <c r="BI801" s="392"/>
      <c r="BJ801" s="392"/>
      <c r="BK801" s="392"/>
      <c r="BL801" s="392"/>
      <c r="BM801" s="392"/>
      <c r="BN801" s="392"/>
      <c r="BO801" s="392"/>
      <c r="BP801" s="392"/>
      <c r="BQ801" s="392"/>
      <c r="BR801" s="392"/>
      <c r="BS801" s="392"/>
      <c r="BT801" s="392"/>
    </row>
    <row r="802" ht="15.75" customHeight="1">
      <c r="A802" s="216"/>
      <c r="B802" s="156"/>
      <c r="C802" s="156"/>
      <c r="D802" s="156"/>
      <c r="E802" s="392"/>
      <c r="F802" s="392"/>
      <c r="G802" s="392"/>
      <c r="H802" s="392"/>
      <c r="I802" s="392"/>
      <c r="J802" s="392"/>
      <c r="K802" s="392"/>
      <c r="L802" s="392"/>
      <c r="M802" s="392"/>
      <c r="N802" s="392"/>
      <c r="O802" s="392"/>
      <c r="P802" s="392"/>
      <c r="Q802" s="392"/>
      <c r="R802" s="392"/>
      <c r="S802" s="392"/>
      <c r="T802" s="392"/>
      <c r="U802" s="392"/>
      <c r="V802" s="392"/>
      <c r="W802" s="392"/>
      <c r="X802" s="392"/>
      <c r="Y802" s="392"/>
      <c r="Z802" s="392"/>
      <c r="AA802" s="392"/>
      <c r="AB802" s="392"/>
      <c r="AC802" s="392"/>
      <c r="AD802" s="392"/>
      <c r="AE802" s="392"/>
      <c r="AF802" s="392"/>
      <c r="AG802" s="392"/>
      <c r="AH802" s="392"/>
      <c r="AI802" s="392"/>
      <c r="AJ802" s="392"/>
      <c r="AK802" s="392"/>
      <c r="AL802" s="392"/>
      <c r="AM802" s="392"/>
      <c r="AN802" s="392"/>
      <c r="AO802" s="392"/>
      <c r="AP802" s="392"/>
      <c r="AQ802" s="392"/>
      <c r="AR802" s="392"/>
      <c r="AS802" s="392"/>
      <c r="AT802" s="392"/>
      <c r="AU802" s="392"/>
      <c r="AV802" s="392"/>
      <c r="AW802" s="392"/>
      <c r="AX802" s="392"/>
      <c r="AY802" s="392"/>
      <c r="AZ802" s="392"/>
      <c r="BA802" s="392"/>
      <c r="BB802" s="392"/>
      <c r="BC802" s="392"/>
      <c r="BD802" s="392"/>
      <c r="BE802" s="392"/>
      <c r="BF802" s="392"/>
      <c r="BG802" s="392"/>
      <c r="BH802" s="392"/>
      <c r="BI802" s="392"/>
      <c r="BJ802" s="392"/>
      <c r="BK802" s="392"/>
      <c r="BL802" s="392"/>
      <c r="BM802" s="392"/>
      <c r="BN802" s="392"/>
      <c r="BO802" s="392"/>
      <c r="BP802" s="392"/>
      <c r="BQ802" s="392"/>
      <c r="BR802" s="392"/>
      <c r="BS802" s="392"/>
      <c r="BT802" s="392"/>
    </row>
    <row r="803" ht="15.75" customHeight="1">
      <c r="A803" s="216"/>
      <c r="B803" s="156"/>
      <c r="C803" s="156"/>
      <c r="D803" s="156"/>
      <c r="E803" s="392"/>
      <c r="F803" s="392"/>
      <c r="G803" s="392"/>
      <c r="H803" s="392"/>
      <c r="I803" s="392"/>
      <c r="J803" s="392"/>
      <c r="K803" s="392"/>
      <c r="L803" s="392"/>
      <c r="M803" s="392"/>
      <c r="N803" s="392"/>
      <c r="O803" s="392"/>
      <c r="P803" s="392"/>
      <c r="Q803" s="392"/>
      <c r="R803" s="392"/>
      <c r="S803" s="392"/>
      <c r="T803" s="392"/>
      <c r="U803" s="392"/>
      <c r="V803" s="392"/>
      <c r="W803" s="392"/>
      <c r="X803" s="392"/>
      <c r="Y803" s="392"/>
      <c r="Z803" s="392"/>
      <c r="AA803" s="392"/>
      <c r="AB803" s="392"/>
      <c r="AC803" s="392"/>
      <c r="AD803" s="392"/>
      <c r="AE803" s="392"/>
      <c r="AF803" s="392"/>
      <c r="AG803" s="392"/>
      <c r="AH803" s="392"/>
      <c r="AI803" s="392"/>
      <c r="AJ803" s="392"/>
      <c r="AK803" s="392"/>
      <c r="AL803" s="392"/>
      <c r="AM803" s="392"/>
      <c r="AN803" s="392"/>
      <c r="AO803" s="392"/>
      <c r="AP803" s="392"/>
      <c r="AQ803" s="392"/>
      <c r="AR803" s="392"/>
      <c r="AS803" s="392"/>
      <c r="AT803" s="392"/>
      <c r="AU803" s="392"/>
      <c r="AV803" s="392"/>
      <c r="AW803" s="392"/>
      <c r="AX803" s="392"/>
      <c r="AY803" s="392"/>
      <c r="AZ803" s="392"/>
      <c r="BA803" s="392"/>
      <c r="BB803" s="392"/>
      <c r="BC803" s="392"/>
      <c r="BD803" s="392"/>
      <c r="BE803" s="392"/>
      <c r="BF803" s="392"/>
      <c r="BG803" s="392"/>
      <c r="BH803" s="392"/>
      <c r="BI803" s="392"/>
      <c r="BJ803" s="392"/>
      <c r="BK803" s="392"/>
      <c r="BL803" s="392"/>
      <c r="BM803" s="392"/>
      <c r="BN803" s="392"/>
      <c r="BO803" s="392"/>
      <c r="BP803" s="392"/>
      <c r="BQ803" s="392"/>
      <c r="BR803" s="392"/>
      <c r="BS803" s="392"/>
      <c r="BT803" s="392"/>
    </row>
    <row r="804" ht="15.75" customHeight="1">
      <c r="A804" s="216"/>
      <c r="B804" s="156"/>
      <c r="C804" s="156"/>
      <c r="D804" s="156"/>
      <c r="E804" s="392"/>
      <c r="F804" s="392"/>
      <c r="G804" s="392"/>
      <c r="H804" s="392"/>
      <c r="I804" s="392"/>
      <c r="J804" s="392"/>
      <c r="K804" s="392"/>
      <c r="L804" s="392"/>
      <c r="M804" s="392"/>
      <c r="N804" s="392"/>
      <c r="O804" s="392"/>
      <c r="P804" s="392"/>
      <c r="Q804" s="392"/>
      <c r="R804" s="392"/>
      <c r="S804" s="392"/>
      <c r="T804" s="392"/>
      <c r="U804" s="392"/>
      <c r="V804" s="392"/>
      <c r="W804" s="392"/>
      <c r="X804" s="392"/>
      <c r="Y804" s="392"/>
      <c r="Z804" s="392"/>
      <c r="AA804" s="392"/>
      <c r="AB804" s="392"/>
      <c r="AC804" s="392"/>
      <c r="AD804" s="392"/>
      <c r="AE804" s="392"/>
      <c r="AF804" s="392"/>
      <c r="AG804" s="392"/>
      <c r="AH804" s="392"/>
      <c r="AI804" s="392"/>
      <c r="AJ804" s="392"/>
      <c r="AK804" s="392"/>
      <c r="AL804" s="392"/>
      <c r="AM804" s="392"/>
      <c r="AN804" s="392"/>
      <c r="AO804" s="392"/>
      <c r="AP804" s="392"/>
      <c r="AQ804" s="392"/>
      <c r="AR804" s="392"/>
      <c r="AS804" s="392"/>
      <c r="AT804" s="392"/>
      <c r="AU804" s="392"/>
      <c r="AV804" s="392"/>
      <c r="AW804" s="392"/>
      <c r="AX804" s="392"/>
      <c r="AY804" s="392"/>
      <c r="AZ804" s="392"/>
      <c r="BA804" s="392"/>
      <c r="BB804" s="392"/>
      <c r="BC804" s="392"/>
      <c r="BD804" s="392"/>
      <c r="BE804" s="392"/>
      <c r="BF804" s="392"/>
      <c r="BG804" s="392"/>
      <c r="BH804" s="392"/>
      <c r="BI804" s="392"/>
      <c r="BJ804" s="392"/>
      <c r="BK804" s="392"/>
      <c r="BL804" s="392"/>
      <c r="BM804" s="392"/>
      <c r="BN804" s="392"/>
      <c r="BO804" s="392"/>
      <c r="BP804" s="392"/>
      <c r="BQ804" s="392"/>
      <c r="BR804" s="392"/>
      <c r="BS804" s="392"/>
      <c r="BT804" s="392"/>
    </row>
    <row r="805" ht="15.75" customHeight="1">
      <c r="A805" s="216"/>
      <c r="B805" s="156"/>
      <c r="C805" s="156"/>
      <c r="D805" s="156"/>
      <c r="E805" s="392"/>
      <c r="F805" s="392"/>
      <c r="G805" s="392"/>
      <c r="H805" s="392"/>
      <c r="I805" s="392"/>
      <c r="J805" s="392"/>
      <c r="K805" s="392"/>
      <c r="L805" s="392"/>
      <c r="M805" s="392"/>
      <c r="N805" s="392"/>
      <c r="O805" s="392"/>
      <c r="P805" s="392"/>
      <c r="Q805" s="392"/>
      <c r="R805" s="392"/>
      <c r="S805" s="392"/>
      <c r="T805" s="392"/>
      <c r="U805" s="392"/>
      <c r="V805" s="392"/>
      <c r="W805" s="392"/>
      <c r="X805" s="392"/>
      <c r="Y805" s="392"/>
      <c r="Z805" s="392"/>
      <c r="AA805" s="392"/>
      <c r="AB805" s="392"/>
      <c r="AC805" s="392"/>
      <c r="AD805" s="392"/>
      <c r="AE805" s="392"/>
      <c r="AF805" s="392"/>
      <c r="AG805" s="392"/>
      <c r="AH805" s="392"/>
      <c r="AI805" s="392"/>
      <c r="AJ805" s="392"/>
      <c r="AK805" s="392"/>
      <c r="AL805" s="392"/>
      <c r="AM805" s="392"/>
      <c r="AN805" s="392"/>
      <c r="AO805" s="392"/>
      <c r="AP805" s="392"/>
      <c r="AQ805" s="392"/>
      <c r="AR805" s="392"/>
      <c r="AS805" s="392"/>
      <c r="AT805" s="392"/>
      <c r="AU805" s="392"/>
      <c r="AV805" s="392"/>
      <c r="AW805" s="392"/>
      <c r="AX805" s="392"/>
      <c r="AY805" s="392"/>
      <c r="AZ805" s="392"/>
      <c r="BA805" s="392"/>
      <c r="BB805" s="392"/>
      <c r="BC805" s="392"/>
      <c r="BD805" s="392"/>
      <c r="BE805" s="392"/>
      <c r="BF805" s="392"/>
      <c r="BG805" s="392"/>
      <c r="BH805" s="392"/>
      <c r="BI805" s="392"/>
      <c r="BJ805" s="392"/>
      <c r="BK805" s="392"/>
      <c r="BL805" s="392"/>
      <c r="BM805" s="392"/>
      <c r="BN805" s="392"/>
      <c r="BO805" s="392"/>
      <c r="BP805" s="392"/>
      <c r="BQ805" s="392"/>
      <c r="BR805" s="392"/>
      <c r="BS805" s="392"/>
      <c r="BT805" s="392"/>
    </row>
    <row r="806" ht="15.75" customHeight="1">
      <c r="A806" s="216"/>
      <c r="B806" s="156"/>
      <c r="C806" s="156"/>
      <c r="D806" s="156"/>
      <c r="E806" s="392"/>
      <c r="F806" s="392"/>
      <c r="G806" s="392"/>
      <c r="H806" s="392"/>
      <c r="I806" s="392"/>
      <c r="J806" s="392"/>
      <c r="K806" s="392"/>
      <c r="L806" s="392"/>
      <c r="M806" s="392"/>
      <c r="N806" s="392"/>
      <c r="O806" s="392"/>
      <c r="P806" s="392"/>
      <c r="Q806" s="392"/>
      <c r="R806" s="392"/>
      <c r="S806" s="392"/>
      <c r="T806" s="392"/>
      <c r="U806" s="392"/>
      <c r="V806" s="392"/>
      <c r="W806" s="392"/>
      <c r="X806" s="392"/>
      <c r="Y806" s="392"/>
      <c r="Z806" s="392"/>
      <c r="AA806" s="392"/>
      <c r="AB806" s="392"/>
      <c r="AC806" s="392"/>
      <c r="AD806" s="392"/>
      <c r="AE806" s="392"/>
      <c r="AF806" s="392"/>
      <c r="AG806" s="392"/>
      <c r="AH806" s="392"/>
      <c r="AI806" s="392"/>
      <c r="AJ806" s="392"/>
      <c r="AK806" s="392"/>
      <c r="AL806" s="392"/>
      <c r="AM806" s="392"/>
      <c r="AN806" s="392"/>
      <c r="AO806" s="392"/>
      <c r="AP806" s="392"/>
      <c r="AQ806" s="392"/>
      <c r="AR806" s="392"/>
      <c r="AS806" s="392"/>
      <c r="AT806" s="392"/>
      <c r="AU806" s="392"/>
      <c r="AV806" s="392"/>
      <c r="AW806" s="392"/>
      <c r="AX806" s="392"/>
      <c r="AY806" s="392"/>
      <c r="AZ806" s="392"/>
      <c r="BA806" s="392"/>
      <c r="BB806" s="392"/>
      <c r="BC806" s="392"/>
      <c r="BD806" s="392"/>
      <c r="BE806" s="392"/>
      <c r="BF806" s="392"/>
      <c r="BG806" s="392"/>
      <c r="BH806" s="392"/>
      <c r="BI806" s="392"/>
      <c r="BJ806" s="392"/>
      <c r="BK806" s="392"/>
      <c r="BL806" s="392"/>
      <c r="BM806" s="392"/>
      <c r="BN806" s="392"/>
      <c r="BO806" s="392"/>
      <c r="BP806" s="392"/>
      <c r="BQ806" s="392"/>
      <c r="BR806" s="392"/>
      <c r="BS806" s="392"/>
      <c r="BT806" s="392"/>
    </row>
    <row r="807" ht="15.75" customHeight="1">
      <c r="A807" s="216"/>
      <c r="B807" s="156"/>
      <c r="C807" s="156"/>
      <c r="D807" s="156"/>
      <c r="E807" s="392"/>
      <c r="F807" s="392"/>
      <c r="G807" s="392"/>
      <c r="H807" s="392"/>
      <c r="I807" s="392"/>
      <c r="J807" s="392"/>
      <c r="K807" s="392"/>
      <c r="L807" s="392"/>
      <c r="M807" s="392"/>
      <c r="N807" s="392"/>
      <c r="O807" s="392"/>
      <c r="P807" s="392"/>
      <c r="Q807" s="392"/>
      <c r="R807" s="392"/>
      <c r="S807" s="392"/>
      <c r="T807" s="392"/>
      <c r="U807" s="392"/>
      <c r="V807" s="392"/>
      <c r="W807" s="392"/>
      <c r="X807" s="392"/>
      <c r="Y807" s="392"/>
      <c r="Z807" s="392"/>
      <c r="AA807" s="392"/>
      <c r="AB807" s="392"/>
      <c r="AC807" s="392"/>
      <c r="AD807" s="392"/>
      <c r="AE807" s="392"/>
      <c r="AF807" s="392"/>
      <c r="AG807" s="392"/>
      <c r="AH807" s="392"/>
      <c r="AI807" s="392"/>
      <c r="AJ807" s="392"/>
      <c r="AK807" s="392"/>
      <c r="AL807" s="392"/>
      <c r="AM807" s="392"/>
      <c r="AN807" s="392"/>
      <c r="AO807" s="392"/>
      <c r="AP807" s="392"/>
      <c r="AQ807" s="392"/>
      <c r="AR807" s="392"/>
      <c r="AS807" s="392"/>
      <c r="AT807" s="392"/>
      <c r="AU807" s="392"/>
      <c r="AV807" s="392"/>
      <c r="AW807" s="392"/>
      <c r="AX807" s="392"/>
      <c r="AY807" s="392"/>
      <c r="AZ807" s="392"/>
      <c r="BA807" s="392"/>
      <c r="BB807" s="392"/>
      <c r="BC807" s="392"/>
      <c r="BD807" s="392"/>
      <c r="BE807" s="392"/>
      <c r="BF807" s="392"/>
      <c r="BG807" s="392"/>
      <c r="BH807" s="392"/>
      <c r="BI807" s="392"/>
      <c r="BJ807" s="392"/>
      <c r="BK807" s="392"/>
      <c r="BL807" s="392"/>
      <c r="BM807" s="392"/>
      <c r="BN807" s="392"/>
      <c r="BO807" s="392"/>
      <c r="BP807" s="392"/>
      <c r="BQ807" s="392"/>
      <c r="BR807" s="392"/>
      <c r="BS807" s="392"/>
      <c r="BT807" s="392"/>
    </row>
    <row r="808" ht="15.75" customHeight="1">
      <c r="A808" s="216"/>
      <c r="B808" s="156"/>
      <c r="C808" s="156"/>
      <c r="D808" s="156"/>
      <c r="E808" s="392"/>
      <c r="F808" s="392"/>
      <c r="G808" s="392"/>
      <c r="H808" s="392"/>
      <c r="I808" s="392"/>
      <c r="J808" s="392"/>
      <c r="K808" s="392"/>
      <c r="L808" s="392"/>
      <c r="M808" s="392"/>
      <c r="N808" s="392"/>
      <c r="O808" s="392"/>
      <c r="P808" s="392"/>
      <c r="Q808" s="392"/>
      <c r="R808" s="392"/>
      <c r="S808" s="392"/>
      <c r="T808" s="392"/>
      <c r="U808" s="392"/>
      <c r="V808" s="392"/>
      <c r="W808" s="392"/>
      <c r="X808" s="392"/>
      <c r="Y808" s="392"/>
      <c r="Z808" s="392"/>
      <c r="AA808" s="392"/>
      <c r="AB808" s="392"/>
      <c r="AC808" s="392"/>
      <c r="AD808" s="392"/>
      <c r="AE808" s="392"/>
      <c r="AF808" s="392"/>
      <c r="AG808" s="392"/>
      <c r="AH808" s="392"/>
      <c r="AI808" s="392"/>
      <c r="AJ808" s="392"/>
      <c r="AK808" s="392"/>
      <c r="AL808" s="392"/>
      <c r="AM808" s="392"/>
      <c r="AN808" s="392"/>
      <c r="AO808" s="392"/>
      <c r="AP808" s="392"/>
      <c r="AQ808" s="392"/>
      <c r="AR808" s="392"/>
      <c r="AS808" s="392"/>
      <c r="AT808" s="392"/>
      <c r="AU808" s="392"/>
      <c r="AV808" s="392"/>
      <c r="AW808" s="392"/>
      <c r="AX808" s="392"/>
      <c r="AY808" s="392"/>
      <c r="AZ808" s="392"/>
      <c r="BA808" s="392"/>
      <c r="BB808" s="392"/>
      <c r="BC808" s="392"/>
      <c r="BD808" s="392"/>
      <c r="BE808" s="392"/>
      <c r="BF808" s="392"/>
      <c r="BG808" s="392"/>
      <c r="BH808" s="392"/>
      <c r="BI808" s="392"/>
      <c r="BJ808" s="392"/>
      <c r="BK808" s="392"/>
      <c r="BL808" s="392"/>
      <c r="BM808" s="392"/>
      <c r="BN808" s="392"/>
      <c r="BO808" s="392"/>
      <c r="BP808" s="392"/>
      <c r="BQ808" s="392"/>
      <c r="BR808" s="392"/>
      <c r="BS808" s="392"/>
      <c r="BT808" s="392"/>
    </row>
    <row r="809" ht="15.75" customHeight="1">
      <c r="A809" s="216"/>
      <c r="B809" s="156"/>
      <c r="C809" s="156"/>
      <c r="D809" s="156"/>
      <c r="E809" s="392"/>
      <c r="F809" s="392"/>
      <c r="G809" s="392"/>
      <c r="H809" s="392"/>
      <c r="I809" s="392"/>
      <c r="J809" s="392"/>
      <c r="K809" s="392"/>
      <c r="L809" s="392"/>
      <c r="M809" s="392"/>
      <c r="N809" s="392"/>
      <c r="O809" s="392"/>
      <c r="P809" s="392"/>
      <c r="Q809" s="392"/>
      <c r="R809" s="392"/>
      <c r="S809" s="392"/>
      <c r="T809" s="392"/>
      <c r="U809" s="392"/>
      <c r="V809" s="392"/>
      <c r="W809" s="392"/>
      <c r="X809" s="392"/>
      <c r="Y809" s="392"/>
      <c r="Z809" s="392"/>
      <c r="AA809" s="392"/>
      <c r="AB809" s="392"/>
      <c r="AC809" s="392"/>
      <c r="AD809" s="392"/>
      <c r="AE809" s="392"/>
      <c r="AF809" s="392"/>
      <c r="AG809" s="392"/>
      <c r="AH809" s="392"/>
      <c r="AI809" s="392"/>
      <c r="AJ809" s="392"/>
      <c r="AK809" s="392"/>
      <c r="AL809" s="392"/>
      <c r="AM809" s="392"/>
      <c r="AN809" s="392"/>
      <c r="AO809" s="392"/>
      <c r="AP809" s="392"/>
      <c r="AQ809" s="392"/>
      <c r="AR809" s="392"/>
      <c r="AS809" s="392"/>
      <c r="AT809" s="392"/>
      <c r="AU809" s="392"/>
      <c r="AV809" s="392"/>
      <c r="AW809" s="392"/>
      <c r="AX809" s="392"/>
      <c r="AY809" s="392"/>
      <c r="AZ809" s="392"/>
      <c r="BA809" s="392"/>
      <c r="BB809" s="392"/>
      <c r="BC809" s="392"/>
      <c r="BD809" s="392"/>
      <c r="BE809" s="392"/>
      <c r="BF809" s="392"/>
      <c r="BG809" s="392"/>
      <c r="BH809" s="392"/>
      <c r="BI809" s="392"/>
      <c r="BJ809" s="392"/>
      <c r="BK809" s="392"/>
      <c r="BL809" s="392"/>
      <c r="BM809" s="392"/>
      <c r="BN809" s="392"/>
      <c r="BO809" s="392"/>
      <c r="BP809" s="392"/>
      <c r="BQ809" s="392"/>
      <c r="BR809" s="392"/>
      <c r="BS809" s="392"/>
      <c r="BT809" s="392"/>
    </row>
    <row r="810" ht="15.75" customHeight="1">
      <c r="A810" s="216"/>
      <c r="B810" s="156"/>
      <c r="C810" s="156"/>
      <c r="D810" s="156"/>
      <c r="E810" s="392"/>
      <c r="F810" s="392"/>
      <c r="G810" s="392"/>
      <c r="H810" s="392"/>
      <c r="I810" s="392"/>
      <c r="J810" s="392"/>
      <c r="K810" s="392"/>
      <c r="L810" s="392"/>
      <c r="M810" s="392"/>
      <c r="N810" s="392"/>
      <c r="O810" s="392"/>
      <c r="P810" s="392"/>
      <c r="Q810" s="392"/>
      <c r="R810" s="392"/>
      <c r="S810" s="392"/>
      <c r="T810" s="392"/>
      <c r="U810" s="392"/>
      <c r="V810" s="392"/>
      <c r="W810" s="392"/>
      <c r="X810" s="392"/>
      <c r="Y810" s="392"/>
      <c r="Z810" s="392"/>
      <c r="AA810" s="392"/>
      <c r="AB810" s="392"/>
      <c r="AC810" s="392"/>
      <c r="AD810" s="392"/>
      <c r="AE810" s="392"/>
      <c r="AF810" s="392"/>
      <c r="AG810" s="392"/>
      <c r="AH810" s="392"/>
      <c r="AI810" s="392"/>
      <c r="AJ810" s="392"/>
      <c r="AK810" s="392"/>
      <c r="AL810" s="392"/>
      <c r="AM810" s="392"/>
      <c r="AN810" s="392"/>
      <c r="AO810" s="392"/>
      <c r="AP810" s="392"/>
      <c r="AQ810" s="392"/>
      <c r="AR810" s="392"/>
      <c r="AS810" s="392"/>
      <c r="AT810" s="392"/>
      <c r="AU810" s="392"/>
      <c r="AV810" s="392"/>
      <c r="AW810" s="392"/>
      <c r="AX810" s="392"/>
      <c r="AY810" s="392"/>
      <c r="AZ810" s="392"/>
      <c r="BA810" s="392"/>
      <c r="BB810" s="392"/>
      <c r="BC810" s="392"/>
      <c r="BD810" s="392"/>
      <c r="BE810" s="392"/>
      <c r="BF810" s="392"/>
      <c r="BG810" s="392"/>
      <c r="BH810" s="392"/>
      <c r="BI810" s="392"/>
      <c r="BJ810" s="392"/>
      <c r="BK810" s="392"/>
      <c r="BL810" s="392"/>
      <c r="BM810" s="392"/>
      <c r="BN810" s="392"/>
      <c r="BO810" s="392"/>
      <c r="BP810" s="392"/>
      <c r="BQ810" s="392"/>
      <c r="BR810" s="392"/>
      <c r="BS810" s="392"/>
      <c r="BT810" s="392"/>
    </row>
    <row r="811" ht="15.75" customHeight="1">
      <c r="A811" s="216"/>
      <c r="B811" s="156"/>
      <c r="C811" s="156"/>
      <c r="D811" s="156"/>
      <c r="E811" s="392"/>
      <c r="F811" s="392"/>
      <c r="G811" s="392"/>
      <c r="H811" s="392"/>
      <c r="I811" s="392"/>
      <c r="J811" s="392"/>
      <c r="K811" s="392"/>
      <c r="L811" s="392"/>
      <c r="M811" s="392"/>
      <c r="N811" s="392"/>
      <c r="O811" s="392"/>
      <c r="P811" s="392"/>
      <c r="Q811" s="392"/>
      <c r="R811" s="392"/>
      <c r="S811" s="392"/>
      <c r="T811" s="392"/>
      <c r="U811" s="392"/>
      <c r="V811" s="392"/>
      <c r="W811" s="392"/>
      <c r="X811" s="392"/>
      <c r="Y811" s="392"/>
      <c r="Z811" s="392"/>
      <c r="AA811" s="392"/>
      <c r="AB811" s="392"/>
      <c r="AC811" s="392"/>
      <c r="AD811" s="392"/>
      <c r="AE811" s="392"/>
      <c r="AF811" s="392"/>
      <c r="AG811" s="392"/>
      <c r="AH811" s="392"/>
      <c r="AI811" s="392"/>
      <c r="AJ811" s="392"/>
      <c r="AK811" s="392"/>
      <c r="AL811" s="392"/>
      <c r="AM811" s="392"/>
      <c r="AN811" s="392"/>
      <c r="AO811" s="392"/>
      <c r="AP811" s="392"/>
      <c r="AQ811" s="392"/>
      <c r="AR811" s="392"/>
      <c r="AS811" s="392"/>
      <c r="AT811" s="392"/>
      <c r="AU811" s="392"/>
      <c r="AV811" s="392"/>
      <c r="AW811" s="392"/>
      <c r="AX811" s="392"/>
      <c r="AY811" s="392"/>
      <c r="AZ811" s="392"/>
      <c r="BA811" s="392"/>
      <c r="BB811" s="392"/>
      <c r="BC811" s="392"/>
      <c r="BD811" s="392"/>
      <c r="BE811" s="392"/>
      <c r="BF811" s="392"/>
      <c r="BG811" s="392"/>
      <c r="BH811" s="392"/>
      <c r="BI811" s="392"/>
      <c r="BJ811" s="392"/>
      <c r="BK811" s="392"/>
      <c r="BL811" s="392"/>
      <c r="BM811" s="392"/>
      <c r="BN811" s="392"/>
      <c r="BO811" s="392"/>
      <c r="BP811" s="392"/>
      <c r="BQ811" s="392"/>
      <c r="BR811" s="392"/>
      <c r="BS811" s="392"/>
      <c r="BT811" s="392"/>
    </row>
    <row r="812" ht="15.75" customHeight="1">
      <c r="A812" s="216"/>
      <c r="B812" s="156"/>
      <c r="C812" s="156"/>
      <c r="D812" s="156"/>
      <c r="E812" s="392"/>
      <c r="F812" s="392"/>
      <c r="G812" s="392"/>
      <c r="H812" s="392"/>
      <c r="I812" s="392"/>
      <c r="J812" s="392"/>
      <c r="K812" s="392"/>
      <c r="L812" s="392"/>
      <c r="M812" s="392"/>
      <c r="N812" s="392"/>
      <c r="O812" s="392"/>
      <c r="P812" s="392"/>
      <c r="Q812" s="392"/>
      <c r="R812" s="392"/>
      <c r="S812" s="392"/>
      <c r="T812" s="392"/>
      <c r="U812" s="392"/>
      <c r="V812" s="392"/>
      <c r="W812" s="392"/>
      <c r="X812" s="392"/>
      <c r="Y812" s="392"/>
      <c r="Z812" s="392"/>
      <c r="AA812" s="392"/>
      <c r="AB812" s="392"/>
      <c r="AC812" s="392"/>
      <c r="AD812" s="392"/>
      <c r="AE812" s="392"/>
      <c r="AF812" s="392"/>
      <c r="AG812" s="392"/>
      <c r="AH812" s="392"/>
      <c r="AI812" s="392"/>
      <c r="AJ812" s="392"/>
      <c r="AK812" s="392"/>
      <c r="AL812" s="392"/>
      <c r="AM812" s="392"/>
      <c r="AN812" s="392"/>
      <c r="AO812" s="392"/>
      <c r="AP812" s="392"/>
      <c r="AQ812" s="392"/>
      <c r="AR812" s="392"/>
      <c r="AS812" s="392"/>
      <c r="AT812" s="392"/>
      <c r="AU812" s="392"/>
      <c r="AV812" s="392"/>
      <c r="AW812" s="392"/>
      <c r="AX812" s="392"/>
      <c r="AY812" s="392"/>
      <c r="AZ812" s="392"/>
      <c r="BA812" s="392"/>
      <c r="BB812" s="392"/>
      <c r="BC812" s="392"/>
      <c r="BD812" s="392"/>
      <c r="BE812" s="392"/>
      <c r="BF812" s="392"/>
      <c r="BG812" s="392"/>
      <c r="BH812" s="392"/>
      <c r="BI812" s="392"/>
      <c r="BJ812" s="392"/>
      <c r="BK812" s="392"/>
      <c r="BL812" s="392"/>
      <c r="BM812" s="392"/>
      <c r="BN812" s="392"/>
      <c r="BO812" s="392"/>
      <c r="BP812" s="392"/>
      <c r="BQ812" s="392"/>
      <c r="BR812" s="392"/>
      <c r="BS812" s="392"/>
      <c r="BT812" s="392"/>
    </row>
    <row r="813" ht="15.75" customHeight="1">
      <c r="A813" s="216"/>
      <c r="B813" s="156"/>
      <c r="C813" s="156"/>
      <c r="D813" s="156"/>
      <c r="E813" s="392"/>
      <c r="F813" s="392"/>
      <c r="G813" s="392"/>
      <c r="H813" s="392"/>
      <c r="I813" s="392"/>
      <c r="J813" s="392"/>
      <c r="K813" s="392"/>
      <c r="L813" s="392"/>
      <c r="M813" s="392"/>
      <c r="N813" s="392"/>
      <c r="O813" s="392"/>
      <c r="P813" s="392"/>
      <c r="Q813" s="392"/>
      <c r="R813" s="392"/>
      <c r="S813" s="392"/>
      <c r="T813" s="392"/>
      <c r="U813" s="392"/>
      <c r="V813" s="392"/>
      <c r="W813" s="392"/>
      <c r="X813" s="392"/>
      <c r="Y813" s="392"/>
      <c r="Z813" s="392"/>
      <c r="AA813" s="392"/>
      <c r="AB813" s="392"/>
      <c r="AC813" s="392"/>
      <c r="AD813" s="392"/>
      <c r="AE813" s="392"/>
      <c r="AF813" s="392"/>
      <c r="AG813" s="392"/>
      <c r="AH813" s="392"/>
      <c r="AI813" s="392"/>
      <c r="AJ813" s="392"/>
      <c r="AK813" s="392"/>
      <c r="AL813" s="392"/>
      <c r="AM813" s="392"/>
      <c r="AN813" s="392"/>
      <c r="AO813" s="392"/>
      <c r="AP813" s="392"/>
      <c r="AQ813" s="392"/>
      <c r="AR813" s="392"/>
      <c r="AS813" s="392"/>
      <c r="AT813" s="392"/>
      <c r="AU813" s="392"/>
      <c r="AV813" s="392"/>
      <c r="AW813" s="392"/>
      <c r="AX813" s="392"/>
      <c r="AY813" s="392"/>
      <c r="AZ813" s="392"/>
      <c r="BA813" s="392"/>
      <c r="BB813" s="392"/>
      <c r="BC813" s="392"/>
      <c r="BD813" s="392"/>
      <c r="BE813" s="392"/>
      <c r="BF813" s="392"/>
      <c r="BG813" s="392"/>
      <c r="BH813" s="392"/>
      <c r="BI813" s="392"/>
      <c r="BJ813" s="392"/>
      <c r="BK813" s="392"/>
      <c r="BL813" s="392"/>
      <c r="BM813" s="392"/>
      <c r="BN813" s="392"/>
      <c r="BO813" s="392"/>
      <c r="BP813" s="392"/>
      <c r="BQ813" s="392"/>
      <c r="BR813" s="392"/>
      <c r="BS813" s="392"/>
      <c r="BT813" s="392"/>
    </row>
    <row r="814" ht="15.75" customHeight="1">
      <c r="A814" s="216"/>
      <c r="B814" s="156"/>
      <c r="C814" s="156"/>
      <c r="D814" s="156"/>
      <c r="E814" s="392"/>
      <c r="F814" s="392"/>
      <c r="G814" s="392"/>
      <c r="H814" s="392"/>
      <c r="I814" s="392"/>
      <c r="J814" s="392"/>
      <c r="K814" s="392"/>
      <c r="L814" s="392"/>
      <c r="M814" s="392"/>
      <c r="N814" s="392"/>
      <c r="O814" s="392"/>
      <c r="P814" s="392"/>
      <c r="Q814" s="392"/>
      <c r="R814" s="392"/>
      <c r="S814" s="392"/>
      <c r="T814" s="392"/>
      <c r="U814" s="392"/>
      <c r="V814" s="392"/>
      <c r="W814" s="392"/>
      <c r="X814" s="392"/>
      <c r="Y814" s="392"/>
      <c r="Z814" s="392"/>
      <c r="AA814" s="392"/>
      <c r="AB814" s="392"/>
      <c r="AC814" s="392"/>
      <c r="AD814" s="392"/>
      <c r="AE814" s="392"/>
      <c r="AF814" s="392"/>
      <c r="AG814" s="392"/>
      <c r="AH814" s="392"/>
      <c r="AI814" s="392"/>
      <c r="AJ814" s="392"/>
      <c r="AK814" s="392"/>
      <c r="AL814" s="392"/>
      <c r="AM814" s="392"/>
      <c r="AN814" s="392"/>
      <c r="AO814" s="392"/>
      <c r="AP814" s="392"/>
      <c r="AQ814" s="392"/>
      <c r="AR814" s="392"/>
      <c r="AS814" s="392"/>
      <c r="AT814" s="392"/>
      <c r="AU814" s="392"/>
      <c r="AV814" s="392"/>
      <c r="AW814" s="392"/>
      <c r="AX814" s="392"/>
      <c r="AY814" s="392"/>
      <c r="AZ814" s="392"/>
      <c r="BA814" s="392"/>
      <c r="BB814" s="392"/>
      <c r="BC814" s="392"/>
      <c r="BD814" s="392"/>
      <c r="BE814" s="392"/>
      <c r="BF814" s="392"/>
      <c r="BG814" s="392"/>
      <c r="BH814" s="392"/>
      <c r="BI814" s="392"/>
      <c r="BJ814" s="392"/>
      <c r="BK814" s="392"/>
      <c r="BL814" s="392"/>
      <c r="BM814" s="392"/>
      <c r="BN814" s="392"/>
      <c r="BO814" s="392"/>
      <c r="BP814" s="392"/>
      <c r="BQ814" s="392"/>
      <c r="BR814" s="392"/>
      <c r="BS814" s="392"/>
      <c r="BT814" s="392"/>
    </row>
    <row r="815" ht="15.75" customHeight="1">
      <c r="A815" s="216"/>
      <c r="B815" s="156"/>
      <c r="C815" s="156"/>
      <c r="D815" s="156"/>
      <c r="E815" s="392"/>
      <c r="F815" s="392"/>
      <c r="G815" s="392"/>
      <c r="H815" s="392"/>
      <c r="I815" s="392"/>
      <c r="J815" s="392"/>
      <c r="K815" s="392"/>
      <c r="L815" s="392"/>
      <c r="M815" s="392"/>
      <c r="N815" s="392"/>
      <c r="O815" s="392"/>
      <c r="P815" s="392"/>
      <c r="Q815" s="392"/>
      <c r="R815" s="392"/>
      <c r="S815" s="392"/>
      <c r="T815" s="392"/>
      <c r="U815" s="392"/>
      <c r="V815" s="392"/>
      <c r="W815" s="392"/>
      <c r="X815" s="392"/>
      <c r="Y815" s="392"/>
      <c r="Z815" s="392"/>
      <c r="AA815" s="392"/>
      <c r="AB815" s="392"/>
      <c r="AC815" s="392"/>
      <c r="AD815" s="392"/>
      <c r="AE815" s="392"/>
      <c r="AF815" s="392"/>
      <c r="AG815" s="392"/>
      <c r="AH815" s="392"/>
      <c r="AI815" s="392"/>
      <c r="AJ815" s="392"/>
      <c r="AK815" s="392"/>
      <c r="AL815" s="392"/>
      <c r="AM815" s="392"/>
      <c r="AN815" s="392"/>
      <c r="AO815" s="392"/>
      <c r="AP815" s="392"/>
      <c r="AQ815" s="392"/>
      <c r="AR815" s="392"/>
      <c r="AS815" s="392"/>
      <c r="AT815" s="392"/>
      <c r="AU815" s="392"/>
      <c r="AV815" s="392"/>
      <c r="AW815" s="392"/>
      <c r="AX815" s="392"/>
      <c r="AY815" s="392"/>
      <c r="AZ815" s="392"/>
      <c r="BA815" s="392"/>
      <c r="BB815" s="392"/>
      <c r="BC815" s="392"/>
      <c r="BD815" s="392"/>
      <c r="BE815" s="392"/>
      <c r="BF815" s="392"/>
      <c r="BG815" s="392"/>
      <c r="BH815" s="392"/>
      <c r="BI815" s="392"/>
      <c r="BJ815" s="392"/>
      <c r="BK815" s="392"/>
      <c r="BL815" s="392"/>
      <c r="BM815" s="392"/>
      <c r="BN815" s="392"/>
      <c r="BO815" s="392"/>
      <c r="BP815" s="392"/>
      <c r="BQ815" s="392"/>
      <c r="BR815" s="392"/>
      <c r="BS815" s="392"/>
      <c r="BT815" s="392"/>
    </row>
    <row r="816" ht="15.75" customHeight="1">
      <c r="A816" s="216"/>
      <c r="B816" s="156"/>
      <c r="C816" s="156"/>
      <c r="D816" s="156"/>
      <c r="E816" s="392"/>
      <c r="F816" s="392"/>
      <c r="G816" s="392"/>
      <c r="H816" s="392"/>
      <c r="I816" s="392"/>
      <c r="J816" s="392"/>
      <c r="K816" s="392"/>
      <c r="L816" s="392"/>
      <c r="M816" s="392"/>
      <c r="N816" s="392"/>
      <c r="O816" s="392"/>
      <c r="P816" s="392"/>
      <c r="Q816" s="392"/>
      <c r="R816" s="392"/>
      <c r="S816" s="392"/>
      <c r="T816" s="392"/>
      <c r="U816" s="392"/>
      <c r="V816" s="392"/>
      <c r="W816" s="392"/>
      <c r="X816" s="392"/>
      <c r="Y816" s="392"/>
      <c r="Z816" s="392"/>
      <c r="AA816" s="392"/>
      <c r="AB816" s="392"/>
      <c r="AC816" s="392"/>
      <c r="AD816" s="392"/>
      <c r="AE816" s="392"/>
      <c r="AF816" s="392"/>
      <c r="AG816" s="392"/>
      <c r="AH816" s="392"/>
      <c r="AI816" s="392"/>
      <c r="AJ816" s="392"/>
      <c r="AK816" s="392"/>
      <c r="AL816" s="392"/>
      <c r="AM816" s="392"/>
      <c r="AN816" s="392"/>
      <c r="AO816" s="392"/>
      <c r="AP816" s="392"/>
      <c r="AQ816" s="392"/>
      <c r="AR816" s="392"/>
      <c r="AS816" s="392"/>
      <c r="AT816" s="392"/>
      <c r="AU816" s="392"/>
      <c r="AV816" s="392"/>
      <c r="AW816" s="392"/>
      <c r="AX816" s="392"/>
      <c r="AY816" s="392"/>
      <c r="AZ816" s="392"/>
      <c r="BA816" s="392"/>
      <c r="BB816" s="392"/>
      <c r="BC816" s="392"/>
      <c r="BD816" s="392"/>
      <c r="BE816" s="392"/>
      <c r="BF816" s="392"/>
      <c r="BG816" s="392"/>
      <c r="BH816" s="392"/>
      <c r="BI816" s="392"/>
      <c r="BJ816" s="392"/>
      <c r="BK816" s="392"/>
      <c r="BL816" s="392"/>
      <c r="BM816" s="392"/>
      <c r="BN816" s="392"/>
      <c r="BO816" s="392"/>
      <c r="BP816" s="392"/>
      <c r="BQ816" s="392"/>
      <c r="BR816" s="392"/>
      <c r="BS816" s="392"/>
      <c r="BT816" s="392"/>
    </row>
    <row r="817" ht="15.75" customHeight="1">
      <c r="A817" s="216"/>
      <c r="B817" s="156"/>
      <c r="C817" s="156"/>
      <c r="D817" s="156"/>
      <c r="E817" s="392"/>
      <c r="F817" s="392"/>
      <c r="G817" s="392"/>
      <c r="H817" s="392"/>
      <c r="I817" s="392"/>
      <c r="J817" s="392"/>
      <c r="K817" s="392"/>
      <c r="L817" s="392"/>
      <c r="M817" s="392"/>
      <c r="N817" s="392"/>
      <c r="O817" s="392"/>
      <c r="P817" s="392"/>
      <c r="Q817" s="392"/>
      <c r="R817" s="392"/>
      <c r="S817" s="392"/>
      <c r="T817" s="392"/>
      <c r="U817" s="392"/>
      <c r="V817" s="392"/>
      <c r="W817" s="392"/>
      <c r="X817" s="392"/>
      <c r="Y817" s="392"/>
      <c r="Z817" s="392"/>
      <c r="AA817" s="392"/>
      <c r="AB817" s="392"/>
      <c r="AC817" s="392"/>
      <c r="AD817" s="392"/>
      <c r="AE817" s="392"/>
      <c r="AF817" s="392"/>
      <c r="AG817" s="392"/>
      <c r="AH817" s="392"/>
      <c r="AI817" s="392"/>
      <c r="AJ817" s="392"/>
      <c r="AK817" s="392"/>
      <c r="AL817" s="392"/>
      <c r="AM817" s="392"/>
      <c r="AN817" s="392"/>
      <c r="AO817" s="392"/>
      <c r="AP817" s="392"/>
      <c r="AQ817" s="392"/>
      <c r="AR817" s="392"/>
      <c r="AS817" s="392"/>
      <c r="AT817" s="392"/>
      <c r="AU817" s="392"/>
      <c r="AV817" s="392"/>
      <c r="AW817" s="392"/>
      <c r="AX817" s="392"/>
      <c r="AY817" s="392"/>
      <c r="AZ817" s="392"/>
      <c r="BA817" s="392"/>
      <c r="BB817" s="392"/>
      <c r="BC817" s="392"/>
      <c r="BD817" s="392"/>
      <c r="BE817" s="392"/>
      <c r="BF817" s="392"/>
      <c r="BG817" s="392"/>
      <c r="BH817" s="392"/>
      <c r="BI817" s="392"/>
      <c r="BJ817" s="392"/>
      <c r="BK817" s="392"/>
      <c r="BL817" s="392"/>
      <c r="BM817" s="392"/>
      <c r="BN817" s="392"/>
      <c r="BO817" s="392"/>
      <c r="BP817" s="392"/>
      <c r="BQ817" s="392"/>
      <c r="BR817" s="392"/>
      <c r="BS817" s="392"/>
      <c r="BT817" s="392"/>
    </row>
    <row r="818" ht="15.75" customHeight="1">
      <c r="A818" s="216"/>
      <c r="B818" s="156"/>
      <c r="C818" s="156"/>
      <c r="D818" s="156"/>
      <c r="E818" s="392"/>
      <c r="F818" s="392"/>
      <c r="G818" s="392"/>
      <c r="H818" s="392"/>
      <c r="I818" s="392"/>
      <c r="J818" s="392"/>
      <c r="K818" s="392"/>
      <c r="L818" s="392"/>
      <c r="M818" s="392"/>
      <c r="N818" s="392"/>
      <c r="O818" s="392"/>
      <c r="P818" s="392"/>
      <c r="Q818" s="392"/>
      <c r="R818" s="392"/>
      <c r="S818" s="392"/>
      <c r="T818" s="392"/>
      <c r="U818" s="392"/>
      <c r="V818" s="392"/>
      <c r="W818" s="392"/>
      <c r="X818" s="392"/>
      <c r="Y818" s="392"/>
      <c r="Z818" s="392"/>
      <c r="AA818" s="392"/>
      <c r="AB818" s="392"/>
      <c r="AC818" s="392"/>
      <c r="AD818" s="392"/>
      <c r="AE818" s="392"/>
      <c r="AF818" s="392"/>
      <c r="AG818" s="392"/>
      <c r="AH818" s="392"/>
      <c r="AI818" s="392"/>
      <c r="AJ818" s="392"/>
      <c r="AK818" s="392"/>
      <c r="AL818" s="392"/>
      <c r="AM818" s="392"/>
      <c r="AN818" s="392"/>
      <c r="AO818" s="392"/>
      <c r="AP818" s="392"/>
      <c r="AQ818" s="392"/>
      <c r="AR818" s="392"/>
      <c r="AS818" s="392"/>
      <c r="AT818" s="392"/>
      <c r="AU818" s="392"/>
      <c r="AV818" s="392"/>
      <c r="AW818" s="392"/>
      <c r="AX818" s="392"/>
      <c r="AY818" s="392"/>
      <c r="AZ818" s="392"/>
      <c r="BA818" s="392"/>
      <c r="BB818" s="392"/>
      <c r="BC818" s="392"/>
      <c r="BD818" s="392"/>
      <c r="BE818" s="392"/>
      <c r="BF818" s="392"/>
      <c r="BG818" s="392"/>
      <c r="BH818" s="392"/>
      <c r="BI818" s="392"/>
      <c r="BJ818" s="392"/>
      <c r="BK818" s="392"/>
      <c r="BL818" s="392"/>
      <c r="BM818" s="392"/>
      <c r="BN818" s="392"/>
      <c r="BO818" s="392"/>
      <c r="BP818" s="392"/>
      <c r="BQ818" s="392"/>
      <c r="BR818" s="392"/>
      <c r="BS818" s="392"/>
      <c r="BT818" s="392"/>
    </row>
    <row r="819" ht="15.75" customHeight="1">
      <c r="A819" s="216"/>
      <c r="B819" s="156"/>
      <c r="C819" s="156"/>
      <c r="D819" s="156"/>
      <c r="E819" s="392"/>
      <c r="F819" s="392"/>
      <c r="G819" s="392"/>
      <c r="H819" s="392"/>
      <c r="I819" s="392"/>
      <c r="J819" s="392"/>
      <c r="K819" s="392"/>
      <c r="L819" s="392"/>
      <c r="M819" s="392"/>
      <c r="N819" s="392"/>
      <c r="O819" s="392"/>
      <c r="P819" s="392"/>
      <c r="Q819" s="392"/>
      <c r="R819" s="392"/>
      <c r="S819" s="392"/>
      <c r="T819" s="392"/>
      <c r="U819" s="392"/>
      <c r="V819" s="392"/>
      <c r="W819" s="392"/>
      <c r="X819" s="392"/>
      <c r="Y819" s="392"/>
      <c r="Z819" s="392"/>
      <c r="AA819" s="392"/>
      <c r="AB819" s="392"/>
      <c r="AC819" s="392"/>
      <c r="AD819" s="392"/>
      <c r="AE819" s="392"/>
      <c r="AF819" s="392"/>
      <c r="AG819" s="392"/>
      <c r="AH819" s="392"/>
      <c r="AI819" s="392"/>
      <c r="AJ819" s="392"/>
      <c r="AK819" s="392"/>
      <c r="AL819" s="392"/>
      <c r="AM819" s="392"/>
      <c r="AN819" s="392"/>
      <c r="AO819" s="392"/>
      <c r="AP819" s="392"/>
      <c r="AQ819" s="392"/>
      <c r="AR819" s="392"/>
      <c r="AS819" s="392"/>
      <c r="AT819" s="392"/>
      <c r="AU819" s="392"/>
      <c r="AV819" s="392"/>
      <c r="AW819" s="392"/>
      <c r="AX819" s="392"/>
      <c r="AY819" s="392"/>
      <c r="AZ819" s="392"/>
      <c r="BA819" s="392"/>
      <c r="BB819" s="392"/>
      <c r="BC819" s="392"/>
      <c r="BD819" s="392"/>
      <c r="BE819" s="392"/>
      <c r="BF819" s="392"/>
      <c r="BG819" s="392"/>
      <c r="BH819" s="392"/>
      <c r="BI819" s="392"/>
      <c r="BJ819" s="392"/>
      <c r="BK819" s="392"/>
      <c r="BL819" s="392"/>
      <c r="BM819" s="392"/>
      <c r="BN819" s="392"/>
      <c r="BO819" s="392"/>
      <c r="BP819" s="392"/>
      <c r="BQ819" s="392"/>
      <c r="BR819" s="392"/>
      <c r="BS819" s="392"/>
      <c r="BT819" s="392"/>
    </row>
    <row r="820" ht="15.75" customHeight="1">
      <c r="A820" s="216"/>
      <c r="B820" s="156"/>
      <c r="C820" s="156"/>
      <c r="D820" s="156"/>
      <c r="E820" s="392"/>
      <c r="F820" s="392"/>
      <c r="G820" s="392"/>
      <c r="H820" s="392"/>
      <c r="I820" s="392"/>
      <c r="J820" s="392"/>
      <c r="K820" s="392"/>
      <c r="L820" s="392"/>
      <c r="M820" s="392"/>
      <c r="N820" s="392"/>
      <c r="O820" s="392"/>
      <c r="P820" s="392"/>
      <c r="Q820" s="392"/>
      <c r="R820" s="392"/>
      <c r="S820" s="392"/>
      <c r="T820" s="392"/>
      <c r="U820" s="392"/>
      <c r="V820" s="392"/>
      <c r="W820" s="392"/>
      <c r="X820" s="392"/>
      <c r="Y820" s="392"/>
      <c r="Z820" s="392"/>
      <c r="AA820" s="392"/>
      <c r="AB820" s="392"/>
      <c r="AC820" s="392"/>
      <c r="AD820" s="392"/>
      <c r="AE820" s="392"/>
      <c r="AF820" s="392"/>
      <c r="AG820" s="392"/>
      <c r="AH820" s="392"/>
      <c r="AI820" s="392"/>
      <c r="AJ820" s="392"/>
      <c r="AK820" s="392"/>
      <c r="AL820" s="392"/>
      <c r="AM820" s="392"/>
      <c r="AN820" s="392"/>
      <c r="AO820" s="392"/>
      <c r="AP820" s="392"/>
      <c r="AQ820" s="392"/>
      <c r="AR820" s="392"/>
      <c r="AS820" s="392"/>
      <c r="AT820" s="392"/>
      <c r="AU820" s="392"/>
      <c r="AV820" s="392"/>
      <c r="AW820" s="392"/>
      <c r="AX820" s="392"/>
      <c r="AY820" s="392"/>
      <c r="AZ820" s="392"/>
      <c r="BA820" s="392"/>
      <c r="BB820" s="392"/>
      <c r="BC820" s="392"/>
      <c r="BD820" s="392"/>
      <c r="BE820" s="392"/>
      <c r="BF820" s="392"/>
      <c r="BG820" s="392"/>
      <c r="BH820" s="392"/>
      <c r="BI820" s="392"/>
      <c r="BJ820" s="392"/>
      <c r="BK820" s="392"/>
      <c r="BL820" s="392"/>
      <c r="BM820" s="392"/>
      <c r="BN820" s="392"/>
      <c r="BO820" s="392"/>
      <c r="BP820" s="392"/>
      <c r="BQ820" s="392"/>
      <c r="BR820" s="392"/>
      <c r="BS820" s="392"/>
      <c r="BT820" s="392"/>
    </row>
    <row r="821" ht="15.75" customHeight="1">
      <c r="A821" s="216"/>
      <c r="B821" s="156"/>
      <c r="C821" s="156"/>
      <c r="D821" s="156"/>
      <c r="E821" s="392"/>
      <c r="F821" s="392"/>
      <c r="G821" s="392"/>
      <c r="H821" s="392"/>
      <c r="I821" s="392"/>
      <c r="J821" s="392"/>
      <c r="K821" s="392"/>
      <c r="L821" s="392"/>
      <c r="M821" s="392"/>
      <c r="N821" s="392"/>
      <c r="O821" s="392"/>
      <c r="P821" s="392"/>
      <c r="Q821" s="392"/>
      <c r="R821" s="392"/>
      <c r="S821" s="392"/>
      <c r="T821" s="392"/>
      <c r="U821" s="392"/>
      <c r="V821" s="392"/>
      <c r="W821" s="392"/>
      <c r="X821" s="392"/>
      <c r="Y821" s="392"/>
      <c r="Z821" s="392"/>
      <c r="AA821" s="392"/>
      <c r="AB821" s="392"/>
      <c r="AC821" s="392"/>
      <c r="AD821" s="392"/>
      <c r="AE821" s="392"/>
      <c r="AF821" s="392"/>
      <c r="AG821" s="392"/>
      <c r="AH821" s="392"/>
      <c r="AI821" s="392"/>
      <c r="AJ821" s="392"/>
      <c r="AK821" s="392"/>
      <c r="AL821" s="392"/>
      <c r="AM821" s="392"/>
      <c r="AN821" s="392"/>
      <c r="AO821" s="392"/>
      <c r="AP821" s="392"/>
      <c r="AQ821" s="392"/>
      <c r="AR821" s="392"/>
      <c r="AS821" s="392"/>
      <c r="AT821" s="392"/>
      <c r="AU821" s="392"/>
      <c r="AV821" s="392"/>
      <c r="AW821" s="392"/>
      <c r="AX821" s="392"/>
      <c r="AY821" s="392"/>
      <c r="AZ821" s="392"/>
      <c r="BA821" s="392"/>
      <c r="BB821" s="392"/>
      <c r="BC821" s="392"/>
      <c r="BD821" s="392"/>
      <c r="BE821" s="392"/>
      <c r="BF821" s="392"/>
      <c r="BG821" s="392"/>
      <c r="BH821" s="392"/>
      <c r="BI821" s="392"/>
      <c r="BJ821" s="392"/>
      <c r="BK821" s="392"/>
      <c r="BL821" s="392"/>
      <c r="BM821" s="392"/>
      <c r="BN821" s="392"/>
      <c r="BO821" s="392"/>
      <c r="BP821" s="392"/>
      <c r="BQ821" s="392"/>
      <c r="BR821" s="392"/>
      <c r="BS821" s="392"/>
      <c r="BT821" s="392"/>
    </row>
    <row r="822" ht="15.75" customHeight="1">
      <c r="A822" s="216"/>
      <c r="B822" s="156"/>
      <c r="C822" s="156"/>
      <c r="D822" s="156"/>
      <c r="E822" s="392"/>
      <c r="F822" s="392"/>
      <c r="G822" s="392"/>
      <c r="H822" s="392"/>
      <c r="I822" s="392"/>
      <c r="J822" s="392"/>
      <c r="K822" s="392"/>
      <c r="L822" s="392"/>
      <c r="M822" s="392"/>
      <c r="N822" s="392"/>
      <c r="O822" s="392"/>
      <c r="P822" s="392"/>
      <c r="Q822" s="392"/>
      <c r="R822" s="392"/>
      <c r="S822" s="392"/>
      <c r="T822" s="392"/>
      <c r="U822" s="392"/>
      <c r="V822" s="392"/>
      <c r="W822" s="392"/>
      <c r="X822" s="392"/>
      <c r="Y822" s="392"/>
      <c r="Z822" s="392"/>
      <c r="AA822" s="392"/>
      <c r="AB822" s="392"/>
      <c r="AC822" s="392"/>
      <c r="AD822" s="392"/>
      <c r="AE822" s="392"/>
      <c r="AF822" s="392"/>
      <c r="AG822" s="392"/>
      <c r="AH822" s="392"/>
      <c r="AI822" s="392"/>
      <c r="AJ822" s="392"/>
      <c r="AK822" s="392"/>
      <c r="AL822" s="392"/>
      <c r="AM822" s="392"/>
      <c r="AN822" s="392"/>
      <c r="AO822" s="392"/>
      <c r="AP822" s="392"/>
      <c r="AQ822" s="392"/>
      <c r="AR822" s="392"/>
      <c r="AS822" s="392"/>
      <c r="AT822" s="392"/>
      <c r="AU822" s="392"/>
      <c r="AV822" s="392"/>
      <c r="AW822" s="392"/>
      <c r="AX822" s="392"/>
      <c r="AY822" s="392"/>
      <c r="AZ822" s="392"/>
      <c r="BA822" s="392"/>
      <c r="BB822" s="392"/>
      <c r="BC822" s="392"/>
      <c r="BD822" s="392"/>
      <c r="BE822" s="392"/>
      <c r="BF822" s="392"/>
      <c r="BG822" s="392"/>
      <c r="BH822" s="392"/>
      <c r="BI822" s="392"/>
      <c r="BJ822" s="392"/>
      <c r="BK822" s="392"/>
      <c r="BL822" s="392"/>
      <c r="BM822" s="392"/>
      <c r="BN822" s="392"/>
      <c r="BO822" s="392"/>
      <c r="BP822" s="392"/>
      <c r="BQ822" s="392"/>
      <c r="BR822" s="392"/>
      <c r="BS822" s="392"/>
      <c r="BT822" s="392"/>
    </row>
    <row r="823" ht="15.75" customHeight="1">
      <c r="A823" s="216"/>
      <c r="B823" s="156"/>
      <c r="C823" s="156"/>
      <c r="D823" s="156"/>
      <c r="E823" s="392"/>
      <c r="F823" s="392"/>
      <c r="G823" s="392"/>
      <c r="H823" s="392"/>
      <c r="I823" s="392"/>
      <c r="J823" s="392"/>
      <c r="K823" s="392"/>
      <c r="L823" s="392"/>
      <c r="M823" s="392"/>
      <c r="N823" s="392"/>
      <c r="O823" s="392"/>
      <c r="P823" s="392"/>
      <c r="Q823" s="392"/>
      <c r="R823" s="392"/>
      <c r="S823" s="392"/>
      <c r="T823" s="392"/>
      <c r="U823" s="392"/>
      <c r="V823" s="392"/>
      <c r="W823" s="392"/>
      <c r="X823" s="392"/>
      <c r="Y823" s="392"/>
      <c r="Z823" s="392"/>
      <c r="AA823" s="392"/>
      <c r="AB823" s="392"/>
      <c r="AC823" s="392"/>
      <c r="AD823" s="392"/>
      <c r="AE823" s="392"/>
      <c r="AF823" s="392"/>
      <c r="AG823" s="392"/>
      <c r="AH823" s="392"/>
      <c r="AI823" s="392"/>
      <c r="AJ823" s="392"/>
      <c r="AK823" s="392"/>
      <c r="AL823" s="392"/>
      <c r="AM823" s="392"/>
      <c r="AN823" s="392"/>
      <c r="AO823" s="392"/>
      <c r="AP823" s="392"/>
      <c r="AQ823" s="392"/>
      <c r="AR823" s="392"/>
      <c r="AS823" s="392"/>
      <c r="AT823" s="392"/>
      <c r="AU823" s="392"/>
      <c r="AV823" s="392"/>
      <c r="AW823" s="392"/>
      <c r="AX823" s="392"/>
      <c r="AY823" s="392"/>
      <c r="AZ823" s="392"/>
      <c r="BA823" s="392"/>
      <c r="BB823" s="392"/>
      <c r="BC823" s="392"/>
      <c r="BD823" s="392"/>
      <c r="BE823" s="392"/>
      <c r="BF823" s="392"/>
      <c r="BG823" s="392"/>
      <c r="BH823" s="392"/>
      <c r="BI823" s="392"/>
      <c r="BJ823" s="392"/>
      <c r="BK823" s="392"/>
      <c r="BL823" s="392"/>
      <c r="BM823" s="392"/>
      <c r="BN823" s="392"/>
      <c r="BO823" s="392"/>
      <c r="BP823" s="392"/>
      <c r="BQ823" s="392"/>
      <c r="BR823" s="392"/>
      <c r="BS823" s="392"/>
      <c r="BT823" s="392"/>
    </row>
    <row r="824" ht="15.75" customHeight="1">
      <c r="A824" s="216"/>
      <c r="B824" s="156"/>
      <c r="C824" s="156"/>
      <c r="D824" s="156"/>
      <c r="E824" s="392"/>
      <c r="F824" s="392"/>
      <c r="G824" s="392"/>
      <c r="H824" s="392"/>
      <c r="I824" s="392"/>
      <c r="J824" s="392"/>
      <c r="K824" s="392"/>
      <c r="L824" s="392"/>
      <c r="M824" s="392"/>
      <c r="N824" s="392"/>
      <c r="O824" s="392"/>
      <c r="P824" s="392"/>
      <c r="Q824" s="392"/>
      <c r="R824" s="392"/>
      <c r="S824" s="392"/>
      <c r="T824" s="392"/>
      <c r="U824" s="392"/>
      <c r="V824" s="392"/>
      <c r="W824" s="392"/>
      <c r="X824" s="392"/>
      <c r="Y824" s="392"/>
      <c r="Z824" s="392"/>
      <c r="AA824" s="392"/>
      <c r="AB824" s="392"/>
      <c r="AC824" s="392"/>
      <c r="AD824" s="392"/>
      <c r="AE824" s="392"/>
      <c r="AF824" s="392"/>
      <c r="AG824" s="392"/>
      <c r="AH824" s="392"/>
      <c r="AI824" s="392"/>
      <c r="AJ824" s="392"/>
      <c r="AK824" s="392"/>
      <c r="AL824" s="392"/>
      <c r="AM824" s="392"/>
      <c r="AN824" s="392"/>
      <c r="AO824" s="392"/>
      <c r="AP824" s="392"/>
      <c r="AQ824" s="392"/>
      <c r="AR824" s="392"/>
      <c r="AS824" s="392"/>
      <c r="AT824" s="392"/>
      <c r="AU824" s="392"/>
      <c r="AV824" s="392"/>
      <c r="AW824" s="392"/>
      <c r="AX824" s="392"/>
      <c r="AY824" s="392"/>
      <c r="AZ824" s="392"/>
      <c r="BA824" s="392"/>
      <c r="BB824" s="392"/>
      <c r="BC824" s="392"/>
      <c r="BD824" s="392"/>
      <c r="BE824" s="392"/>
      <c r="BF824" s="392"/>
      <c r="BG824" s="392"/>
      <c r="BH824" s="392"/>
      <c r="BI824" s="392"/>
      <c r="BJ824" s="392"/>
      <c r="BK824" s="392"/>
      <c r="BL824" s="392"/>
      <c r="BM824" s="392"/>
      <c r="BN824" s="392"/>
      <c r="BO824" s="392"/>
      <c r="BP824" s="392"/>
      <c r="BQ824" s="392"/>
      <c r="BR824" s="392"/>
      <c r="BS824" s="392"/>
      <c r="BT824" s="392"/>
    </row>
    <row r="825" ht="15.75" customHeight="1">
      <c r="A825" s="216"/>
      <c r="B825" s="156"/>
      <c r="C825" s="156"/>
      <c r="D825" s="156"/>
      <c r="E825" s="392"/>
      <c r="F825" s="392"/>
      <c r="G825" s="392"/>
      <c r="H825" s="392"/>
      <c r="I825" s="392"/>
      <c r="J825" s="392"/>
      <c r="K825" s="392"/>
      <c r="L825" s="392"/>
      <c r="M825" s="392"/>
      <c r="N825" s="392"/>
      <c r="O825" s="392"/>
      <c r="P825" s="392"/>
      <c r="Q825" s="392"/>
      <c r="R825" s="392"/>
      <c r="S825" s="392"/>
      <c r="T825" s="392"/>
      <c r="U825" s="392"/>
      <c r="V825" s="392"/>
      <c r="W825" s="392"/>
      <c r="X825" s="392"/>
      <c r="Y825" s="392"/>
      <c r="Z825" s="392"/>
      <c r="AA825" s="392"/>
      <c r="AB825" s="392"/>
      <c r="AC825" s="392"/>
      <c r="AD825" s="392"/>
      <c r="AE825" s="392"/>
      <c r="AF825" s="392"/>
      <c r="AG825" s="392"/>
      <c r="AH825" s="392"/>
      <c r="AI825" s="392"/>
      <c r="AJ825" s="392"/>
      <c r="AK825" s="392"/>
      <c r="AL825" s="392"/>
      <c r="AM825" s="392"/>
      <c r="AN825" s="392"/>
      <c r="AO825" s="392"/>
      <c r="AP825" s="392"/>
      <c r="AQ825" s="392"/>
      <c r="AR825" s="392"/>
      <c r="AS825" s="392"/>
      <c r="AT825" s="392"/>
      <c r="AU825" s="392"/>
      <c r="AV825" s="392"/>
      <c r="AW825" s="392"/>
      <c r="AX825" s="392"/>
      <c r="AY825" s="392"/>
      <c r="AZ825" s="392"/>
      <c r="BA825" s="392"/>
      <c r="BB825" s="392"/>
      <c r="BC825" s="392"/>
      <c r="BD825" s="392"/>
      <c r="BE825" s="392"/>
      <c r="BF825" s="392"/>
      <c r="BG825" s="392"/>
      <c r="BH825" s="392"/>
      <c r="BI825" s="392"/>
      <c r="BJ825" s="392"/>
      <c r="BK825" s="392"/>
      <c r="BL825" s="392"/>
      <c r="BM825" s="392"/>
      <c r="BN825" s="392"/>
      <c r="BO825" s="392"/>
      <c r="BP825" s="392"/>
      <c r="BQ825" s="392"/>
      <c r="BR825" s="392"/>
      <c r="BS825" s="392"/>
      <c r="BT825" s="392"/>
    </row>
    <row r="826" ht="15.75" customHeight="1">
      <c r="A826" s="216"/>
      <c r="B826" s="156"/>
      <c r="C826" s="156"/>
      <c r="D826" s="156"/>
      <c r="E826" s="392"/>
      <c r="F826" s="392"/>
      <c r="G826" s="392"/>
      <c r="H826" s="392"/>
      <c r="I826" s="392"/>
      <c r="J826" s="392"/>
      <c r="K826" s="392"/>
      <c r="L826" s="392"/>
      <c r="M826" s="392"/>
      <c r="N826" s="392"/>
      <c r="O826" s="392"/>
      <c r="P826" s="392"/>
      <c r="Q826" s="392"/>
      <c r="R826" s="392"/>
      <c r="S826" s="392"/>
      <c r="T826" s="392"/>
      <c r="U826" s="392"/>
      <c r="V826" s="392"/>
      <c r="W826" s="392"/>
      <c r="X826" s="392"/>
      <c r="Y826" s="392"/>
      <c r="Z826" s="392"/>
      <c r="AA826" s="392"/>
      <c r="AB826" s="392"/>
      <c r="AC826" s="392"/>
      <c r="AD826" s="392"/>
      <c r="AE826" s="392"/>
      <c r="AF826" s="392"/>
      <c r="AG826" s="392"/>
      <c r="AH826" s="392"/>
      <c r="AI826" s="392"/>
      <c r="AJ826" s="392"/>
      <c r="AK826" s="392"/>
      <c r="AL826" s="392"/>
      <c r="AM826" s="392"/>
      <c r="AN826" s="392"/>
      <c r="AO826" s="392"/>
      <c r="AP826" s="392"/>
      <c r="AQ826" s="392"/>
      <c r="AR826" s="392"/>
      <c r="AS826" s="392"/>
      <c r="AT826" s="392"/>
      <c r="AU826" s="392"/>
      <c r="AV826" s="392"/>
      <c r="AW826" s="392"/>
      <c r="AX826" s="392"/>
      <c r="AY826" s="392"/>
      <c r="AZ826" s="392"/>
      <c r="BA826" s="392"/>
      <c r="BB826" s="392"/>
      <c r="BC826" s="392"/>
      <c r="BD826" s="392"/>
      <c r="BE826" s="392"/>
      <c r="BF826" s="392"/>
      <c r="BG826" s="392"/>
      <c r="BH826" s="392"/>
      <c r="BI826" s="392"/>
      <c r="BJ826" s="392"/>
      <c r="BK826" s="392"/>
      <c r="BL826" s="392"/>
      <c r="BM826" s="392"/>
      <c r="BN826" s="392"/>
      <c r="BO826" s="392"/>
      <c r="BP826" s="392"/>
      <c r="BQ826" s="392"/>
      <c r="BR826" s="392"/>
      <c r="BS826" s="392"/>
      <c r="BT826" s="392"/>
    </row>
    <row r="827" ht="15.75" customHeight="1">
      <c r="A827" s="216"/>
      <c r="B827" s="156"/>
      <c r="C827" s="156"/>
      <c r="D827" s="156"/>
      <c r="E827" s="392"/>
      <c r="F827" s="392"/>
      <c r="G827" s="392"/>
      <c r="H827" s="392"/>
      <c r="I827" s="392"/>
      <c r="J827" s="392"/>
      <c r="K827" s="392"/>
      <c r="L827" s="392"/>
      <c r="M827" s="392"/>
      <c r="N827" s="392"/>
      <c r="O827" s="392"/>
      <c r="P827" s="392"/>
      <c r="Q827" s="392"/>
      <c r="R827" s="392"/>
      <c r="S827" s="392"/>
      <c r="T827" s="392"/>
      <c r="U827" s="392"/>
      <c r="V827" s="392"/>
      <c r="W827" s="392"/>
      <c r="X827" s="392"/>
      <c r="Y827" s="392"/>
      <c r="Z827" s="392"/>
      <c r="AA827" s="392"/>
      <c r="AB827" s="392"/>
      <c r="AC827" s="392"/>
      <c r="AD827" s="392"/>
      <c r="AE827" s="392"/>
      <c r="AF827" s="392"/>
      <c r="AG827" s="392"/>
      <c r="AH827" s="392"/>
      <c r="AI827" s="392"/>
      <c r="AJ827" s="392"/>
      <c r="AK827" s="392"/>
      <c r="AL827" s="392"/>
      <c r="AM827" s="392"/>
      <c r="AN827" s="392"/>
      <c r="AO827" s="392"/>
      <c r="AP827" s="392"/>
      <c r="AQ827" s="392"/>
      <c r="AR827" s="392"/>
      <c r="AS827" s="392"/>
      <c r="AT827" s="392"/>
      <c r="AU827" s="392"/>
      <c r="AV827" s="392"/>
      <c r="AW827" s="392"/>
      <c r="AX827" s="392"/>
      <c r="AY827" s="392"/>
      <c r="AZ827" s="392"/>
      <c r="BA827" s="392"/>
      <c r="BB827" s="392"/>
      <c r="BC827" s="392"/>
      <c r="BD827" s="392"/>
      <c r="BE827" s="392"/>
      <c r="BF827" s="392"/>
      <c r="BG827" s="392"/>
      <c r="BH827" s="392"/>
      <c r="BI827" s="392"/>
      <c r="BJ827" s="392"/>
      <c r="BK827" s="392"/>
      <c r="BL827" s="392"/>
      <c r="BM827" s="392"/>
      <c r="BN827" s="392"/>
      <c r="BO827" s="392"/>
      <c r="BP827" s="392"/>
      <c r="BQ827" s="392"/>
      <c r="BR827" s="392"/>
      <c r="BS827" s="392"/>
      <c r="BT827" s="392"/>
    </row>
    <row r="828" ht="15.75" customHeight="1">
      <c r="A828" s="216"/>
      <c r="B828" s="156"/>
      <c r="C828" s="156"/>
      <c r="D828" s="156"/>
      <c r="E828" s="392"/>
      <c r="F828" s="392"/>
      <c r="G828" s="392"/>
      <c r="H828" s="392"/>
      <c r="I828" s="392"/>
      <c r="J828" s="392"/>
      <c r="K828" s="392"/>
      <c r="L828" s="392"/>
      <c r="M828" s="392"/>
      <c r="N828" s="392"/>
      <c r="O828" s="392"/>
      <c r="P828" s="392"/>
      <c r="Q828" s="392"/>
      <c r="R828" s="392"/>
      <c r="S828" s="392"/>
      <c r="T828" s="392"/>
      <c r="U828" s="392"/>
      <c r="V828" s="392"/>
      <c r="W828" s="392"/>
      <c r="X828" s="392"/>
      <c r="Y828" s="392"/>
      <c r="Z828" s="392"/>
      <c r="AA828" s="392"/>
      <c r="AB828" s="392"/>
      <c r="AC828" s="392"/>
      <c r="AD828" s="392"/>
      <c r="AE828" s="392"/>
      <c r="AF828" s="392"/>
      <c r="AG828" s="392"/>
      <c r="AH828" s="392"/>
      <c r="AI828" s="392"/>
      <c r="AJ828" s="392"/>
      <c r="AK828" s="392"/>
      <c r="AL828" s="392"/>
      <c r="AM828" s="392"/>
      <c r="AN828" s="392"/>
      <c r="AO828" s="392"/>
      <c r="AP828" s="392"/>
      <c r="AQ828" s="392"/>
      <c r="AR828" s="392"/>
      <c r="AS828" s="392"/>
      <c r="AT828" s="392"/>
      <c r="AU828" s="392"/>
      <c r="AV828" s="392"/>
      <c r="AW828" s="392"/>
      <c r="AX828" s="392"/>
      <c r="AY828" s="392"/>
      <c r="AZ828" s="392"/>
      <c r="BA828" s="392"/>
      <c r="BB828" s="392"/>
      <c r="BC828" s="392"/>
      <c r="BD828" s="392"/>
      <c r="BE828" s="392"/>
      <c r="BF828" s="392"/>
      <c r="BG828" s="392"/>
      <c r="BH828" s="392"/>
      <c r="BI828" s="392"/>
      <c r="BJ828" s="392"/>
      <c r="BK828" s="392"/>
      <c r="BL828" s="392"/>
      <c r="BM828" s="392"/>
      <c r="BN828" s="392"/>
      <c r="BO828" s="392"/>
      <c r="BP828" s="392"/>
      <c r="BQ828" s="392"/>
      <c r="BR828" s="392"/>
      <c r="BS828" s="392"/>
      <c r="BT828" s="392"/>
    </row>
    <row r="829" ht="15.75" customHeight="1">
      <c r="A829" s="216"/>
      <c r="B829" s="156"/>
      <c r="C829" s="156"/>
      <c r="D829" s="156"/>
      <c r="E829" s="392"/>
      <c r="F829" s="392"/>
      <c r="G829" s="392"/>
      <c r="H829" s="392"/>
      <c r="I829" s="392"/>
      <c r="J829" s="392"/>
      <c r="K829" s="392"/>
      <c r="L829" s="392"/>
      <c r="M829" s="392"/>
      <c r="N829" s="392"/>
      <c r="O829" s="392"/>
      <c r="P829" s="392"/>
      <c r="Q829" s="392"/>
      <c r="R829" s="392"/>
      <c r="S829" s="392"/>
      <c r="T829" s="392"/>
      <c r="U829" s="392"/>
      <c r="V829" s="392"/>
      <c r="W829" s="392"/>
      <c r="X829" s="392"/>
      <c r="Y829" s="392"/>
      <c r="Z829" s="392"/>
      <c r="AA829" s="392"/>
      <c r="AB829" s="392"/>
      <c r="AC829" s="392"/>
      <c r="AD829" s="392"/>
      <c r="AE829" s="392"/>
      <c r="AF829" s="392"/>
      <c r="AG829" s="392"/>
      <c r="AH829" s="392"/>
      <c r="AI829" s="392"/>
      <c r="AJ829" s="392"/>
      <c r="AK829" s="392"/>
      <c r="AL829" s="392"/>
      <c r="AM829" s="392"/>
      <c r="AN829" s="392"/>
      <c r="AO829" s="392"/>
      <c r="AP829" s="392"/>
      <c r="AQ829" s="392"/>
      <c r="AR829" s="392"/>
      <c r="AS829" s="392"/>
      <c r="AT829" s="392"/>
      <c r="AU829" s="392"/>
      <c r="AV829" s="392"/>
      <c r="AW829" s="392"/>
      <c r="AX829" s="392"/>
      <c r="AY829" s="392"/>
      <c r="AZ829" s="392"/>
      <c r="BA829" s="392"/>
      <c r="BB829" s="392"/>
      <c r="BC829" s="392"/>
      <c r="BD829" s="392"/>
      <c r="BE829" s="392"/>
      <c r="BF829" s="392"/>
      <c r="BG829" s="392"/>
      <c r="BH829" s="392"/>
      <c r="BI829" s="392"/>
      <c r="BJ829" s="392"/>
      <c r="BK829" s="392"/>
      <c r="BL829" s="392"/>
      <c r="BM829" s="392"/>
      <c r="BN829" s="392"/>
      <c r="BO829" s="392"/>
      <c r="BP829" s="392"/>
      <c r="BQ829" s="392"/>
      <c r="BR829" s="392"/>
      <c r="BS829" s="392"/>
      <c r="BT829" s="392"/>
    </row>
    <row r="830" ht="15.75" customHeight="1">
      <c r="A830" s="216"/>
      <c r="B830" s="156"/>
      <c r="C830" s="156"/>
      <c r="D830" s="156"/>
      <c r="E830" s="392"/>
      <c r="F830" s="392"/>
      <c r="G830" s="392"/>
      <c r="H830" s="392"/>
      <c r="I830" s="392"/>
      <c r="J830" s="392"/>
      <c r="K830" s="392"/>
      <c r="L830" s="392"/>
      <c r="M830" s="392"/>
      <c r="N830" s="392"/>
      <c r="O830" s="392"/>
      <c r="P830" s="392"/>
      <c r="Q830" s="392"/>
      <c r="R830" s="392"/>
      <c r="S830" s="392"/>
      <c r="T830" s="392"/>
      <c r="U830" s="392"/>
      <c r="V830" s="392"/>
      <c r="W830" s="392"/>
      <c r="X830" s="392"/>
      <c r="Y830" s="392"/>
      <c r="Z830" s="392"/>
      <c r="AA830" s="392"/>
      <c r="AB830" s="392"/>
      <c r="AC830" s="392"/>
      <c r="AD830" s="392"/>
      <c r="AE830" s="392"/>
      <c r="AF830" s="392"/>
      <c r="AG830" s="392"/>
      <c r="AH830" s="392"/>
      <c r="AI830" s="392"/>
      <c r="AJ830" s="392"/>
      <c r="AK830" s="392"/>
      <c r="AL830" s="392"/>
      <c r="AM830" s="392"/>
      <c r="AN830" s="392"/>
      <c r="AO830" s="392"/>
      <c r="AP830" s="392"/>
      <c r="AQ830" s="392"/>
      <c r="AR830" s="392"/>
      <c r="AS830" s="392"/>
      <c r="AT830" s="392"/>
      <c r="AU830" s="392"/>
      <c r="AV830" s="392"/>
      <c r="AW830" s="392"/>
      <c r="AX830" s="392"/>
      <c r="AY830" s="392"/>
      <c r="AZ830" s="392"/>
      <c r="BA830" s="392"/>
      <c r="BB830" s="392"/>
      <c r="BC830" s="392"/>
      <c r="BD830" s="392"/>
      <c r="BE830" s="392"/>
      <c r="BF830" s="392"/>
      <c r="BG830" s="392"/>
      <c r="BH830" s="392"/>
      <c r="BI830" s="392"/>
      <c r="BJ830" s="392"/>
      <c r="BK830" s="392"/>
      <c r="BL830" s="392"/>
      <c r="BM830" s="392"/>
      <c r="BN830" s="392"/>
      <c r="BO830" s="392"/>
      <c r="BP830" s="392"/>
      <c r="BQ830" s="392"/>
      <c r="BR830" s="392"/>
      <c r="BS830" s="392"/>
      <c r="BT830" s="392"/>
    </row>
    <row r="831" ht="15.75" customHeight="1">
      <c r="A831" s="216"/>
      <c r="B831" s="156"/>
      <c r="C831" s="156"/>
      <c r="D831" s="156"/>
      <c r="E831" s="392"/>
      <c r="F831" s="392"/>
      <c r="G831" s="392"/>
      <c r="H831" s="392"/>
      <c r="I831" s="392"/>
      <c r="J831" s="392"/>
      <c r="K831" s="392"/>
      <c r="L831" s="392"/>
      <c r="M831" s="392"/>
      <c r="N831" s="392"/>
      <c r="O831" s="392"/>
      <c r="P831" s="392"/>
      <c r="Q831" s="392"/>
      <c r="R831" s="392"/>
      <c r="S831" s="392"/>
      <c r="T831" s="392"/>
      <c r="U831" s="392"/>
      <c r="V831" s="392"/>
      <c r="W831" s="392"/>
      <c r="X831" s="392"/>
      <c r="Y831" s="392"/>
      <c r="Z831" s="392"/>
      <c r="AA831" s="392"/>
      <c r="AB831" s="392"/>
      <c r="AC831" s="392"/>
      <c r="AD831" s="392"/>
      <c r="AE831" s="392"/>
      <c r="AF831" s="392"/>
      <c r="AG831" s="392"/>
      <c r="AH831" s="392"/>
      <c r="AI831" s="392"/>
      <c r="AJ831" s="392"/>
      <c r="AK831" s="392"/>
      <c r="AL831" s="392"/>
      <c r="AM831" s="392"/>
      <c r="AN831" s="392"/>
      <c r="AO831" s="392"/>
      <c r="AP831" s="392"/>
      <c r="AQ831" s="392"/>
      <c r="AR831" s="392"/>
      <c r="AS831" s="392"/>
      <c r="AT831" s="392"/>
      <c r="AU831" s="392"/>
      <c r="AV831" s="392"/>
      <c r="AW831" s="392"/>
      <c r="AX831" s="392"/>
      <c r="AY831" s="392"/>
      <c r="AZ831" s="392"/>
      <c r="BA831" s="392"/>
      <c r="BB831" s="392"/>
      <c r="BC831" s="392"/>
      <c r="BD831" s="392"/>
      <c r="BE831" s="392"/>
      <c r="BF831" s="392"/>
      <c r="BG831" s="392"/>
      <c r="BH831" s="392"/>
      <c r="BI831" s="392"/>
      <c r="BJ831" s="392"/>
      <c r="BK831" s="392"/>
      <c r="BL831" s="392"/>
      <c r="BM831" s="392"/>
      <c r="BN831" s="392"/>
      <c r="BO831" s="392"/>
      <c r="BP831" s="392"/>
      <c r="BQ831" s="392"/>
      <c r="BR831" s="392"/>
      <c r="BS831" s="392"/>
      <c r="BT831" s="392"/>
    </row>
    <row r="832" ht="15.75" customHeight="1">
      <c r="A832" s="216"/>
      <c r="B832" s="156"/>
      <c r="C832" s="156"/>
      <c r="D832" s="156"/>
      <c r="E832" s="392"/>
      <c r="F832" s="392"/>
      <c r="G832" s="392"/>
      <c r="H832" s="392"/>
      <c r="I832" s="392"/>
      <c r="J832" s="392"/>
      <c r="K832" s="392"/>
      <c r="L832" s="392"/>
      <c r="M832" s="392"/>
      <c r="N832" s="392"/>
      <c r="O832" s="392"/>
      <c r="P832" s="392"/>
      <c r="Q832" s="392"/>
      <c r="R832" s="392"/>
      <c r="S832" s="392"/>
      <c r="T832" s="392"/>
      <c r="U832" s="392"/>
      <c r="V832" s="392"/>
      <c r="W832" s="392"/>
      <c r="X832" s="392"/>
      <c r="Y832" s="392"/>
      <c r="Z832" s="392"/>
      <c r="AA832" s="392"/>
      <c r="AB832" s="392"/>
      <c r="AC832" s="392"/>
      <c r="AD832" s="392"/>
      <c r="AE832" s="392"/>
      <c r="AF832" s="392"/>
      <c r="AG832" s="392"/>
      <c r="AH832" s="392"/>
      <c r="AI832" s="392"/>
      <c r="AJ832" s="392"/>
      <c r="AK832" s="392"/>
      <c r="AL832" s="392"/>
      <c r="AM832" s="392"/>
      <c r="AN832" s="392"/>
      <c r="AO832" s="392"/>
      <c r="AP832" s="392"/>
      <c r="AQ832" s="392"/>
      <c r="AR832" s="392"/>
      <c r="AS832" s="392"/>
      <c r="AT832" s="392"/>
      <c r="AU832" s="392"/>
      <c r="AV832" s="392"/>
      <c r="AW832" s="392"/>
      <c r="AX832" s="392"/>
      <c r="AY832" s="392"/>
      <c r="AZ832" s="392"/>
      <c r="BA832" s="392"/>
      <c r="BB832" s="392"/>
      <c r="BC832" s="392"/>
      <c r="BD832" s="392"/>
      <c r="BE832" s="392"/>
      <c r="BF832" s="392"/>
      <c r="BG832" s="392"/>
      <c r="BH832" s="392"/>
      <c r="BI832" s="392"/>
      <c r="BJ832" s="392"/>
      <c r="BK832" s="392"/>
      <c r="BL832" s="392"/>
      <c r="BM832" s="392"/>
      <c r="BN832" s="392"/>
      <c r="BO832" s="392"/>
      <c r="BP832" s="392"/>
      <c r="BQ832" s="392"/>
      <c r="BR832" s="392"/>
      <c r="BS832" s="392"/>
      <c r="BT832" s="392"/>
    </row>
    <row r="833" ht="15.75" customHeight="1">
      <c r="A833" s="216"/>
      <c r="B833" s="156"/>
      <c r="C833" s="156"/>
      <c r="D833" s="156"/>
      <c r="E833" s="392"/>
      <c r="F833" s="392"/>
      <c r="G833" s="392"/>
      <c r="H833" s="392"/>
      <c r="I833" s="392"/>
      <c r="J833" s="392"/>
      <c r="K833" s="392"/>
      <c r="L833" s="392"/>
      <c r="M833" s="392"/>
      <c r="N833" s="392"/>
      <c r="O833" s="392"/>
      <c r="P833" s="392"/>
      <c r="Q833" s="392"/>
      <c r="R833" s="392"/>
      <c r="S833" s="392"/>
      <c r="T833" s="392"/>
      <c r="U833" s="392"/>
      <c r="V833" s="392"/>
      <c r="W833" s="392"/>
      <c r="X833" s="392"/>
      <c r="Y833" s="392"/>
      <c r="Z833" s="392"/>
      <c r="AA833" s="392"/>
      <c r="AB833" s="392"/>
      <c r="AC833" s="392"/>
      <c r="AD833" s="392"/>
      <c r="AE833" s="392"/>
      <c r="AF833" s="392"/>
      <c r="AG833" s="392"/>
      <c r="AH833" s="392"/>
      <c r="AI833" s="392"/>
      <c r="AJ833" s="392"/>
      <c r="AK833" s="392"/>
      <c r="AL833" s="392"/>
      <c r="AM833" s="392"/>
      <c r="AN833" s="392"/>
      <c r="AO833" s="392"/>
      <c r="AP833" s="392"/>
      <c r="AQ833" s="392"/>
      <c r="AR833" s="392"/>
      <c r="AS833" s="392"/>
      <c r="AT833" s="392"/>
      <c r="AU833" s="392"/>
      <c r="AV833" s="392"/>
      <c r="AW833" s="392"/>
      <c r="AX833" s="392"/>
      <c r="AY833" s="392"/>
      <c r="AZ833" s="392"/>
      <c r="BA833" s="392"/>
      <c r="BB833" s="392"/>
      <c r="BC833" s="392"/>
      <c r="BD833" s="392"/>
      <c r="BE833" s="392"/>
      <c r="BF833" s="392"/>
      <c r="BG833" s="392"/>
      <c r="BH833" s="392"/>
      <c r="BI833" s="392"/>
      <c r="BJ833" s="392"/>
      <c r="BK833" s="392"/>
      <c r="BL833" s="392"/>
      <c r="BM833" s="392"/>
      <c r="BN833" s="392"/>
      <c r="BO833" s="392"/>
      <c r="BP833" s="392"/>
      <c r="BQ833" s="392"/>
      <c r="BR833" s="392"/>
      <c r="BS833" s="392"/>
      <c r="BT833" s="392"/>
    </row>
    <row r="834" ht="15.75" customHeight="1">
      <c r="A834" s="216"/>
      <c r="B834" s="156"/>
      <c r="C834" s="156"/>
      <c r="D834" s="156"/>
      <c r="E834" s="392"/>
      <c r="F834" s="392"/>
      <c r="G834" s="392"/>
      <c r="H834" s="392"/>
      <c r="I834" s="392"/>
      <c r="J834" s="392"/>
      <c r="K834" s="392"/>
      <c r="L834" s="392"/>
      <c r="M834" s="392"/>
      <c r="N834" s="392"/>
      <c r="O834" s="392"/>
      <c r="P834" s="392"/>
      <c r="Q834" s="392"/>
      <c r="R834" s="392"/>
      <c r="S834" s="392"/>
      <c r="T834" s="392"/>
      <c r="U834" s="392"/>
      <c r="V834" s="392"/>
      <c r="W834" s="392"/>
      <c r="X834" s="392"/>
      <c r="Y834" s="392"/>
      <c r="Z834" s="392"/>
      <c r="AA834" s="392"/>
      <c r="AB834" s="392"/>
      <c r="AC834" s="392"/>
      <c r="AD834" s="392"/>
      <c r="AE834" s="392"/>
      <c r="AF834" s="392"/>
      <c r="AG834" s="392"/>
      <c r="AH834" s="392"/>
      <c r="AI834" s="392"/>
      <c r="AJ834" s="392"/>
      <c r="AK834" s="392"/>
      <c r="AL834" s="392"/>
      <c r="AM834" s="392"/>
      <c r="AN834" s="392"/>
      <c r="AO834" s="392"/>
      <c r="AP834" s="392"/>
      <c r="AQ834" s="392"/>
      <c r="AR834" s="392"/>
      <c r="AS834" s="392"/>
      <c r="AT834" s="392"/>
      <c r="AU834" s="392"/>
      <c r="AV834" s="392"/>
      <c r="AW834" s="392"/>
      <c r="AX834" s="392"/>
      <c r="AY834" s="392"/>
      <c r="AZ834" s="392"/>
      <c r="BA834" s="392"/>
      <c r="BB834" s="392"/>
      <c r="BC834" s="392"/>
      <c r="BD834" s="392"/>
      <c r="BE834" s="392"/>
      <c r="BF834" s="392"/>
      <c r="BG834" s="392"/>
      <c r="BH834" s="392"/>
      <c r="BI834" s="392"/>
      <c r="BJ834" s="392"/>
      <c r="BK834" s="392"/>
      <c r="BL834" s="392"/>
      <c r="BM834" s="392"/>
      <c r="BN834" s="392"/>
      <c r="BO834" s="392"/>
      <c r="BP834" s="392"/>
      <c r="BQ834" s="392"/>
      <c r="BR834" s="392"/>
      <c r="BS834" s="392"/>
      <c r="BT834" s="392"/>
    </row>
    <row r="835" ht="15.75" customHeight="1">
      <c r="A835" s="216"/>
      <c r="B835" s="156"/>
      <c r="C835" s="156"/>
      <c r="D835" s="156"/>
      <c r="E835" s="392"/>
      <c r="F835" s="392"/>
      <c r="G835" s="392"/>
      <c r="H835" s="392"/>
      <c r="I835" s="392"/>
      <c r="J835" s="392"/>
      <c r="K835" s="392"/>
      <c r="L835" s="392"/>
      <c r="M835" s="392"/>
      <c r="N835" s="392"/>
      <c r="O835" s="392"/>
      <c r="P835" s="392"/>
      <c r="Q835" s="392"/>
      <c r="R835" s="392"/>
      <c r="S835" s="392"/>
      <c r="T835" s="392"/>
      <c r="U835" s="392"/>
      <c r="V835" s="392"/>
      <c r="W835" s="392"/>
      <c r="X835" s="392"/>
      <c r="Y835" s="392"/>
      <c r="Z835" s="392"/>
      <c r="AA835" s="392"/>
      <c r="AB835" s="392"/>
      <c r="AC835" s="392"/>
      <c r="AD835" s="392"/>
      <c r="AE835" s="392"/>
      <c r="AF835" s="392"/>
      <c r="AG835" s="392"/>
      <c r="AH835" s="392"/>
      <c r="AI835" s="392"/>
      <c r="AJ835" s="392"/>
      <c r="AK835" s="392"/>
      <c r="AL835" s="392"/>
      <c r="AM835" s="392"/>
      <c r="AN835" s="392"/>
      <c r="AO835" s="392"/>
      <c r="AP835" s="392"/>
      <c r="AQ835" s="392"/>
      <c r="AR835" s="392"/>
      <c r="AS835" s="392"/>
      <c r="AT835" s="392"/>
      <c r="AU835" s="392"/>
      <c r="AV835" s="392"/>
      <c r="AW835" s="392"/>
      <c r="AX835" s="392"/>
      <c r="AY835" s="392"/>
      <c r="AZ835" s="392"/>
      <c r="BA835" s="392"/>
      <c r="BB835" s="392"/>
      <c r="BC835" s="392"/>
      <c r="BD835" s="392"/>
      <c r="BE835" s="392"/>
      <c r="BF835" s="392"/>
      <c r="BG835" s="392"/>
      <c r="BH835" s="392"/>
      <c r="BI835" s="392"/>
      <c r="BJ835" s="392"/>
      <c r="BK835" s="392"/>
      <c r="BL835" s="392"/>
      <c r="BM835" s="392"/>
      <c r="BN835" s="392"/>
      <c r="BO835" s="392"/>
      <c r="BP835" s="392"/>
      <c r="BQ835" s="392"/>
      <c r="BR835" s="392"/>
      <c r="BS835" s="392"/>
      <c r="BT835" s="392"/>
    </row>
    <row r="836" ht="15.75" customHeight="1">
      <c r="A836" s="216"/>
      <c r="B836" s="156"/>
      <c r="C836" s="156"/>
      <c r="D836" s="156"/>
      <c r="E836" s="392"/>
      <c r="F836" s="392"/>
      <c r="G836" s="392"/>
      <c r="H836" s="392"/>
      <c r="I836" s="392"/>
      <c r="J836" s="392"/>
      <c r="K836" s="392"/>
      <c r="L836" s="392"/>
      <c r="M836" s="392"/>
      <c r="N836" s="392"/>
      <c r="O836" s="392"/>
      <c r="P836" s="392"/>
      <c r="Q836" s="392"/>
      <c r="R836" s="392"/>
      <c r="S836" s="392"/>
      <c r="T836" s="392"/>
      <c r="U836" s="392"/>
      <c r="V836" s="392"/>
      <c r="W836" s="392"/>
      <c r="X836" s="392"/>
      <c r="Y836" s="392"/>
      <c r="Z836" s="392"/>
      <c r="AA836" s="392"/>
      <c r="AB836" s="392"/>
      <c r="AC836" s="392"/>
      <c r="AD836" s="392"/>
      <c r="AE836" s="392"/>
      <c r="AF836" s="392"/>
      <c r="AG836" s="392"/>
      <c r="AH836" s="392"/>
      <c r="AI836" s="392"/>
      <c r="AJ836" s="392"/>
      <c r="AK836" s="392"/>
      <c r="AL836" s="392"/>
      <c r="AM836" s="392"/>
      <c r="AN836" s="392"/>
      <c r="AO836" s="392"/>
      <c r="AP836" s="392"/>
      <c r="AQ836" s="392"/>
      <c r="AR836" s="392"/>
      <c r="AS836" s="392"/>
      <c r="AT836" s="392"/>
      <c r="AU836" s="392"/>
      <c r="AV836" s="392"/>
      <c r="AW836" s="392"/>
      <c r="AX836" s="392"/>
      <c r="AY836" s="392"/>
      <c r="AZ836" s="392"/>
      <c r="BA836" s="392"/>
      <c r="BB836" s="392"/>
      <c r="BC836" s="392"/>
      <c r="BD836" s="392"/>
      <c r="BE836" s="392"/>
      <c r="BF836" s="392"/>
      <c r="BG836" s="392"/>
      <c r="BH836" s="392"/>
      <c r="BI836" s="392"/>
      <c r="BJ836" s="392"/>
      <c r="BK836" s="392"/>
      <c r="BL836" s="392"/>
      <c r="BM836" s="392"/>
      <c r="BN836" s="392"/>
      <c r="BO836" s="392"/>
      <c r="BP836" s="392"/>
      <c r="BQ836" s="392"/>
      <c r="BR836" s="392"/>
      <c r="BS836" s="392"/>
      <c r="BT836" s="392"/>
    </row>
    <row r="837" ht="15.75" customHeight="1">
      <c r="A837" s="216"/>
      <c r="B837" s="156"/>
      <c r="C837" s="156"/>
      <c r="D837" s="156"/>
      <c r="E837" s="392"/>
      <c r="F837" s="392"/>
      <c r="G837" s="392"/>
      <c r="H837" s="392"/>
      <c r="I837" s="392"/>
      <c r="J837" s="392"/>
      <c r="K837" s="392"/>
      <c r="L837" s="392"/>
      <c r="M837" s="392"/>
      <c r="N837" s="392"/>
      <c r="O837" s="392"/>
      <c r="P837" s="392"/>
      <c r="Q837" s="392"/>
      <c r="R837" s="392"/>
      <c r="S837" s="392"/>
      <c r="T837" s="392"/>
      <c r="U837" s="392"/>
      <c r="V837" s="392"/>
      <c r="W837" s="392"/>
      <c r="X837" s="392"/>
      <c r="Y837" s="392"/>
      <c r="Z837" s="392"/>
      <c r="AA837" s="392"/>
      <c r="AB837" s="392"/>
      <c r="AC837" s="392"/>
      <c r="AD837" s="392"/>
      <c r="AE837" s="392"/>
      <c r="AF837" s="392"/>
      <c r="AG837" s="392"/>
      <c r="AH837" s="392"/>
      <c r="AI837" s="392"/>
      <c r="AJ837" s="392"/>
      <c r="AK837" s="392"/>
      <c r="AL837" s="392"/>
      <c r="AM837" s="392"/>
      <c r="AN837" s="392"/>
      <c r="AO837" s="392"/>
      <c r="AP837" s="392"/>
      <c r="AQ837" s="392"/>
      <c r="AR837" s="392"/>
      <c r="AS837" s="392"/>
      <c r="AT837" s="392"/>
      <c r="AU837" s="392"/>
      <c r="AV837" s="392"/>
      <c r="AW837" s="392"/>
      <c r="AX837" s="392"/>
      <c r="AY837" s="392"/>
      <c r="AZ837" s="392"/>
      <c r="BA837" s="392"/>
      <c r="BB837" s="392"/>
      <c r="BC837" s="392"/>
      <c r="BD837" s="392"/>
      <c r="BE837" s="392"/>
      <c r="BF837" s="392"/>
      <c r="BG837" s="392"/>
      <c r="BH837" s="392"/>
      <c r="BI837" s="392"/>
      <c r="BJ837" s="392"/>
      <c r="BK837" s="392"/>
      <c r="BL837" s="392"/>
      <c r="BM837" s="392"/>
      <c r="BN837" s="392"/>
      <c r="BO837" s="392"/>
      <c r="BP837" s="392"/>
      <c r="BQ837" s="392"/>
      <c r="BR837" s="392"/>
      <c r="BS837" s="392"/>
      <c r="BT837" s="392"/>
    </row>
    <row r="838" ht="15.75" customHeight="1">
      <c r="A838" s="216"/>
      <c r="B838" s="156"/>
      <c r="C838" s="156"/>
      <c r="D838" s="156"/>
      <c r="E838" s="392"/>
      <c r="F838" s="392"/>
      <c r="G838" s="392"/>
      <c r="H838" s="392"/>
      <c r="I838" s="392"/>
      <c r="J838" s="392"/>
      <c r="K838" s="392"/>
      <c r="L838" s="392"/>
      <c r="M838" s="392"/>
      <c r="N838" s="392"/>
      <c r="O838" s="392"/>
      <c r="P838" s="392"/>
      <c r="Q838" s="392"/>
      <c r="R838" s="392"/>
      <c r="S838" s="392"/>
      <c r="T838" s="392"/>
      <c r="U838" s="392"/>
      <c r="V838" s="392"/>
      <c r="W838" s="392"/>
      <c r="X838" s="392"/>
      <c r="Y838" s="392"/>
      <c r="Z838" s="392"/>
      <c r="AA838" s="392"/>
      <c r="AB838" s="392"/>
      <c r="AC838" s="392"/>
      <c r="AD838" s="392"/>
      <c r="AE838" s="392"/>
      <c r="AF838" s="392"/>
      <c r="AG838" s="392"/>
      <c r="AH838" s="392"/>
      <c r="AI838" s="392"/>
      <c r="AJ838" s="392"/>
      <c r="AK838" s="392"/>
      <c r="AL838" s="392"/>
      <c r="AM838" s="392"/>
      <c r="AN838" s="392"/>
      <c r="AO838" s="392"/>
      <c r="AP838" s="392"/>
      <c r="AQ838" s="392"/>
      <c r="AR838" s="392"/>
      <c r="AS838" s="392"/>
      <c r="AT838" s="392"/>
      <c r="AU838" s="392"/>
      <c r="AV838" s="392"/>
      <c r="AW838" s="392"/>
      <c r="AX838" s="392"/>
      <c r="AY838" s="392"/>
      <c r="AZ838" s="392"/>
      <c r="BA838" s="392"/>
      <c r="BB838" s="392"/>
      <c r="BC838" s="392"/>
      <c r="BD838" s="392"/>
      <c r="BE838" s="392"/>
      <c r="BF838" s="392"/>
      <c r="BG838" s="392"/>
      <c r="BH838" s="392"/>
      <c r="BI838" s="392"/>
      <c r="BJ838" s="392"/>
      <c r="BK838" s="392"/>
      <c r="BL838" s="392"/>
      <c r="BM838" s="392"/>
      <c r="BN838" s="392"/>
      <c r="BO838" s="392"/>
      <c r="BP838" s="392"/>
      <c r="BQ838" s="392"/>
      <c r="BR838" s="392"/>
      <c r="BS838" s="392"/>
      <c r="BT838" s="392"/>
    </row>
    <row r="839" ht="15.75" customHeight="1">
      <c r="A839" s="216"/>
      <c r="B839" s="156"/>
      <c r="C839" s="156"/>
      <c r="D839" s="156"/>
      <c r="E839" s="392"/>
      <c r="F839" s="392"/>
      <c r="G839" s="392"/>
      <c r="H839" s="392"/>
      <c r="I839" s="392"/>
      <c r="J839" s="392"/>
      <c r="K839" s="392"/>
      <c r="L839" s="392"/>
      <c r="M839" s="392"/>
      <c r="N839" s="392"/>
      <c r="O839" s="392"/>
      <c r="P839" s="392"/>
      <c r="Q839" s="392"/>
      <c r="R839" s="392"/>
      <c r="S839" s="392"/>
      <c r="T839" s="392"/>
      <c r="U839" s="392"/>
      <c r="V839" s="392"/>
      <c r="W839" s="392"/>
      <c r="X839" s="392"/>
      <c r="Y839" s="392"/>
      <c r="Z839" s="392"/>
      <c r="AA839" s="392"/>
      <c r="AB839" s="392"/>
      <c r="AC839" s="392"/>
      <c r="AD839" s="392"/>
      <c r="AE839" s="392"/>
      <c r="AF839" s="392"/>
      <c r="AG839" s="392"/>
      <c r="AH839" s="392"/>
      <c r="AI839" s="392"/>
      <c r="AJ839" s="392"/>
      <c r="AK839" s="392"/>
      <c r="AL839" s="392"/>
      <c r="AM839" s="392"/>
      <c r="AN839" s="392"/>
      <c r="AO839" s="392"/>
      <c r="AP839" s="392"/>
      <c r="AQ839" s="392"/>
      <c r="AR839" s="392"/>
      <c r="AS839" s="392"/>
      <c r="AT839" s="392"/>
      <c r="AU839" s="392"/>
      <c r="AV839" s="392"/>
      <c r="AW839" s="392"/>
      <c r="AX839" s="392"/>
      <c r="AY839" s="392"/>
      <c r="AZ839" s="392"/>
      <c r="BA839" s="392"/>
      <c r="BB839" s="392"/>
      <c r="BC839" s="392"/>
      <c r="BD839" s="392"/>
      <c r="BE839" s="392"/>
      <c r="BF839" s="392"/>
      <c r="BG839" s="392"/>
      <c r="BH839" s="392"/>
      <c r="BI839" s="392"/>
      <c r="BJ839" s="392"/>
      <c r="BK839" s="392"/>
      <c r="BL839" s="392"/>
      <c r="BM839" s="392"/>
      <c r="BN839" s="392"/>
      <c r="BO839" s="392"/>
      <c r="BP839" s="392"/>
      <c r="BQ839" s="392"/>
      <c r="BR839" s="392"/>
      <c r="BS839" s="392"/>
      <c r="BT839" s="392"/>
    </row>
    <row r="840" ht="15.75" customHeight="1">
      <c r="A840" s="216"/>
      <c r="B840" s="156"/>
      <c r="C840" s="156"/>
      <c r="D840" s="156"/>
      <c r="E840" s="392"/>
      <c r="F840" s="392"/>
      <c r="G840" s="392"/>
      <c r="H840" s="392"/>
      <c r="I840" s="392"/>
      <c r="J840" s="392"/>
      <c r="K840" s="392"/>
      <c r="L840" s="392"/>
      <c r="M840" s="392"/>
      <c r="N840" s="392"/>
      <c r="O840" s="392"/>
      <c r="P840" s="392"/>
      <c r="Q840" s="392"/>
      <c r="R840" s="392"/>
      <c r="S840" s="392"/>
      <c r="T840" s="392"/>
      <c r="U840" s="392"/>
      <c r="V840" s="392"/>
      <c r="W840" s="392"/>
      <c r="X840" s="392"/>
      <c r="Y840" s="392"/>
      <c r="Z840" s="392"/>
      <c r="AA840" s="392"/>
      <c r="AB840" s="392"/>
      <c r="AC840" s="392"/>
      <c r="AD840" s="392"/>
      <c r="AE840" s="392"/>
      <c r="AF840" s="392"/>
      <c r="AG840" s="392"/>
      <c r="AH840" s="392"/>
      <c r="AI840" s="392"/>
      <c r="AJ840" s="392"/>
      <c r="AK840" s="392"/>
      <c r="AL840" s="392"/>
      <c r="AM840" s="392"/>
      <c r="AN840" s="392"/>
      <c r="AO840" s="392"/>
      <c r="AP840" s="392"/>
      <c r="AQ840" s="392"/>
      <c r="AR840" s="392"/>
      <c r="AS840" s="392"/>
      <c r="AT840" s="392"/>
      <c r="AU840" s="392"/>
      <c r="AV840" s="392"/>
      <c r="AW840" s="392"/>
      <c r="AX840" s="392"/>
      <c r="AY840" s="392"/>
      <c r="AZ840" s="392"/>
      <c r="BA840" s="392"/>
      <c r="BB840" s="392"/>
      <c r="BC840" s="392"/>
      <c r="BD840" s="392"/>
      <c r="BE840" s="392"/>
      <c r="BF840" s="392"/>
      <c r="BG840" s="392"/>
      <c r="BH840" s="392"/>
      <c r="BI840" s="392"/>
      <c r="BJ840" s="392"/>
      <c r="BK840" s="392"/>
      <c r="BL840" s="392"/>
      <c r="BM840" s="392"/>
      <c r="BN840" s="392"/>
      <c r="BO840" s="392"/>
      <c r="BP840" s="392"/>
      <c r="BQ840" s="392"/>
      <c r="BR840" s="392"/>
      <c r="BS840" s="392"/>
      <c r="BT840" s="392"/>
    </row>
    <row r="841" ht="15.75" customHeight="1">
      <c r="A841" s="216"/>
      <c r="B841" s="156"/>
      <c r="C841" s="156"/>
      <c r="D841" s="156"/>
      <c r="E841" s="392"/>
      <c r="F841" s="392"/>
      <c r="G841" s="392"/>
      <c r="H841" s="392"/>
      <c r="I841" s="392"/>
      <c r="J841" s="392"/>
      <c r="K841" s="392"/>
      <c r="L841" s="392"/>
      <c r="M841" s="392"/>
      <c r="N841" s="392"/>
      <c r="O841" s="392"/>
      <c r="P841" s="392"/>
      <c r="Q841" s="392"/>
      <c r="R841" s="392"/>
      <c r="S841" s="392"/>
      <c r="T841" s="392"/>
      <c r="U841" s="392"/>
      <c r="V841" s="392"/>
      <c r="W841" s="392"/>
      <c r="X841" s="392"/>
      <c r="Y841" s="392"/>
      <c r="Z841" s="392"/>
      <c r="AA841" s="392"/>
      <c r="AB841" s="392"/>
      <c r="AC841" s="392"/>
      <c r="AD841" s="392"/>
      <c r="AE841" s="392"/>
      <c r="AF841" s="392"/>
      <c r="AG841" s="392"/>
      <c r="AH841" s="392"/>
      <c r="AI841" s="392"/>
      <c r="AJ841" s="392"/>
      <c r="AK841" s="392"/>
      <c r="AL841" s="392"/>
      <c r="AM841" s="392"/>
      <c r="AN841" s="392"/>
      <c r="AO841" s="392"/>
      <c r="AP841" s="392"/>
      <c r="AQ841" s="392"/>
      <c r="AR841" s="392"/>
      <c r="AS841" s="392"/>
      <c r="AT841" s="392"/>
      <c r="AU841" s="392"/>
      <c r="AV841" s="392"/>
      <c r="AW841" s="392"/>
      <c r="AX841" s="392"/>
      <c r="AY841" s="392"/>
      <c r="AZ841" s="392"/>
      <c r="BA841" s="392"/>
      <c r="BB841" s="392"/>
      <c r="BC841" s="392"/>
      <c r="BD841" s="392"/>
      <c r="BE841" s="392"/>
      <c r="BF841" s="392"/>
      <c r="BG841" s="392"/>
      <c r="BH841" s="392"/>
      <c r="BI841" s="392"/>
      <c r="BJ841" s="392"/>
      <c r="BK841" s="392"/>
      <c r="BL841" s="392"/>
      <c r="BM841" s="392"/>
      <c r="BN841" s="392"/>
      <c r="BO841" s="392"/>
      <c r="BP841" s="392"/>
      <c r="BQ841" s="392"/>
      <c r="BR841" s="392"/>
      <c r="BS841" s="392"/>
      <c r="BT841" s="392"/>
    </row>
    <row r="842" ht="15.75" customHeight="1">
      <c r="A842" s="216"/>
      <c r="B842" s="156"/>
      <c r="C842" s="156"/>
      <c r="D842" s="156"/>
      <c r="E842" s="392"/>
      <c r="F842" s="392"/>
      <c r="G842" s="392"/>
      <c r="H842" s="392"/>
      <c r="I842" s="392"/>
      <c r="J842" s="392"/>
      <c r="K842" s="392"/>
      <c r="L842" s="392"/>
      <c r="M842" s="392"/>
      <c r="N842" s="392"/>
      <c r="O842" s="392"/>
      <c r="P842" s="392"/>
      <c r="Q842" s="392"/>
      <c r="R842" s="392"/>
      <c r="S842" s="392"/>
      <c r="T842" s="392"/>
      <c r="U842" s="392"/>
      <c r="V842" s="392"/>
      <c r="W842" s="392"/>
      <c r="X842" s="392"/>
      <c r="Y842" s="392"/>
      <c r="Z842" s="392"/>
      <c r="AA842" s="392"/>
      <c r="AB842" s="392"/>
      <c r="AC842" s="392"/>
      <c r="AD842" s="392"/>
      <c r="AE842" s="392"/>
      <c r="AF842" s="392"/>
      <c r="AG842" s="392"/>
      <c r="AH842" s="392"/>
      <c r="AI842" s="392"/>
      <c r="AJ842" s="392"/>
      <c r="AK842" s="392"/>
      <c r="AL842" s="392"/>
      <c r="AM842" s="392"/>
      <c r="AN842" s="392"/>
      <c r="AO842" s="392"/>
      <c r="AP842" s="392"/>
      <c r="AQ842" s="392"/>
      <c r="AR842" s="392"/>
      <c r="AS842" s="392"/>
      <c r="AT842" s="392"/>
      <c r="AU842" s="392"/>
      <c r="AV842" s="392"/>
      <c r="AW842" s="392"/>
      <c r="AX842" s="392"/>
      <c r="AY842" s="392"/>
      <c r="AZ842" s="392"/>
      <c r="BA842" s="392"/>
      <c r="BB842" s="392"/>
      <c r="BC842" s="392"/>
      <c r="BD842" s="392"/>
      <c r="BE842" s="392"/>
      <c r="BF842" s="392"/>
      <c r="BG842" s="392"/>
      <c r="BH842" s="392"/>
      <c r="BI842" s="392"/>
      <c r="BJ842" s="392"/>
      <c r="BK842" s="392"/>
      <c r="BL842" s="392"/>
      <c r="BM842" s="392"/>
      <c r="BN842" s="392"/>
      <c r="BO842" s="392"/>
      <c r="BP842" s="392"/>
      <c r="BQ842" s="392"/>
      <c r="BR842" s="392"/>
      <c r="BS842" s="392"/>
      <c r="BT842" s="392"/>
    </row>
    <row r="843" ht="15.75" customHeight="1">
      <c r="A843" s="216"/>
      <c r="B843" s="156"/>
      <c r="C843" s="156"/>
      <c r="D843" s="156"/>
      <c r="E843" s="392"/>
      <c r="F843" s="392"/>
      <c r="G843" s="392"/>
      <c r="H843" s="392"/>
      <c r="I843" s="392"/>
      <c r="J843" s="392"/>
      <c r="K843" s="392"/>
      <c r="L843" s="392"/>
      <c r="M843" s="392"/>
      <c r="N843" s="392"/>
      <c r="O843" s="392"/>
      <c r="P843" s="392"/>
      <c r="Q843" s="392"/>
      <c r="R843" s="392"/>
      <c r="S843" s="392"/>
      <c r="T843" s="392"/>
      <c r="U843" s="392"/>
      <c r="V843" s="392"/>
      <c r="W843" s="392"/>
      <c r="X843" s="392"/>
      <c r="Y843" s="392"/>
      <c r="Z843" s="392"/>
      <c r="AA843" s="392"/>
      <c r="AB843" s="392"/>
      <c r="AC843" s="392"/>
      <c r="AD843" s="392"/>
      <c r="AE843" s="392"/>
      <c r="AF843" s="392"/>
      <c r="AG843" s="392"/>
      <c r="AH843" s="392"/>
      <c r="AI843" s="392"/>
      <c r="AJ843" s="392"/>
      <c r="AK843" s="392"/>
      <c r="AL843" s="392"/>
      <c r="AM843" s="392"/>
      <c r="AN843" s="392"/>
      <c r="AO843" s="392"/>
      <c r="AP843" s="392"/>
      <c r="AQ843" s="392"/>
      <c r="AR843" s="392"/>
      <c r="AS843" s="392"/>
      <c r="AT843" s="392"/>
      <c r="AU843" s="392"/>
      <c r="AV843" s="392"/>
      <c r="AW843" s="392"/>
      <c r="AX843" s="392"/>
      <c r="AY843" s="392"/>
      <c r="AZ843" s="392"/>
      <c r="BA843" s="392"/>
      <c r="BB843" s="392"/>
      <c r="BC843" s="392"/>
      <c r="BD843" s="392"/>
      <c r="BE843" s="392"/>
      <c r="BF843" s="392"/>
      <c r="BG843" s="392"/>
      <c r="BH843" s="392"/>
      <c r="BI843" s="392"/>
      <c r="BJ843" s="392"/>
      <c r="BK843" s="392"/>
      <c r="BL843" s="392"/>
      <c r="BM843" s="392"/>
      <c r="BN843" s="392"/>
      <c r="BO843" s="392"/>
      <c r="BP843" s="392"/>
      <c r="BQ843" s="392"/>
      <c r="BR843" s="392"/>
      <c r="BS843" s="392"/>
      <c r="BT843" s="392"/>
    </row>
    <row r="844" ht="15.75" customHeight="1">
      <c r="A844" s="216"/>
      <c r="B844" s="156"/>
      <c r="C844" s="156"/>
      <c r="D844" s="156"/>
      <c r="E844" s="392"/>
      <c r="F844" s="392"/>
      <c r="G844" s="392"/>
      <c r="H844" s="392"/>
      <c r="I844" s="392"/>
      <c r="J844" s="392"/>
      <c r="K844" s="392"/>
      <c r="L844" s="392"/>
      <c r="M844" s="392"/>
      <c r="N844" s="392"/>
      <c r="O844" s="392"/>
      <c r="P844" s="392"/>
      <c r="Q844" s="392"/>
      <c r="R844" s="392"/>
      <c r="S844" s="392"/>
      <c r="T844" s="392"/>
      <c r="U844" s="392"/>
      <c r="V844" s="392"/>
      <c r="W844" s="392"/>
      <c r="X844" s="392"/>
      <c r="Y844" s="392"/>
      <c r="Z844" s="392"/>
      <c r="AA844" s="392"/>
      <c r="AB844" s="392"/>
      <c r="AC844" s="392"/>
      <c r="AD844" s="392"/>
      <c r="AE844" s="392"/>
      <c r="AF844" s="392"/>
      <c r="AG844" s="392"/>
      <c r="AH844" s="392"/>
      <c r="AI844" s="392"/>
      <c r="AJ844" s="392"/>
      <c r="AK844" s="392"/>
      <c r="AL844" s="392"/>
      <c r="AM844" s="392"/>
      <c r="AN844" s="392"/>
      <c r="AO844" s="392"/>
      <c r="AP844" s="392"/>
      <c r="AQ844" s="392"/>
      <c r="AR844" s="392"/>
      <c r="AS844" s="392"/>
      <c r="AT844" s="392"/>
      <c r="AU844" s="392"/>
      <c r="AV844" s="392"/>
      <c r="AW844" s="392"/>
      <c r="AX844" s="392"/>
      <c r="AY844" s="392"/>
      <c r="AZ844" s="392"/>
      <c r="BA844" s="392"/>
      <c r="BB844" s="392"/>
      <c r="BC844" s="392"/>
      <c r="BD844" s="392"/>
      <c r="BE844" s="392"/>
      <c r="BF844" s="392"/>
      <c r="BG844" s="392"/>
      <c r="BH844" s="392"/>
      <c r="BI844" s="392"/>
      <c r="BJ844" s="392"/>
      <c r="BK844" s="392"/>
      <c r="BL844" s="392"/>
      <c r="BM844" s="392"/>
      <c r="BN844" s="392"/>
      <c r="BO844" s="392"/>
      <c r="BP844" s="392"/>
      <c r="BQ844" s="392"/>
      <c r="BR844" s="392"/>
      <c r="BS844" s="392"/>
      <c r="BT844" s="392"/>
    </row>
    <row r="845" ht="15.75" customHeight="1">
      <c r="A845" s="216"/>
      <c r="B845" s="156"/>
      <c r="C845" s="156"/>
      <c r="D845" s="156"/>
      <c r="E845" s="392"/>
      <c r="F845" s="392"/>
      <c r="G845" s="392"/>
      <c r="H845" s="392"/>
      <c r="I845" s="392"/>
      <c r="J845" s="392"/>
      <c r="K845" s="392"/>
      <c r="L845" s="392"/>
      <c r="M845" s="392"/>
      <c r="N845" s="392"/>
      <c r="O845" s="392"/>
      <c r="P845" s="392"/>
      <c r="Q845" s="392"/>
      <c r="R845" s="392"/>
      <c r="S845" s="392"/>
      <c r="T845" s="392"/>
      <c r="U845" s="392"/>
      <c r="V845" s="392"/>
      <c r="W845" s="392"/>
      <c r="X845" s="392"/>
      <c r="Y845" s="392"/>
      <c r="Z845" s="392"/>
      <c r="AA845" s="392"/>
      <c r="AB845" s="392"/>
      <c r="AC845" s="392"/>
      <c r="AD845" s="392"/>
      <c r="AE845" s="392"/>
      <c r="AF845" s="392"/>
      <c r="AG845" s="392"/>
      <c r="AH845" s="392"/>
      <c r="AI845" s="392"/>
      <c r="AJ845" s="392"/>
      <c r="AK845" s="392"/>
      <c r="AL845" s="392"/>
      <c r="AM845" s="392"/>
      <c r="AN845" s="392"/>
      <c r="AO845" s="392"/>
      <c r="AP845" s="392"/>
      <c r="AQ845" s="392"/>
      <c r="AR845" s="392"/>
      <c r="AS845" s="392"/>
      <c r="AT845" s="392"/>
      <c r="AU845" s="392"/>
      <c r="AV845" s="392"/>
      <c r="AW845" s="392"/>
      <c r="AX845" s="392"/>
      <c r="AY845" s="392"/>
      <c r="AZ845" s="392"/>
      <c r="BA845" s="392"/>
      <c r="BB845" s="392"/>
      <c r="BC845" s="392"/>
      <c r="BD845" s="392"/>
      <c r="BE845" s="392"/>
      <c r="BF845" s="392"/>
      <c r="BG845" s="392"/>
      <c r="BH845" s="392"/>
      <c r="BI845" s="392"/>
      <c r="BJ845" s="392"/>
      <c r="BK845" s="392"/>
      <c r="BL845" s="392"/>
      <c r="BM845" s="392"/>
      <c r="BN845" s="392"/>
      <c r="BO845" s="392"/>
      <c r="BP845" s="392"/>
      <c r="BQ845" s="392"/>
      <c r="BR845" s="392"/>
      <c r="BS845" s="392"/>
      <c r="BT845" s="392"/>
    </row>
    <row r="846" ht="15.75" customHeight="1">
      <c r="A846" s="216"/>
      <c r="B846" s="156"/>
      <c r="C846" s="156"/>
      <c r="D846" s="156"/>
      <c r="E846" s="392"/>
      <c r="F846" s="392"/>
      <c r="G846" s="392"/>
      <c r="H846" s="392"/>
      <c r="I846" s="392"/>
      <c r="J846" s="392"/>
      <c r="K846" s="392"/>
      <c r="L846" s="392"/>
      <c r="M846" s="392"/>
      <c r="N846" s="392"/>
      <c r="O846" s="392"/>
      <c r="P846" s="392"/>
      <c r="Q846" s="392"/>
      <c r="R846" s="392"/>
      <c r="S846" s="392"/>
      <c r="T846" s="392"/>
      <c r="U846" s="392"/>
      <c r="V846" s="392"/>
      <c r="W846" s="392"/>
      <c r="X846" s="392"/>
      <c r="Y846" s="392"/>
      <c r="Z846" s="392"/>
      <c r="AA846" s="392"/>
      <c r="AB846" s="392"/>
      <c r="AC846" s="392"/>
      <c r="AD846" s="392"/>
      <c r="AE846" s="392"/>
      <c r="AF846" s="392"/>
      <c r="AG846" s="392"/>
      <c r="AH846" s="392"/>
      <c r="AI846" s="392"/>
      <c r="AJ846" s="392"/>
      <c r="AK846" s="392"/>
      <c r="AL846" s="392"/>
      <c r="AM846" s="392"/>
      <c r="AN846" s="392"/>
      <c r="AO846" s="392"/>
      <c r="AP846" s="392"/>
      <c r="AQ846" s="392"/>
      <c r="AR846" s="392"/>
      <c r="AS846" s="392"/>
      <c r="AT846" s="392"/>
      <c r="AU846" s="392"/>
      <c r="AV846" s="392"/>
      <c r="AW846" s="392"/>
      <c r="AX846" s="392"/>
      <c r="AY846" s="392"/>
      <c r="AZ846" s="392"/>
      <c r="BA846" s="392"/>
      <c r="BB846" s="392"/>
      <c r="BC846" s="392"/>
      <c r="BD846" s="392"/>
      <c r="BE846" s="392"/>
      <c r="BF846" s="392"/>
      <c r="BG846" s="392"/>
      <c r="BH846" s="392"/>
      <c r="BI846" s="392"/>
      <c r="BJ846" s="392"/>
      <c r="BK846" s="392"/>
      <c r="BL846" s="392"/>
      <c r="BM846" s="392"/>
      <c r="BN846" s="392"/>
      <c r="BO846" s="392"/>
      <c r="BP846" s="392"/>
      <c r="BQ846" s="392"/>
      <c r="BR846" s="392"/>
      <c r="BS846" s="392"/>
      <c r="BT846" s="392"/>
    </row>
    <row r="847" ht="15.75" customHeight="1">
      <c r="A847" s="216"/>
      <c r="B847" s="156"/>
      <c r="C847" s="156"/>
      <c r="D847" s="156"/>
      <c r="E847" s="392"/>
      <c r="F847" s="392"/>
      <c r="G847" s="392"/>
      <c r="H847" s="392"/>
      <c r="I847" s="392"/>
      <c r="J847" s="392"/>
      <c r="K847" s="392"/>
      <c r="L847" s="392"/>
      <c r="M847" s="392"/>
      <c r="N847" s="392"/>
      <c r="O847" s="392"/>
      <c r="P847" s="392"/>
      <c r="Q847" s="392"/>
      <c r="R847" s="392"/>
      <c r="S847" s="392"/>
      <c r="T847" s="392"/>
      <c r="U847" s="392"/>
      <c r="V847" s="392"/>
      <c r="W847" s="392"/>
      <c r="X847" s="392"/>
      <c r="Y847" s="392"/>
      <c r="Z847" s="392"/>
      <c r="AA847" s="392"/>
      <c r="AB847" s="392"/>
      <c r="AC847" s="392"/>
      <c r="AD847" s="392"/>
      <c r="AE847" s="392"/>
      <c r="AF847" s="392"/>
      <c r="AG847" s="392"/>
      <c r="AH847" s="392"/>
      <c r="AI847" s="392"/>
      <c r="AJ847" s="392"/>
      <c r="AK847" s="392"/>
      <c r="AL847" s="392"/>
      <c r="AM847" s="392"/>
      <c r="AN847" s="392"/>
      <c r="AO847" s="392"/>
      <c r="AP847" s="392"/>
      <c r="AQ847" s="392"/>
      <c r="AR847" s="392"/>
      <c r="AS847" s="392"/>
      <c r="AT847" s="392"/>
      <c r="AU847" s="392"/>
      <c r="AV847" s="392"/>
      <c r="AW847" s="392"/>
      <c r="AX847" s="392"/>
      <c r="AY847" s="392"/>
      <c r="AZ847" s="392"/>
      <c r="BA847" s="392"/>
      <c r="BB847" s="392"/>
      <c r="BC847" s="392"/>
      <c r="BD847" s="392"/>
      <c r="BE847" s="392"/>
      <c r="BF847" s="392"/>
      <c r="BG847" s="392"/>
      <c r="BH847" s="392"/>
      <c r="BI847" s="392"/>
      <c r="BJ847" s="392"/>
      <c r="BK847" s="392"/>
      <c r="BL847" s="392"/>
      <c r="BM847" s="392"/>
      <c r="BN847" s="392"/>
      <c r="BO847" s="392"/>
      <c r="BP847" s="392"/>
      <c r="BQ847" s="392"/>
      <c r="BR847" s="392"/>
      <c r="BS847" s="392"/>
      <c r="BT847" s="392"/>
    </row>
    <row r="848" ht="15.75" customHeight="1">
      <c r="A848" s="216"/>
      <c r="B848" s="156"/>
      <c r="C848" s="156"/>
      <c r="D848" s="156"/>
      <c r="E848" s="392"/>
      <c r="F848" s="392"/>
      <c r="G848" s="392"/>
      <c r="H848" s="392"/>
      <c r="I848" s="392"/>
      <c r="J848" s="392"/>
      <c r="K848" s="392"/>
      <c r="L848" s="392"/>
      <c r="M848" s="392"/>
      <c r="N848" s="392"/>
      <c r="O848" s="392"/>
      <c r="P848" s="392"/>
      <c r="Q848" s="392"/>
      <c r="R848" s="392"/>
      <c r="S848" s="392"/>
      <c r="T848" s="392"/>
      <c r="U848" s="392"/>
      <c r="V848" s="392"/>
      <c r="W848" s="392"/>
      <c r="X848" s="392"/>
      <c r="Y848" s="392"/>
      <c r="Z848" s="392"/>
      <c r="AA848" s="392"/>
      <c r="AB848" s="392"/>
      <c r="AC848" s="392"/>
      <c r="AD848" s="392"/>
      <c r="AE848" s="392"/>
      <c r="AF848" s="392"/>
      <c r="AG848" s="392"/>
      <c r="AH848" s="392"/>
      <c r="AI848" s="392"/>
      <c r="AJ848" s="392"/>
      <c r="AK848" s="392"/>
      <c r="AL848" s="392"/>
      <c r="AM848" s="392"/>
      <c r="AN848" s="392"/>
      <c r="AO848" s="392"/>
      <c r="AP848" s="392"/>
      <c r="AQ848" s="392"/>
      <c r="AR848" s="392"/>
      <c r="AS848" s="392"/>
      <c r="AT848" s="392"/>
      <c r="AU848" s="392"/>
      <c r="AV848" s="392"/>
      <c r="AW848" s="392"/>
      <c r="AX848" s="392"/>
      <c r="AY848" s="392"/>
      <c r="AZ848" s="392"/>
      <c r="BA848" s="392"/>
      <c r="BB848" s="392"/>
      <c r="BC848" s="392"/>
      <c r="BD848" s="392"/>
      <c r="BE848" s="392"/>
      <c r="BF848" s="392"/>
      <c r="BG848" s="392"/>
      <c r="BH848" s="392"/>
      <c r="BI848" s="392"/>
      <c r="BJ848" s="392"/>
      <c r="BK848" s="392"/>
      <c r="BL848" s="392"/>
      <c r="BM848" s="392"/>
      <c r="BN848" s="392"/>
      <c r="BO848" s="392"/>
      <c r="BP848" s="392"/>
      <c r="BQ848" s="392"/>
      <c r="BR848" s="392"/>
      <c r="BS848" s="392"/>
      <c r="BT848" s="392"/>
    </row>
    <row r="849" ht="15.75" customHeight="1">
      <c r="A849" s="216"/>
      <c r="B849" s="156"/>
      <c r="C849" s="156"/>
      <c r="D849" s="156"/>
      <c r="E849" s="392"/>
      <c r="F849" s="392"/>
      <c r="G849" s="392"/>
      <c r="H849" s="392"/>
      <c r="I849" s="392"/>
      <c r="J849" s="392"/>
      <c r="K849" s="392"/>
      <c r="L849" s="392"/>
      <c r="M849" s="392"/>
      <c r="N849" s="392"/>
      <c r="O849" s="392"/>
      <c r="P849" s="392"/>
      <c r="Q849" s="392"/>
      <c r="R849" s="392"/>
      <c r="S849" s="392"/>
      <c r="T849" s="392"/>
      <c r="U849" s="392"/>
      <c r="V849" s="392"/>
      <c r="W849" s="392"/>
      <c r="X849" s="392"/>
      <c r="Y849" s="392"/>
      <c r="Z849" s="392"/>
      <c r="AA849" s="392"/>
      <c r="AB849" s="392"/>
      <c r="AC849" s="392"/>
      <c r="AD849" s="392"/>
      <c r="AE849" s="392"/>
      <c r="AF849" s="392"/>
      <c r="AG849" s="392"/>
      <c r="AH849" s="392"/>
      <c r="AI849" s="392"/>
      <c r="AJ849" s="392"/>
      <c r="AK849" s="392"/>
      <c r="AL849" s="392"/>
      <c r="AM849" s="392"/>
      <c r="AN849" s="392"/>
      <c r="AO849" s="392"/>
      <c r="AP849" s="392"/>
      <c r="AQ849" s="392"/>
      <c r="AR849" s="392"/>
      <c r="AS849" s="392"/>
      <c r="AT849" s="392"/>
      <c r="AU849" s="392"/>
      <c r="AV849" s="392"/>
      <c r="AW849" s="392"/>
      <c r="AX849" s="392"/>
      <c r="AY849" s="392"/>
      <c r="AZ849" s="392"/>
      <c r="BA849" s="392"/>
      <c r="BB849" s="392"/>
      <c r="BC849" s="392"/>
      <c r="BD849" s="392"/>
      <c r="BE849" s="392"/>
      <c r="BF849" s="392"/>
      <c r="BG849" s="392"/>
      <c r="BH849" s="392"/>
      <c r="BI849" s="392"/>
      <c r="BJ849" s="392"/>
      <c r="BK849" s="392"/>
      <c r="BL849" s="392"/>
      <c r="BM849" s="392"/>
      <c r="BN849" s="392"/>
      <c r="BO849" s="392"/>
      <c r="BP849" s="392"/>
      <c r="BQ849" s="392"/>
      <c r="BR849" s="392"/>
      <c r="BS849" s="392"/>
      <c r="BT849" s="392"/>
    </row>
    <row r="850" ht="15.75" customHeight="1">
      <c r="A850" s="216"/>
      <c r="B850" s="156"/>
      <c r="C850" s="156"/>
      <c r="D850" s="156"/>
      <c r="E850" s="392"/>
      <c r="F850" s="392"/>
      <c r="G850" s="392"/>
      <c r="H850" s="392"/>
      <c r="I850" s="392"/>
      <c r="J850" s="392"/>
      <c r="K850" s="392"/>
      <c r="L850" s="392"/>
      <c r="M850" s="392"/>
      <c r="N850" s="392"/>
      <c r="O850" s="392"/>
      <c r="P850" s="392"/>
      <c r="Q850" s="392"/>
      <c r="R850" s="392"/>
      <c r="S850" s="392"/>
      <c r="T850" s="392"/>
      <c r="U850" s="392"/>
      <c r="V850" s="392"/>
      <c r="W850" s="392"/>
      <c r="X850" s="392"/>
      <c r="Y850" s="392"/>
      <c r="Z850" s="392"/>
      <c r="AA850" s="392"/>
      <c r="AB850" s="392"/>
      <c r="AC850" s="392"/>
      <c r="AD850" s="392"/>
      <c r="AE850" s="392"/>
      <c r="AF850" s="392"/>
      <c r="AG850" s="392"/>
      <c r="AH850" s="392"/>
      <c r="AI850" s="392"/>
      <c r="AJ850" s="392"/>
      <c r="AK850" s="392"/>
      <c r="AL850" s="392"/>
      <c r="AM850" s="392"/>
      <c r="AN850" s="392"/>
      <c r="AO850" s="392"/>
      <c r="AP850" s="392"/>
      <c r="AQ850" s="392"/>
      <c r="AR850" s="392"/>
      <c r="AS850" s="392"/>
      <c r="AT850" s="392"/>
      <c r="AU850" s="392"/>
      <c r="AV850" s="392"/>
      <c r="AW850" s="392"/>
      <c r="AX850" s="392"/>
      <c r="AY850" s="392"/>
      <c r="AZ850" s="392"/>
      <c r="BA850" s="392"/>
      <c r="BB850" s="392"/>
      <c r="BC850" s="392"/>
      <c r="BD850" s="392"/>
      <c r="BE850" s="392"/>
      <c r="BF850" s="392"/>
      <c r="BG850" s="392"/>
      <c r="BH850" s="392"/>
      <c r="BI850" s="392"/>
      <c r="BJ850" s="392"/>
      <c r="BK850" s="392"/>
      <c r="BL850" s="392"/>
      <c r="BM850" s="392"/>
      <c r="BN850" s="392"/>
      <c r="BO850" s="392"/>
      <c r="BP850" s="392"/>
      <c r="BQ850" s="392"/>
      <c r="BR850" s="392"/>
      <c r="BS850" s="392"/>
      <c r="BT850" s="392"/>
    </row>
    <row r="851" ht="15.75" customHeight="1">
      <c r="A851" s="216"/>
      <c r="B851" s="156"/>
      <c r="C851" s="156"/>
      <c r="D851" s="156"/>
      <c r="E851" s="392"/>
      <c r="F851" s="392"/>
      <c r="G851" s="392"/>
      <c r="H851" s="392"/>
      <c r="I851" s="392"/>
      <c r="J851" s="392"/>
      <c r="K851" s="392"/>
      <c r="L851" s="392"/>
      <c r="M851" s="392"/>
      <c r="N851" s="392"/>
      <c r="O851" s="392"/>
      <c r="P851" s="392"/>
      <c r="Q851" s="392"/>
      <c r="R851" s="392"/>
      <c r="S851" s="392"/>
      <c r="T851" s="392"/>
      <c r="U851" s="392"/>
      <c r="V851" s="392"/>
      <c r="W851" s="392"/>
      <c r="X851" s="392"/>
      <c r="Y851" s="392"/>
      <c r="Z851" s="392"/>
      <c r="AA851" s="392"/>
      <c r="AB851" s="392"/>
      <c r="AC851" s="392"/>
      <c r="AD851" s="392"/>
      <c r="AE851" s="392"/>
      <c r="AF851" s="392"/>
      <c r="AG851" s="392"/>
      <c r="AH851" s="392"/>
      <c r="AI851" s="392"/>
      <c r="AJ851" s="392"/>
      <c r="AK851" s="392"/>
      <c r="AL851" s="392"/>
      <c r="AM851" s="392"/>
      <c r="AN851" s="392"/>
      <c r="AO851" s="392"/>
      <c r="AP851" s="392"/>
      <c r="AQ851" s="392"/>
      <c r="AR851" s="392"/>
      <c r="AS851" s="392"/>
      <c r="AT851" s="392"/>
      <c r="AU851" s="392"/>
      <c r="AV851" s="392"/>
      <c r="AW851" s="392"/>
      <c r="AX851" s="392"/>
      <c r="AY851" s="392"/>
      <c r="AZ851" s="392"/>
      <c r="BA851" s="392"/>
      <c r="BB851" s="392"/>
      <c r="BC851" s="392"/>
      <c r="BD851" s="392"/>
      <c r="BE851" s="392"/>
      <c r="BF851" s="392"/>
      <c r="BG851" s="392"/>
      <c r="BH851" s="392"/>
      <c r="BI851" s="392"/>
      <c r="BJ851" s="392"/>
      <c r="BK851" s="392"/>
      <c r="BL851" s="392"/>
      <c r="BM851" s="392"/>
      <c r="BN851" s="392"/>
      <c r="BO851" s="392"/>
      <c r="BP851" s="392"/>
      <c r="BQ851" s="392"/>
      <c r="BR851" s="392"/>
      <c r="BS851" s="392"/>
      <c r="BT851" s="392"/>
    </row>
    <row r="852" ht="15.75" customHeight="1">
      <c r="A852" s="216"/>
      <c r="B852" s="156"/>
      <c r="C852" s="156"/>
      <c r="D852" s="156"/>
      <c r="E852" s="392"/>
      <c r="F852" s="392"/>
      <c r="G852" s="392"/>
      <c r="H852" s="392"/>
      <c r="I852" s="392"/>
      <c r="J852" s="392"/>
      <c r="K852" s="392"/>
      <c r="L852" s="392"/>
      <c r="M852" s="392"/>
      <c r="N852" s="392"/>
      <c r="O852" s="392"/>
      <c r="P852" s="392"/>
      <c r="Q852" s="392"/>
      <c r="R852" s="392"/>
      <c r="S852" s="392"/>
      <c r="T852" s="392"/>
      <c r="U852" s="392"/>
      <c r="V852" s="392"/>
      <c r="W852" s="392"/>
      <c r="X852" s="392"/>
      <c r="Y852" s="392"/>
      <c r="Z852" s="392"/>
      <c r="AA852" s="392"/>
      <c r="AB852" s="392"/>
      <c r="AC852" s="392"/>
      <c r="AD852" s="392"/>
      <c r="AE852" s="392"/>
      <c r="AF852" s="392"/>
      <c r="AG852" s="392"/>
      <c r="AH852" s="392"/>
      <c r="AI852" s="392"/>
      <c r="AJ852" s="392"/>
      <c r="AK852" s="392"/>
      <c r="AL852" s="392"/>
      <c r="AM852" s="392"/>
      <c r="AN852" s="392"/>
      <c r="AO852" s="392"/>
      <c r="AP852" s="392"/>
      <c r="AQ852" s="392"/>
      <c r="AR852" s="392"/>
      <c r="AS852" s="392"/>
      <c r="AT852" s="392"/>
      <c r="AU852" s="392"/>
      <c r="AV852" s="392"/>
      <c r="AW852" s="392"/>
      <c r="AX852" s="392"/>
      <c r="AY852" s="392"/>
      <c r="AZ852" s="392"/>
      <c r="BA852" s="392"/>
      <c r="BB852" s="392"/>
      <c r="BC852" s="392"/>
      <c r="BD852" s="392"/>
      <c r="BE852" s="392"/>
      <c r="BF852" s="392"/>
      <c r="BG852" s="392"/>
      <c r="BH852" s="392"/>
      <c r="BI852" s="392"/>
      <c r="BJ852" s="392"/>
      <c r="BK852" s="392"/>
      <c r="BL852" s="392"/>
      <c r="BM852" s="392"/>
      <c r="BN852" s="392"/>
      <c r="BO852" s="392"/>
      <c r="BP852" s="392"/>
      <c r="BQ852" s="392"/>
      <c r="BR852" s="392"/>
      <c r="BS852" s="392"/>
      <c r="BT852" s="392"/>
    </row>
    <row r="853" ht="15.75" customHeight="1">
      <c r="A853" s="216"/>
      <c r="B853" s="156"/>
      <c r="C853" s="156"/>
      <c r="D853" s="156"/>
      <c r="E853" s="392"/>
      <c r="F853" s="392"/>
      <c r="G853" s="392"/>
      <c r="H853" s="392"/>
      <c r="I853" s="392"/>
      <c r="J853" s="392"/>
      <c r="K853" s="392"/>
      <c r="L853" s="392"/>
      <c r="M853" s="392"/>
      <c r="N853" s="392"/>
      <c r="O853" s="392"/>
      <c r="P853" s="392"/>
      <c r="Q853" s="392"/>
      <c r="R853" s="392"/>
      <c r="S853" s="392"/>
      <c r="T853" s="392"/>
      <c r="U853" s="392"/>
      <c r="V853" s="392"/>
      <c r="W853" s="392"/>
      <c r="X853" s="392"/>
      <c r="Y853" s="392"/>
      <c r="Z853" s="392"/>
      <c r="AA853" s="392"/>
      <c r="AB853" s="392"/>
      <c r="AC853" s="392"/>
      <c r="AD853" s="392"/>
      <c r="AE853" s="392"/>
      <c r="AF853" s="392"/>
      <c r="AG853" s="392"/>
      <c r="AH853" s="392"/>
      <c r="AI853" s="392"/>
      <c r="AJ853" s="392"/>
      <c r="AK853" s="392"/>
      <c r="AL853" s="392"/>
      <c r="AM853" s="392"/>
      <c r="AN853" s="392"/>
      <c r="AO853" s="392"/>
      <c r="AP853" s="392"/>
      <c r="AQ853" s="392"/>
      <c r="AR853" s="392"/>
      <c r="AS853" s="392"/>
      <c r="AT853" s="392"/>
      <c r="AU853" s="392"/>
      <c r="AV853" s="392"/>
      <c r="AW853" s="392"/>
      <c r="AX853" s="392"/>
      <c r="AY853" s="392"/>
      <c r="AZ853" s="392"/>
      <c r="BA853" s="392"/>
      <c r="BB853" s="392"/>
      <c r="BC853" s="392"/>
      <c r="BD853" s="392"/>
      <c r="BE853" s="392"/>
      <c r="BF853" s="392"/>
      <c r="BG853" s="392"/>
      <c r="BH853" s="392"/>
      <c r="BI853" s="392"/>
      <c r="BJ853" s="392"/>
      <c r="BK853" s="392"/>
      <c r="BL853" s="392"/>
      <c r="BM853" s="392"/>
      <c r="BN853" s="392"/>
      <c r="BO853" s="392"/>
      <c r="BP853" s="392"/>
      <c r="BQ853" s="392"/>
      <c r="BR853" s="392"/>
      <c r="BS853" s="392"/>
      <c r="BT853" s="392"/>
    </row>
    <row r="854" ht="15.75" customHeight="1">
      <c r="A854" s="216"/>
      <c r="B854" s="156"/>
      <c r="C854" s="156"/>
      <c r="D854" s="156"/>
      <c r="E854" s="392"/>
      <c r="F854" s="392"/>
      <c r="G854" s="392"/>
      <c r="H854" s="392"/>
      <c r="I854" s="392"/>
      <c r="J854" s="392"/>
      <c r="K854" s="392"/>
      <c r="L854" s="392"/>
      <c r="M854" s="392"/>
      <c r="N854" s="392"/>
      <c r="O854" s="392"/>
      <c r="P854" s="392"/>
      <c r="Q854" s="392"/>
      <c r="R854" s="392"/>
      <c r="S854" s="392"/>
      <c r="T854" s="392"/>
      <c r="U854" s="392"/>
      <c r="V854" s="392"/>
      <c r="W854" s="392"/>
      <c r="X854" s="392"/>
      <c r="Y854" s="392"/>
      <c r="Z854" s="392"/>
      <c r="AA854" s="392"/>
      <c r="AB854" s="392"/>
      <c r="AC854" s="392"/>
      <c r="AD854" s="392"/>
      <c r="AE854" s="392"/>
      <c r="AF854" s="392"/>
      <c r="AG854" s="392"/>
      <c r="AH854" s="392"/>
      <c r="AI854" s="392"/>
      <c r="AJ854" s="392"/>
      <c r="AK854" s="392"/>
      <c r="AL854" s="392"/>
      <c r="AM854" s="392"/>
      <c r="AN854" s="392"/>
      <c r="AO854" s="392"/>
      <c r="AP854" s="392"/>
      <c r="AQ854" s="392"/>
      <c r="AR854" s="392"/>
      <c r="AS854" s="392"/>
      <c r="AT854" s="392"/>
      <c r="AU854" s="392"/>
      <c r="AV854" s="392"/>
      <c r="AW854" s="392"/>
      <c r="AX854" s="392"/>
      <c r="AY854" s="392"/>
      <c r="AZ854" s="392"/>
      <c r="BA854" s="392"/>
      <c r="BB854" s="392"/>
      <c r="BC854" s="392"/>
      <c r="BD854" s="392"/>
      <c r="BE854" s="392"/>
      <c r="BF854" s="392"/>
      <c r="BG854" s="392"/>
      <c r="BH854" s="392"/>
      <c r="BI854" s="392"/>
      <c r="BJ854" s="392"/>
      <c r="BK854" s="392"/>
      <c r="BL854" s="392"/>
      <c r="BM854" s="392"/>
      <c r="BN854" s="392"/>
      <c r="BO854" s="392"/>
      <c r="BP854" s="392"/>
      <c r="BQ854" s="392"/>
      <c r="BR854" s="392"/>
      <c r="BS854" s="392"/>
      <c r="BT854" s="392"/>
    </row>
    <row r="855" ht="15.75" customHeight="1">
      <c r="A855" s="216"/>
      <c r="B855" s="156"/>
      <c r="C855" s="156"/>
      <c r="D855" s="156"/>
      <c r="E855" s="392"/>
      <c r="F855" s="392"/>
      <c r="G855" s="392"/>
      <c r="H855" s="392"/>
      <c r="I855" s="392"/>
      <c r="J855" s="392"/>
      <c r="K855" s="392"/>
      <c r="L855" s="392"/>
      <c r="M855" s="392"/>
      <c r="N855" s="392"/>
      <c r="O855" s="392"/>
      <c r="P855" s="392"/>
      <c r="Q855" s="392"/>
      <c r="R855" s="392"/>
      <c r="S855" s="392"/>
      <c r="T855" s="392"/>
      <c r="U855" s="392"/>
      <c r="V855" s="392"/>
      <c r="W855" s="392"/>
      <c r="X855" s="392"/>
      <c r="Y855" s="392"/>
      <c r="Z855" s="392"/>
      <c r="AA855" s="392"/>
      <c r="AB855" s="392"/>
      <c r="AC855" s="392"/>
      <c r="AD855" s="392"/>
      <c r="AE855" s="392"/>
      <c r="AF855" s="392"/>
      <c r="AG855" s="392"/>
      <c r="AH855" s="392"/>
      <c r="AI855" s="392"/>
      <c r="AJ855" s="392"/>
      <c r="AK855" s="392"/>
      <c r="AL855" s="392"/>
      <c r="AM855" s="392"/>
      <c r="AN855" s="392"/>
      <c r="AO855" s="392"/>
      <c r="AP855" s="392"/>
      <c r="AQ855" s="392"/>
      <c r="AR855" s="392"/>
      <c r="AS855" s="392"/>
      <c r="AT855" s="392"/>
      <c r="AU855" s="392"/>
      <c r="AV855" s="392"/>
      <c r="AW855" s="392"/>
      <c r="AX855" s="392"/>
      <c r="AY855" s="392"/>
      <c r="AZ855" s="392"/>
      <c r="BA855" s="392"/>
      <c r="BB855" s="392"/>
      <c r="BC855" s="392"/>
      <c r="BD855" s="392"/>
      <c r="BE855" s="392"/>
      <c r="BF855" s="392"/>
      <c r="BG855" s="392"/>
      <c r="BH855" s="392"/>
      <c r="BI855" s="392"/>
      <c r="BJ855" s="392"/>
      <c r="BK855" s="392"/>
      <c r="BL855" s="392"/>
      <c r="BM855" s="392"/>
      <c r="BN855" s="392"/>
      <c r="BO855" s="392"/>
      <c r="BP855" s="392"/>
      <c r="BQ855" s="392"/>
      <c r="BR855" s="392"/>
      <c r="BS855" s="392"/>
      <c r="BT855" s="392"/>
    </row>
    <row r="856" ht="15.75" customHeight="1">
      <c r="A856" s="216"/>
      <c r="B856" s="156"/>
      <c r="C856" s="156"/>
      <c r="D856" s="156"/>
      <c r="E856" s="392"/>
      <c r="F856" s="392"/>
      <c r="G856" s="392"/>
      <c r="H856" s="392"/>
      <c r="I856" s="392"/>
      <c r="J856" s="392"/>
      <c r="K856" s="392"/>
      <c r="L856" s="392"/>
      <c r="M856" s="392"/>
      <c r="N856" s="392"/>
      <c r="O856" s="392"/>
      <c r="P856" s="392"/>
      <c r="Q856" s="392"/>
      <c r="R856" s="392"/>
      <c r="S856" s="392"/>
      <c r="T856" s="392"/>
      <c r="U856" s="392"/>
      <c r="V856" s="392"/>
      <c r="W856" s="392"/>
      <c r="X856" s="392"/>
      <c r="Y856" s="392"/>
      <c r="Z856" s="392"/>
      <c r="AA856" s="392"/>
      <c r="AB856" s="392"/>
      <c r="AC856" s="392"/>
      <c r="AD856" s="392"/>
      <c r="AE856" s="392"/>
      <c r="AF856" s="392"/>
      <c r="AG856" s="392"/>
      <c r="AH856" s="392"/>
      <c r="AI856" s="392"/>
      <c r="AJ856" s="392"/>
      <c r="AK856" s="392"/>
      <c r="AL856" s="392"/>
      <c r="AM856" s="392"/>
      <c r="AN856" s="392"/>
      <c r="AO856" s="392"/>
      <c r="AP856" s="392"/>
      <c r="AQ856" s="392"/>
      <c r="AR856" s="392"/>
      <c r="AS856" s="392"/>
      <c r="AT856" s="392"/>
      <c r="AU856" s="392"/>
      <c r="AV856" s="392"/>
      <c r="AW856" s="392"/>
      <c r="AX856" s="392"/>
      <c r="AY856" s="392"/>
      <c r="AZ856" s="392"/>
      <c r="BA856" s="392"/>
      <c r="BB856" s="392"/>
      <c r="BC856" s="392"/>
      <c r="BD856" s="392"/>
      <c r="BE856" s="392"/>
      <c r="BF856" s="392"/>
      <c r="BG856" s="392"/>
      <c r="BH856" s="392"/>
      <c r="BI856" s="392"/>
      <c r="BJ856" s="392"/>
      <c r="BK856" s="392"/>
      <c r="BL856" s="392"/>
      <c r="BM856" s="392"/>
      <c r="BN856" s="392"/>
      <c r="BO856" s="392"/>
      <c r="BP856" s="392"/>
      <c r="BQ856" s="392"/>
      <c r="BR856" s="392"/>
      <c r="BS856" s="392"/>
      <c r="BT856" s="392"/>
    </row>
    <row r="857" ht="15.75" customHeight="1">
      <c r="A857" s="216"/>
      <c r="B857" s="156"/>
      <c r="C857" s="156"/>
      <c r="D857" s="156"/>
      <c r="E857" s="392"/>
      <c r="F857" s="392"/>
      <c r="G857" s="392"/>
      <c r="H857" s="392"/>
      <c r="I857" s="392"/>
      <c r="J857" s="392"/>
      <c r="K857" s="392"/>
      <c r="L857" s="392"/>
      <c r="M857" s="392"/>
      <c r="N857" s="392"/>
      <c r="O857" s="392"/>
      <c r="P857" s="392"/>
      <c r="Q857" s="392"/>
      <c r="R857" s="392"/>
      <c r="S857" s="392"/>
      <c r="T857" s="392"/>
      <c r="U857" s="392"/>
      <c r="V857" s="392"/>
      <c r="W857" s="392"/>
      <c r="X857" s="392"/>
      <c r="Y857" s="392"/>
      <c r="Z857" s="392"/>
      <c r="AA857" s="392"/>
      <c r="AB857" s="392"/>
      <c r="AC857" s="392"/>
      <c r="AD857" s="392"/>
      <c r="AE857" s="392"/>
      <c r="AF857" s="392"/>
      <c r="AG857" s="392"/>
      <c r="AH857" s="392"/>
      <c r="AI857" s="392"/>
      <c r="AJ857" s="392"/>
      <c r="AK857" s="392"/>
      <c r="AL857" s="392"/>
      <c r="AM857" s="392"/>
      <c r="AN857" s="392"/>
      <c r="AO857" s="392"/>
      <c r="AP857" s="392"/>
      <c r="AQ857" s="392"/>
      <c r="AR857" s="392"/>
      <c r="AS857" s="392"/>
      <c r="AT857" s="392"/>
      <c r="AU857" s="392"/>
      <c r="AV857" s="392"/>
      <c r="AW857" s="392"/>
      <c r="AX857" s="392"/>
      <c r="AY857" s="392"/>
      <c r="AZ857" s="392"/>
      <c r="BA857" s="392"/>
      <c r="BB857" s="392"/>
      <c r="BC857" s="392"/>
      <c r="BD857" s="392"/>
      <c r="BE857" s="392"/>
      <c r="BF857" s="392"/>
      <c r="BG857" s="392"/>
      <c r="BH857" s="392"/>
      <c r="BI857" s="392"/>
      <c r="BJ857" s="392"/>
      <c r="BK857" s="392"/>
      <c r="BL857" s="392"/>
      <c r="BM857" s="392"/>
      <c r="BN857" s="392"/>
      <c r="BO857" s="392"/>
      <c r="BP857" s="392"/>
      <c r="BQ857" s="392"/>
      <c r="BR857" s="392"/>
      <c r="BS857" s="392"/>
      <c r="BT857" s="392"/>
    </row>
    <row r="858" ht="15.75" customHeight="1">
      <c r="A858" s="216"/>
      <c r="B858" s="156"/>
      <c r="C858" s="156"/>
      <c r="D858" s="156"/>
      <c r="E858" s="392"/>
      <c r="F858" s="392"/>
      <c r="G858" s="392"/>
      <c r="H858" s="392"/>
      <c r="I858" s="392"/>
      <c r="J858" s="392"/>
      <c r="K858" s="392"/>
      <c r="L858" s="392"/>
      <c r="M858" s="392"/>
      <c r="N858" s="392"/>
      <c r="O858" s="392"/>
      <c r="P858" s="392"/>
      <c r="Q858" s="392"/>
      <c r="R858" s="392"/>
      <c r="S858" s="392"/>
      <c r="T858" s="392"/>
      <c r="U858" s="392"/>
      <c r="V858" s="392"/>
      <c r="W858" s="392"/>
      <c r="X858" s="392"/>
      <c r="Y858" s="392"/>
      <c r="Z858" s="392"/>
      <c r="AA858" s="392"/>
      <c r="AB858" s="392"/>
      <c r="AC858" s="392"/>
      <c r="AD858" s="392"/>
      <c r="AE858" s="392"/>
      <c r="AF858" s="392"/>
      <c r="AG858" s="392"/>
      <c r="AH858" s="392"/>
      <c r="AI858" s="392"/>
      <c r="AJ858" s="392"/>
      <c r="AK858" s="392"/>
      <c r="AL858" s="392"/>
      <c r="AM858" s="392"/>
      <c r="AN858" s="392"/>
      <c r="AO858" s="392"/>
      <c r="AP858" s="392"/>
      <c r="AQ858" s="392"/>
      <c r="AR858" s="392"/>
      <c r="AS858" s="392"/>
      <c r="AT858" s="392"/>
      <c r="AU858" s="392"/>
      <c r="AV858" s="392"/>
      <c r="AW858" s="392"/>
      <c r="AX858" s="392"/>
      <c r="AY858" s="392"/>
      <c r="AZ858" s="392"/>
      <c r="BA858" s="392"/>
      <c r="BB858" s="392"/>
      <c r="BC858" s="392"/>
      <c r="BD858" s="392"/>
      <c r="BE858" s="392"/>
      <c r="BF858" s="392"/>
      <c r="BG858" s="392"/>
      <c r="BH858" s="392"/>
      <c r="BI858" s="392"/>
      <c r="BJ858" s="392"/>
      <c r="BK858" s="392"/>
      <c r="BL858" s="392"/>
      <c r="BM858" s="392"/>
      <c r="BN858" s="392"/>
      <c r="BO858" s="392"/>
      <c r="BP858" s="392"/>
      <c r="BQ858" s="392"/>
      <c r="BR858" s="392"/>
      <c r="BS858" s="392"/>
      <c r="BT858" s="392"/>
    </row>
    <row r="859" ht="15.75" customHeight="1">
      <c r="A859" s="216"/>
      <c r="B859" s="156"/>
      <c r="C859" s="156"/>
      <c r="D859" s="156"/>
      <c r="E859" s="392"/>
      <c r="F859" s="392"/>
      <c r="G859" s="392"/>
      <c r="H859" s="392"/>
      <c r="I859" s="392"/>
      <c r="J859" s="392"/>
      <c r="K859" s="392"/>
      <c r="L859" s="392"/>
      <c r="M859" s="392"/>
      <c r="N859" s="392"/>
      <c r="O859" s="392"/>
      <c r="P859" s="392"/>
      <c r="Q859" s="392"/>
      <c r="R859" s="392"/>
      <c r="S859" s="392"/>
      <c r="T859" s="392"/>
      <c r="U859" s="392"/>
      <c r="V859" s="392"/>
      <c r="W859" s="392"/>
      <c r="X859" s="392"/>
      <c r="Y859" s="392"/>
      <c r="Z859" s="392"/>
      <c r="AA859" s="392"/>
      <c r="AB859" s="392"/>
      <c r="AC859" s="392"/>
      <c r="AD859" s="392"/>
      <c r="AE859" s="392"/>
      <c r="AF859" s="392"/>
      <c r="AG859" s="392"/>
      <c r="AH859" s="392"/>
      <c r="AI859" s="392"/>
      <c r="AJ859" s="392"/>
      <c r="AK859" s="392"/>
      <c r="AL859" s="392"/>
      <c r="AM859" s="392"/>
      <c r="AN859" s="392"/>
      <c r="AO859" s="392"/>
      <c r="AP859" s="392"/>
      <c r="AQ859" s="392"/>
      <c r="AR859" s="392"/>
      <c r="AS859" s="392"/>
      <c r="AT859" s="392"/>
      <c r="AU859" s="392"/>
      <c r="AV859" s="392"/>
      <c r="AW859" s="392"/>
      <c r="AX859" s="392"/>
      <c r="AY859" s="392"/>
      <c r="AZ859" s="392"/>
      <c r="BA859" s="392"/>
      <c r="BB859" s="392"/>
      <c r="BC859" s="392"/>
      <c r="BD859" s="392"/>
      <c r="BE859" s="392"/>
      <c r="BF859" s="392"/>
      <c r="BG859" s="392"/>
      <c r="BH859" s="392"/>
      <c r="BI859" s="392"/>
      <c r="BJ859" s="392"/>
      <c r="BK859" s="392"/>
      <c r="BL859" s="392"/>
      <c r="BM859" s="392"/>
      <c r="BN859" s="392"/>
      <c r="BO859" s="392"/>
      <c r="BP859" s="392"/>
      <c r="BQ859" s="392"/>
      <c r="BR859" s="392"/>
      <c r="BS859" s="392"/>
      <c r="BT859" s="392"/>
    </row>
    <row r="860" ht="15.75" customHeight="1">
      <c r="A860" s="216"/>
      <c r="B860" s="156"/>
      <c r="C860" s="156"/>
      <c r="D860" s="156"/>
      <c r="E860" s="392"/>
      <c r="F860" s="392"/>
      <c r="G860" s="392"/>
      <c r="H860" s="392"/>
      <c r="I860" s="392"/>
      <c r="J860" s="392"/>
      <c r="K860" s="392"/>
      <c r="L860" s="392"/>
      <c r="M860" s="392"/>
      <c r="N860" s="392"/>
      <c r="O860" s="392"/>
      <c r="P860" s="392"/>
      <c r="Q860" s="392"/>
      <c r="R860" s="392"/>
      <c r="S860" s="392"/>
      <c r="T860" s="392"/>
      <c r="U860" s="392"/>
      <c r="V860" s="392"/>
      <c r="W860" s="392"/>
      <c r="X860" s="392"/>
      <c r="Y860" s="392"/>
      <c r="Z860" s="392"/>
      <c r="AA860" s="392"/>
      <c r="AB860" s="392"/>
      <c r="AC860" s="392"/>
      <c r="AD860" s="392"/>
      <c r="AE860" s="392"/>
      <c r="AF860" s="392"/>
      <c r="AG860" s="392"/>
      <c r="AH860" s="392"/>
      <c r="AI860" s="392"/>
      <c r="AJ860" s="392"/>
      <c r="AK860" s="392"/>
      <c r="AL860" s="392"/>
      <c r="AM860" s="392"/>
      <c r="AN860" s="392"/>
      <c r="AO860" s="392"/>
      <c r="AP860" s="392"/>
      <c r="AQ860" s="392"/>
      <c r="AR860" s="392"/>
      <c r="AS860" s="392"/>
      <c r="AT860" s="392"/>
      <c r="AU860" s="392"/>
      <c r="AV860" s="392"/>
      <c r="AW860" s="392"/>
      <c r="AX860" s="392"/>
      <c r="AY860" s="392"/>
      <c r="AZ860" s="392"/>
      <c r="BA860" s="392"/>
      <c r="BB860" s="392"/>
      <c r="BC860" s="392"/>
      <c r="BD860" s="392"/>
      <c r="BE860" s="392"/>
      <c r="BF860" s="392"/>
      <c r="BG860" s="392"/>
      <c r="BH860" s="392"/>
      <c r="BI860" s="392"/>
      <c r="BJ860" s="392"/>
      <c r="BK860" s="392"/>
      <c r="BL860" s="392"/>
      <c r="BM860" s="392"/>
      <c r="BN860" s="392"/>
      <c r="BO860" s="392"/>
      <c r="BP860" s="392"/>
      <c r="BQ860" s="392"/>
      <c r="BR860" s="392"/>
      <c r="BS860" s="392"/>
      <c r="BT860" s="392"/>
    </row>
    <row r="861" ht="15.75" customHeight="1">
      <c r="A861" s="216"/>
      <c r="B861" s="156"/>
      <c r="C861" s="156"/>
      <c r="D861" s="156"/>
      <c r="E861" s="392"/>
      <c r="F861" s="392"/>
      <c r="G861" s="392"/>
      <c r="H861" s="392"/>
      <c r="I861" s="392"/>
      <c r="J861" s="392"/>
      <c r="K861" s="392"/>
      <c r="L861" s="392"/>
      <c r="M861" s="392"/>
      <c r="N861" s="392"/>
      <c r="O861" s="392"/>
      <c r="P861" s="392"/>
      <c r="Q861" s="392"/>
      <c r="R861" s="392"/>
      <c r="S861" s="392"/>
      <c r="T861" s="392"/>
      <c r="U861" s="392"/>
      <c r="V861" s="392"/>
      <c r="W861" s="392"/>
      <c r="X861" s="392"/>
      <c r="Y861" s="392"/>
      <c r="Z861" s="392"/>
      <c r="AA861" s="392"/>
      <c r="AB861" s="392"/>
      <c r="AC861" s="392"/>
      <c r="AD861" s="392"/>
      <c r="AE861" s="392"/>
      <c r="AF861" s="392"/>
      <c r="AG861" s="392"/>
      <c r="AH861" s="392"/>
      <c r="AI861" s="392"/>
      <c r="AJ861" s="392"/>
      <c r="AK861" s="392"/>
      <c r="AL861" s="392"/>
      <c r="AM861" s="392"/>
      <c r="AN861" s="392"/>
      <c r="AO861" s="392"/>
      <c r="AP861" s="392"/>
      <c r="AQ861" s="392"/>
      <c r="AR861" s="392"/>
      <c r="AS861" s="392"/>
      <c r="AT861" s="392"/>
      <c r="AU861" s="392"/>
      <c r="AV861" s="392"/>
      <c r="AW861" s="392"/>
      <c r="AX861" s="392"/>
      <c r="AY861" s="392"/>
      <c r="AZ861" s="392"/>
      <c r="BA861" s="392"/>
      <c r="BB861" s="392"/>
      <c r="BC861" s="392"/>
      <c r="BD861" s="392"/>
      <c r="BE861" s="392"/>
      <c r="BF861" s="392"/>
      <c r="BG861" s="392"/>
      <c r="BH861" s="392"/>
      <c r="BI861" s="392"/>
      <c r="BJ861" s="392"/>
      <c r="BK861" s="392"/>
      <c r="BL861" s="392"/>
      <c r="BM861" s="392"/>
      <c r="BN861" s="392"/>
      <c r="BO861" s="392"/>
      <c r="BP861" s="392"/>
      <c r="BQ861" s="392"/>
      <c r="BR861" s="392"/>
      <c r="BS861" s="392"/>
      <c r="BT861" s="392"/>
    </row>
    <row r="862" ht="15.75" customHeight="1">
      <c r="A862" s="216"/>
      <c r="B862" s="156"/>
      <c r="C862" s="156"/>
      <c r="D862" s="156"/>
      <c r="E862" s="392"/>
      <c r="F862" s="392"/>
      <c r="G862" s="392"/>
      <c r="H862" s="392"/>
      <c r="I862" s="392"/>
      <c r="J862" s="392"/>
      <c r="K862" s="392"/>
      <c r="L862" s="392"/>
      <c r="M862" s="392"/>
      <c r="N862" s="392"/>
      <c r="O862" s="392"/>
      <c r="P862" s="392"/>
      <c r="Q862" s="392"/>
      <c r="R862" s="392"/>
      <c r="S862" s="392"/>
      <c r="T862" s="392"/>
      <c r="U862" s="392"/>
      <c r="V862" s="392"/>
      <c r="W862" s="392"/>
      <c r="X862" s="392"/>
      <c r="Y862" s="392"/>
      <c r="Z862" s="392"/>
      <c r="AA862" s="392"/>
      <c r="AB862" s="392"/>
      <c r="AC862" s="392"/>
      <c r="AD862" s="392"/>
      <c r="AE862" s="392"/>
      <c r="AF862" s="392"/>
      <c r="AG862" s="392"/>
      <c r="AH862" s="392"/>
      <c r="AI862" s="392"/>
      <c r="AJ862" s="392"/>
      <c r="AK862" s="392"/>
      <c r="AL862" s="392"/>
      <c r="AM862" s="392"/>
      <c r="AN862" s="392"/>
      <c r="AO862" s="392"/>
      <c r="AP862" s="392"/>
      <c r="AQ862" s="392"/>
      <c r="AR862" s="392"/>
      <c r="AS862" s="392"/>
      <c r="AT862" s="392"/>
      <c r="AU862" s="392"/>
      <c r="AV862" s="392"/>
      <c r="AW862" s="392"/>
      <c r="AX862" s="392"/>
      <c r="AY862" s="392"/>
      <c r="AZ862" s="392"/>
      <c r="BA862" s="392"/>
      <c r="BB862" s="392"/>
      <c r="BC862" s="392"/>
      <c r="BD862" s="392"/>
      <c r="BE862" s="392"/>
      <c r="BF862" s="392"/>
      <c r="BG862" s="392"/>
      <c r="BH862" s="392"/>
      <c r="BI862" s="392"/>
      <c r="BJ862" s="392"/>
      <c r="BK862" s="392"/>
      <c r="BL862" s="392"/>
      <c r="BM862" s="392"/>
      <c r="BN862" s="392"/>
      <c r="BO862" s="392"/>
      <c r="BP862" s="392"/>
      <c r="BQ862" s="392"/>
      <c r="BR862" s="392"/>
      <c r="BS862" s="392"/>
      <c r="BT862" s="392"/>
    </row>
    <row r="863" ht="15.75" customHeight="1">
      <c r="A863" s="216"/>
      <c r="B863" s="156"/>
      <c r="C863" s="156"/>
      <c r="D863" s="156"/>
      <c r="E863" s="392"/>
      <c r="F863" s="392"/>
      <c r="G863" s="392"/>
      <c r="H863" s="392"/>
      <c r="I863" s="392"/>
      <c r="J863" s="392"/>
      <c r="K863" s="392"/>
      <c r="L863" s="392"/>
      <c r="M863" s="392"/>
      <c r="N863" s="392"/>
      <c r="O863" s="392"/>
      <c r="P863" s="392"/>
      <c r="Q863" s="392"/>
      <c r="R863" s="392"/>
      <c r="S863" s="392"/>
      <c r="T863" s="392"/>
      <c r="U863" s="392"/>
      <c r="V863" s="392"/>
      <c r="W863" s="392"/>
      <c r="X863" s="392"/>
      <c r="Y863" s="392"/>
      <c r="Z863" s="392"/>
      <c r="AA863" s="392"/>
      <c r="AB863" s="392"/>
      <c r="AC863" s="392"/>
      <c r="AD863" s="392"/>
      <c r="AE863" s="392"/>
      <c r="AF863" s="392"/>
      <c r="AG863" s="392"/>
      <c r="AH863" s="392"/>
      <c r="AI863" s="392"/>
      <c r="AJ863" s="392"/>
      <c r="AK863" s="392"/>
      <c r="AL863" s="392"/>
      <c r="AM863" s="392"/>
      <c r="AN863" s="392"/>
      <c r="AO863" s="392"/>
      <c r="AP863" s="392"/>
      <c r="AQ863" s="392"/>
      <c r="AR863" s="392"/>
      <c r="AS863" s="392"/>
      <c r="AT863" s="392"/>
      <c r="AU863" s="392"/>
      <c r="AV863" s="392"/>
      <c r="AW863" s="392"/>
      <c r="AX863" s="392"/>
      <c r="AY863" s="392"/>
      <c r="AZ863" s="392"/>
      <c r="BA863" s="392"/>
      <c r="BB863" s="392"/>
      <c r="BC863" s="392"/>
      <c r="BD863" s="392"/>
      <c r="BE863" s="392"/>
      <c r="BF863" s="392"/>
      <c r="BG863" s="392"/>
      <c r="BH863" s="392"/>
      <c r="BI863" s="392"/>
      <c r="BJ863" s="392"/>
      <c r="BK863" s="392"/>
      <c r="BL863" s="392"/>
      <c r="BM863" s="392"/>
      <c r="BN863" s="392"/>
      <c r="BO863" s="392"/>
      <c r="BP863" s="392"/>
      <c r="BQ863" s="392"/>
      <c r="BR863" s="392"/>
      <c r="BS863" s="392"/>
      <c r="BT863" s="392"/>
    </row>
    <row r="864" ht="15.75" customHeight="1">
      <c r="A864" s="216"/>
      <c r="B864" s="156"/>
      <c r="C864" s="156"/>
      <c r="D864" s="156"/>
      <c r="E864" s="392"/>
      <c r="F864" s="392"/>
      <c r="G864" s="392"/>
      <c r="H864" s="392"/>
      <c r="I864" s="392"/>
      <c r="J864" s="392"/>
      <c r="K864" s="392"/>
      <c r="L864" s="392"/>
      <c r="M864" s="392"/>
      <c r="N864" s="392"/>
      <c r="O864" s="392"/>
      <c r="P864" s="392"/>
      <c r="Q864" s="392"/>
      <c r="R864" s="392"/>
      <c r="S864" s="392"/>
      <c r="T864" s="392"/>
      <c r="U864" s="392"/>
      <c r="V864" s="392"/>
      <c r="W864" s="392"/>
      <c r="X864" s="392"/>
      <c r="Y864" s="392"/>
      <c r="Z864" s="392"/>
      <c r="AA864" s="392"/>
      <c r="AB864" s="392"/>
      <c r="AC864" s="392"/>
      <c r="AD864" s="392"/>
      <c r="AE864" s="392"/>
      <c r="AF864" s="392"/>
      <c r="AG864" s="392"/>
      <c r="AH864" s="392"/>
      <c r="AI864" s="392"/>
      <c r="AJ864" s="392"/>
      <c r="AK864" s="392"/>
      <c r="AL864" s="392"/>
      <c r="AM864" s="392"/>
      <c r="AN864" s="392"/>
      <c r="AO864" s="392"/>
      <c r="AP864" s="392"/>
      <c r="AQ864" s="392"/>
      <c r="AR864" s="392"/>
      <c r="AS864" s="392"/>
      <c r="AT864" s="392"/>
      <c r="AU864" s="392"/>
      <c r="AV864" s="392"/>
      <c r="AW864" s="392"/>
      <c r="AX864" s="392"/>
      <c r="AY864" s="392"/>
      <c r="AZ864" s="392"/>
      <c r="BA864" s="392"/>
      <c r="BB864" s="392"/>
      <c r="BC864" s="392"/>
      <c r="BD864" s="392"/>
      <c r="BE864" s="392"/>
      <c r="BF864" s="392"/>
      <c r="BG864" s="392"/>
      <c r="BH864" s="392"/>
      <c r="BI864" s="392"/>
      <c r="BJ864" s="392"/>
      <c r="BK864" s="392"/>
      <c r="BL864" s="392"/>
      <c r="BM864" s="392"/>
      <c r="BN864" s="392"/>
      <c r="BO864" s="392"/>
      <c r="BP864" s="392"/>
      <c r="BQ864" s="392"/>
      <c r="BR864" s="392"/>
      <c r="BS864" s="392"/>
      <c r="BT864" s="392"/>
    </row>
    <row r="865" ht="15.75" customHeight="1">
      <c r="A865" s="216"/>
      <c r="B865" s="156"/>
      <c r="C865" s="156"/>
      <c r="D865" s="156"/>
      <c r="E865" s="392"/>
      <c r="F865" s="392"/>
      <c r="G865" s="392"/>
      <c r="H865" s="392"/>
      <c r="I865" s="392"/>
      <c r="J865" s="392"/>
      <c r="K865" s="392"/>
      <c r="L865" s="392"/>
      <c r="M865" s="392"/>
      <c r="N865" s="392"/>
      <c r="O865" s="392"/>
      <c r="P865" s="392"/>
      <c r="Q865" s="392"/>
      <c r="R865" s="392"/>
      <c r="S865" s="392"/>
      <c r="T865" s="392"/>
      <c r="U865" s="392"/>
      <c r="V865" s="392"/>
      <c r="W865" s="392"/>
      <c r="X865" s="392"/>
      <c r="Y865" s="392"/>
      <c r="Z865" s="392"/>
      <c r="AA865" s="392"/>
      <c r="AB865" s="392"/>
      <c r="AC865" s="392"/>
      <c r="AD865" s="392"/>
      <c r="AE865" s="392"/>
      <c r="AF865" s="392"/>
      <c r="AG865" s="392"/>
      <c r="AH865" s="392"/>
      <c r="AI865" s="392"/>
      <c r="AJ865" s="392"/>
      <c r="AK865" s="392"/>
      <c r="AL865" s="392"/>
      <c r="AM865" s="392"/>
      <c r="AN865" s="392"/>
      <c r="AO865" s="392"/>
      <c r="AP865" s="392"/>
      <c r="AQ865" s="392"/>
      <c r="AR865" s="392"/>
      <c r="AS865" s="392"/>
      <c r="AT865" s="392"/>
      <c r="AU865" s="392"/>
      <c r="AV865" s="392"/>
      <c r="AW865" s="392"/>
      <c r="AX865" s="392"/>
      <c r="AY865" s="392"/>
      <c r="AZ865" s="392"/>
      <c r="BA865" s="392"/>
      <c r="BB865" s="392"/>
      <c r="BC865" s="392"/>
      <c r="BD865" s="392"/>
      <c r="BE865" s="392"/>
      <c r="BF865" s="392"/>
      <c r="BG865" s="392"/>
      <c r="BH865" s="392"/>
      <c r="BI865" s="392"/>
      <c r="BJ865" s="392"/>
      <c r="BK865" s="392"/>
      <c r="BL865" s="392"/>
      <c r="BM865" s="392"/>
      <c r="BN865" s="392"/>
      <c r="BO865" s="392"/>
      <c r="BP865" s="392"/>
      <c r="BQ865" s="392"/>
      <c r="BR865" s="392"/>
      <c r="BS865" s="392"/>
      <c r="BT865" s="392"/>
    </row>
    <row r="866" ht="15.75" customHeight="1">
      <c r="A866" s="216"/>
      <c r="B866" s="156"/>
      <c r="C866" s="156"/>
      <c r="D866" s="156"/>
      <c r="E866" s="392"/>
      <c r="F866" s="392"/>
      <c r="G866" s="392"/>
      <c r="H866" s="392"/>
      <c r="I866" s="392"/>
      <c r="J866" s="392"/>
      <c r="K866" s="392"/>
      <c r="L866" s="392"/>
      <c r="M866" s="392"/>
      <c r="N866" s="392"/>
      <c r="O866" s="392"/>
      <c r="P866" s="392"/>
      <c r="Q866" s="392"/>
      <c r="R866" s="392"/>
      <c r="S866" s="392"/>
      <c r="T866" s="392"/>
      <c r="U866" s="392"/>
      <c r="V866" s="392"/>
      <c r="W866" s="392"/>
      <c r="X866" s="392"/>
      <c r="Y866" s="392"/>
      <c r="Z866" s="392"/>
      <c r="AA866" s="392"/>
      <c r="AB866" s="392"/>
      <c r="AC866" s="392"/>
      <c r="AD866" s="392"/>
      <c r="AE866" s="392"/>
      <c r="AF866" s="392"/>
      <c r="AG866" s="392"/>
      <c r="AH866" s="392"/>
      <c r="AI866" s="392"/>
      <c r="AJ866" s="392"/>
      <c r="AK866" s="392"/>
      <c r="AL866" s="392"/>
      <c r="AM866" s="392"/>
      <c r="AN866" s="392"/>
      <c r="AO866" s="392"/>
      <c r="AP866" s="392"/>
      <c r="AQ866" s="392"/>
      <c r="AR866" s="392"/>
      <c r="AS866" s="392"/>
      <c r="AT866" s="392"/>
      <c r="AU866" s="392"/>
      <c r="AV866" s="392"/>
      <c r="AW866" s="392"/>
      <c r="AX866" s="392"/>
      <c r="AY866" s="392"/>
      <c r="AZ866" s="392"/>
      <c r="BA866" s="392"/>
      <c r="BB866" s="392"/>
      <c r="BC866" s="392"/>
      <c r="BD866" s="392"/>
      <c r="BE866" s="392"/>
      <c r="BF866" s="392"/>
      <c r="BG866" s="392"/>
      <c r="BH866" s="392"/>
      <c r="BI866" s="392"/>
      <c r="BJ866" s="392"/>
      <c r="BK866" s="392"/>
      <c r="BL866" s="392"/>
      <c r="BM866" s="392"/>
      <c r="BN866" s="392"/>
      <c r="BO866" s="392"/>
      <c r="BP866" s="392"/>
      <c r="BQ866" s="392"/>
      <c r="BR866" s="392"/>
      <c r="BS866" s="392"/>
      <c r="BT866" s="392"/>
    </row>
    <row r="867" ht="15.75" customHeight="1">
      <c r="A867" s="216"/>
      <c r="B867" s="156"/>
      <c r="C867" s="156"/>
      <c r="D867" s="156"/>
      <c r="E867" s="392"/>
      <c r="F867" s="392"/>
      <c r="G867" s="392"/>
      <c r="H867" s="392"/>
      <c r="I867" s="392"/>
      <c r="J867" s="392"/>
      <c r="K867" s="392"/>
      <c r="L867" s="392"/>
      <c r="M867" s="392"/>
      <c r="N867" s="392"/>
      <c r="O867" s="392"/>
      <c r="P867" s="392"/>
      <c r="Q867" s="392"/>
      <c r="R867" s="392"/>
      <c r="S867" s="392"/>
      <c r="T867" s="392"/>
      <c r="U867" s="392"/>
      <c r="V867" s="392"/>
      <c r="W867" s="392"/>
      <c r="X867" s="392"/>
      <c r="Y867" s="392"/>
      <c r="Z867" s="392"/>
      <c r="AA867" s="392"/>
      <c r="AB867" s="392"/>
      <c r="AC867" s="392"/>
      <c r="AD867" s="392"/>
      <c r="AE867" s="392"/>
      <c r="AF867" s="392"/>
      <c r="AG867" s="392"/>
      <c r="AH867" s="392"/>
      <c r="AI867" s="392"/>
      <c r="AJ867" s="392"/>
      <c r="AK867" s="392"/>
      <c r="AL867" s="392"/>
      <c r="AM867" s="392"/>
      <c r="AN867" s="392"/>
      <c r="AO867" s="392"/>
      <c r="AP867" s="392"/>
      <c r="AQ867" s="392"/>
      <c r="AR867" s="392"/>
      <c r="AS867" s="392"/>
      <c r="AT867" s="392"/>
      <c r="AU867" s="392"/>
      <c r="AV867" s="392"/>
      <c r="AW867" s="392"/>
      <c r="AX867" s="392"/>
      <c r="AY867" s="392"/>
      <c r="AZ867" s="392"/>
      <c r="BA867" s="392"/>
      <c r="BB867" s="392"/>
      <c r="BC867" s="392"/>
      <c r="BD867" s="392"/>
      <c r="BE867" s="392"/>
      <c r="BF867" s="392"/>
      <c r="BG867" s="392"/>
      <c r="BH867" s="392"/>
      <c r="BI867" s="392"/>
      <c r="BJ867" s="392"/>
      <c r="BK867" s="392"/>
      <c r="BL867" s="392"/>
      <c r="BM867" s="392"/>
      <c r="BN867" s="392"/>
      <c r="BO867" s="392"/>
      <c r="BP867" s="392"/>
      <c r="BQ867" s="392"/>
      <c r="BR867" s="392"/>
      <c r="BS867" s="392"/>
      <c r="BT867" s="392"/>
    </row>
    <row r="868" ht="15.75" customHeight="1">
      <c r="A868" s="216"/>
      <c r="B868" s="156"/>
      <c r="C868" s="156"/>
      <c r="D868" s="156"/>
      <c r="E868" s="392"/>
      <c r="F868" s="392"/>
      <c r="G868" s="392"/>
      <c r="H868" s="392"/>
      <c r="I868" s="392"/>
      <c r="J868" s="392"/>
      <c r="K868" s="392"/>
      <c r="L868" s="392"/>
      <c r="M868" s="392"/>
      <c r="N868" s="392"/>
      <c r="O868" s="392"/>
      <c r="P868" s="392"/>
      <c r="Q868" s="392"/>
      <c r="R868" s="392"/>
      <c r="S868" s="392"/>
      <c r="T868" s="392"/>
      <c r="U868" s="392"/>
      <c r="V868" s="392"/>
      <c r="W868" s="392"/>
      <c r="X868" s="392"/>
      <c r="Y868" s="392"/>
      <c r="Z868" s="392"/>
      <c r="AA868" s="392"/>
      <c r="AB868" s="392"/>
      <c r="AC868" s="392"/>
      <c r="AD868" s="392"/>
      <c r="AE868" s="392"/>
      <c r="AF868" s="392"/>
      <c r="AG868" s="392"/>
      <c r="AH868" s="392"/>
      <c r="AI868" s="392"/>
      <c r="AJ868" s="392"/>
      <c r="AK868" s="392"/>
      <c r="AL868" s="392"/>
      <c r="AM868" s="392"/>
      <c r="AN868" s="392"/>
      <c r="AO868" s="392"/>
      <c r="AP868" s="392"/>
      <c r="AQ868" s="392"/>
      <c r="AR868" s="392"/>
      <c r="AS868" s="392"/>
      <c r="AT868" s="392"/>
      <c r="AU868" s="392"/>
      <c r="AV868" s="392"/>
      <c r="AW868" s="392"/>
      <c r="AX868" s="392"/>
      <c r="AY868" s="392"/>
      <c r="AZ868" s="392"/>
      <c r="BA868" s="392"/>
      <c r="BB868" s="392"/>
      <c r="BC868" s="392"/>
      <c r="BD868" s="392"/>
      <c r="BE868" s="392"/>
      <c r="BF868" s="392"/>
      <c r="BG868" s="392"/>
      <c r="BH868" s="392"/>
      <c r="BI868" s="392"/>
      <c r="BJ868" s="392"/>
      <c r="BK868" s="392"/>
      <c r="BL868" s="392"/>
      <c r="BM868" s="392"/>
      <c r="BN868" s="392"/>
      <c r="BO868" s="392"/>
      <c r="BP868" s="392"/>
      <c r="BQ868" s="392"/>
      <c r="BR868" s="392"/>
      <c r="BS868" s="392"/>
      <c r="BT868" s="392"/>
    </row>
    <row r="869" ht="15.75" customHeight="1">
      <c r="A869" s="216"/>
      <c r="B869" s="156"/>
      <c r="C869" s="156"/>
      <c r="D869" s="156"/>
      <c r="E869" s="392"/>
      <c r="F869" s="392"/>
      <c r="G869" s="392"/>
      <c r="H869" s="392"/>
      <c r="I869" s="392"/>
      <c r="J869" s="392"/>
      <c r="K869" s="392"/>
      <c r="L869" s="392"/>
      <c r="M869" s="392"/>
      <c r="N869" s="392"/>
      <c r="O869" s="392"/>
      <c r="P869" s="392"/>
      <c r="Q869" s="392"/>
      <c r="R869" s="392"/>
      <c r="S869" s="392"/>
      <c r="T869" s="392"/>
      <c r="U869" s="392"/>
      <c r="V869" s="392"/>
      <c r="W869" s="392"/>
      <c r="X869" s="392"/>
      <c r="Y869" s="392"/>
      <c r="Z869" s="392"/>
      <c r="AA869" s="392"/>
      <c r="AB869" s="392"/>
      <c r="AC869" s="392"/>
      <c r="AD869" s="392"/>
      <c r="AE869" s="392"/>
      <c r="AF869" s="392"/>
      <c r="AG869" s="392"/>
      <c r="AH869" s="392"/>
      <c r="AI869" s="392"/>
      <c r="AJ869" s="392"/>
      <c r="AK869" s="392"/>
      <c r="AL869" s="392"/>
      <c r="AM869" s="392"/>
      <c r="AN869" s="392"/>
      <c r="AO869" s="392"/>
      <c r="AP869" s="392"/>
      <c r="AQ869" s="392"/>
      <c r="AR869" s="392"/>
      <c r="AS869" s="392"/>
      <c r="AT869" s="392"/>
      <c r="AU869" s="392"/>
      <c r="AV869" s="392"/>
      <c r="AW869" s="392"/>
      <c r="AX869" s="392"/>
      <c r="AY869" s="392"/>
      <c r="AZ869" s="392"/>
      <c r="BA869" s="392"/>
      <c r="BB869" s="392"/>
      <c r="BC869" s="392"/>
      <c r="BD869" s="392"/>
      <c r="BE869" s="392"/>
      <c r="BF869" s="392"/>
      <c r="BG869" s="392"/>
      <c r="BH869" s="392"/>
      <c r="BI869" s="392"/>
      <c r="BJ869" s="392"/>
      <c r="BK869" s="392"/>
      <c r="BL869" s="392"/>
      <c r="BM869" s="392"/>
      <c r="BN869" s="392"/>
      <c r="BO869" s="392"/>
      <c r="BP869" s="392"/>
      <c r="BQ869" s="392"/>
      <c r="BR869" s="392"/>
      <c r="BS869" s="392"/>
      <c r="BT869" s="392"/>
    </row>
    <row r="870" ht="15.75" customHeight="1">
      <c r="A870" s="216"/>
      <c r="B870" s="156"/>
      <c r="C870" s="156"/>
      <c r="D870" s="156"/>
      <c r="E870" s="392"/>
      <c r="F870" s="392"/>
      <c r="G870" s="392"/>
      <c r="H870" s="392"/>
      <c r="I870" s="392"/>
      <c r="J870" s="392"/>
      <c r="K870" s="392"/>
      <c r="L870" s="392"/>
      <c r="M870" s="392"/>
      <c r="N870" s="392"/>
      <c r="O870" s="392"/>
      <c r="P870" s="392"/>
      <c r="Q870" s="392"/>
      <c r="R870" s="392"/>
      <c r="S870" s="392"/>
      <c r="T870" s="392"/>
      <c r="U870" s="392"/>
      <c r="V870" s="392"/>
      <c r="W870" s="392"/>
      <c r="X870" s="392"/>
      <c r="Y870" s="392"/>
      <c r="Z870" s="392"/>
      <c r="AA870" s="392"/>
      <c r="AB870" s="392"/>
      <c r="AC870" s="392"/>
      <c r="AD870" s="392"/>
      <c r="AE870" s="392"/>
      <c r="AF870" s="392"/>
      <c r="AG870" s="392"/>
      <c r="AH870" s="392"/>
      <c r="AI870" s="392"/>
      <c r="AJ870" s="392"/>
      <c r="AK870" s="392"/>
      <c r="AL870" s="392"/>
      <c r="AM870" s="392"/>
      <c r="AN870" s="392"/>
      <c r="AO870" s="392"/>
      <c r="AP870" s="392"/>
      <c r="AQ870" s="392"/>
      <c r="AR870" s="392"/>
      <c r="AS870" s="392"/>
      <c r="AT870" s="392"/>
      <c r="AU870" s="392"/>
      <c r="AV870" s="392"/>
      <c r="AW870" s="392"/>
      <c r="AX870" s="392"/>
      <c r="AY870" s="392"/>
      <c r="AZ870" s="392"/>
      <c r="BA870" s="392"/>
      <c r="BB870" s="392"/>
      <c r="BC870" s="392"/>
      <c r="BD870" s="392"/>
      <c r="BE870" s="392"/>
      <c r="BF870" s="392"/>
      <c r="BG870" s="392"/>
      <c r="BH870" s="392"/>
      <c r="BI870" s="392"/>
      <c r="BJ870" s="392"/>
      <c r="BK870" s="392"/>
      <c r="BL870" s="392"/>
      <c r="BM870" s="392"/>
      <c r="BN870" s="392"/>
      <c r="BO870" s="392"/>
      <c r="BP870" s="392"/>
      <c r="BQ870" s="392"/>
      <c r="BR870" s="392"/>
      <c r="BS870" s="392"/>
      <c r="BT870" s="392"/>
    </row>
    <row r="871" ht="15.75" customHeight="1">
      <c r="A871" s="216"/>
      <c r="B871" s="156"/>
      <c r="C871" s="156"/>
      <c r="D871" s="156"/>
      <c r="E871" s="392"/>
      <c r="F871" s="392"/>
      <c r="G871" s="392"/>
      <c r="H871" s="392"/>
      <c r="I871" s="392"/>
      <c r="J871" s="392"/>
      <c r="K871" s="392"/>
      <c r="L871" s="392"/>
      <c r="M871" s="392"/>
      <c r="N871" s="392"/>
      <c r="O871" s="392"/>
      <c r="P871" s="392"/>
      <c r="Q871" s="392"/>
      <c r="R871" s="392"/>
      <c r="S871" s="392"/>
      <c r="T871" s="392"/>
      <c r="U871" s="392"/>
      <c r="V871" s="392"/>
      <c r="W871" s="392"/>
      <c r="X871" s="392"/>
      <c r="Y871" s="392"/>
      <c r="Z871" s="392"/>
      <c r="AA871" s="392"/>
      <c r="AB871" s="392"/>
      <c r="AC871" s="392"/>
      <c r="AD871" s="392"/>
      <c r="AE871" s="392"/>
      <c r="AF871" s="392"/>
      <c r="AG871" s="392"/>
      <c r="AH871" s="392"/>
      <c r="AI871" s="392"/>
      <c r="AJ871" s="392"/>
      <c r="AK871" s="392"/>
      <c r="AL871" s="392"/>
      <c r="AM871" s="392"/>
      <c r="AN871" s="392"/>
      <c r="AO871" s="392"/>
      <c r="AP871" s="392"/>
      <c r="AQ871" s="392"/>
      <c r="AR871" s="392"/>
      <c r="AS871" s="392"/>
      <c r="AT871" s="392"/>
      <c r="AU871" s="392"/>
      <c r="AV871" s="392"/>
      <c r="AW871" s="392"/>
      <c r="AX871" s="392"/>
      <c r="AY871" s="392"/>
      <c r="AZ871" s="392"/>
      <c r="BA871" s="392"/>
      <c r="BB871" s="392"/>
      <c r="BC871" s="392"/>
      <c r="BD871" s="392"/>
      <c r="BE871" s="392"/>
      <c r="BF871" s="392"/>
      <c r="BG871" s="392"/>
      <c r="BH871" s="392"/>
      <c r="BI871" s="392"/>
      <c r="BJ871" s="392"/>
      <c r="BK871" s="392"/>
      <c r="BL871" s="392"/>
      <c r="BM871" s="392"/>
      <c r="BN871" s="392"/>
      <c r="BO871" s="392"/>
      <c r="BP871" s="392"/>
      <c r="BQ871" s="392"/>
      <c r="BR871" s="392"/>
      <c r="BS871" s="392"/>
      <c r="BT871" s="392"/>
    </row>
    <row r="872" ht="15.75" customHeight="1">
      <c r="A872" s="216"/>
      <c r="B872" s="156"/>
      <c r="C872" s="156"/>
      <c r="D872" s="156"/>
      <c r="E872" s="392"/>
      <c r="F872" s="392"/>
      <c r="G872" s="392"/>
      <c r="H872" s="392"/>
      <c r="I872" s="392"/>
      <c r="J872" s="392"/>
      <c r="K872" s="392"/>
      <c r="L872" s="392"/>
      <c r="M872" s="392"/>
      <c r="N872" s="392"/>
      <c r="O872" s="392"/>
      <c r="P872" s="392"/>
      <c r="Q872" s="392"/>
      <c r="R872" s="392"/>
      <c r="S872" s="392"/>
      <c r="T872" s="392"/>
      <c r="U872" s="392"/>
      <c r="V872" s="392"/>
      <c r="W872" s="392"/>
      <c r="X872" s="392"/>
      <c r="Y872" s="392"/>
      <c r="Z872" s="392"/>
      <c r="AA872" s="392"/>
      <c r="AB872" s="392"/>
      <c r="AC872" s="392"/>
      <c r="AD872" s="392"/>
      <c r="AE872" s="392"/>
      <c r="AF872" s="392"/>
      <c r="AG872" s="392"/>
      <c r="AH872" s="392"/>
      <c r="AI872" s="392"/>
      <c r="AJ872" s="392"/>
      <c r="AK872" s="392"/>
      <c r="AL872" s="392"/>
      <c r="AM872" s="392"/>
      <c r="AN872" s="392"/>
      <c r="AO872" s="392"/>
      <c r="AP872" s="392"/>
      <c r="AQ872" s="392"/>
      <c r="AR872" s="392"/>
      <c r="AS872" s="392"/>
      <c r="AT872" s="392"/>
      <c r="AU872" s="392"/>
      <c r="AV872" s="392"/>
      <c r="AW872" s="392"/>
      <c r="AX872" s="392"/>
      <c r="AY872" s="392"/>
      <c r="AZ872" s="392"/>
      <c r="BA872" s="392"/>
      <c r="BB872" s="392"/>
      <c r="BC872" s="392"/>
      <c r="BD872" s="392"/>
      <c r="BE872" s="392"/>
      <c r="BF872" s="392"/>
      <c r="BG872" s="392"/>
      <c r="BH872" s="392"/>
      <c r="BI872" s="392"/>
      <c r="BJ872" s="392"/>
      <c r="BK872" s="392"/>
      <c r="BL872" s="392"/>
      <c r="BM872" s="392"/>
      <c r="BN872" s="392"/>
      <c r="BO872" s="392"/>
      <c r="BP872" s="392"/>
      <c r="BQ872" s="392"/>
      <c r="BR872" s="392"/>
      <c r="BS872" s="392"/>
      <c r="BT872" s="392"/>
    </row>
    <row r="873" ht="15.75" customHeight="1">
      <c r="A873" s="216"/>
      <c r="B873" s="156"/>
      <c r="C873" s="156"/>
      <c r="D873" s="156"/>
      <c r="E873" s="392"/>
      <c r="F873" s="392"/>
      <c r="G873" s="392"/>
      <c r="H873" s="392"/>
      <c r="I873" s="392"/>
      <c r="J873" s="392"/>
      <c r="K873" s="392"/>
      <c r="L873" s="392"/>
      <c r="M873" s="392"/>
      <c r="N873" s="392"/>
      <c r="O873" s="392"/>
      <c r="P873" s="392"/>
      <c r="Q873" s="392"/>
      <c r="R873" s="392"/>
      <c r="S873" s="392"/>
      <c r="T873" s="392"/>
      <c r="U873" s="392"/>
      <c r="V873" s="392"/>
      <c r="W873" s="392"/>
      <c r="X873" s="392"/>
      <c r="Y873" s="392"/>
      <c r="Z873" s="392"/>
      <c r="AA873" s="392"/>
      <c r="AB873" s="392"/>
      <c r="AC873" s="392"/>
      <c r="AD873" s="392"/>
      <c r="AE873" s="392"/>
      <c r="AF873" s="392"/>
      <c r="AG873" s="392"/>
      <c r="AH873" s="392"/>
      <c r="AI873" s="392"/>
      <c r="AJ873" s="392"/>
      <c r="AK873" s="392"/>
      <c r="AL873" s="392"/>
      <c r="AM873" s="392"/>
      <c r="AN873" s="392"/>
      <c r="AO873" s="392"/>
      <c r="AP873" s="392"/>
      <c r="AQ873" s="392"/>
      <c r="AR873" s="392"/>
      <c r="AS873" s="392"/>
      <c r="AT873" s="392"/>
      <c r="AU873" s="392"/>
      <c r="AV873" s="392"/>
      <c r="AW873" s="392"/>
      <c r="AX873" s="392"/>
      <c r="AY873" s="392"/>
      <c r="AZ873" s="392"/>
      <c r="BA873" s="392"/>
      <c r="BB873" s="392"/>
      <c r="BC873" s="392"/>
      <c r="BD873" s="392"/>
      <c r="BE873" s="392"/>
      <c r="BF873" s="392"/>
      <c r="BG873" s="392"/>
      <c r="BH873" s="392"/>
      <c r="BI873" s="392"/>
      <c r="BJ873" s="392"/>
      <c r="BK873" s="392"/>
      <c r="BL873" s="392"/>
      <c r="BM873" s="392"/>
      <c r="BN873" s="392"/>
      <c r="BO873" s="392"/>
      <c r="BP873" s="392"/>
      <c r="BQ873" s="392"/>
      <c r="BR873" s="392"/>
      <c r="BS873" s="392"/>
      <c r="BT873" s="392"/>
    </row>
    <row r="874" ht="15.75" customHeight="1">
      <c r="A874" s="216"/>
      <c r="B874" s="156"/>
      <c r="C874" s="156"/>
      <c r="D874" s="156"/>
      <c r="E874" s="392"/>
      <c r="F874" s="392"/>
      <c r="G874" s="392"/>
      <c r="H874" s="392"/>
      <c r="I874" s="392"/>
      <c r="J874" s="392"/>
      <c r="K874" s="392"/>
      <c r="L874" s="392"/>
      <c r="M874" s="392"/>
      <c r="N874" s="392"/>
      <c r="O874" s="392"/>
      <c r="P874" s="392"/>
      <c r="Q874" s="392"/>
      <c r="R874" s="392"/>
      <c r="S874" s="392"/>
      <c r="T874" s="392"/>
      <c r="U874" s="392"/>
      <c r="V874" s="392"/>
      <c r="W874" s="392"/>
      <c r="X874" s="392"/>
      <c r="Y874" s="392"/>
      <c r="Z874" s="392"/>
      <c r="AA874" s="392"/>
      <c r="AB874" s="392"/>
      <c r="AC874" s="392"/>
      <c r="AD874" s="392"/>
      <c r="AE874" s="392"/>
      <c r="AF874" s="392"/>
      <c r="AG874" s="392"/>
      <c r="AH874" s="392"/>
      <c r="AI874" s="392"/>
      <c r="AJ874" s="392"/>
      <c r="AK874" s="392"/>
      <c r="AL874" s="392"/>
      <c r="AM874" s="392"/>
      <c r="AN874" s="392"/>
      <c r="AO874" s="392"/>
      <c r="AP874" s="392"/>
      <c r="AQ874" s="392"/>
      <c r="AR874" s="392"/>
      <c r="AS874" s="392"/>
      <c r="AT874" s="392"/>
      <c r="AU874" s="392"/>
      <c r="AV874" s="392"/>
      <c r="AW874" s="392"/>
      <c r="AX874" s="392"/>
      <c r="AY874" s="392"/>
      <c r="AZ874" s="392"/>
      <c r="BA874" s="392"/>
      <c r="BB874" s="392"/>
      <c r="BC874" s="392"/>
      <c r="BD874" s="392"/>
      <c r="BE874" s="392"/>
      <c r="BF874" s="392"/>
      <c r="BG874" s="392"/>
      <c r="BH874" s="392"/>
      <c r="BI874" s="392"/>
      <c r="BJ874" s="392"/>
      <c r="BK874" s="392"/>
      <c r="BL874" s="392"/>
      <c r="BM874" s="392"/>
      <c r="BN874" s="392"/>
      <c r="BO874" s="392"/>
      <c r="BP874" s="392"/>
      <c r="BQ874" s="392"/>
      <c r="BR874" s="392"/>
      <c r="BS874" s="392"/>
      <c r="BT874" s="392"/>
    </row>
    <row r="875" ht="15.75" customHeight="1">
      <c r="A875" s="216"/>
      <c r="B875" s="156"/>
      <c r="C875" s="156"/>
      <c r="D875" s="156"/>
      <c r="E875" s="392"/>
      <c r="F875" s="392"/>
      <c r="G875" s="392"/>
      <c r="H875" s="392"/>
      <c r="I875" s="392"/>
      <c r="J875" s="392"/>
      <c r="K875" s="392"/>
      <c r="L875" s="392"/>
      <c r="M875" s="392"/>
      <c r="N875" s="392"/>
      <c r="O875" s="392"/>
      <c r="P875" s="392"/>
      <c r="Q875" s="392"/>
      <c r="R875" s="392"/>
      <c r="S875" s="392"/>
      <c r="T875" s="392"/>
      <c r="U875" s="392"/>
      <c r="V875" s="392"/>
      <c r="W875" s="392"/>
      <c r="X875" s="392"/>
      <c r="Y875" s="392"/>
      <c r="Z875" s="392"/>
      <c r="AA875" s="392"/>
      <c r="AB875" s="392"/>
      <c r="AC875" s="392"/>
      <c r="AD875" s="392"/>
      <c r="AE875" s="392"/>
      <c r="AF875" s="392"/>
      <c r="AG875" s="392"/>
      <c r="AH875" s="392"/>
      <c r="AI875" s="392"/>
      <c r="AJ875" s="392"/>
      <c r="AK875" s="392"/>
      <c r="AL875" s="392"/>
      <c r="AM875" s="392"/>
      <c r="AN875" s="392"/>
      <c r="AO875" s="392"/>
      <c r="AP875" s="392"/>
      <c r="AQ875" s="392"/>
      <c r="AR875" s="392"/>
      <c r="AS875" s="392"/>
      <c r="AT875" s="392"/>
      <c r="AU875" s="392"/>
      <c r="AV875" s="392"/>
      <c r="AW875" s="392"/>
      <c r="AX875" s="392"/>
      <c r="AY875" s="392"/>
      <c r="AZ875" s="392"/>
      <c r="BA875" s="392"/>
      <c r="BB875" s="392"/>
      <c r="BC875" s="392"/>
      <c r="BD875" s="392"/>
      <c r="BE875" s="392"/>
      <c r="BF875" s="392"/>
      <c r="BG875" s="392"/>
      <c r="BH875" s="392"/>
      <c r="BI875" s="392"/>
      <c r="BJ875" s="392"/>
      <c r="BK875" s="392"/>
      <c r="BL875" s="392"/>
      <c r="BM875" s="392"/>
      <c r="BN875" s="392"/>
      <c r="BO875" s="392"/>
      <c r="BP875" s="392"/>
      <c r="BQ875" s="392"/>
      <c r="BR875" s="392"/>
      <c r="BS875" s="392"/>
      <c r="BT875" s="392"/>
    </row>
    <row r="876" ht="15.75" customHeight="1">
      <c r="A876" s="216"/>
      <c r="B876" s="156"/>
      <c r="C876" s="156"/>
      <c r="D876" s="156"/>
      <c r="E876" s="392"/>
      <c r="F876" s="392"/>
      <c r="G876" s="392"/>
      <c r="H876" s="392"/>
      <c r="I876" s="392"/>
      <c r="J876" s="392"/>
      <c r="K876" s="392"/>
      <c r="L876" s="392"/>
      <c r="M876" s="392"/>
      <c r="N876" s="392"/>
      <c r="O876" s="392"/>
      <c r="P876" s="392"/>
      <c r="Q876" s="392"/>
      <c r="R876" s="392"/>
      <c r="S876" s="392"/>
      <c r="T876" s="392"/>
      <c r="U876" s="392"/>
      <c r="V876" s="392"/>
      <c r="W876" s="392"/>
      <c r="X876" s="392"/>
      <c r="Y876" s="392"/>
      <c r="Z876" s="392"/>
      <c r="AA876" s="392"/>
      <c r="AB876" s="392"/>
      <c r="AC876" s="392"/>
      <c r="AD876" s="392"/>
      <c r="AE876" s="392"/>
      <c r="AF876" s="392"/>
      <c r="AG876" s="392"/>
      <c r="AH876" s="392"/>
      <c r="AI876" s="392"/>
      <c r="AJ876" s="392"/>
      <c r="AK876" s="392"/>
      <c r="AL876" s="392"/>
      <c r="AM876" s="392"/>
      <c r="AN876" s="392"/>
      <c r="AO876" s="392"/>
      <c r="AP876" s="392"/>
      <c r="AQ876" s="392"/>
      <c r="AR876" s="392"/>
      <c r="AS876" s="392"/>
      <c r="AT876" s="392"/>
      <c r="AU876" s="392"/>
      <c r="AV876" s="392"/>
      <c r="AW876" s="392"/>
      <c r="AX876" s="392"/>
      <c r="AY876" s="392"/>
      <c r="AZ876" s="392"/>
      <c r="BA876" s="392"/>
      <c r="BB876" s="392"/>
      <c r="BC876" s="392"/>
      <c r="BD876" s="392"/>
      <c r="BE876" s="392"/>
      <c r="BF876" s="392"/>
      <c r="BG876" s="392"/>
      <c r="BH876" s="392"/>
      <c r="BI876" s="392"/>
      <c r="BJ876" s="392"/>
      <c r="BK876" s="392"/>
      <c r="BL876" s="392"/>
      <c r="BM876" s="392"/>
      <c r="BN876" s="392"/>
      <c r="BO876" s="392"/>
      <c r="BP876" s="392"/>
      <c r="BQ876" s="392"/>
      <c r="BR876" s="392"/>
      <c r="BS876" s="392"/>
      <c r="BT876" s="392"/>
    </row>
    <row r="877" ht="15.75" customHeight="1">
      <c r="A877" s="216"/>
      <c r="B877" s="156"/>
      <c r="C877" s="156"/>
      <c r="D877" s="156"/>
      <c r="E877" s="392"/>
      <c r="F877" s="392"/>
      <c r="G877" s="392"/>
      <c r="H877" s="392"/>
      <c r="I877" s="392"/>
      <c r="J877" s="392"/>
      <c r="K877" s="392"/>
      <c r="L877" s="392"/>
      <c r="M877" s="392"/>
      <c r="N877" s="392"/>
      <c r="O877" s="392"/>
      <c r="P877" s="392"/>
      <c r="Q877" s="392"/>
      <c r="R877" s="392"/>
      <c r="S877" s="392"/>
      <c r="T877" s="392"/>
      <c r="U877" s="392"/>
      <c r="V877" s="392"/>
      <c r="W877" s="392"/>
      <c r="X877" s="392"/>
      <c r="Y877" s="392"/>
      <c r="Z877" s="392"/>
      <c r="AA877" s="392"/>
      <c r="AB877" s="392"/>
      <c r="AC877" s="392"/>
      <c r="AD877" s="392"/>
      <c r="AE877" s="392"/>
      <c r="AF877" s="392"/>
      <c r="AG877" s="392"/>
      <c r="AH877" s="392"/>
      <c r="AI877" s="392"/>
      <c r="AJ877" s="392"/>
      <c r="AK877" s="392"/>
      <c r="AL877" s="392"/>
      <c r="AM877" s="392"/>
      <c r="AN877" s="392"/>
      <c r="AO877" s="392"/>
      <c r="AP877" s="392"/>
      <c r="AQ877" s="392"/>
      <c r="AR877" s="392"/>
      <c r="AS877" s="392"/>
      <c r="AT877" s="392"/>
      <c r="AU877" s="392"/>
      <c r="AV877" s="392"/>
      <c r="AW877" s="392"/>
      <c r="AX877" s="392"/>
      <c r="AY877" s="392"/>
      <c r="AZ877" s="392"/>
      <c r="BA877" s="392"/>
      <c r="BB877" s="392"/>
      <c r="BC877" s="392"/>
      <c r="BD877" s="392"/>
      <c r="BE877" s="392"/>
      <c r="BF877" s="392"/>
      <c r="BG877" s="392"/>
      <c r="BH877" s="392"/>
      <c r="BI877" s="392"/>
      <c r="BJ877" s="392"/>
      <c r="BK877" s="392"/>
      <c r="BL877" s="392"/>
      <c r="BM877" s="392"/>
      <c r="BN877" s="392"/>
      <c r="BO877" s="392"/>
      <c r="BP877" s="392"/>
      <c r="BQ877" s="392"/>
      <c r="BR877" s="392"/>
      <c r="BS877" s="392"/>
      <c r="BT877" s="392"/>
    </row>
    <row r="878" ht="15.75" customHeight="1">
      <c r="A878" s="216"/>
      <c r="B878" s="156"/>
      <c r="C878" s="156"/>
      <c r="D878" s="156"/>
      <c r="E878" s="392"/>
      <c r="F878" s="392"/>
      <c r="G878" s="392"/>
      <c r="H878" s="392"/>
      <c r="I878" s="392"/>
      <c r="J878" s="392"/>
      <c r="K878" s="392"/>
      <c r="L878" s="392"/>
      <c r="M878" s="392"/>
      <c r="N878" s="392"/>
      <c r="O878" s="392"/>
      <c r="P878" s="392"/>
      <c r="Q878" s="392"/>
      <c r="R878" s="392"/>
      <c r="S878" s="392"/>
      <c r="T878" s="392"/>
      <c r="U878" s="392"/>
      <c r="V878" s="392"/>
      <c r="W878" s="392"/>
      <c r="X878" s="392"/>
      <c r="Y878" s="392"/>
      <c r="Z878" s="392"/>
      <c r="AA878" s="392"/>
      <c r="AB878" s="392"/>
      <c r="AC878" s="392"/>
      <c r="AD878" s="392"/>
      <c r="AE878" s="392"/>
      <c r="AF878" s="392"/>
      <c r="AG878" s="392"/>
      <c r="AH878" s="392"/>
      <c r="AI878" s="392"/>
      <c r="AJ878" s="392"/>
      <c r="AK878" s="392"/>
      <c r="AL878" s="392"/>
      <c r="AM878" s="392"/>
      <c r="AN878" s="392"/>
      <c r="AO878" s="392"/>
      <c r="AP878" s="392"/>
      <c r="AQ878" s="392"/>
      <c r="AR878" s="392"/>
      <c r="AS878" s="392"/>
      <c r="AT878" s="392"/>
      <c r="AU878" s="392"/>
      <c r="AV878" s="392"/>
      <c r="AW878" s="392"/>
      <c r="AX878" s="392"/>
      <c r="AY878" s="392"/>
      <c r="AZ878" s="392"/>
      <c r="BA878" s="392"/>
      <c r="BB878" s="392"/>
      <c r="BC878" s="392"/>
      <c r="BD878" s="392"/>
      <c r="BE878" s="392"/>
      <c r="BF878" s="392"/>
      <c r="BG878" s="392"/>
      <c r="BH878" s="392"/>
      <c r="BI878" s="392"/>
      <c r="BJ878" s="392"/>
      <c r="BK878" s="392"/>
      <c r="BL878" s="392"/>
      <c r="BM878" s="392"/>
      <c r="BN878" s="392"/>
      <c r="BO878" s="392"/>
      <c r="BP878" s="392"/>
      <c r="BQ878" s="392"/>
      <c r="BR878" s="392"/>
      <c r="BS878" s="392"/>
      <c r="BT878" s="392"/>
    </row>
    <row r="879" ht="15.75" customHeight="1">
      <c r="A879" s="216"/>
      <c r="B879" s="156"/>
      <c r="C879" s="156"/>
      <c r="D879" s="156"/>
      <c r="E879" s="392"/>
      <c r="F879" s="392"/>
      <c r="G879" s="392"/>
      <c r="H879" s="392"/>
      <c r="I879" s="392"/>
      <c r="J879" s="392"/>
      <c r="K879" s="392"/>
      <c r="L879" s="392"/>
      <c r="M879" s="392"/>
      <c r="N879" s="392"/>
      <c r="O879" s="392"/>
      <c r="P879" s="392"/>
      <c r="Q879" s="392"/>
      <c r="R879" s="392"/>
      <c r="S879" s="392"/>
      <c r="T879" s="392"/>
      <c r="U879" s="392"/>
      <c r="V879" s="392"/>
      <c r="W879" s="392"/>
      <c r="X879" s="392"/>
      <c r="Y879" s="392"/>
      <c r="Z879" s="392"/>
      <c r="AA879" s="392"/>
      <c r="AB879" s="392"/>
      <c r="AC879" s="392"/>
      <c r="AD879" s="392"/>
      <c r="AE879" s="392"/>
      <c r="AF879" s="392"/>
      <c r="AG879" s="392"/>
      <c r="AH879" s="392"/>
      <c r="AI879" s="392"/>
      <c r="AJ879" s="392"/>
      <c r="AK879" s="392"/>
      <c r="AL879" s="392"/>
      <c r="AM879" s="392"/>
      <c r="AN879" s="392"/>
      <c r="AO879" s="392"/>
      <c r="AP879" s="392"/>
      <c r="AQ879" s="392"/>
      <c r="AR879" s="392"/>
      <c r="AS879" s="392"/>
      <c r="AT879" s="392"/>
      <c r="AU879" s="392"/>
      <c r="AV879" s="392"/>
      <c r="AW879" s="392"/>
      <c r="AX879" s="392"/>
      <c r="AY879" s="392"/>
      <c r="AZ879" s="392"/>
      <c r="BA879" s="392"/>
      <c r="BB879" s="392"/>
      <c r="BC879" s="392"/>
      <c r="BD879" s="392"/>
      <c r="BE879" s="392"/>
      <c r="BF879" s="392"/>
      <c r="BG879" s="392"/>
      <c r="BH879" s="392"/>
      <c r="BI879" s="392"/>
      <c r="BJ879" s="392"/>
      <c r="BK879" s="392"/>
      <c r="BL879" s="392"/>
      <c r="BM879" s="392"/>
      <c r="BN879" s="392"/>
      <c r="BO879" s="392"/>
      <c r="BP879" s="392"/>
      <c r="BQ879" s="392"/>
      <c r="BR879" s="392"/>
      <c r="BS879" s="392"/>
      <c r="BT879" s="392"/>
    </row>
    <row r="880" ht="15.75" customHeight="1">
      <c r="A880" s="216"/>
      <c r="B880" s="156"/>
      <c r="C880" s="156"/>
      <c r="D880" s="156"/>
      <c r="E880" s="392"/>
      <c r="F880" s="392"/>
      <c r="G880" s="392"/>
      <c r="H880" s="392"/>
      <c r="I880" s="392"/>
      <c r="J880" s="392"/>
      <c r="K880" s="392"/>
      <c r="L880" s="392"/>
      <c r="M880" s="392"/>
      <c r="N880" s="392"/>
      <c r="O880" s="392"/>
      <c r="P880" s="392"/>
      <c r="Q880" s="392"/>
      <c r="R880" s="392"/>
      <c r="S880" s="392"/>
      <c r="T880" s="392"/>
      <c r="U880" s="392"/>
      <c r="V880" s="392"/>
      <c r="W880" s="392"/>
      <c r="X880" s="392"/>
      <c r="Y880" s="392"/>
      <c r="Z880" s="392"/>
      <c r="AA880" s="392"/>
      <c r="AB880" s="392"/>
      <c r="AC880" s="392"/>
      <c r="AD880" s="392"/>
      <c r="AE880" s="392"/>
      <c r="AF880" s="392"/>
      <c r="AG880" s="392"/>
      <c r="AH880" s="392"/>
      <c r="AI880" s="392"/>
      <c r="AJ880" s="392"/>
      <c r="AK880" s="392"/>
      <c r="AL880" s="392"/>
      <c r="AM880" s="392"/>
      <c r="AN880" s="392"/>
      <c r="AO880" s="392"/>
      <c r="AP880" s="392"/>
      <c r="AQ880" s="392"/>
      <c r="AR880" s="392"/>
      <c r="AS880" s="392"/>
      <c r="AT880" s="392"/>
      <c r="AU880" s="392"/>
      <c r="AV880" s="392"/>
      <c r="AW880" s="392"/>
      <c r="AX880" s="392"/>
      <c r="AY880" s="392"/>
      <c r="AZ880" s="392"/>
      <c r="BA880" s="392"/>
      <c r="BB880" s="392"/>
      <c r="BC880" s="392"/>
      <c r="BD880" s="392"/>
      <c r="BE880" s="392"/>
      <c r="BF880" s="392"/>
      <c r="BG880" s="392"/>
      <c r="BH880" s="392"/>
      <c r="BI880" s="392"/>
      <c r="BJ880" s="392"/>
      <c r="BK880" s="392"/>
      <c r="BL880" s="392"/>
      <c r="BM880" s="392"/>
      <c r="BN880" s="392"/>
      <c r="BO880" s="392"/>
      <c r="BP880" s="392"/>
      <c r="BQ880" s="392"/>
      <c r="BR880" s="392"/>
      <c r="BS880" s="392"/>
      <c r="BT880" s="392"/>
    </row>
    <row r="881" ht="15.75" customHeight="1">
      <c r="A881" s="216"/>
      <c r="B881" s="156"/>
      <c r="C881" s="156"/>
      <c r="D881" s="156"/>
      <c r="E881" s="392"/>
      <c r="F881" s="392"/>
      <c r="G881" s="392"/>
      <c r="H881" s="392"/>
      <c r="I881" s="392"/>
      <c r="J881" s="392"/>
      <c r="K881" s="392"/>
      <c r="L881" s="392"/>
      <c r="M881" s="392"/>
      <c r="N881" s="392"/>
      <c r="O881" s="392"/>
      <c r="P881" s="392"/>
      <c r="Q881" s="392"/>
      <c r="R881" s="392"/>
      <c r="S881" s="392"/>
      <c r="T881" s="392"/>
      <c r="U881" s="392"/>
      <c r="V881" s="392"/>
      <c r="W881" s="392"/>
      <c r="X881" s="392"/>
      <c r="Y881" s="392"/>
      <c r="Z881" s="392"/>
      <c r="AA881" s="392"/>
      <c r="AB881" s="392"/>
      <c r="AC881" s="392"/>
      <c r="AD881" s="392"/>
      <c r="AE881" s="392"/>
      <c r="AF881" s="392"/>
      <c r="AG881" s="392"/>
      <c r="AH881" s="392"/>
      <c r="AI881" s="392"/>
      <c r="AJ881" s="392"/>
      <c r="AK881" s="392"/>
      <c r="AL881" s="392"/>
      <c r="AM881" s="392"/>
      <c r="AN881" s="392"/>
      <c r="AO881" s="392"/>
      <c r="AP881" s="392"/>
      <c r="AQ881" s="392"/>
      <c r="AR881" s="392"/>
      <c r="AS881" s="392"/>
      <c r="AT881" s="392"/>
      <c r="AU881" s="392"/>
      <c r="AV881" s="392"/>
      <c r="AW881" s="392"/>
      <c r="AX881" s="392"/>
      <c r="AY881" s="392"/>
      <c r="AZ881" s="392"/>
      <c r="BA881" s="392"/>
      <c r="BB881" s="392"/>
      <c r="BC881" s="392"/>
      <c r="BD881" s="392"/>
      <c r="BE881" s="392"/>
      <c r="BF881" s="392"/>
      <c r="BG881" s="392"/>
      <c r="BH881" s="392"/>
      <c r="BI881" s="392"/>
      <c r="BJ881" s="392"/>
      <c r="BK881" s="392"/>
      <c r="BL881" s="392"/>
      <c r="BM881" s="392"/>
      <c r="BN881" s="392"/>
      <c r="BO881" s="392"/>
      <c r="BP881" s="392"/>
      <c r="BQ881" s="392"/>
      <c r="BR881" s="392"/>
      <c r="BS881" s="392"/>
      <c r="BT881" s="392"/>
    </row>
    <row r="882" ht="15.75" customHeight="1">
      <c r="A882" s="216"/>
      <c r="B882" s="156"/>
      <c r="C882" s="156"/>
      <c r="D882" s="156"/>
      <c r="E882" s="392"/>
      <c r="F882" s="392"/>
      <c r="G882" s="392"/>
      <c r="H882" s="392"/>
      <c r="I882" s="392"/>
      <c r="J882" s="392"/>
      <c r="K882" s="392"/>
      <c r="L882" s="392"/>
      <c r="M882" s="392"/>
      <c r="N882" s="392"/>
      <c r="O882" s="392"/>
      <c r="P882" s="392"/>
      <c r="Q882" s="392"/>
      <c r="R882" s="392"/>
      <c r="S882" s="392"/>
      <c r="T882" s="392"/>
      <c r="U882" s="392"/>
      <c r="V882" s="392"/>
      <c r="W882" s="392"/>
      <c r="X882" s="392"/>
      <c r="Y882" s="392"/>
      <c r="Z882" s="392"/>
      <c r="AA882" s="392"/>
      <c r="AB882" s="392"/>
      <c r="AC882" s="392"/>
      <c r="AD882" s="392"/>
      <c r="AE882" s="392"/>
      <c r="AF882" s="392"/>
      <c r="AG882" s="392"/>
      <c r="AH882" s="392"/>
      <c r="AI882" s="392"/>
      <c r="AJ882" s="392"/>
      <c r="AK882" s="392"/>
      <c r="AL882" s="392"/>
      <c r="AM882" s="392"/>
      <c r="AN882" s="392"/>
      <c r="AO882" s="392"/>
      <c r="AP882" s="392"/>
      <c r="AQ882" s="392"/>
      <c r="AR882" s="392"/>
      <c r="AS882" s="392"/>
      <c r="AT882" s="392"/>
      <c r="AU882" s="392"/>
      <c r="AV882" s="392"/>
      <c r="AW882" s="392"/>
      <c r="AX882" s="392"/>
      <c r="AY882" s="392"/>
      <c r="AZ882" s="392"/>
      <c r="BA882" s="392"/>
      <c r="BB882" s="392"/>
      <c r="BC882" s="392"/>
      <c r="BD882" s="392"/>
      <c r="BE882" s="392"/>
      <c r="BF882" s="392"/>
      <c r="BG882" s="392"/>
      <c r="BH882" s="392"/>
      <c r="BI882" s="392"/>
      <c r="BJ882" s="392"/>
      <c r="BK882" s="392"/>
      <c r="BL882" s="392"/>
      <c r="BM882" s="392"/>
      <c r="BN882" s="392"/>
      <c r="BO882" s="392"/>
      <c r="BP882" s="392"/>
      <c r="BQ882" s="392"/>
      <c r="BR882" s="392"/>
      <c r="BS882" s="392"/>
      <c r="BT882" s="392"/>
    </row>
    <row r="883" ht="15.75" customHeight="1">
      <c r="A883" s="216"/>
      <c r="B883" s="156"/>
      <c r="C883" s="156"/>
      <c r="D883" s="156"/>
      <c r="E883" s="392"/>
      <c r="F883" s="392"/>
      <c r="G883" s="392"/>
      <c r="H883" s="392"/>
      <c r="I883" s="392"/>
      <c r="J883" s="392"/>
      <c r="K883" s="392"/>
      <c r="L883" s="392"/>
      <c r="M883" s="392"/>
      <c r="N883" s="392"/>
      <c r="O883" s="392"/>
      <c r="P883" s="392"/>
      <c r="Q883" s="392"/>
      <c r="R883" s="392"/>
      <c r="S883" s="392"/>
      <c r="T883" s="392"/>
      <c r="U883" s="392"/>
      <c r="V883" s="392"/>
      <c r="W883" s="392"/>
      <c r="X883" s="392"/>
      <c r="Y883" s="392"/>
      <c r="Z883" s="392"/>
      <c r="AA883" s="392"/>
      <c r="AB883" s="392"/>
      <c r="AC883" s="392"/>
      <c r="AD883" s="392"/>
      <c r="AE883" s="392"/>
      <c r="AF883" s="392"/>
      <c r="AG883" s="392"/>
      <c r="AH883" s="392"/>
      <c r="AI883" s="392"/>
      <c r="AJ883" s="392"/>
      <c r="AK883" s="392"/>
      <c r="AL883" s="392"/>
      <c r="AM883" s="392"/>
      <c r="AN883" s="392"/>
      <c r="AO883" s="392"/>
      <c r="AP883" s="392"/>
      <c r="AQ883" s="392"/>
      <c r="AR883" s="392"/>
      <c r="AS883" s="392"/>
      <c r="AT883" s="392"/>
      <c r="AU883" s="392"/>
      <c r="AV883" s="392"/>
      <c r="AW883" s="392"/>
      <c r="AX883" s="392"/>
      <c r="AY883" s="392"/>
      <c r="AZ883" s="392"/>
      <c r="BA883" s="392"/>
      <c r="BB883" s="392"/>
      <c r="BC883" s="392"/>
      <c r="BD883" s="392"/>
      <c r="BE883" s="392"/>
      <c r="BF883" s="392"/>
      <c r="BG883" s="392"/>
      <c r="BH883" s="392"/>
      <c r="BI883" s="392"/>
      <c r="BJ883" s="392"/>
      <c r="BK883" s="392"/>
      <c r="BL883" s="392"/>
      <c r="BM883" s="392"/>
      <c r="BN883" s="392"/>
      <c r="BO883" s="392"/>
      <c r="BP883" s="392"/>
      <c r="BQ883" s="392"/>
      <c r="BR883" s="392"/>
      <c r="BS883" s="392"/>
      <c r="BT883" s="392"/>
    </row>
    <row r="884" ht="15.75" customHeight="1">
      <c r="A884" s="216"/>
      <c r="B884" s="156"/>
      <c r="C884" s="156"/>
      <c r="D884" s="156"/>
      <c r="E884" s="392"/>
      <c r="F884" s="392"/>
      <c r="G884" s="392"/>
      <c r="H884" s="392"/>
      <c r="I884" s="392"/>
      <c r="J884" s="392"/>
      <c r="K884" s="392"/>
      <c r="L884" s="392"/>
      <c r="M884" s="392"/>
      <c r="N884" s="392"/>
      <c r="O884" s="392"/>
      <c r="P884" s="392"/>
      <c r="Q884" s="392"/>
      <c r="R884" s="392"/>
      <c r="S884" s="392"/>
      <c r="T884" s="392"/>
      <c r="U884" s="392"/>
      <c r="V884" s="392"/>
      <c r="W884" s="392"/>
      <c r="X884" s="392"/>
      <c r="Y884" s="392"/>
      <c r="Z884" s="392"/>
      <c r="AA884" s="392"/>
      <c r="AB884" s="392"/>
      <c r="AC884" s="392"/>
      <c r="AD884" s="392"/>
      <c r="AE884" s="392"/>
      <c r="AF884" s="392"/>
      <c r="AG884" s="392"/>
      <c r="AH884" s="392"/>
      <c r="AI884" s="392"/>
      <c r="AJ884" s="392"/>
      <c r="AK884" s="392"/>
      <c r="AL884" s="392"/>
      <c r="AM884" s="392"/>
      <c r="AN884" s="392"/>
      <c r="AO884" s="392"/>
      <c r="AP884" s="392"/>
      <c r="AQ884" s="392"/>
      <c r="AR884" s="392"/>
      <c r="AS884" s="392"/>
      <c r="AT884" s="392"/>
      <c r="AU884" s="392"/>
      <c r="AV884" s="392"/>
      <c r="AW884" s="392"/>
      <c r="AX884" s="392"/>
      <c r="AY884" s="392"/>
      <c r="AZ884" s="392"/>
      <c r="BA884" s="392"/>
      <c r="BB884" s="392"/>
      <c r="BC884" s="392"/>
      <c r="BD884" s="392"/>
      <c r="BE884" s="392"/>
      <c r="BF884" s="392"/>
      <c r="BG884" s="392"/>
      <c r="BH884" s="392"/>
      <c r="BI884" s="392"/>
      <c r="BJ884" s="392"/>
      <c r="BK884" s="392"/>
      <c r="BL884" s="392"/>
      <c r="BM884" s="392"/>
      <c r="BN884" s="392"/>
      <c r="BO884" s="392"/>
      <c r="BP884" s="392"/>
      <c r="BQ884" s="392"/>
      <c r="BR884" s="392"/>
      <c r="BS884" s="392"/>
      <c r="BT884" s="392"/>
    </row>
    <row r="885" ht="15.75" customHeight="1">
      <c r="A885" s="216"/>
      <c r="B885" s="156"/>
      <c r="C885" s="156"/>
      <c r="D885" s="156"/>
      <c r="E885" s="392"/>
      <c r="F885" s="392"/>
      <c r="G885" s="392"/>
      <c r="H885" s="392"/>
      <c r="I885" s="392"/>
      <c r="J885" s="392"/>
      <c r="K885" s="392"/>
      <c r="L885" s="392"/>
      <c r="M885" s="392"/>
      <c r="N885" s="392"/>
      <c r="O885" s="392"/>
      <c r="P885" s="392"/>
      <c r="Q885" s="392"/>
      <c r="R885" s="392"/>
      <c r="S885" s="392"/>
      <c r="T885" s="392"/>
      <c r="U885" s="392"/>
      <c r="V885" s="392"/>
      <c r="W885" s="392"/>
      <c r="X885" s="392"/>
      <c r="Y885" s="392"/>
      <c r="Z885" s="392"/>
      <c r="AA885" s="392"/>
      <c r="AB885" s="392"/>
      <c r="AC885" s="392"/>
      <c r="AD885" s="392"/>
      <c r="AE885" s="392"/>
      <c r="AF885" s="392"/>
      <c r="AG885" s="392"/>
      <c r="AH885" s="392"/>
      <c r="AI885" s="392"/>
      <c r="AJ885" s="392"/>
      <c r="AK885" s="392"/>
      <c r="AL885" s="392"/>
      <c r="AM885" s="392"/>
      <c r="AN885" s="392"/>
      <c r="AO885" s="392"/>
      <c r="AP885" s="392"/>
      <c r="AQ885" s="392"/>
      <c r="AR885" s="392"/>
      <c r="AS885" s="392"/>
      <c r="AT885" s="392"/>
      <c r="AU885" s="392"/>
      <c r="AV885" s="392"/>
      <c r="AW885" s="392"/>
      <c r="AX885" s="392"/>
      <c r="AY885" s="392"/>
      <c r="AZ885" s="392"/>
      <c r="BA885" s="392"/>
      <c r="BB885" s="392"/>
      <c r="BC885" s="392"/>
      <c r="BD885" s="392"/>
      <c r="BE885" s="392"/>
      <c r="BF885" s="392"/>
      <c r="BG885" s="392"/>
      <c r="BH885" s="392"/>
      <c r="BI885" s="392"/>
      <c r="BJ885" s="392"/>
      <c r="BK885" s="392"/>
      <c r="BL885" s="392"/>
      <c r="BM885" s="392"/>
      <c r="BN885" s="392"/>
      <c r="BO885" s="392"/>
      <c r="BP885" s="392"/>
      <c r="BQ885" s="392"/>
      <c r="BR885" s="392"/>
      <c r="BS885" s="392"/>
      <c r="BT885" s="392"/>
    </row>
    <row r="886" ht="15.75" customHeight="1">
      <c r="A886" s="216"/>
      <c r="B886" s="156"/>
      <c r="C886" s="156"/>
      <c r="D886" s="156"/>
      <c r="E886" s="392"/>
      <c r="F886" s="392"/>
      <c r="G886" s="392"/>
      <c r="H886" s="392"/>
      <c r="I886" s="392"/>
      <c r="J886" s="392"/>
      <c r="K886" s="392"/>
      <c r="L886" s="392"/>
      <c r="M886" s="392"/>
      <c r="N886" s="392"/>
      <c r="O886" s="392"/>
      <c r="P886" s="392"/>
      <c r="Q886" s="392"/>
      <c r="R886" s="392"/>
      <c r="S886" s="392"/>
      <c r="T886" s="392"/>
      <c r="U886" s="392"/>
      <c r="V886" s="392"/>
      <c r="W886" s="392"/>
      <c r="X886" s="392"/>
      <c r="Y886" s="392"/>
      <c r="Z886" s="392"/>
      <c r="AA886" s="392"/>
      <c r="AB886" s="392"/>
      <c r="AC886" s="392"/>
      <c r="AD886" s="392"/>
      <c r="AE886" s="392"/>
      <c r="AF886" s="392"/>
      <c r="AG886" s="392"/>
      <c r="AH886" s="392"/>
      <c r="AI886" s="392"/>
      <c r="AJ886" s="392"/>
      <c r="AK886" s="392"/>
      <c r="AL886" s="392"/>
      <c r="AM886" s="392"/>
      <c r="AN886" s="392"/>
      <c r="AO886" s="392"/>
      <c r="AP886" s="392"/>
      <c r="AQ886" s="392"/>
      <c r="AR886" s="392"/>
      <c r="AS886" s="392"/>
      <c r="AT886" s="392"/>
      <c r="AU886" s="392"/>
      <c r="AV886" s="392"/>
      <c r="AW886" s="392"/>
      <c r="AX886" s="392"/>
      <c r="AY886" s="392"/>
      <c r="AZ886" s="392"/>
      <c r="BA886" s="392"/>
      <c r="BB886" s="392"/>
      <c r="BC886" s="392"/>
      <c r="BD886" s="392"/>
      <c r="BE886" s="392"/>
      <c r="BF886" s="392"/>
      <c r="BG886" s="392"/>
      <c r="BH886" s="392"/>
      <c r="BI886" s="392"/>
      <c r="BJ886" s="392"/>
      <c r="BK886" s="392"/>
      <c r="BL886" s="392"/>
      <c r="BM886" s="392"/>
      <c r="BN886" s="392"/>
      <c r="BO886" s="392"/>
      <c r="BP886" s="392"/>
      <c r="BQ886" s="392"/>
      <c r="BR886" s="392"/>
      <c r="BS886" s="392"/>
      <c r="BT886" s="392"/>
    </row>
    <row r="887" ht="15.75" customHeight="1">
      <c r="A887" s="216"/>
      <c r="B887" s="156"/>
      <c r="C887" s="156"/>
      <c r="D887" s="156"/>
      <c r="E887" s="392"/>
      <c r="F887" s="392"/>
      <c r="G887" s="392"/>
      <c r="H887" s="392"/>
      <c r="I887" s="392"/>
      <c r="J887" s="392"/>
      <c r="K887" s="392"/>
      <c r="L887" s="392"/>
      <c r="M887" s="392"/>
      <c r="N887" s="392"/>
      <c r="O887" s="392"/>
      <c r="P887" s="392"/>
      <c r="Q887" s="392"/>
      <c r="R887" s="392"/>
      <c r="S887" s="392"/>
      <c r="T887" s="392"/>
      <c r="U887" s="392"/>
      <c r="V887" s="392"/>
      <c r="W887" s="392"/>
      <c r="X887" s="392"/>
      <c r="Y887" s="392"/>
      <c r="Z887" s="392"/>
      <c r="AA887" s="392"/>
      <c r="AB887" s="392"/>
      <c r="AC887" s="392"/>
      <c r="AD887" s="392"/>
      <c r="AE887" s="392"/>
      <c r="AF887" s="392"/>
      <c r="AG887" s="392"/>
      <c r="AH887" s="392"/>
      <c r="AI887" s="392"/>
      <c r="AJ887" s="392"/>
      <c r="AK887" s="392"/>
      <c r="AL887" s="392"/>
      <c r="AM887" s="392"/>
      <c r="AN887" s="392"/>
      <c r="AO887" s="392"/>
      <c r="AP887" s="392"/>
      <c r="AQ887" s="392"/>
      <c r="AR887" s="392"/>
      <c r="AS887" s="392"/>
      <c r="AT887" s="392"/>
      <c r="AU887" s="392"/>
      <c r="AV887" s="392"/>
      <c r="AW887" s="392"/>
      <c r="AX887" s="392"/>
      <c r="AY887" s="392"/>
      <c r="AZ887" s="392"/>
      <c r="BA887" s="392"/>
      <c r="BB887" s="392"/>
      <c r="BC887" s="392"/>
      <c r="BD887" s="392"/>
      <c r="BE887" s="392"/>
      <c r="BF887" s="392"/>
      <c r="BG887" s="392"/>
      <c r="BH887" s="392"/>
      <c r="BI887" s="392"/>
      <c r="BJ887" s="392"/>
      <c r="BK887" s="392"/>
      <c r="BL887" s="392"/>
      <c r="BM887" s="392"/>
      <c r="BN887" s="392"/>
      <c r="BO887" s="392"/>
      <c r="BP887" s="392"/>
      <c r="BQ887" s="392"/>
      <c r="BR887" s="392"/>
      <c r="BS887" s="392"/>
      <c r="BT887" s="392"/>
    </row>
    <row r="888" ht="15.75" customHeight="1">
      <c r="A888" s="216"/>
      <c r="B888" s="156"/>
      <c r="C888" s="156"/>
      <c r="D888" s="156"/>
      <c r="E888" s="392"/>
      <c r="F888" s="392"/>
      <c r="G888" s="392"/>
      <c r="H888" s="392"/>
      <c r="I888" s="392"/>
      <c r="J888" s="392"/>
      <c r="K888" s="392"/>
      <c r="L888" s="392"/>
      <c r="M888" s="392"/>
      <c r="N888" s="392"/>
      <c r="O888" s="392"/>
      <c r="P888" s="392"/>
      <c r="Q888" s="392"/>
      <c r="R888" s="392"/>
      <c r="S888" s="392"/>
      <c r="T888" s="392"/>
      <c r="U888" s="392"/>
      <c r="V888" s="392"/>
      <c r="W888" s="392"/>
      <c r="X888" s="392"/>
      <c r="Y888" s="392"/>
      <c r="Z888" s="392"/>
      <c r="AA888" s="392"/>
      <c r="AB888" s="392"/>
      <c r="AC888" s="392"/>
      <c r="AD888" s="392"/>
      <c r="AE888" s="392"/>
      <c r="AF888" s="392"/>
      <c r="AG888" s="392"/>
      <c r="AH888" s="392"/>
      <c r="AI888" s="392"/>
      <c r="AJ888" s="392"/>
      <c r="AK888" s="392"/>
      <c r="AL888" s="392"/>
      <c r="AM888" s="392"/>
      <c r="AN888" s="392"/>
      <c r="AO888" s="392"/>
      <c r="AP888" s="392"/>
      <c r="AQ888" s="392"/>
      <c r="AR888" s="392"/>
      <c r="AS888" s="392"/>
      <c r="AT888" s="392"/>
      <c r="AU888" s="392"/>
      <c r="AV888" s="392"/>
      <c r="AW888" s="392"/>
      <c r="AX888" s="392"/>
      <c r="AY888" s="392"/>
      <c r="AZ888" s="392"/>
      <c r="BA888" s="392"/>
      <c r="BB888" s="392"/>
      <c r="BC888" s="392"/>
      <c r="BD888" s="392"/>
      <c r="BE888" s="392"/>
      <c r="BF888" s="392"/>
      <c r="BG888" s="392"/>
      <c r="BH888" s="392"/>
      <c r="BI888" s="392"/>
      <c r="BJ888" s="392"/>
      <c r="BK888" s="392"/>
      <c r="BL888" s="392"/>
      <c r="BM888" s="392"/>
      <c r="BN888" s="392"/>
      <c r="BO888" s="392"/>
      <c r="BP888" s="392"/>
      <c r="BQ888" s="392"/>
      <c r="BR888" s="392"/>
      <c r="BS888" s="392"/>
      <c r="BT888" s="392"/>
    </row>
    <row r="889" ht="15.75" customHeight="1">
      <c r="A889" s="216"/>
      <c r="B889" s="156"/>
      <c r="C889" s="156"/>
      <c r="D889" s="156"/>
      <c r="E889" s="392"/>
      <c r="F889" s="392"/>
      <c r="G889" s="392"/>
      <c r="H889" s="392"/>
      <c r="I889" s="392"/>
      <c r="J889" s="392"/>
      <c r="K889" s="392"/>
      <c r="L889" s="392"/>
      <c r="M889" s="392"/>
      <c r="N889" s="392"/>
      <c r="O889" s="392"/>
      <c r="P889" s="392"/>
      <c r="Q889" s="392"/>
      <c r="R889" s="392"/>
      <c r="S889" s="392"/>
      <c r="T889" s="392"/>
      <c r="U889" s="392"/>
      <c r="V889" s="392"/>
      <c r="W889" s="392"/>
      <c r="X889" s="392"/>
      <c r="Y889" s="392"/>
      <c r="Z889" s="392"/>
      <c r="AA889" s="392"/>
      <c r="AB889" s="392"/>
      <c r="AC889" s="392"/>
      <c r="AD889" s="392"/>
      <c r="AE889" s="392"/>
      <c r="AF889" s="392"/>
      <c r="AG889" s="392"/>
      <c r="AH889" s="392"/>
      <c r="AI889" s="392"/>
      <c r="AJ889" s="392"/>
      <c r="AK889" s="392"/>
      <c r="AL889" s="392"/>
      <c r="AM889" s="392"/>
      <c r="AN889" s="392"/>
      <c r="AO889" s="392"/>
      <c r="AP889" s="392"/>
      <c r="AQ889" s="392"/>
      <c r="AR889" s="392"/>
      <c r="AS889" s="392"/>
      <c r="AT889" s="392"/>
      <c r="AU889" s="392"/>
      <c r="AV889" s="392"/>
      <c r="AW889" s="392"/>
      <c r="AX889" s="392"/>
      <c r="AY889" s="392"/>
      <c r="AZ889" s="392"/>
      <c r="BA889" s="392"/>
      <c r="BB889" s="392"/>
      <c r="BC889" s="392"/>
      <c r="BD889" s="392"/>
      <c r="BE889" s="392"/>
      <c r="BF889" s="392"/>
      <c r="BG889" s="392"/>
      <c r="BH889" s="392"/>
      <c r="BI889" s="392"/>
      <c r="BJ889" s="392"/>
      <c r="BK889" s="392"/>
      <c r="BL889" s="392"/>
      <c r="BM889" s="392"/>
      <c r="BN889" s="392"/>
      <c r="BO889" s="392"/>
      <c r="BP889" s="392"/>
      <c r="BQ889" s="392"/>
      <c r="BR889" s="392"/>
      <c r="BS889" s="392"/>
      <c r="BT889" s="392"/>
    </row>
    <row r="890" ht="15.75" customHeight="1">
      <c r="A890" s="216"/>
      <c r="B890" s="156"/>
      <c r="C890" s="156"/>
      <c r="D890" s="156"/>
      <c r="E890" s="392"/>
      <c r="F890" s="392"/>
      <c r="G890" s="392"/>
      <c r="H890" s="392"/>
      <c r="I890" s="392"/>
      <c r="J890" s="392"/>
      <c r="K890" s="392"/>
      <c r="L890" s="392"/>
      <c r="M890" s="392"/>
      <c r="N890" s="392"/>
      <c r="O890" s="392"/>
      <c r="P890" s="392"/>
      <c r="Q890" s="392"/>
      <c r="R890" s="392"/>
      <c r="S890" s="392"/>
      <c r="T890" s="392"/>
      <c r="U890" s="392"/>
      <c r="V890" s="392"/>
      <c r="W890" s="392"/>
      <c r="X890" s="392"/>
      <c r="Y890" s="392"/>
      <c r="Z890" s="392"/>
      <c r="AA890" s="392"/>
      <c r="AB890" s="392"/>
      <c r="AC890" s="392"/>
      <c r="AD890" s="392"/>
      <c r="AE890" s="392"/>
      <c r="AF890" s="392"/>
      <c r="AG890" s="392"/>
      <c r="AH890" s="392"/>
      <c r="AI890" s="392"/>
      <c r="AJ890" s="392"/>
      <c r="AK890" s="392"/>
      <c r="AL890" s="392"/>
      <c r="AM890" s="392"/>
      <c r="AN890" s="392"/>
      <c r="AO890" s="392"/>
      <c r="AP890" s="392"/>
      <c r="AQ890" s="392"/>
      <c r="AR890" s="392"/>
      <c r="AS890" s="392"/>
      <c r="AT890" s="392"/>
      <c r="AU890" s="392"/>
      <c r="AV890" s="392"/>
      <c r="AW890" s="392"/>
      <c r="AX890" s="392"/>
      <c r="AY890" s="392"/>
      <c r="AZ890" s="392"/>
      <c r="BA890" s="392"/>
      <c r="BB890" s="392"/>
      <c r="BC890" s="392"/>
      <c r="BD890" s="392"/>
      <c r="BE890" s="392"/>
      <c r="BF890" s="392"/>
      <c r="BG890" s="392"/>
      <c r="BH890" s="392"/>
      <c r="BI890" s="392"/>
      <c r="BJ890" s="392"/>
      <c r="BK890" s="392"/>
      <c r="BL890" s="392"/>
      <c r="BM890" s="392"/>
      <c r="BN890" s="392"/>
      <c r="BO890" s="392"/>
      <c r="BP890" s="392"/>
      <c r="BQ890" s="392"/>
      <c r="BR890" s="392"/>
      <c r="BS890" s="392"/>
      <c r="BT890" s="392"/>
    </row>
    <row r="891" ht="15.75" customHeight="1">
      <c r="A891" s="216"/>
      <c r="B891" s="156"/>
      <c r="C891" s="156"/>
      <c r="D891" s="156"/>
      <c r="E891" s="392"/>
      <c r="F891" s="392"/>
      <c r="G891" s="392"/>
      <c r="H891" s="392"/>
      <c r="I891" s="392"/>
      <c r="J891" s="392"/>
      <c r="K891" s="392"/>
      <c r="L891" s="392"/>
      <c r="M891" s="392"/>
      <c r="N891" s="392"/>
      <c r="O891" s="392"/>
      <c r="P891" s="392"/>
      <c r="Q891" s="392"/>
      <c r="R891" s="392"/>
      <c r="S891" s="392"/>
      <c r="T891" s="392"/>
      <c r="U891" s="392"/>
      <c r="V891" s="392"/>
      <c r="W891" s="392"/>
      <c r="X891" s="392"/>
      <c r="Y891" s="392"/>
      <c r="Z891" s="392"/>
      <c r="AA891" s="392"/>
      <c r="AB891" s="392"/>
      <c r="AC891" s="392"/>
      <c r="AD891" s="392"/>
      <c r="AE891" s="392"/>
      <c r="AF891" s="392"/>
      <c r="AG891" s="392"/>
      <c r="AH891" s="392"/>
      <c r="AI891" s="392"/>
      <c r="AJ891" s="392"/>
      <c r="AK891" s="392"/>
      <c r="AL891" s="392"/>
      <c r="AM891" s="392"/>
      <c r="AN891" s="392"/>
      <c r="AO891" s="392"/>
      <c r="AP891" s="392"/>
      <c r="AQ891" s="392"/>
      <c r="AR891" s="392"/>
      <c r="AS891" s="392"/>
      <c r="AT891" s="392"/>
      <c r="AU891" s="392"/>
      <c r="AV891" s="392"/>
      <c r="AW891" s="392"/>
      <c r="AX891" s="392"/>
      <c r="AY891" s="392"/>
      <c r="AZ891" s="392"/>
      <c r="BA891" s="392"/>
      <c r="BB891" s="392"/>
      <c r="BC891" s="392"/>
      <c r="BD891" s="392"/>
      <c r="BE891" s="392"/>
      <c r="BF891" s="392"/>
      <c r="BG891" s="392"/>
      <c r="BH891" s="392"/>
      <c r="BI891" s="392"/>
      <c r="BJ891" s="392"/>
      <c r="BK891" s="392"/>
      <c r="BL891" s="392"/>
      <c r="BM891" s="392"/>
      <c r="BN891" s="392"/>
      <c r="BO891" s="392"/>
      <c r="BP891" s="392"/>
      <c r="BQ891" s="392"/>
      <c r="BR891" s="392"/>
      <c r="BS891" s="392"/>
      <c r="BT891" s="392"/>
    </row>
    <row r="892" ht="15.75" customHeight="1">
      <c r="A892" s="216"/>
      <c r="B892" s="156"/>
      <c r="C892" s="156"/>
      <c r="D892" s="156"/>
      <c r="E892" s="392"/>
      <c r="F892" s="392"/>
      <c r="G892" s="392"/>
      <c r="H892" s="392"/>
      <c r="I892" s="392"/>
      <c r="J892" s="392"/>
      <c r="K892" s="392"/>
      <c r="L892" s="392"/>
      <c r="M892" s="392"/>
      <c r="N892" s="392"/>
      <c r="O892" s="392"/>
      <c r="P892" s="392"/>
      <c r="Q892" s="392"/>
      <c r="R892" s="392"/>
      <c r="S892" s="392"/>
      <c r="T892" s="392"/>
      <c r="U892" s="392"/>
      <c r="V892" s="392"/>
      <c r="W892" s="392"/>
      <c r="X892" s="392"/>
      <c r="Y892" s="392"/>
      <c r="Z892" s="392"/>
      <c r="AA892" s="392"/>
      <c r="AB892" s="392"/>
      <c r="AC892" s="392"/>
      <c r="AD892" s="392"/>
      <c r="AE892" s="392"/>
      <c r="AF892" s="392"/>
      <c r="AG892" s="392"/>
      <c r="AH892" s="392"/>
      <c r="AI892" s="392"/>
      <c r="AJ892" s="392"/>
      <c r="AK892" s="392"/>
      <c r="AL892" s="392"/>
      <c r="AM892" s="392"/>
      <c r="AN892" s="392"/>
      <c r="AO892" s="392"/>
      <c r="AP892" s="392"/>
      <c r="AQ892" s="392"/>
      <c r="AR892" s="392"/>
      <c r="AS892" s="392"/>
      <c r="AT892" s="392"/>
      <c r="AU892" s="392"/>
      <c r="AV892" s="392"/>
      <c r="AW892" s="392"/>
      <c r="AX892" s="392"/>
      <c r="AY892" s="392"/>
      <c r="AZ892" s="392"/>
      <c r="BA892" s="392"/>
      <c r="BB892" s="392"/>
      <c r="BC892" s="392"/>
      <c r="BD892" s="392"/>
      <c r="BE892" s="392"/>
      <c r="BF892" s="392"/>
      <c r="BG892" s="392"/>
      <c r="BH892" s="392"/>
      <c r="BI892" s="392"/>
      <c r="BJ892" s="392"/>
      <c r="BK892" s="392"/>
      <c r="BL892" s="392"/>
      <c r="BM892" s="392"/>
      <c r="BN892" s="392"/>
      <c r="BO892" s="392"/>
      <c r="BP892" s="392"/>
      <c r="BQ892" s="392"/>
      <c r="BR892" s="392"/>
      <c r="BS892" s="392"/>
      <c r="BT892" s="392"/>
    </row>
    <row r="893" ht="15.75" customHeight="1">
      <c r="A893" s="216"/>
      <c r="B893" s="156"/>
      <c r="C893" s="156"/>
      <c r="D893" s="156"/>
      <c r="E893" s="392"/>
      <c r="F893" s="392"/>
      <c r="G893" s="392"/>
      <c r="H893" s="392"/>
      <c r="I893" s="392"/>
      <c r="J893" s="392"/>
      <c r="K893" s="392"/>
      <c r="L893" s="392"/>
      <c r="M893" s="392"/>
      <c r="N893" s="392"/>
      <c r="O893" s="392"/>
      <c r="P893" s="392"/>
      <c r="Q893" s="392"/>
      <c r="R893" s="392"/>
      <c r="S893" s="392"/>
      <c r="T893" s="392"/>
      <c r="U893" s="392"/>
      <c r="V893" s="392"/>
      <c r="W893" s="392"/>
      <c r="X893" s="392"/>
      <c r="Y893" s="392"/>
      <c r="Z893" s="392"/>
      <c r="AA893" s="392"/>
      <c r="AB893" s="392"/>
      <c r="AC893" s="392"/>
      <c r="AD893" s="392"/>
      <c r="AE893" s="392"/>
      <c r="AF893" s="392"/>
      <c r="AG893" s="392"/>
      <c r="AH893" s="392"/>
      <c r="AI893" s="392"/>
      <c r="AJ893" s="392"/>
      <c r="AK893" s="392"/>
      <c r="AL893" s="392"/>
      <c r="AM893" s="392"/>
      <c r="AN893" s="392"/>
      <c r="AO893" s="392"/>
      <c r="AP893" s="392"/>
      <c r="AQ893" s="392"/>
      <c r="AR893" s="392"/>
      <c r="AS893" s="392"/>
      <c r="AT893" s="392"/>
      <c r="AU893" s="392"/>
      <c r="AV893" s="392"/>
      <c r="AW893" s="392"/>
      <c r="AX893" s="392"/>
      <c r="AY893" s="392"/>
      <c r="AZ893" s="392"/>
      <c r="BA893" s="392"/>
      <c r="BB893" s="392"/>
      <c r="BC893" s="392"/>
      <c r="BD893" s="392"/>
      <c r="BE893" s="392"/>
      <c r="BF893" s="392"/>
      <c r="BG893" s="392"/>
      <c r="BH893" s="392"/>
      <c r="BI893" s="392"/>
      <c r="BJ893" s="392"/>
      <c r="BK893" s="392"/>
      <c r="BL893" s="392"/>
      <c r="BM893" s="392"/>
      <c r="BN893" s="392"/>
      <c r="BO893" s="392"/>
      <c r="BP893" s="392"/>
      <c r="BQ893" s="392"/>
      <c r="BR893" s="392"/>
      <c r="BS893" s="392"/>
      <c r="BT893" s="392"/>
    </row>
    <row r="894" ht="15.75" customHeight="1">
      <c r="A894" s="216"/>
      <c r="B894" s="156"/>
      <c r="C894" s="156"/>
      <c r="D894" s="156"/>
      <c r="E894" s="392"/>
      <c r="F894" s="392"/>
      <c r="G894" s="392"/>
      <c r="H894" s="392"/>
      <c r="I894" s="392"/>
      <c r="J894" s="392"/>
      <c r="K894" s="392"/>
      <c r="L894" s="392"/>
      <c r="M894" s="392"/>
      <c r="N894" s="392"/>
      <c r="O894" s="392"/>
      <c r="P894" s="392"/>
      <c r="Q894" s="392"/>
      <c r="R894" s="392"/>
      <c r="S894" s="392"/>
      <c r="T894" s="392"/>
      <c r="U894" s="392"/>
      <c r="V894" s="392"/>
      <c r="W894" s="392"/>
      <c r="X894" s="392"/>
      <c r="Y894" s="392"/>
      <c r="Z894" s="392"/>
      <c r="AA894" s="392"/>
      <c r="AB894" s="392"/>
      <c r="AC894" s="392"/>
      <c r="AD894" s="392"/>
      <c r="AE894" s="392"/>
      <c r="AF894" s="392"/>
      <c r="AG894" s="392"/>
      <c r="AH894" s="392"/>
      <c r="AI894" s="392"/>
      <c r="AJ894" s="392"/>
      <c r="AK894" s="392"/>
      <c r="AL894" s="392"/>
      <c r="AM894" s="392"/>
      <c r="AN894" s="392"/>
      <c r="AO894" s="392"/>
      <c r="AP894" s="392"/>
      <c r="AQ894" s="392"/>
      <c r="AR894" s="392"/>
      <c r="AS894" s="392"/>
      <c r="AT894" s="392"/>
      <c r="AU894" s="392"/>
      <c r="AV894" s="392"/>
      <c r="AW894" s="392"/>
      <c r="AX894" s="392"/>
      <c r="AY894" s="392"/>
      <c r="AZ894" s="392"/>
      <c r="BA894" s="392"/>
      <c r="BB894" s="392"/>
      <c r="BC894" s="392"/>
      <c r="BD894" s="392"/>
      <c r="BE894" s="392"/>
      <c r="BF894" s="392"/>
      <c r="BG894" s="392"/>
      <c r="BH894" s="392"/>
      <c r="BI894" s="392"/>
      <c r="BJ894" s="392"/>
      <c r="BK894" s="392"/>
      <c r="BL894" s="392"/>
      <c r="BM894" s="392"/>
      <c r="BN894" s="392"/>
      <c r="BO894" s="392"/>
      <c r="BP894" s="392"/>
      <c r="BQ894" s="392"/>
      <c r="BR894" s="392"/>
      <c r="BS894" s="392"/>
      <c r="BT894" s="392"/>
    </row>
    <row r="895" ht="15.75" customHeight="1">
      <c r="A895" s="216"/>
      <c r="B895" s="156"/>
      <c r="C895" s="156"/>
      <c r="D895" s="156"/>
      <c r="E895" s="392"/>
      <c r="F895" s="392"/>
      <c r="G895" s="392"/>
      <c r="H895" s="392"/>
      <c r="I895" s="392"/>
      <c r="J895" s="392"/>
      <c r="K895" s="392"/>
      <c r="L895" s="392"/>
      <c r="M895" s="392"/>
      <c r="N895" s="392"/>
      <c r="O895" s="392"/>
      <c r="P895" s="392"/>
      <c r="Q895" s="392"/>
      <c r="R895" s="392"/>
      <c r="S895" s="392"/>
      <c r="T895" s="392"/>
      <c r="U895" s="392"/>
      <c r="V895" s="392"/>
      <c r="W895" s="392"/>
      <c r="X895" s="392"/>
      <c r="Y895" s="392"/>
      <c r="Z895" s="392"/>
      <c r="AA895" s="392"/>
      <c r="AB895" s="392"/>
      <c r="AC895" s="392"/>
      <c r="AD895" s="392"/>
      <c r="AE895" s="392"/>
      <c r="AF895" s="392"/>
      <c r="AG895" s="392"/>
      <c r="AH895" s="392"/>
      <c r="AI895" s="392"/>
      <c r="AJ895" s="392"/>
      <c r="AK895" s="392"/>
      <c r="AL895" s="392"/>
      <c r="AM895" s="392"/>
      <c r="AN895" s="392"/>
      <c r="AO895" s="392"/>
      <c r="AP895" s="392"/>
      <c r="AQ895" s="392"/>
      <c r="AR895" s="392"/>
      <c r="AS895" s="392"/>
      <c r="AT895" s="392"/>
      <c r="AU895" s="392"/>
      <c r="AV895" s="392"/>
      <c r="AW895" s="392"/>
      <c r="AX895" s="392"/>
      <c r="AY895" s="392"/>
      <c r="AZ895" s="392"/>
      <c r="BA895" s="392"/>
      <c r="BB895" s="392"/>
      <c r="BC895" s="392"/>
      <c r="BD895" s="392"/>
      <c r="BE895" s="392"/>
      <c r="BF895" s="392"/>
      <c r="BG895" s="392"/>
      <c r="BH895" s="392"/>
      <c r="BI895" s="392"/>
      <c r="BJ895" s="392"/>
      <c r="BK895" s="392"/>
      <c r="BL895" s="392"/>
      <c r="BM895" s="392"/>
      <c r="BN895" s="392"/>
      <c r="BO895" s="392"/>
      <c r="BP895" s="392"/>
      <c r="BQ895" s="392"/>
      <c r="BR895" s="392"/>
      <c r="BS895" s="392"/>
      <c r="BT895" s="392"/>
    </row>
    <row r="896" ht="15.75" customHeight="1">
      <c r="A896" s="216"/>
      <c r="B896" s="156"/>
      <c r="C896" s="156"/>
      <c r="D896" s="156"/>
      <c r="E896" s="392"/>
      <c r="F896" s="392"/>
      <c r="G896" s="392"/>
      <c r="H896" s="392"/>
      <c r="I896" s="392"/>
      <c r="J896" s="392"/>
      <c r="K896" s="392"/>
      <c r="L896" s="392"/>
      <c r="M896" s="392"/>
      <c r="N896" s="392"/>
      <c r="O896" s="392"/>
      <c r="P896" s="392"/>
      <c r="Q896" s="392"/>
      <c r="R896" s="392"/>
      <c r="S896" s="392"/>
      <c r="T896" s="392"/>
      <c r="U896" s="392"/>
      <c r="V896" s="392"/>
      <c r="W896" s="392"/>
      <c r="X896" s="392"/>
      <c r="Y896" s="392"/>
      <c r="Z896" s="392"/>
      <c r="AA896" s="392"/>
      <c r="AB896" s="392"/>
      <c r="AC896" s="392"/>
      <c r="AD896" s="392"/>
      <c r="AE896" s="392"/>
      <c r="AF896" s="392"/>
      <c r="AG896" s="392"/>
      <c r="AH896" s="392"/>
      <c r="AI896" s="392"/>
      <c r="AJ896" s="392"/>
      <c r="AK896" s="392"/>
      <c r="AL896" s="392"/>
      <c r="AM896" s="392"/>
      <c r="AN896" s="392"/>
      <c r="AO896" s="392"/>
      <c r="AP896" s="392"/>
      <c r="AQ896" s="392"/>
      <c r="AR896" s="392"/>
      <c r="AS896" s="392"/>
      <c r="AT896" s="392"/>
      <c r="AU896" s="392"/>
      <c r="AV896" s="392"/>
      <c r="AW896" s="392"/>
      <c r="AX896" s="392"/>
      <c r="AY896" s="392"/>
      <c r="AZ896" s="392"/>
      <c r="BA896" s="392"/>
      <c r="BB896" s="392"/>
      <c r="BC896" s="392"/>
      <c r="BD896" s="392"/>
      <c r="BE896" s="392"/>
      <c r="BF896" s="392"/>
      <c r="BG896" s="392"/>
      <c r="BH896" s="392"/>
      <c r="BI896" s="392"/>
      <c r="BJ896" s="392"/>
      <c r="BK896" s="392"/>
      <c r="BL896" s="392"/>
      <c r="BM896" s="392"/>
      <c r="BN896" s="392"/>
      <c r="BO896" s="392"/>
      <c r="BP896" s="392"/>
      <c r="BQ896" s="392"/>
      <c r="BR896" s="392"/>
      <c r="BS896" s="392"/>
      <c r="BT896" s="392"/>
    </row>
    <row r="897" ht="15.75" customHeight="1">
      <c r="A897" s="216"/>
      <c r="B897" s="156"/>
      <c r="C897" s="156"/>
      <c r="D897" s="156"/>
      <c r="E897" s="392"/>
      <c r="F897" s="392"/>
      <c r="G897" s="392"/>
      <c r="H897" s="392"/>
      <c r="I897" s="392"/>
      <c r="J897" s="392"/>
      <c r="K897" s="392"/>
      <c r="L897" s="392"/>
      <c r="M897" s="392"/>
      <c r="N897" s="392"/>
      <c r="O897" s="392"/>
      <c r="P897" s="392"/>
      <c r="Q897" s="392"/>
      <c r="R897" s="392"/>
      <c r="S897" s="392"/>
      <c r="T897" s="392"/>
      <c r="U897" s="392"/>
      <c r="V897" s="392"/>
      <c r="W897" s="392"/>
      <c r="X897" s="392"/>
      <c r="Y897" s="392"/>
      <c r="Z897" s="392"/>
      <c r="AA897" s="392"/>
      <c r="AB897" s="392"/>
      <c r="AC897" s="392"/>
      <c r="AD897" s="392"/>
      <c r="AE897" s="392"/>
      <c r="AF897" s="392"/>
      <c r="AG897" s="392"/>
      <c r="AH897" s="392"/>
      <c r="AI897" s="392"/>
      <c r="AJ897" s="392"/>
      <c r="AK897" s="392"/>
      <c r="AL897" s="392"/>
      <c r="AM897" s="392"/>
      <c r="AN897" s="392"/>
      <c r="AO897" s="392"/>
      <c r="AP897" s="392"/>
      <c r="AQ897" s="392"/>
      <c r="AR897" s="392"/>
      <c r="AS897" s="392"/>
      <c r="AT897" s="392"/>
      <c r="AU897" s="392"/>
      <c r="AV897" s="392"/>
      <c r="AW897" s="392"/>
      <c r="AX897" s="392"/>
      <c r="AY897" s="392"/>
      <c r="AZ897" s="392"/>
      <c r="BA897" s="392"/>
      <c r="BB897" s="392"/>
      <c r="BC897" s="392"/>
      <c r="BD897" s="392"/>
      <c r="BE897" s="392"/>
      <c r="BF897" s="392"/>
      <c r="BG897" s="392"/>
      <c r="BH897" s="392"/>
      <c r="BI897" s="392"/>
      <c r="BJ897" s="392"/>
      <c r="BK897" s="392"/>
      <c r="BL897" s="392"/>
      <c r="BM897" s="392"/>
      <c r="BN897" s="392"/>
      <c r="BO897" s="392"/>
      <c r="BP897" s="392"/>
      <c r="BQ897" s="392"/>
      <c r="BR897" s="392"/>
      <c r="BS897" s="392"/>
      <c r="BT897" s="392"/>
    </row>
    <row r="898" ht="15.75" customHeight="1">
      <c r="A898" s="216"/>
      <c r="B898" s="156"/>
      <c r="C898" s="156"/>
      <c r="D898" s="156"/>
      <c r="E898" s="392"/>
      <c r="F898" s="392"/>
      <c r="G898" s="392"/>
      <c r="H898" s="392"/>
      <c r="I898" s="392"/>
      <c r="J898" s="392"/>
      <c r="K898" s="392"/>
      <c r="L898" s="392"/>
      <c r="M898" s="392"/>
      <c r="N898" s="392"/>
      <c r="O898" s="392"/>
      <c r="P898" s="392"/>
      <c r="Q898" s="392"/>
      <c r="R898" s="392"/>
      <c r="S898" s="392"/>
      <c r="T898" s="392"/>
      <c r="U898" s="392"/>
      <c r="V898" s="392"/>
      <c r="W898" s="392"/>
      <c r="X898" s="392"/>
      <c r="Y898" s="392"/>
      <c r="Z898" s="392"/>
      <c r="AA898" s="392"/>
      <c r="AB898" s="392"/>
      <c r="AC898" s="392"/>
      <c r="AD898" s="392"/>
      <c r="AE898" s="392"/>
      <c r="AF898" s="392"/>
      <c r="AG898" s="392"/>
      <c r="AH898" s="392"/>
      <c r="AI898" s="392"/>
      <c r="AJ898" s="392"/>
      <c r="AK898" s="392"/>
      <c r="AL898" s="392"/>
      <c r="AM898" s="392"/>
      <c r="AN898" s="392"/>
      <c r="AO898" s="392"/>
      <c r="AP898" s="392"/>
      <c r="AQ898" s="392"/>
      <c r="AR898" s="392"/>
      <c r="AS898" s="392"/>
      <c r="AT898" s="392"/>
      <c r="AU898" s="392"/>
      <c r="AV898" s="392"/>
      <c r="AW898" s="392"/>
      <c r="AX898" s="392"/>
      <c r="AY898" s="392"/>
      <c r="AZ898" s="392"/>
      <c r="BA898" s="392"/>
      <c r="BB898" s="392"/>
      <c r="BC898" s="392"/>
      <c r="BD898" s="392"/>
      <c r="BE898" s="392"/>
      <c r="BF898" s="392"/>
      <c r="BG898" s="392"/>
      <c r="BH898" s="392"/>
      <c r="BI898" s="392"/>
      <c r="BJ898" s="392"/>
      <c r="BK898" s="392"/>
      <c r="BL898" s="392"/>
      <c r="BM898" s="392"/>
      <c r="BN898" s="392"/>
      <c r="BO898" s="392"/>
      <c r="BP898" s="392"/>
      <c r="BQ898" s="392"/>
      <c r="BR898" s="392"/>
      <c r="BS898" s="392"/>
      <c r="BT898" s="392"/>
    </row>
    <row r="899" ht="15.75" customHeight="1">
      <c r="A899" s="216"/>
      <c r="B899" s="156"/>
      <c r="C899" s="156"/>
      <c r="D899" s="156"/>
      <c r="E899" s="392"/>
      <c r="F899" s="392"/>
      <c r="G899" s="392"/>
      <c r="H899" s="392"/>
      <c r="I899" s="392"/>
      <c r="J899" s="392"/>
      <c r="K899" s="392"/>
      <c r="L899" s="392"/>
      <c r="M899" s="392"/>
      <c r="N899" s="392"/>
      <c r="O899" s="392"/>
      <c r="P899" s="392"/>
      <c r="Q899" s="392"/>
      <c r="R899" s="392"/>
      <c r="S899" s="392"/>
      <c r="T899" s="392"/>
      <c r="U899" s="392"/>
      <c r="V899" s="392"/>
      <c r="W899" s="392"/>
      <c r="X899" s="392"/>
      <c r="Y899" s="392"/>
      <c r="Z899" s="392"/>
      <c r="AA899" s="392"/>
      <c r="AB899" s="392"/>
      <c r="AC899" s="392"/>
      <c r="AD899" s="392"/>
      <c r="AE899" s="392"/>
      <c r="AF899" s="392"/>
      <c r="AG899" s="392"/>
      <c r="AH899" s="392"/>
      <c r="AI899" s="392"/>
      <c r="AJ899" s="392"/>
      <c r="AK899" s="392"/>
      <c r="AL899" s="392"/>
      <c r="AM899" s="392"/>
      <c r="AN899" s="392"/>
      <c r="AO899" s="392"/>
      <c r="AP899" s="392"/>
      <c r="AQ899" s="392"/>
      <c r="AR899" s="392"/>
      <c r="AS899" s="392"/>
      <c r="AT899" s="392"/>
      <c r="AU899" s="392"/>
      <c r="AV899" s="392"/>
      <c r="AW899" s="392"/>
      <c r="AX899" s="392"/>
      <c r="AY899" s="392"/>
      <c r="AZ899" s="392"/>
      <c r="BA899" s="392"/>
      <c r="BB899" s="392"/>
      <c r="BC899" s="392"/>
      <c r="BD899" s="392"/>
      <c r="BE899" s="392"/>
      <c r="BF899" s="392"/>
      <c r="BG899" s="392"/>
      <c r="BH899" s="392"/>
      <c r="BI899" s="392"/>
      <c r="BJ899" s="392"/>
      <c r="BK899" s="392"/>
      <c r="BL899" s="392"/>
      <c r="BM899" s="392"/>
      <c r="BN899" s="392"/>
      <c r="BO899" s="392"/>
      <c r="BP899" s="392"/>
      <c r="BQ899" s="392"/>
      <c r="BR899" s="392"/>
      <c r="BS899" s="392"/>
      <c r="BT899" s="392"/>
    </row>
    <row r="900" ht="15.75" customHeight="1">
      <c r="A900" s="216"/>
      <c r="B900" s="156"/>
      <c r="C900" s="156"/>
      <c r="D900" s="156"/>
      <c r="E900" s="392"/>
      <c r="F900" s="392"/>
      <c r="G900" s="392"/>
      <c r="H900" s="392"/>
      <c r="I900" s="392"/>
      <c r="J900" s="392"/>
      <c r="K900" s="392"/>
      <c r="L900" s="392"/>
      <c r="M900" s="392"/>
      <c r="N900" s="392"/>
      <c r="O900" s="392"/>
      <c r="P900" s="392"/>
      <c r="Q900" s="392"/>
      <c r="R900" s="392"/>
      <c r="S900" s="392"/>
      <c r="T900" s="392"/>
      <c r="U900" s="392"/>
      <c r="V900" s="392"/>
      <c r="W900" s="392"/>
      <c r="X900" s="392"/>
      <c r="Y900" s="392"/>
      <c r="Z900" s="392"/>
      <c r="AA900" s="392"/>
      <c r="AB900" s="392"/>
      <c r="AC900" s="392"/>
      <c r="AD900" s="392"/>
      <c r="AE900" s="392"/>
      <c r="AF900" s="392"/>
      <c r="AG900" s="392"/>
      <c r="AH900" s="392"/>
      <c r="AI900" s="392"/>
      <c r="AJ900" s="392"/>
      <c r="AK900" s="392"/>
      <c r="AL900" s="392"/>
      <c r="AM900" s="392"/>
      <c r="AN900" s="392"/>
      <c r="AO900" s="392"/>
      <c r="AP900" s="392"/>
      <c r="AQ900" s="392"/>
      <c r="AR900" s="392"/>
      <c r="AS900" s="392"/>
      <c r="AT900" s="392"/>
      <c r="AU900" s="392"/>
      <c r="AV900" s="392"/>
      <c r="AW900" s="392"/>
      <c r="AX900" s="392"/>
      <c r="AY900" s="392"/>
      <c r="AZ900" s="392"/>
      <c r="BA900" s="392"/>
      <c r="BB900" s="392"/>
      <c r="BC900" s="392"/>
      <c r="BD900" s="392"/>
      <c r="BE900" s="392"/>
      <c r="BF900" s="392"/>
      <c r="BG900" s="392"/>
      <c r="BH900" s="392"/>
      <c r="BI900" s="392"/>
      <c r="BJ900" s="392"/>
      <c r="BK900" s="392"/>
      <c r="BL900" s="392"/>
      <c r="BM900" s="392"/>
      <c r="BN900" s="392"/>
      <c r="BO900" s="392"/>
      <c r="BP900" s="392"/>
      <c r="BQ900" s="392"/>
      <c r="BR900" s="392"/>
      <c r="BS900" s="392"/>
      <c r="BT900" s="392"/>
    </row>
    <row r="901" ht="15.75" customHeight="1">
      <c r="A901" s="216"/>
      <c r="B901" s="156"/>
      <c r="C901" s="156"/>
      <c r="D901" s="156"/>
      <c r="E901" s="392"/>
      <c r="F901" s="392"/>
      <c r="G901" s="392"/>
      <c r="H901" s="392"/>
      <c r="I901" s="392"/>
      <c r="J901" s="392"/>
      <c r="K901" s="392"/>
      <c r="L901" s="392"/>
      <c r="M901" s="392"/>
      <c r="N901" s="392"/>
      <c r="O901" s="392"/>
      <c r="P901" s="392"/>
      <c r="Q901" s="392"/>
      <c r="R901" s="392"/>
      <c r="S901" s="392"/>
      <c r="T901" s="392"/>
      <c r="U901" s="392"/>
      <c r="V901" s="392"/>
      <c r="W901" s="392"/>
      <c r="X901" s="392"/>
      <c r="Y901" s="392"/>
      <c r="Z901" s="392"/>
      <c r="AA901" s="392"/>
      <c r="AB901" s="392"/>
      <c r="AC901" s="392"/>
      <c r="AD901" s="392"/>
      <c r="AE901" s="392"/>
      <c r="AF901" s="392"/>
      <c r="AG901" s="392"/>
      <c r="AH901" s="392"/>
      <c r="AI901" s="392"/>
      <c r="AJ901" s="392"/>
      <c r="AK901" s="392"/>
      <c r="AL901" s="392"/>
      <c r="AM901" s="392"/>
      <c r="AN901" s="392"/>
      <c r="AO901" s="392"/>
      <c r="AP901" s="392"/>
      <c r="AQ901" s="392"/>
      <c r="AR901" s="392"/>
      <c r="AS901" s="392"/>
      <c r="AT901" s="392"/>
      <c r="AU901" s="392"/>
      <c r="AV901" s="392"/>
      <c r="AW901" s="392"/>
      <c r="AX901" s="392"/>
      <c r="AY901" s="392"/>
      <c r="AZ901" s="392"/>
      <c r="BA901" s="392"/>
      <c r="BB901" s="392"/>
      <c r="BC901" s="392"/>
      <c r="BD901" s="392"/>
      <c r="BE901" s="392"/>
      <c r="BF901" s="392"/>
      <c r="BG901" s="392"/>
      <c r="BH901" s="392"/>
      <c r="BI901" s="392"/>
      <c r="BJ901" s="392"/>
      <c r="BK901" s="392"/>
      <c r="BL901" s="392"/>
      <c r="BM901" s="392"/>
      <c r="BN901" s="392"/>
      <c r="BO901" s="392"/>
      <c r="BP901" s="392"/>
      <c r="BQ901" s="392"/>
      <c r="BR901" s="392"/>
      <c r="BS901" s="392"/>
      <c r="BT901" s="392"/>
    </row>
    <row r="902" ht="15.75" customHeight="1">
      <c r="A902" s="216"/>
      <c r="B902" s="156"/>
      <c r="C902" s="156"/>
      <c r="D902" s="156"/>
      <c r="E902" s="392"/>
      <c r="F902" s="392"/>
      <c r="G902" s="392"/>
      <c r="H902" s="392"/>
      <c r="I902" s="392"/>
      <c r="J902" s="392"/>
      <c r="K902" s="392"/>
      <c r="L902" s="392"/>
      <c r="M902" s="392"/>
      <c r="N902" s="392"/>
      <c r="O902" s="392"/>
      <c r="P902" s="392"/>
      <c r="Q902" s="392"/>
      <c r="R902" s="392"/>
      <c r="S902" s="392"/>
      <c r="T902" s="392"/>
      <c r="U902" s="392"/>
      <c r="V902" s="392"/>
      <c r="W902" s="392"/>
      <c r="X902" s="392"/>
      <c r="Y902" s="392"/>
      <c r="Z902" s="392"/>
      <c r="AA902" s="392"/>
      <c r="AB902" s="392"/>
      <c r="AC902" s="392"/>
      <c r="AD902" s="392"/>
      <c r="AE902" s="392"/>
      <c r="AF902" s="392"/>
      <c r="AG902" s="392"/>
      <c r="AH902" s="392"/>
      <c r="AI902" s="392"/>
      <c r="AJ902" s="392"/>
      <c r="AK902" s="392"/>
      <c r="AL902" s="392"/>
      <c r="AM902" s="392"/>
      <c r="AN902" s="392"/>
      <c r="AO902" s="392"/>
      <c r="AP902" s="392"/>
      <c r="AQ902" s="392"/>
      <c r="AR902" s="392"/>
      <c r="AS902" s="392"/>
      <c r="AT902" s="392"/>
      <c r="AU902" s="392"/>
      <c r="AV902" s="392"/>
      <c r="AW902" s="392"/>
      <c r="AX902" s="392"/>
      <c r="AY902" s="392"/>
      <c r="AZ902" s="392"/>
      <c r="BA902" s="392"/>
      <c r="BB902" s="392"/>
      <c r="BC902" s="392"/>
      <c r="BD902" s="392"/>
      <c r="BE902" s="392"/>
      <c r="BF902" s="392"/>
      <c r="BG902" s="392"/>
      <c r="BH902" s="392"/>
      <c r="BI902" s="392"/>
      <c r="BJ902" s="392"/>
      <c r="BK902" s="392"/>
      <c r="BL902" s="392"/>
      <c r="BM902" s="392"/>
      <c r="BN902" s="392"/>
      <c r="BO902" s="392"/>
      <c r="BP902" s="392"/>
      <c r="BQ902" s="392"/>
      <c r="BR902" s="392"/>
      <c r="BS902" s="392"/>
      <c r="BT902" s="392"/>
    </row>
    <row r="903" ht="15.75" customHeight="1">
      <c r="A903" s="216"/>
      <c r="B903" s="156"/>
      <c r="C903" s="156"/>
      <c r="D903" s="156"/>
      <c r="E903" s="392"/>
      <c r="F903" s="392"/>
      <c r="G903" s="392"/>
      <c r="H903" s="392"/>
      <c r="I903" s="392"/>
      <c r="J903" s="392"/>
      <c r="K903" s="392"/>
      <c r="L903" s="392"/>
      <c r="M903" s="392"/>
      <c r="N903" s="392"/>
      <c r="O903" s="392"/>
      <c r="P903" s="392"/>
      <c r="Q903" s="392"/>
      <c r="R903" s="392"/>
      <c r="S903" s="392"/>
      <c r="T903" s="392"/>
      <c r="U903" s="392"/>
      <c r="V903" s="392"/>
      <c r="W903" s="392"/>
      <c r="X903" s="392"/>
      <c r="Y903" s="392"/>
      <c r="Z903" s="392"/>
      <c r="AA903" s="392"/>
      <c r="AB903" s="392"/>
      <c r="AC903" s="392"/>
      <c r="AD903" s="392"/>
      <c r="AE903" s="392"/>
      <c r="AF903" s="392"/>
      <c r="AG903" s="392"/>
      <c r="AH903" s="392"/>
      <c r="AI903" s="392"/>
      <c r="AJ903" s="392"/>
      <c r="AK903" s="392"/>
      <c r="AL903" s="392"/>
      <c r="AM903" s="392"/>
      <c r="AN903" s="392"/>
      <c r="AO903" s="392"/>
      <c r="AP903" s="392"/>
      <c r="AQ903" s="392"/>
      <c r="AR903" s="392"/>
      <c r="AS903" s="392"/>
      <c r="AT903" s="392"/>
      <c r="AU903" s="392"/>
      <c r="AV903" s="392"/>
      <c r="AW903" s="392"/>
      <c r="AX903" s="392"/>
      <c r="AY903" s="392"/>
      <c r="AZ903" s="392"/>
      <c r="BA903" s="392"/>
      <c r="BB903" s="392"/>
      <c r="BC903" s="392"/>
      <c r="BD903" s="392"/>
      <c r="BE903" s="392"/>
      <c r="BF903" s="392"/>
      <c r="BG903" s="392"/>
      <c r="BH903" s="392"/>
      <c r="BI903" s="392"/>
      <c r="BJ903" s="392"/>
      <c r="BK903" s="392"/>
      <c r="BL903" s="392"/>
      <c r="BM903" s="392"/>
      <c r="BN903" s="392"/>
      <c r="BO903" s="392"/>
      <c r="BP903" s="392"/>
      <c r="BQ903" s="392"/>
      <c r="BR903" s="392"/>
      <c r="BS903" s="392"/>
      <c r="BT903" s="392"/>
    </row>
    <row r="904" ht="15.75" customHeight="1">
      <c r="A904" s="216"/>
      <c r="B904" s="156"/>
      <c r="C904" s="156"/>
      <c r="D904" s="156"/>
      <c r="E904" s="392"/>
      <c r="F904" s="392"/>
      <c r="G904" s="392"/>
      <c r="H904" s="392"/>
      <c r="I904" s="392"/>
      <c r="J904" s="392"/>
      <c r="K904" s="392"/>
      <c r="L904" s="392"/>
      <c r="M904" s="392"/>
      <c r="N904" s="392"/>
      <c r="O904" s="392"/>
      <c r="P904" s="392"/>
      <c r="Q904" s="392"/>
      <c r="R904" s="392"/>
      <c r="S904" s="392"/>
      <c r="T904" s="392"/>
      <c r="U904" s="392"/>
      <c r="V904" s="392"/>
      <c r="W904" s="392"/>
      <c r="X904" s="392"/>
      <c r="Y904" s="392"/>
      <c r="Z904" s="392"/>
      <c r="AA904" s="392"/>
      <c r="AB904" s="392"/>
      <c r="AC904" s="392"/>
      <c r="AD904" s="392"/>
      <c r="AE904" s="392"/>
      <c r="AF904" s="392"/>
      <c r="AG904" s="392"/>
      <c r="AH904" s="392"/>
      <c r="AI904" s="392"/>
      <c r="AJ904" s="392"/>
      <c r="AK904" s="392"/>
      <c r="AL904" s="392"/>
      <c r="AM904" s="392"/>
      <c r="AN904" s="392"/>
      <c r="AO904" s="392"/>
      <c r="AP904" s="392"/>
      <c r="AQ904" s="392"/>
      <c r="AR904" s="392"/>
      <c r="AS904" s="392"/>
      <c r="AT904" s="392"/>
      <c r="AU904" s="392"/>
      <c r="AV904" s="392"/>
      <c r="AW904" s="392"/>
      <c r="AX904" s="392"/>
      <c r="AY904" s="392"/>
      <c r="AZ904" s="392"/>
      <c r="BA904" s="392"/>
      <c r="BB904" s="392"/>
      <c r="BC904" s="392"/>
      <c r="BD904" s="392"/>
      <c r="BE904" s="392"/>
      <c r="BF904" s="392"/>
      <c r="BG904" s="392"/>
      <c r="BH904" s="392"/>
      <c r="BI904" s="392"/>
      <c r="BJ904" s="392"/>
      <c r="BK904" s="392"/>
      <c r="BL904" s="392"/>
      <c r="BM904" s="392"/>
      <c r="BN904" s="392"/>
      <c r="BO904" s="392"/>
      <c r="BP904" s="392"/>
      <c r="BQ904" s="392"/>
      <c r="BR904" s="392"/>
      <c r="BS904" s="392"/>
      <c r="BT904" s="392"/>
    </row>
    <row r="905" ht="15.75" customHeight="1">
      <c r="A905" s="216"/>
      <c r="B905" s="156"/>
      <c r="C905" s="156"/>
      <c r="D905" s="156"/>
      <c r="E905" s="392"/>
      <c r="F905" s="392"/>
      <c r="G905" s="392"/>
      <c r="H905" s="392"/>
      <c r="I905" s="392"/>
      <c r="J905" s="392"/>
      <c r="K905" s="392"/>
      <c r="L905" s="392"/>
      <c r="M905" s="392"/>
      <c r="N905" s="392"/>
      <c r="O905" s="392"/>
      <c r="P905" s="392"/>
      <c r="Q905" s="392"/>
      <c r="R905" s="392"/>
      <c r="S905" s="392"/>
      <c r="T905" s="392"/>
      <c r="U905" s="392"/>
      <c r="V905" s="392"/>
      <c r="W905" s="392"/>
      <c r="X905" s="392"/>
      <c r="Y905" s="392"/>
      <c r="Z905" s="392"/>
      <c r="AA905" s="392"/>
      <c r="AB905" s="392"/>
      <c r="AC905" s="392"/>
      <c r="AD905" s="392"/>
      <c r="AE905" s="392"/>
      <c r="AF905" s="392"/>
      <c r="AG905" s="392"/>
      <c r="AH905" s="392"/>
      <c r="AI905" s="392"/>
      <c r="AJ905" s="392"/>
      <c r="AK905" s="392"/>
      <c r="AL905" s="392"/>
      <c r="AM905" s="392"/>
      <c r="AN905" s="392"/>
      <c r="AO905" s="392"/>
      <c r="AP905" s="392"/>
      <c r="AQ905" s="392"/>
      <c r="AR905" s="392"/>
      <c r="AS905" s="392"/>
      <c r="AT905" s="392"/>
      <c r="AU905" s="392"/>
      <c r="AV905" s="392"/>
      <c r="AW905" s="392"/>
      <c r="AX905" s="392"/>
      <c r="AY905" s="392"/>
      <c r="AZ905" s="392"/>
      <c r="BA905" s="392"/>
      <c r="BB905" s="392"/>
      <c r="BC905" s="392"/>
      <c r="BD905" s="392"/>
      <c r="BE905" s="392"/>
      <c r="BF905" s="392"/>
      <c r="BG905" s="392"/>
      <c r="BH905" s="392"/>
      <c r="BI905" s="392"/>
      <c r="BJ905" s="392"/>
      <c r="BK905" s="392"/>
      <c r="BL905" s="392"/>
      <c r="BM905" s="392"/>
      <c r="BN905" s="392"/>
      <c r="BO905" s="392"/>
      <c r="BP905" s="392"/>
      <c r="BQ905" s="392"/>
      <c r="BR905" s="392"/>
      <c r="BS905" s="392"/>
      <c r="BT905" s="392"/>
    </row>
    <row r="906" ht="15.75" customHeight="1">
      <c r="A906" s="216"/>
      <c r="B906" s="156"/>
      <c r="C906" s="156"/>
      <c r="D906" s="156"/>
      <c r="E906" s="392"/>
      <c r="F906" s="392"/>
      <c r="G906" s="392"/>
      <c r="H906" s="392"/>
      <c r="I906" s="392"/>
      <c r="J906" s="392"/>
      <c r="K906" s="392"/>
      <c r="L906" s="392"/>
      <c r="M906" s="392"/>
      <c r="N906" s="392"/>
      <c r="O906" s="392"/>
      <c r="P906" s="392"/>
      <c r="Q906" s="392"/>
      <c r="R906" s="392"/>
      <c r="S906" s="392"/>
      <c r="T906" s="392"/>
      <c r="U906" s="392"/>
      <c r="V906" s="392"/>
      <c r="W906" s="392"/>
      <c r="X906" s="392"/>
      <c r="Y906" s="392"/>
      <c r="Z906" s="392"/>
      <c r="AA906" s="392"/>
      <c r="AB906" s="392"/>
      <c r="AC906" s="392"/>
      <c r="AD906" s="392"/>
      <c r="AE906" s="392"/>
      <c r="AF906" s="392"/>
      <c r="AG906" s="392"/>
      <c r="AH906" s="392"/>
      <c r="AI906" s="392"/>
      <c r="AJ906" s="392"/>
      <c r="AK906" s="392"/>
      <c r="AL906" s="392"/>
      <c r="AM906" s="392"/>
      <c r="AN906" s="392"/>
      <c r="AO906" s="392"/>
      <c r="AP906" s="392"/>
      <c r="AQ906" s="392"/>
      <c r="AR906" s="392"/>
      <c r="AS906" s="392"/>
      <c r="AT906" s="392"/>
      <c r="AU906" s="392"/>
      <c r="AV906" s="392"/>
      <c r="AW906" s="392"/>
      <c r="AX906" s="392"/>
      <c r="AY906" s="392"/>
      <c r="AZ906" s="392"/>
      <c r="BA906" s="392"/>
      <c r="BB906" s="392"/>
      <c r="BC906" s="392"/>
      <c r="BD906" s="392"/>
      <c r="BE906" s="392"/>
      <c r="BF906" s="392"/>
      <c r="BG906" s="392"/>
      <c r="BH906" s="392"/>
      <c r="BI906" s="392"/>
      <c r="BJ906" s="392"/>
      <c r="BK906" s="392"/>
      <c r="BL906" s="392"/>
      <c r="BM906" s="392"/>
      <c r="BN906" s="392"/>
      <c r="BO906" s="392"/>
      <c r="BP906" s="392"/>
      <c r="BQ906" s="392"/>
      <c r="BR906" s="392"/>
      <c r="BS906" s="392"/>
      <c r="BT906" s="392"/>
    </row>
    <row r="907" ht="15.75" customHeight="1">
      <c r="A907" s="216"/>
      <c r="B907" s="156"/>
      <c r="C907" s="156"/>
      <c r="D907" s="156"/>
      <c r="E907" s="392"/>
      <c r="F907" s="392"/>
      <c r="G907" s="392"/>
      <c r="H907" s="392"/>
      <c r="I907" s="392"/>
      <c r="J907" s="392"/>
      <c r="K907" s="392"/>
      <c r="L907" s="392"/>
      <c r="M907" s="392"/>
      <c r="N907" s="392"/>
      <c r="O907" s="392"/>
      <c r="P907" s="392"/>
      <c r="Q907" s="392"/>
      <c r="R907" s="392"/>
      <c r="S907" s="392"/>
      <c r="T907" s="392"/>
      <c r="U907" s="392"/>
      <c r="V907" s="392"/>
      <c r="W907" s="392"/>
      <c r="X907" s="392"/>
      <c r="Y907" s="392"/>
      <c r="Z907" s="392"/>
      <c r="AA907" s="392"/>
      <c r="AB907" s="392"/>
      <c r="AC907" s="392"/>
      <c r="AD907" s="392"/>
      <c r="AE907" s="392"/>
      <c r="AF907" s="392"/>
      <c r="AG907" s="392"/>
      <c r="AH907" s="392"/>
      <c r="AI907" s="392"/>
      <c r="AJ907" s="392"/>
      <c r="AK907" s="392"/>
      <c r="AL907" s="392"/>
      <c r="AM907" s="392"/>
      <c r="AN907" s="392"/>
      <c r="AO907" s="392"/>
      <c r="AP907" s="392"/>
      <c r="AQ907" s="392"/>
      <c r="AR907" s="392"/>
      <c r="AS907" s="392"/>
      <c r="AT907" s="392"/>
      <c r="AU907" s="392"/>
      <c r="AV907" s="392"/>
      <c r="AW907" s="392"/>
      <c r="AX907" s="392"/>
      <c r="AY907" s="392"/>
      <c r="AZ907" s="392"/>
      <c r="BA907" s="392"/>
      <c r="BB907" s="392"/>
      <c r="BC907" s="392"/>
      <c r="BD907" s="392"/>
      <c r="BE907" s="392"/>
      <c r="BF907" s="392"/>
      <c r="BG907" s="392"/>
      <c r="BH907" s="392"/>
      <c r="BI907" s="392"/>
      <c r="BJ907" s="392"/>
      <c r="BK907" s="392"/>
      <c r="BL907" s="392"/>
      <c r="BM907" s="392"/>
      <c r="BN907" s="392"/>
      <c r="BO907" s="392"/>
      <c r="BP907" s="392"/>
      <c r="BQ907" s="392"/>
      <c r="BR907" s="392"/>
      <c r="BS907" s="392"/>
      <c r="BT907" s="392"/>
    </row>
    <row r="908" ht="15.75" customHeight="1">
      <c r="A908" s="216"/>
      <c r="B908" s="156"/>
      <c r="C908" s="156"/>
      <c r="D908" s="156"/>
      <c r="E908" s="392"/>
      <c r="F908" s="392"/>
      <c r="G908" s="392"/>
      <c r="H908" s="392"/>
      <c r="I908" s="392"/>
      <c r="J908" s="392"/>
      <c r="K908" s="392"/>
      <c r="L908" s="392"/>
      <c r="M908" s="392"/>
      <c r="N908" s="392"/>
      <c r="O908" s="392"/>
      <c r="P908" s="392"/>
      <c r="Q908" s="392"/>
      <c r="R908" s="392"/>
      <c r="S908" s="392"/>
      <c r="T908" s="392"/>
      <c r="U908" s="392"/>
      <c r="V908" s="392"/>
      <c r="W908" s="392"/>
      <c r="X908" s="392"/>
      <c r="Y908" s="392"/>
      <c r="Z908" s="392"/>
      <c r="AA908" s="392"/>
      <c r="AB908" s="392"/>
      <c r="AC908" s="392"/>
      <c r="AD908" s="392"/>
      <c r="AE908" s="392"/>
      <c r="AF908" s="392"/>
      <c r="AG908" s="392"/>
      <c r="AH908" s="392"/>
      <c r="AI908" s="392"/>
      <c r="AJ908" s="392"/>
      <c r="AK908" s="392"/>
      <c r="AL908" s="392"/>
      <c r="AM908" s="392"/>
      <c r="AN908" s="392"/>
      <c r="AO908" s="392"/>
      <c r="AP908" s="392"/>
      <c r="AQ908" s="392"/>
      <c r="AR908" s="392"/>
      <c r="AS908" s="392"/>
      <c r="AT908" s="392"/>
      <c r="AU908" s="392"/>
      <c r="AV908" s="392"/>
      <c r="AW908" s="392"/>
      <c r="AX908" s="392"/>
      <c r="AY908" s="392"/>
      <c r="AZ908" s="392"/>
      <c r="BA908" s="392"/>
      <c r="BB908" s="392"/>
      <c r="BC908" s="392"/>
      <c r="BD908" s="392"/>
      <c r="BE908" s="392"/>
      <c r="BF908" s="392"/>
      <c r="BG908" s="392"/>
      <c r="BH908" s="392"/>
      <c r="BI908" s="392"/>
      <c r="BJ908" s="392"/>
      <c r="BK908" s="392"/>
      <c r="BL908" s="392"/>
      <c r="BM908" s="392"/>
      <c r="BN908" s="392"/>
      <c r="BO908" s="392"/>
      <c r="BP908" s="392"/>
      <c r="BQ908" s="392"/>
      <c r="BR908" s="392"/>
      <c r="BS908" s="392"/>
      <c r="BT908" s="392"/>
    </row>
    <row r="909" ht="15.75" customHeight="1">
      <c r="A909" s="216"/>
      <c r="B909" s="156"/>
      <c r="C909" s="156"/>
      <c r="D909" s="156"/>
      <c r="E909" s="392"/>
      <c r="F909" s="392"/>
      <c r="G909" s="392"/>
      <c r="H909" s="392"/>
      <c r="I909" s="392"/>
      <c r="J909" s="392"/>
      <c r="K909" s="392"/>
      <c r="L909" s="392"/>
      <c r="M909" s="392"/>
      <c r="N909" s="392"/>
      <c r="O909" s="392"/>
      <c r="P909" s="392"/>
      <c r="Q909" s="392"/>
      <c r="R909" s="392"/>
      <c r="S909" s="392"/>
      <c r="T909" s="392"/>
      <c r="U909" s="392"/>
      <c r="V909" s="392"/>
      <c r="W909" s="392"/>
      <c r="X909" s="392"/>
      <c r="Y909" s="392"/>
      <c r="Z909" s="392"/>
      <c r="AA909" s="392"/>
      <c r="AB909" s="392"/>
      <c r="AC909" s="392"/>
      <c r="AD909" s="392"/>
      <c r="AE909" s="392"/>
      <c r="AF909" s="392"/>
      <c r="AG909" s="392"/>
      <c r="AH909" s="392"/>
      <c r="AI909" s="392"/>
      <c r="AJ909" s="392"/>
      <c r="AK909" s="392"/>
      <c r="AL909" s="392"/>
      <c r="AM909" s="392"/>
      <c r="AN909" s="392"/>
      <c r="AO909" s="392"/>
      <c r="AP909" s="392"/>
      <c r="AQ909" s="392"/>
      <c r="AR909" s="392"/>
      <c r="AS909" s="392"/>
      <c r="AT909" s="392"/>
      <c r="AU909" s="392"/>
      <c r="AV909" s="392"/>
      <c r="AW909" s="392"/>
      <c r="AX909" s="392"/>
      <c r="AY909" s="392"/>
      <c r="AZ909" s="392"/>
      <c r="BA909" s="392"/>
      <c r="BB909" s="392"/>
      <c r="BC909" s="392"/>
      <c r="BD909" s="392"/>
      <c r="BE909" s="392"/>
      <c r="BF909" s="392"/>
      <c r="BG909" s="392"/>
      <c r="BH909" s="392"/>
      <c r="BI909" s="392"/>
      <c r="BJ909" s="392"/>
      <c r="BK909" s="392"/>
      <c r="BL909" s="392"/>
      <c r="BM909" s="392"/>
      <c r="BN909" s="392"/>
      <c r="BO909" s="392"/>
      <c r="BP909" s="392"/>
      <c r="BQ909" s="392"/>
      <c r="BR909" s="392"/>
      <c r="BS909" s="392"/>
      <c r="BT909" s="392"/>
    </row>
    <row r="910" ht="15.75" customHeight="1">
      <c r="A910" s="216"/>
      <c r="B910" s="156"/>
      <c r="C910" s="156"/>
      <c r="D910" s="156"/>
      <c r="E910" s="392"/>
      <c r="F910" s="392"/>
      <c r="G910" s="392"/>
      <c r="H910" s="392"/>
      <c r="I910" s="392"/>
      <c r="J910" s="392"/>
      <c r="K910" s="392"/>
      <c r="L910" s="392"/>
      <c r="M910" s="392"/>
      <c r="N910" s="392"/>
      <c r="O910" s="392"/>
      <c r="P910" s="392"/>
      <c r="Q910" s="392"/>
      <c r="R910" s="392"/>
      <c r="S910" s="392"/>
      <c r="T910" s="392"/>
      <c r="U910" s="392"/>
      <c r="V910" s="392"/>
      <c r="W910" s="392"/>
      <c r="X910" s="392"/>
      <c r="Y910" s="392"/>
      <c r="Z910" s="392"/>
      <c r="AA910" s="392"/>
      <c r="AB910" s="392"/>
      <c r="AC910" s="392"/>
      <c r="AD910" s="392"/>
      <c r="AE910" s="392"/>
      <c r="AF910" s="392"/>
      <c r="AG910" s="392"/>
      <c r="AH910" s="392"/>
      <c r="AI910" s="392"/>
      <c r="AJ910" s="392"/>
      <c r="AK910" s="392"/>
      <c r="AL910" s="392"/>
      <c r="AM910" s="392"/>
      <c r="AN910" s="392"/>
      <c r="AO910" s="392"/>
      <c r="AP910" s="392"/>
      <c r="AQ910" s="392"/>
      <c r="AR910" s="392"/>
      <c r="AS910" s="392"/>
      <c r="AT910" s="392"/>
      <c r="AU910" s="392"/>
      <c r="AV910" s="392"/>
      <c r="AW910" s="392"/>
      <c r="AX910" s="392"/>
      <c r="AY910" s="392"/>
      <c r="AZ910" s="392"/>
      <c r="BA910" s="392"/>
      <c r="BB910" s="392"/>
      <c r="BC910" s="392"/>
      <c r="BD910" s="392"/>
      <c r="BE910" s="392"/>
      <c r="BF910" s="392"/>
      <c r="BG910" s="392"/>
      <c r="BH910" s="392"/>
      <c r="BI910" s="392"/>
      <c r="BJ910" s="392"/>
      <c r="BK910" s="392"/>
      <c r="BL910" s="392"/>
      <c r="BM910" s="392"/>
      <c r="BN910" s="392"/>
      <c r="BO910" s="392"/>
      <c r="BP910" s="392"/>
      <c r="BQ910" s="392"/>
      <c r="BR910" s="392"/>
      <c r="BS910" s="392"/>
      <c r="BT910" s="392"/>
    </row>
    <row r="911" ht="15.75" customHeight="1">
      <c r="A911" s="216"/>
      <c r="B911" s="156"/>
      <c r="C911" s="156"/>
      <c r="D911" s="156"/>
      <c r="E911" s="392"/>
      <c r="F911" s="392"/>
      <c r="G911" s="392"/>
      <c r="H911" s="392"/>
      <c r="I911" s="392"/>
      <c r="J911" s="392"/>
      <c r="K911" s="392"/>
      <c r="L911" s="392"/>
      <c r="M911" s="392"/>
      <c r="N911" s="392"/>
      <c r="O911" s="392"/>
      <c r="P911" s="392"/>
      <c r="Q911" s="392"/>
      <c r="R911" s="392"/>
      <c r="S911" s="392"/>
      <c r="T911" s="392"/>
      <c r="U911" s="392"/>
      <c r="V911" s="392"/>
      <c r="W911" s="392"/>
      <c r="X911" s="392"/>
      <c r="Y911" s="392"/>
      <c r="Z911" s="392"/>
      <c r="AA911" s="392"/>
      <c r="AB911" s="392"/>
      <c r="AC911" s="392"/>
      <c r="AD911" s="392"/>
      <c r="AE911" s="392"/>
      <c r="AF911" s="392"/>
      <c r="AG911" s="392"/>
      <c r="AH911" s="392"/>
      <c r="AI911" s="392"/>
      <c r="AJ911" s="392"/>
      <c r="AK911" s="392"/>
      <c r="AL911" s="392"/>
      <c r="AM911" s="392"/>
      <c r="AN911" s="392"/>
      <c r="AO911" s="392"/>
      <c r="AP911" s="392"/>
      <c r="AQ911" s="392"/>
      <c r="AR911" s="392"/>
      <c r="AS911" s="392"/>
      <c r="AT911" s="392"/>
      <c r="AU911" s="392"/>
      <c r="AV911" s="392"/>
      <c r="AW911" s="392"/>
      <c r="AX911" s="392"/>
      <c r="AY911" s="392"/>
      <c r="AZ911" s="392"/>
      <c r="BA911" s="392"/>
      <c r="BB911" s="392"/>
      <c r="BC911" s="392"/>
      <c r="BD911" s="392"/>
      <c r="BE911" s="392"/>
      <c r="BF911" s="392"/>
      <c r="BG911" s="392"/>
      <c r="BH911" s="392"/>
      <c r="BI911" s="392"/>
      <c r="BJ911" s="392"/>
      <c r="BK911" s="392"/>
      <c r="BL911" s="392"/>
      <c r="BM911" s="392"/>
      <c r="BN911" s="392"/>
      <c r="BO911" s="392"/>
      <c r="BP911" s="392"/>
      <c r="BQ911" s="392"/>
      <c r="BR911" s="392"/>
      <c r="BS911" s="392"/>
      <c r="BT911" s="392"/>
    </row>
    <row r="912" ht="15.75" customHeight="1">
      <c r="A912" s="216"/>
      <c r="B912" s="156"/>
      <c r="C912" s="156"/>
      <c r="D912" s="156"/>
      <c r="E912" s="392"/>
      <c r="F912" s="392"/>
      <c r="G912" s="392"/>
      <c r="H912" s="392"/>
      <c r="I912" s="392"/>
      <c r="J912" s="392"/>
      <c r="K912" s="392"/>
      <c r="L912" s="392"/>
      <c r="M912" s="392"/>
      <c r="N912" s="392"/>
      <c r="O912" s="392"/>
      <c r="P912" s="392"/>
      <c r="Q912" s="392"/>
      <c r="R912" s="392"/>
      <c r="S912" s="392"/>
      <c r="T912" s="392"/>
      <c r="U912" s="392"/>
      <c r="V912" s="392"/>
      <c r="W912" s="392"/>
      <c r="X912" s="392"/>
      <c r="Y912" s="392"/>
      <c r="Z912" s="392"/>
      <c r="AA912" s="392"/>
      <c r="AB912" s="392"/>
      <c r="AC912" s="392"/>
      <c r="AD912" s="392"/>
      <c r="AE912" s="392"/>
      <c r="AF912" s="392"/>
      <c r="AG912" s="392"/>
      <c r="AH912" s="392"/>
      <c r="AI912" s="392"/>
      <c r="AJ912" s="392"/>
      <c r="AK912" s="392"/>
      <c r="AL912" s="392"/>
      <c r="AM912" s="392"/>
      <c r="AN912" s="392"/>
      <c r="AO912" s="392"/>
      <c r="AP912" s="392"/>
      <c r="AQ912" s="392"/>
      <c r="AR912" s="392"/>
      <c r="AS912" s="392"/>
      <c r="AT912" s="392"/>
      <c r="AU912" s="392"/>
      <c r="AV912" s="392"/>
      <c r="AW912" s="392"/>
      <c r="AX912" s="392"/>
      <c r="AY912" s="392"/>
      <c r="AZ912" s="392"/>
      <c r="BA912" s="392"/>
      <c r="BB912" s="392"/>
      <c r="BC912" s="392"/>
      <c r="BD912" s="392"/>
      <c r="BE912" s="392"/>
      <c r="BF912" s="392"/>
      <c r="BG912" s="392"/>
      <c r="BH912" s="392"/>
      <c r="BI912" s="392"/>
      <c r="BJ912" s="392"/>
      <c r="BK912" s="392"/>
      <c r="BL912" s="392"/>
      <c r="BM912" s="392"/>
      <c r="BN912" s="392"/>
      <c r="BO912" s="392"/>
      <c r="BP912" s="392"/>
      <c r="BQ912" s="392"/>
      <c r="BR912" s="392"/>
      <c r="BS912" s="392"/>
      <c r="BT912" s="392"/>
    </row>
    <row r="913" ht="15.75" customHeight="1">
      <c r="A913" s="216"/>
      <c r="B913" s="156"/>
      <c r="C913" s="156"/>
      <c r="D913" s="156"/>
      <c r="E913" s="392"/>
      <c r="F913" s="392"/>
      <c r="G913" s="392"/>
      <c r="H913" s="392"/>
      <c r="I913" s="392"/>
      <c r="J913" s="392"/>
      <c r="K913" s="392"/>
      <c r="L913" s="392"/>
      <c r="M913" s="392"/>
      <c r="N913" s="392"/>
      <c r="O913" s="392"/>
      <c r="P913" s="392"/>
      <c r="Q913" s="392"/>
      <c r="R913" s="392"/>
      <c r="S913" s="392"/>
      <c r="T913" s="392"/>
      <c r="U913" s="392"/>
      <c r="V913" s="392"/>
      <c r="W913" s="392"/>
      <c r="X913" s="392"/>
      <c r="Y913" s="392"/>
      <c r="Z913" s="392"/>
      <c r="AA913" s="392"/>
      <c r="AB913" s="392"/>
      <c r="AC913" s="392"/>
      <c r="AD913" s="392"/>
      <c r="AE913" s="392"/>
      <c r="AF913" s="392"/>
      <c r="AG913" s="392"/>
      <c r="AH913" s="392"/>
      <c r="AI913" s="392"/>
      <c r="AJ913" s="392"/>
      <c r="AK913" s="392"/>
      <c r="AL913" s="392"/>
      <c r="AM913" s="392"/>
      <c r="AN913" s="392"/>
      <c r="AO913" s="392"/>
      <c r="AP913" s="392"/>
      <c r="AQ913" s="392"/>
      <c r="AR913" s="392"/>
      <c r="AS913" s="392"/>
      <c r="AT913" s="392"/>
      <c r="AU913" s="392"/>
      <c r="AV913" s="392"/>
      <c r="AW913" s="392"/>
      <c r="AX913" s="392"/>
      <c r="AY913" s="392"/>
      <c r="AZ913" s="392"/>
      <c r="BA913" s="392"/>
      <c r="BB913" s="392"/>
      <c r="BC913" s="392"/>
      <c r="BD913" s="392"/>
      <c r="BE913" s="392"/>
      <c r="BF913" s="392"/>
      <c r="BG913" s="392"/>
      <c r="BH913" s="392"/>
      <c r="BI913" s="392"/>
      <c r="BJ913" s="392"/>
      <c r="BK913" s="392"/>
      <c r="BL913" s="392"/>
      <c r="BM913" s="392"/>
      <c r="BN913" s="392"/>
      <c r="BO913" s="392"/>
      <c r="BP913" s="392"/>
      <c r="BQ913" s="392"/>
      <c r="BR913" s="392"/>
      <c r="BS913" s="392"/>
      <c r="BT913" s="392"/>
    </row>
    <row r="914" ht="15.75" customHeight="1">
      <c r="A914" s="216"/>
      <c r="B914" s="156"/>
      <c r="C914" s="156"/>
      <c r="D914" s="156"/>
      <c r="E914" s="392"/>
      <c r="F914" s="392"/>
      <c r="G914" s="392"/>
      <c r="H914" s="392"/>
      <c r="I914" s="392"/>
      <c r="J914" s="392"/>
      <c r="K914" s="392"/>
      <c r="L914" s="392"/>
      <c r="M914" s="392"/>
      <c r="N914" s="392"/>
      <c r="O914" s="392"/>
      <c r="P914" s="392"/>
      <c r="Q914" s="392"/>
      <c r="R914" s="392"/>
      <c r="S914" s="392"/>
      <c r="T914" s="392"/>
      <c r="U914" s="392"/>
      <c r="V914" s="392"/>
      <c r="W914" s="392"/>
      <c r="X914" s="392"/>
      <c r="Y914" s="392"/>
      <c r="Z914" s="392"/>
      <c r="AA914" s="392"/>
      <c r="AB914" s="392"/>
      <c r="AC914" s="392"/>
      <c r="AD914" s="392"/>
      <c r="AE914" s="392"/>
      <c r="AF914" s="392"/>
      <c r="AG914" s="392"/>
      <c r="AH914" s="392"/>
      <c r="AI914" s="392"/>
      <c r="AJ914" s="392"/>
      <c r="AK914" s="392"/>
      <c r="AL914" s="392"/>
      <c r="AM914" s="392"/>
      <c r="AN914" s="392"/>
      <c r="AO914" s="392"/>
      <c r="AP914" s="392"/>
      <c r="AQ914" s="392"/>
      <c r="AR914" s="392"/>
      <c r="AS914" s="392"/>
      <c r="AT914" s="392"/>
      <c r="AU914" s="392"/>
      <c r="AV914" s="392"/>
      <c r="AW914" s="392"/>
      <c r="AX914" s="392"/>
      <c r="AY914" s="392"/>
      <c r="AZ914" s="392"/>
      <c r="BA914" s="392"/>
      <c r="BB914" s="392"/>
      <c r="BC914" s="392"/>
      <c r="BD914" s="392"/>
      <c r="BE914" s="392"/>
      <c r="BF914" s="392"/>
      <c r="BG914" s="392"/>
      <c r="BH914" s="392"/>
      <c r="BI914" s="392"/>
      <c r="BJ914" s="392"/>
      <c r="BK914" s="392"/>
      <c r="BL914" s="392"/>
      <c r="BM914" s="392"/>
      <c r="BN914" s="392"/>
      <c r="BO914" s="392"/>
      <c r="BP914" s="392"/>
      <c r="BQ914" s="392"/>
      <c r="BR914" s="392"/>
      <c r="BS914" s="392"/>
      <c r="BT914" s="392"/>
    </row>
    <row r="915" ht="15.75" customHeight="1">
      <c r="A915" s="216"/>
      <c r="B915" s="156"/>
      <c r="C915" s="156"/>
      <c r="D915" s="156"/>
      <c r="E915" s="392"/>
      <c r="F915" s="392"/>
      <c r="G915" s="392"/>
      <c r="H915" s="392"/>
      <c r="I915" s="392"/>
      <c r="J915" s="392"/>
      <c r="K915" s="392"/>
      <c r="L915" s="392"/>
      <c r="M915" s="392"/>
      <c r="N915" s="392"/>
      <c r="O915" s="392"/>
      <c r="P915" s="392"/>
      <c r="Q915" s="392"/>
      <c r="R915" s="392"/>
      <c r="S915" s="392"/>
      <c r="T915" s="392"/>
      <c r="U915" s="392"/>
      <c r="V915" s="392"/>
      <c r="W915" s="392"/>
      <c r="X915" s="392"/>
      <c r="Y915" s="392"/>
      <c r="Z915" s="392"/>
      <c r="AA915" s="392"/>
      <c r="AB915" s="392"/>
      <c r="AC915" s="392"/>
      <c r="AD915" s="392"/>
      <c r="AE915" s="392"/>
      <c r="AF915" s="392"/>
      <c r="AG915" s="392"/>
      <c r="AH915" s="392"/>
      <c r="AI915" s="392"/>
      <c r="AJ915" s="392"/>
      <c r="AK915" s="392"/>
      <c r="AL915" s="392"/>
      <c r="AM915" s="392"/>
      <c r="AN915" s="392"/>
      <c r="AO915" s="392"/>
      <c r="AP915" s="392"/>
      <c r="AQ915" s="392"/>
      <c r="AR915" s="392"/>
      <c r="AS915" s="392"/>
      <c r="AT915" s="392"/>
      <c r="AU915" s="392"/>
      <c r="AV915" s="392"/>
      <c r="AW915" s="392"/>
      <c r="AX915" s="392"/>
      <c r="AY915" s="392"/>
      <c r="AZ915" s="392"/>
      <c r="BA915" s="392"/>
      <c r="BB915" s="392"/>
      <c r="BC915" s="392"/>
      <c r="BD915" s="392"/>
      <c r="BE915" s="392"/>
      <c r="BF915" s="392"/>
      <c r="BG915" s="392"/>
      <c r="BH915" s="392"/>
      <c r="BI915" s="392"/>
      <c r="BJ915" s="392"/>
      <c r="BK915" s="392"/>
      <c r="BL915" s="392"/>
      <c r="BM915" s="392"/>
      <c r="BN915" s="392"/>
      <c r="BO915" s="392"/>
      <c r="BP915" s="392"/>
      <c r="BQ915" s="392"/>
      <c r="BR915" s="392"/>
      <c r="BS915" s="392"/>
      <c r="BT915" s="392"/>
    </row>
    <row r="916" ht="15.75" customHeight="1">
      <c r="A916" s="216"/>
      <c r="B916" s="156"/>
      <c r="C916" s="156"/>
      <c r="D916" s="156"/>
      <c r="E916" s="392"/>
      <c r="F916" s="392"/>
      <c r="G916" s="392"/>
      <c r="H916" s="392"/>
      <c r="I916" s="392"/>
      <c r="J916" s="392"/>
      <c r="K916" s="392"/>
      <c r="L916" s="392"/>
      <c r="M916" s="392"/>
      <c r="N916" s="392"/>
      <c r="O916" s="392"/>
      <c r="P916" s="392"/>
      <c r="Q916" s="392"/>
      <c r="R916" s="392"/>
      <c r="S916" s="392"/>
      <c r="T916" s="392"/>
      <c r="U916" s="392"/>
      <c r="V916" s="392"/>
      <c r="W916" s="392"/>
      <c r="X916" s="392"/>
      <c r="Y916" s="392"/>
      <c r="Z916" s="392"/>
      <c r="AA916" s="392"/>
      <c r="AB916" s="392"/>
      <c r="AC916" s="392"/>
      <c r="AD916" s="392"/>
      <c r="AE916" s="392"/>
      <c r="AF916" s="392"/>
      <c r="AG916" s="392"/>
      <c r="AH916" s="392"/>
      <c r="AI916" s="392"/>
      <c r="AJ916" s="392"/>
      <c r="AK916" s="392"/>
      <c r="AL916" s="392"/>
      <c r="AM916" s="392"/>
      <c r="AN916" s="392"/>
      <c r="AO916" s="392"/>
      <c r="AP916" s="392"/>
      <c r="AQ916" s="392"/>
      <c r="AR916" s="392"/>
      <c r="AS916" s="392"/>
      <c r="AT916" s="392"/>
      <c r="AU916" s="392"/>
      <c r="AV916" s="392"/>
      <c r="AW916" s="392"/>
      <c r="AX916" s="392"/>
      <c r="AY916" s="392"/>
      <c r="AZ916" s="392"/>
      <c r="BA916" s="392"/>
      <c r="BB916" s="392"/>
      <c r="BC916" s="392"/>
      <c r="BD916" s="392"/>
      <c r="BE916" s="392"/>
      <c r="BF916" s="392"/>
      <c r="BG916" s="392"/>
      <c r="BH916" s="392"/>
      <c r="BI916" s="392"/>
      <c r="BJ916" s="392"/>
      <c r="BK916" s="392"/>
      <c r="BL916" s="392"/>
      <c r="BM916" s="392"/>
      <c r="BN916" s="392"/>
      <c r="BO916" s="392"/>
      <c r="BP916" s="392"/>
      <c r="BQ916" s="392"/>
      <c r="BR916" s="392"/>
      <c r="BS916" s="392"/>
      <c r="BT916" s="392"/>
    </row>
    <row r="917" ht="15.75" customHeight="1">
      <c r="A917" s="216"/>
      <c r="B917" s="156"/>
      <c r="C917" s="156"/>
      <c r="D917" s="156"/>
      <c r="E917" s="392"/>
      <c r="F917" s="392"/>
      <c r="G917" s="392"/>
      <c r="H917" s="392"/>
      <c r="I917" s="392"/>
      <c r="J917" s="392"/>
      <c r="K917" s="392"/>
      <c r="L917" s="392"/>
      <c r="M917" s="392"/>
      <c r="N917" s="392"/>
      <c r="O917" s="392"/>
      <c r="P917" s="392"/>
      <c r="Q917" s="392"/>
      <c r="R917" s="392"/>
      <c r="S917" s="392"/>
      <c r="T917" s="392"/>
      <c r="U917" s="392"/>
      <c r="V917" s="392"/>
      <c r="W917" s="392"/>
      <c r="X917" s="392"/>
      <c r="Y917" s="392"/>
      <c r="Z917" s="392"/>
      <c r="AA917" s="392"/>
      <c r="AB917" s="392"/>
      <c r="AC917" s="392"/>
      <c r="AD917" s="392"/>
      <c r="AE917" s="392"/>
      <c r="AF917" s="392"/>
      <c r="AG917" s="392"/>
      <c r="AH917" s="392"/>
      <c r="AI917" s="392"/>
      <c r="AJ917" s="392"/>
      <c r="AK917" s="392"/>
      <c r="AL917" s="392"/>
      <c r="AM917" s="392"/>
      <c r="AN917" s="392"/>
      <c r="AO917" s="392"/>
      <c r="AP917" s="392"/>
      <c r="AQ917" s="392"/>
      <c r="AR917" s="392"/>
      <c r="AS917" s="392"/>
      <c r="AT917" s="392"/>
      <c r="AU917" s="392"/>
      <c r="AV917" s="392"/>
      <c r="AW917" s="392"/>
      <c r="AX917" s="392"/>
      <c r="AY917" s="392"/>
      <c r="AZ917" s="392"/>
      <c r="BA917" s="392"/>
      <c r="BB917" s="392"/>
      <c r="BC917" s="392"/>
      <c r="BD917" s="392"/>
      <c r="BE917" s="392"/>
      <c r="BF917" s="392"/>
      <c r="BG917" s="392"/>
      <c r="BH917" s="392"/>
      <c r="BI917" s="392"/>
      <c r="BJ917" s="392"/>
      <c r="BK917" s="392"/>
      <c r="BL917" s="392"/>
      <c r="BM917" s="392"/>
      <c r="BN917" s="392"/>
      <c r="BO917" s="392"/>
      <c r="BP917" s="392"/>
      <c r="BQ917" s="392"/>
      <c r="BR917" s="392"/>
      <c r="BS917" s="392"/>
      <c r="BT917" s="392"/>
    </row>
    <row r="918" ht="15.75" customHeight="1">
      <c r="A918" s="216"/>
      <c r="B918" s="156"/>
      <c r="C918" s="156"/>
      <c r="D918" s="156"/>
      <c r="E918" s="392"/>
      <c r="F918" s="392"/>
      <c r="G918" s="392"/>
      <c r="H918" s="392"/>
      <c r="I918" s="392"/>
      <c r="J918" s="392"/>
      <c r="K918" s="392"/>
      <c r="L918" s="392"/>
      <c r="M918" s="392"/>
      <c r="N918" s="392"/>
      <c r="O918" s="392"/>
      <c r="P918" s="392"/>
      <c r="Q918" s="392"/>
      <c r="R918" s="392"/>
      <c r="S918" s="392"/>
      <c r="T918" s="392"/>
      <c r="U918" s="392"/>
      <c r="V918" s="392"/>
      <c r="W918" s="392"/>
      <c r="X918" s="392"/>
      <c r="Y918" s="392"/>
      <c r="Z918" s="392"/>
      <c r="AA918" s="392"/>
      <c r="AB918" s="392"/>
      <c r="AC918" s="392"/>
      <c r="AD918" s="392"/>
      <c r="AE918" s="392"/>
      <c r="AF918" s="392"/>
      <c r="AG918" s="392"/>
      <c r="AH918" s="392"/>
      <c r="AI918" s="392"/>
      <c r="AJ918" s="392"/>
      <c r="AK918" s="392"/>
      <c r="AL918" s="392"/>
      <c r="AM918" s="392"/>
      <c r="AN918" s="392"/>
      <c r="AO918" s="392"/>
      <c r="AP918" s="392"/>
      <c r="AQ918" s="392"/>
      <c r="AR918" s="392"/>
      <c r="AS918" s="392"/>
      <c r="AT918" s="392"/>
      <c r="AU918" s="392"/>
      <c r="AV918" s="392"/>
      <c r="AW918" s="392"/>
      <c r="AX918" s="392"/>
      <c r="AY918" s="392"/>
      <c r="AZ918" s="392"/>
      <c r="BA918" s="392"/>
      <c r="BB918" s="392"/>
      <c r="BC918" s="392"/>
      <c r="BD918" s="392"/>
      <c r="BE918" s="392"/>
      <c r="BF918" s="392"/>
      <c r="BG918" s="392"/>
      <c r="BH918" s="392"/>
      <c r="BI918" s="392"/>
      <c r="BJ918" s="392"/>
      <c r="BK918" s="392"/>
      <c r="BL918" s="392"/>
      <c r="BM918" s="392"/>
      <c r="BN918" s="392"/>
      <c r="BO918" s="392"/>
      <c r="BP918" s="392"/>
      <c r="BQ918" s="392"/>
      <c r="BR918" s="392"/>
      <c r="BS918" s="392"/>
      <c r="BT918" s="392"/>
    </row>
    <row r="919" ht="15.75" customHeight="1">
      <c r="A919" s="216"/>
      <c r="B919" s="156"/>
      <c r="C919" s="156"/>
      <c r="D919" s="156"/>
      <c r="E919" s="392"/>
      <c r="F919" s="392"/>
      <c r="G919" s="392"/>
      <c r="H919" s="392"/>
      <c r="I919" s="392"/>
      <c r="J919" s="392"/>
      <c r="K919" s="392"/>
      <c r="L919" s="392"/>
      <c r="M919" s="392"/>
      <c r="N919" s="392"/>
      <c r="O919" s="392"/>
      <c r="P919" s="392"/>
      <c r="Q919" s="392"/>
      <c r="R919" s="392"/>
      <c r="S919" s="392"/>
      <c r="T919" s="392"/>
      <c r="U919" s="392"/>
      <c r="V919" s="392"/>
      <c r="W919" s="392"/>
      <c r="X919" s="392"/>
      <c r="Y919" s="392"/>
      <c r="Z919" s="392"/>
      <c r="AA919" s="392"/>
      <c r="AB919" s="392"/>
      <c r="AC919" s="392"/>
      <c r="AD919" s="392"/>
      <c r="AE919" s="392"/>
      <c r="AF919" s="392"/>
      <c r="AG919" s="392"/>
      <c r="AH919" s="392"/>
      <c r="AI919" s="392"/>
      <c r="AJ919" s="392"/>
      <c r="AK919" s="392"/>
      <c r="AL919" s="392"/>
      <c r="AM919" s="392"/>
      <c r="AN919" s="392"/>
      <c r="AO919" s="392"/>
      <c r="AP919" s="392"/>
      <c r="AQ919" s="392"/>
      <c r="AR919" s="392"/>
      <c r="AS919" s="392"/>
      <c r="AT919" s="392"/>
      <c r="AU919" s="392"/>
      <c r="AV919" s="392"/>
      <c r="AW919" s="392"/>
      <c r="AX919" s="392"/>
      <c r="AY919" s="392"/>
      <c r="AZ919" s="392"/>
      <c r="BA919" s="392"/>
      <c r="BB919" s="392"/>
      <c r="BC919" s="392"/>
      <c r="BD919" s="392"/>
      <c r="BE919" s="392"/>
      <c r="BF919" s="392"/>
      <c r="BG919" s="392"/>
      <c r="BH919" s="392"/>
      <c r="BI919" s="392"/>
      <c r="BJ919" s="392"/>
      <c r="BK919" s="392"/>
      <c r="BL919" s="392"/>
      <c r="BM919" s="392"/>
      <c r="BN919" s="392"/>
      <c r="BO919" s="392"/>
      <c r="BP919" s="392"/>
      <c r="BQ919" s="392"/>
      <c r="BR919" s="392"/>
      <c r="BS919" s="392"/>
      <c r="BT919" s="392"/>
    </row>
    <row r="920" ht="15.75" customHeight="1">
      <c r="A920" s="216"/>
      <c r="B920" s="156"/>
      <c r="C920" s="156"/>
      <c r="D920" s="156"/>
      <c r="E920" s="392"/>
      <c r="F920" s="392"/>
      <c r="G920" s="392"/>
      <c r="H920" s="392"/>
      <c r="I920" s="392"/>
      <c r="J920" s="392"/>
      <c r="K920" s="392"/>
      <c r="L920" s="392"/>
      <c r="M920" s="392"/>
      <c r="N920" s="392"/>
      <c r="O920" s="392"/>
      <c r="P920" s="392"/>
      <c r="Q920" s="392"/>
      <c r="R920" s="392"/>
      <c r="S920" s="392"/>
      <c r="T920" s="392"/>
      <c r="U920" s="392"/>
      <c r="V920" s="392"/>
      <c r="W920" s="392"/>
      <c r="X920" s="392"/>
      <c r="Y920" s="392"/>
      <c r="Z920" s="392"/>
      <c r="AA920" s="392"/>
      <c r="AB920" s="392"/>
      <c r="AC920" s="392"/>
      <c r="AD920" s="392"/>
      <c r="AE920" s="392"/>
      <c r="AF920" s="392"/>
      <c r="AG920" s="392"/>
      <c r="AH920" s="392"/>
      <c r="AI920" s="392"/>
      <c r="AJ920" s="392"/>
      <c r="AK920" s="392"/>
      <c r="AL920" s="392"/>
      <c r="AM920" s="392"/>
      <c r="AN920" s="392"/>
      <c r="AO920" s="392"/>
      <c r="AP920" s="392"/>
      <c r="AQ920" s="392"/>
      <c r="AR920" s="392"/>
      <c r="AS920" s="392"/>
      <c r="AT920" s="392"/>
      <c r="AU920" s="392"/>
      <c r="AV920" s="392"/>
      <c r="AW920" s="392"/>
      <c r="AX920" s="392"/>
      <c r="AY920" s="392"/>
      <c r="AZ920" s="392"/>
      <c r="BA920" s="392"/>
      <c r="BB920" s="392"/>
      <c r="BC920" s="392"/>
      <c r="BD920" s="392"/>
      <c r="BE920" s="392"/>
      <c r="BF920" s="392"/>
      <c r="BG920" s="392"/>
      <c r="BH920" s="392"/>
      <c r="BI920" s="392"/>
      <c r="BJ920" s="392"/>
      <c r="BK920" s="392"/>
      <c r="BL920" s="392"/>
      <c r="BM920" s="392"/>
      <c r="BN920" s="392"/>
      <c r="BO920" s="392"/>
      <c r="BP920" s="392"/>
      <c r="BQ920" s="392"/>
      <c r="BR920" s="392"/>
      <c r="BS920" s="392"/>
      <c r="BT920" s="392"/>
    </row>
    <row r="921" ht="15.75" customHeight="1">
      <c r="A921" s="216"/>
      <c r="B921" s="156"/>
      <c r="C921" s="156"/>
      <c r="D921" s="156"/>
      <c r="E921" s="392"/>
      <c r="F921" s="392"/>
      <c r="G921" s="392"/>
      <c r="H921" s="392"/>
      <c r="I921" s="392"/>
      <c r="J921" s="392"/>
      <c r="K921" s="392"/>
      <c r="L921" s="392"/>
      <c r="M921" s="392"/>
      <c r="N921" s="392"/>
      <c r="O921" s="392"/>
      <c r="P921" s="392"/>
      <c r="Q921" s="392"/>
      <c r="R921" s="392"/>
      <c r="S921" s="392"/>
      <c r="T921" s="392"/>
      <c r="U921" s="392"/>
      <c r="V921" s="392"/>
      <c r="W921" s="392"/>
      <c r="X921" s="392"/>
      <c r="Y921" s="392"/>
      <c r="Z921" s="392"/>
      <c r="AA921" s="392"/>
      <c r="AB921" s="392"/>
      <c r="AC921" s="392"/>
      <c r="AD921" s="392"/>
      <c r="AE921" s="392"/>
      <c r="AF921" s="392"/>
      <c r="AG921" s="392"/>
      <c r="AH921" s="392"/>
      <c r="AI921" s="392"/>
      <c r="AJ921" s="392"/>
      <c r="AK921" s="392"/>
      <c r="AL921" s="392"/>
      <c r="AM921" s="392"/>
      <c r="AN921" s="392"/>
      <c r="AO921" s="392"/>
      <c r="AP921" s="392"/>
      <c r="AQ921" s="392"/>
      <c r="AR921" s="392"/>
      <c r="AS921" s="392"/>
      <c r="AT921" s="392"/>
      <c r="AU921" s="392"/>
      <c r="AV921" s="392"/>
      <c r="AW921" s="392"/>
      <c r="AX921" s="392"/>
      <c r="AY921" s="392"/>
      <c r="AZ921" s="392"/>
      <c r="BA921" s="392"/>
      <c r="BB921" s="392"/>
      <c r="BC921" s="392"/>
      <c r="BD921" s="392"/>
      <c r="BE921" s="392"/>
      <c r="BF921" s="392"/>
      <c r="BG921" s="392"/>
      <c r="BH921" s="392"/>
      <c r="BI921" s="392"/>
      <c r="BJ921" s="392"/>
      <c r="BK921" s="392"/>
      <c r="BL921" s="392"/>
      <c r="BM921" s="392"/>
      <c r="BN921" s="392"/>
      <c r="BO921" s="392"/>
      <c r="BP921" s="392"/>
      <c r="BQ921" s="392"/>
      <c r="BR921" s="392"/>
      <c r="BS921" s="392"/>
      <c r="BT921" s="392"/>
    </row>
    <row r="922" ht="15.75" customHeight="1">
      <c r="A922" s="216"/>
      <c r="B922" s="156"/>
      <c r="C922" s="156"/>
      <c r="D922" s="156"/>
      <c r="E922" s="392"/>
      <c r="F922" s="392"/>
      <c r="G922" s="392"/>
      <c r="H922" s="392"/>
      <c r="I922" s="392"/>
      <c r="J922" s="392"/>
      <c r="K922" s="392"/>
      <c r="L922" s="392"/>
      <c r="M922" s="392"/>
      <c r="N922" s="392"/>
      <c r="O922" s="392"/>
      <c r="P922" s="392"/>
      <c r="Q922" s="392"/>
      <c r="R922" s="392"/>
      <c r="S922" s="392"/>
      <c r="T922" s="392"/>
      <c r="U922" s="392"/>
      <c r="V922" s="392"/>
      <c r="W922" s="392"/>
      <c r="X922" s="392"/>
      <c r="Y922" s="392"/>
      <c r="Z922" s="392"/>
      <c r="AA922" s="392"/>
      <c r="AB922" s="392"/>
      <c r="AC922" s="392"/>
      <c r="AD922" s="392"/>
      <c r="AE922" s="392"/>
      <c r="AF922" s="392"/>
      <c r="AG922" s="392"/>
      <c r="AH922" s="392"/>
      <c r="AI922" s="392"/>
      <c r="AJ922" s="392"/>
      <c r="AK922" s="392"/>
      <c r="AL922" s="392"/>
      <c r="AM922" s="392"/>
      <c r="AN922" s="392"/>
      <c r="AO922" s="392"/>
      <c r="AP922" s="392"/>
      <c r="AQ922" s="392"/>
      <c r="AR922" s="392"/>
      <c r="AS922" s="392"/>
      <c r="AT922" s="392"/>
      <c r="AU922" s="392"/>
      <c r="AV922" s="392"/>
      <c r="AW922" s="392"/>
      <c r="AX922" s="392"/>
      <c r="AY922" s="392"/>
      <c r="AZ922" s="392"/>
      <c r="BA922" s="392"/>
      <c r="BB922" s="392"/>
      <c r="BC922" s="392"/>
      <c r="BD922" s="392"/>
      <c r="BE922" s="392"/>
      <c r="BF922" s="392"/>
      <c r="BG922" s="392"/>
      <c r="BH922" s="392"/>
      <c r="BI922" s="392"/>
      <c r="BJ922" s="392"/>
      <c r="BK922" s="392"/>
      <c r="BL922" s="392"/>
      <c r="BM922" s="392"/>
      <c r="BN922" s="392"/>
      <c r="BO922" s="392"/>
      <c r="BP922" s="392"/>
      <c r="BQ922" s="392"/>
      <c r="BR922" s="392"/>
      <c r="BS922" s="392"/>
      <c r="BT922" s="392"/>
    </row>
    <row r="923" ht="15.75" customHeight="1">
      <c r="A923" s="216"/>
      <c r="B923" s="156"/>
      <c r="C923" s="156"/>
      <c r="D923" s="156"/>
      <c r="E923" s="392"/>
      <c r="F923" s="392"/>
      <c r="G923" s="392"/>
      <c r="H923" s="392"/>
      <c r="I923" s="392"/>
      <c r="J923" s="392"/>
      <c r="K923" s="392"/>
      <c r="L923" s="392"/>
      <c r="M923" s="392"/>
      <c r="N923" s="392"/>
      <c r="O923" s="392"/>
      <c r="P923" s="392"/>
      <c r="Q923" s="392"/>
      <c r="R923" s="392"/>
      <c r="S923" s="392"/>
      <c r="T923" s="392"/>
      <c r="U923" s="392"/>
      <c r="V923" s="392"/>
      <c r="W923" s="392"/>
      <c r="X923" s="392"/>
      <c r="Y923" s="392"/>
      <c r="Z923" s="392"/>
      <c r="AA923" s="392"/>
      <c r="AB923" s="392"/>
      <c r="AC923" s="392"/>
      <c r="AD923" s="392"/>
      <c r="AE923" s="392"/>
      <c r="AF923" s="392"/>
      <c r="AG923" s="392"/>
      <c r="AH923" s="392"/>
      <c r="AI923" s="392"/>
      <c r="AJ923" s="392"/>
      <c r="AK923" s="392"/>
      <c r="AL923" s="392"/>
      <c r="AM923" s="392"/>
      <c r="AN923" s="392"/>
      <c r="AO923" s="392"/>
      <c r="AP923" s="392"/>
      <c r="AQ923" s="392"/>
      <c r="AR923" s="392"/>
      <c r="AS923" s="392"/>
      <c r="AT923" s="392"/>
      <c r="AU923" s="392"/>
      <c r="AV923" s="392"/>
      <c r="AW923" s="392"/>
      <c r="AX923" s="392"/>
      <c r="AY923" s="392"/>
      <c r="AZ923" s="392"/>
      <c r="BA923" s="392"/>
      <c r="BB923" s="392"/>
      <c r="BC923" s="392"/>
      <c r="BD923" s="392"/>
      <c r="BE923" s="392"/>
      <c r="BF923" s="392"/>
      <c r="BG923" s="392"/>
      <c r="BH923" s="392"/>
      <c r="BI923" s="392"/>
      <c r="BJ923" s="392"/>
      <c r="BK923" s="392"/>
      <c r="BL923" s="392"/>
      <c r="BM923" s="392"/>
      <c r="BN923" s="392"/>
      <c r="BO923" s="392"/>
      <c r="BP923" s="392"/>
      <c r="BQ923" s="392"/>
      <c r="BR923" s="392"/>
      <c r="BS923" s="392"/>
      <c r="BT923" s="392"/>
    </row>
    <row r="924" ht="15.75" customHeight="1">
      <c r="A924" s="216"/>
      <c r="B924" s="156"/>
      <c r="C924" s="156"/>
      <c r="D924" s="156"/>
      <c r="E924" s="392"/>
      <c r="F924" s="392"/>
      <c r="G924" s="392"/>
      <c r="H924" s="392"/>
      <c r="I924" s="392"/>
      <c r="J924" s="392"/>
      <c r="K924" s="392"/>
      <c r="L924" s="392"/>
      <c r="M924" s="392"/>
      <c r="N924" s="392"/>
      <c r="O924" s="392"/>
      <c r="P924" s="392"/>
      <c r="Q924" s="392"/>
      <c r="R924" s="392"/>
      <c r="S924" s="392"/>
      <c r="T924" s="392"/>
      <c r="U924" s="392"/>
      <c r="V924" s="392"/>
      <c r="W924" s="392"/>
      <c r="X924" s="392"/>
      <c r="Y924" s="392"/>
      <c r="Z924" s="392"/>
      <c r="AA924" s="392"/>
      <c r="AB924" s="392"/>
      <c r="AC924" s="392"/>
      <c r="AD924" s="392"/>
      <c r="AE924" s="392"/>
      <c r="AF924" s="392"/>
      <c r="AG924" s="392"/>
      <c r="AH924" s="392"/>
      <c r="AI924" s="392"/>
      <c r="AJ924" s="392"/>
      <c r="AK924" s="392"/>
      <c r="AL924" s="392"/>
      <c r="AM924" s="392"/>
      <c r="AN924" s="392"/>
      <c r="AO924" s="392"/>
      <c r="AP924" s="392"/>
      <c r="AQ924" s="392"/>
      <c r="AR924" s="392"/>
      <c r="AS924" s="392"/>
      <c r="AT924" s="392"/>
      <c r="AU924" s="392"/>
      <c r="AV924" s="392"/>
      <c r="AW924" s="392"/>
      <c r="AX924" s="392"/>
      <c r="AY924" s="392"/>
      <c r="AZ924" s="392"/>
      <c r="BA924" s="392"/>
      <c r="BB924" s="392"/>
      <c r="BC924" s="392"/>
      <c r="BD924" s="392"/>
      <c r="BE924" s="392"/>
      <c r="BF924" s="392"/>
      <c r="BG924" s="392"/>
      <c r="BH924" s="392"/>
      <c r="BI924" s="392"/>
      <c r="BJ924" s="392"/>
      <c r="BK924" s="392"/>
      <c r="BL924" s="392"/>
      <c r="BM924" s="392"/>
      <c r="BN924" s="392"/>
      <c r="BO924" s="392"/>
      <c r="BP924" s="392"/>
      <c r="BQ924" s="392"/>
      <c r="BR924" s="392"/>
      <c r="BS924" s="392"/>
      <c r="BT924" s="392"/>
    </row>
    <row r="925" ht="15.75" customHeight="1">
      <c r="A925" s="216"/>
      <c r="B925" s="156"/>
      <c r="C925" s="156"/>
      <c r="D925" s="156"/>
      <c r="E925" s="392"/>
      <c r="F925" s="392"/>
      <c r="G925" s="392"/>
      <c r="H925" s="392"/>
      <c r="I925" s="392"/>
      <c r="J925" s="392"/>
      <c r="K925" s="392"/>
      <c r="L925" s="392"/>
      <c r="M925" s="392"/>
      <c r="N925" s="392"/>
      <c r="O925" s="392"/>
      <c r="P925" s="392"/>
      <c r="Q925" s="392"/>
      <c r="R925" s="392"/>
      <c r="S925" s="392"/>
      <c r="T925" s="392"/>
      <c r="U925" s="392"/>
      <c r="V925" s="392"/>
      <c r="W925" s="392"/>
      <c r="X925" s="392"/>
      <c r="Y925" s="392"/>
      <c r="Z925" s="392"/>
      <c r="AA925" s="392"/>
      <c r="AB925" s="392"/>
      <c r="AC925" s="392"/>
      <c r="AD925" s="392"/>
      <c r="AE925" s="392"/>
      <c r="AF925" s="392"/>
      <c r="AG925" s="392"/>
      <c r="AH925" s="392"/>
      <c r="AI925" s="392"/>
      <c r="AJ925" s="392"/>
      <c r="AK925" s="392"/>
      <c r="AL925" s="392"/>
      <c r="AM925" s="392"/>
      <c r="AN925" s="392"/>
      <c r="AO925" s="392"/>
      <c r="AP925" s="392"/>
      <c r="AQ925" s="392"/>
      <c r="AR925" s="392"/>
      <c r="AS925" s="392"/>
      <c r="AT925" s="392"/>
      <c r="AU925" s="392"/>
      <c r="AV925" s="392"/>
      <c r="AW925" s="392"/>
      <c r="AX925" s="392"/>
      <c r="AY925" s="392"/>
      <c r="AZ925" s="392"/>
      <c r="BA925" s="392"/>
      <c r="BB925" s="392"/>
      <c r="BC925" s="392"/>
      <c r="BD925" s="392"/>
      <c r="BE925" s="392"/>
      <c r="BF925" s="392"/>
      <c r="BG925" s="392"/>
      <c r="BH925" s="392"/>
      <c r="BI925" s="392"/>
      <c r="BJ925" s="392"/>
      <c r="BK925" s="392"/>
      <c r="BL925" s="392"/>
      <c r="BM925" s="392"/>
      <c r="BN925" s="392"/>
      <c r="BO925" s="392"/>
      <c r="BP925" s="392"/>
      <c r="BQ925" s="392"/>
      <c r="BR925" s="392"/>
      <c r="BS925" s="392"/>
      <c r="BT925" s="392"/>
    </row>
    <row r="926" ht="15.75" customHeight="1">
      <c r="A926" s="216"/>
      <c r="B926" s="156"/>
      <c r="C926" s="156"/>
      <c r="D926" s="156"/>
      <c r="E926" s="392"/>
      <c r="F926" s="392"/>
      <c r="G926" s="392"/>
      <c r="H926" s="392"/>
      <c r="I926" s="392"/>
      <c r="J926" s="392"/>
      <c r="K926" s="392"/>
      <c r="L926" s="392"/>
      <c r="M926" s="392"/>
      <c r="N926" s="392"/>
      <c r="O926" s="392"/>
      <c r="P926" s="392"/>
      <c r="Q926" s="392"/>
      <c r="R926" s="392"/>
      <c r="S926" s="392"/>
      <c r="T926" s="392"/>
      <c r="U926" s="392"/>
      <c r="V926" s="392"/>
      <c r="W926" s="392"/>
      <c r="X926" s="392"/>
      <c r="Y926" s="392"/>
      <c r="Z926" s="392"/>
      <c r="AA926" s="392"/>
      <c r="AB926" s="392"/>
      <c r="AC926" s="392"/>
      <c r="AD926" s="392"/>
      <c r="AE926" s="392"/>
      <c r="AF926" s="392"/>
      <c r="AG926" s="392"/>
      <c r="AH926" s="392"/>
      <c r="AI926" s="392"/>
      <c r="AJ926" s="392"/>
      <c r="AK926" s="392"/>
      <c r="AL926" s="392"/>
      <c r="AM926" s="392"/>
      <c r="AN926" s="392"/>
      <c r="AO926" s="392"/>
      <c r="AP926" s="392"/>
      <c r="AQ926" s="392"/>
      <c r="AR926" s="392"/>
      <c r="AS926" s="392"/>
      <c r="AT926" s="392"/>
      <c r="AU926" s="392"/>
      <c r="AV926" s="392"/>
      <c r="AW926" s="392"/>
      <c r="AX926" s="392"/>
      <c r="AY926" s="392"/>
      <c r="AZ926" s="392"/>
      <c r="BA926" s="392"/>
      <c r="BB926" s="392"/>
      <c r="BC926" s="392"/>
      <c r="BD926" s="392"/>
      <c r="BE926" s="392"/>
      <c r="BF926" s="392"/>
      <c r="BG926" s="392"/>
      <c r="BH926" s="392"/>
      <c r="BI926" s="392"/>
      <c r="BJ926" s="392"/>
      <c r="BK926" s="392"/>
      <c r="BL926" s="392"/>
      <c r="BM926" s="392"/>
      <c r="BN926" s="392"/>
      <c r="BO926" s="392"/>
      <c r="BP926" s="392"/>
      <c r="BQ926" s="392"/>
      <c r="BR926" s="392"/>
      <c r="BS926" s="392"/>
      <c r="BT926" s="392"/>
    </row>
    <row r="927" ht="15.75" customHeight="1">
      <c r="A927" s="216"/>
      <c r="B927" s="156"/>
      <c r="C927" s="156"/>
      <c r="D927" s="156"/>
      <c r="E927" s="392"/>
      <c r="F927" s="392"/>
      <c r="G927" s="392"/>
      <c r="H927" s="392"/>
      <c r="I927" s="392"/>
      <c r="J927" s="392"/>
      <c r="K927" s="392"/>
      <c r="L927" s="392"/>
      <c r="M927" s="392"/>
      <c r="N927" s="392"/>
      <c r="O927" s="392"/>
      <c r="P927" s="392"/>
      <c r="Q927" s="392"/>
      <c r="R927" s="392"/>
      <c r="S927" s="392"/>
      <c r="T927" s="392"/>
      <c r="U927" s="392"/>
      <c r="V927" s="392"/>
      <c r="W927" s="392"/>
      <c r="X927" s="392"/>
      <c r="Y927" s="392"/>
      <c r="Z927" s="392"/>
      <c r="AA927" s="392"/>
      <c r="AB927" s="392"/>
      <c r="AC927" s="392"/>
      <c r="AD927" s="392"/>
      <c r="AE927" s="392"/>
      <c r="AF927" s="392"/>
      <c r="AG927" s="392"/>
      <c r="AH927" s="392"/>
      <c r="AI927" s="392"/>
      <c r="AJ927" s="392"/>
      <c r="AK927" s="392"/>
      <c r="AL927" s="392"/>
      <c r="AM927" s="392"/>
      <c r="AN927" s="392"/>
      <c r="AO927" s="392"/>
      <c r="AP927" s="392"/>
      <c r="AQ927" s="392"/>
      <c r="AR927" s="392"/>
      <c r="AS927" s="392"/>
      <c r="AT927" s="392"/>
      <c r="AU927" s="392"/>
      <c r="AV927" s="392"/>
      <c r="AW927" s="392"/>
      <c r="AX927" s="392"/>
      <c r="AY927" s="392"/>
      <c r="AZ927" s="392"/>
      <c r="BA927" s="392"/>
      <c r="BB927" s="392"/>
      <c r="BC927" s="392"/>
      <c r="BD927" s="392"/>
      <c r="BE927" s="392"/>
      <c r="BF927" s="392"/>
      <c r="BG927" s="392"/>
      <c r="BH927" s="392"/>
      <c r="BI927" s="392"/>
      <c r="BJ927" s="392"/>
      <c r="BK927" s="392"/>
      <c r="BL927" s="392"/>
      <c r="BM927" s="392"/>
      <c r="BN927" s="392"/>
      <c r="BO927" s="392"/>
      <c r="BP927" s="392"/>
      <c r="BQ927" s="392"/>
      <c r="BR927" s="392"/>
      <c r="BS927" s="392"/>
      <c r="BT927" s="392"/>
    </row>
    <row r="928" ht="15.75" customHeight="1">
      <c r="A928" s="216"/>
      <c r="B928" s="156"/>
      <c r="C928" s="156"/>
      <c r="D928" s="156"/>
      <c r="E928" s="392"/>
      <c r="F928" s="392"/>
      <c r="G928" s="392"/>
      <c r="H928" s="392"/>
      <c r="I928" s="392"/>
      <c r="J928" s="392"/>
      <c r="K928" s="392"/>
      <c r="L928" s="392"/>
      <c r="M928" s="392"/>
      <c r="N928" s="392"/>
      <c r="O928" s="392"/>
      <c r="P928" s="392"/>
      <c r="Q928" s="392"/>
      <c r="R928" s="392"/>
      <c r="S928" s="392"/>
      <c r="T928" s="392"/>
      <c r="U928" s="392"/>
      <c r="V928" s="392"/>
      <c r="W928" s="392"/>
      <c r="X928" s="392"/>
      <c r="Y928" s="392"/>
      <c r="Z928" s="392"/>
      <c r="AA928" s="392"/>
      <c r="AB928" s="392"/>
      <c r="AC928" s="392"/>
      <c r="AD928" s="392"/>
      <c r="AE928" s="392"/>
      <c r="AF928" s="392"/>
      <c r="AG928" s="392"/>
      <c r="AH928" s="392"/>
      <c r="AI928" s="392"/>
      <c r="AJ928" s="392"/>
      <c r="AK928" s="392"/>
      <c r="AL928" s="392"/>
      <c r="AM928" s="392"/>
      <c r="AN928" s="392"/>
      <c r="AO928" s="392"/>
      <c r="AP928" s="392"/>
      <c r="AQ928" s="392"/>
      <c r="AR928" s="392"/>
      <c r="AS928" s="392"/>
      <c r="AT928" s="392"/>
      <c r="AU928" s="392"/>
      <c r="AV928" s="392"/>
      <c r="AW928" s="392"/>
      <c r="AX928" s="392"/>
      <c r="AY928" s="392"/>
      <c r="AZ928" s="392"/>
      <c r="BA928" s="392"/>
      <c r="BB928" s="392"/>
      <c r="BC928" s="392"/>
      <c r="BD928" s="392"/>
      <c r="BE928" s="392"/>
      <c r="BF928" s="392"/>
      <c r="BG928" s="392"/>
      <c r="BH928" s="392"/>
      <c r="BI928" s="392"/>
      <c r="BJ928" s="392"/>
      <c r="BK928" s="392"/>
      <c r="BL928" s="392"/>
      <c r="BM928" s="392"/>
      <c r="BN928" s="392"/>
      <c r="BO928" s="392"/>
      <c r="BP928" s="392"/>
      <c r="BQ928" s="392"/>
      <c r="BR928" s="392"/>
      <c r="BS928" s="392"/>
      <c r="BT928" s="392"/>
    </row>
    <row r="929" ht="15.75" customHeight="1">
      <c r="A929" s="216"/>
      <c r="B929" s="156"/>
      <c r="C929" s="156"/>
      <c r="D929" s="156"/>
      <c r="E929" s="392"/>
      <c r="F929" s="392"/>
      <c r="G929" s="392"/>
      <c r="H929" s="392"/>
      <c r="I929" s="392"/>
      <c r="J929" s="392"/>
      <c r="K929" s="392"/>
      <c r="L929" s="392"/>
      <c r="M929" s="392"/>
      <c r="N929" s="392"/>
      <c r="O929" s="392"/>
      <c r="P929" s="392"/>
      <c r="Q929" s="392"/>
      <c r="R929" s="392"/>
      <c r="S929" s="392"/>
      <c r="T929" s="392"/>
      <c r="U929" s="392"/>
      <c r="V929" s="392"/>
      <c r="W929" s="392"/>
      <c r="X929" s="392"/>
      <c r="Y929" s="392"/>
      <c r="Z929" s="392"/>
      <c r="AA929" s="392"/>
      <c r="AB929" s="392"/>
      <c r="AC929" s="392"/>
      <c r="AD929" s="392"/>
      <c r="AE929" s="392"/>
      <c r="AF929" s="392"/>
      <c r="AG929" s="392"/>
      <c r="AH929" s="392"/>
      <c r="AI929" s="392"/>
      <c r="AJ929" s="392"/>
      <c r="AK929" s="392"/>
      <c r="AL929" s="392"/>
      <c r="AM929" s="392"/>
      <c r="AN929" s="392"/>
      <c r="AO929" s="392"/>
      <c r="AP929" s="392"/>
      <c r="AQ929" s="392"/>
      <c r="AR929" s="392"/>
      <c r="AS929" s="392"/>
      <c r="AT929" s="392"/>
      <c r="AU929" s="392"/>
      <c r="AV929" s="392"/>
      <c r="AW929" s="392"/>
      <c r="AX929" s="392"/>
      <c r="AY929" s="392"/>
      <c r="AZ929" s="392"/>
      <c r="BA929" s="392"/>
      <c r="BB929" s="392"/>
      <c r="BC929" s="392"/>
      <c r="BD929" s="392"/>
      <c r="BE929" s="392"/>
      <c r="BF929" s="392"/>
      <c r="BG929" s="392"/>
      <c r="BH929" s="392"/>
      <c r="BI929" s="392"/>
      <c r="BJ929" s="392"/>
      <c r="BK929" s="392"/>
      <c r="BL929" s="392"/>
      <c r="BM929" s="392"/>
      <c r="BN929" s="392"/>
      <c r="BO929" s="392"/>
      <c r="BP929" s="392"/>
      <c r="BQ929" s="392"/>
      <c r="BR929" s="392"/>
      <c r="BS929" s="392"/>
      <c r="BT929" s="392"/>
    </row>
    <row r="930" ht="15.75" customHeight="1">
      <c r="A930" s="216"/>
      <c r="B930" s="156"/>
      <c r="C930" s="156"/>
      <c r="D930" s="156"/>
      <c r="E930" s="392"/>
      <c r="F930" s="392"/>
      <c r="G930" s="392"/>
      <c r="H930" s="392"/>
      <c r="I930" s="392"/>
      <c r="J930" s="392"/>
      <c r="K930" s="392"/>
      <c r="L930" s="392"/>
      <c r="M930" s="392"/>
      <c r="N930" s="392"/>
      <c r="O930" s="392"/>
      <c r="P930" s="392"/>
      <c r="Q930" s="392"/>
      <c r="R930" s="392"/>
      <c r="S930" s="392"/>
      <c r="T930" s="392"/>
      <c r="U930" s="392"/>
      <c r="V930" s="392"/>
      <c r="W930" s="392"/>
      <c r="X930" s="392"/>
      <c r="Y930" s="392"/>
      <c r="Z930" s="392"/>
      <c r="AA930" s="392"/>
      <c r="AB930" s="392"/>
      <c r="AC930" s="392"/>
      <c r="AD930" s="392"/>
      <c r="AE930" s="392"/>
      <c r="AF930" s="392"/>
      <c r="AG930" s="392"/>
      <c r="AH930" s="392"/>
      <c r="AI930" s="392"/>
      <c r="AJ930" s="392"/>
      <c r="AK930" s="392"/>
      <c r="AL930" s="392"/>
      <c r="AM930" s="392"/>
      <c r="AN930" s="392"/>
      <c r="AO930" s="392"/>
      <c r="AP930" s="392"/>
      <c r="AQ930" s="392"/>
      <c r="AR930" s="392"/>
      <c r="AS930" s="392"/>
      <c r="AT930" s="392"/>
      <c r="AU930" s="392"/>
      <c r="AV930" s="392"/>
      <c r="AW930" s="392"/>
      <c r="AX930" s="392"/>
      <c r="AY930" s="392"/>
      <c r="AZ930" s="392"/>
      <c r="BA930" s="392"/>
      <c r="BB930" s="392"/>
      <c r="BC930" s="392"/>
      <c r="BD930" s="392"/>
      <c r="BE930" s="392"/>
      <c r="BF930" s="392"/>
      <c r="BG930" s="392"/>
      <c r="BH930" s="392"/>
      <c r="BI930" s="392"/>
      <c r="BJ930" s="392"/>
      <c r="BK930" s="392"/>
      <c r="BL930" s="392"/>
      <c r="BM930" s="392"/>
      <c r="BN930" s="392"/>
      <c r="BO930" s="392"/>
      <c r="BP930" s="392"/>
      <c r="BQ930" s="392"/>
      <c r="BR930" s="392"/>
      <c r="BS930" s="392"/>
      <c r="BT930" s="392"/>
    </row>
    <row r="931" ht="15.75" customHeight="1">
      <c r="A931" s="216"/>
      <c r="B931" s="156"/>
      <c r="C931" s="156"/>
      <c r="D931" s="156"/>
      <c r="E931" s="392"/>
      <c r="F931" s="392"/>
      <c r="G931" s="392"/>
      <c r="H931" s="392"/>
      <c r="I931" s="392"/>
      <c r="J931" s="392"/>
      <c r="K931" s="392"/>
      <c r="L931" s="392"/>
      <c r="M931" s="392"/>
      <c r="N931" s="392"/>
      <c r="O931" s="392"/>
      <c r="P931" s="392"/>
      <c r="Q931" s="392"/>
      <c r="R931" s="392"/>
      <c r="S931" s="392"/>
      <c r="T931" s="392"/>
      <c r="U931" s="392"/>
      <c r="V931" s="392"/>
      <c r="W931" s="392"/>
      <c r="X931" s="392"/>
      <c r="Y931" s="392"/>
      <c r="Z931" s="392"/>
      <c r="AA931" s="392"/>
      <c r="AB931" s="392"/>
      <c r="AC931" s="392"/>
      <c r="AD931" s="392"/>
      <c r="AE931" s="392"/>
      <c r="AF931" s="392"/>
      <c r="AG931" s="392"/>
      <c r="AH931" s="392"/>
      <c r="AI931" s="392"/>
      <c r="AJ931" s="392"/>
      <c r="AK931" s="392"/>
      <c r="AL931" s="392"/>
      <c r="AM931" s="392"/>
      <c r="AN931" s="392"/>
      <c r="AO931" s="392"/>
      <c r="AP931" s="392"/>
      <c r="AQ931" s="392"/>
      <c r="AR931" s="392"/>
      <c r="AS931" s="392"/>
      <c r="AT931" s="392"/>
      <c r="AU931" s="392"/>
      <c r="AV931" s="392"/>
      <c r="AW931" s="392"/>
      <c r="AX931" s="392"/>
      <c r="AY931" s="392"/>
      <c r="AZ931" s="392"/>
      <c r="BA931" s="392"/>
      <c r="BB931" s="392"/>
      <c r="BC931" s="392"/>
      <c r="BD931" s="392"/>
      <c r="BE931" s="392"/>
      <c r="BF931" s="392"/>
      <c r="BG931" s="392"/>
      <c r="BH931" s="392"/>
      <c r="BI931" s="392"/>
      <c r="BJ931" s="392"/>
      <c r="BK931" s="392"/>
      <c r="BL931" s="392"/>
      <c r="BM931" s="392"/>
      <c r="BN931" s="392"/>
      <c r="BO931" s="392"/>
      <c r="BP931" s="392"/>
      <c r="BQ931" s="392"/>
      <c r="BR931" s="392"/>
      <c r="BS931" s="392"/>
      <c r="BT931" s="392"/>
    </row>
    <row r="932" ht="15.75" customHeight="1">
      <c r="A932" s="216"/>
      <c r="B932" s="156"/>
      <c r="C932" s="156"/>
      <c r="D932" s="156"/>
      <c r="E932" s="392"/>
      <c r="F932" s="392"/>
      <c r="G932" s="392"/>
      <c r="H932" s="392"/>
      <c r="I932" s="392"/>
      <c r="J932" s="392"/>
      <c r="K932" s="392"/>
      <c r="L932" s="392"/>
      <c r="M932" s="392"/>
      <c r="N932" s="392"/>
      <c r="O932" s="392"/>
      <c r="P932" s="392"/>
      <c r="Q932" s="392"/>
      <c r="R932" s="392"/>
      <c r="S932" s="392"/>
      <c r="T932" s="392"/>
      <c r="U932" s="392"/>
      <c r="V932" s="392"/>
      <c r="W932" s="392"/>
      <c r="X932" s="392"/>
      <c r="Y932" s="392"/>
      <c r="Z932" s="392"/>
      <c r="AA932" s="392"/>
      <c r="AB932" s="392"/>
      <c r="AC932" s="392"/>
      <c r="AD932" s="392"/>
      <c r="AE932" s="392"/>
      <c r="AF932" s="392"/>
      <c r="AG932" s="392"/>
      <c r="AH932" s="392"/>
      <c r="AI932" s="392"/>
      <c r="AJ932" s="392"/>
      <c r="AK932" s="392"/>
      <c r="AL932" s="392"/>
      <c r="AM932" s="392"/>
      <c r="AN932" s="392"/>
      <c r="AO932" s="392"/>
      <c r="AP932" s="392"/>
      <c r="AQ932" s="392"/>
      <c r="AR932" s="392"/>
      <c r="AS932" s="392"/>
      <c r="AT932" s="392"/>
      <c r="AU932" s="392"/>
      <c r="AV932" s="392"/>
      <c r="AW932" s="392"/>
      <c r="AX932" s="392"/>
      <c r="AY932" s="392"/>
      <c r="AZ932" s="392"/>
      <c r="BA932" s="392"/>
      <c r="BB932" s="392"/>
      <c r="BC932" s="392"/>
      <c r="BD932" s="392"/>
      <c r="BE932" s="392"/>
      <c r="BF932" s="392"/>
      <c r="BG932" s="392"/>
      <c r="BH932" s="392"/>
      <c r="BI932" s="392"/>
      <c r="BJ932" s="392"/>
      <c r="BK932" s="392"/>
      <c r="BL932" s="392"/>
      <c r="BM932" s="392"/>
      <c r="BN932" s="392"/>
      <c r="BO932" s="392"/>
      <c r="BP932" s="392"/>
      <c r="BQ932" s="392"/>
      <c r="BR932" s="392"/>
      <c r="BS932" s="392"/>
      <c r="BT932" s="392"/>
    </row>
    <row r="933" ht="15.75" customHeight="1">
      <c r="A933" s="216"/>
      <c r="B933" s="156"/>
      <c r="C933" s="156"/>
      <c r="D933" s="156"/>
      <c r="E933" s="392"/>
      <c r="F933" s="392"/>
      <c r="G933" s="392"/>
      <c r="H933" s="392"/>
      <c r="I933" s="392"/>
      <c r="J933" s="392"/>
      <c r="K933" s="392"/>
      <c r="L933" s="392"/>
      <c r="M933" s="392"/>
      <c r="N933" s="392"/>
      <c r="O933" s="392"/>
      <c r="P933" s="392"/>
      <c r="Q933" s="392"/>
      <c r="R933" s="392"/>
      <c r="S933" s="392"/>
      <c r="T933" s="392"/>
      <c r="U933" s="392"/>
      <c r="V933" s="392"/>
      <c r="W933" s="392"/>
      <c r="X933" s="392"/>
      <c r="Y933" s="392"/>
      <c r="Z933" s="392"/>
      <c r="AA933" s="392"/>
      <c r="AB933" s="392"/>
      <c r="AC933" s="392"/>
      <c r="AD933" s="392"/>
      <c r="AE933" s="392"/>
      <c r="AF933" s="392"/>
      <c r="AG933" s="392"/>
      <c r="AH933" s="392"/>
      <c r="AI933" s="392"/>
      <c r="AJ933" s="392"/>
      <c r="AK933" s="392"/>
      <c r="AL933" s="392"/>
      <c r="AM933" s="392"/>
      <c r="AN933" s="392"/>
      <c r="AO933" s="392"/>
      <c r="AP933" s="392"/>
      <c r="AQ933" s="392"/>
      <c r="AR933" s="392"/>
      <c r="AS933" s="392"/>
      <c r="AT933" s="392"/>
      <c r="AU933" s="392"/>
      <c r="AV933" s="392"/>
      <c r="AW933" s="392"/>
      <c r="AX933" s="392"/>
      <c r="AY933" s="392"/>
      <c r="AZ933" s="392"/>
      <c r="BA933" s="392"/>
      <c r="BB933" s="392"/>
      <c r="BC933" s="392"/>
      <c r="BD933" s="392"/>
      <c r="BE933" s="392"/>
      <c r="BF933" s="392"/>
      <c r="BG933" s="392"/>
      <c r="BH933" s="392"/>
      <c r="BI933" s="392"/>
      <c r="BJ933" s="392"/>
      <c r="BK933" s="392"/>
      <c r="BL933" s="392"/>
      <c r="BM933" s="392"/>
      <c r="BN933" s="392"/>
      <c r="BO933" s="392"/>
      <c r="BP933" s="392"/>
      <c r="BQ933" s="392"/>
      <c r="BR933" s="392"/>
      <c r="BS933" s="392"/>
      <c r="BT933" s="392"/>
    </row>
    <row r="934" ht="15.75" customHeight="1">
      <c r="A934" s="216"/>
      <c r="B934" s="156"/>
      <c r="C934" s="156"/>
      <c r="D934" s="156"/>
      <c r="E934" s="392"/>
      <c r="F934" s="392"/>
      <c r="G934" s="392"/>
      <c r="H934" s="392"/>
      <c r="I934" s="392"/>
      <c r="J934" s="392"/>
      <c r="K934" s="392"/>
      <c r="L934" s="392"/>
      <c r="M934" s="392"/>
      <c r="N934" s="392"/>
      <c r="O934" s="392"/>
      <c r="P934" s="392"/>
      <c r="Q934" s="392"/>
      <c r="R934" s="392"/>
      <c r="S934" s="392"/>
      <c r="T934" s="392"/>
      <c r="U934" s="392"/>
      <c r="V934" s="392"/>
      <c r="W934" s="392"/>
      <c r="X934" s="392"/>
      <c r="Y934" s="392"/>
      <c r="Z934" s="392"/>
      <c r="AA934" s="392"/>
      <c r="AB934" s="392"/>
      <c r="AC934" s="392"/>
      <c r="AD934" s="392"/>
      <c r="AE934" s="392"/>
      <c r="AF934" s="392"/>
      <c r="AG934" s="392"/>
      <c r="AH934" s="392"/>
      <c r="AI934" s="392"/>
      <c r="AJ934" s="392"/>
      <c r="AK934" s="392"/>
      <c r="AL934" s="392"/>
      <c r="AM934" s="392"/>
      <c r="AN934" s="392"/>
      <c r="AO934" s="392"/>
      <c r="AP934" s="392"/>
      <c r="AQ934" s="392"/>
      <c r="AR934" s="392"/>
      <c r="AS934" s="392"/>
      <c r="AT934" s="392"/>
      <c r="AU934" s="392"/>
      <c r="AV934" s="392"/>
      <c r="AW934" s="392"/>
      <c r="AX934" s="392"/>
      <c r="AY934" s="392"/>
      <c r="AZ934" s="392"/>
      <c r="BA934" s="392"/>
      <c r="BB934" s="392"/>
      <c r="BC934" s="392"/>
      <c r="BD934" s="392"/>
      <c r="BE934" s="392"/>
      <c r="BF934" s="392"/>
      <c r="BG934" s="392"/>
      <c r="BH934" s="392"/>
      <c r="BI934" s="392"/>
      <c r="BJ934" s="392"/>
      <c r="BK934" s="392"/>
      <c r="BL934" s="392"/>
      <c r="BM934" s="392"/>
      <c r="BN934" s="392"/>
      <c r="BO934" s="392"/>
      <c r="BP934" s="392"/>
      <c r="BQ934" s="392"/>
      <c r="BR934" s="392"/>
      <c r="BS934" s="392"/>
      <c r="BT934" s="392"/>
    </row>
    <row r="935" ht="15.75" customHeight="1">
      <c r="A935" s="216"/>
      <c r="B935" s="156"/>
      <c r="C935" s="156"/>
      <c r="D935" s="156"/>
      <c r="E935" s="392"/>
      <c r="F935" s="392"/>
      <c r="G935" s="392"/>
      <c r="H935" s="392"/>
      <c r="I935" s="392"/>
      <c r="J935" s="392"/>
      <c r="K935" s="392"/>
      <c r="L935" s="392"/>
      <c r="M935" s="392"/>
      <c r="N935" s="392"/>
      <c r="O935" s="392"/>
      <c r="P935" s="392"/>
      <c r="Q935" s="392"/>
      <c r="R935" s="392"/>
      <c r="S935" s="392"/>
      <c r="T935" s="392"/>
      <c r="U935" s="392"/>
      <c r="V935" s="392"/>
      <c r="W935" s="392"/>
      <c r="X935" s="392"/>
      <c r="Y935" s="392"/>
      <c r="Z935" s="392"/>
      <c r="AA935" s="392"/>
      <c r="AB935" s="392"/>
      <c r="AC935" s="392"/>
      <c r="AD935" s="392"/>
      <c r="AE935" s="392"/>
      <c r="AF935" s="392"/>
      <c r="AG935" s="392"/>
      <c r="AH935" s="392"/>
      <c r="AI935" s="392"/>
      <c r="AJ935" s="392"/>
      <c r="AK935" s="392"/>
      <c r="AL935" s="392"/>
      <c r="AM935" s="392"/>
      <c r="AN935" s="392"/>
      <c r="AO935" s="392"/>
      <c r="AP935" s="392"/>
      <c r="AQ935" s="392"/>
      <c r="AR935" s="392"/>
      <c r="AS935" s="392"/>
      <c r="AT935" s="392"/>
      <c r="AU935" s="392"/>
      <c r="AV935" s="392"/>
      <c r="AW935" s="392"/>
      <c r="AX935" s="392"/>
      <c r="AY935" s="392"/>
      <c r="AZ935" s="392"/>
      <c r="BA935" s="392"/>
      <c r="BB935" s="392"/>
      <c r="BC935" s="392"/>
      <c r="BD935" s="392"/>
      <c r="BE935" s="392"/>
      <c r="BF935" s="392"/>
      <c r="BG935" s="392"/>
      <c r="BH935" s="392"/>
      <c r="BI935" s="392"/>
      <c r="BJ935" s="392"/>
      <c r="BK935" s="392"/>
      <c r="BL935" s="392"/>
      <c r="BM935" s="392"/>
      <c r="BN935" s="392"/>
      <c r="BO935" s="392"/>
      <c r="BP935" s="392"/>
      <c r="BQ935" s="392"/>
      <c r="BR935" s="392"/>
      <c r="BS935" s="392"/>
      <c r="BT935" s="392"/>
    </row>
    <row r="936" ht="15.75" customHeight="1">
      <c r="A936" s="216"/>
      <c r="B936" s="156"/>
      <c r="C936" s="156"/>
      <c r="D936" s="156"/>
      <c r="E936" s="392"/>
      <c r="F936" s="392"/>
      <c r="G936" s="392"/>
      <c r="H936" s="392"/>
      <c r="I936" s="392"/>
      <c r="J936" s="392"/>
      <c r="K936" s="392"/>
      <c r="L936" s="392"/>
      <c r="M936" s="392"/>
      <c r="N936" s="392"/>
      <c r="O936" s="392"/>
      <c r="P936" s="392"/>
      <c r="Q936" s="392"/>
      <c r="R936" s="392"/>
      <c r="S936" s="392"/>
      <c r="T936" s="392"/>
      <c r="U936" s="392"/>
      <c r="V936" s="392"/>
      <c r="W936" s="392"/>
      <c r="X936" s="392"/>
      <c r="Y936" s="392"/>
      <c r="Z936" s="392"/>
      <c r="AA936" s="392"/>
      <c r="AB936" s="392"/>
      <c r="AC936" s="392"/>
      <c r="AD936" s="392"/>
      <c r="AE936" s="392"/>
      <c r="AF936" s="392"/>
      <c r="AG936" s="392"/>
      <c r="AH936" s="392"/>
      <c r="AI936" s="392"/>
      <c r="AJ936" s="392"/>
      <c r="AK936" s="392"/>
      <c r="AL936" s="392"/>
      <c r="AM936" s="392"/>
      <c r="AN936" s="392"/>
      <c r="AO936" s="392"/>
      <c r="AP936" s="392"/>
      <c r="AQ936" s="392"/>
      <c r="AR936" s="392"/>
      <c r="AS936" s="392"/>
      <c r="AT936" s="392"/>
      <c r="AU936" s="392"/>
      <c r="AV936" s="392"/>
      <c r="AW936" s="392"/>
      <c r="AX936" s="392"/>
      <c r="AY936" s="392"/>
      <c r="AZ936" s="392"/>
      <c r="BA936" s="392"/>
      <c r="BB936" s="392"/>
      <c r="BC936" s="392"/>
      <c r="BD936" s="392"/>
      <c r="BE936" s="392"/>
      <c r="BF936" s="392"/>
      <c r="BG936" s="392"/>
      <c r="BH936" s="392"/>
      <c r="BI936" s="392"/>
      <c r="BJ936" s="392"/>
      <c r="BK936" s="392"/>
      <c r="BL936" s="392"/>
      <c r="BM936" s="392"/>
      <c r="BN936" s="392"/>
      <c r="BO936" s="392"/>
      <c r="BP936" s="392"/>
      <c r="BQ936" s="392"/>
      <c r="BR936" s="392"/>
      <c r="BS936" s="392"/>
      <c r="BT936" s="392"/>
    </row>
    <row r="937" ht="15.75" customHeight="1">
      <c r="A937" s="216"/>
      <c r="B937" s="156"/>
      <c r="C937" s="156"/>
      <c r="D937" s="156"/>
      <c r="E937" s="392"/>
      <c r="F937" s="392"/>
      <c r="G937" s="392"/>
      <c r="H937" s="392"/>
      <c r="I937" s="392"/>
      <c r="J937" s="392"/>
      <c r="K937" s="392"/>
      <c r="L937" s="392"/>
      <c r="M937" s="392"/>
      <c r="N937" s="392"/>
      <c r="O937" s="392"/>
      <c r="P937" s="392"/>
      <c r="Q937" s="392"/>
      <c r="R937" s="392"/>
      <c r="S937" s="392"/>
      <c r="T937" s="392"/>
      <c r="U937" s="392"/>
      <c r="V937" s="392"/>
      <c r="W937" s="392"/>
      <c r="X937" s="392"/>
      <c r="Y937" s="392"/>
      <c r="Z937" s="392"/>
      <c r="AA937" s="392"/>
      <c r="AB937" s="392"/>
      <c r="AC937" s="392"/>
      <c r="AD937" s="392"/>
      <c r="AE937" s="392"/>
      <c r="AF937" s="392"/>
      <c r="AG937" s="392"/>
      <c r="AH937" s="392"/>
      <c r="AI937" s="392"/>
      <c r="AJ937" s="392"/>
      <c r="AK937" s="392"/>
      <c r="AL937" s="392"/>
      <c r="AM937" s="392"/>
      <c r="AN937" s="392"/>
      <c r="AO937" s="392"/>
      <c r="AP937" s="392"/>
      <c r="AQ937" s="392"/>
      <c r="AR937" s="392"/>
      <c r="AS937" s="392"/>
      <c r="AT937" s="392"/>
      <c r="AU937" s="392"/>
      <c r="AV937" s="392"/>
      <c r="AW937" s="392"/>
      <c r="AX937" s="392"/>
      <c r="AY937" s="392"/>
      <c r="AZ937" s="392"/>
      <c r="BA937" s="392"/>
      <c r="BB937" s="392"/>
      <c r="BC937" s="392"/>
      <c r="BD937" s="392"/>
      <c r="BE937" s="392"/>
      <c r="BF937" s="392"/>
      <c r="BG937" s="392"/>
      <c r="BH937" s="392"/>
      <c r="BI937" s="392"/>
      <c r="BJ937" s="392"/>
      <c r="BK937" s="392"/>
      <c r="BL937" s="392"/>
      <c r="BM937" s="392"/>
      <c r="BN937" s="392"/>
      <c r="BO937" s="392"/>
      <c r="BP937" s="392"/>
      <c r="BQ937" s="392"/>
      <c r="BR937" s="392"/>
      <c r="BS937" s="392"/>
      <c r="BT937" s="392"/>
    </row>
    <row r="938" ht="15.75" customHeight="1">
      <c r="A938" s="216"/>
      <c r="B938" s="156"/>
      <c r="C938" s="156"/>
      <c r="D938" s="156"/>
      <c r="E938" s="392"/>
      <c r="F938" s="392"/>
      <c r="G938" s="392"/>
      <c r="H938" s="392"/>
      <c r="I938" s="392"/>
      <c r="J938" s="392"/>
      <c r="K938" s="392"/>
      <c r="L938" s="392"/>
      <c r="M938" s="392"/>
      <c r="N938" s="392"/>
      <c r="O938" s="392"/>
      <c r="P938" s="392"/>
      <c r="Q938" s="392"/>
      <c r="R938" s="392"/>
      <c r="S938" s="392"/>
      <c r="T938" s="392"/>
      <c r="U938" s="392"/>
      <c r="V938" s="392"/>
      <c r="W938" s="392"/>
      <c r="X938" s="392"/>
      <c r="Y938" s="392"/>
      <c r="Z938" s="392"/>
      <c r="AA938" s="392"/>
      <c r="AB938" s="392"/>
      <c r="AC938" s="392"/>
      <c r="AD938" s="392"/>
      <c r="AE938" s="392"/>
      <c r="AF938" s="392"/>
      <c r="AG938" s="392"/>
      <c r="AH938" s="392"/>
      <c r="AI938" s="392"/>
      <c r="AJ938" s="392"/>
      <c r="AK938" s="392"/>
      <c r="AL938" s="392"/>
      <c r="AM938" s="392"/>
      <c r="AN938" s="392"/>
      <c r="AO938" s="392"/>
      <c r="AP938" s="392"/>
      <c r="AQ938" s="392"/>
      <c r="AR938" s="392"/>
      <c r="AS938" s="392"/>
      <c r="AT938" s="392"/>
      <c r="AU938" s="392"/>
      <c r="AV938" s="392"/>
      <c r="AW938" s="392"/>
      <c r="AX938" s="392"/>
      <c r="AY938" s="392"/>
      <c r="AZ938" s="392"/>
      <c r="BA938" s="392"/>
      <c r="BB938" s="392"/>
      <c r="BC938" s="392"/>
      <c r="BD938" s="392"/>
      <c r="BE938" s="392"/>
      <c r="BF938" s="392"/>
      <c r="BG938" s="392"/>
      <c r="BH938" s="392"/>
      <c r="BI938" s="392"/>
      <c r="BJ938" s="392"/>
      <c r="BK938" s="392"/>
      <c r="BL938" s="392"/>
      <c r="BM938" s="392"/>
      <c r="BN938" s="392"/>
      <c r="BO938" s="392"/>
      <c r="BP938" s="392"/>
      <c r="BQ938" s="392"/>
      <c r="BR938" s="392"/>
      <c r="BS938" s="392"/>
      <c r="BT938" s="392"/>
    </row>
    <row r="939" ht="15.75" customHeight="1">
      <c r="A939" s="216"/>
      <c r="B939" s="156"/>
      <c r="C939" s="156"/>
      <c r="D939" s="156"/>
      <c r="E939" s="392"/>
      <c r="F939" s="392"/>
      <c r="G939" s="392"/>
      <c r="H939" s="392"/>
      <c r="I939" s="392"/>
      <c r="J939" s="392"/>
      <c r="K939" s="392"/>
      <c r="L939" s="392"/>
      <c r="M939" s="392"/>
      <c r="N939" s="392"/>
      <c r="O939" s="392"/>
      <c r="P939" s="392"/>
      <c r="Q939" s="392"/>
      <c r="R939" s="392"/>
      <c r="S939" s="392"/>
      <c r="T939" s="392"/>
      <c r="U939" s="392"/>
      <c r="V939" s="392"/>
      <c r="W939" s="392"/>
      <c r="X939" s="392"/>
      <c r="Y939" s="392"/>
      <c r="Z939" s="392"/>
      <c r="AA939" s="392"/>
      <c r="AB939" s="392"/>
      <c r="AC939" s="392"/>
      <c r="AD939" s="392"/>
      <c r="AE939" s="392"/>
      <c r="AF939" s="392"/>
      <c r="AG939" s="392"/>
      <c r="AH939" s="392"/>
      <c r="AI939" s="392"/>
      <c r="AJ939" s="392"/>
      <c r="AK939" s="392"/>
      <c r="AL939" s="392"/>
      <c r="AM939" s="392"/>
      <c r="AN939" s="392"/>
      <c r="AO939" s="392"/>
      <c r="AP939" s="392"/>
      <c r="AQ939" s="392"/>
      <c r="AR939" s="392"/>
      <c r="AS939" s="392"/>
      <c r="AT939" s="392"/>
      <c r="AU939" s="392"/>
      <c r="AV939" s="392"/>
      <c r="AW939" s="392"/>
      <c r="AX939" s="392"/>
      <c r="AY939" s="392"/>
      <c r="AZ939" s="392"/>
      <c r="BA939" s="392"/>
      <c r="BB939" s="392"/>
      <c r="BC939" s="392"/>
      <c r="BD939" s="392"/>
      <c r="BE939" s="392"/>
      <c r="BF939" s="392"/>
      <c r="BG939" s="392"/>
      <c r="BH939" s="392"/>
      <c r="BI939" s="392"/>
      <c r="BJ939" s="392"/>
      <c r="BK939" s="392"/>
      <c r="BL939" s="392"/>
      <c r="BM939" s="392"/>
      <c r="BN939" s="392"/>
      <c r="BO939" s="392"/>
      <c r="BP939" s="392"/>
      <c r="BQ939" s="392"/>
      <c r="BR939" s="392"/>
      <c r="BS939" s="392"/>
      <c r="BT939" s="392"/>
    </row>
    <row r="940" ht="15.75" customHeight="1">
      <c r="A940" s="216"/>
      <c r="B940" s="156"/>
      <c r="C940" s="156"/>
      <c r="D940" s="156"/>
      <c r="E940" s="392"/>
      <c r="F940" s="392"/>
      <c r="G940" s="392"/>
      <c r="H940" s="392"/>
      <c r="I940" s="392"/>
      <c r="J940" s="392"/>
      <c r="K940" s="392"/>
      <c r="L940" s="392"/>
      <c r="M940" s="392"/>
      <c r="N940" s="392"/>
      <c r="O940" s="392"/>
      <c r="P940" s="392"/>
      <c r="Q940" s="392"/>
      <c r="R940" s="392"/>
      <c r="S940" s="392"/>
      <c r="T940" s="392"/>
      <c r="U940" s="392"/>
      <c r="V940" s="392"/>
      <c r="W940" s="392"/>
      <c r="X940" s="392"/>
      <c r="Y940" s="392"/>
      <c r="Z940" s="392"/>
      <c r="AA940" s="392"/>
      <c r="AB940" s="392"/>
      <c r="AC940" s="392"/>
      <c r="AD940" s="392"/>
      <c r="AE940" s="392"/>
      <c r="AF940" s="392"/>
      <c r="AG940" s="392"/>
      <c r="AH940" s="392"/>
      <c r="AI940" s="392"/>
      <c r="AJ940" s="392"/>
      <c r="AK940" s="392"/>
      <c r="AL940" s="392"/>
      <c r="AM940" s="392"/>
      <c r="AN940" s="392"/>
      <c r="AO940" s="392"/>
      <c r="AP940" s="392"/>
      <c r="AQ940" s="392"/>
      <c r="AR940" s="392"/>
      <c r="AS940" s="392"/>
      <c r="AT940" s="392"/>
      <c r="AU940" s="392"/>
      <c r="AV940" s="392"/>
      <c r="AW940" s="392"/>
      <c r="AX940" s="392"/>
      <c r="AY940" s="392"/>
      <c r="AZ940" s="392"/>
      <c r="BA940" s="392"/>
      <c r="BB940" s="392"/>
      <c r="BC940" s="392"/>
      <c r="BD940" s="392"/>
      <c r="BE940" s="392"/>
      <c r="BF940" s="392"/>
      <c r="BG940" s="392"/>
      <c r="BH940" s="392"/>
      <c r="BI940" s="392"/>
      <c r="BJ940" s="392"/>
      <c r="BK940" s="392"/>
      <c r="BL940" s="392"/>
      <c r="BM940" s="392"/>
      <c r="BN940" s="392"/>
      <c r="BO940" s="392"/>
      <c r="BP940" s="392"/>
      <c r="BQ940" s="392"/>
      <c r="BR940" s="392"/>
      <c r="BS940" s="392"/>
      <c r="BT940" s="392"/>
    </row>
    <row r="941" ht="15.75" customHeight="1">
      <c r="A941" s="216"/>
      <c r="B941" s="156"/>
      <c r="C941" s="156"/>
      <c r="D941" s="156"/>
      <c r="E941" s="392"/>
      <c r="F941" s="392"/>
      <c r="G941" s="392"/>
      <c r="H941" s="392"/>
      <c r="I941" s="392"/>
      <c r="J941" s="392"/>
      <c r="K941" s="392"/>
      <c r="L941" s="392"/>
      <c r="M941" s="392"/>
      <c r="N941" s="392"/>
      <c r="O941" s="392"/>
      <c r="P941" s="392"/>
      <c r="Q941" s="392"/>
      <c r="R941" s="392"/>
      <c r="S941" s="392"/>
      <c r="T941" s="392"/>
      <c r="U941" s="392"/>
      <c r="V941" s="392"/>
      <c r="W941" s="392"/>
      <c r="X941" s="392"/>
      <c r="Y941" s="392"/>
      <c r="Z941" s="392"/>
      <c r="AA941" s="392"/>
      <c r="AB941" s="392"/>
      <c r="AC941" s="392"/>
      <c r="AD941" s="392"/>
      <c r="AE941" s="392"/>
      <c r="AF941" s="392"/>
      <c r="AG941" s="392"/>
      <c r="AH941" s="392"/>
      <c r="AI941" s="392"/>
      <c r="AJ941" s="392"/>
      <c r="AK941" s="392"/>
      <c r="AL941" s="392"/>
      <c r="AM941" s="392"/>
      <c r="AN941" s="392"/>
      <c r="AO941" s="392"/>
      <c r="AP941" s="392"/>
      <c r="AQ941" s="392"/>
      <c r="AR941" s="392"/>
      <c r="AS941" s="392"/>
      <c r="AT941" s="392"/>
      <c r="AU941" s="392"/>
      <c r="AV941" s="392"/>
      <c r="AW941" s="392"/>
      <c r="AX941" s="392"/>
      <c r="AY941" s="392"/>
      <c r="AZ941" s="392"/>
      <c r="BA941" s="392"/>
      <c r="BB941" s="392"/>
      <c r="BC941" s="392"/>
      <c r="BD941" s="392"/>
      <c r="BE941" s="392"/>
      <c r="BF941" s="392"/>
      <c r="BG941" s="392"/>
      <c r="BH941" s="392"/>
      <c r="BI941" s="392"/>
      <c r="BJ941" s="392"/>
      <c r="BK941" s="392"/>
      <c r="BL941" s="392"/>
      <c r="BM941" s="392"/>
      <c r="BN941" s="392"/>
      <c r="BO941" s="392"/>
      <c r="BP941" s="392"/>
      <c r="BQ941" s="392"/>
      <c r="BR941" s="392"/>
      <c r="BS941" s="392"/>
      <c r="BT941" s="392"/>
    </row>
    <row r="942" ht="15.75" customHeight="1">
      <c r="A942" s="216"/>
      <c r="B942" s="156"/>
      <c r="C942" s="156"/>
      <c r="D942" s="156"/>
      <c r="E942" s="392"/>
      <c r="F942" s="392"/>
      <c r="G942" s="392"/>
      <c r="H942" s="392"/>
      <c r="I942" s="392"/>
      <c r="J942" s="392"/>
      <c r="K942" s="392"/>
      <c r="L942" s="392"/>
      <c r="M942" s="392"/>
      <c r="N942" s="392"/>
      <c r="O942" s="392"/>
      <c r="P942" s="392"/>
      <c r="Q942" s="392"/>
      <c r="R942" s="392"/>
      <c r="S942" s="392"/>
      <c r="T942" s="392"/>
      <c r="U942" s="392"/>
      <c r="V942" s="392"/>
      <c r="W942" s="392"/>
      <c r="X942" s="392"/>
      <c r="Y942" s="392"/>
      <c r="Z942" s="392"/>
      <c r="AA942" s="392"/>
      <c r="AB942" s="392"/>
      <c r="AC942" s="392"/>
      <c r="AD942" s="392"/>
      <c r="AE942" s="392"/>
      <c r="AF942" s="392"/>
      <c r="AG942" s="392"/>
      <c r="AH942" s="392"/>
      <c r="AI942" s="392"/>
      <c r="AJ942" s="392"/>
      <c r="AK942" s="392"/>
      <c r="AL942" s="392"/>
      <c r="AM942" s="392"/>
      <c r="AN942" s="392"/>
      <c r="AO942" s="392"/>
      <c r="AP942" s="392"/>
      <c r="AQ942" s="392"/>
      <c r="AR942" s="392"/>
      <c r="AS942" s="392"/>
      <c r="AT942" s="392"/>
      <c r="AU942" s="392"/>
      <c r="AV942" s="392"/>
      <c r="AW942" s="392"/>
      <c r="AX942" s="392"/>
      <c r="AY942" s="392"/>
      <c r="AZ942" s="392"/>
      <c r="BA942" s="392"/>
      <c r="BB942" s="392"/>
      <c r="BC942" s="392"/>
      <c r="BD942" s="392"/>
      <c r="BE942" s="392"/>
      <c r="BF942" s="392"/>
      <c r="BG942" s="392"/>
      <c r="BH942" s="392"/>
      <c r="BI942" s="392"/>
      <c r="BJ942" s="392"/>
      <c r="BK942" s="392"/>
      <c r="BL942" s="392"/>
      <c r="BM942" s="392"/>
      <c r="BN942" s="392"/>
      <c r="BO942" s="392"/>
      <c r="BP942" s="392"/>
      <c r="BQ942" s="392"/>
      <c r="BR942" s="392"/>
      <c r="BS942" s="392"/>
      <c r="BT942" s="392"/>
    </row>
    <row r="943" ht="15.75" customHeight="1">
      <c r="A943" s="216"/>
      <c r="B943" s="156"/>
      <c r="C943" s="156"/>
      <c r="D943" s="156"/>
      <c r="E943" s="392"/>
      <c r="F943" s="392"/>
      <c r="G943" s="392"/>
      <c r="H943" s="392"/>
      <c r="I943" s="392"/>
      <c r="J943" s="392"/>
      <c r="K943" s="392"/>
      <c r="L943" s="392"/>
      <c r="M943" s="392"/>
      <c r="N943" s="392"/>
      <c r="O943" s="392"/>
      <c r="P943" s="392"/>
      <c r="Q943" s="392"/>
      <c r="R943" s="392"/>
      <c r="S943" s="392"/>
      <c r="T943" s="392"/>
      <c r="U943" s="392"/>
      <c r="V943" s="392"/>
      <c r="W943" s="392"/>
      <c r="X943" s="392"/>
      <c r="Y943" s="392"/>
      <c r="Z943" s="392"/>
      <c r="AA943" s="392"/>
      <c r="AB943" s="392"/>
      <c r="AC943" s="392"/>
      <c r="AD943" s="392"/>
      <c r="AE943" s="392"/>
      <c r="AF943" s="392"/>
      <c r="AG943" s="392"/>
      <c r="AH943" s="392"/>
      <c r="AI943" s="392"/>
      <c r="AJ943" s="392"/>
      <c r="AK943" s="392"/>
      <c r="AL943" s="392"/>
      <c r="AM943" s="392"/>
      <c r="AN943" s="392"/>
      <c r="AO943" s="392"/>
      <c r="AP943" s="392"/>
      <c r="AQ943" s="392"/>
      <c r="AR943" s="392"/>
      <c r="AS943" s="392"/>
      <c r="AT943" s="392"/>
      <c r="AU943" s="392"/>
      <c r="AV943" s="392"/>
      <c r="AW943" s="392"/>
      <c r="AX943" s="392"/>
      <c r="AY943" s="392"/>
      <c r="AZ943" s="392"/>
      <c r="BA943" s="392"/>
      <c r="BB943" s="392"/>
      <c r="BC943" s="392"/>
      <c r="BD943" s="392"/>
      <c r="BE943" s="392"/>
      <c r="BF943" s="392"/>
      <c r="BG943" s="392"/>
      <c r="BH943" s="392"/>
      <c r="BI943" s="392"/>
      <c r="BJ943" s="392"/>
      <c r="BK943" s="392"/>
      <c r="BL943" s="392"/>
      <c r="BM943" s="392"/>
      <c r="BN943" s="392"/>
      <c r="BO943" s="392"/>
      <c r="BP943" s="392"/>
      <c r="BQ943" s="392"/>
      <c r="BR943" s="392"/>
      <c r="BS943" s="392"/>
      <c r="BT943" s="392"/>
    </row>
    <row r="944" ht="15.75" customHeight="1">
      <c r="A944" s="216"/>
      <c r="B944" s="156"/>
      <c r="C944" s="156"/>
      <c r="D944" s="156"/>
      <c r="E944" s="392"/>
      <c r="F944" s="392"/>
      <c r="G944" s="392"/>
      <c r="H944" s="392"/>
      <c r="I944" s="392"/>
      <c r="J944" s="392"/>
      <c r="K944" s="392"/>
      <c r="L944" s="392"/>
      <c r="M944" s="392"/>
      <c r="N944" s="392"/>
      <c r="O944" s="392"/>
      <c r="P944" s="392"/>
      <c r="Q944" s="392"/>
      <c r="R944" s="392"/>
      <c r="S944" s="392"/>
      <c r="T944" s="392"/>
      <c r="U944" s="392"/>
      <c r="V944" s="392"/>
      <c r="W944" s="392"/>
      <c r="X944" s="392"/>
      <c r="Y944" s="392"/>
      <c r="Z944" s="392"/>
      <c r="AA944" s="392"/>
      <c r="AB944" s="392"/>
      <c r="AC944" s="392"/>
      <c r="AD944" s="392"/>
      <c r="AE944" s="392"/>
      <c r="AF944" s="392"/>
      <c r="AG944" s="392"/>
      <c r="AH944" s="392"/>
      <c r="AI944" s="392"/>
      <c r="AJ944" s="392"/>
      <c r="AK944" s="392"/>
      <c r="AL944" s="392"/>
      <c r="AM944" s="392"/>
      <c r="AN944" s="392"/>
      <c r="AO944" s="392"/>
      <c r="AP944" s="392"/>
      <c r="AQ944" s="392"/>
      <c r="AR944" s="392"/>
      <c r="AS944" s="392"/>
      <c r="AT944" s="392"/>
      <c r="AU944" s="392"/>
      <c r="AV944" s="392"/>
      <c r="AW944" s="392"/>
      <c r="AX944" s="392"/>
      <c r="AY944" s="392"/>
      <c r="AZ944" s="392"/>
      <c r="BA944" s="392"/>
      <c r="BB944" s="392"/>
      <c r="BC944" s="392"/>
      <c r="BD944" s="392"/>
      <c r="BE944" s="392"/>
      <c r="BF944" s="392"/>
      <c r="BG944" s="392"/>
      <c r="BH944" s="392"/>
      <c r="BI944" s="392"/>
      <c r="BJ944" s="392"/>
      <c r="BK944" s="392"/>
      <c r="BL944" s="392"/>
      <c r="BM944" s="392"/>
      <c r="BN944" s="392"/>
      <c r="BO944" s="392"/>
      <c r="BP944" s="392"/>
      <c r="BQ944" s="392"/>
      <c r="BR944" s="392"/>
      <c r="BS944" s="392"/>
      <c r="BT944" s="392"/>
    </row>
    <row r="945" ht="15.75" customHeight="1">
      <c r="A945" s="216"/>
      <c r="B945" s="156"/>
      <c r="C945" s="156"/>
      <c r="D945" s="156"/>
      <c r="E945" s="392"/>
      <c r="F945" s="392"/>
      <c r="G945" s="392"/>
      <c r="H945" s="392"/>
      <c r="I945" s="392"/>
      <c r="J945" s="392"/>
      <c r="K945" s="392"/>
      <c r="L945" s="392"/>
      <c r="M945" s="392"/>
      <c r="N945" s="392"/>
      <c r="O945" s="392"/>
      <c r="P945" s="392"/>
      <c r="Q945" s="392"/>
      <c r="R945" s="392"/>
      <c r="S945" s="392"/>
      <c r="T945" s="392"/>
      <c r="U945" s="392"/>
      <c r="V945" s="392"/>
      <c r="W945" s="392"/>
      <c r="X945" s="392"/>
      <c r="Y945" s="392"/>
      <c r="Z945" s="392"/>
      <c r="AA945" s="392"/>
      <c r="AB945" s="392"/>
      <c r="AC945" s="392"/>
      <c r="AD945" s="392"/>
      <c r="AE945" s="392"/>
      <c r="AF945" s="392"/>
      <c r="AG945" s="392"/>
      <c r="AH945" s="392"/>
      <c r="AI945" s="392"/>
      <c r="AJ945" s="392"/>
      <c r="AK945" s="392"/>
      <c r="AL945" s="392"/>
      <c r="AM945" s="392"/>
      <c r="AN945" s="392"/>
      <c r="AO945" s="392"/>
      <c r="AP945" s="392"/>
      <c r="AQ945" s="392"/>
      <c r="AR945" s="392"/>
      <c r="AS945" s="392"/>
      <c r="AT945" s="392"/>
      <c r="AU945" s="392"/>
      <c r="AV945" s="392"/>
      <c r="AW945" s="392"/>
      <c r="AX945" s="392"/>
      <c r="AY945" s="392"/>
      <c r="AZ945" s="392"/>
      <c r="BA945" s="392"/>
      <c r="BB945" s="392"/>
      <c r="BC945" s="392"/>
      <c r="BD945" s="392"/>
      <c r="BE945" s="392"/>
      <c r="BF945" s="392"/>
      <c r="BG945" s="392"/>
      <c r="BH945" s="392"/>
      <c r="BI945" s="392"/>
      <c r="BJ945" s="392"/>
      <c r="BK945" s="392"/>
      <c r="BL945" s="392"/>
      <c r="BM945" s="392"/>
      <c r="BN945" s="392"/>
      <c r="BO945" s="392"/>
      <c r="BP945" s="392"/>
      <c r="BQ945" s="392"/>
      <c r="BR945" s="392"/>
      <c r="BS945" s="392"/>
      <c r="BT945" s="392"/>
    </row>
    <row r="946" ht="15.75" customHeight="1">
      <c r="A946" s="216"/>
      <c r="B946" s="156"/>
      <c r="C946" s="156"/>
      <c r="D946" s="156"/>
      <c r="E946" s="392"/>
      <c r="F946" s="392"/>
      <c r="G946" s="392"/>
      <c r="H946" s="392"/>
      <c r="I946" s="392"/>
      <c r="J946" s="392"/>
      <c r="K946" s="392"/>
      <c r="L946" s="392"/>
      <c r="M946" s="392"/>
      <c r="N946" s="392"/>
      <c r="O946" s="392"/>
      <c r="P946" s="392"/>
      <c r="Q946" s="392"/>
      <c r="R946" s="392"/>
      <c r="S946" s="392"/>
      <c r="T946" s="392"/>
      <c r="U946" s="392"/>
      <c r="V946" s="392"/>
      <c r="W946" s="392"/>
      <c r="X946" s="392"/>
      <c r="Y946" s="392"/>
      <c r="Z946" s="392"/>
      <c r="AA946" s="392"/>
      <c r="AB946" s="392"/>
      <c r="AC946" s="392"/>
      <c r="AD946" s="392"/>
      <c r="AE946" s="392"/>
      <c r="AF946" s="392"/>
      <c r="AG946" s="392"/>
      <c r="AH946" s="392"/>
      <c r="AI946" s="392"/>
      <c r="AJ946" s="392"/>
      <c r="AK946" s="392"/>
      <c r="AL946" s="392"/>
      <c r="AM946" s="392"/>
      <c r="AN946" s="392"/>
      <c r="AO946" s="392"/>
      <c r="AP946" s="392"/>
      <c r="AQ946" s="392"/>
      <c r="AR946" s="392"/>
      <c r="AS946" s="392"/>
      <c r="AT946" s="392"/>
      <c r="AU946" s="392"/>
      <c r="AV946" s="392"/>
      <c r="AW946" s="392"/>
      <c r="AX946" s="392"/>
      <c r="AY946" s="392"/>
      <c r="AZ946" s="392"/>
      <c r="BA946" s="392"/>
      <c r="BB946" s="392"/>
      <c r="BC946" s="392"/>
      <c r="BD946" s="392"/>
      <c r="BE946" s="392"/>
      <c r="BF946" s="392"/>
      <c r="BG946" s="392"/>
      <c r="BH946" s="392"/>
      <c r="BI946" s="392"/>
      <c r="BJ946" s="392"/>
      <c r="BK946" s="392"/>
      <c r="BL946" s="392"/>
      <c r="BM946" s="392"/>
      <c r="BN946" s="392"/>
      <c r="BO946" s="392"/>
      <c r="BP946" s="392"/>
      <c r="BQ946" s="392"/>
      <c r="BR946" s="392"/>
      <c r="BS946" s="392"/>
      <c r="BT946" s="392"/>
    </row>
    <row r="947" ht="15.75" customHeight="1">
      <c r="A947" s="216"/>
      <c r="B947" s="156"/>
      <c r="C947" s="156"/>
      <c r="D947" s="156"/>
      <c r="E947" s="392"/>
      <c r="F947" s="392"/>
      <c r="G947" s="392"/>
      <c r="H947" s="392"/>
      <c r="I947" s="392"/>
      <c r="J947" s="392"/>
      <c r="K947" s="392"/>
      <c r="L947" s="392"/>
      <c r="M947" s="392"/>
      <c r="N947" s="392"/>
      <c r="O947" s="392"/>
      <c r="P947" s="392"/>
      <c r="Q947" s="392"/>
      <c r="R947" s="392"/>
      <c r="S947" s="392"/>
      <c r="T947" s="392"/>
      <c r="U947" s="392"/>
      <c r="V947" s="392"/>
      <c r="W947" s="392"/>
      <c r="X947" s="392"/>
      <c r="Y947" s="392"/>
      <c r="Z947" s="392"/>
      <c r="AA947" s="392"/>
      <c r="AB947" s="392"/>
      <c r="AC947" s="392"/>
      <c r="AD947" s="392"/>
      <c r="AE947" s="392"/>
      <c r="AF947" s="392"/>
      <c r="AG947" s="392"/>
      <c r="AH947" s="392"/>
      <c r="AI947" s="392"/>
      <c r="AJ947" s="392"/>
      <c r="AK947" s="392"/>
      <c r="AL947" s="392"/>
      <c r="AM947" s="392"/>
      <c r="AN947" s="392"/>
      <c r="AO947" s="392"/>
      <c r="AP947" s="392"/>
      <c r="AQ947" s="392"/>
      <c r="AR947" s="392"/>
      <c r="AS947" s="392"/>
      <c r="AT947" s="392"/>
      <c r="AU947" s="392"/>
      <c r="AV947" s="392"/>
      <c r="AW947" s="392"/>
      <c r="AX947" s="392"/>
      <c r="AY947" s="392"/>
      <c r="AZ947" s="392"/>
      <c r="BA947" s="392"/>
      <c r="BB947" s="392"/>
      <c r="BC947" s="392"/>
      <c r="BD947" s="392"/>
      <c r="BE947" s="392"/>
      <c r="BF947" s="392"/>
      <c r="BG947" s="392"/>
      <c r="BH947" s="392"/>
      <c r="BI947" s="392"/>
      <c r="BJ947" s="392"/>
      <c r="BK947" s="392"/>
      <c r="BL947" s="392"/>
      <c r="BM947" s="392"/>
      <c r="BN947" s="392"/>
      <c r="BO947" s="392"/>
      <c r="BP947" s="392"/>
      <c r="BQ947" s="392"/>
      <c r="BR947" s="392"/>
      <c r="BS947" s="392"/>
      <c r="BT947" s="392"/>
    </row>
    <row r="948" ht="15.75" customHeight="1">
      <c r="A948" s="216"/>
      <c r="B948" s="156"/>
      <c r="C948" s="156"/>
      <c r="D948" s="156"/>
      <c r="E948" s="392"/>
      <c r="F948" s="392"/>
      <c r="G948" s="392"/>
      <c r="H948" s="392"/>
      <c r="I948" s="392"/>
      <c r="J948" s="392"/>
      <c r="K948" s="392"/>
      <c r="L948" s="392"/>
      <c r="M948" s="392"/>
      <c r="N948" s="392"/>
      <c r="O948" s="392"/>
      <c r="P948" s="392"/>
      <c r="Q948" s="392"/>
      <c r="R948" s="392"/>
      <c r="S948" s="392"/>
      <c r="T948" s="392"/>
      <c r="U948" s="392"/>
      <c r="V948" s="392"/>
      <c r="W948" s="392"/>
      <c r="X948" s="392"/>
      <c r="Y948" s="392"/>
      <c r="Z948" s="392"/>
      <c r="AA948" s="392"/>
      <c r="AB948" s="392"/>
      <c r="AC948" s="392"/>
      <c r="AD948" s="392"/>
      <c r="AE948" s="392"/>
      <c r="AF948" s="392"/>
      <c r="AG948" s="392"/>
      <c r="AH948" s="392"/>
      <c r="AI948" s="392"/>
      <c r="AJ948" s="392"/>
      <c r="AK948" s="392"/>
      <c r="AL948" s="392"/>
      <c r="AM948" s="392"/>
      <c r="AN948" s="392"/>
      <c r="AO948" s="392"/>
      <c r="AP948" s="392"/>
      <c r="AQ948" s="392"/>
      <c r="AR948" s="392"/>
      <c r="AS948" s="392"/>
      <c r="AT948" s="392"/>
      <c r="AU948" s="392"/>
      <c r="AV948" s="392"/>
      <c r="AW948" s="392"/>
      <c r="AX948" s="392"/>
      <c r="AY948" s="392"/>
      <c r="AZ948" s="392"/>
      <c r="BA948" s="392"/>
      <c r="BB948" s="392"/>
      <c r="BC948" s="392"/>
      <c r="BD948" s="392"/>
      <c r="BE948" s="392"/>
      <c r="BF948" s="392"/>
      <c r="BG948" s="392"/>
      <c r="BH948" s="392"/>
      <c r="BI948" s="392"/>
      <c r="BJ948" s="392"/>
      <c r="BK948" s="392"/>
      <c r="BL948" s="392"/>
      <c r="BM948" s="392"/>
      <c r="BN948" s="392"/>
      <c r="BO948" s="392"/>
      <c r="BP948" s="392"/>
      <c r="BQ948" s="392"/>
      <c r="BR948" s="392"/>
      <c r="BS948" s="392"/>
      <c r="BT948" s="392"/>
    </row>
    <row r="949" ht="15.75" customHeight="1">
      <c r="A949" s="216"/>
      <c r="B949" s="156"/>
      <c r="C949" s="156"/>
      <c r="D949" s="156"/>
      <c r="E949" s="392"/>
      <c r="F949" s="392"/>
      <c r="G949" s="392"/>
      <c r="H949" s="392"/>
      <c r="I949" s="392"/>
      <c r="J949" s="392"/>
      <c r="K949" s="392"/>
      <c r="L949" s="392"/>
      <c r="M949" s="392"/>
      <c r="N949" s="392"/>
      <c r="O949" s="392"/>
      <c r="P949" s="392"/>
      <c r="Q949" s="392"/>
      <c r="R949" s="392"/>
      <c r="S949" s="392"/>
      <c r="T949" s="392"/>
      <c r="U949" s="392"/>
      <c r="V949" s="392"/>
      <c r="W949" s="392"/>
      <c r="X949" s="392"/>
      <c r="Y949" s="392"/>
      <c r="Z949" s="392"/>
      <c r="AA949" s="392"/>
      <c r="AB949" s="392"/>
      <c r="AC949" s="392"/>
      <c r="AD949" s="392"/>
      <c r="AE949" s="392"/>
      <c r="AF949" s="392"/>
      <c r="AG949" s="392"/>
      <c r="AH949" s="392"/>
      <c r="AI949" s="392"/>
      <c r="AJ949" s="392"/>
      <c r="AK949" s="392"/>
      <c r="AL949" s="392"/>
      <c r="AM949" s="392"/>
      <c r="AN949" s="392"/>
      <c r="AO949" s="392"/>
      <c r="AP949" s="392"/>
      <c r="AQ949" s="392"/>
      <c r="AR949" s="392"/>
      <c r="AS949" s="392"/>
      <c r="AT949" s="392"/>
      <c r="AU949" s="392"/>
      <c r="AV949" s="392"/>
      <c r="AW949" s="392"/>
      <c r="AX949" s="392"/>
      <c r="AY949" s="392"/>
      <c r="AZ949" s="392"/>
      <c r="BA949" s="392"/>
      <c r="BB949" s="392"/>
      <c r="BC949" s="392"/>
      <c r="BD949" s="392"/>
      <c r="BE949" s="392"/>
      <c r="BF949" s="392"/>
      <c r="BG949" s="392"/>
      <c r="BH949" s="392"/>
      <c r="BI949" s="392"/>
      <c r="BJ949" s="392"/>
      <c r="BK949" s="392"/>
      <c r="BL949" s="392"/>
      <c r="BM949" s="392"/>
      <c r="BN949" s="392"/>
      <c r="BO949" s="392"/>
      <c r="BP949" s="392"/>
      <c r="BQ949" s="392"/>
      <c r="BR949" s="392"/>
      <c r="BS949" s="392"/>
      <c r="BT949" s="392"/>
    </row>
    <row r="950" ht="15.75" customHeight="1">
      <c r="A950" s="216"/>
      <c r="B950" s="156"/>
      <c r="C950" s="156"/>
      <c r="D950" s="156"/>
      <c r="E950" s="392"/>
      <c r="F950" s="392"/>
      <c r="G950" s="392"/>
      <c r="H950" s="392"/>
      <c r="I950" s="392"/>
      <c r="J950" s="392"/>
      <c r="K950" s="392"/>
      <c r="L950" s="392"/>
      <c r="M950" s="392"/>
      <c r="N950" s="392"/>
      <c r="O950" s="392"/>
      <c r="P950" s="392"/>
      <c r="Q950" s="392"/>
      <c r="R950" s="392"/>
      <c r="S950" s="392"/>
      <c r="T950" s="392"/>
      <c r="U950" s="392"/>
      <c r="V950" s="392"/>
      <c r="W950" s="392"/>
      <c r="X950" s="392"/>
      <c r="Y950" s="392"/>
      <c r="Z950" s="392"/>
      <c r="AA950" s="392"/>
      <c r="AB950" s="392"/>
      <c r="AC950" s="392"/>
      <c r="AD950" s="392"/>
      <c r="AE950" s="392"/>
      <c r="AF950" s="392"/>
      <c r="AG950" s="392"/>
      <c r="AH950" s="392"/>
      <c r="AI950" s="392"/>
      <c r="AJ950" s="392"/>
      <c r="AK950" s="392"/>
      <c r="AL950" s="392"/>
      <c r="AM950" s="392"/>
      <c r="AN950" s="392"/>
      <c r="AO950" s="392"/>
      <c r="AP950" s="392"/>
      <c r="AQ950" s="392"/>
      <c r="AR950" s="392"/>
      <c r="AS950" s="392"/>
      <c r="AT950" s="392"/>
      <c r="AU950" s="392"/>
      <c r="AV950" s="392"/>
      <c r="AW950" s="392"/>
      <c r="AX950" s="392"/>
      <c r="AY950" s="392"/>
      <c r="AZ950" s="392"/>
      <c r="BA950" s="392"/>
      <c r="BB950" s="392"/>
      <c r="BC950" s="392"/>
      <c r="BD950" s="392"/>
      <c r="BE950" s="392"/>
      <c r="BF950" s="392"/>
      <c r="BG950" s="392"/>
      <c r="BH950" s="392"/>
      <c r="BI950" s="392"/>
      <c r="BJ950" s="392"/>
      <c r="BK950" s="392"/>
      <c r="BL950" s="392"/>
      <c r="BM950" s="392"/>
      <c r="BN950" s="392"/>
      <c r="BO950" s="392"/>
      <c r="BP950" s="392"/>
      <c r="BQ950" s="392"/>
      <c r="BR950" s="392"/>
      <c r="BS950" s="392"/>
      <c r="BT950" s="392"/>
    </row>
    <row r="951" ht="15.75" customHeight="1">
      <c r="A951" s="216"/>
      <c r="B951" s="156"/>
      <c r="C951" s="156"/>
      <c r="D951" s="156"/>
      <c r="E951" s="392"/>
      <c r="F951" s="392"/>
      <c r="G951" s="392"/>
      <c r="H951" s="392"/>
      <c r="I951" s="392"/>
      <c r="J951" s="392"/>
      <c r="K951" s="392"/>
      <c r="L951" s="392"/>
      <c r="M951" s="392"/>
      <c r="N951" s="392"/>
      <c r="O951" s="392"/>
      <c r="P951" s="392"/>
      <c r="Q951" s="392"/>
      <c r="R951" s="392"/>
      <c r="S951" s="392"/>
      <c r="T951" s="392"/>
      <c r="U951" s="392"/>
      <c r="V951" s="392"/>
      <c r="W951" s="392"/>
      <c r="X951" s="392"/>
      <c r="Y951" s="392"/>
      <c r="Z951" s="392"/>
      <c r="AA951" s="392"/>
      <c r="AB951" s="392"/>
      <c r="AC951" s="392"/>
      <c r="AD951" s="392"/>
      <c r="AE951" s="392"/>
      <c r="AF951" s="392"/>
      <c r="AG951" s="392"/>
      <c r="AH951" s="392"/>
      <c r="AI951" s="392"/>
      <c r="AJ951" s="392"/>
      <c r="AK951" s="392"/>
      <c r="AL951" s="392"/>
      <c r="AM951" s="392"/>
      <c r="AN951" s="392"/>
      <c r="AO951" s="392"/>
      <c r="AP951" s="392"/>
      <c r="AQ951" s="392"/>
      <c r="AR951" s="392"/>
      <c r="AS951" s="392"/>
      <c r="AT951" s="392"/>
      <c r="AU951" s="392"/>
      <c r="AV951" s="392"/>
      <c r="AW951" s="392"/>
      <c r="AX951" s="392"/>
      <c r="AY951" s="392"/>
      <c r="AZ951" s="392"/>
      <c r="BA951" s="392"/>
      <c r="BB951" s="392"/>
      <c r="BC951" s="392"/>
      <c r="BD951" s="392"/>
      <c r="BE951" s="392"/>
      <c r="BF951" s="392"/>
      <c r="BG951" s="392"/>
      <c r="BH951" s="392"/>
      <c r="BI951" s="392"/>
      <c r="BJ951" s="392"/>
      <c r="BK951" s="392"/>
      <c r="BL951" s="392"/>
      <c r="BM951" s="392"/>
      <c r="BN951" s="392"/>
      <c r="BO951" s="392"/>
      <c r="BP951" s="392"/>
      <c r="BQ951" s="392"/>
      <c r="BR951" s="392"/>
      <c r="BS951" s="392"/>
      <c r="BT951" s="392"/>
    </row>
    <row r="952" ht="15.75" customHeight="1">
      <c r="A952" s="216"/>
      <c r="B952" s="156"/>
      <c r="C952" s="156"/>
      <c r="D952" s="156"/>
      <c r="E952" s="392"/>
      <c r="F952" s="392"/>
      <c r="G952" s="392"/>
      <c r="H952" s="392"/>
      <c r="I952" s="392"/>
      <c r="J952" s="392"/>
      <c r="K952" s="392"/>
      <c r="L952" s="392"/>
      <c r="M952" s="392"/>
      <c r="N952" s="392"/>
      <c r="O952" s="392"/>
      <c r="P952" s="392"/>
      <c r="Q952" s="392"/>
      <c r="R952" s="392"/>
      <c r="S952" s="392"/>
      <c r="T952" s="392"/>
      <c r="U952" s="392"/>
      <c r="V952" s="392"/>
      <c r="W952" s="392"/>
      <c r="X952" s="392"/>
      <c r="Y952" s="392"/>
      <c r="Z952" s="392"/>
      <c r="AA952" s="392"/>
      <c r="AB952" s="392"/>
      <c r="AC952" s="392"/>
      <c r="AD952" s="392"/>
      <c r="AE952" s="392"/>
      <c r="AF952" s="392"/>
      <c r="AG952" s="392"/>
      <c r="AH952" s="392"/>
      <c r="AI952" s="392"/>
      <c r="AJ952" s="392"/>
      <c r="AK952" s="392"/>
      <c r="AL952" s="392"/>
      <c r="AM952" s="392"/>
      <c r="AN952" s="392"/>
      <c r="AO952" s="392"/>
      <c r="AP952" s="392"/>
      <c r="AQ952" s="392"/>
      <c r="AR952" s="392"/>
      <c r="AS952" s="392"/>
      <c r="AT952" s="392"/>
      <c r="AU952" s="392"/>
      <c r="AV952" s="392"/>
      <c r="AW952" s="392"/>
      <c r="AX952" s="392"/>
      <c r="AY952" s="392"/>
      <c r="AZ952" s="392"/>
      <c r="BA952" s="392"/>
      <c r="BB952" s="392"/>
      <c r="BC952" s="392"/>
      <c r="BD952" s="392"/>
      <c r="BE952" s="392"/>
      <c r="BF952" s="392"/>
      <c r="BG952" s="392"/>
      <c r="BH952" s="392"/>
      <c r="BI952" s="392"/>
      <c r="BJ952" s="392"/>
      <c r="BK952" s="392"/>
      <c r="BL952" s="392"/>
      <c r="BM952" s="392"/>
      <c r="BN952" s="392"/>
      <c r="BO952" s="392"/>
      <c r="BP952" s="392"/>
      <c r="BQ952" s="392"/>
      <c r="BR952" s="392"/>
      <c r="BS952" s="392"/>
      <c r="BT952" s="392"/>
    </row>
    <row r="953" ht="15.75" customHeight="1">
      <c r="A953" s="216"/>
      <c r="B953" s="156"/>
      <c r="C953" s="156"/>
      <c r="D953" s="156"/>
      <c r="E953" s="392"/>
      <c r="F953" s="392"/>
      <c r="G953" s="392"/>
      <c r="H953" s="392"/>
      <c r="I953" s="392"/>
      <c r="J953" s="392"/>
      <c r="K953" s="392"/>
      <c r="L953" s="392"/>
      <c r="M953" s="392"/>
      <c r="N953" s="392"/>
      <c r="O953" s="392"/>
      <c r="P953" s="392"/>
      <c r="Q953" s="392"/>
      <c r="R953" s="392"/>
      <c r="S953" s="392"/>
      <c r="T953" s="392"/>
      <c r="U953" s="392"/>
      <c r="V953" s="392"/>
      <c r="W953" s="392"/>
      <c r="X953" s="392"/>
      <c r="Y953" s="392"/>
      <c r="Z953" s="392"/>
      <c r="AA953" s="392"/>
      <c r="AB953" s="392"/>
      <c r="AC953" s="392"/>
      <c r="AD953" s="392"/>
      <c r="AE953" s="392"/>
      <c r="AF953" s="392"/>
      <c r="AG953" s="392"/>
      <c r="AH953" s="392"/>
      <c r="AI953" s="392"/>
      <c r="AJ953" s="392"/>
      <c r="AK953" s="392"/>
      <c r="AL953" s="392"/>
      <c r="AM953" s="392"/>
      <c r="AN953" s="392"/>
      <c r="AO953" s="392"/>
      <c r="AP953" s="392"/>
      <c r="AQ953" s="392"/>
      <c r="AR953" s="392"/>
      <c r="AS953" s="392"/>
      <c r="AT953" s="392"/>
      <c r="AU953" s="392"/>
      <c r="AV953" s="392"/>
      <c r="AW953" s="392"/>
      <c r="AX953" s="392"/>
      <c r="AY953" s="392"/>
      <c r="AZ953" s="392"/>
      <c r="BA953" s="392"/>
      <c r="BB953" s="392"/>
      <c r="BC953" s="392"/>
      <c r="BD953" s="392"/>
      <c r="BE953" s="392"/>
      <c r="BF953" s="392"/>
      <c r="BG953" s="392"/>
      <c r="BH953" s="392"/>
      <c r="BI953" s="392"/>
      <c r="BJ953" s="392"/>
      <c r="BK953" s="392"/>
      <c r="BL953" s="392"/>
      <c r="BM953" s="392"/>
      <c r="BN953" s="392"/>
      <c r="BO953" s="392"/>
      <c r="BP953" s="392"/>
      <c r="BQ953" s="392"/>
      <c r="BR953" s="392"/>
      <c r="BS953" s="392"/>
      <c r="BT953" s="392"/>
    </row>
    <row r="954" ht="15.75" customHeight="1">
      <c r="A954" s="216"/>
      <c r="B954" s="156"/>
      <c r="C954" s="156"/>
      <c r="D954" s="156"/>
      <c r="E954" s="392"/>
      <c r="F954" s="392"/>
      <c r="G954" s="392"/>
      <c r="H954" s="392"/>
      <c r="I954" s="392"/>
      <c r="J954" s="392"/>
      <c r="K954" s="392"/>
      <c r="L954" s="392"/>
      <c r="M954" s="392"/>
      <c r="N954" s="392"/>
      <c r="O954" s="392"/>
      <c r="P954" s="392"/>
      <c r="Q954" s="392"/>
      <c r="R954" s="392"/>
      <c r="S954" s="392"/>
      <c r="T954" s="392"/>
      <c r="U954" s="392"/>
      <c r="V954" s="392"/>
      <c r="W954" s="392"/>
      <c r="X954" s="392"/>
      <c r="Y954" s="392"/>
      <c r="Z954" s="392"/>
      <c r="AA954" s="392"/>
      <c r="AB954" s="392"/>
      <c r="AC954" s="392"/>
      <c r="AD954" s="392"/>
      <c r="AE954" s="392"/>
      <c r="AF954" s="392"/>
      <c r="AG954" s="392"/>
      <c r="AH954" s="392"/>
      <c r="AI954" s="392"/>
      <c r="AJ954" s="392"/>
      <c r="AK954" s="392"/>
      <c r="AL954" s="392"/>
      <c r="AM954" s="392"/>
      <c r="AN954" s="392"/>
      <c r="AO954" s="392"/>
      <c r="AP954" s="392"/>
      <c r="AQ954" s="392"/>
      <c r="AR954" s="392"/>
      <c r="AS954" s="392"/>
      <c r="AT954" s="392"/>
      <c r="AU954" s="392"/>
      <c r="AV954" s="392"/>
      <c r="AW954" s="392"/>
      <c r="AX954" s="392"/>
      <c r="AY954" s="392"/>
      <c r="AZ954" s="392"/>
      <c r="BA954" s="392"/>
      <c r="BB954" s="392"/>
      <c r="BC954" s="392"/>
      <c r="BD954" s="392"/>
      <c r="BE954" s="392"/>
      <c r="BF954" s="392"/>
      <c r="BG954" s="392"/>
      <c r="BH954" s="392"/>
      <c r="BI954" s="392"/>
      <c r="BJ954" s="392"/>
      <c r="BK954" s="392"/>
      <c r="BL954" s="392"/>
      <c r="BM954" s="392"/>
      <c r="BN954" s="392"/>
      <c r="BO954" s="392"/>
      <c r="BP954" s="392"/>
      <c r="BQ954" s="392"/>
      <c r="BR954" s="392"/>
      <c r="BS954" s="392"/>
      <c r="BT954" s="392"/>
    </row>
    <row r="955" ht="15.75" customHeight="1">
      <c r="A955" s="216"/>
      <c r="B955" s="156"/>
      <c r="C955" s="156"/>
      <c r="D955" s="156"/>
      <c r="E955" s="392"/>
      <c r="F955" s="392"/>
      <c r="G955" s="392"/>
      <c r="H955" s="392"/>
      <c r="I955" s="392"/>
      <c r="J955" s="392"/>
      <c r="K955" s="392"/>
      <c r="L955" s="392"/>
      <c r="M955" s="392"/>
      <c r="N955" s="392"/>
      <c r="O955" s="392"/>
      <c r="P955" s="392"/>
      <c r="Q955" s="392"/>
      <c r="R955" s="392"/>
      <c r="S955" s="392"/>
      <c r="T955" s="392"/>
      <c r="U955" s="392"/>
      <c r="V955" s="392"/>
      <c r="W955" s="392"/>
      <c r="X955" s="392"/>
      <c r="Y955" s="392"/>
      <c r="Z955" s="392"/>
      <c r="AA955" s="392"/>
      <c r="AB955" s="392"/>
      <c r="AC955" s="392"/>
      <c r="AD955" s="392"/>
      <c r="AE955" s="392"/>
      <c r="AF955" s="392"/>
      <c r="AG955" s="392"/>
      <c r="AH955" s="392"/>
      <c r="AI955" s="392"/>
      <c r="AJ955" s="392"/>
      <c r="AK955" s="392"/>
      <c r="AL955" s="392"/>
      <c r="AM955" s="392"/>
      <c r="AN955" s="392"/>
      <c r="AO955" s="392"/>
      <c r="AP955" s="392"/>
      <c r="AQ955" s="392"/>
      <c r="AR955" s="392"/>
      <c r="AS955" s="392"/>
      <c r="AT955" s="392"/>
      <c r="AU955" s="392"/>
      <c r="AV955" s="392"/>
      <c r="AW955" s="392"/>
      <c r="AX955" s="392"/>
      <c r="AY955" s="392"/>
      <c r="AZ955" s="392"/>
      <c r="BA955" s="392"/>
      <c r="BB955" s="392"/>
      <c r="BC955" s="392"/>
      <c r="BD955" s="392"/>
      <c r="BE955" s="392"/>
      <c r="BF955" s="392"/>
      <c r="BG955" s="392"/>
      <c r="BH955" s="392"/>
      <c r="BI955" s="392"/>
      <c r="BJ955" s="392"/>
      <c r="BK955" s="392"/>
      <c r="BL955" s="392"/>
      <c r="BM955" s="392"/>
      <c r="BN955" s="392"/>
      <c r="BO955" s="392"/>
      <c r="BP955" s="392"/>
      <c r="BQ955" s="392"/>
      <c r="BR955" s="392"/>
      <c r="BS955" s="392"/>
      <c r="BT955" s="392"/>
    </row>
    <row r="956" ht="15.75" customHeight="1">
      <c r="A956" s="216"/>
      <c r="B956" s="156"/>
      <c r="C956" s="156"/>
      <c r="D956" s="156"/>
      <c r="E956" s="392"/>
      <c r="F956" s="392"/>
      <c r="G956" s="392"/>
      <c r="H956" s="392"/>
      <c r="I956" s="392"/>
      <c r="J956" s="392"/>
      <c r="K956" s="392"/>
      <c r="L956" s="392"/>
      <c r="M956" s="392"/>
      <c r="N956" s="392"/>
      <c r="O956" s="392"/>
      <c r="P956" s="392"/>
      <c r="Q956" s="392"/>
      <c r="R956" s="392"/>
      <c r="S956" s="392"/>
      <c r="T956" s="392"/>
      <c r="U956" s="392"/>
      <c r="V956" s="392"/>
      <c r="W956" s="392"/>
      <c r="X956" s="392"/>
      <c r="Y956" s="392"/>
      <c r="Z956" s="392"/>
      <c r="AA956" s="392"/>
      <c r="AB956" s="392"/>
      <c r="AC956" s="392"/>
      <c r="AD956" s="392"/>
      <c r="AE956" s="392"/>
      <c r="AF956" s="392"/>
      <c r="AG956" s="392"/>
      <c r="AH956" s="392"/>
      <c r="AI956" s="392"/>
      <c r="AJ956" s="392"/>
      <c r="AK956" s="392"/>
      <c r="AL956" s="392"/>
      <c r="AM956" s="392"/>
      <c r="AN956" s="392"/>
      <c r="AO956" s="392"/>
      <c r="AP956" s="392"/>
      <c r="AQ956" s="392"/>
      <c r="AR956" s="392"/>
      <c r="AS956" s="392"/>
      <c r="AT956" s="392"/>
      <c r="AU956" s="392"/>
      <c r="AV956" s="392"/>
      <c r="AW956" s="392"/>
      <c r="AX956" s="392"/>
      <c r="AY956" s="392"/>
      <c r="AZ956" s="392"/>
      <c r="BA956" s="392"/>
      <c r="BB956" s="392"/>
      <c r="BC956" s="392"/>
      <c r="BD956" s="392"/>
      <c r="BE956" s="392"/>
      <c r="BF956" s="392"/>
      <c r="BG956" s="392"/>
      <c r="BH956" s="392"/>
      <c r="BI956" s="392"/>
      <c r="BJ956" s="392"/>
      <c r="BK956" s="392"/>
      <c r="BL956" s="392"/>
      <c r="BM956" s="392"/>
      <c r="BN956" s="392"/>
      <c r="BO956" s="392"/>
      <c r="BP956" s="392"/>
      <c r="BQ956" s="392"/>
      <c r="BR956" s="392"/>
      <c r="BS956" s="392"/>
      <c r="BT956" s="392"/>
    </row>
    <row r="957" ht="15.75" customHeight="1">
      <c r="A957" s="216"/>
      <c r="B957" s="156"/>
      <c r="C957" s="156"/>
      <c r="D957" s="156"/>
      <c r="E957" s="392"/>
      <c r="F957" s="392"/>
      <c r="G957" s="392"/>
      <c r="H957" s="392"/>
      <c r="I957" s="392"/>
      <c r="J957" s="392"/>
      <c r="K957" s="392"/>
      <c r="L957" s="392"/>
      <c r="M957" s="392"/>
      <c r="N957" s="392"/>
      <c r="O957" s="392"/>
      <c r="P957" s="392"/>
      <c r="Q957" s="392"/>
      <c r="R957" s="392"/>
      <c r="S957" s="392"/>
      <c r="T957" s="392"/>
      <c r="U957" s="392"/>
      <c r="V957" s="392"/>
      <c r="W957" s="392"/>
      <c r="X957" s="392"/>
      <c r="Y957" s="392"/>
      <c r="Z957" s="392"/>
      <c r="AA957" s="392"/>
      <c r="AB957" s="392"/>
      <c r="AC957" s="392"/>
      <c r="AD957" s="392"/>
      <c r="AE957" s="392"/>
      <c r="AF957" s="392"/>
      <c r="AG957" s="392"/>
      <c r="AH957" s="392"/>
      <c r="AI957" s="392"/>
      <c r="AJ957" s="392"/>
      <c r="AK957" s="392"/>
      <c r="AL957" s="392"/>
      <c r="AM957" s="392"/>
      <c r="AN957" s="392"/>
      <c r="AO957" s="392"/>
      <c r="AP957" s="392"/>
      <c r="AQ957" s="392"/>
      <c r="AR957" s="392"/>
      <c r="AS957" s="392"/>
      <c r="AT957" s="392"/>
      <c r="AU957" s="392"/>
      <c r="AV957" s="392"/>
      <c r="AW957" s="392"/>
      <c r="AX957" s="392"/>
      <c r="AY957" s="392"/>
      <c r="AZ957" s="392"/>
      <c r="BA957" s="392"/>
      <c r="BB957" s="392"/>
      <c r="BC957" s="392"/>
      <c r="BD957" s="392"/>
      <c r="BE957" s="392"/>
      <c r="BF957" s="392"/>
      <c r="BG957" s="392"/>
      <c r="BH957" s="392"/>
      <c r="BI957" s="392"/>
      <c r="BJ957" s="392"/>
      <c r="BK957" s="392"/>
      <c r="BL957" s="392"/>
      <c r="BM957" s="392"/>
      <c r="BN957" s="392"/>
      <c r="BO957" s="392"/>
      <c r="BP957" s="392"/>
      <c r="BQ957" s="392"/>
      <c r="BR957" s="392"/>
      <c r="BS957" s="392"/>
      <c r="BT957" s="392"/>
    </row>
    <row r="958" ht="15.75" customHeight="1">
      <c r="A958" s="216"/>
      <c r="B958" s="156"/>
      <c r="C958" s="156"/>
      <c r="D958" s="156"/>
      <c r="E958" s="392"/>
      <c r="F958" s="392"/>
      <c r="G958" s="392"/>
      <c r="H958" s="392"/>
      <c r="I958" s="392"/>
      <c r="J958" s="392"/>
      <c r="K958" s="392"/>
      <c r="L958" s="392"/>
      <c r="M958" s="392"/>
      <c r="N958" s="392"/>
      <c r="O958" s="392"/>
      <c r="P958" s="392"/>
      <c r="Q958" s="392"/>
      <c r="R958" s="392"/>
      <c r="S958" s="392"/>
      <c r="T958" s="392"/>
      <c r="U958" s="392"/>
      <c r="V958" s="392"/>
      <c r="W958" s="392"/>
      <c r="X958" s="392"/>
      <c r="Y958" s="392"/>
      <c r="Z958" s="392"/>
      <c r="AA958" s="392"/>
      <c r="AB958" s="392"/>
      <c r="AC958" s="392"/>
      <c r="AD958" s="392"/>
      <c r="AE958" s="392"/>
      <c r="AF958" s="392"/>
      <c r="AG958" s="392"/>
      <c r="AH958" s="392"/>
      <c r="AI958" s="392"/>
      <c r="AJ958" s="392"/>
      <c r="AK958" s="392"/>
      <c r="AL958" s="392"/>
      <c r="AM958" s="392"/>
      <c r="AN958" s="392"/>
      <c r="AO958" s="392"/>
      <c r="AP958" s="392"/>
      <c r="AQ958" s="392"/>
      <c r="AR958" s="392"/>
      <c r="AS958" s="392"/>
      <c r="AT958" s="392"/>
      <c r="AU958" s="392"/>
      <c r="AV958" s="392"/>
      <c r="AW958" s="392"/>
      <c r="AX958" s="392"/>
      <c r="AY958" s="392"/>
      <c r="AZ958" s="392"/>
      <c r="BA958" s="392"/>
      <c r="BB958" s="392"/>
      <c r="BC958" s="392"/>
      <c r="BD958" s="392"/>
      <c r="BE958" s="392"/>
      <c r="BF958" s="392"/>
      <c r="BG958" s="392"/>
      <c r="BH958" s="392"/>
      <c r="BI958" s="392"/>
      <c r="BJ958" s="392"/>
      <c r="BK958" s="392"/>
      <c r="BL958" s="392"/>
      <c r="BM958" s="392"/>
      <c r="BN958" s="392"/>
      <c r="BO958" s="392"/>
      <c r="BP958" s="392"/>
      <c r="BQ958" s="392"/>
      <c r="BR958" s="392"/>
      <c r="BS958" s="392"/>
      <c r="BT958" s="392"/>
    </row>
    <row r="959" ht="15.75" customHeight="1">
      <c r="A959" s="216"/>
      <c r="B959" s="156"/>
      <c r="C959" s="156"/>
      <c r="D959" s="156"/>
      <c r="E959" s="392"/>
      <c r="F959" s="392"/>
      <c r="G959" s="392"/>
      <c r="H959" s="392"/>
      <c r="I959" s="392"/>
      <c r="J959" s="392"/>
      <c r="K959" s="392"/>
      <c r="L959" s="392"/>
      <c r="M959" s="392"/>
      <c r="N959" s="392"/>
      <c r="O959" s="392"/>
      <c r="P959" s="392"/>
      <c r="Q959" s="392"/>
      <c r="R959" s="392"/>
      <c r="S959" s="392"/>
      <c r="T959" s="392"/>
      <c r="U959" s="392"/>
      <c r="V959" s="392"/>
      <c r="W959" s="392"/>
      <c r="X959" s="392"/>
      <c r="Y959" s="392"/>
      <c r="Z959" s="392"/>
      <c r="AA959" s="392"/>
      <c r="AB959" s="392"/>
      <c r="AC959" s="392"/>
      <c r="AD959" s="392"/>
      <c r="AE959" s="392"/>
      <c r="AF959" s="392"/>
      <c r="AG959" s="392"/>
      <c r="AH959" s="392"/>
      <c r="AI959" s="392"/>
      <c r="AJ959" s="392"/>
      <c r="AK959" s="392"/>
      <c r="AL959" s="392"/>
      <c r="AM959" s="392"/>
      <c r="AN959" s="392"/>
      <c r="AO959" s="392"/>
      <c r="AP959" s="392"/>
      <c r="AQ959" s="392"/>
      <c r="AR959" s="392"/>
      <c r="AS959" s="392"/>
      <c r="AT959" s="392"/>
      <c r="AU959" s="392"/>
      <c r="AV959" s="392"/>
      <c r="AW959" s="392"/>
      <c r="AX959" s="392"/>
      <c r="AY959" s="392"/>
      <c r="AZ959" s="392"/>
      <c r="BA959" s="392"/>
      <c r="BB959" s="392"/>
      <c r="BC959" s="392"/>
      <c r="BD959" s="392"/>
      <c r="BE959" s="392"/>
      <c r="BF959" s="392"/>
      <c r="BG959" s="392"/>
      <c r="BH959" s="392"/>
      <c r="BI959" s="392"/>
      <c r="BJ959" s="392"/>
      <c r="BK959" s="392"/>
      <c r="BL959" s="392"/>
      <c r="BM959" s="392"/>
      <c r="BN959" s="392"/>
      <c r="BO959" s="392"/>
      <c r="BP959" s="392"/>
      <c r="BQ959" s="392"/>
      <c r="BR959" s="392"/>
      <c r="BS959" s="392"/>
      <c r="BT959" s="392"/>
    </row>
    <row r="960" ht="15.75" customHeight="1">
      <c r="A960" s="216"/>
      <c r="B960" s="156"/>
      <c r="C960" s="156"/>
      <c r="D960" s="156"/>
      <c r="E960" s="392"/>
      <c r="F960" s="392"/>
      <c r="G960" s="392"/>
      <c r="H960" s="392"/>
      <c r="I960" s="392"/>
      <c r="J960" s="392"/>
      <c r="K960" s="392"/>
      <c r="L960" s="392"/>
      <c r="M960" s="392"/>
      <c r="N960" s="392"/>
      <c r="O960" s="392"/>
      <c r="P960" s="392"/>
      <c r="Q960" s="392"/>
      <c r="R960" s="392"/>
      <c r="S960" s="392"/>
      <c r="T960" s="392"/>
      <c r="U960" s="392"/>
      <c r="V960" s="392"/>
      <c r="W960" s="392"/>
      <c r="X960" s="392"/>
      <c r="Y960" s="392"/>
      <c r="Z960" s="392"/>
      <c r="AA960" s="392"/>
      <c r="AB960" s="392"/>
      <c r="AC960" s="392"/>
      <c r="AD960" s="392"/>
      <c r="AE960" s="392"/>
      <c r="AF960" s="392"/>
      <c r="AG960" s="392"/>
      <c r="AH960" s="392"/>
      <c r="AI960" s="392"/>
      <c r="AJ960" s="392"/>
      <c r="AK960" s="392"/>
      <c r="AL960" s="392"/>
      <c r="AM960" s="392"/>
      <c r="AN960" s="392"/>
      <c r="AO960" s="392"/>
      <c r="AP960" s="392"/>
      <c r="AQ960" s="392"/>
      <c r="AR960" s="392"/>
      <c r="AS960" s="392"/>
      <c r="AT960" s="392"/>
      <c r="AU960" s="392"/>
      <c r="AV960" s="392"/>
      <c r="AW960" s="392"/>
      <c r="AX960" s="392"/>
      <c r="AY960" s="392"/>
      <c r="AZ960" s="392"/>
      <c r="BA960" s="392"/>
      <c r="BB960" s="392"/>
      <c r="BC960" s="392"/>
      <c r="BD960" s="392"/>
      <c r="BE960" s="392"/>
      <c r="BF960" s="392"/>
      <c r="BG960" s="392"/>
      <c r="BH960" s="392"/>
      <c r="BI960" s="392"/>
      <c r="BJ960" s="392"/>
      <c r="BK960" s="392"/>
      <c r="BL960" s="392"/>
      <c r="BM960" s="392"/>
      <c r="BN960" s="392"/>
      <c r="BO960" s="392"/>
      <c r="BP960" s="392"/>
      <c r="BQ960" s="392"/>
      <c r="BR960" s="392"/>
      <c r="BS960" s="392"/>
      <c r="BT960" s="392"/>
    </row>
    <row r="961" ht="15.75" customHeight="1">
      <c r="A961" s="216"/>
      <c r="B961" s="156"/>
      <c r="C961" s="156"/>
      <c r="D961" s="156"/>
      <c r="E961" s="392"/>
      <c r="F961" s="392"/>
      <c r="G961" s="392"/>
      <c r="H961" s="392"/>
      <c r="I961" s="392"/>
      <c r="J961" s="392"/>
      <c r="K961" s="392"/>
      <c r="L961" s="392"/>
      <c r="M961" s="392"/>
      <c r="N961" s="392"/>
      <c r="O961" s="392"/>
      <c r="P961" s="392"/>
      <c r="Q961" s="392"/>
      <c r="R961" s="392"/>
      <c r="S961" s="392"/>
      <c r="T961" s="392"/>
      <c r="U961" s="392"/>
      <c r="V961" s="392"/>
      <c r="W961" s="392"/>
      <c r="X961" s="392"/>
      <c r="Y961" s="392"/>
      <c r="Z961" s="392"/>
      <c r="AA961" s="392"/>
      <c r="AB961" s="392"/>
      <c r="AC961" s="392"/>
      <c r="AD961" s="392"/>
      <c r="AE961" s="392"/>
      <c r="AF961" s="392"/>
      <c r="AG961" s="392"/>
      <c r="AH961" s="392"/>
      <c r="AI961" s="392"/>
      <c r="AJ961" s="392"/>
      <c r="AK961" s="392"/>
      <c r="AL961" s="392"/>
      <c r="AM961" s="392"/>
      <c r="AN961" s="392"/>
      <c r="AO961" s="392"/>
      <c r="AP961" s="392"/>
      <c r="AQ961" s="392"/>
      <c r="AR961" s="392"/>
      <c r="AS961" s="392"/>
      <c r="AT961" s="392"/>
      <c r="AU961" s="392"/>
      <c r="AV961" s="392"/>
      <c r="AW961" s="392"/>
      <c r="AX961" s="392"/>
      <c r="AY961" s="392"/>
      <c r="AZ961" s="392"/>
      <c r="BA961" s="392"/>
      <c r="BB961" s="392"/>
      <c r="BC961" s="392"/>
      <c r="BD961" s="392"/>
      <c r="BE961" s="392"/>
      <c r="BF961" s="392"/>
      <c r="BG961" s="392"/>
      <c r="BH961" s="392"/>
      <c r="BI961" s="392"/>
      <c r="BJ961" s="392"/>
      <c r="BK961" s="392"/>
      <c r="BL961" s="392"/>
      <c r="BM961" s="392"/>
      <c r="BN961" s="392"/>
      <c r="BO961" s="392"/>
      <c r="BP961" s="392"/>
      <c r="BQ961" s="392"/>
      <c r="BR961" s="392"/>
      <c r="BS961" s="392"/>
      <c r="BT961" s="392"/>
    </row>
    <row r="962" ht="15.75" customHeight="1">
      <c r="A962" s="216"/>
      <c r="B962" s="156"/>
      <c r="C962" s="156"/>
      <c r="D962" s="156"/>
      <c r="E962" s="392"/>
      <c r="F962" s="392"/>
      <c r="G962" s="392"/>
      <c r="H962" s="392"/>
      <c r="I962" s="392"/>
      <c r="J962" s="392"/>
      <c r="K962" s="392"/>
      <c r="L962" s="392"/>
      <c r="M962" s="392"/>
      <c r="N962" s="392"/>
      <c r="O962" s="392"/>
      <c r="P962" s="392"/>
      <c r="Q962" s="392"/>
      <c r="R962" s="392"/>
      <c r="S962" s="392"/>
      <c r="T962" s="392"/>
      <c r="U962" s="392"/>
      <c r="V962" s="392"/>
      <c r="W962" s="392"/>
      <c r="X962" s="392"/>
      <c r="Y962" s="392"/>
      <c r="Z962" s="392"/>
      <c r="AA962" s="392"/>
      <c r="AB962" s="392"/>
      <c r="AC962" s="392"/>
      <c r="AD962" s="392"/>
      <c r="AE962" s="392"/>
      <c r="AF962" s="392"/>
      <c r="AG962" s="392"/>
      <c r="AH962" s="392"/>
      <c r="AI962" s="392"/>
      <c r="AJ962" s="392"/>
      <c r="AK962" s="392"/>
      <c r="AL962" s="392"/>
      <c r="AM962" s="392"/>
      <c r="AN962" s="392"/>
      <c r="AO962" s="392"/>
      <c r="AP962" s="392"/>
      <c r="AQ962" s="392"/>
      <c r="AR962" s="392"/>
      <c r="AS962" s="392"/>
      <c r="AT962" s="392"/>
      <c r="AU962" s="392"/>
      <c r="AV962" s="392"/>
      <c r="AW962" s="392"/>
      <c r="AX962" s="392"/>
      <c r="AY962" s="392"/>
      <c r="AZ962" s="392"/>
      <c r="BA962" s="392"/>
      <c r="BB962" s="392"/>
      <c r="BC962" s="392"/>
      <c r="BD962" s="392"/>
      <c r="BE962" s="392"/>
      <c r="BF962" s="392"/>
      <c r="BG962" s="392"/>
      <c r="BH962" s="392"/>
      <c r="BI962" s="392"/>
      <c r="BJ962" s="392"/>
      <c r="BK962" s="392"/>
      <c r="BL962" s="392"/>
      <c r="BM962" s="392"/>
      <c r="BN962" s="392"/>
      <c r="BO962" s="392"/>
      <c r="BP962" s="392"/>
      <c r="BQ962" s="392"/>
      <c r="BR962" s="392"/>
      <c r="BS962" s="392"/>
      <c r="BT962" s="392"/>
    </row>
    <row r="963" ht="15.75" customHeight="1">
      <c r="A963" s="216"/>
      <c r="B963" s="156"/>
      <c r="C963" s="156"/>
      <c r="D963" s="156"/>
      <c r="E963" s="392"/>
      <c r="F963" s="392"/>
      <c r="G963" s="392"/>
      <c r="H963" s="392"/>
      <c r="I963" s="392"/>
      <c r="J963" s="392"/>
      <c r="K963" s="392"/>
      <c r="L963" s="392"/>
      <c r="M963" s="392"/>
      <c r="N963" s="392"/>
      <c r="O963" s="392"/>
      <c r="P963" s="392"/>
      <c r="Q963" s="392"/>
      <c r="R963" s="392"/>
      <c r="S963" s="392"/>
      <c r="T963" s="392"/>
      <c r="U963" s="392"/>
      <c r="V963" s="392"/>
      <c r="W963" s="392"/>
      <c r="X963" s="392"/>
      <c r="Y963" s="392"/>
      <c r="Z963" s="392"/>
      <c r="AA963" s="392"/>
      <c r="AB963" s="392"/>
      <c r="AC963" s="392"/>
      <c r="AD963" s="392"/>
      <c r="AE963" s="392"/>
      <c r="AF963" s="392"/>
      <c r="AG963" s="392"/>
      <c r="AH963" s="392"/>
      <c r="AI963" s="392"/>
      <c r="AJ963" s="392"/>
      <c r="AK963" s="392"/>
      <c r="AL963" s="392"/>
      <c r="AM963" s="392"/>
      <c r="AN963" s="392"/>
      <c r="AO963" s="392"/>
      <c r="AP963" s="392"/>
      <c r="AQ963" s="392"/>
      <c r="AR963" s="392"/>
      <c r="AS963" s="392"/>
      <c r="AT963" s="392"/>
      <c r="AU963" s="392"/>
      <c r="AV963" s="392"/>
      <c r="AW963" s="392"/>
      <c r="AX963" s="392"/>
      <c r="AY963" s="392"/>
      <c r="AZ963" s="392"/>
      <c r="BA963" s="392"/>
      <c r="BB963" s="392"/>
      <c r="BC963" s="392"/>
      <c r="BD963" s="392"/>
      <c r="BE963" s="392"/>
      <c r="BF963" s="392"/>
      <c r="BG963" s="392"/>
      <c r="BH963" s="392"/>
      <c r="BI963" s="392"/>
      <c r="BJ963" s="392"/>
      <c r="BK963" s="392"/>
      <c r="BL963" s="392"/>
      <c r="BM963" s="392"/>
      <c r="BN963" s="392"/>
      <c r="BO963" s="392"/>
      <c r="BP963" s="392"/>
      <c r="BQ963" s="392"/>
      <c r="BR963" s="392"/>
      <c r="BS963" s="392"/>
      <c r="BT963" s="392"/>
    </row>
    <row r="964" ht="15.75" customHeight="1">
      <c r="A964" s="216"/>
      <c r="B964" s="156"/>
      <c r="C964" s="156"/>
      <c r="D964" s="156"/>
      <c r="E964" s="392"/>
      <c r="F964" s="392"/>
      <c r="G964" s="392"/>
      <c r="H964" s="392"/>
      <c r="I964" s="392"/>
      <c r="J964" s="392"/>
      <c r="K964" s="392"/>
      <c r="L964" s="392"/>
      <c r="M964" s="392"/>
      <c r="N964" s="392"/>
      <c r="O964" s="392"/>
      <c r="P964" s="392"/>
      <c r="Q964" s="392"/>
      <c r="R964" s="392"/>
      <c r="S964" s="392"/>
      <c r="T964" s="392"/>
      <c r="U964" s="392"/>
      <c r="V964" s="392"/>
      <c r="W964" s="392"/>
      <c r="X964" s="392"/>
      <c r="Y964" s="392"/>
      <c r="Z964" s="392"/>
      <c r="AA964" s="392"/>
      <c r="AB964" s="392"/>
      <c r="AC964" s="392"/>
      <c r="AD964" s="392"/>
      <c r="AE964" s="392"/>
      <c r="AF964" s="392"/>
      <c r="AG964" s="392"/>
      <c r="AH964" s="392"/>
      <c r="AI964" s="392"/>
      <c r="AJ964" s="392"/>
      <c r="AK964" s="392"/>
      <c r="AL964" s="392"/>
      <c r="AM964" s="392"/>
      <c r="AN964" s="392"/>
      <c r="AO964" s="392"/>
      <c r="AP964" s="392"/>
      <c r="AQ964" s="392"/>
      <c r="AR964" s="392"/>
      <c r="AS964" s="392"/>
      <c r="AT964" s="392"/>
      <c r="AU964" s="392"/>
      <c r="AV964" s="392"/>
      <c r="AW964" s="392"/>
      <c r="AX964" s="392"/>
      <c r="AY964" s="392"/>
      <c r="AZ964" s="392"/>
      <c r="BA964" s="392"/>
      <c r="BB964" s="392"/>
      <c r="BC964" s="392"/>
      <c r="BD964" s="392"/>
      <c r="BE964" s="392"/>
      <c r="BF964" s="392"/>
      <c r="BG964" s="392"/>
      <c r="BH964" s="392"/>
      <c r="BI964" s="392"/>
      <c r="BJ964" s="392"/>
      <c r="BK964" s="392"/>
      <c r="BL964" s="392"/>
      <c r="BM964" s="392"/>
      <c r="BN964" s="392"/>
      <c r="BO964" s="392"/>
      <c r="BP964" s="392"/>
      <c r="BQ964" s="392"/>
      <c r="BR964" s="392"/>
      <c r="BS964" s="392"/>
      <c r="BT964" s="392"/>
    </row>
    <row r="965" ht="15.75" customHeight="1">
      <c r="A965" s="216"/>
      <c r="B965" s="156"/>
      <c r="C965" s="156"/>
      <c r="D965" s="156"/>
      <c r="E965" s="392"/>
      <c r="F965" s="392"/>
      <c r="G965" s="392"/>
      <c r="H965" s="392"/>
      <c r="I965" s="392"/>
      <c r="J965" s="392"/>
      <c r="K965" s="392"/>
      <c r="L965" s="392"/>
      <c r="M965" s="392"/>
      <c r="N965" s="392"/>
      <c r="O965" s="392"/>
      <c r="P965" s="392"/>
      <c r="Q965" s="392"/>
      <c r="R965" s="392"/>
      <c r="S965" s="392"/>
      <c r="T965" s="392"/>
      <c r="U965" s="392"/>
      <c r="V965" s="392"/>
      <c r="W965" s="392"/>
      <c r="X965" s="392"/>
      <c r="Y965" s="392"/>
      <c r="Z965" s="392"/>
      <c r="AA965" s="392"/>
      <c r="AB965" s="392"/>
      <c r="AC965" s="392"/>
      <c r="AD965" s="392"/>
      <c r="AE965" s="392"/>
      <c r="AF965" s="392"/>
      <c r="AG965" s="392"/>
      <c r="AH965" s="392"/>
      <c r="AI965" s="392"/>
      <c r="AJ965" s="392"/>
      <c r="AK965" s="392"/>
      <c r="AL965" s="392"/>
      <c r="AM965" s="392"/>
      <c r="AN965" s="392"/>
      <c r="AO965" s="392"/>
      <c r="AP965" s="392"/>
      <c r="AQ965" s="392"/>
      <c r="AR965" s="392"/>
      <c r="AS965" s="392"/>
      <c r="AT965" s="392"/>
      <c r="AU965" s="392"/>
      <c r="AV965" s="392"/>
      <c r="AW965" s="392"/>
      <c r="AX965" s="392"/>
      <c r="AY965" s="392"/>
      <c r="AZ965" s="392"/>
      <c r="BA965" s="392"/>
      <c r="BB965" s="392"/>
      <c r="BC965" s="392"/>
      <c r="BD965" s="392"/>
      <c r="BE965" s="392"/>
      <c r="BF965" s="392"/>
      <c r="BG965" s="392"/>
      <c r="BH965" s="392"/>
      <c r="BI965" s="392"/>
      <c r="BJ965" s="392"/>
      <c r="BK965" s="392"/>
      <c r="BL965" s="392"/>
      <c r="BM965" s="392"/>
      <c r="BN965" s="392"/>
      <c r="BO965" s="392"/>
      <c r="BP965" s="392"/>
      <c r="BQ965" s="392"/>
      <c r="BR965" s="392"/>
      <c r="BS965" s="392"/>
      <c r="BT965" s="392"/>
    </row>
    <row r="966" ht="15.75" customHeight="1">
      <c r="A966" s="216"/>
      <c r="B966" s="156"/>
      <c r="C966" s="156"/>
      <c r="D966" s="156"/>
      <c r="E966" s="392"/>
      <c r="F966" s="392"/>
      <c r="G966" s="392"/>
      <c r="H966" s="392"/>
      <c r="I966" s="392"/>
      <c r="J966" s="392"/>
      <c r="K966" s="392"/>
      <c r="L966" s="392"/>
      <c r="M966" s="392"/>
      <c r="N966" s="392"/>
      <c r="O966" s="392"/>
      <c r="P966" s="392"/>
      <c r="Q966" s="392"/>
      <c r="R966" s="392"/>
      <c r="S966" s="392"/>
      <c r="T966" s="392"/>
      <c r="U966" s="392"/>
      <c r="V966" s="392"/>
      <c r="W966" s="392"/>
      <c r="X966" s="392"/>
      <c r="Y966" s="392"/>
      <c r="Z966" s="392"/>
      <c r="AA966" s="392"/>
      <c r="AB966" s="392"/>
      <c r="AC966" s="392"/>
      <c r="AD966" s="392"/>
      <c r="AE966" s="392"/>
      <c r="AF966" s="392"/>
      <c r="AG966" s="392"/>
      <c r="AH966" s="392"/>
      <c r="AI966" s="392"/>
      <c r="AJ966" s="392"/>
      <c r="AK966" s="392"/>
      <c r="AL966" s="392"/>
      <c r="AM966" s="392"/>
      <c r="AN966" s="392"/>
      <c r="AO966" s="392"/>
      <c r="AP966" s="392"/>
      <c r="AQ966" s="392"/>
      <c r="AR966" s="392"/>
      <c r="AS966" s="392"/>
      <c r="AT966" s="392"/>
      <c r="AU966" s="392"/>
      <c r="AV966" s="392"/>
      <c r="AW966" s="392"/>
      <c r="AX966" s="392"/>
      <c r="AY966" s="392"/>
      <c r="AZ966" s="392"/>
      <c r="BA966" s="392"/>
      <c r="BB966" s="392"/>
      <c r="BC966" s="392"/>
      <c r="BD966" s="392"/>
      <c r="BE966" s="392"/>
      <c r="BF966" s="392"/>
      <c r="BG966" s="392"/>
      <c r="BH966" s="392"/>
      <c r="BI966" s="392"/>
      <c r="BJ966" s="392"/>
      <c r="BK966" s="392"/>
      <c r="BL966" s="392"/>
      <c r="BM966" s="392"/>
      <c r="BN966" s="392"/>
      <c r="BO966" s="392"/>
      <c r="BP966" s="392"/>
      <c r="BQ966" s="392"/>
      <c r="BR966" s="392"/>
      <c r="BS966" s="392"/>
      <c r="BT966" s="392"/>
    </row>
    <row r="967" ht="15.75" customHeight="1">
      <c r="A967" s="216"/>
      <c r="B967" s="156"/>
      <c r="C967" s="156"/>
      <c r="D967" s="156"/>
      <c r="E967" s="392"/>
      <c r="F967" s="392"/>
      <c r="G967" s="392"/>
      <c r="H967" s="392"/>
      <c r="I967" s="392"/>
      <c r="J967" s="392"/>
      <c r="K967" s="392"/>
      <c r="L967" s="392"/>
      <c r="M967" s="392"/>
      <c r="N967" s="392"/>
      <c r="O967" s="392"/>
      <c r="P967" s="392"/>
      <c r="Q967" s="392"/>
      <c r="R967" s="392"/>
      <c r="S967" s="392"/>
      <c r="T967" s="392"/>
      <c r="U967" s="392"/>
      <c r="V967" s="392"/>
      <c r="W967" s="392"/>
      <c r="X967" s="392"/>
      <c r="Y967" s="392"/>
      <c r="Z967" s="392"/>
      <c r="AA967" s="392"/>
      <c r="AB967" s="392"/>
      <c r="AC967" s="392"/>
      <c r="AD967" s="392"/>
      <c r="AE967" s="392"/>
      <c r="AF967" s="392"/>
      <c r="AG967" s="392"/>
      <c r="AH967" s="392"/>
      <c r="AI967" s="392"/>
      <c r="AJ967" s="392"/>
      <c r="AK967" s="392"/>
      <c r="AL967" s="392"/>
      <c r="AM967" s="392"/>
      <c r="AN967" s="392"/>
      <c r="AO967" s="392"/>
      <c r="AP967" s="392"/>
      <c r="AQ967" s="392"/>
      <c r="AR967" s="392"/>
      <c r="AS967" s="392"/>
      <c r="AT967" s="392"/>
      <c r="AU967" s="392"/>
      <c r="AV967" s="392"/>
      <c r="AW967" s="392"/>
      <c r="AX967" s="392"/>
      <c r="AY967" s="392"/>
      <c r="AZ967" s="392"/>
      <c r="BA967" s="392"/>
      <c r="BB967" s="392"/>
      <c r="BC967" s="392"/>
      <c r="BD967" s="392"/>
      <c r="BE967" s="392"/>
      <c r="BF967" s="392"/>
      <c r="BG967" s="392"/>
      <c r="BH967" s="392"/>
      <c r="BI967" s="392"/>
      <c r="BJ967" s="392"/>
      <c r="BK967" s="392"/>
      <c r="BL967" s="392"/>
      <c r="BM967" s="392"/>
      <c r="BN967" s="392"/>
      <c r="BO967" s="392"/>
      <c r="BP967" s="392"/>
      <c r="BQ967" s="392"/>
      <c r="BR967" s="392"/>
      <c r="BS967" s="392"/>
      <c r="BT967" s="392"/>
    </row>
    <row r="968" ht="15.75" customHeight="1">
      <c r="A968" s="216"/>
      <c r="B968" s="156"/>
      <c r="C968" s="156"/>
      <c r="D968" s="156"/>
      <c r="E968" s="392"/>
      <c r="F968" s="392"/>
      <c r="G968" s="392"/>
      <c r="H968" s="392"/>
      <c r="I968" s="392"/>
      <c r="J968" s="392"/>
      <c r="K968" s="392"/>
      <c r="L968" s="392"/>
      <c r="M968" s="392"/>
      <c r="N968" s="392"/>
      <c r="O968" s="392"/>
      <c r="P968" s="392"/>
      <c r="Q968" s="392"/>
      <c r="R968" s="392"/>
      <c r="S968" s="392"/>
      <c r="T968" s="392"/>
      <c r="U968" s="392"/>
      <c r="V968" s="392"/>
      <c r="W968" s="392"/>
      <c r="X968" s="392"/>
      <c r="Y968" s="392"/>
      <c r="Z968" s="392"/>
      <c r="AA968" s="392"/>
      <c r="AB968" s="392"/>
      <c r="AC968" s="392"/>
      <c r="AD968" s="392"/>
      <c r="AE968" s="392"/>
      <c r="AF968" s="392"/>
      <c r="AG968" s="392"/>
      <c r="AH968" s="392"/>
      <c r="AI968" s="392"/>
      <c r="AJ968" s="392"/>
      <c r="AK968" s="392"/>
      <c r="AL968" s="392"/>
      <c r="AM968" s="392"/>
      <c r="AN968" s="392"/>
      <c r="AO968" s="392"/>
      <c r="AP968" s="392"/>
      <c r="AQ968" s="392"/>
      <c r="AR968" s="392"/>
      <c r="AS968" s="392"/>
      <c r="AT968" s="392"/>
      <c r="AU968" s="392"/>
      <c r="AV968" s="392"/>
      <c r="AW968" s="392"/>
      <c r="AX968" s="392"/>
      <c r="AY968" s="392"/>
      <c r="AZ968" s="392"/>
      <c r="BA968" s="392"/>
      <c r="BB968" s="392"/>
      <c r="BC968" s="392"/>
      <c r="BD968" s="392"/>
      <c r="BE968" s="392"/>
      <c r="BF968" s="392"/>
      <c r="BG968" s="392"/>
      <c r="BH968" s="392"/>
      <c r="BI968" s="392"/>
      <c r="BJ968" s="392"/>
      <c r="BK968" s="392"/>
      <c r="BL968" s="392"/>
      <c r="BM968" s="392"/>
      <c r="BN968" s="392"/>
      <c r="BO968" s="392"/>
      <c r="BP968" s="392"/>
      <c r="BQ968" s="392"/>
      <c r="BR968" s="392"/>
      <c r="BS968" s="392"/>
      <c r="BT968" s="392"/>
    </row>
    <row r="969" ht="15.75" customHeight="1">
      <c r="A969" s="216"/>
      <c r="B969" s="156"/>
      <c r="C969" s="156"/>
      <c r="D969" s="156"/>
      <c r="E969" s="392"/>
      <c r="F969" s="392"/>
      <c r="G969" s="392"/>
      <c r="H969" s="392"/>
      <c r="I969" s="392"/>
      <c r="J969" s="392"/>
      <c r="K969" s="392"/>
      <c r="L969" s="392"/>
      <c r="M969" s="392"/>
      <c r="N969" s="392"/>
      <c r="O969" s="392"/>
      <c r="P969" s="392"/>
      <c r="Q969" s="392"/>
      <c r="R969" s="392"/>
      <c r="S969" s="392"/>
      <c r="T969" s="392"/>
      <c r="U969" s="392"/>
      <c r="V969" s="392"/>
      <c r="W969" s="392"/>
      <c r="X969" s="392"/>
      <c r="Y969" s="392"/>
      <c r="Z969" s="392"/>
      <c r="AA969" s="392"/>
      <c r="AB969" s="392"/>
      <c r="AC969" s="392"/>
      <c r="AD969" s="392"/>
      <c r="AE969" s="392"/>
      <c r="AF969" s="392"/>
      <c r="AG969" s="392"/>
      <c r="AH969" s="392"/>
      <c r="AI969" s="392"/>
      <c r="AJ969" s="392"/>
      <c r="AK969" s="392"/>
      <c r="AL969" s="392"/>
      <c r="AM969" s="392"/>
      <c r="AN969" s="392"/>
      <c r="AO969" s="392"/>
      <c r="AP969" s="392"/>
      <c r="AQ969" s="392"/>
      <c r="AR969" s="392"/>
      <c r="AS969" s="392"/>
      <c r="AT969" s="392"/>
      <c r="AU969" s="392"/>
      <c r="AV969" s="392"/>
      <c r="AW969" s="392"/>
      <c r="AX969" s="392"/>
      <c r="AY969" s="392"/>
      <c r="AZ969" s="392"/>
      <c r="BA969" s="392"/>
      <c r="BB969" s="392"/>
      <c r="BC969" s="392"/>
      <c r="BD969" s="392"/>
      <c r="BE969" s="392"/>
      <c r="BF969" s="392"/>
      <c r="BG969" s="392"/>
      <c r="BH969" s="392"/>
      <c r="BI969" s="392"/>
      <c r="BJ969" s="392"/>
      <c r="BK969" s="392"/>
      <c r="BL969" s="392"/>
      <c r="BM969" s="392"/>
      <c r="BN969" s="392"/>
      <c r="BO969" s="392"/>
      <c r="BP969" s="392"/>
      <c r="BQ969" s="392"/>
      <c r="BR969" s="392"/>
      <c r="BS969" s="392"/>
      <c r="BT969" s="392"/>
    </row>
    <row r="970" ht="15.75" customHeight="1">
      <c r="A970" s="216"/>
      <c r="B970" s="156"/>
      <c r="C970" s="156"/>
      <c r="D970" s="156"/>
      <c r="E970" s="392"/>
      <c r="F970" s="392"/>
      <c r="G970" s="392"/>
      <c r="H970" s="392"/>
      <c r="I970" s="392"/>
      <c r="J970" s="392"/>
      <c r="K970" s="392"/>
      <c r="L970" s="392"/>
      <c r="M970" s="392"/>
      <c r="N970" s="392"/>
      <c r="O970" s="392"/>
      <c r="P970" s="392"/>
      <c r="Q970" s="392"/>
      <c r="R970" s="392"/>
      <c r="S970" s="392"/>
      <c r="T970" s="392"/>
      <c r="U970" s="392"/>
      <c r="V970" s="392"/>
      <c r="W970" s="392"/>
      <c r="X970" s="392"/>
      <c r="Y970" s="392"/>
      <c r="Z970" s="392"/>
      <c r="AA970" s="392"/>
      <c r="AB970" s="392"/>
      <c r="AC970" s="392"/>
      <c r="AD970" s="392"/>
      <c r="AE970" s="392"/>
      <c r="AF970" s="392"/>
      <c r="AG970" s="392"/>
      <c r="AH970" s="392"/>
      <c r="AI970" s="392"/>
      <c r="AJ970" s="392"/>
      <c r="AK970" s="392"/>
      <c r="AL970" s="392"/>
      <c r="AM970" s="392"/>
      <c r="AN970" s="392"/>
      <c r="AO970" s="392"/>
      <c r="AP970" s="392"/>
      <c r="AQ970" s="392"/>
      <c r="AR970" s="392"/>
      <c r="AS970" s="392"/>
      <c r="AT970" s="392"/>
      <c r="AU970" s="392"/>
      <c r="AV970" s="392"/>
      <c r="AW970" s="392"/>
      <c r="AX970" s="392"/>
      <c r="AY970" s="392"/>
      <c r="AZ970" s="392"/>
      <c r="BA970" s="392"/>
      <c r="BB970" s="392"/>
      <c r="BC970" s="392"/>
      <c r="BD970" s="392"/>
      <c r="BE970" s="392"/>
      <c r="BF970" s="392"/>
      <c r="BG970" s="392"/>
      <c r="BH970" s="392"/>
      <c r="BI970" s="392"/>
      <c r="BJ970" s="392"/>
      <c r="BK970" s="392"/>
      <c r="BL970" s="392"/>
      <c r="BM970" s="392"/>
      <c r="BN970" s="392"/>
      <c r="BO970" s="392"/>
      <c r="BP970" s="392"/>
      <c r="BQ970" s="392"/>
      <c r="BR970" s="392"/>
      <c r="BS970" s="392"/>
      <c r="BT970" s="392"/>
    </row>
    <row r="971" ht="15.75" customHeight="1">
      <c r="A971" s="216"/>
      <c r="B971" s="156"/>
      <c r="C971" s="156"/>
      <c r="D971" s="156"/>
      <c r="E971" s="392"/>
      <c r="F971" s="392"/>
      <c r="G971" s="392"/>
      <c r="H971" s="392"/>
      <c r="I971" s="392"/>
      <c r="J971" s="392"/>
      <c r="K971" s="392"/>
      <c r="L971" s="392"/>
      <c r="M971" s="392"/>
      <c r="N971" s="392"/>
      <c r="O971" s="392"/>
      <c r="P971" s="392"/>
      <c r="Q971" s="392"/>
      <c r="R971" s="392"/>
      <c r="S971" s="392"/>
      <c r="T971" s="392"/>
      <c r="U971" s="392"/>
      <c r="V971" s="392"/>
      <c r="W971" s="392"/>
      <c r="X971" s="392"/>
      <c r="Y971" s="392"/>
      <c r="Z971" s="392"/>
      <c r="AA971" s="392"/>
      <c r="AB971" s="392"/>
      <c r="AC971" s="392"/>
      <c r="AD971" s="392"/>
      <c r="AE971" s="392"/>
      <c r="AF971" s="392"/>
      <c r="AG971" s="392"/>
      <c r="AH971" s="392"/>
      <c r="AI971" s="392"/>
      <c r="AJ971" s="392"/>
      <c r="AK971" s="392"/>
      <c r="AL971" s="392"/>
      <c r="AM971" s="392"/>
      <c r="AN971" s="392"/>
      <c r="AO971" s="392"/>
      <c r="AP971" s="392"/>
      <c r="AQ971" s="392"/>
      <c r="AR971" s="392"/>
      <c r="AS971" s="392"/>
      <c r="AT971" s="392"/>
      <c r="AU971" s="392"/>
      <c r="AV971" s="392"/>
      <c r="AW971" s="392"/>
      <c r="AX971" s="392"/>
      <c r="AY971" s="392"/>
      <c r="AZ971" s="392"/>
      <c r="BA971" s="392"/>
      <c r="BB971" s="392"/>
      <c r="BC971" s="392"/>
      <c r="BD971" s="392"/>
      <c r="BE971" s="392"/>
      <c r="BF971" s="392"/>
      <c r="BG971" s="392"/>
      <c r="BH971" s="392"/>
      <c r="BI971" s="392"/>
      <c r="BJ971" s="392"/>
      <c r="BK971" s="392"/>
      <c r="BL971" s="392"/>
      <c r="BM971" s="392"/>
      <c r="BN971" s="392"/>
      <c r="BO971" s="392"/>
      <c r="BP971" s="392"/>
      <c r="BQ971" s="392"/>
      <c r="BR971" s="392"/>
      <c r="BS971" s="392"/>
      <c r="BT971" s="392"/>
    </row>
    <row r="972" ht="15.75" customHeight="1">
      <c r="A972" s="216"/>
      <c r="B972" s="156"/>
      <c r="C972" s="156"/>
      <c r="D972" s="156"/>
      <c r="E972" s="392"/>
      <c r="F972" s="392"/>
      <c r="G972" s="392"/>
      <c r="H972" s="392"/>
      <c r="I972" s="392"/>
      <c r="J972" s="392"/>
      <c r="K972" s="392"/>
      <c r="L972" s="392"/>
      <c r="M972" s="392"/>
      <c r="N972" s="392"/>
      <c r="O972" s="392"/>
      <c r="P972" s="392"/>
      <c r="Q972" s="392"/>
      <c r="R972" s="392"/>
      <c r="S972" s="392"/>
      <c r="T972" s="392"/>
      <c r="U972" s="392"/>
      <c r="V972" s="392"/>
      <c r="W972" s="392"/>
      <c r="X972" s="392"/>
      <c r="Y972" s="392"/>
      <c r="Z972" s="392"/>
      <c r="AA972" s="392"/>
      <c r="AB972" s="392"/>
      <c r="AC972" s="392"/>
      <c r="AD972" s="392"/>
      <c r="AE972" s="392"/>
      <c r="AF972" s="392"/>
      <c r="AG972" s="392"/>
      <c r="AH972" s="392"/>
      <c r="AI972" s="392"/>
      <c r="AJ972" s="392"/>
      <c r="AK972" s="392"/>
      <c r="AL972" s="392"/>
      <c r="AM972" s="392"/>
      <c r="AN972" s="392"/>
      <c r="AO972" s="392"/>
      <c r="AP972" s="392"/>
      <c r="AQ972" s="392"/>
      <c r="AR972" s="392"/>
      <c r="AS972" s="392"/>
      <c r="AT972" s="392"/>
      <c r="AU972" s="392"/>
      <c r="AV972" s="392"/>
      <c r="AW972" s="392"/>
      <c r="AX972" s="392"/>
      <c r="AY972" s="392"/>
      <c r="AZ972" s="392"/>
      <c r="BA972" s="392"/>
      <c r="BB972" s="392"/>
      <c r="BC972" s="392"/>
      <c r="BD972" s="392"/>
      <c r="BE972" s="392"/>
      <c r="BF972" s="392"/>
      <c r="BG972" s="392"/>
      <c r="BH972" s="392"/>
      <c r="BI972" s="392"/>
      <c r="BJ972" s="392"/>
      <c r="BK972" s="392"/>
      <c r="BL972" s="392"/>
      <c r="BM972" s="392"/>
      <c r="BN972" s="392"/>
      <c r="BO972" s="392"/>
      <c r="BP972" s="392"/>
      <c r="BQ972" s="392"/>
      <c r="BR972" s="392"/>
      <c r="BS972" s="392"/>
      <c r="BT972" s="392"/>
    </row>
    <row r="973" ht="15.75" customHeight="1">
      <c r="A973" s="216"/>
      <c r="B973" s="156"/>
      <c r="C973" s="156"/>
      <c r="D973" s="156"/>
      <c r="E973" s="392"/>
      <c r="F973" s="392"/>
      <c r="G973" s="392"/>
      <c r="H973" s="392"/>
      <c r="I973" s="392"/>
      <c r="J973" s="392"/>
      <c r="K973" s="392"/>
      <c r="L973" s="392"/>
      <c r="M973" s="392"/>
      <c r="N973" s="392"/>
      <c r="O973" s="392"/>
      <c r="P973" s="392"/>
      <c r="Q973" s="392"/>
      <c r="R973" s="392"/>
      <c r="S973" s="392"/>
      <c r="T973" s="392"/>
      <c r="U973" s="392"/>
      <c r="V973" s="392"/>
      <c r="W973" s="392"/>
      <c r="X973" s="392"/>
      <c r="Y973" s="392"/>
      <c r="Z973" s="392"/>
      <c r="AA973" s="392"/>
      <c r="AB973" s="392"/>
      <c r="AC973" s="392"/>
      <c r="AD973" s="392"/>
      <c r="AE973" s="392"/>
      <c r="AF973" s="392"/>
      <c r="AG973" s="392"/>
      <c r="AH973" s="392"/>
      <c r="AI973" s="392"/>
      <c r="AJ973" s="392"/>
      <c r="AK973" s="392"/>
      <c r="AL973" s="392"/>
      <c r="AM973" s="392"/>
      <c r="AN973" s="392"/>
      <c r="AO973" s="392"/>
      <c r="AP973" s="392"/>
      <c r="AQ973" s="392"/>
      <c r="AR973" s="392"/>
      <c r="AS973" s="392"/>
      <c r="AT973" s="392"/>
      <c r="AU973" s="392"/>
      <c r="AV973" s="392"/>
      <c r="AW973" s="392"/>
      <c r="AX973" s="392"/>
      <c r="AY973" s="392"/>
      <c r="AZ973" s="392"/>
      <c r="BA973" s="392"/>
      <c r="BB973" s="392"/>
      <c r="BC973" s="392"/>
      <c r="BD973" s="392"/>
      <c r="BE973" s="392"/>
      <c r="BF973" s="392"/>
      <c r="BG973" s="392"/>
      <c r="BH973" s="392"/>
      <c r="BI973" s="392"/>
      <c r="BJ973" s="392"/>
      <c r="BK973" s="392"/>
      <c r="BL973" s="392"/>
      <c r="BM973" s="392"/>
      <c r="BN973" s="392"/>
      <c r="BO973" s="392"/>
      <c r="BP973" s="392"/>
      <c r="BQ973" s="392"/>
      <c r="BR973" s="392"/>
      <c r="BS973" s="392"/>
      <c r="BT973" s="392"/>
    </row>
    <row r="974" ht="15.75" customHeight="1">
      <c r="A974" s="216"/>
      <c r="B974" s="156"/>
      <c r="C974" s="156"/>
      <c r="D974" s="156"/>
      <c r="E974" s="392"/>
      <c r="F974" s="392"/>
      <c r="G974" s="392"/>
      <c r="H974" s="392"/>
      <c r="I974" s="392"/>
      <c r="J974" s="392"/>
      <c r="K974" s="392"/>
      <c r="L974" s="392"/>
      <c r="M974" s="392"/>
      <c r="N974" s="392"/>
      <c r="O974" s="392"/>
      <c r="P974" s="392"/>
      <c r="Q974" s="392"/>
      <c r="R974" s="392"/>
      <c r="S974" s="392"/>
      <c r="T974" s="392"/>
      <c r="U974" s="392"/>
      <c r="V974" s="392"/>
      <c r="W974" s="392"/>
      <c r="X974" s="392"/>
      <c r="Y974" s="392"/>
      <c r="Z974" s="392"/>
      <c r="AA974" s="392"/>
      <c r="AB974" s="392"/>
      <c r="AC974" s="392"/>
      <c r="AD974" s="392"/>
      <c r="AE974" s="392"/>
      <c r="AF974" s="392"/>
      <c r="AG974" s="392"/>
      <c r="AH974" s="392"/>
      <c r="AI974" s="392"/>
      <c r="AJ974" s="392"/>
      <c r="AK974" s="392"/>
      <c r="AL974" s="392"/>
      <c r="AM974" s="392"/>
      <c r="AN974" s="392"/>
      <c r="AO974" s="392"/>
      <c r="AP974" s="392"/>
      <c r="AQ974" s="392"/>
      <c r="AR974" s="392"/>
      <c r="AS974" s="392"/>
      <c r="AT974" s="392"/>
      <c r="AU974" s="392"/>
      <c r="AV974" s="392"/>
      <c r="AW974" s="392"/>
      <c r="AX974" s="392"/>
      <c r="AY974" s="392"/>
      <c r="AZ974" s="392"/>
      <c r="BA974" s="392"/>
      <c r="BB974" s="392"/>
      <c r="BC974" s="392"/>
      <c r="BD974" s="392"/>
      <c r="BE974" s="392"/>
      <c r="BF974" s="392"/>
      <c r="BG974" s="392"/>
      <c r="BH974" s="392"/>
      <c r="BI974" s="392"/>
      <c r="BJ974" s="392"/>
      <c r="BK974" s="392"/>
      <c r="BL974" s="392"/>
      <c r="BM974" s="392"/>
      <c r="BN974" s="392"/>
      <c r="BO974" s="392"/>
      <c r="BP974" s="392"/>
      <c r="BQ974" s="392"/>
      <c r="BR974" s="392"/>
      <c r="BS974" s="392"/>
      <c r="BT974" s="392"/>
    </row>
    <row r="975" ht="15.75" customHeight="1">
      <c r="A975" s="216"/>
      <c r="B975" s="156"/>
      <c r="C975" s="156"/>
      <c r="D975" s="156"/>
      <c r="E975" s="392"/>
      <c r="F975" s="392"/>
      <c r="G975" s="392"/>
      <c r="H975" s="392"/>
      <c r="I975" s="392"/>
      <c r="J975" s="392"/>
      <c r="K975" s="392"/>
      <c r="L975" s="392"/>
      <c r="M975" s="392"/>
      <c r="N975" s="392"/>
      <c r="O975" s="392"/>
      <c r="P975" s="392"/>
      <c r="Q975" s="392"/>
      <c r="R975" s="392"/>
      <c r="S975" s="392"/>
      <c r="T975" s="392"/>
      <c r="U975" s="392"/>
      <c r="V975" s="392"/>
      <c r="W975" s="392"/>
      <c r="X975" s="392"/>
      <c r="Y975" s="392"/>
      <c r="Z975" s="392"/>
      <c r="AA975" s="392"/>
      <c r="AB975" s="392"/>
      <c r="AC975" s="392"/>
      <c r="AD975" s="392"/>
      <c r="AE975" s="392"/>
      <c r="AF975" s="392"/>
      <c r="AG975" s="392"/>
      <c r="AH975" s="392"/>
      <c r="AI975" s="392"/>
      <c r="AJ975" s="392"/>
      <c r="AK975" s="392"/>
      <c r="AL975" s="392"/>
      <c r="AM975" s="392"/>
      <c r="AN975" s="392"/>
      <c r="AO975" s="392"/>
      <c r="AP975" s="392"/>
      <c r="AQ975" s="392"/>
      <c r="AR975" s="392"/>
      <c r="AS975" s="392"/>
      <c r="AT975" s="392"/>
      <c r="AU975" s="392"/>
      <c r="AV975" s="392"/>
      <c r="AW975" s="392"/>
      <c r="AX975" s="392"/>
      <c r="AY975" s="392"/>
      <c r="AZ975" s="392"/>
      <c r="BA975" s="392"/>
      <c r="BB975" s="392"/>
      <c r="BC975" s="392"/>
      <c r="BD975" s="392"/>
      <c r="BE975" s="392"/>
      <c r="BF975" s="392"/>
      <c r="BG975" s="392"/>
      <c r="BH975" s="392"/>
      <c r="BI975" s="392"/>
      <c r="BJ975" s="392"/>
      <c r="BK975" s="392"/>
      <c r="BL975" s="392"/>
      <c r="BM975" s="392"/>
      <c r="BN975" s="392"/>
      <c r="BO975" s="392"/>
      <c r="BP975" s="392"/>
      <c r="BQ975" s="392"/>
      <c r="BR975" s="392"/>
      <c r="BS975" s="392"/>
      <c r="BT975" s="392"/>
    </row>
    <row r="976" ht="15.75" customHeight="1">
      <c r="A976" s="216"/>
      <c r="B976" s="156"/>
      <c r="C976" s="156"/>
      <c r="D976" s="156"/>
      <c r="E976" s="392"/>
      <c r="F976" s="392"/>
      <c r="G976" s="392"/>
      <c r="H976" s="392"/>
      <c r="I976" s="392"/>
      <c r="J976" s="392"/>
      <c r="K976" s="392"/>
      <c r="L976" s="392"/>
      <c r="M976" s="392"/>
      <c r="N976" s="392"/>
      <c r="O976" s="392"/>
      <c r="P976" s="392"/>
      <c r="Q976" s="392"/>
      <c r="R976" s="392"/>
      <c r="S976" s="392"/>
      <c r="T976" s="392"/>
      <c r="U976" s="392"/>
      <c r="V976" s="392"/>
      <c r="W976" s="392"/>
      <c r="X976" s="392"/>
      <c r="Y976" s="392"/>
      <c r="Z976" s="392"/>
      <c r="AA976" s="392"/>
      <c r="AB976" s="392"/>
      <c r="AC976" s="392"/>
      <c r="AD976" s="392"/>
      <c r="AE976" s="392"/>
      <c r="AF976" s="392"/>
      <c r="AG976" s="392"/>
      <c r="AH976" s="392"/>
      <c r="AI976" s="392"/>
      <c r="AJ976" s="392"/>
      <c r="AK976" s="392"/>
      <c r="AL976" s="392"/>
      <c r="AM976" s="392"/>
      <c r="AN976" s="392"/>
      <c r="AO976" s="392"/>
      <c r="AP976" s="392"/>
      <c r="AQ976" s="392"/>
      <c r="AR976" s="392"/>
      <c r="AS976" s="392"/>
      <c r="AT976" s="392"/>
      <c r="AU976" s="392"/>
      <c r="AV976" s="392"/>
      <c r="AW976" s="392"/>
      <c r="AX976" s="392"/>
      <c r="AY976" s="392"/>
      <c r="AZ976" s="392"/>
      <c r="BA976" s="392"/>
      <c r="BB976" s="392"/>
      <c r="BC976" s="392"/>
      <c r="BD976" s="392"/>
      <c r="BE976" s="392"/>
      <c r="BF976" s="392"/>
      <c r="BG976" s="392"/>
      <c r="BH976" s="392"/>
      <c r="BI976" s="392"/>
      <c r="BJ976" s="392"/>
      <c r="BK976" s="392"/>
      <c r="BL976" s="392"/>
      <c r="BM976" s="392"/>
      <c r="BN976" s="392"/>
      <c r="BO976" s="392"/>
      <c r="BP976" s="392"/>
      <c r="BQ976" s="392"/>
      <c r="BR976" s="392"/>
      <c r="BS976" s="392"/>
      <c r="BT976" s="392"/>
    </row>
    <row r="977" ht="15.75" customHeight="1">
      <c r="A977" s="216"/>
      <c r="B977" s="156"/>
      <c r="C977" s="156"/>
      <c r="D977" s="156"/>
      <c r="E977" s="392"/>
      <c r="F977" s="392"/>
      <c r="G977" s="392"/>
      <c r="H977" s="392"/>
      <c r="I977" s="392"/>
      <c r="J977" s="392"/>
      <c r="K977" s="392"/>
      <c r="L977" s="392"/>
      <c r="M977" s="392"/>
      <c r="N977" s="392"/>
      <c r="O977" s="392"/>
      <c r="P977" s="392"/>
      <c r="Q977" s="392"/>
      <c r="R977" s="392"/>
      <c r="S977" s="392"/>
      <c r="T977" s="392"/>
      <c r="U977" s="392"/>
      <c r="V977" s="392"/>
      <c r="W977" s="392"/>
      <c r="X977" s="392"/>
      <c r="Y977" s="392"/>
      <c r="Z977" s="392"/>
      <c r="AA977" s="392"/>
      <c r="AB977" s="392"/>
      <c r="AC977" s="392"/>
      <c r="AD977" s="392"/>
      <c r="AE977" s="392"/>
      <c r="AF977" s="392"/>
      <c r="AG977" s="392"/>
      <c r="AH977" s="392"/>
      <c r="AI977" s="392"/>
      <c r="AJ977" s="392"/>
      <c r="AK977" s="392"/>
      <c r="AL977" s="392"/>
      <c r="AM977" s="392"/>
      <c r="AN977" s="392"/>
      <c r="AO977" s="392"/>
      <c r="AP977" s="392"/>
      <c r="AQ977" s="392"/>
      <c r="AR977" s="392"/>
      <c r="AS977" s="392"/>
      <c r="AT977" s="392"/>
      <c r="AU977" s="392"/>
      <c r="AV977" s="392"/>
      <c r="AW977" s="392"/>
      <c r="AX977" s="392"/>
      <c r="AY977" s="392"/>
      <c r="AZ977" s="392"/>
      <c r="BA977" s="392"/>
      <c r="BB977" s="392"/>
      <c r="BC977" s="392"/>
      <c r="BD977" s="392"/>
      <c r="BE977" s="392"/>
      <c r="BF977" s="392"/>
      <c r="BG977" s="392"/>
      <c r="BH977" s="392"/>
      <c r="BI977" s="392"/>
      <c r="BJ977" s="392"/>
      <c r="BK977" s="392"/>
      <c r="BL977" s="392"/>
      <c r="BM977" s="392"/>
      <c r="BN977" s="392"/>
      <c r="BO977" s="392"/>
      <c r="BP977" s="392"/>
      <c r="BQ977" s="392"/>
      <c r="BR977" s="392"/>
      <c r="BS977" s="392"/>
      <c r="BT977" s="392"/>
    </row>
    <row r="978" ht="15.75" customHeight="1">
      <c r="A978" s="216"/>
      <c r="B978" s="156"/>
      <c r="C978" s="156"/>
      <c r="D978" s="156"/>
      <c r="E978" s="392"/>
      <c r="F978" s="392"/>
      <c r="G978" s="392"/>
      <c r="H978" s="392"/>
      <c r="I978" s="392"/>
      <c r="J978" s="392"/>
      <c r="K978" s="392"/>
      <c r="L978" s="392"/>
      <c r="M978" s="392"/>
      <c r="N978" s="392"/>
      <c r="O978" s="392"/>
      <c r="P978" s="392"/>
      <c r="Q978" s="392"/>
      <c r="R978" s="392"/>
      <c r="S978" s="392"/>
      <c r="T978" s="392"/>
      <c r="U978" s="392"/>
      <c r="V978" s="392"/>
      <c r="W978" s="392"/>
      <c r="X978" s="392"/>
      <c r="Y978" s="392"/>
      <c r="Z978" s="392"/>
      <c r="AA978" s="392"/>
      <c r="AB978" s="392"/>
      <c r="AC978" s="392"/>
      <c r="AD978" s="392"/>
      <c r="AE978" s="392"/>
      <c r="AF978" s="392"/>
      <c r="AG978" s="392"/>
      <c r="AH978" s="392"/>
      <c r="AI978" s="392"/>
      <c r="AJ978" s="392"/>
      <c r="AK978" s="392"/>
      <c r="AL978" s="392"/>
      <c r="AM978" s="392"/>
      <c r="AN978" s="392"/>
      <c r="AO978" s="392"/>
      <c r="AP978" s="392"/>
      <c r="AQ978" s="392"/>
      <c r="AR978" s="392"/>
      <c r="AS978" s="392"/>
      <c r="AT978" s="392"/>
      <c r="AU978" s="392"/>
      <c r="AV978" s="392"/>
      <c r="AW978" s="392"/>
      <c r="AX978" s="392"/>
      <c r="AY978" s="392"/>
      <c r="AZ978" s="392"/>
      <c r="BA978" s="392"/>
      <c r="BB978" s="392"/>
      <c r="BC978" s="392"/>
      <c r="BD978" s="392"/>
      <c r="BE978" s="392"/>
      <c r="BF978" s="392"/>
      <c r="BG978" s="392"/>
      <c r="BH978" s="392"/>
      <c r="BI978" s="392"/>
      <c r="BJ978" s="392"/>
      <c r="BK978" s="392"/>
      <c r="BL978" s="392"/>
      <c r="BM978" s="392"/>
      <c r="BN978" s="392"/>
      <c r="BO978" s="392"/>
      <c r="BP978" s="392"/>
      <c r="BQ978" s="392"/>
      <c r="BR978" s="392"/>
      <c r="BS978" s="392"/>
      <c r="BT978" s="392"/>
    </row>
    <row r="979" ht="15.75" customHeight="1">
      <c r="A979" s="216"/>
      <c r="B979" s="156"/>
      <c r="C979" s="156"/>
      <c r="D979" s="156"/>
      <c r="E979" s="392"/>
      <c r="F979" s="392"/>
      <c r="G979" s="392"/>
      <c r="H979" s="392"/>
      <c r="I979" s="392"/>
      <c r="J979" s="392"/>
      <c r="K979" s="392"/>
      <c r="L979" s="392"/>
      <c r="M979" s="392"/>
      <c r="N979" s="392"/>
      <c r="O979" s="392"/>
      <c r="P979" s="392"/>
      <c r="Q979" s="392"/>
      <c r="R979" s="392"/>
      <c r="S979" s="392"/>
      <c r="T979" s="392"/>
      <c r="U979" s="392"/>
      <c r="V979" s="392"/>
      <c r="W979" s="392"/>
      <c r="X979" s="392"/>
      <c r="Y979" s="392"/>
      <c r="Z979" s="392"/>
      <c r="AA979" s="392"/>
      <c r="AB979" s="392"/>
      <c r="AC979" s="392"/>
      <c r="AD979" s="392"/>
      <c r="AE979" s="392"/>
      <c r="AF979" s="392"/>
      <c r="AG979" s="392"/>
      <c r="AH979" s="392"/>
      <c r="AI979" s="392"/>
      <c r="AJ979" s="392"/>
      <c r="AK979" s="392"/>
      <c r="AL979" s="392"/>
      <c r="AM979" s="392"/>
      <c r="AN979" s="392"/>
      <c r="AO979" s="392"/>
      <c r="AP979" s="392"/>
      <c r="AQ979" s="392"/>
      <c r="AR979" s="392"/>
      <c r="AS979" s="392"/>
      <c r="AT979" s="392"/>
      <c r="AU979" s="392"/>
      <c r="AV979" s="392"/>
      <c r="AW979" s="392"/>
      <c r="AX979" s="392"/>
      <c r="AY979" s="392"/>
      <c r="AZ979" s="392"/>
      <c r="BA979" s="392"/>
      <c r="BB979" s="392"/>
      <c r="BC979" s="392"/>
      <c r="BD979" s="392"/>
      <c r="BE979" s="392"/>
      <c r="BF979" s="392"/>
      <c r="BG979" s="392"/>
      <c r="BH979" s="392"/>
      <c r="BI979" s="392"/>
      <c r="BJ979" s="392"/>
      <c r="BK979" s="392"/>
      <c r="BL979" s="392"/>
      <c r="BM979" s="392"/>
      <c r="BN979" s="392"/>
      <c r="BO979" s="392"/>
      <c r="BP979" s="392"/>
      <c r="BQ979" s="392"/>
      <c r="BR979" s="392"/>
      <c r="BS979" s="392"/>
      <c r="BT979" s="392"/>
    </row>
    <row r="980" ht="15.75" customHeight="1">
      <c r="A980" s="216"/>
      <c r="B980" s="156"/>
      <c r="C980" s="156"/>
      <c r="D980" s="156"/>
      <c r="E980" s="392"/>
      <c r="F980" s="392"/>
      <c r="G980" s="392"/>
      <c r="H980" s="392"/>
      <c r="I980" s="392"/>
      <c r="J980" s="392"/>
      <c r="K980" s="392"/>
      <c r="L980" s="392"/>
      <c r="M980" s="392"/>
      <c r="N980" s="392"/>
      <c r="O980" s="392"/>
      <c r="P980" s="392"/>
      <c r="Q980" s="392"/>
      <c r="R980" s="392"/>
      <c r="S980" s="392"/>
      <c r="T980" s="392"/>
      <c r="U980" s="392"/>
      <c r="V980" s="392"/>
      <c r="W980" s="392"/>
      <c r="X980" s="392"/>
      <c r="Y980" s="392"/>
      <c r="Z980" s="392"/>
      <c r="AA980" s="392"/>
      <c r="AB980" s="392"/>
      <c r="AC980" s="392"/>
      <c r="AD980" s="392"/>
      <c r="AE980" s="392"/>
      <c r="AF980" s="392"/>
      <c r="AG980" s="392"/>
      <c r="AH980" s="392"/>
      <c r="AI980" s="392"/>
      <c r="AJ980" s="392"/>
      <c r="AK980" s="392"/>
      <c r="AL980" s="392"/>
      <c r="AM980" s="392"/>
      <c r="AN980" s="392"/>
      <c r="AO980" s="392"/>
      <c r="AP980" s="392"/>
      <c r="AQ980" s="392"/>
      <c r="AR980" s="392"/>
      <c r="AS980" s="392"/>
      <c r="AT980" s="392"/>
      <c r="AU980" s="392"/>
      <c r="AV980" s="392"/>
      <c r="AW980" s="392"/>
      <c r="AX980" s="392"/>
      <c r="AY980" s="392"/>
      <c r="AZ980" s="392"/>
      <c r="BA980" s="392"/>
      <c r="BB980" s="392"/>
      <c r="BC980" s="392"/>
      <c r="BD980" s="392"/>
      <c r="BE980" s="392"/>
      <c r="BF980" s="392"/>
      <c r="BG980" s="392"/>
      <c r="BH980" s="392"/>
      <c r="BI980" s="392"/>
      <c r="BJ980" s="392"/>
      <c r="BK980" s="392"/>
      <c r="BL980" s="392"/>
      <c r="BM980" s="392"/>
      <c r="BN980" s="392"/>
      <c r="BO980" s="392"/>
      <c r="BP980" s="392"/>
      <c r="BQ980" s="392"/>
      <c r="BR980" s="392"/>
      <c r="BS980" s="392"/>
      <c r="BT980" s="392"/>
    </row>
    <row r="981" ht="15.75" customHeight="1">
      <c r="A981" s="216"/>
      <c r="B981" s="156"/>
      <c r="C981" s="156"/>
      <c r="D981" s="156"/>
      <c r="E981" s="392"/>
      <c r="F981" s="392"/>
      <c r="G981" s="392"/>
      <c r="H981" s="392"/>
      <c r="I981" s="392"/>
      <c r="J981" s="392"/>
      <c r="K981" s="392"/>
      <c r="L981" s="392"/>
      <c r="M981" s="392"/>
      <c r="N981" s="392"/>
      <c r="O981" s="392"/>
      <c r="P981" s="392"/>
      <c r="Q981" s="392"/>
      <c r="R981" s="392"/>
      <c r="S981" s="392"/>
      <c r="T981" s="392"/>
      <c r="U981" s="392"/>
      <c r="V981" s="392"/>
      <c r="W981" s="392"/>
      <c r="X981" s="392"/>
      <c r="Y981" s="392"/>
      <c r="Z981" s="392"/>
      <c r="AA981" s="392"/>
      <c r="AB981" s="392"/>
      <c r="AC981" s="392"/>
      <c r="AD981" s="392"/>
      <c r="AE981" s="392"/>
      <c r="AF981" s="392"/>
      <c r="AG981" s="392"/>
      <c r="AH981" s="392"/>
      <c r="AI981" s="392"/>
      <c r="AJ981" s="392"/>
      <c r="AK981" s="392"/>
      <c r="AL981" s="392"/>
      <c r="AM981" s="392"/>
      <c r="AN981" s="392"/>
      <c r="AO981" s="392"/>
      <c r="AP981" s="392"/>
      <c r="AQ981" s="392"/>
      <c r="AR981" s="392"/>
      <c r="AS981" s="392"/>
      <c r="AT981" s="392"/>
      <c r="AU981" s="392"/>
      <c r="AV981" s="392"/>
      <c r="AW981" s="392"/>
      <c r="AX981" s="392"/>
      <c r="AY981" s="392"/>
      <c r="AZ981" s="392"/>
      <c r="BA981" s="392"/>
      <c r="BB981" s="392"/>
      <c r="BC981" s="392"/>
      <c r="BD981" s="392"/>
      <c r="BE981" s="392"/>
      <c r="BF981" s="392"/>
      <c r="BG981" s="392"/>
      <c r="BH981" s="392"/>
      <c r="BI981" s="392"/>
      <c r="BJ981" s="392"/>
      <c r="BK981" s="392"/>
      <c r="BL981" s="392"/>
      <c r="BM981" s="392"/>
      <c r="BN981" s="392"/>
      <c r="BO981" s="392"/>
      <c r="BP981" s="392"/>
      <c r="BQ981" s="392"/>
      <c r="BR981" s="392"/>
      <c r="BS981" s="392"/>
      <c r="BT981" s="392"/>
    </row>
    <row r="982" ht="15.75" customHeight="1">
      <c r="A982" s="216"/>
      <c r="B982" s="156"/>
      <c r="C982" s="156"/>
      <c r="D982" s="156"/>
      <c r="E982" s="392"/>
      <c r="F982" s="392"/>
      <c r="G982" s="392"/>
      <c r="H982" s="392"/>
      <c r="I982" s="392"/>
      <c r="J982" s="392"/>
      <c r="K982" s="392"/>
      <c r="L982" s="392"/>
      <c r="M982" s="392"/>
      <c r="N982" s="392"/>
      <c r="O982" s="392"/>
      <c r="P982" s="392"/>
      <c r="Q982" s="392"/>
      <c r="R982" s="392"/>
      <c r="S982" s="392"/>
      <c r="T982" s="392"/>
      <c r="U982" s="392"/>
      <c r="V982" s="392"/>
      <c r="W982" s="392"/>
      <c r="X982" s="392"/>
      <c r="Y982" s="392"/>
      <c r="Z982" s="392"/>
      <c r="AA982" s="392"/>
      <c r="AB982" s="392"/>
      <c r="AC982" s="392"/>
      <c r="AD982" s="392"/>
      <c r="AE982" s="392"/>
      <c r="AF982" s="392"/>
      <c r="AG982" s="392"/>
      <c r="AH982" s="392"/>
      <c r="AI982" s="392"/>
      <c r="AJ982" s="392"/>
      <c r="AK982" s="392"/>
      <c r="AL982" s="392"/>
      <c r="AM982" s="392"/>
      <c r="AN982" s="392"/>
      <c r="AO982" s="392"/>
      <c r="AP982" s="392"/>
      <c r="AQ982" s="392"/>
      <c r="AR982" s="392"/>
      <c r="AS982" s="392"/>
      <c r="AT982" s="392"/>
      <c r="AU982" s="392"/>
      <c r="AV982" s="392"/>
      <c r="AW982" s="392"/>
      <c r="AX982" s="392"/>
      <c r="AY982" s="392"/>
      <c r="AZ982" s="392"/>
      <c r="BA982" s="392"/>
      <c r="BB982" s="392"/>
      <c r="BC982" s="392"/>
      <c r="BD982" s="392"/>
      <c r="BE982" s="392"/>
      <c r="BF982" s="392"/>
      <c r="BG982" s="392"/>
      <c r="BH982" s="392"/>
      <c r="BI982" s="392"/>
      <c r="BJ982" s="392"/>
      <c r="BK982" s="392"/>
      <c r="BL982" s="392"/>
      <c r="BM982" s="392"/>
      <c r="BN982" s="392"/>
      <c r="BO982" s="392"/>
      <c r="BP982" s="392"/>
      <c r="BQ982" s="392"/>
      <c r="BR982" s="392"/>
      <c r="BS982" s="392"/>
      <c r="BT982" s="392"/>
    </row>
    <row r="983" ht="15.75" customHeight="1">
      <c r="A983" s="216"/>
      <c r="B983" s="156"/>
      <c r="C983" s="156"/>
      <c r="D983" s="156"/>
      <c r="E983" s="392"/>
      <c r="F983" s="392"/>
      <c r="G983" s="392"/>
      <c r="H983" s="392"/>
      <c r="I983" s="392"/>
      <c r="J983" s="392"/>
      <c r="K983" s="392"/>
      <c r="L983" s="392"/>
      <c r="M983" s="392"/>
      <c r="N983" s="392"/>
      <c r="O983" s="392"/>
      <c r="P983" s="392"/>
      <c r="Q983" s="392"/>
      <c r="R983" s="392"/>
      <c r="S983" s="392"/>
      <c r="T983" s="392"/>
      <c r="U983" s="392"/>
      <c r="V983" s="392"/>
      <c r="W983" s="392"/>
      <c r="X983" s="392"/>
      <c r="Y983" s="392"/>
      <c r="Z983" s="392"/>
      <c r="AA983" s="392"/>
      <c r="AB983" s="392"/>
      <c r="AC983" s="392"/>
      <c r="AD983" s="392"/>
      <c r="AE983" s="392"/>
      <c r="AF983" s="392"/>
      <c r="AG983" s="392"/>
      <c r="AH983" s="392"/>
      <c r="AI983" s="392"/>
      <c r="AJ983" s="392"/>
      <c r="AK983" s="392"/>
      <c r="AL983" s="392"/>
      <c r="AM983" s="392"/>
      <c r="AN983" s="392"/>
      <c r="AO983" s="392"/>
      <c r="AP983" s="392"/>
      <c r="AQ983" s="392"/>
      <c r="AR983" s="392"/>
      <c r="AS983" s="392"/>
      <c r="AT983" s="392"/>
      <c r="AU983" s="392"/>
      <c r="AV983" s="392"/>
      <c r="AW983" s="392"/>
      <c r="AX983" s="392"/>
      <c r="AY983" s="392"/>
      <c r="AZ983" s="392"/>
      <c r="BA983" s="392"/>
      <c r="BB983" s="392"/>
      <c r="BC983" s="392"/>
      <c r="BD983" s="392"/>
      <c r="BE983" s="392"/>
      <c r="BF983" s="392"/>
      <c r="BG983" s="392"/>
      <c r="BH983" s="392"/>
      <c r="BI983" s="392"/>
      <c r="BJ983" s="392"/>
      <c r="BK983" s="392"/>
      <c r="BL983" s="392"/>
      <c r="BM983" s="392"/>
      <c r="BN983" s="392"/>
      <c r="BO983" s="392"/>
      <c r="BP983" s="392"/>
      <c r="BQ983" s="392"/>
      <c r="BR983" s="392"/>
      <c r="BS983" s="392"/>
      <c r="BT983" s="392"/>
    </row>
    <row r="984" ht="15.75" customHeight="1">
      <c r="A984" s="216"/>
      <c r="B984" s="156"/>
      <c r="C984" s="156"/>
      <c r="D984" s="156"/>
      <c r="E984" s="392"/>
      <c r="F984" s="392"/>
      <c r="G984" s="392"/>
      <c r="H984" s="392"/>
      <c r="I984" s="392"/>
      <c r="J984" s="392"/>
      <c r="K984" s="392"/>
      <c r="L984" s="392"/>
      <c r="M984" s="392"/>
      <c r="N984" s="392"/>
      <c r="O984" s="392"/>
      <c r="P984" s="392"/>
      <c r="Q984" s="392"/>
      <c r="R984" s="392"/>
      <c r="S984" s="392"/>
      <c r="T984" s="392"/>
      <c r="U984" s="392"/>
      <c r="V984" s="392"/>
      <c r="W984" s="392"/>
      <c r="X984" s="392"/>
      <c r="Y984" s="392"/>
      <c r="Z984" s="392"/>
      <c r="AA984" s="392"/>
      <c r="AB984" s="392"/>
      <c r="AC984" s="392"/>
      <c r="AD984" s="392"/>
      <c r="AE984" s="392"/>
      <c r="AF984" s="392"/>
      <c r="AG984" s="392"/>
      <c r="AH984" s="392"/>
      <c r="AI984" s="392"/>
      <c r="AJ984" s="392"/>
      <c r="AK984" s="392"/>
      <c r="AL984" s="392"/>
      <c r="AM984" s="392"/>
      <c r="AN984" s="392"/>
      <c r="AO984" s="392"/>
      <c r="AP984" s="392"/>
      <c r="AQ984" s="392"/>
      <c r="AR984" s="392"/>
      <c r="AS984" s="392"/>
      <c r="AT984" s="392"/>
      <c r="AU984" s="392"/>
      <c r="AV984" s="392"/>
      <c r="AW984" s="392"/>
      <c r="AX984" s="392"/>
      <c r="AY984" s="392"/>
      <c r="AZ984" s="392"/>
      <c r="BA984" s="392"/>
      <c r="BB984" s="392"/>
      <c r="BC984" s="392"/>
      <c r="BD984" s="392"/>
      <c r="BE984" s="392"/>
      <c r="BF984" s="392"/>
      <c r="BG984" s="392"/>
      <c r="BH984" s="392"/>
      <c r="BI984" s="392"/>
      <c r="BJ984" s="392"/>
      <c r="BK984" s="392"/>
      <c r="BL984" s="392"/>
      <c r="BM984" s="392"/>
      <c r="BN984" s="392"/>
      <c r="BO984" s="392"/>
      <c r="BP984" s="392"/>
      <c r="BQ984" s="392"/>
      <c r="BR984" s="392"/>
      <c r="BS984" s="392"/>
      <c r="BT984" s="392"/>
    </row>
    <row r="985" ht="15.75" customHeight="1">
      <c r="A985" s="216"/>
      <c r="B985" s="156"/>
      <c r="C985" s="156"/>
      <c r="D985" s="156"/>
      <c r="E985" s="392"/>
      <c r="F985" s="392"/>
      <c r="G985" s="392"/>
      <c r="H985" s="392"/>
      <c r="I985" s="392"/>
      <c r="J985" s="392"/>
      <c r="K985" s="392"/>
      <c r="L985" s="392"/>
      <c r="M985" s="392"/>
      <c r="N985" s="392"/>
      <c r="O985" s="392"/>
      <c r="P985" s="392"/>
      <c r="Q985" s="392"/>
      <c r="R985" s="392"/>
      <c r="S985" s="392"/>
      <c r="T985" s="392"/>
      <c r="U985" s="392"/>
      <c r="V985" s="392"/>
      <c r="W985" s="392"/>
      <c r="X985" s="392"/>
      <c r="Y985" s="392"/>
      <c r="Z985" s="392"/>
      <c r="AA985" s="392"/>
      <c r="AB985" s="392"/>
      <c r="AC985" s="392"/>
      <c r="AD985" s="392"/>
      <c r="AE985" s="392"/>
      <c r="AF985" s="392"/>
      <c r="AG985" s="392"/>
      <c r="AH985" s="392"/>
      <c r="AI985" s="392"/>
      <c r="AJ985" s="392"/>
      <c r="AK985" s="392"/>
      <c r="AL985" s="392"/>
      <c r="AM985" s="392"/>
      <c r="AN985" s="392"/>
      <c r="AO985" s="392"/>
      <c r="AP985" s="392"/>
      <c r="AQ985" s="392"/>
      <c r="AR985" s="392"/>
      <c r="AS985" s="392"/>
      <c r="AT985" s="392"/>
      <c r="AU985" s="392"/>
      <c r="AV985" s="392"/>
      <c r="AW985" s="392"/>
      <c r="AX985" s="392"/>
      <c r="AY985" s="392"/>
      <c r="AZ985" s="392"/>
      <c r="BA985" s="392"/>
      <c r="BB985" s="392"/>
      <c r="BC985" s="392"/>
      <c r="BD985" s="392"/>
      <c r="BE985" s="392"/>
      <c r="BF985" s="392"/>
      <c r="BG985" s="392"/>
      <c r="BH985" s="392"/>
      <c r="BI985" s="392"/>
      <c r="BJ985" s="392"/>
      <c r="BK985" s="392"/>
      <c r="BL985" s="392"/>
      <c r="BM985" s="392"/>
      <c r="BN985" s="392"/>
      <c r="BO985" s="392"/>
      <c r="BP985" s="392"/>
      <c r="BQ985" s="392"/>
      <c r="BR985" s="392"/>
      <c r="BS985" s="392"/>
      <c r="BT985" s="392"/>
    </row>
    <row r="986" ht="15.75" customHeight="1">
      <c r="A986" s="216"/>
      <c r="B986" s="156"/>
      <c r="C986" s="156"/>
      <c r="D986" s="156"/>
      <c r="E986" s="392"/>
      <c r="F986" s="392"/>
      <c r="G986" s="392"/>
      <c r="H986" s="392"/>
      <c r="I986" s="392"/>
      <c r="J986" s="392"/>
      <c r="K986" s="392"/>
      <c r="L986" s="392"/>
      <c r="M986" s="392"/>
      <c r="N986" s="392"/>
      <c r="O986" s="392"/>
      <c r="P986" s="392"/>
      <c r="Q986" s="392"/>
      <c r="R986" s="392"/>
      <c r="S986" s="392"/>
      <c r="T986" s="392"/>
      <c r="U986" s="392"/>
      <c r="V986" s="392"/>
      <c r="W986" s="392"/>
      <c r="X986" s="392"/>
      <c r="Y986" s="392"/>
      <c r="Z986" s="392"/>
      <c r="AA986" s="392"/>
      <c r="AB986" s="392"/>
      <c r="AC986" s="392"/>
      <c r="AD986" s="392"/>
      <c r="AE986" s="392"/>
      <c r="AF986" s="392"/>
      <c r="AG986" s="392"/>
      <c r="AH986" s="392"/>
      <c r="AI986" s="392"/>
      <c r="AJ986" s="392"/>
      <c r="AK986" s="392"/>
      <c r="AL986" s="392"/>
      <c r="AM986" s="392"/>
      <c r="AN986" s="392"/>
      <c r="AO986" s="392"/>
      <c r="AP986" s="392"/>
      <c r="AQ986" s="392"/>
      <c r="AR986" s="392"/>
      <c r="AS986" s="392"/>
      <c r="AT986" s="392"/>
      <c r="AU986" s="392"/>
      <c r="AV986" s="392"/>
      <c r="AW986" s="392"/>
      <c r="AX986" s="392"/>
      <c r="AY986" s="392"/>
      <c r="AZ986" s="392"/>
      <c r="BA986" s="392"/>
      <c r="BB986" s="392"/>
      <c r="BC986" s="392"/>
      <c r="BD986" s="392"/>
      <c r="BE986" s="392"/>
      <c r="BF986" s="392"/>
      <c r="BG986" s="392"/>
      <c r="BH986" s="392"/>
      <c r="BI986" s="392"/>
      <c r="BJ986" s="392"/>
      <c r="BK986" s="392"/>
      <c r="BL986" s="392"/>
      <c r="BM986" s="392"/>
      <c r="BN986" s="392"/>
      <c r="BO986" s="392"/>
      <c r="BP986" s="392"/>
      <c r="BQ986" s="392"/>
      <c r="BR986" s="392"/>
      <c r="BS986" s="392"/>
      <c r="BT986" s="392"/>
    </row>
    <row r="987" ht="15.75" customHeight="1">
      <c r="A987" s="216"/>
      <c r="B987" s="156"/>
      <c r="C987" s="156"/>
      <c r="D987" s="156"/>
      <c r="E987" s="392"/>
      <c r="F987" s="392"/>
      <c r="G987" s="392"/>
      <c r="H987" s="392"/>
      <c r="I987" s="392"/>
      <c r="J987" s="392"/>
      <c r="K987" s="392"/>
      <c r="L987" s="392"/>
      <c r="M987" s="392"/>
      <c r="N987" s="392"/>
      <c r="O987" s="392"/>
      <c r="P987" s="392"/>
      <c r="Q987" s="392"/>
      <c r="R987" s="392"/>
      <c r="S987" s="392"/>
      <c r="T987" s="392"/>
      <c r="U987" s="392"/>
      <c r="V987" s="392"/>
      <c r="W987" s="392"/>
      <c r="X987" s="392"/>
      <c r="Y987" s="392"/>
      <c r="Z987" s="392"/>
      <c r="AA987" s="392"/>
      <c r="AB987" s="392"/>
      <c r="AC987" s="392"/>
      <c r="AD987" s="392"/>
      <c r="AE987" s="392"/>
      <c r="AF987" s="392"/>
      <c r="AG987" s="392"/>
      <c r="AH987" s="392"/>
      <c r="AI987" s="392"/>
      <c r="AJ987" s="392"/>
      <c r="AK987" s="392"/>
      <c r="AL987" s="392"/>
      <c r="AM987" s="392"/>
      <c r="AN987" s="392"/>
      <c r="AO987" s="392"/>
      <c r="AP987" s="392"/>
      <c r="AQ987" s="392"/>
      <c r="AR987" s="392"/>
      <c r="AS987" s="392"/>
      <c r="AT987" s="392"/>
      <c r="AU987" s="392"/>
      <c r="AV987" s="392"/>
      <c r="AW987" s="392"/>
      <c r="AX987" s="392"/>
      <c r="AY987" s="392"/>
      <c r="AZ987" s="392"/>
      <c r="BA987" s="392"/>
      <c r="BB987" s="392"/>
      <c r="BC987" s="392"/>
      <c r="BD987" s="392"/>
      <c r="BE987" s="392"/>
      <c r="BF987" s="392"/>
      <c r="BG987" s="392"/>
      <c r="BH987" s="392"/>
      <c r="BI987" s="392"/>
      <c r="BJ987" s="392"/>
      <c r="BK987" s="392"/>
      <c r="BL987" s="392"/>
      <c r="BM987" s="392"/>
      <c r="BN987" s="392"/>
      <c r="BO987" s="392"/>
      <c r="BP987" s="392"/>
      <c r="BQ987" s="392"/>
      <c r="BR987" s="392"/>
      <c r="BS987" s="392"/>
      <c r="BT987" s="392"/>
    </row>
    <row r="988" ht="15.75" customHeight="1">
      <c r="A988" s="216"/>
      <c r="B988" s="156"/>
      <c r="C988" s="156"/>
      <c r="D988" s="156"/>
      <c r="E988" s="392"/>
      <c r="F988" s="392"/>
      <c r="G988" s="392"/>
      <c r="H988" s="392"/>
      <c r="I988" s="392"/>
      <c r="J988" s="392"/>
      <c r="K988" s="392"/>
      <c r="L988" s="392"/>
      <c r="M988" s="392"/>
      <c r="N988" s="392"/>
      <c r="O988" s="392"/>
      <c r="P988" s="392"/>
      <c r="Q988" s="392"/>
      <c r="R988" s="392"/>
      <c r="S988" s="392"/>
      <c r="T988" s="392"/>
      <c r="U988" s="392"/>
      <c r="V988" s="392"/>
      <c r="W988" s="392"/>
      <c r="X988" s="392"/>
      <c r="Y988" s="392"/>
      <c r="Z988" s="392"/>
      <c r="AA988" s="392"/>
      <c r="AB988" s="392"/>
      <c r="AC988" s="392"/>
      <c r="AD988" s="392"/>
      <c r="AE988" s="392"/>
      <c r="AF988" s="392"/>
      <c r="AG988" s="392"/>
      <c r="AH988" s="392"/>
      <c r="AI988" s="392"/>
      <c r="AJ988" s="392"/>
      <c r="AK988" s="392"/>
      <c r="AL988" s="392"/>
      <c r="AM988" s="392"/>
      <c r="AN988" s="392"/>
      <c r="AO988" s="392"/>
      <c r="AP988" s="392"/>
      <c r="AQ988" s="392"/>
      <c r="AR988" s="392"/>
      <c r="AS988" s="392"/>
      <c r="AT988" s="392"/>
      <c r="AU988" s="392"/>
      <c r="AV988" s="392"/>
      <c r="AW988" s="392"/>
      <c r="AX988" s="392"/>
      <c r="AY988" s="392"/>
      <c r="AZ988" s="392"/>
      <c r="BA988" s="392"/>
      <c r="BB988" s="392"/>
      <c r="BC988" s="392"/>
      <c r="BD988" s="392"/>
      <c r="BE988" s="392"/>
      <c r="BF988" s="392"/>
      <c r="BG988" s="392"/>
      <c r="BH988" s="392"/>
      <c r="BI988" s="392"/>
      <c r="BJ988" s="392"/>
      <c r="BK988" s="392"/>
      <c r="BL988" s="392"/>
      <c r="BM988" s="392"/>
      <c r="BN988" s="392"/>
      <c r="BO988" s="392"/>
      <c r="BP988" s="392"/>
      <c r="BQ988" s="392"/>
      <c r="BR988" s="392"/>
      <c r="BS988" s="392"/>
      <c r="BT988" s="392"/>
    </row>
    <row r="989" ht="15.75" customHeight="1">
      <c r="A989" s="216"/>
      <c r="B989" s="156"/>
      <c r="C989" s="156"/>
      <c r="D989" s="156"/>
      <c r="E989" s="392"/>
      <c r="F989" s="392"/>
      <c r="G989" s="392"/>
      <c r="H989" s="392"/>
      <c r="I989" s="392"/>
      <c r="J989" s="392"/>
      <c r="K989" s="392"/>
      <c r="L989" s="392"/>
      <c r="M989" s="392"/>
      <c r="N989" s="392"/>
      <c r="O989" s="392"/>
      <c r="P989" s="392"/>
      <c r="Q989" s="392"/>
      <c r="R989" s="392"/>
      <c r="S989" s="392"/>
      <c r="T989" s="392"/>
      <c r="U989" s="392"/>
      <c r="V989" s="392"/>
      <c r="W989" s="392"/>
      <c r="X989" s="392"/>
      <c r="Y989" s="392"/>
      <c r="Z989" s="392"/>
      <c r="AA989" s="392"/>
      <c r="AB989" s="392"/>
      <c r="AC989" s="392"/>
      <c r="AD989" s="392"/>
      <c r="AE989" s="392"/>
      <c r="AF989" s="392"/>
      <c r="AG989" s="392"/>
      <c r="AH989" s="392"/>
      <c r="AI989" s="392"/>
      <c r="AJ989" s="392"/>
      <c r="AK989" s="392"/>
      <c r="AL989" s="392"/>
      <c r="AM989" s="392"/>
      <c r="AN989" s="392"/>
      <c r="AO989" s="392"/>
      <c r="AP989" s="392"/>
      <c r="AQ989" s="392"/>
      <c r="AR989" s="392"/>
      <c r="AS989" s="392"/>
      <c r="AT989" s="392"/>
      <c r="AU989" s="392"/>
      <c r="AV989" s="392"/>
      <c r="AW989" s="392"/>
      <c r="AX989" s="392"/>
      <c r="AY989" s="392"/>
      <c r="AZ989" s="392"/>
      <c r="BA989" s="392"/>
      <c r="BB989" s="392"/>
      <c r="BC989" s="392"/>
      <c r="BD989" s="392"/>
      <c r="BE989" s="392"/>
      <c r="BF989" s="392"/>
      <c r="BG989" s="392"/>
      <c r="BH989" s="392"/>
      <c r="BI989" s="392"/>
      <c r="BJ989" s="392"/>
      <c r="BK989" s="392"/>
      <c r="BL989" s="392"/>
      <c r="BM989" s="392"/>
      <c r="BN989" s="392"/>
      <c r="BO989" s="392"/>
      <c r="BP989" s="392"/>
      <c r="BQ989" s="392"/>
      <c r="BR989" s="392"/>
      <c r="BS989" s="392"/>
      <c r="BT989" s="392"/>
    </row>
    <row r="990" ht="15.75" customHeight="1">
      <c r="A990" s="216"/>
      <c r="B990" s="156"/>
      <c r="C990" s="156"/>
      <c r="D990" s="156"/>
      <c r="E990" s="392"/>
      <c r="F990" s="392"/>
      <c r="G990" s="392"/>
      <c r="H990" s="392"/>
      <c r="I990" s="392"/>
      <c r="J990" s="392"/>
      <c r="K990" s="392"/>
      <c r="L990" s="392"/>
      <c r="M990" s="392"/>
      <c r="N990" s="392"/>
      <c r="O990" s="392"/>
      <c r="P990" s="392"/>
      <c r="Q990" s="392"/>
      <c r="R990" s="392"/>
      <c r="S990" s="392"/>
      <c r="T990" s="392"/>
      <c r="U990" s="392"/>
      <c r="V990" s="392"/>
      <c r="W990" s="392"/>
      <c r="X990" s="392"/>
      <c r="Y990" s="392"/>
      <c r="Z990" s="392"/>
      <c r="AA990" s="392"/>
      <c r="AB990" s="392"/>
      <c r="AC990" s="392"/>
      <c r="AD990" s="392"/>
      <c r="AE990" s="392"/>
      <c r="AF990" s="392"/>
      <c r="AG990" s="392"/>
      <c r="AH990" s="392"/>
      <c r="AI990" s="392"/>
      <c r="AJ990" s="392"/>
      <c r="AK990" s="392"/>
      <c r="AL990" s="392"/>
      <c r="AM990" s="392"/>
      <c r="AN990" s="392"/>
      <c r="AO990" s="392"/>
      <c r="AP990" s="392"/>
      <c r="AQ990" s="392"/>
      <c r="AR990" s="392"/>
      <c r="AS990" s="392"/>
      <c r="AT990" s="392"/>
      <c r="AU990" s="392"/>
      <c r="AV990" s="392"/>
      <c r="AW990" s="392"/>
      <c r="AX990" s="392"/>
      <c r="AY990" s="392"/>
      <c r="AZ990" s="392"/>
      <c r="BA990" s="392"/>
      <c r="BB990" s="392"/>
      <c r="BC990" s="392"/>
      <c r="BD990" s="392"/>
      <c r="BE990" s="392"/>
      <c r="BF990" s="392"/>
      <c r="BG990" s="392"/>
      <c r="BH990" s="392"/>
      <c r="BI990" s="392"/>
      <c r="BJ990" s="392"/>
      <c r="BK990" s="392"/>
      <c r="BL990" s="392"/>
      <c r="BM990" s="392"/>
      <c r="BN990" s="392"/>
      <c r="BO990" s="392"/>
      <c r="BP990" s="392"/>
      <c r="BQ990" s="392"/>
      <c r="BR990" s="392"/>
      <c r="BS990" s="392"/>
      <c r="BT990" s="392"/>
    </row>
    <row r="991" ht="15.75" customHeight="1">
      <c r="A991" s="216"/>
      <c r="B991" s="156"/>
      <c r="C991" s="156"/>
      <c r="D991" s="156"/>
      <c r="E991" s="392"/>
      <c r="F991" s="392"/>
      <c r="G991" s="392"/>
      <c r="H991" s="392"/>
      <c r="I991" s="392"/>
      <c r="J991" s="392"/>
      <c r="K991" s="392"/>
      <c r="L991" s="392"/>
      <c r="M991" s="392"/>
      <c r="N991" s="392"/>
      <c r="O991" s="392"/>
      <c r="P991" s="392"/>
      <c r="Q991" s="392"/>
      <c r="R991" s="392"/>
      <c r="S991" s="392"/>
      <c r="T991" s="392"/>
      <c r="U991" s="392"/>
      <c r="V991" s="392"/>
      <c r="W991" s="392"/>
      <c r="X991" s="392"/>
      <c r="Y991" s="392"/>
      <c r="Z991" s="392"/>
      <c r="AA991" s="392"/>
      <c r="AB991" s="392"/>
      <c r="AC991" s="392"/>
      <c r="AD991" s="392"/>
      <c r="AE991" s="392"/>
      <c r="AF991" s="392"/>
      <c r="AG991" s="392"/>
      <c r="AH991" s="392"/>
      <c r="AI991" s="392"/>
      <c r="AJ991" s="392"/>
      <c r="AK991" s="392"/>
      <c r="AL991" s="392"/>
      <c r="AM991" s="392"/>
      <c r="AN991" s="392"/>
      <c r="AO991" s="392"/>
      <c r="AP991" s="392"/>
      <c r="AQ991" s="392"/>
      <c r="AR991" s="392"/>
      <c r="AS991" s="392"/>
      <c r="AT991" s="392"/>
      <c r="AU991" s="392"/>
      <c r="AV991" s="392"/>
      <c r="AW991" s="392"/>
      <c r="AX991" s="392"/>
      <c r="AY991" s="392"/>
      <c r="AZ991" s="392"/>
      <c r="BA991" s="392"/>
      <c r="BB991" s="392"/>
      <c r="BC991" s="392"/>
      <c r="BD991" s="392"/>
      <c r="BE991" s="392"/>
      <c r="BF991" s="392"/>
      <c r="BG991" s="392"/>
      <c r="BH991" s="392"/>
      <c r="BI991" s="392"/>
      <c r="BJ991" s="392"/>
      <c r="BK991" s="392"/>
      <c r="BL991" s="392"/>
      <c r="BM991" s="392"/>
      <c r="BN991" s="392"/>
      <c r="BO991" s="392"/>
      <c r="BP991" s="392"/>
      <c r="BQ991" s="392"/>
      <c r="BR991" s="392"/>
      <c r="BS991" s="392"/>
      <c r="BT991" s="392"/>
    </row>
    <row r="992" ht="15.75" customHeight="1">
      <c r="A992" s="216"/>
      <c r="B992" s="156"/>
      <c r="C992" s="156"/>
      <c r="D992" s="156"/>
      <c r="E992" s="392"/>
      <c r="F992" s="392"/>
      <c r="G992" s="392"/>
      <c r="H992" s="392"/>
      <c r="I992" s="392"/>
      <c r="J992" s="392"/>
      <c r="K992" s="392"/>
      <c r="L992" s="392"/>
      <c r="M992" s="392"/>
      <c r="N992" s="392"/>
      <c r="O992" s="392"/>
      <c r="P992" s="392"/>
      <c r="Q992" s="392"/>
      <c r="R992" s="392"/>
      <c r="S992" s="392"/>
      <c r="T992" s="392"/>
      <c r="U992" s="392"/>
      <c r="V992" s="392"/>
      <c r="W992" s="392"/>
      <c r="X992" s="392"/>
      <c r="Y992" s="392"/>
      <c r="Z992" s="392"/>
      <c r="AA992" s="392"/>
      <c r="AB992" s="392"/>
      <c r="AC992" s="392"/>
      <c r="AD992" s="392"/>
      <c r="AE992" s="392"/>
      <c r="AF992" s="392"/>
      <c r="AG992" s="392"/>
      <c r="AH992" s="392"/>
      <c r="AI992" s="392"/>
      <c r="AJ992" s="392"/>
      <c r="AK992" s="392"/>
      <c r="AL992" s="392"/>
      <c r="AM992" s="392"/>
      <c r="AN992" s="392"/>
      <c r="AO992" s="392"/>
      <c r="AP992" s="392"/>
      <c r="AQ992" s="392"/>
      <c r="AR992" s="392"/>
      <c r="AS992" s="392"/>
      <c r="AT992" s="392"/>
      <c r="AU992" s="392"/>
      <c r="AV992" s="392"/>
      <c r="AW992" s="392"/>
      <c r="AX992" s="392"/>
      <c r="AY992" s="392"/>
      <c r="AZ992" s="392"/>
      <c r="BA992" s="392"/>
      <c r="BB992" s="392"/>
      <c r="BC992" s="392"/>
      <c r="BD992" s="392"/>
      <c r="BE992" s="392"/>
      <c r="BF992" s="392"/>
      <c r="BG992" s="392"/>
      <c r="BH992" s="392"/>
      <c r="BI992" s="392"/>
      <c r="BJ992" s="392"/>
      <c r="BK992" s="392"/>
      <c r="BL992" s="392"/>
      <c r="BM992" s="392"/>
      <c r="BN992" s="392"/>
      <c r="BO992" s="392"/>
      <c r="BP992" s="392"/>
      <c r="BQ992" s="392"/>
      <c r="BR992" s="392"/>
      <c r="BS992" s="392"/>
      <c r="BT992" s="392"/>
    </row>
    <row r="993" ht="15.75" customHeight="1">
      <c r="A993" s="216"/>
      <c r="B993" s="156"/>
      <c r="C993" s="156"/>
      <c r="D993" s="156"/>
      <c r="E993" s="392"/>
      <c r="F993" s="392"/>
      <c r="G993" s="392"/>
      <c r="H993" s="392"/>
      <c r="I993" s="392"/>
      <c r="J993" s="392"/>
      <c r="K993" s="392"/>
      <c r="L993" s="392"/>
      <c r="M993" s="392"/>
      <c r="N993" s="392"/>
      <c r="O993" s="392"/>
      <c r="P993" s="392"/>
      <c r="Q993" s="392"/>
      <c r="R993" s="392"/>
      <c r="S993" s="392"/>
      <c r="T993" s="392"/>
      <c r="U993" s="392"/>
      <c r="V993" s="392"/>
      <c r="W993" s="392"/>
      <c r="X993" s="392"/>
      <c r="Y993" s="392"/>
      <c r="Z993" s="392"/>
      <c r="AA993" s="392"/>
      <c r="AB993" s="392"/>
      <c r="AC993" s="392"/>
      <c r="AD993" s="392"/>
      <c r="AE993" s="392"/>
      <c r="AF993" s="392"/>
      <c r="AG993" s="392"/>
      <c r="AH993" s="392"/>
      <c r="AI993" s="392"/>
      <c r="AJ993" s="392"/>
      <c r="AK993" s="392"/>
      <c r="AL993" s="392"/>
      <c r="AM993" s="392"/>
      <c r="AN993" s="392"/>
      <c r="AO993" s="392"/>
      <c r="AP993" s="392"/>
      <c r="AQ993" s="392"/>
      <c r="AR993" s="392"/>
      <c r="AS993" s="392"/>
      <c r="AT993" s="392"/>
      <c r="AU993" s="392"/>
      <c r="AV993" s="392"/>
      <c r="AW993" s="392"/>
      <c r="AX993" s="392"/>
      <c r="AY993" s="392"/>
      <c r="AZ993" s="392"/>
      <c r="BA993" s="392"/>
      <c r="BB993" s="392"/>
      <c r="BC993" s="392"/>
      <c r="BD993" s="392"/>
      <c r="BE993" s="392"/>
      <c r="BF993" s="392"/>
      <c r="BG993" s="392"/>
      <c r="BH993" s="392"/>
      <c r="BI993" s="392"/>
      <c r="BJ993" s="392"/>
      <c r="BK993" s="392"/>
      <c r="BL993" s="392"/>
      <c r="BM993" s="392"/>
      <c r="BN993" s="392"/>
      <c r="BO993" s="392"/>
      <c r="BP993" s="392"/>
      <c r="BQ993" s="392"/>
      <c r="BR993" s="392"/>
      <c r="BS993" s="392"/>
      <c r="BT993" s="392"/>
    </row>
    <row r="994" ht="15.75" customHeight="1">
      <c r="A994" s="216"/>
      <c r="B994" s="156"/>
      <c r="C994" s="156"/>
      <c r="D994" s="156"/>
      <c r="E994" s="392"/>
      <c r="F994" s="392"/>
      <c r="G994" s="392"/>
      <c r="H994" s="392"/>
      <c r="I994" s="392"/>
      <c r="J994" s="392"/>
      <c r="K994" s="392"/>
      <c r="L994" s="392"/>
      <c r="M994" s="392"/>
      <c r="N994" s="392"/>
      <c r="O994" s="392"/>
      <c r="P994" s="392"/>
      <c r="Q994" s="392"/>
      <c r="R994" s="392"/>
      <c r="S994" s="392"/>
      <c r="T994" s="392"/>
      <c r="U994" s="392"/>
      <c r="V994" s="392"/>
      <c r="W994" s="392"/>
      <c r="X994" s="392"/>
      <c r="Y994" s="392"/>
      <c r="Z994" s="392"/>
      <c r="AA994" s="392"/>
      <c r="AB994" s="392"/>
      <c r="AC994" s="392"/>
      <c r="AD994" s="392"/>
      <c r="AE994" s="392"/>
      <c r="AF994" s="392"/>
      <c r="AG994" s="392"/>
      <c r="AH994" s="392"/>
      <c r="AI994" s="392"/>
      <c r="AJ994" s="392"/>
      <c r="AK994" s="392"/>
      <c r="AL994" s="392"/>
      <c r="AM994" s="392"/>
      <c r="AN994" s="392"/>
      <c r="AO994" s="392"/>
      <c r="AP994" s="392"/>
      <c r="AQ994" s="392"/>
      <c r="AR994" s="392"/>
      <c r="AS994" s="392"/>
      <c r="AT994" s="392"/>
      <c r="AU994" s="392"/>
      <c r="AV994" s="392"/>
      <c r="AW994" s="392"/>
      <c r="AX994" s="392"/>
      <c r="AY994" s="392"/>
      <c r="AZ994" s="392"/>
      <c r="BA994" s="392"/>
      <c r="BB994" s="392"/>
      <c r="BC994" s="392"/>
      <c r="BD994" s="392"/>
      <c r="BE994" s="392"/>
      <c r="BF994" s="392"/>
      <c r="BG994" s="392"/>
      <c r="BH994" s="392"/>
      <c r="BI994" s="392"/>
      <c r="BJ994" s="392"/>
      <c r="BK994" s="392"/>
      <c r="BL994" s="392"/>
      <c r="BM994" s="392"/>
      <c r="BN994" s="392"/>
      <c r="BO994" s="392"/>
      <c r="BP994" s="392"/>
      <c r="BQ994" s="392"/>
      <c r="BR994" s="392"/>
      <c r="BS994" s="392"/>
      <c r="BT994" s="392"/>
    </row>
    <row r="995" ht="15.75" customHeight="1">
      <c r="A995" s="216"/>
      <c r="B995" s="156"/>
      <c r="C995" s="156"/>
      <c r="D995" s="156"/>
      <c r="E995" s="392"/>
      <c r="F995" s="392"/>
      <c r="G995" s="392"/>
      <c r="H995" s="392"/>
      <c r="I995" s="392"/>
      <c r="J995" s="392"/>
      <c r="K995" s="392"/>
      <c r="L995" s="392"/>
      <c r="M995" s="392"/>
      <c r="N995" s="392"/>
      <c r="O995" s="392"/>
      <c r="P995" s="392"/>
      <c r="Q995" s="392"/>
      <c r="R995" s="392"/>
      <c r="S995" s="392"/>
      <c r="T995" s="392"/>
      <c r="U995" s="392"/>
      <c r="V995" s="392"/>
      <c r="W995" s="392"/>
      <c r="X995" s="392"/>
      <c r="Y995" s="392"/>
      <c r="Z995" s="392"/>
      <c r="AA995" s="392"/>
      <c r="AB995" s="392"/>
      <c r="AC995" s="392"/>
      <c r="AD995" s="392"/>
      <c r="AE995" s="392"/>
      <c r="AF995" s="392"/>
      <c r="AG995" s="392"/>
      <c r="AH995" s="392"/>
      <c r="AI995" s="392"/>
      <c r="AJ995" s="392"/>
      <c r="AK995" s="392"/>
      <c r="AL995" s="392"/>
      <c r="AM995" s="392"/>
      <c r="AN995" s="392"/>
      <c r="AO995" s="392"/>
      <c r="AP995" s="392"/>
      <c r="AQ995" s="392"/>
      <c r="AR995" s="392"/>
      <c r="AS995" s="392"/>
      <c r="AT995" s="392"/>
      <c r="AU995" s="392"/>
      <c r="AV995" s="392"/>
      <c r="AW995" s="392"/>
      <c r="AX995" s="392"/>
      <c r="AY995" s="392"/>
      <c r="AZ995" s="392"/>
      <c r="BA995" s="392"/>
      <c r="BB995" s="392"/>
      <c r="BC995" s="392"/>
      <c r="BD995" s="392"/>
      <c r="BE995" s="392"/>
      <c r="BF995" s="392"/>
      <c r="BG995" s="392"/>
      <c r="BH995" s="392"/>
      <c r="BI995" s="392"/>
      <c r="BJ995" s="392"/>
      <c r="BK995" s="392"/>
      <c r="BL995" s="392"/>
      <c r="BM995" s="392"/>
      <c r="BN995" s="392"/>
      <c r="BO995" s="392"/>
      <c r="BP995" s="392"/>
      <c r="BQ995" s="392"/>
      <c r="BR995" s="392"/>
      <c r="BS995" s="392"/>
      <c r="BT995" s="392"/>
    </row>
    <row r="996" ht="15.75" customHeight="1">
      <c r="A996" s="216"/>
      <c r="B996" s="156"/>
      <c r="C996" s="156"/>
      <c r="D996" s="156"/>
      <c r="E996" s="392"/>
      <c r="F996" s="392"/>
      <c r="G996" s="392"/>
      <c r="H996" s="392"/>
      <c r="I996" s="392"/>
      <c r="J996" s="392"/>
      <c r="K996" s="392"/>
      <c r="L996" s="392"/>
      <c r="M996" s="392"/>
      <c r="N996" s="392"/>
      <c r="O996" s="392"/>
      <c r="P996" s="392"/>
      <c r="Q996" s="392"/>
      <c r="R996" s="392"/>
      <c r="S996" s="392"/>
      <c r="T996" s="392"/>
      <c r="U996" s="392"/>
      <c r="V996" s="392"/>
      <c r="W996" s="392"/>
      <c r="X996" s="392"/>
      <c r="Y996" s="392"/>
      <c r="Z996" s="392"/>
      <c r="AA996" s="392"/>
      <c r="AB996" s="392"/>
      <c r="AC996" s="392"/>
      <c r="AD996" s="392"/>
      <c r="AE996" s="392"/>
      <c r="AF996" s="392"/>
      <c r="AG996" s="392"/>
      <c r="AH996" s="392"/>
      <c r="AI996" s="392"/>
      <c r="AJ996" s="392"/>
      <c r="AK996" s="392"/>
      <c r="AL996" s="392"/>
      <c r="AM996" s="392"/>
      <c r="AN996" s="392"/>
      <c r="AO996" s="392"/>
      <c r="AP996" s="392"/>
      <c r="AQ996" s="392"/>
      <c r="AR996" s="392"/>
      <c r="AS996" s="392"/>
      <c r="AT996" s="392"/>
      <c r="AU996" s="392"/>
      <c r="AV996" s="392"/>
      <c r="AW996" s="392"/>
      <c r="AX996" s="392"/>
      <c r="AY996" s="392"/>
      <c r="AZ996" s="392"/>
      <c r="BA996" s="392"/>
      <c r="BB996" s="392"/>
      <c r="BC996" s="392"/>
      <c r="BD996" s="392"/>
      <c r="BE996" s="392"/>
      <c r="BF996" s="392"/>
      <c r="BG996" s="392"/>
      <c r="BH996" s="392"/>
      <c r="BI996" s="392"/>
      <c r="BJ996" s="392"/>
      <c r="BK996" s="392"/>
      <c r="BL996" s="392"/>
      <c r="BM996" s="392"/>
      <c r="BN996" s="392"/>
      <c r="BO996" s="392"/>
      <c r="BP996" s="392"/>
      <c r="BQ996" s="392"/>
      <c r="BR996" s="392"/>
      <c r="BS996" s="392"/>
      <c r="BT996" s="392"/>
    </row>
    <row r="997" ht="15.75" customHeight="1">
      <c r="A997" s="216"/>
      <c r="B997" s="156"/>
      <c r="C997" s="156"/>
      <c r="D997" s="156"/>
      <c r="E997" s="392"/>
      <c r="F997" s="392"/>
      <c r="G997" s="392"/>
      <c r="H997" s="392"/>
      <c r="I997" s="392"/>
      <c r="J997" s="392"/>
      <c r="K997" s="392"/>
      <c r="L997" s="392"/>
      <c r="M997" s="392"/>
      <c r="N997" s="392"/>
      <c r="O997" s="392"/>
      <c r="P997" s="392"/>
      <c r="Q997" s="392"/>
      <c r="R997" s="392"/>
      <c r="S997" s="392"/>
      <c r="T997" s="392"/>
      <c r="U997" s="392"/>
      <c r="V997" s="392"/>
      <c r="W997" s="392"/>
      <c r="X997" s="392"/>
      <c r="Y997" s="392"/>
      <c r="Z997" s="392"/>
      <c r="AA997" s="392"/>
      <c r="AB997" s="392"/>
      <c r="AC997" s="392"/>
      <c r="AD997" s="392"/>
      <c r="AE997" s="392"/>
      <c r="AF997" s="392"/>
      <c r="AG997" s="392"/>
      <c r="AH997" s="392"/>
      <c r="AI997" s="392"/>
      <c r="AJ997" s="392"/>
      <c r="AK997" s="392"/>
      <c r="AL997" s="392"/>
      <c r="AM997" s="392"/>
      <c r="AN997" s="392"/>
      <c r="AO997" s="392"/>
      <c r="AP997" s="392"/>
      <c r="AQ997" s="392"/>
      <c r="AR997" s="392"/>
      <c r="AS997" s="392"/>
      <c r="AT997" s="392"/>
      <c r="AU997" s="392"/>
      <c r="AV997" s="392"/>
      <c r="AW997" s="392"/>
      <c r="AX997" s="392"/>
      <c r="AY997" s="392"/>
      <c r="AZ997" s="392"/>
      <c r="BA997" s="392"/>
      <c r="BB997" s="392"/>
      <c r="BC997" s="392"/>
      <c r="BD997" s="392"/>
      <c r="BE997" s="392"/>
      <c r="BF997" s="392"/>
      <c r="BG997" s="392"/>
      <c r="BH997" s="392"/>
      <c r="BI997" s="392"/>
      <c r="BJ997" s="392"/>
      <c r="BK997" s="392"/>
      <c r="BL997" s="392"/>
      <c r="BM997" s="392"/>
      <c r="BN997" s="392"/>
      <c r="BO997" s="392"/>
      <c r="BP997" s="392"/>
      <c r="BQ997" s="392"/>
      <c r="BR997" s="392"/>
      <c r="BS997" s="392"/>
      <c r="BT997" s="392"/>
    </row>
    <row r="998" ht="15.75" customHeight="1">
      <c r="A998" s="216"/>
      <c r="B998" s="156"/>
      <c r="C998" s="156"/>
      <c r="D998" s="156"/>
      <c r="E998" s="392"/>
      <c r="F998" s="392"/>
      <c r="G998" s="392"/>
      <c r="H998" s="392"/>
      <c r="I998" s="392"/>
      <c r="J998" s="392"/>
      <c r="K998" s="392"/>
      <c r="L998" s="392"/>
      <c r="M998" s="392"/>
      <c r="N998" s="392"/>
      <c r="O998" s="392"/>
      <c r="P998" s="392"/>
      <c r="Q998" s="392"/>
      <c r="R998" s="392"/>
      <c r="S998" s="392"/>
      <c r="T998" s="392"/>
      <c r="U998" s="392"/>
      <c r="V998" s="392"/>
      <c r="W998" s="392"/>
      <c r="X998" s="392"/>
      <c r="Y998" s="392"/>
      <c r="Z998" s="392"/>
      <c r="AA998" s="392"/>
      <c r="AB998" s="392"/>
      <c r="AC998" s="392"/>
      <c r="AD998" s="392"/>
      <c r="AE998" s="392"/>
      <c r="AF998" s="392"/>
      <c r="AG998" s="392"/>
      <c r="AH998" s="392"/>
      <c r="AI998" s="392"/>
      <c r="AJ998" s="392"/>
      <c r="AK998" s="392"/>
      <c r="AL998" s="392"/>
      <c r="AM998" s="392"/>
      <c r="AN998" s="392"/>
      <c r="AO998" s="392"/>
      <c r="AP998" s="392"/>
      <c r="AQ998" s="392"/>
      <c r="AR998" s="392"/>
      <c r="AS998" s="392"/>
      <c r="AT998" s="392"/>
      <c r="AU998" s="392"/>
      <c r="AV998" s="392"/>
      <c r="AW998" s="392"/>
      <c r="AX998" s="392"/>
      <c r="AY998" s="392"/>
      <c r="AZ998" s="392"/>
      <c r="BA998" s="392"/>
      <c r="BB998" s="392"/>
      <c r="BC998" s="392"/>
      <c r="BD998" s="392"/>
      <c r="BE998" s="392"/>
      <c r="BF998" s="392"/>
      <c r="BG998" s="392"/>
      <c r="BH998" s="392"/>
      <c r="BI998" s="392"/>
      <c r="BJ998" s="392"/>
      <c r="BK998" s="392"/>
      <c r="BL998" s="392"/>
      <c r="BM998" s="392"/>
      <c r="BN998" s="392"/>
      <c r="BO998" s="392"/>
      <c r="BP998" s="392"/>
      <c r="BQ998" s="392"/>
      <c r="BR998" s="392"/>
      <c r="BS998" s="392"/>
      <c r="BT998" s="392"/>
    </row>
    <row r="999" ht="15.75" customHeight="1">
      <c r="A999" s="216"/>
      <c r="B999" s="156"/>
      <c r="C999" s="156"/>
      <c r="D999" s="156"/>
      <c r="E999" s="392"/>
      <c r="F999" s="392"/>
      <c r="G999" s="392"/>
      <c r="H999" s="392"/>
      <c r="I999" s="392"/>
      <c r="J999" s="392"/>
      <c r="K999" s="392"/>
      <c r="L999" s="392"/>
      <c r="M999" s="392"/>
      <c r="N999" s="392"/>
      <c r="O999" s="392"/>
      <c r="P999" s="392"/>
      <c r="Q999" s="392"/>
      <c r="R999" s="392"/>
      <c r="S999" s="392"/>
      <c r="T999" s="392"/>
      <c r="U999" s="392"/>
      <c r="V999" s="392"/>
      <c r="W999" s="392"/>
      <c r="X999" s="392"/>
      <c r="Y999" s="392"/>
      <c r="Z999" s="392"/>
      <c r="AA999" s="392"/>
      <c r="AB999" s="392"/>
      <c r="AC999" s="392"/>
      <c r="AD999" s="392"/>
      <c r="AE999" s="392"/>
      <c r="AF999" s="392"/>
      <c r="AG999" s="392"/>
      <c r="AH999" s="392"/>
      <c r="AI999" s="392"/>
      <c r="AJ999" s="392"/>
      <c r="AK999" s="392"/>
      <c r="AL999" s="392"/>
      <c r="AM999" s="392"/>
      <c r="AN999" s="392"/>
      <c r="AO999" s="392"/>
      <c r="AP999" s="392"/>
      <c r="AQ999" s="392"/>
      <c r="AR999" s="392"/>
      <c r="AS999" s="392"/>
      <c r="AT999" s="392"/>
      <c r="AU999" s="392"/>
      <c r="AV999" s="392"/>
      <c r="AW999" s="392"/>
      <c r="AX999" s="392"/>
      <c r="AY999" s="392"/>
      <c r="AZ999" s="392"/>
      <c r="BA999" s="392"/>
      <c r="BB999" s="392"/>
      <c r="BC999" s="392"/>
      <c r="BD999" s="392"/>
      <c r="BE999" s="392"/>
      <c r="BF999" s="392"/>
      <c r="BG999" s="392"/>
      <c r="BH999" s="392"/>
      <c r="BI999" s="392"/>
      <c r="BJ999" s="392"/>
      <c r="BK999" s="392"/>
      <c r="BL999" s="392"/>
      <c r="BM999" s="392"/>
      <c r="BN999" s="392"/>
      <c r="BO999" s="392"/>
      <c r="BP999" s="392"/>
      <c r="BQ999" s="392"/>
      <c r="BR999" s="392"/>
      <c r="BS999" s="392"/>
      <c r="BT999" s="392"/>
    </row>
    <row r="1000" ht="15.75" customHeight="1">
      <c r="A1000" s="216"/>
      <c r="B1000" s="156"/>
      <c r="C1000" s="156"/>
      <c r="D1000" s="156"/>
      <c r="E1000" s="392"/>
      <c r="F1000" s="392"/>
      <c r="G1000" s="392"/>
      <c r="H1000" s="392"/>
      <c r="I1000" s="392"/>
      <c r="J1000" s="392"/>
      <c r="K1000" s="392"/>
      <c r="L1000" s="392"/>
      <c r="M1000" s="392"/>
      <c r="N1000" s="392"/>
      <c r="O1000" s="392"/>
      <c r="P1000" s="392"/>
      <c r="Q1000" s="392"/>
      <c r="R1000" s="392"/>
      <c r="S1000" s="392"/>
      <c r="T1000" s="392"/>
      <c r="U1000" s="392"/>
      <c r="V1000" s="392"/>
      <c r="W1000" s="392"/>
      <c r="X1000" s="392"/>
      <c r="Y1000" s="392"/>
      <c r="Z1000" s="392"/>
      <c r="AA1000" s="392"/>
      <c r="AB1000" s="392"/>
      <c r="AC1000" s="392"/>
      <c r="AD1000" s="392"/>
      <c r="AE1000" s="392"/>
      <c r="AF1000" s="392"/>
      <c r="AG1000" s="392"/>
      <c r="AH1000" s="392"/>
      <c r="AI1000" s="392"/>
      <c r="AJ1000" s="392"/>
      <c r="AK1000" s="392"/>
      <c r="AL1000" s="392"/>
      <c r="AM1000" s="392"/>
      <c r="AN1000" s="392"/>
      <c r="AO1000" s="392"/>
      <c r="AP1000" s="392"/>
      <c r="AQ1000" s="392"/>
      <c r="AR1000" s="392"/>
      <c r="AS1000" s="392"/>
      <c r="AT1000" s="392"/>
      <c r="AU1000" s="392"/>
      <c r="AV1000" s="392"/>
      <c r="AW1000" s="392"/>
      <c r="AX1000" s="392"/>
      <c r="AY1000" s="392"/>
      <c r="AZ1000" s="392"/>
      <c r="BA1000" s="392"/>
      <c r="BB1000" s="392"/>
      <c r="BC1000" s="392"/>
      <c r="BD1000" s="392"/>
      <c r="BE1000" s="392"/>
      <c r="BF1000" s="392"/>
      <c r="BG1000" s="392"/>
      <c r="BH1000" s="392"/>
      <c r="BI1000" s="392"/>
      <c r="BJ1000" s="392"/>
      <c r="BK1000" s="392"/>
      <c r="BL1000" s="392"/>
      <c r="BM1000" s="392"/>
      <c r="BN1000" s="392"/>
      <c r="BO1000" s="392"/>
      <c r="BP1000" s="392"/>
      <c r="BQ1000" s="392"/>
      <c r="BR1000" s="392"/>
      <c r="BS1000" s="392"/>
      <c r="BT1000" s="392"/>
    </row>
    <row r="1001" ht="15.75" customHeight="1">
      <c r="A1001" s="216"/>
      <c r="B1001" s="156"/>
      <c r="C1001" s="156"/>
      <c r="D1001" s="156"/>
      <c r="E1001" s="392"/>
      <c r="F1001" s="392"/>
      <c r="G1001" s="392"/>
      <c r="H1001" s="392"/>
      <c r="I1001" s="392"/>
      <c r="J1001" s="392"/>
      <c r="K1001" s="392"/>
      <c r="L1001" s="392"/>
      <c r="M1001" s="392"/>
      <c r="N1001" s="392"/>
      <c r="O1001" s="392"/>
      <c r="P1001" s="392"/>
      <c r="Q1001" s="392"/>
      <c r="R1001" s="392"/>
      <c r="S1001" s="392"/>
      <c r="T1001" s="392"/>
      <c r="U1001" s="392"/>
      <c r="V1001" s="392"/>
      <c r="W1001" s="392"/>
      <c r="X1001" s="392"/>
      <c r="Y1001" s="392"/>
      <c r="Z1001" s="392"/>
      <c r="AA1001" s="392"/>
      <c r="AB1001" s="392"/>
      <c r="AC1001" s="392"/>
      <c r="AD1001" s="392"/>
      <c r="AE1001" s="392"/>
      <c r="AF1001" s="392"/>
      <c r="AG1001" s="392"/>
      <c r="AH1001" s="392"/>
      <c r="AI1001" s="392"/>
      <c r="AJ1001" s="392"/>
      <c r="AK1001" s="392"/>
      <c r="AL1001" s="392"/>
      <c r="AM1001" s="392"/>
      <c r="AN1001" s="392"/>
      <c r="AO1001" s="392"/>
      <c r="AP1001" s="392"/>
      <c r="AQ1001" s="392"/>
      <c r="AR1001" s="392"/>
      <c r="AS1001" s="392"/>
      <c r="AT1001" s="392"/>
      <c r="AU1001" s="392"/>
      <c r="AV1001" s="392"/>
      <c r="AW1001" s="392"/>
      <c r="AX1001" s="392"/>
      <c r="AY1001" s="392"/>
      <c r="AZ1001" s="392"/>
      <c r="BA1001" s="392"/>
      <c r="BB1001" s="392"/>
      <c r="BC1001" s="392"/>
      <c r="BD1001" s="392"/>
      <c r="BE1001" s="392"/>
      <c r="BF1001" s="392"/>
      <c r="BG1001" s="392"/>
      <c r="BH1001" s="392"/>
      <c r="BI1001" s="392"/>
      <c r="BJ1001" s="392"/>
      <c r="BK1001" s="392"/>
      <c r="BL1001" s="392"/>
      <c r="BM1001" s="392"/>
      <c r="BN1001" s="392"/>
      <c r="BO1001" s="392"/>
      <c r="BP1001" s="392"/>
      <c r="BQ1001" s="392"/>
      <c r="BR1001" s="392"/>
      <c r="BS1001" s="392"/>
      <c r="BT1001" s="392"/>
    </row>
    <row r="1002" ht="15.75" customHeight="1">
      <c r="A1002" s="216"/>
      <c r="B1002" s="156"/>
      <c r="C1002" s="156"/>
      <c r="D1002" s="156"/>
      <c r="E1002" s="392"/>
      <c r="F1002" s="392"/>
      <c r="G1002" s="392"/>
      <c r="H1002" s="392"/>
      <c r="I1002" s="392"/>
      <c r="J1002" s="392"/>
      <c r="K1002" s="392"/>
      <c r="L1002" s="392"/>
      <c r="M1002" s="392"/>
      <c r="N1002" s="392"/>
      <c r="O1002" s="392"/>
      <c r="P1002" s="392"/>
      <c r="Q1002" s="392"/>
      <c r="R1002" s="392"/>
      <c r="S1002" s="392"/>
      <c r="T1002" s="392"/>
      <c r="U1002" s="392"/>
      <c r="V1002" s="392"/>
      <c r="W1002" s="392"/>
      <c r="X1002" s="392"/>
      <c r="Y1002" s="392"/>
      <c r="Z1002" s="392"/>
      <c r="AA1002" s="392"/>
      <c r="AB1002" s="392"/>
      <c r="AC1002" s="392"/>
      <c r="AD1002" s="392"/>
      <c r="AE1002" s="392"/>
      <c r="AF1002" s="392"/>
      <c r="AG1002" s="392"/>
      <c r="AH1002" s="392"/>
      <c r="AI1002" s="392"/>
      <c r="AJ1002" s="392"/>
      <c r="AK1002" s="392"/>
      <c r="AL1002" s="392"/>
      <c r="AM1002" s="392"/>
      <c r="AN1002" s="392"/>
      <c r="AO1002" s="392"/>
      <c r="AP1002" s="392"/>
      <c r="AQ1002" s="392"/>
      <c r="AR1002" s="392"/>
      <c r="AS1002" s="392"/>
      <c r="AT1002" s="392"/>
      <c r="AU1002" s="392"/>
      <c r="AV1002" s="392"/>
      <c r="AW1002" s="392"/>
      <c r="AX1002" s="392"/>
      <c r="AY1002" s="392"/>
      <c r="AZ1002" s="392"/>
      <c r="BA1002" s="392"/>
      <c r="BB1002" s="392"/>
      <c r="BC1002" s="392"/>
      <c r="BD1002" s="392"/>
      <c r="BE1002" s="392"/>
      <c r="BF1002" s="392"/>
      <c r="BG1002" s="392"/>
      <c r="BH1002" s="392"/>
      <c r="BI1002" s="392"/>
      <c r="BJ1002" s="392"/>
      <c r="BK1002" s="392"/>
      <c r="BL1002" s="392"/>
      <c r="BM1002" s="392"/>
      <c r="BN1002" s="392"/>
      <c r="BO1002" s="392"/>
      <c r="BP1002" s="392"/>
      <c r="BQ1002" s="392"/>
      <c r="BR1002" s="392"/>
      <c r="BS1002" s="392"/>
      <c r="BT1002" s="392"/>
    </row>
    <row r="1003" ht="15.75" customHeight="1">
      <c r="A1003" s="216"/>
      <c r="B1003" s="156"/>
      <c r="C1003" s="156"/>
      <c r="D1003" s="156"/>
      <c r="E1003" s="392"/>
      <c r="F1003" s="392"/>
      <c r="G1003" s="392"/>
      <c r="H1003" s="392"/>
      <c r="I1003" s="392"/>
      <c r="J1003" s="392"/>
      <c r="K1003" s="392"/>
      <c r="L1003" s="392"/>
      <c r="M1003" s="392"/>
      <c r="N1003" s="392"/>
      <c r="O1003" s="392"/>
      <c r="P1003" s="392"/>
      <c r="Q1003" s="392"/>
      <c r="R1003" s="392"/>
      <c r="S1003" s="392"/>
      <c r="T1003" s="392"/>
      <c r="U1003" s="392"/>
      <c r="V1003" s="392"/>
      <c r="W1003" s="392"/>
      <c r="X1003" s="392"/>
      <c r="Y1003" s="392"/>
      <c r="Z1003" s="392"/>
      <c r="AA1003" s="392"/>
      <c r="AB1003" s="392"/>
      <c r="AC1003" s="392"/>
      <c r="AD1003" s="392"/>
      <c r="AE1003" s="392"/>
      <c r="AF1003" s="392"/>
      <c r="AG1003" s="392"/>
      <c r="AH1003" s="392"/>
      <c r="AI1003" s="392"/>
      <c r="AJ1003" s="392"/>
      <c r="AK1003" s="392"/>
      <c r="AL1003" s="392"/>
      <c r="AM1003" s="392"/>
      <c r="AN1003" s="392"/>
      <c r="AO1003" s="392"/>
      <c r="AP1003" s="392"/>
      <c r="AQ1003" s="392"/>
      <c r="AR1003" s="392"/>
      <c r="AS1003" s="392"/>
      <c r="AT1003" s="392"/>
      <c r="AU1003" s="392"/>
      <c r="AV1003" s="392"/>
      <c r="AW1003" s="392"/>
      <c r="AX1003" s="392"/>
      <c r="AY1003" s="392"/>
      <c r="AZ1003" s="392"/>
      <c r="BA1003" s="392"/>
      <c r="BB1003" s="392"/>
      <c r="BC1003" s="392"/>
      <c r="BD1003" s="392"/>
      <c r="BE1003" s="392"/>
      <c r="BF1003" s="392"/>
      <c r="BG1003" s="392"/>
      <c r="BH1003" s="392"/>
      <c r="BI1003" s="392"/>
      <c r="BJ1003" s="392"/>
      <c r="BK1003" s="392"/>
      <c r="BL1003" s="392"/>
      <c r="BM1003" s="392"/>
      <c r="BN1003" s="392"/>
      <c r="BO1003" s="392"/>
      <c r="BP1003" s="392"/>
      <c r="BQ1003" s="392"/>
      <c r="BR1003" s="392"/>
      <c r="BS1003" s="392"/>
      <c r="BT1003" s="392"/>
    </row>
    <row r="1004" ht="15.75" customHeight="1">
      <c r="A1004" s="216"/>
      <c r="B1004" s="156"/>
      <c r="C1004" s="156"/>
      <c r="D1004" s="156"/>
      <c r="E1004" s="392"/>
      <c r="F1004" s="392"/>
      <c r="G1004" s="392"/>
      <c r="H1004" s="392"/>
      <c r="I1004" s="392"/>
      <c r="J1004" s="392"/>
      <c r="K1004" s="392"/>
      <c r="L1004" s="392"/>
      <c r="M1004" s="392"/>
      <c r="N1004" s="392"/>
      <c r="O1004" s="392"/>
      <c r="P1004" s="392"/>
      <c r="Q1004" s="392"/>
      <c r="R1004" s="392"/>
      <c r="S1004" s="392"/>
      <c r="T1004" s="392"/>
      <c r="U1004" s="392"/>
      <c r="V1004" s="392"/>
      <c r="W1004" s="392"/>
      <c r="X1004" s="392"/>
      <c r="Y1004" s="392"/>
      <c r="Z1004" s="392"/>
      <c r="AA1004" s="392"/>
      <c r="AB1004" s="392"/>
      <c r="AC1004" s="392"/>
      <c r="AD1004" s="392"/>
      <c r="AE1004" s="392"/>
      <c r="AF1004" s="392"/>
      <c r="AG1004" s="392"/>
      <c r="AH1004" s="392"/>
      <c r="AI1004" s="392"/>
      <c r="AJ1004" s="392"/>
      <c r="AK1004" s="392"/>
      <c r="AL1004" s="392"/>
      <c r="AM1004" s="392"/>
      <c r="AN1004" s="392"/>
      <c r="AO1004" s="392"/>
      <c r="AP1004" s="392"/>
      <c r="AQ1004" s="392"/>
      <c r="AR1004" s="392"/>
      <c r="AS1004" s="392"/>
      <c r="AT1004" s="392"/>
      <c r="AU1004" s="392"/>
      <c r="AV1004" s="392"/>
      <c r="AW1004" s="392"/>
      <c r="AX1004" s="392"/>
      <c r="AY1004" s="392"/>
      <c r="AZ1004" s="392"/>
      <c r="BA1004" s="392"/>
      <c r="BB1004" s="392"/>
      <c r="BC1004" s="392"/>
      <c r="BD1004" s="392"/>
      <c r="BE1004" s="392"/>
      <c r="BF1004" s="392"/>
      <c r="BG1004" s="392"/>
      <c r="BH1004" s="392"/>
      <c r="BI1004" s="392"/>
      <c r="BJ1004" s="392"/>
      <c r="BK1004" s="392"/>
      <c r="BL1004" s="392"/>
      <c r="BM1004" s="392"/>
      <c r="BN1004" s="392"/>
      <c r="BO1004" s="392"/>
      <c r="BP1004" s="392"/>
      <c r="BQ1004" s="392"/>
      <c r="BR1004" s="392"/>
      <c r="BS1004" s="392"/>
      <c r="BT1004" s="392"/>
    </row>
    <row r="1005" ht="15.75" customHeight="1">
      <c r="A1005" s="216"/>
      <c r="B1005" s="156"/>
      <c r="C1005" s="156"/>
      <c r="D1005" s="156"/>
      <c r="E1005" s="392"/>
      <c r="F1005" s="392"/>
      <c r="G1005" s="392"/>
      <c r="H1005" s="392"/>
      <c r="I1005" s="392"/>
      <c r="J1005" s="392"/>
      <c r="K1005" s="392"/>
      <c r="L1005" s="392"/>
      <c r="M1005" s="392"/>
      <c r="N1005" s="392"/>
      <c r="O1005" s="392"/>
      <c r="P1005" s="392"/>
      <c r="Q1005" s="392"/>
      <c r="R1005" s="392"/>
      <c r="S1005" s="392"/>
      <c r="T1005" s="392"/>
      <c r="U1005" s="392"/>
      <c r="V1005" s="392"/>
      <c r="W1005" s="392"/>
      <c r="X1005" s="392"/>
      <c r="Y1005" s="392"/>
      <c r="Z1005" s="392"/>
      <c r="AA1005" s="392"/>
      <c r="AB1005" s="392"/>
      <c r="AC1005" s="392"/>
      <c r="AD1005" s="392"/>
      <c r="AE1005" s="392"/>
      <c r="AF1005" s="392"/>
      <c r="AG1005" s="392"/>
      <c r="AH1005" s="392"/>
      <c r="AI1005" s="392"/>
      <c r="AJ1005" s="392"/>
      <c r="AK1005" s="392"/>
      <c r="AL1005" s="392"/>
      <c r="AM1005" s="392"/>
      <c r="AN1005" s="392"/>
      <c r="AO1005" s="392"/>
      <c r="AP1005" s="392"/>
      <c r="AQ1005" s="392"/>
      <c r="AR1005" s="392"/>
      <c r="AS1005" s="392"/>
      <c r="AT1005" s="392"/>
      <c r="AU1005" s="392"/>
      <c r="AV1005" s="392"/>
      <c r="AW1005" s="392"/>
      <c r="AX1005" s="392"/>
      <c r="AY1005" s="392"/>
      <c r="AZ1005" s="392"/>
      <c r="BA1005" s="392"/>
      <c r="BB1005" s="392"/>
      <c r="BC1005" s="392"/>
      <c r="BD1005" s="392"/>
      <c r="BE1005" s="392"/>
      <c r="BF1005" s="392"/>
      <c r="BG1005" s="392"/>
      <c r="BH1005" s="392"/>
      <c r="BI1005" s="392"/>
      <c r="BJ1005" s="392"/>
      <c r="BK1005" s="392"/>
      <c r="BL1005" s="392"/>
      <c r="BM1005" s="392"/>
      <c r="BN1005" s="392"/>
      <c r="BO1005" s="392"/>
      <c r="BP1005" s="392"/>
      <c r="BQ1005" s="392"/>
      <c r="BR1005" s="392"/>
      <c r="BS1005" s="392"/>
      <c r="BT1005" s="392"/>
    </row>
    <row r="1006" ht="15.75" customHeight="1">
      <c r="A1006" s="216"/>
      <c r="B1006" s="156"/>
      <c r="C1006" s="156"/>
      <c r="D1006" s="156"/>
      <c r="E1006" s="392"/>
      <c r="F1006" s="392"/>
      <c r="G1006" s="392"/>
      <c r="H1006" s="392"/>
      <c r="I1006" s="392"/>
      <c r="J1006" s="392"/>
      <c r="K1006" s="392"/>
      <c r="L1006" s="392"/>
      <c r="M1006" s="392"/>
      <c r="N1006" s="392"/>
      <c r="O1006" s="392"/>
      <c r="P1006" s="392"/>
      <c r="Q1006" s="392"/>
      <c r="R1006" s="392"/>
      <c r="S1006" s="392"/>
      <c r="T1006" s="392"/>
      <c r="U1006" s="392"/>
      <c r="V1006" s="392"/>
      <c r="W1006" s="392"/>
      <c r="X1006" s="392"/>
      <c r="Y1006" s="392"/>
      <c r="Z1006" s="392"/>
      <c r="AA1006" s="392"/>
      <c r="AB1006" s="392"/>
      <c r="AC1006" s="392"/>
      <c r="AD1006" s="392"/>
      <c r="AE1006" s="392"/>
      <c r="AF1006" s="392"/>
      <c r="AG1006" s="392"/>
      <c r="AH1006" s="392"/>
      <c r="AI1006" s="392"/>
      <c r="AJ1006" s="392"/>
      <c r="AK1006" s="392"/>
      <c r="AL1006" s="392"/>
      <c r="AM1006" s="392"/>
      <c r="AN1006" s="392"/>
      <c r="AO1006" s="392"/>
      <c r="AP1006" s="392"/>
      <c r="AQ1006" s="392"/>
      <c r="AR1006" s="392"/>
      <c r="AS1006" s="392"/>
      <c r="AT1006" s="392"/>
      <c r="AU1006" s="392"/>
      <c r="AV1006" s="392"/>
      <c r="AW1006" s="392"/>
      <c r="AX1006" s="392"/>
      <c r="AY1006" s="392"/>
      <c r="AZ1006" s="392"/>
      <c r="BA1006" s="392"/>
      <c r="BB1006" s="392"/>
      <c r="BC1006" s="392"/>
      <c r="BD1006" s="392"/>
      <c r="BE1006" s="392"/>
      <c r="BF1006" s="392"/>
      <c r="BG1006" s="392"/>
      <c r="BH1006" s="392"/>
      <c r="BI1006" s="392"/>
      <c r="BJ1006" s="392"/>
      <c r="BK1006" s="392"/>
      <c r="BL1006" s="392"/>
      <c r="BM1006" s="392"/>
      <c r="BN1006" s="392"/>
      <c r="BO1006" s="392"/>
      <c r="BP1006" s="392"/>
      <c r="BQ1006" s="392"/>
      <c r="BR1006" s="392"/>
      <c r="BS1006" s="392"/>
      <c r="BT1006" s="392"/>
    </row>
  </sheetData>
  <mergeCells count="21">
    <mergeCell ref="P7:R7"/>
    <mergeCell ref="D8:D9"/>
    <mergeCell ref="E8:H9"/>
    <mergeCell ref="K8:K9"/>
    <mergeCell ref="L8:O9"/>
    <mergeCell ref="R8:R9"/>
    <mergeCell ref="S8:V9"/>
    <mergeCell ref="AU8:AX9"/>
    <mergeCell ref="BA8:BA9"/>
    <mergeCell ref="BB8:BE9"/>
    <mergeCell ref="BH8:BH9"/>
    <mergeCell ref="BI8:BL9"/>
    <mergeCell ref="BO8:BO9"/>
    <mergeCell ref="BP8:BS9"/>
    <mergeCell ref="Y8:Y9"/>
    <mergeCell ref="Z8:AC9"/>
    <mergeCell ref="AF8:AF9"/>
    <mergeCell ref="AG8:AJ9"/>
    <mergeCell ref="AM8:AM9"/>
    <mergeCell ref="AN8:AQ9"/>
    <mergeCell ref="AT8:AT9"/>
  </mergeCells>
  <conditionalFormatting sqref="D1:D6">
    <cfRule type="containsText" dxfId="2" priority="1" operator="containsText" text="squat">
      <formula>NOT(ISERROR(SEARCH(("squat"),(D1))))</formula>
    </cfRule>
  </conditionalFormatting>
  <conditionalFormatting sqref="D1:D6">
    <cfRule type="containsText" dxfId="3" priority="2" operator="containsText" text="bench press">
      <formula>NOT(ISERROR(SEARCH(("bench press"),(D1))))</formula>
    </cfRule>
  </conditionalFormatting>
  <conditionalFormatting sqref="D1:D6">
    <cfRule type="containsText" dxfId="4" priority="3" operator="containsText" text="deadlift">
      <formula>NOT(ISERROR(SEARCH(("deadlift"),(D1))))</formula>
    </cfRule>
  </conditionalFormatting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.0"/>
    <col customWidth="1" min="2" max="2" width="2.38"/>
    <col customWidth="1" min="3" max="3" width="1.0"/>
    <col customWidth="1" min="4" max="4" width="2.75"/>
    <col customWidth="1" min="5" max="5" width="9.5"/>
    <col customWidth="1" min="6" max="6" width="8.75"/>
    <col customWidth="1" min="7" max="7" width="9.0"/>
    <col customWidth="1" min="8" max="8" width="5.5"/>
    <col customWidth="1" min="9" max="9" width="14.75"/>
    <col customWidth="1" min="10" max="10" width="9.88"/>
    <col customWidth="1" min="11" max="11" width="9.0"/>
    <col customWidth="1" min="12" max="12" width="10.25"/>
    <col customWidth="1" min="13" max="14" width="9.0"/>
    <col customWidth="1" min="15" max="15" width="3.13"/>
    <col customWidth="1" min="16" max="16" width="10.75"/>
    <col customWidth="1" min="17" max="32" width="9.0"/>
  </cols>
  <sheetData>
    <row r="1" ht="5.25" customHeight="1">
      <c r="A1" s="1"/>
      <c r="B1" s="2"/>
      <c r="C1" s="1"/>
      <c r="D1" s="1"/>
      <c r="E1" s="1"/>
      <c r="F1" s="1"/>
      <c r="G1" s="1"/>
      <c r="H1" s="1"/>
      <c r="I1" s="1"/>
      <c r="J1" s="436"/>
      <c r="K1" s="3"/>
      <c r="L1" s="3"/>
      <c r="M1" s="3"/>
      <c r="N1" s="3"/>
      <c r="O1" s="3"/>
      <c r="P1" s="4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304"/>
      <c r="AE1" s="304"/>
      <c r="AF1" s="304"/>
    </row>
    <row r="2" ht="13.5" customHeight="1">
      <c r="A2" s="381"/>
      <c r="B2" s="6"/>
      <c r="C2" s="7"/>
      <c r="D2" s="7"/>
      <c r="E2" s="7"/>
      <c r="F2" s="7"/>
      <c r="G2" s="7"/>
      <c r="H2" s="7"/>
      <c r="I2" s="7"/>
      <c r="J2" s="437"/>
      <c r="K2" s="8"/>
      <c r="L2" s="8"/>
      <c r="M2" s="8"/>
      <c r="N2" s="8"/>
      <c r="O2" s="8"/>
      <c r="P2" s="9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438"/>
      <c r="AE2" s="438"/>
      <c r="AF2" s="438"/>
    </row>
    <row r="3" ht="5.25" customHeight="1">
      <c r="A3" s="26"/>
      <c r="B3" s="13"/>
      <c r="C3" s="12"/>
      <c r="D3" s="12"/>
      <c r="E3" s="12"/>
      <c r="F3" s="12"/>
      <c r="G3" s="12"/>
      <c r="H3" s="12"/>
      <c r="I3" s="12"/>
      <c r="J3" s="19"/>
      <c r="K3" s="3"/>
      <c r="L3" s="3"/>
      <c r="M3" s="3"/>
      <c r="N3" s="3"/>
      <c r="O3" s="3"/>
      <c r="P3" s="4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304"/>
      <c r="AE3" s="304"/>
      <c r="AF3" s="304"/>
    </row>
    <row r="4" ht="18.75" customHeight="1">
      <c r="A4" s="26"/>
      <c r="B4" s="13"/>
      <c r="C4" s="12"/>
      <c r="D4" s="14"/>
      <c r="E4" s="14"/>
      <c r="F4" s="14"/>
      <c r="G4" s="14"/>
      <c r="H4" s="14"/>
      <c r="I4" s="14"/>
      <c r="J4" s="353"/>
      <c r="K4" s="15"/>
      <c r="L4" s="15"/>
      <c r="M4" s="15"/>
      <c r="N4" s="15"/>
      <c r="O4" s="15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439"/>
      <c r="AE4" s="439"/>
      <c r="AF4" s="439"/>
    </row>
    <row r="5" ht="5.25" customHeight="1">
      <c r="A5" s="26"/>
      <c r="B5" s="13"/>
      <c r="C5" s="12"/>
      <c r="D5" s="12"/>
      <c r="E5" s="12"/>
      <c r="F5" s="19"/>
      <c r="G5" s="19"/>
      <c r="H5" s="19"/>
      <c r="I5" s="19"/>
      <c r="J5" s="19"/>
      <c r="K5" s="3"/>
      <c r="L5" s="3"/>
      <c r="M5" s="3"/>
      <c r="N5" s="3"/>
      <c r="O5" s="3"/>
      <c r="P5" s="4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304"/>
      <c r="AE5" s="304"/>
      <c r="AF5" s="304"/>
    </row>
    <row r="6" ht="22.5" customHeight="1">
      <c r="A6" s="26"/>
      <c r="B6" s="13"/>
      <c r="C6" s="12"/>
      <c r="D6" s="20"/>
      <c r="E6" s="20"/>
      <c r="F6" s="21"/>
      <c r="G6" s="21"/>
      <c r="H6" s="21"/>
      <c r="I6" s="21"/>
      <c r="J6" s="21"/>
      <c r="K6" s="22"/>
      <c r="L6" s="22"/>
      <c r="M6" s="22"/>
      <c r="N6" s="22"/>
      <c r="O6" s="22"/>
      <c r="P6" s="23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440"/>
      <c r="AE6" s="440"/>
      <c r="AF6" s="440"/>
    </row>
    <row r="7" ht="5.25" customHeight="1">
      <c r="A7" s="382"/>
      <c r="B7" s="383"/>
      <c r="C7" s="382"/>
      <c r="D7" s="412"/>
      <c r="E7" s="413"/>
      <c r="F7" s="413"/>
      <c r="G7" s="413"/>
      <c r="H7" s="413"/>
      <c r="I7" s="413"/>
      <c r="J7" s="441"/>
      <c r="K7" s="413"/>
      <c r="L7" s="413"/>
      <c r="M7" s="413"/>
      <c r="N7" s="413"/>
      <c r="O7" s="156"/>
      <c r="P7" s="388"/>
      <c r="S7" s="388"/>
      <c r="T7" s="388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</row>
    <row r="8" ht="23.25" customHeight="1">
      <c r="A8" s="382"/>
      <c r="B8" s="383"/>
      <c r="C8" s="383"/>
      <c r="D8" s="442" t="s">
        <v>0</v>
      </c>
      <c r="K8" s="443"/>
      <c r="L8" s="444"/>
      <c r="M8" s="444"/>
      <c r="N8" s="444"/>
      <c r="O8" s="156"/>
      <c r="P8" s="388"/>
      <c r="S8" s="388"/>
      <c r="T8" s="388"/>
      <c r="U8" s="388"/>
      <c r="V8" s="388"/>
      <c r="W8" s="388"/>
      <c r="X8" s="388"/>
      <c r="Y8" s="388"/>
      <c r="Z8" s="388"/>
      <c r="AA8" s="388"/>
      <c r="AB8" s="388"/>
      <c r="AC8" s="388"/>
      <c r="AD8" s="388"/>
      <c r="AE8" s="388"/>
      <c r="AF8" s="388"/>
    </row>
    <row r="9" ht="5.25" customHeight="1">
      <c r="A9" s="384"/>
      <c r="B9" s="389"/>
      <c r="C9" s="384"/>
      <c r="D9" s="445"/>
      <c r="E9" s="445"/>
      <c r="F9" s="445"/>
      <c r="G9" s="445"/>
      <c r="H9" s="445"/>
      <c r="I9" s="445"/>
      <c r="J9" s="446"/>
      <c r="K9" s="444"/>
      <c r="L9" s="444"/>
      <c r="M9" s="444"/>
      <c r="N9" s="444"/>
      <c r="O9" s="392"/>
      <c r="P9" s="302"/>
      <c r="Q9" s="302"/>
      <c r="R9" s="302"/>
      <c r="S9" s="302"/>
      <c r="T9" s="302"/>
      <c r="U9" s="302"/>
      <c r="V9" s="302"/>
      <c r="W9" s="302"/>
      <c r="X9" s="302"/>
      <c r="Y9" s="302"/>
      <c r="Z9" s="302"/>
      <c r="AA9" s="302"/>
      <c r="AB9" s="302"/>
      <c r="AC9" s="302"/>
      <c r="AD9" s="302"/>
      <c r="AE9" s="302"/>
      <c r="AF9" s="302"/>
    </row>
    <row r="10" ht="14.25" customHeight="1">
      <c r="A10" s="384"/>
      <c r="B10" s="389"/>
      <c r="C10" s="384"/>
      <c r="D10" s="447" t="s">
        <v>149</v>
      </c>
      <c r="E10" s="83"/>
      <c r="F10" s="83"/>
      <c r="G10" s="83"/>
      <c r="H10" s="83"/>
      <c r="I10" s="83"/>
      <c r="J10" s="83"/>
      <c r="K10" s="444"/>
      <c r="L10" s="444"/>
      <c r="M10" s="444"/>
      <c r="N10" s="444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</row>
    <row r="11" ht="14.25" customHeight="1">
      <c r="A11" s="384"/>
      <c r="B11" s="389"/>
      <c r="C11" s="384"/>
      <c r="D11" s="448"/>
      <c r="E11" s="63"/>
      <c r="F11" s="63"/>
      <c r="G11" s="63"/>
      <c r="H11" s="63"/>
      <c r="I11" s="63"/>
      <c r="J11" s="55"/>
      <c r="K11" s="443"/>
      <c r="L11" s="444"/>
      <c r="M11" s="444"/>
      <c r="N11" s="444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  <c r="AC11" s="156"/>
      <c r="AD11" s="156"/>
      <c r="AE11" s="156"/>
      <c r="AF11" s="156"/>
    </row>
    <row r="12" ht="14.25" customHeight="1">
      <c r="A12" s="384"/>
      <c r="B12" s="389"/>
      <c r="C12" s="384"/>
      <c r="D12" s="449" t="s">
        <v>150</v>
      </c>
      <c r="K12" s="444"/>
      <c r="L12" s="444"/>
      <c r="M12" s="444"/>
      <c r="N12" s="444"/>
      <c r="O12" s="156"/>
      <c r="P12" s="156"/>
      <c r="Q12" s="156"/>
      <c r="R12" s="156"/>
      <c r="S12" s="156"/>
      <c r="T12" s="15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</row>
    <row r="13" ht="14.25" customHeight="1">
      <c r="A13" s="384"/>
      <c r="B13" s="389"/>
      <c r="C13" s="384"/>
      <c r="D13" s="450"/>
      <c r="E13" s="63"/>
      <c r="F13" s="63"/>
      <c r="G13" s="63"/>
      <c r="H13" s="63"/>
      <c r="I13" s="63"/>
      <c r="J13" s="55"/>
      <c r="K13" s="443"/>
      <c r="L13" s="444"/>
      <c r="M13" s="444"/>
      <c r="N13" s="444"/>
      <c r="O13" s="156"/>
      <c r="P13" s="156"/>
      <c r="Q13" s="156"/>
      <c r="R13" s="156"/>
      <c r="S13" s="156"/>
      <c r="T13" s="15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</row>
    <row r="14" ht="14.25" customHeight="1">
      <c r="A14" s="384"/>
      <c r="B14" s="389"/>
      <c r="C14" s="384"/>
      <c r="D14" s="449" t="s">
        <v>151</v>
      </c>
      <c r="K14" s="444"/>
      <c r="L14" s="444"/>
      <c r="M14" s="444"/>
      <c r="N14" s="444"/>
      <c r="O14" s="156"/>
      <c r="P14" s="156"/>
      <c r="Q14" s="156"/>
      <c r="R14" s="156"/>
      <c r="S14" s="156"/>
      <c r="T14" s="15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</row>
    <row r="15" ht="14.25" customHeight="1">
      <c r="A15" s="384"/>
      <c r="B15" s="389"/>
      <c r="C15" s="384"/>
      <c r="D15" s="450"/>
      <c r="E15" s="63"/>
      <c r="F15" s="63"/>
      <c r="G15" s="63"/>
      <c r="H15" s="63"/>
      <c r="I15" s="63"/>
      <c r="J15" s="55"/>
      <c r="K15" s="443"/>
      <c r="L15" s="444"/>
      <c r="M15" s="444"/>
      <c r="N15" s="444"/>
      <c r="O15" s="156"/>
      <c r="P15" s="156"/>
      <c r="Q15" s="156"/>
      <c r="R15" s="156"/>
      <c r="S15" s="156"/>
      <c r="T15" s="15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</row>
    <row r="16" ht="14.25" customHeight="1">
      <c r="A16" s="384"/>
      <c r="B16" s="389"/>
      <c r="C16" s="384"/>
      <c r="D16" s="449" t="s">
        <v>152</v>
      </c>
      <c r="K16" s="444"/>
      <c r="L16" s="444"/>
      <c r="M16" s="444"/>
      <c r="N16" s="444"/>
      <c r="O16" s="156"/>
      <c r="P16" s="156"/>
      <c r="Q16" s="156"/>
      <c r="R16" s="156"/>
      <c r="S16" s="156"/>
      <c r="T16" s="156"/>
      <c r="U16" s="216"/>
      <c r="V16" s="216"/>
      <c r="W16" s="216"/>
      <c r="X16" s="216"/>
      <c r="Y16" s="216"/>
      <c r="Z16" s="216"/>
      <c r="AA16" s="216"/>
      <c r="AB16" s="216"/>
      <c r="AC16" s="216"/>
      <c r="AD16" s="216"/>
      <c r="AE16" s="216"/>
      <c r="AF16" s="216"/>
    </row>
    <row r="17" ht="14.25" customHeight="1">
      <c r="A17" s="384"/>
      <c r="B17" s="389"/>
      <c r="C17" s="384"/>
      <c r="D17" s="450"/>
      <c r="E17" s="63"/>
      <c r="F17" s="63"/>
      <c r="G17" s="63"/>
      <c r="H17" s="63"/>
      <c r="I17" s="63"/>
      <c r="J17" s="55"/>
      <c r="K17" s="443"/>
      <c r="L17" s="444"/>
      <c r="M17" s="444"/>
      <c r="N17" s="444"/>
      <c r="O17" s="156"/>
      <c r="P17" s="156"/>
      <c r="Q17" s="156"/>
      <c r="R17" s="156"/>
      <c r="S17" s="156"/>
      <c r="T17" s="156"/>
      <c r="U17" s="216"/>
      <c r="V17" s="216"/>
      <c r="W17" s="216"/>
      <c r="X17" s="216"/>
      <c r="Y17" s="216"/>
      <c r="Z17" s="216"/>
      <c r="AA17" s="216"/>
      <c r="AB17" s="216"/>
      <c r="AC17" s="216"/>
      <c r="AD17" s="216"/>
      <c r="AE17" s="216"/>
      <c r="AF17" s="216"/>
    </row>
    <row r="18" ht="14.25" customHeight="1">
      <c r="A18" s="216"/>
      <c r="B18" s="435"/>
      <c r="C18" s="216"/>
      <c r="D18" s="451" t="s">
        <v>153</v>
      </c>
      <c r="E18" s="37"/>
      <c r="F18" s="37"/>
      <c r="G18" s="37"/>
      <c r="H18" s="37"/>
      <c r="I18" s="37"/>
      <c r="J18" s="37"/>
      <c r="K18" s="444"/>
      <c r="L18" s="444"/>
      <c r="M18" s="444"/>
      <c r="N18" s="444"/>
      <c r="O18" s="156"/>
      <c r="P18" s="156"/>
      <c r="Q18" s="156"/>
      <c r="R18" s="156"/>
      <c r="S18" s="156"/>
      <c r="T18" s="156"/>
      <c r="U18" s="216"/>
      <c r="V18" s="216"/>
      <c r="W18" s="216"/>
      <c r="X18" s="216"/>
      <c r="Y18" s="216"/>
      <c r="Z18" s="216"/>
      <c r="AA18" s="216"/>
      <c r="AB18" s="216"/>
      <c r="AC18" s="216"/>
      <c r="AD18" s="216"/>
      <c r="AE18" s="216"/>
      <c r="AF18" s="216"/>
    </row>
    <row r="19" ht="14.25" customHeight="1">
      <c r="A19" s="216"/>
      <c r="B19" s="435"/>
      <c r="C19" s="156"/>
      <c r="D19" s="444"/>
      <c r="E19" s="444"/>
      <c r="F19" s="452" t="s">
        <v>154</v>
      </c>
      <c r="G19" s="453"/>
      <c r="H19" s="454">
        <f>G48</f>
        <v>0</v>
      </c>
      <c r="I19" s="454" t="s">
        <v>137</v>
      </c>
      <c r="J19" s="455"/>
      <c r="K19" s="454"/>
      <c r="L19" s="444"/>
      <c r="M19" s="444"/>
      <c r="N19" s="444"/>
      <c r="O19" s="156"/>
      <c r="P19" s="156"/>
      <c r="Q19" s="156"/>
      <c r="R19" s="156"/>
      <c r="S19" s="156"/>
      <c r="T19" s="156"/>
      <c r="U19" s="216"/>
      <c r="V19" s="216"/>
      <c r="W19" s="216"/>
      <c r="X19" s="216"/>
      <c r="Y19" s="216"/>
      <c r="Z19" s="216"/>
      <c r="AA19" s="216"/>
      <c r="AB19" s="216"/>
      <c r="AC19" s="216"/>
      <c r="AD19" s="216"/>
      <c r="AE19" s="216"/>
      <c r="AF19" s="216"/>
    </row>
    <row r="20" ht="14.25" customHeight="1">
      <c r="A20" s="216"/>
      <c r="B20" s="435"/>
      <c r="C20" s="156"/>
      <c r="D20" s="444"/>
      <c r="E20" s="444"/>
      <c r="F20" s="452" t="s">
        <v>155</v>
      </c>
      <c r="G20" s="453"/>
      <c r="H20" s="454">
        <f>G87</f>
        <v>0</v>
      </c>
      <c r="I20" s="454" t="s">
        <v>137</v>
      </c>
      <c r="J20" s="456" t="s">
        <v>156</v>
      </c>
      <c r="K20" s="454"/>
      <c r="L20" s="444"/>
      <c r="M20" s="444"/>
      <c r="N20" s="444"/>
      <c r="O20" s="156"/>
      <c r="P20" s="156"/>
      <c r="Q20" s="156"/>
      <c r="R20" s="156"/>
      <c r="S20" s="156"/>
      <c r="T20" s="156"/>
      <c r="U20" s="216"/>
      <c r="V20" s="216"/>
      <c r="W20" s="216"/>
      <c r="X20" s="216"/>
      <c r="Y20" s="216"/>
      <c r="Z20" s="216"/>
      <c r="AA20" s="216"/>
      <c r="AB20" s="216"/>
      <c r="AC20" s="216"/>
      <c r="AD20" s="216"/>
      <c r="AE20" s="216"/>
      <c r="AF20" s="216"/>
    </row>
    <row r="21" ht="14.25" customHeight="1">
      <c r="A21" s="216"/>
      <c r="B21" s="435"/>
      <c r="C21" s="156"/>
      <c r="D21" s="444"/>
      <c r="E21" s="444"/>
      <c r="F21" s="452" t="s">
        <v>157</v>
      </c>
      <c r="G21" s="453"/>
      <c r="H21" s="454">
        <f>G127</f>
        <v>0</v>
      </c>
      <c r="I21" s="454" t="s">
        <v>158</v>
      </c>
      <c r="J21" s="455">
        <f>H19+H20+H21</f>
        <v>0</v>
      </c>
      <c r="K21" s="454"/>
      <c r="L21" s="444"/>
      <c r="M21" s="444"/>
      <c r="N21" s="444"/>
      <c r="O21" s="267"/>
      <c r="P21" s="267"/>
      <c r="Q21" s="267"/>
      <c r="R21" s="267"/>
      <c r="S21" s="216"/>
      <c r="T21" s="216"/>
      <c r="U21" s="216"/>
      <c r="V21" s="216"/>
      <c r="W21" s="216"/>
      <c r="X21" s="216"/>
      <c r="Y21" s="216"/>
      <c r="Z21" s="216"/>
      <c r="AA21" s="216"/>
      <c r="AB21" s="216"/>
      <c r="AC21" s="216"/>
      <c r="AD21" s="216"/>
      <c r="AE21" s="216"/>
      <c r="AF21" s="216"/>
    </row>
    <row r="22" ht="14.25" customHeight="1">
      <c r="A22" s="216"/>
      <c r="B22" s="435"/>
      <c r="C22" s="156"/>
      <c r="D22" s="457" t="s">
        <v>159</v>
      </c>
      <c r="E22" s="453"/>
      <c r="F22" s="453"/>
      <c r="G22" s="453"/>
      <c r="H22" s="453"/>
      <c r="I22" s="453"/>
      <c r="J22" s="453"/>
      <c r="K22" s="444"/>
      <c r="L22" s="444"/>
      <c r="M22" s="444"/>
      <c r="N22" s="444"/>
      <c r="O22" s="267"/>
      <c r="P22" s="267"/>
      <c r="Q22" s="267"/>
      <c r="R22" s="267"/>
      <c r="S22" s="216"/>
      <c r="T22" s="216"/>
      <c r="U22" s="216"/>
      <c r="V22" s="216"/>
      <c r="W22" s="216"/>
      <c r="X22" s="216"/>
      <c r="Y22" s="216"/>
      <c r="Z22" s="216"/>
      <c r="AA22" s="216"/>
      <c r="AB22" s="216"/>
      <c r="AC22" s="216"/>
      <c r="AD22" s="216"/>
      <c r="AE22" s="216"/>
      <c r="AF22" s="216"/>
    </row>
    <row r="23" ht="14.25" customHeight="1">
      <c r="A23" s="216"/>
      <c r="B23" s="435"/>
      <c r="C23" s="156"/>
      <c r="D23" s="444"/>
      <c r="E23" s="444"/>
      <c r="F23" s="444"/>
      <c r="G23" s="455" t="s">
        <v>137</v>
      </c>
      <c r="H23" s="455" t="s">
        <v>140</v>
      </c>
      <c r="I23" s="444"/>
      <c r="J23" s="455"/>
      <c r="K23" s="444"/>
      <c r="L23" s="444"/>
      <c r="M23" s="444"/>
      <c r="N23" s="444"/>
      <c r="O23" s="267"/>
      <c r="P23" s="267"/>
      <c r="Q23" s="267"/>
      <c r="R23" s="267"/>
      <c r="S23" s="216"/>
      <c r="T23" s="216"/>
      <c r="U23" s="216"/>
      <c r="V23" s="216"/>
      <c r="W23" s="216"/>
      <c r="X23" s="216"/>
      <c r="Y23" s="216"/>
      <c r="Z23" s="216"/>
      <c r="AA23" s="216"/>
      <c r="AB23" s="216"/>
      <c r="AC23" s="216"/>
      <c r="AD23" s="216"/>
      <c r="AE23" s="216"/>
      <c r="AF23" s="216"/>
    </row>
    <row r="24" ht="14.25" customHeight="1">
      <c r="A24" s="216"/>
      <c r="B24" s="435"/>
      <c r="C24" s="156"/>
      <c r="D24" s="444"/>
      <c r="E24" s="444"/>
      <c r="F24" s="444"/>
      <c r="G24" s="458"/>
      <c r="H24" s="455">
        <f>MROUND(G24*2.2046,2.5)</f>
        <v>0</v>
      </c>
      <c r="I24" s="444"/>
      <c r="J24" s="455"/>
      <c r="K24" s="444"/>
      <c r="L24" s="444"/>
      <c r="M24" s="444"/>
      <c r="N24" s="444"/>
      <c r="O24" s="267"/>
      <c r="P24" s="267"/>
      <c r="Q24" s="267"/>
      <c r="R24" s="267"/>
      <c r="S24" s="216"/>
      <c r="T24" s="216"/>
      <c r="U24" s="216"/>
      <c r="V24" s="216"/>
      <c r="W24" s="216"/>
      <c r="X24" s="216"/>
      <c r="Y24" s="216"/>
      <c r="Z24" s="216"/>
      <c r="AA24" s="216"/>
      <c r="AB24" s="216"/>
      <c r="AC24" s="216"/>
      <c r="AD24" s="216"/>
      <c r="AE24" s="216"/>
      <c r="AF24" s="216"/>
    </row>
    <row r="25" ht="23.25" customHeight="1">
      <c r="A25" s="216"/>
      <c r="B25" s="435"/>
      <c r="C25" s="156"/>
      <c r="D25" s="459" t="s">
        <v>160</v>
      </c>
      <c r="E25" s="453"/>
      <c r="F25" s="453"/>
      <c r="G25" s="453"/>
      <c r="H25" s="453"/>
      <c r="I25" s="453"/>
      <c r="J25" s="453"/>
      <c r="K25" s="444"/>
      <c r="L25" s="444"/>
      <c r="M25" s="444"/>
      <c r="N25" s="444"/>
      <c r="O25" s="267"/>
      <c r="P25" s="267"/>
      <c r="Q25" s="267"/>
      <c r="R25" s="267"/>
      <c r="S25" s="216"/>
      <c r="T25" s="216"/>
      <c r="U25" s="216"/>
      <c r="V25" s="216"/>
      <c r="W25" s="216"/>
      <c r="X25" s="216"/>
      <c r="Y25" s="216"/>
      <c r="Z25" s="216"/>
      <c r="AA25" s="216"/>
      <c r="AB25" s="216"/>
      <c r="AC25" s="216"/>
      <c r="AD25" s="216"/>
      <c r="AE25" s="216"/>
      <c r="AF25" s="216"/>
    </row>
    <row r="26" ht="14.25" customHeight="1">
      <c r="A26" s="216"/>
      <c r="B26" s="435"/>
      <c r="C26" s="156"/>
      <c r="D26" s="460"/>
      <c r="E26" s="461"/>
      <c r="F26" s="461"/>
      <c r="G26" s="462" t="s">
        <v>137</v>
      </c>
      <c r="H26" s="462" t="s">
        <v>140</v>
      </c>
      <c r="I26" s="461"/>
      <c r="J26" s="463"/>
      <c r="K26" s="444"/>
      <c r="L26" s="444"/>
      <c r="M26" s="444"/>
      <c r="N26" s="444"/>
      <c r="O26" s="267"/>
      <c r="P26" s="267"/>
      <c r="Q26" s="267"/>
      <c r="R26" s="267"/>
      <c r="S26" s="216"/>
      <c r="T26" s="216"/>
      <c r="U26" s="216"/>
      <c r="V26" s="216"/>
      <c r="W26" s="216"/>
      <c r="X26" s="216"/>
      <c r="Y26" s="216"/>
      <c r="Z26" s="216"/>
      <c r="AA26" s="216"/>
      <c r="AB26" s="216"/>
      <c r="AC26" s="216"/>
      <c r="AD26" s="216"/>
      <c r="AE26" s="216"/>
      <c r="AF26" s="216"/>
    </row>
    <row r="27" ht="14.25" customHeight="1">
      <c r="A27" s="216"/>
      <c r="B27" s="435"/>
      <c r="C27" s="156"/>
      <c r="D27" s="464"/>
      <c r="E27" s="465" t="s">
        <v>161</v>
      </c>
      <c r="G27" s="466">
        <f>trainingto1.18.25!O10</f>
        <v>242.5</v>
      </c>
      <c r="H27" s="467">
        <f t="shared" ref="H27:H29" si="1">MROUND(G27*2.2046,1)</f>
        <v>535</v>
      </c>
      <c r="I27" s="468"/>
      <c r="J27" s="469"/>
      <c r="K27" s="444"/>
      <c r="L27" s="444"/>
      <c r="M27" s="444"/>
      <c r="N27" s="444"/>
      <c r="O27" s="267"/>
      <c r="P27" s="267"/>
      <c r="Q27" s="267"/>
      <c r="R27" s="267"/>
      <c r="S27" s="216"/>
      <c r="T27" s="216"/>
      <c r="U27" s="216"/>
      <c r="V27" s="216"/>
      <c r="W27" s="216"/>
      <c r="X27" s="216"/>
      <c r="Y27" s="216"/>
      <c r="Z27" s="216"/>
      <c r="AA27" s="216"/>
      <c r="AB27" s="216"/>
      <c r="AC27" s="216"/>
      <c r="AD27" s="216"/>
      <c r="AE27" s="216"/>
      <c r="AF27" s="216"/>
    </row>
    <row r="28" ht="14.25" customHeight="1">
      <c r="A28" s="216"/>
      <c r="B28" s="435"/>
      <c r="C28" s="156"/>
      <c r="D28" s="470"/>
      <c r="E28" s="471" t="s">
        <v>162</v>
      </c>
      <c r="G28" s="472"/>
      <c r="H28" s="473">
        <f t="shared" si="1"/>
        <v>0</v>
      </c>
      <c r="I28" s="474"/>
      <c r="J28" s="475"/>
      <c r="K28" s="444"/>
      <c r="L28" s="444"/>
      <c r="M28" s="444"/>
      <c r="N28" s="444"/>
      <c r="O28" s="267"/>
      <c r="P28" s="267"/>
      <c r="Q28" s="267"/>
      <c r="R28" s="267"/>
      <c r="S28" s="216"/>
      <c r="T28" s="216"/>
      <c r="U28" s="216"/>
      <c r="V28" s="216"/>
      <c r="W28" s="216"/>
      <c r="X28" s="216"/>
      <c r="Y28" s="216"/>
      <c r="Z28" s="216"/>
      <c r="AA28" s="216"/>
      <c r="AB28" s="216"/>
      <c r="AC28" s="216"/>
      <c r="AD28" s="216"/>
      <c r="AE28" s="216"/>
      <c r="AF28" s="216"/>
    </row>
    <row r="29" ht="14.25" customHeight="1">
      <c r="A29" s="216"/>
      <c r="B29" s="435"/>
      <c r="C29" s="156"/>
      <c r="D29" s="464"/>
      <c r="E29" s="465" t="s">
        <v>163</v>
      </c>
      <c r="G29" s="466"/>
      <c r="H29" s="467">
        <f t="shared" si="1"/>
        <v>0</v>
      </c>
      <c r="I29" s="468"/>
      <c r="J29" s="469"/>
      <c r="K29" s="444"/>
      <c r="L29" s="444"/>
      <c r="M29" s="444"/>
      <c r="N29" s="444"/>
      <c r="O29" s="267"/>
      <c r="P29" s="267"/>
      <c r="Q29" s="267"/>
      <c r="R29" s="267"/>
      <c r="S29" s="216"/>
      <c r="T29" s="216"/>
      <c r="U29" s="216"/>
      <c r="V29" s="216"/>
      <c r="W29" s="216"/>
      <c r="X29" s="216"/>
      <c r="Y29" s="216"/>
      <c r="Z29" s="216"/>
      <c r="AA29" s="216"/>
      <c r="AB29" s="216"/>
      <c r="AC29" s="216"/>
      <c r="AD29" s="216"/>
      <c r="AE29" s="216"/>
      <c r="AF29" s="216"/>
    </row>
    <row r="30" ht="18.75" customHeight="1">
      <c r="A30" s="216"/>
      <c r="B30" s="435"/>
      <c r="C30" s="156"/>
      <c r="D30" s="476" t="s">
        <v>164</v>
      </c>
      <c r="E30" s="453"/>
      <c r="F30" s="453"/>
      <c r="G30" s="453"/>
      <c r="H30" s="453"/>
      <c r="I30" s="453"/>
      <c r="J30" s="453"/>
      <c r="K30" s="444"/>
      <c r="L30" s="444"/>
      <c r="M30" s="444"/>
      <c r="N30" s="444"/>
      <c r="O30" s="267"/>
      <c r="P30" s="267"/>
      <c r="Q30" s="267"/>
      <c r="R30" s="267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</row>
    <row r="31" ht="14.25" customHeight="1">
      <c r="A31" s="216"/>
      <c r="B31" s="435"/>
      <c r="C31" s="156"/>
      <c r="D31" s="477"/>
      <c r="E31" s="478" t="s">
        <v>165</v>
      </c>
      <c r="F31" s="466" t="s">
        <v>137</v>
      </c>
      <c r="G31" s="479" t="s">
        <v>140</v>
      </c>
      <c r="H31" s="466" t="s">
        <v>166</v>
      </c>
      <c r="I31" s="480" t="s">
        <v>167</v>
      </c>
      <c r="J31" s="481"/>
      <c r="K31" s="444"/>
      <c r="L31" s="444"/>
      <c r="M31" s="444"/>
      <c r="N31" s="444"/>
      <c r="O31" s="267"/>
      <c r="P31" s="267"/>
      <c r="Q31" s="267"/>
      <c r="R31" s="267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</row>
    <row r="32" ht="14.25" customHeight="1">
      <c r="A32" s="216"/>
      <c r="B32" s="435"/>
      <c r="C32" s="156"/>
      <c r="D32" s="482">
        <v>1.0</v>
      </c>
      <c r="E32" s="473"/>
      <c r="F32" s="472">
        <v>70.0</v>
      </c>
      <c r="G32" s="473">
        <f t="shared" ref="G32:G39" si="2">MROUND(F32*2.2046,1)</f>
        <v>154</v>
      </c>
      <c r="H32" s="483" t="s">
        <v>168</v>
      </c>
      <c r="I32" s="484" t="s">
        <v>169</v>
      </c>
      <c r="J32" s="473"/>
      <c r="K32" s="443"/>
      <c r="L32" s="444"/>
      <c r="M32" s="444"/>
      <c r="N32" s="444"/>
      <c r="O32" s="267"/>
      <c r="P32" s="267"/>
      <c r="Q32" s="267"/>
      <c r="R32" s="267"/>
      <c r="S32" s="216"/>
      <c r="T32" s="216"/>
      <c r="U32" s="216"/>
      <c r="V32" s="216"/>
      <c r="W32" s="216"/>
      <c r="X32" s="216"/>
      <c r="Y32" s="216"/>
      <c r="Z32" s="216"/>
      <c r="AA32" s="216"/>
      <c r="AB32" s="216"/>
      <c r="AC32" s="216"/>
      <c r="AD32" s="216"/>
      <c r="AE32" s="216"/>
      <c r="AF32" s="216"/>
    </row>
    <row r="33" ht="14.25" customHeight="1">
      <c r="A33" s="216"/>
      <c r="B33" s="435"/>
      <c r="C33" s="156"/>
      <c r="D33" s="485">
        <v>2.0</v>
      </c>
      <c r="E33" s="467"/>
      <c r="F33" s="466">
        <v>120.0</v>
      </c>
      <c r="G33" s="467">
        <f t="shared" si="2"/>
        <v>265</v>
      </c>
      <c r="H33" s="466">
        <v>3.0</v>
      </c>
      <c r="I33" s="486"/>
      <c r="J33" s="467"/>
      <c r="K33" s="443"/>
      <c r="L33" s="444"/>
      <c r="M33" s="444"/>
      <c r="N33" s="444"/>
      <c r="O33" s="267"/>
      <c r="P33" s="267"/>
      <c r="Q33" s="267"/>
      <c r="R33" s="267"/>
      <c r="S33" s="216"/>
      <c r="T33" s="216"/>
      <c r="U33" s="216"/>
      <c r="V33" s="216"/>
      <c r="W33" s="216"/>
      <c r="X33" s="216"/>
      <c r="Y33" s="216"/>
      <c r="Z33" s="216"/>
      <c r="AA33" s="216"/>
      <c r="AB33" s="216"/>
      <c r="AC33" s="216"/>
      <c r="AD33" s="216"/>
      <c r="AE33" s="216"/>
      <c r="AF33" s="216"/>
    </row>
    <row r="34" ht="14.25" customHeight="1">
      <c r="A34" s="216"/>
      <c r="B34" s="435"/>
      <c r="C34" s="156"/>
      <c r="D34" s="482">
        <v>3.0</v>
      </c>
      <c r="E34" s="473"/>
      <c r="F34" s="472">
        <v>170.0</v>
      </c>
      <c r="G34" s="473">
        <f t="shared" si="2"/>
        <v>375</v>
      </c>
      <c r="H34" s="472">
        <v>3.0</v>
      </c>
      <c r="I34" s="487"/>
      <c r="J34" s="473"/>
      <c r="K34" s="443"/>
      <c r="L34" s="444"/>
      <c r="M34" s="444"/>
      <c r="N34" s="444"/>
      <c r="O34" s="267"/>
      <c r="P34" s="267"/>
      <c r="Q34" s="267"/>
      <c r="R34" s="267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6"/>
      <c r="AE34" s="216"/>
      <c r="AF34" s="216"/>
    </row>
    <row r="35" ht="14.25" customHeight="1">
      <c r="A35" s="216"/>
      <c r="B35" s="435"/>
      <c r="C35" s="156"/>
      <c r="D35" s="485">
        <v>4.0</v>
      </c>
      <c r="E35" s="467"/>
      <c r="F35" s="466">
        <v>205.0</v>
      </c>
      <c r="G35" s="467">
        <f t="shared" si="2"/>
        <v>452</v>
      </c>
      <c r="H35" s="466">
        <v>1.0</v>
      </c>
      <c r="I35" s="486"/>
      <c r="J35" s="467"/>
      <c r="K35" s="443"/>
      <c r="L35" s="444"/>
      <c r="M35" s="444"/>
      <c r="N35" s="444"/>
      <c r="O35" s="267"/>
      <c r="P35" s="267"/>
      <c r="Q35" s="267"/>
      <c r="R35" s="267"/>
      <c r="S35" s="216"/>
      <c r="T35" s="216"/>
      <c r="U35" s="216"/>
      <c r="V35" s="216"/>
      <c r="W35" s="216"/>
      <c r="X35" s="216"/>
      <c r="Y35" s="216"/>
      <c r="Z35" s="216"/>
      <c r="AA35" s="216"/>
      <c r="AB35" s="216"/>
      <c r="AC35" s="216"/>
      <c r="AD35" s="216"/>
      <c r="AE35" s="216"/>
      <c r="AF35" s="216"/>
    </row>
    <row r="36" ht="14.25" customHeight="1">
      <c r="A36" s="216"/>
      <c r="B36" s="435"/>
      <c r="C36" s="156"/>
      <c r="D36" s="482">
        <v>5.0</v>
      </c>
      <c r="E36" s="473"/>
      <c r="F36" s="472">
        <v>220.0</v>
      </c>
      <c r="G36" s="473">
        <f t="shared" si="2"/>
        <v>485</v>
      </c>
      <c r="H36" s="472">
        <v>1.0</v>
      </c>
      <c r="I36" s="484" t="s">
        <v>170</v>
      </c>
      <c r="J36" s="473"/>
      <c r="K36" s="443"/>
      <c r="L36" s="444"/>
      <c r="M36" s="444"/>
      <c r="N36" s="444"/>
      <c r="O36" s="267"/>
      <c r="P36" s="267"/>
      <c r="Q36" s="267"/>
      <c r="R36" s="267"/>
      <c r="S36" s="216"/>
      <c r="T36" s="216"/>
      <c r="U36" s="216"/>
      <c r="V36" s="216"/>
      <c r="W36" s="216"/>
      <c r="X36" s="216"/>
      <c r="Y36" s="216"/>
      <c r="Z36" s="216"/>
      <c r="AA36" s="216"/>
      <c r="AB36" s="216"/>
      <c r="AC36" s="216"/>
      <c r="AD36" s="216"/>
      <c r="AE36" s="216"/>
      <c r="AF36" s="216"/>
    </row>
    <row r="37" ht="14.25" customHeight="1">
      <c r="A37" s="216"/>
      <c r="B37" s="435"/>
      <c r="C37" s="156"/>
      <c r="D37" s="485">
        <v>6.0</v>
      </c>
      <c r="E37" s="467"/>
      <c r="F37" s="466"/>
      <c r="G37" s="467">
        <f t="shared" si="2"/>
        <v>0</v>
      </c>
      <c r="H37" s="466"/>
      <c r="I37" s="486"/>
      <c r="J37" s="467"/>
      <c r="K37" s="443"/>
      <c r="L37" s="444"/>
      <c r="M37" s="444"/>
      <c r="N37" s="444"/>
      <c r="O37" s="267"/>
      <c r="P37" s="267"/>
      <c r="Q37" s="267"/>
      <c r="R37" s="267"/>
      <c r="S37" s="216"/>
      <c r="T37" s="216"/>
      <c r="U37" s="216"/>
      <c r="V37" s="216"/>
      <c r="W37" s="216"/>
      <c r="X37" s="216"/>
      <c r="Y37" s="216"/>
      <c r="Z37" s="216"/>
      <c r="AA37" s="216"/>
      <c r="AB37" s="216"/>
      <c r="AC37" s="216"/>
      <c r="AD37" s="216"/>
      <c r="AE37" s="216"/>
      <c r="AF37" s="216"/>
    </row>
    <row r="38" ht="14.25" customHeight="1">
      <c r="A38" s="216"/>
      <c r="B38" s="435"/>
      <c r="C38" s="156"/>
      <c r="D38" s="482">
        <v>7.0</v>
      </c>
      <c r="E38" s="473"/>
      <c r="F38" s="472"/>
      <c r="G38" s="473">
        <f t="shared" si="2"/>
        <v>0</v>
      </c>
      <c r="H38" s="472"/>
      <c r="I38" s="487"/>
      <c r="J38" s="473"/>
      <c r="K38" s="443"/>
      <c r="L38" s="444"/>
      <c r="M38" s="444"/>
      <c r="N38" s="444"/>
      <c r="O38" s="267"/>
      <c r="P38" s="267"/>
      <c r="Q38" s="267"/>
      <c r="R38" s="267"/>
      <c r="S38" s="216"/>
      <c r="T38" s="216"/>
      <c r="U38" s="216"/>
      <c r="V38" s="216"/>
      <c r="W38" s="216"/>
      <c r="X38" s="216"/>
      <c r="Y38" s="216"/>
      <c r="Z38" s="216"/>
      <c r="AA38" s="216"/>
      <c r="AB38" s="216"/>
      <c r="AC38" s="216"/>
      <c r="AD38" s="216"/>
      <c r="AE38" s="216"/>
      <c r="AF38" s="216"/>
    </row>
    <row r="39" ht="14.25" customHeight="1">
      <c r="A39" s="216"/>
      <c r="B39" s="435"/>
      <c r="C39" s="156"/>
      <c r="D39" s="485">
        <v>8.0</v>
      </c>
      <c r="E39" s="467"/>
      <c r="F39" s="466"/>
      <c r="G39" s="467">
        <f t="shared" si="2"/>
        <v>0</v>
      </c>
      <c r="H39" s="466"/>
      <c r="I39" s="486"/>
      <c r="J39" s="467"/>
      <c r="K39" s="443"/>
      <c r="L39" s="444"/>
      <c r="M39" s="444"/>
      <c r="N39" s="444"/>
      <c r="O39" s="267"/>
      <c r="P39" s="267"/>
      <c r="Q39" s="267"/>
      <c r="R39" s="267"/>
      <c r="S39" s="216"/>
      <c r="T39" s="216"/>
      <c r="U39" s="216"/>
      <c r="V39" s="216"/>
      <c r="W39" s="216"/>
      <c r="X39" s="216"/>
      <c r="Y39" s="216"/>
      <c r="Z39" s="216"/>
      <c r="AA39" s="216"/>
      <c r="AB39" s="216"/>
      <c r="AC39" s="216"/>
      <c r="AD39" s="216"/>
      <c r="AE39" s="216"/>
      <c r="AF39" s="216"/>
    </row>
    <row r="40" ht="14.25" customHeight="1">
      <c r="A40" s="216"/>
      <c r="B40" s="435"/>
      <c r="C40" s="156"/>
      <c r="D40" s="488"/>
      <c r="E40" s="489"/>
      <c r="F40" s="489"/>
      <c r="G40" s="489"/>
      <c r="H40" s="489"/>
      <c r="I40" s="489"/>
      <c r="J40" s="490"/>
      <c r="K40" s="444"/>
      <c r="L40" s="444"/>
      <c r="M40" s="444"/>
      <c r="N40" s="444"/>
      <c r="O40" s="267"/>
      <c r="P40" s="267"/>
      <c r="Q40" s="267"/>
      <c r="R40" s="267"/>
      <c r="S40" s="216"/>
      <c r="T40" s="216"/>
      <c r="U40" s="216"/>
      <c r="V40" s="216"/>
      <c r="W40" s="216"/>
      <c r="X40" s="216"/>
      <c r="Y40" s="216"/>
      <c r="Z40" s="216"/>
      <c r="AA40" s="216"/>
      <c r="AB40" s="216"/>
      <c r="AC40" s="216"/>
      <c r="AD40" s="216"/>
      <c r="AE40" s="216"/>
      <c r="AF40" s="216"/>
    </row>
    <row r="41" ht="14.25" customHeight="1">
      <c r="A41" s="216"/>
      <c r="B41" s="435"/>
      <c r="C41" s="156"/>
      <c r="D41" s="477"/>
      <c r="E41" s="491" t="s">
        <v>171</v>
      </c>
      <c r="F41" s="492">
        <f>G48</f>
        <v>0</v>
      </c>
      <c r="G41" s="492">
        <f>MROUND(F41*2.2046,1)</f>
        <v>0</v>
      </c>
      <c r="H41" s="477"/>
      <c r="I41" s="477"/>
      <c r="J41" s="492"/>
      <c r="K41" s="444"/>
      <c r="L41" s="444"/>
      <c r="M41" s="444"/>
      <c r="N41" s="444"/>
      <c r="O41" s="267"/>
      <c r="P41" s="267"/>
      <c r="Q41" s="267"/>
      <c r="R41" s="267"/>
      <c r="S41" s="216"/>
      <c r="T41" s="216"/>
      <c r="U41" s="216"/>
      <c r="V41" s="216"/>
      <c r="W41" s="216"/>
      <c r="X41" s="216"/>
      <c r="Y41" s="216"/>
      <c r="Z41" s="216"/>
      <c r="AA41" s="216"/>
      <c r="AB41" s="216"/>
      <c r="AC41" s="216"/>
      <c r="AD41" s="216"/>
      <c r="AE41" s="216"/>
      <c r="AF41" s="216"/>
    </row>
    <row r="42" ht="23.25" customHeight="1">
      <c r="A42" s="216"/>
      <c r="B42" s="435"/>
      <c r="C42" s="156"/>
      <c r="D42" s="493" t="s">
        <v>172</v>
      </c>
      <c r="E42" s="453"/>
      <c r="F42" s="453"/>
      <c r="G42" s="453"/>
      <c r="H42" s="453"/>
      <c r="I42" s="453"/>
      <c r="J42" s="453"/>
      <c r="K42" s="444"/>
      <c r="L42" s="444"/>
      <c r="M42" s="444"/>
      <c r="N42" s="444"/>
      <c r="O42" s="267"/>
      <c r="P42" s="267"/>
      <c r="Q42" s="267"/>
      <c r="R42" s="267"/>
      <c r="S42" s="216"/>
      <c r="T42" s="216"/>
      <c r="U42" s="216"/>
      <c r="V42" s="216"/>
      <c r="W42" s="216"/>
      <c r="X42" s="216"/>
      <c r="Y42" s="216"/>
      <c r="Z42" s="216"/>
      <c r="AA42" s="216"/>
      <c r="AB42" s="216"/>
      <c r="AC42" s="216"/>
      <c r="AD42" s="216"/>
      <c r="AE42" s="216"/>
      <c r="AF42" s="216"/>
    </row>
    <row r="43" ht="14.25" customHeight="1">
      <c r="A43" s="216"/>
      <c r="B43" s="435"/>
      <c r="C43" s="156"/>
      <c r="D43" s="477"/>
      <c r="E43" s="477"/>
      <c r="F43" s="477"/>
      <c r="G43" s="494" t="s">
        <v>137</v>
      </c>
      <c r="H43" s="494" t="s">
        <v>140</v>
      </c>
      <c r="I43" s="492"/>
      <c r="J43" s="492"/>
      <c r="K43" s="444"/>
      <c r="L43" s="444"/>
      <c r="M43" s="444"/>
      <c r="N43" s="444"/>
      <c r="O43" s="267"/>
      <c r="P43" s="267"/>
      <c r="Q43" s="267"/>
      <c r="R43" s="267"/>
      <c r="S43" s="216"/>
      <c r="T43" s="216"/>
      <c r="U43" s="216"/>
      <c r="V43" s="216"/>
      <c r="W43" s="216"/>
      <c r="X43" s="216"/>
      <c r="Y43" s="216"/>
      <c r="Z43" s="216"/>
      <c r="AA43" s="216"/>
      <c r="AB43" s="216"/>
      <c r="AC43" s="216"/>
      <c r="AD43" s="216"/>
      <c r="AE43" s="216"/>
      <c r="AF43" s="216"/>
    </row>
    <row r="44" ht="14.25" customHeight="1">
      <c r="A44" s="216"/>
      <c r="B44" s="435"/>
      <c r="C44" s="156"/>
      <c r="D44" s="488"/>
      <c r="E44" s="495" t="s">
        <v>161</v>
      </c>
      <c r="F44" s="453"/>
      <c r="G44" s="496">
        <f>G27</f>
        <v>242.5</v>
      </c>
      <c r="H44" s="497">
        <f>MROUND(G44*2.2046,1)</f>
        <v>535</v>
      </c>
      <c r="I44" s="498"/>
      <c r="J44" s="498"/>
      <c r="K44" s="444"/>
      <c r="L44" s="444"/>
      <c r="M44" s="444"/>
      <c r="N44" s="444"/>
      <c r="O44" s="267"/>
      <c r="P44" s="267"/>
      <c r="Q44" s="267"/>
      <c r="R44" s="267"/>
      <c r="S44" s="216"/>
      <c r="T44" s="216"/>
      <c r="U44" s="216"/>
      <c r="V44" s="216"/>
      <c r="W44" s="216"/>
      <c r="X44" s="216"/>
      <c r="Y44" s="216"/>
      <c r="Z44" s="216"/>
      <c r="AA44" s="216"/>
      <c r="AB44" s="216"/>
      <c r="AC44" s="216"/>
      <c r="AD44" s="216"/>
      <c r="AE44" s="216"/>
      <c r="AF44" s="216"/>
    </row>
    <row r="45" ht="23.25" customHeight="1">
      <c r="A45" s="216"/>
      <c r="B45" s="435"/>
      <c r="C45" s="156"/>
      <c r="D45" s="499">
        <v>1.0</v>
      </c>
      <c r="E45" s="453"/>
      <c r="F45" s="453"/>
      <c r="G45" s="453"/>
      <c r="H45" s="453"/>
      <c r="I45" s="453"/>
      <c r="J45" s="453"/>
      <c r="K45" s="444"/>
      <c r="L45" s="444"/>
      <c r="M45" s="444"/>
      <c r="N45" s="444"/>
      <c r="O45" s="267"/>
      <c r="P45" s="267"/>
      <c r="Q45" s="267"/>
      <c r="R45" s="267"/>
      <c r="S45" s="216"/>
      <c r="T45" s="216"/>
      <c r="U45" s="216"/>
      <c r="V45" s="216"/>
      <c r="W45" s="216"/>
      <c r="X45" s="216"/>
      <c r="Y45" s="216"/>
      <c r="Z45" s="216"/>
      <c r="AA45" s="216"/>
      <c r="AB45" s="216"/>
      <c r="AC45" s="216"/>
      <c r="AD45" s="216"/>
      <c r="AE45" s="216"/>
      <c r="AF45" s="216"/>
    </row>
    <row r="46" ht="14.25" customHeight="1">
      <c r="A46" s="216"/>
      <c r="B46" s="435"/>
      <c r="C46" s="156"/>
      <c r="D46" s="500"/>
      <c r="E46" s="500"/>
      <c r="F46" s="500"/>
      <c r="G46" s="501" t="s">
        <v>137</v>
      </c>
      <c r="H46" s="501" t="s">
        <v>140</v>
      </c>
      <c r="I46" s="500"/>
      <c r="J46" s="502" t="s">
        <v>173</v>
      </c>
      <c r="K46" s="444"/>
      <c r="L46" s="444"/>
      <c r="M46" s="444"/>
      <c r="N46" s="444"/>
      <c r="O46" s="267"/>
      <c r="P46" s="267"/>
      <c r="Q46" s="267"/>
      <c r="R46" s="267"/>
      <c r="S46" s="216"/>
      <c r="T46" s="216"/>
      <c r="U46" s="216"/>
      <c r="V46" s="216"/>
      <c r="W46" s="216"/>
      <c r="X46" s="216"/>
      <c r="Y46" s="216"/>
      <c r="Z46" s="216"/>
      <c r="AA46" s="216"/>
      <c r="AB46" s="216"/>
      <c r="AC46" s="216"/>
      <c r="AD46" s="216"/>
      <c r="AE46" s="216"/>
      <c r="AF46" s="216"/>
    </row>
    <row r="47" ht="14.25" customHeight="1">
      <c r="A47" s="216"/>
      <c r="B47" s="435"/>
      <c r="C47" s="156"/>
      <c r="D47" s="503"/>
      <c r="E47" s="504" t="s">
        <v>174</v>
      </c>
      <c r="F47" s="503"/>
      <c r="G47" s="505">
        <f>MROUND(G28*0.91,2.5)</f>
        <v>0</v>
      </c>
      <c r="H47" s="506">
        <f t="shared" ref="H47:H49" si="3">MROUND(G47*2.2046,1)</f>
        <v>0</v>
      </c>
      <c r="I47" s="503"/>
      <c r="J47" s="505">
        <f>G47-G44</f>
        <v>-242.5</v>
      </c>
      <c r="K47" s="444"/>
      <c r="L47" s="444"/>
      <c r="M47" s="444"/>
      <c r="N47" s="444"/>
      <c r="O47" s="267"/>
      <c r="P47" s="267"/>
      <c r="Q47" s="267"/>
      <c r="R47" s="267"/>
      <c r="S47" s="216"/>
      <c r="T47" s="216"/>
      <c r="U47" s="216"/>
      <c r="V47" s="216"/>
      <c r="W47" s="216"/>
      <c r="X47" s="216"/>
      <c r="Y47" s="216"/>
      <c r="Z47" s="216"/>
      <c r="AA47" s="216"/>
      <c r="AB47" s="216"/>
      <c r="AC47" s="216"/>
      <c r="AD47" s="216"/>
      <c r="AE47" s="216"/>
      <c r="AF47" s="216"/>
    </row>
    <row r="48" ht="14.25" customHeight="1">
      <c r="A48" s="216"/>
      <c r="B48" s="435"/>
      <c r="C48" s="156"/>
      <c r="D48" s="507"/>
      <c r="E48" s="508" t="s">
        <v>174</v>
      </c>
      <c r="F48" s="507"/>
      <c r="G48" s="509">
        <f>MROUND(G28*0.91,2.5)</f>
        <v>0</v>
      </c>
      <c r="H48" s="509">
        <f t="shared" si="3"/>
        <v>0</v>
      </c>
      <c r="I48" s="507"/>
      <c r="J48" s="509">
        <f>G48-G44</f>
        <v>-242.5</v>
      </c>
      <c r="K48" s="444"/>
      <c r="L48" s="444"/>
      <c r="M48" s="444"/>
      <c r="N48" s="444"/>
      <c r="O48" s="267"/>
      <c r="P48" s="267"/>
      <c r="Q48" s="267"/>
      <c r="R48" s="267"/>
      <c r="S48" s="216"/>
      <c r="T48" s="216"/>
      <c r="U48" s="216"/>
      <c r="V48" s="216"/>
      <c r="W48" s="216"/>
      <c r="X48" s="216"/>
      <c r="Y48" s="216"/>
      <c r="Z48" s="216"/>
      <c r="AA48" s="216"/>
      <c r="AB48" s="216"/>
      <c r="AC48" s="216"/>
      <c r="AD48" s="216"/>
      <c r="AE48" s="216"/>
      <c r="AF48" s="216"/>
    </row>
    <row r="49" ht="14.25" customHeight="1">
      <c r="A49" s="216"/>
      <c r="B49" s="435"/>
      <c r="C49" s="156"/>
      <c r="D49" s="510"/>
      <c r="E49" s="511" t="s">
        <v>174</v>
      </c>
      <c r="F49" s="510"/>
      <c r="G49" s="512">
        <f>MROUND(G28*0.91,2.5)</f>
        <v>0</v>
      </c>
      <c r="H49" s="512">
        <f t="shared" si="3"/>
        <v>0</v>
      </c>
      <c r="I49" s="510"/>
      <c r="J49" s="512">
        <f>G49-G44</f>
        <v>-242.5</v>
      </c>
      <c r="K49" s="444"/>
      <c r="L49" s="444"/>
      <c r="M49" s="444"/>
      <c r="N49" s="444"/>
      <c r="O49" s="267"/>
      <c r="P49" s="267"/>
      <c r="Q49" s="267"/>
      <c r="R49" s="267"/>
      <c r="S49" s="216"/>
      <c r="T49" s="216"/>
      <c r="U49" s="216"/>
      <c r="V49" s="216"/>
      <c r="W49" s="216"/>
      <c r="X49" s="216"/>
      <c r="Y49" s="216"/>
      <c r="Z49" s="216"/>
      <c r="AA49" s="216"/>
      <c r="AB49" s="216"/>
      <c r="AC49" s="216"/>
      <c r="AD49" s="216"/>
      <c r="AE49" s="216"/>
      <c r="AF49" s="216"/>
    </row>
    <row r="50" ht="23.25" customHeight="1">
      <c r="A50" s="216"/>
      <c r="B50" s="435"/>
      <c r="C50" s="156"/>
      <c r="D50" s="513">
        <v>2.0</v>
      </c>
      <c r="E50" s="453"/>
      <c r="F50" s="453"/>
      <c r="G50" s="453"/>
      <c r="H50" s="453"/>
      <c r="I50" s="453"/>
      <c r="J50" s="453"/>
      <c r="K50" s="444"/>
      <c r="L50" s="444"/>
      <c r="M50" s="444"/>
      <c r="N50" s="444"/>
      <c r="O50" s="267"/>
      <c r="P50" s="267"/>
      <c r="Q50" s="267"/>
      <c r="R50" s="267"/>
      <c r="S50" s="216"/>
      <c r="T50" s="216"/>
      <c r="U50" s="216"/>
      <c r="V50" s="216"/>
      <c r="W50" s="216"/>
      <c r="X50" s="216"/>
      <c r="Y50" s="216"/>
      <c r="Z50" s="216"/>
      <c r="AA50" s="216"/>
      <c r="AB50" s="216"/>
      <c r="AC50" s="216"/>
      <c r="AD50" s="216"/>
      <c r="AE50" s="216"/>
      <c r="AF50" s="216"/>
    </row>
    <row r="51" ht="14.25" customHeight="1">
      <c r="A51" s="216"/>
      <c r="B51" s="435"/>
      <c r="C51" s="156"/>
      <c r="D51" s="500"/>
      <c r="E51" s="500"/>
      <c r="F51" s="500"/>
      <c r="G51" s="501" t="s">
        <v>137</v>
      </c>
      <c r="H51" s="501" t="s">
        <v>140</v>
      </c>
      <c r="I51" s="500"/>
      <c r="J51" s="501"/>
      <c r="K51" s="444"/>
      <c r="L51" s="444"/>
      <c r="M51" s="444"/>
      <c r="N51" s="444"/>
      <c r="O51" s="267"/>
      <c r="P51" s="267"/>
      <c r="Q51" s="267"/>
      <c r="R51" s="267"/>
      <c r="S51" s="216"/>
      <c r="T51" s="216"/>
      <c r="U51" s="216"/>
      <c r="V51" s="216"/>
      <c r="W51" s="216"/>
      <c r="X51" s="216"/>
      <c r="Y51" s="216"/>
      <c r="Z51" s="216"/>
      <c r="AA51" s="216"/>
      <c r="AB51" s="216"/>
      <c r="AC51" s="216"/>
      <c r="AD51" s="216"/>
      <c r="AE51" s="216"/>
      <c r="AF51" s="216"/>
    </row>
    <row r="52" ht="14.25" customHeight="1">
      <c r="A52" s="216"/>
      <c r="B52" s="435"/>
      <c r="C52" s="156"/>
      <c r="D52" s="503"/>
      <c r="E52" s="504" t="s">
        <v>175</v>
      </c>
      <c r="F52" s="503"/>
      <c r="G52" s="505">
        <f>MROUND(G28*0.95,2.5)</f>
        <v>0</v>
      </c>
      <c r="H52" s="505">
        <f t="shared" ref="H52:H54" si="4">MROUND(G52*2.2046,1)</f>
        <v>0</v>
      </c>
      <c r="I52" s="505"/>
      <c r="J52" s="505">
        <f>G52-G44</f>
        <v>-242.5</v>
      </c>
      <c r="K52" s="444"/>
      <c r="L52" s="444"/>
      <c r="M52" s="444"/>
      <c r="N52" s="444"/>
      <c r="O52" s="267"/>
      <c r="P52" s="267"/>
      <c r="Q52" s="267"/>
      <c r="R52" s="267"/>
      <c r="S52" s="216"/>
      <c r="T52" s="216"/>
      <c r="U52" s="216"/>
      <c r="V52" s="216"/>
      <c r="W52" s="216"/>
      <c r="X52" s="216"/>
      <c r="Y52" s="216"/>
      <c r="Z52" s="216"/>
      <c r="AA52" s="216"/>
      <c r="AB52" s="216"/>
      <c r="AC52" s="216"/>
      <c r="AD52" s="216"/>
      <c r="AE52" s="216"/>
      <c r="AF52" s="216"/>
    </row>
    <row r="53" ht="14.25" customHeight="1">
      <c r="A53" s="216"/>
      <c r="B53" s="435"/>
      <c r="C53" s="156"/>
      <c r="D53" s="507"/>
      <c r="E53" s="508" t="s">
        <v>176</v>
      </c>
      <c r="F53" s="507"/>
      <c r="G53" s="509">
        <f>MROUND(G28*0.96,2.5)</f>
        <v>0</v>
      </c>
      <c r="H53" s="509">
        <f t="shared" si="4"/>
        <v>0</v>
      </c>
      <c r="I53" s="514">
        <f>G53-G48</f>
        <v>0</v>
      </c>
      <c r="J53" s="509">
        <f>G53-G44</f>
        <v>-242.5</v>
      </c>
      <c r="K53" s="444"/>
      <c r="L53" s="444"/>
      <c r="M53" s="444"/>
      <c r="N53" s="444"/>
      <c r="O53" s="267"/>
      <c r="P53" s="267"/>
      <c r="Q53" s="267"/>
      <c r="R53" s="267"/>
      <c r="S53" s="216"/>
      <c r="T53" s="216"/>
      <c r="U53" s="216"/>
      <c r="V53" s="216"/>
      <c r="W53" s="216"/>
      <c r="X53" s="216"/>
      <c r="Y53" s="216"/>
      <c r="Z53" s="216"/>
      <c r="AA53" s="216"/>
      <c r="AB53" s="216"/>
      <c r="AC53" s="216"/>
      <c r="AD53" s="216"/>
      <c r="AE53" s="216"/>
      <c r="AF53" s="216"/>
    </row>
    <row r="54" ht="14.25" customHeight="1">
      <c r="A54" s="216"/>
      <c r="B54" s="435"/>
      <c r="C54" s="156"/>
      <c r="D54" s="510"/>
      <c r="E54" s="511" t="s">
        <v>177</v>
      </c>
      <c r="F54" s="510"/>
      <c r="G54" s="512">
        <f>MROUND(G28*0.96,2.5)</f>
        <v>0</v>
      </c>
      <c r="H54" s="512">
        <f t="shared" si="4"/>
        <v>0</v>
      </c>
      <c r="I54" s="512"/>
      <c r="J54" s="512">
        <f>G54-G44</f>
        <v>-242.5</v>
      </c>
      <c r="K54" s="444"/>
      <c r="L54" s="444"/>
      <c r="M54" s="444"/>
      <c r="N54" s="444"/>
      <c r="O54" s="267"/>
      <c r="P54" s="267"/>
      <c r="Q54" s="267"/>
      <c r="R54" s="267"/>
      <c r="S54" s="216"/>
      <c r="T54" s="216"/>
      <c r="U54" s="216"/>
      <c r="V54" s="216"/>
      <c r="W54" s="216"/>
      <c r="X54" s="216"/>
      <c r="Y54" s="216"/>
      <c r="Z54" s="216"/>
      <c r="AA54" s="216"/>
      <c r="AB54" s="216"/>
      <c r="AC54" s="216"/>
      <c r="AD54" s="216"/>
      <c r="AE54" s="216"/>
      <c r="AF54" s="216"/>
    </row>
    <row r="55" ht="23.25" customHeight="1">
      <c r="A55" s="216"/>
      <c r="B55" s="435"/>
      <c r="C55" s="156"/>
      <c r="D55" s="513">
        <v>3.0</v>
      </c>
      <c r="E55" s="453"/>
      <c r="F55" s="453"/>
      <c r="G55" s="453"/>
      <c r="H55" s="453"/>
      <c r="I55" s="453"/>
      <c r="J55" s="453"/>
      <c r="K55" s="444"/>
      <c r="L55" s="444"/>
      <c r="M55" s="444"/>
      <c r="N55" s="444"/>
      <c r="O55" s="267"/>
      <c r="P55" s="267"/>
      <c r="Q55" s="267"/>
      <c r="R55" s="267"/>
      <c r="S55" s="216"/>
      <c r="T55" s="216"/>
      <c r="U55" s="216"/>
      <c r="V55" s="216"/>
      <c r="W55" s="216"/>
      <c r="X55" s="216"/>
      <c r="Y55" s="216"/>
      <c r="Z55" s="216"/>
      <c r="AA55" s="216"/>
      <c r="AB55" s="216"/>
      <c r="AC55" s="216"/>
      <c r="AD55" s="216"/>
      <c r="AE55" s="216"/>
      <c r="AF55" s="216"/>
    </row>
    <row r="56" ht="14.25" customHeight="1">
      <c r="A56" s="216"/>
      <c r="B56" s="435"/>
      <c r="C56" s="156"/>
      <c r="D56" s="500"/>
      <c r="E56" s="500"/>
      <c r="F56" s="500"/>
      <c r="G56" s="501" t="s">
        <v>137</v>
      </c>
      <c r="H56" s="501" t="s">
        <v>140</v>
      </c>
      <c r="I56" s="500"/>
      <c r="J56" s="501"/>
      <c r="K56" s="444"/>
      <c r="L56" s="444"/>
      <c r="M56" s="444"/>
      <c r="N56" s="444"/>
      <c r="O56" s="267"/>
      <c r="P56" s="267"/>
      <c r="Q56" s="267"/>
      <c r="R56" s="267"/>
      <c r="S56" s="216"/>
      <c r="T56" s="216"/>
      <c r="U56" s="216"/>
      <c r="V56" s="216"/>
      <c r="W56" s="216"/>
      <c r="X56" s="216"/>
      <c r="Y56" s="216"/>
      <c r="Z56" s="216"/>
      <c r="AA56" s="216"/>
      <c r="AB56" s="216"/>
      <c r="AC56" s="216"/>
      <c r="AD56" s="216"/>
      <c r="AE56" s="216"/>
      <c r="AF56" s="216"/>
    </row>
    <row r="57" ht="14.25" customHeight="1">
      <c r="A57" s="216"/>
      <c r="B57" s="435"/>
      <c r="C57" s="156"/>
      <c r="D57" s="503"/>
      <c r="E57" s="504" t="s">
        <v>175</v>
      </c>
      <c r="F57" s="503"/>
      <c r="G57" s="505">
        <f>MROUND(G28*0.99,2.5)</f>
        <v>0</v>
      </c>
      <c r="H57" s="505">
        <f t="shared" ref="H57:H59" si="5">MROUND(G57*2.2046,1)</f>
        <v>0</v>
      </c>
      <c r="I57" s="505"/>
      <c r="J57" s="505">
        <f>G57-G44</f>
        <v>-242.5</v>
      </c>
      <c r="K57" s="444"/>
      <c r="L57" s="444"/>
      <c r="M57" s="444"/>
      <c r="N57" s="444"/>
      <c r="O57" s="267"/>
      <c r="P57" s="267"/>
      <c r="Q57" s="267"/>
      <c r="R57" s="267"/>
      <c r="S57" s="216"/>
      <c r="T57" s="216"/>
      <c r="U57" s="216"/>
      <c r="V57" s="216"/>
      <c r="W57" s="216"/>
      <c r="X57" s="216"/>
      <c r="Y57" s="216"/>
      <c r="Z57" s="216"/>
      <c r="AA57" s="216"/>
      <c r="AB57" s="216"/>
      <c r="AC57" s="216"/>
      <c r="AD57" s="216"/>
      <c r="AE57" s="216"/>
      <c r="AF57" s="216"/>
    </row>
    <row r="58" ht="14.25" customHeight="1">
      <c r="A58" s="216"/>
      <c r="B58" s="435"/>
      <c r="C58" s="156"/>
      <c r="D58" s="507"/>
      <c r="E58" s="508" t="s">
        <v>176</v>
      </c>
      <c r="F58" s="507"/>
      <c r="G58" s="509">
        <f>MROUND(G28*1,2.5)</f>
        <v>0</v>
      </c>
      <c r="H58" s="509">
        <f t="shared" si="5"/>
        <v>0</v>
      </c>
      <c r="I58" s="514">
        <f>G58-G53</f>
        <v>0</v>
      </c>
      <c r="J58" s="509">
        <f>G58-G44</f>
        <v>-242.5</v>
      </c>
      <c r="K58" s="444"/>
      <c r="L58" s="444"/>
      <c r="M58" s="444"/>
      <c r="N58" s="444"/>
      <c r="O58" s="267"/>
      <c r="P58" s="267"/>
      <c r="Q58" s="267"/>
      <c r="R58" s="267"/>
      <c r="S58" s="216"/>
      <c r="T58" s="216"/>
      <c r="U58" s="216"/>
      <c r="V58" s="216"/>
      <c r="W58" s="216"/>
      <c r="X58" s="216"/>
      <c r="Y58" s="216"/>
      <c r="Z58" s="216"/>
      <c r="AA58" s="216"/>
      <c r="AB58" s="216"/>
      <c r="AC58" s="216"/>
      <c r="AD58" s="216"/>
      <c r="AE58" s="216"/>
      <c r="AF58" s="216"/>
    </row>
    <row r="59" ht="14.25" customHeight="1">
      <c r="A59" s="216"/>
      <c r="B59" s="435"/>
      <c r="C59" s="156"/>
      <c r="D59" s="510"/>
      <c r="E59" s="511" t="s">
        <v>177</v>
      </c>
      <c r="F59" s="510"/>
      <c r="G59" s="512">
        <f>MROUND(G28*1,2.5)</f>
        <v>0</v>
      </c>
      <c r="H59" s="512">
        <f t="shared" si="5"/>
        <v>0</v>
      </c>
      <c r="I59" s="512"/>
      <c r="J59" s="512">
        <f>G59-G44</f>
        <v>-242.5</v>
      </c>
      <c r="K59" s="444"/>
      <c r="L59" s="444"/>
      <c r="M59" s="444"/>
      <c r="N59" s="444"/>
      <c r="O59" s="267"/>
      <c r="P59" s="267"/>
      <c r="Q59" s="267"/>
      <c r="R59" s="267"/>
      <c r="S59" s="216"/>
      <c r="T59" s="216"/>
      <c r="U59" s="216"/>
      <c r="V59" s="216"/>
      <c r="W59" s="216"/>
      <c r="X59" s="216"/>
      <c r="Y59" s="216"/>
      <c r="Z59" s="216"/>
      <c r="AA59" s="216"/>
      <c r="AB59" s="216"/>
      <c r="AC59" s="216"/>
      <c r="AD59" s="216"/>
      <c r="AE59" s="216"/>
      <c r="AF59" s="216"/>
    </row>
    <row r="60" ht="14.25" customHeight="1">
      <c r="A60" s="216"/>
      <c r="B60" s="435"/>
      <c r="C60" s="156"/>
      <c r="D60" s="500"/>
      <c r="E60" s="500"/>
      <c r="F60" s="500"/>
      <c r="G60" s="500"/>
      <c r="H60" s="500"/>
      <c r="I60" s="500"/>
      <c r="J60" s="501"/>
      <c r="K60" s="444"/>
      <c r="L60" s="444"/>
      <c r="M60" s="444"/>
      <c r="N60" s="444"/>
      <c r="O60" s="267"/>
      <c r="P60" s="267"/>
      <c r="Q60" s="267"/>
      <c r="R60" s="267"/>
      <c r="S60" s="216"/>
      <c r="T60" s="216"/>
      <c r="U60" s="216"/>
      <c r="V60" s="216"/>
      <c r="W60" s="216"/>
      <c r="X60" s="216"/>
      <c r="Y60" s="216"/>
      <c r="Z60" s="216"/>
      <c r="AA60" s="216"/>
      <c r="AB60" s="216"/>
      <c r="AC60" s="216"/>
      <c r="AD60" s="216"/>
      <c r="AE60" s="216"/>
      <c r="AF60" s="216"/>
    </row>
    <row r="61" ht="14.25" customHeight="1">
      <c r="A61" s="216"/>
      <c r="B61" s="435"/>
      <c r="C61" s="156"/>
      <c r="D61" s="500"/>
      <c r="E61" s="515"/>
      <c r="F61" s="515"/>
      <c r="G61" s="516" t="s">
        <v>137</v>
      </c>
      <c r="H61" s="501" t="s">
        <v>140</v>
      </c>
      <c r="I61" s="500"/>
      <c r="J61" s="501"/>
      <c r="K61" s="444"/>
      <c r="L61" s="444"/>
      <c r="M61" s="444"/>
      <c r="N61" s="444"/>
      <c r="O61" s="267"/>
      <c r="P61" s="267"/>
      <c r="Q61" s="267"/>
      <c r="R61" s="267"/>
      <c r="S61" s="216"/>
      <c r="T61" s="216"/>
      <c r="U61" s="216"/>
      <c r="V61" s="216"/>
      <c r="W61" s="216"/>
      <c r="X61" s="216"/>
      <c r="Y61" s="216"/>
      <c r="Z61" s="216"/>
      <c r="AA61" s="216"/>
      <c r="AB61" s="216"/>
      <c r="AC61" s="216"/>
      <c r="AD61" s="216"/>
      <c r="AE61" s="216"/>
      <c r="AF61" s="216"/>
    </row>
    <row r="62" ht="14.25" customHeight="1">
      <c r="A62" s="216"/>
      <c r="B62" s="435"/>
      <c r="C62" s="156"/>
      <c r="D62" s="517"/>
      <c r="E62" s="518" t="s">
        <v>178</v>
      </c>
      <c r="G62" s="519"/>
      <c r="H62" s="520">
        <f>MROUND(G62*2.2046,1)</f>
        <v>0</v>
      </c>
      <c r="I62" s="500"/>
      <c r="J62" s="501"/>
      <c r="K62" s="444"/>
      <c r="L62" s="444"/>
      <c r="M62" s="444"/>
      <c r="N62" s="444"/>
      <c r="O62" s="267"/>
      <c r="P62" s="267"/>
      <c r="Q62" s="267"/>
      <c r="R62" s="267"/>
      <c r="S62" s="216"/>
      <c r="T62" s="216"/>
      <c r="U62" s="216"/>
      <c r="V62" s="216"/>
      <c r="W62" s="216"/>
      <c r="X62" s="216"/>
      <c r="Y62" s="216"/>
      <c r="Z62" s="216"/>
      <c r="AA62" s="216"/>
      <c r="AB62" s="216"/>
      <c r="AC62" s="216"/>
      <c r="AD62" s="216"/>
      <c r="AE62" s="216"/>
      <c r="AF62" s="216"/>
    </row>
    <row r="63" ht="14.25" customHeight="1">
      <c r="A63" s="216"/>
      <c r="B63" s="435"/>
      <c r="C63" s="156"/>
      <c r="D63" s="460"/>
      <c r="E63" s="521"/>
      <c r="F63" s="521"/>
      <c r="G63" s="521"/>
      <c r="H63" s="460"/>
      <c r="I63" s="522" t="s">
        <v>179</v>
      </c>
      <c r="J63" s="523">
        <f>G62+H20+H21</f>
        <v>0</v>
      </c>
      <c r="K63" s="444"/>
      <c r="L63" s="444"/>
      <c r="M63" s="444"/>
      <c r="N63" s="444"/>
      <c r="O63" s="267"/>
      <c r="P63" s="267"/>
      <c r="Q63" s="267"/>
      <c r="R63" s="267"/>
      <c r="S63" s="216"/>
      <c r="T63" s="216"/>
      <c r="U63" s="216"/>
      <c r="V63" s="216"/>
      <c r="W63" s="216"/>
      <c r="X63" s="216"/>
      <c r="Y63" s="216"/>
      <c r="Z63" s="216"/>
      <c r="AA63" s="216"/>
      <c r="AB63" s="216"/>
      <c r="AC63" s="216"/>
      <c r="AD63" s="216"/>
      <c r="AE63" s="216"/>
      <c r="AF63" s="216"/>
    </row>
    <row r="64" ht="23.25" customHeight="1">
      <c r="A64" s="216"/>
      <c r="B64" s="435"/>
      <c r="C64" s="156"/>
      <c r="D64" s="459" t="s">
        <v>180</v>
      </c>
      <c r="E64" s="453"/>
      <c r="F64" s="453"/>
      <c r="G64" s="453"/>
      <c r="H64" s="453"/>
      <c r="I64" s="453"/>
      <c r="J64" s="453"/>
      <c r="K64" s="444"/>
      <c r="L64" s="444"/>
      <c r="M64" s="444"/>
      <c r="N64" s="444"/>
      <c r="O64" s="267"/>
      <c r="P64" s="267"/>
      <c r="Q64" s="267"/>
      <c r="R64" s="267"/>
      <c r="S64" s="216"/>
      <c r="T64" s="216"/>
      <c r="U64" s="216"/>
      <c r="V64" s="216"/>
      <c r="W64" s="216"/>
      <c r="X64" s="216"/>
      <c r="Y64" s="216"/>
      <c r="Z64" s="216"/>
      <c r="AA64" s="216"/>
      <c r="AB64" s="216"/>
      <c r="AC64" s="216"/>
      <c r="AD64" s="216"/>
      <c r="AE64" s="216"/>
      <c r="AF64" s="216"/>
    </row>
    <row r="65" ht="14.25" customHeight="1">
      <c r="A65" s="216"/>
      <c r="B65" s="435"/>
      <c r="C65" s="156"/>
      <c r="D65" s="460"/>
      <c r="E65" s="460"/>
      <c r="F65" s="460"/>
      <c r="G65" s="462" t="s">
        <v>137</v>
      </c>
      <c r="H65" s="463" t="s">
        <v>140</v>
      </c>
      <c r="I65" s="460"/>
      <c r="J65" s="463"/>
      <c r="K65" s="444"/>
      <c r="L65" s="444"/>
      <c r="M65" s="444"/>
      <c r="N65" s="444"/>
      <c r="O65" s="267"/>
      <c r="P65" s="267"/>
      <c r="Q65" s="267"/>
      <c r="R65" s="267"/>
      <c r="S65" s="216"/>
      <c r="T65" s="216"/>
      <c r="U65" s="216"/>
      <c r="V65" s="216"/>
      <c r="W65" s="216"/>
      <c r="X65" s="216"/>
      <c r="Y65" s="216"/>
      <c r="Z65" s="216"/>
      <c r="AA65" s="216"/>
      <c r="AB65" s="216"/>
      <c r="AC65" s="216"/>
      <c r="AD65" s="216"/>
      <c r="AE65" s="216"/>
      <c r="AF65" s="216"/>
    </row>
    <row r="66" ht="14.25" customHeight="1">
      <c r="A66" s="216"/>
      <c r="B66" s="435"/>
      <c r="C66" s="156"/>
      <c r="D66" s="477"/>
      <c r="E66" s="485" t="s">
        <v>161</v>
      </c>
      <c r="F66" s="453"/>
      <c r="G66" s="466">
        <f>trainingto1.18.25!O11</f>
        <v>152.5</v>
      </c>
      <c r="H66" s="469">
        <f t="shared" ref="H66:H68" si="6">MROUND(G66*2.2046,1)</f>
        <v>336</v>
      </c>
      <c r="I66" s="477"/>
      <c r="J66" s="492"/>
      <c r="K66" s="444"/>
      <c r="L66" s="444"/>
      <c r="M66" s="444"/>
      <c r="N66" s="444"/>
      <c r="O66" s="267"/>
      <c r="P66" s="267"/>
      <c r="Q66" s="267"/>
      <c r="R66" s="267"/>
      <c r="S66" s="216"/>
      <c r="T66" s="216"/>
      <c r="U66" s="216"/>
      <c r="V66" s="216"/>
      <c r="W66" s="216"/>
      <c r="X66" s="216"/>
      <c r="Y66" s="216"/>
      <c r="Z66" s="216"/>
      <c r="AA66" s="216"/>
      <c r="AB66" s="216"/>
      <c r="AC66" s="216"/>
      <c r="AD66" s="216"/>
      <c r="AE66" s="216"/>
      <c r="AF66" s="216"/>
    </row>
    <row r="67" ht="14.25" customHeight="1">
      <c r="A67" s="216"/>
      <c r="B67" s="435"/>
      <c r="C67" s="156"/>
      <c r="D67" s="488"/>
      <c r="E67" s="482" t="s">
        <v>162</v>
      </c>
      <c r="F67" s="453"/>
      <c r="G67" s="472"/>
      <c r="H67" s="475">
        <f t="shared" si="6"/>
        <v>0</v>
      </c>
      <c r="I67" s="488"/>
      <c r="J67" s="498"/>
      <c r="K67" s="444"/>
      <c r="L67" s="444"/>
      <c r="M67" s="444"/>
      <c r="N67" s="444"/>
      <c r="O67" s="267"/>
      <c r="P67" s="267"/>
      <c r="Q67" s="267"/>
      <c r="R67" s="267"/>
      <c r="S67" s="216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</row>
    <row r="68" ht="14.25" customHeight="1">
      <c r="A68" s="216"/>
      <c r="B68" s="435"/>
      <c r="C68" s="156"/>
      <c r="D68" s="477"/>
      <c r="E68" s="485" t="s">
        <v>163</v>
      </c>
      <c r="F68" s="453"/>
      <c r="G68" s="466"/>
      <c r="H68" s="469">
        <f t="shared" si="6"/>
        <v>0</v>
      </c>
      <c r="I68" s="477"/>
      <c r="J68" s="492"/>
      <c r="K68" s="444"/>
      <c r="L68" s="444"/>
      <c r="M68" s="444"/>
      <c r="N68" s="444"/>
      <c r="O68" s="267"/>
      <c r="P68" s="267"/>
      <c r="Q68" s="267"/>
      <c r="R68" s="267"/>
      <c r="S68" s="216"/>
      <c r="T68" s="216"/>
      <c r="U68" s="216"/>
      <c r="V68" s="216"/>
      <c r="W68" s="216"/>
      <c r="X68" s="216"/>
      <c r="Y68" s="216"/>
      <c r="Z68" s="216"/>
      <c r="AA68" s="216"/>
      <c r="AB68" s="216"/>
      <c r="AC68" s="216"/>
      <c r="AD68" s="216"/>
      <c r="AE68" s="216"/>
      <c r="AF68" s="216"/>
    </row>
    <row r="69" ht="18.75" customHeight="1">
      <c r="A69" s="216"/>
      <c r="B69" s="435"/>
      <c r="C69" s="156"/>
      <c r="D69" s="476" t="s">
        <v>164</v>
      </c>
      <c r="E69" s="453"/>
      <c r="F69" s="453"/>
      <c r="G69" s="453"/>
      <c r="H69" s="453"/>
      <c r="I69" s="453"/>
      <c r="J69" s="453"/>
      <c r="K69" s="444"/>
      <c r="L69" s="444"/>
      <c r="M69" s="444"/>
      <c r="N69" s="444"/>
      <c r="O69" s="267"/>
      <c r="P69" s="267"/>
      <c r="Q69" s="267"/>
      <c r="R69" s="267"/>
      <c r="S69" s="216"/>
      <c r="T69" s="216"/>
      <c r="U69" s="216"/>
      <c r="V69" s="216"/>
      <c r="W69" s="216"/>
      <c r="X69" s="216"/>
      <c r="Y69" s="216"/>
      <c r="Z69" s="216"/>
      <c r="AA69" s="216"/>
      <c r="AB69" s="216"/>
      <c r="AC69" s="216"/>
      <c r="AD69" s="216"/>
      <c r="AE69" s="216"/>
      <c r="AF69" s="216"/>
    </row>
    <row r="70" ht="14.25" customHeight="1">
      <c r="A70" s="216"/>
      <c r="B70" s="435"/>
      <c r="C70" s="156"/>
      <c r="D70" s="477"/>
      <c r="E70" s="478" t="s">
        <v>165</v>
      </c>
      <c r="F70" s="481" t="s">
        <v>137</v>
      </c>
      <c r="G70" s="481" t="s">
        <v>140</v>
      </c>
      <c r="H70" s="481" t="s">
        <v>166</v>
      </c>
      <c r="I70" s="524" t="s">
        <v>167</v>
      </c>
      <c r="J70" s="492"/>
      <c r="K70" s="444"/>
      <c r="L70" s="444"/>
      <c r="M70" s="444"/>
      <c r="N70" s="444"/>
      <c r="O70" s="267"/>
      <c r="P70" s="267"/>
      <c r="Q70" s="267"/>
      <c r="R70" s="267"/>
      <c r="S70" s="216"/>
      <c r="T70" s="216"/>
      <c r="U70" s="216"/>
      <c r="V70" s="216"/>
      <c r="W70" s="216"/>
      <c r="X70" s="216"/>
      <c r="Y70" s="216"/>
      <c r="Z70" s="216"/>
      <c r="AA70" s="216"/>
      <c r="AB70" s="216"/>
      <c r="AC70" s="216"/>
      <c r="AD70" s="216"/>
      <c r="AE70" s="216"/>
      <c r="AF70" s="216"/>
    </row>
    <row r="71" ht="14.25" customHeight="1">
      <c r="A71" s="216"/>
      <c r="B71" s="435"/>
      <c r="C71" s="156"/>
      <c r="D71" s="482">
        <v>1.0</v>
      </c>
      <c r="E71" s="474"/>
      <c r="F71" s="472">
        <v>70.0</v>
      </c>
      <c r="G71" s="473">
        <f t="shared" ref="G71:G78" si="7">MROUND(F71*2.2046,1)</f>
        <v>154</v>
      </c>
      <c r="H71" s="472">
        <v>5.0</v>
      </c>
      <c r="I71" s="525" t="s">
        <v>169</v>
      </c>
      <c r="J71" s="475"/>
      <c r="K71" s="444"/>
      <c r="L71" s="444"/>
      <c r="M71" s="444"/>
      <c r="N71" s="444"/>
      <c r="O71" s="267"/>
      <c r="P71" s="267"/>
      <c r="Q71" s="267"/>
      <c r="R71" s="267"/>
      <c r="S71" s="216"/>
      <c r="T71" s="216"/>
      <c r="U71" s="216"/>
      <c r="V71" s="216"/>
      <c r="W71" s="216"/>
      <c r="X71" s="216"/>
      <c r="Y71" s="216"/>
      <c r="Z71" s="216"/>
      <c r="AA71" s="216"/>
      <c r="AB71" s="216"/>
      <c r="AC71" s="216"/>
      <c r="AD71" s="216"/>
      <c r="AE71" s="216"/>
      <c r="AF71" s="216"/>
    </row>
    <row r="72" ht="14.25" customHeight="1">
      <c r="A72" s="216"/>
      <c r="B72" s="435"/>
      <c r="C72" s="156"/>
      <c r="D72" s="485">
        <v>2.0</v>
      </c>
      <c r="E72" s="468"/>
      <c r="F72" s="466">
        <v>120.0</v>
      </c>
      <c r="G72" s="467">
        <f t="shared" si="7"/>
        <v>265</v>
      </c>
      <c r="H72" s="466">
        <v>3.0</v>
      </c>
      <c r="I72" s="468"/>
      <c r="J72" s="469"/>
      <c r="K72" s="444"/>
      <c r="L72" s="444"/>
      <c r="M72" s="444"/>
      <c r="N72" s="444"/>
      <c r="O72" s="267"/>
      <c r="P72" s="267"/>
      <c r="Q72" s="267"/>
      <c r="R72" s="267"/>
      <c r="S72" s="216"/>
      <c r="T72" s="216"/>
      <c r="U72" s="216"/>
      <c r="V72" s="216"/>
      <c r="W72" s="216"/>
      <c r="X72" s="216"/>
      <c r="Y72" s="216"/>
      <c r="Z72" s="216"/>
      <c r="AA72" s="216"/>
      <c r="AB72" s="216"/>
      <c r="AC72" s="216"/>
      <c r="AD72" s="216"/>
      <c r="AE72" s="216"/>
      <c r="AF72" s="216"/>
    </row>
    <row r="73" ht="14.25" customHeight="1">
      <c r="A73" s="216"/>
      <c r="B73" s="435"/>
      <c r="C73" s="156"/>
      <c r="D73" s="482">
        <v>3.0</v>
      </c>
      <c r="E73" s="474"/>
      <c r="F73" s="472">
        <v>140.0</v>
      </c>
      <c r="G73" s="473">
        <f t="shared" si="7"/>
        <v>309</v>
      </c>
      <c r="H73" s="472">
        <v>1.0</v>
      </c>
      <c r="I73" s="474"/>
      <c r="J73" s="475"/>
      <c r="K73" s="444"/>
      <c r="L73" s="444"/>
      <c r="M73" s="444"/>
      <c r="N73" s="444"/>
      <c r="O73" s="267"/>
      <c r="P73" s="267"/>
      <c r="Q73" s="267"/>
      <c r="R73" s="267"/>
      <c r="S73" s="216"/>
      <c r="T73" s="216"/>
      <c r="U73" s="216"/>
      <c r="V73" s="216"/>
      <c r="W73" s="216"/>
      <c r="X73" s="216"/>
      <c r="Y73" s="216"/>
      <c r="Z73" s="216"/>
      <c r="AA73" s="216"/>
      <c r="AB73" s="216"/>
      <c r="AC73" s="216"/>
      <c r="AD73" s="216"/>
      <c r="AE73" s="216"/>
      <c r="AF73" s="216"/>
    </row>
    <row r="74" ht="14.25" customHeight="1">
      <c r="A74" s="216"/>
      <c r="B74" s="435"/>
      <c r="C74" s="156"/>
      <c r="D74" s="485">
        <v>4.0</v>
      </c>
      <c r="E74" s="468"/>
      <c r="F74" s="466">
        <v>150.0</v>
      </c>
      <c r="G74" s="467">
        <f t="shared" si="7"/>
        <v>331</v>
      </c>
      <c r="H74" s="466">
        <v>1.0</v>
      </c>
      <c r="I74" s="526" t="s">
        <v>170</v>
      </c>
      <c r="J74" s="469"/>
      <c r="K74" s="444"/>
      <c r="L74" s="444"/>
      <c r="M74" s="444"/>
      <c r="N74" s="444"/>
      <c r="O74" s="267"/>
      <c r="P74" s="267"/>
      <c r="Q74" s="267"/>
      <c r="R74" s="267"/>
      <c r="S74" s="216"/>
      <c r="T74" s="216"/>
      <c r="U74" s="216"/>
      <c r="V74" s="216"/>
      <c r="W74" s="216"/>
      <c r="X74" s="216"/>
      <c r="Y74" s="216"/>
      <c r="Z74" s="216"/>
      <c r="AA74" s="216"/>
      <c r="AB74" s="216"/>
      <c r="AC74" s="216"/>
      <c r="AD74" s="216"/>
      <c r="AE74" s="216"/>
      <c r="AF74" s="216"/>
    </row>
    <row r="75" ht="14.25" customHeight="1">
      <c r="A75" s="216"/>
      <c r="B75" s="435"/>
      <c r="C75" s="156"/>
      <c r="D75" s="482">
        <v>5.0</v>
      </c>
      <c r="E75" s="474"/>
      <c r="F75" s="472"/>
      <c r="G75" s="473">
        <f t="shared" si="7"/>
        <v>0</v>
      </c>
      <c r="H75" s="472"/>
      <c r="I75" s="474"/>
      <c r="J75" s="475"/>
      <c r="K75" s="444"/>
      <c r="L75" s="444"/>
      <c r="M75" s="444"/>
      <c r="N75" s="444"/>
      <c r="O75" s="267"/>
      <c r="P75" s="267"/>
      <c r="Q75" s="267"/>
      <c r="R75" s="267"/>
      <c r="S75" s="21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</row>
    <row r="76" ht="14.25" customHeight="1">
      <c r="A76" s="216"/>
      <c r="B76" s="435"/>
      <c r="C76" s="156"/>
      <c r="D76" s="485">
        <v>6.0</v>
      </c>
      <c r="E76" s="468"/>
      <c r="F76" s="466"/>
      <c r="G76" s="467">
        <f t="shared" si="7"/>
        <v>0</v>
      </c>
      <c r="H76" s="466"/>
      <c r="I76" s="468"/>
      <c r="J76" s="469"/>
      <c r="K76" s="444"/>
      <c r="L76" s="444"/>
      <c r="M76" s="444"/>
      <c r="N76" s="444"/>
      <c r="O76" s="267"/>
      <c r="P76" s="267"/>
      <c r="Q76" s="267"/>
      <c r="R76" s="267"/>
      <c r="S76" s="216"/>
      <c r="T76" s="216"/>
      <c r="U76" s="216"/>
      <c r="V76" s="216"/>
      <c r="W76" s="216"/>
      <c r="X76" s="216"/>
      <c r="Y76" s="216"/>
      <c r="Z76" s="216"/>
      <c r="AA76" s="216"/>
      <c r="AB76" s="216"/>
      <c r="AC76" s="216"/>
      <c r="AD76" s="216"/>
      <c r="AE76" s="216"/>
      <c r="AF76" s="216"/>
    </row>
    <row r="77" ht="14.25" customHeight="1">
      <c r="A77" s="216"/>
      <c r="B77" s="435"/>
      <c r="C77" s="156"/>
      <c r="D77" s="482">
        <v>7.0</v>
      </c>
      <c r="E77" s="474"/>
      <c r="F77" s="472"/>
      <c r="G77" s="473">
        <f t="shared" si="7"/>
        <v>0</v>
      </c>
      <c r="H77" s="472"/>
      <c r="I77" s="474"/>
      <c r="J77" s="475"/>
      <c r="K77" s="444"/>
      <c r="L77" s="444"/>
      <c r="M77" s="444"/>
      <c r="N77" s="444"/>
      <c r="O77" s="267"/>
      <c r="P77" s="267"/>
      <c r="Q77" s="267"/>
      <c r="R77" s="267"/>
      <c r="S77" s="216"/>
      <c r="T77" s="216"/>
      <c r="U77" s="216"/>
      <c r="V77" s="216"/>
      <c r="W77" s="216"/>
      <c r="X77" s="216"/>
      <c r="Y77" s="216"/>
      <c r="Z77" s="216"/>
      <c r="AA77" s="216"/>
      <c r="AB77" s="216"/>
      <c r="AC77" s="216"/>
      <c r="AD77" s="216"/>
      <c r="AE77" s="216"/>
      <c r="AF77" s="216"/>
    </row>
    <row r="78" ht="14.25" customHeight="1">
      <c r="A78" s="216"/>
      <c r="B78" s="435"/>
      <c r="C78" s="156"/>
      <c r="D78" s="485">
        <v>8.0</v>
      </c>
      <c r="E78" s="468"/>
      <c r="F78" s="466"/>
      <c r="G78" s="467">
        <f t="shared" si="7"/>
        <v>0</v>
      </c>
      <c r="H78" s="466"/>
      <c r="I78" s="468"/>
      <c r="J78" s="469"/>
      <c r="K78" s="444"/>
      <c r="L78" s="444"/>
      <c r="M78" s="444"/>
      <c r="N78" s="444"/>
      <c r="O78" s="267"/>
      <c r="P78" s="267"/>
      <c r="Q78" s="267"/>
      <c r="R78" s="267"/>
      <c r="S78" s="216"/>
      <c r="T78" s="216"/>
      <c r="U78" s="216"/>
      <c r="V78" s="216"/>
      <c r="W78" s="216"/>
      <c r="X78" s="216"/>
      <c r="Y78" s="216"/>
      <c r="Z78" s="216"/>
      <c r="AA78" s="216"/>
      <c r="AB78" s="216"/>
      <c r="AC78" s="216"/>
      <c r="AD78" s="216"/>
      <c r="AE78" s="216"/>
      <c r="AF78" s="216"/>
    </row>
    <row r="79" ht="14.25" customHeight="1">
      <c r="A79" s="216"/>
      <c r="B79" s="435"/>
      <c r="C79" s="156"/>
      <c r="D79" s="488"/>
      <c r="E79" s="489"/>
      <c r="F79" s="489"/>
      <c r="G79" s="489"/>
      <c r="H79" s="489"/>
      <c r="I79" s="489"/>
      <c r="J79" s="498"/>
      <c r="K79" s="444"/>
      <c r="L79" s="444"/>
      <c r="M79" s="444"/>
      <c r="N79" s="444"/>
      <c r="O79" s="267"/>
      <c r="P79" s="267"/>
      <c r="Q79" s="267"/>
      <c r="R79" s="267"/>
      <c r="S79" s="216"/>
      <c r="T79" s="216"/>
      <c r="U79" s="216"/>
      <c r="V79" s="216"/>
      <c r="W79" s="216"/>
      <c r="X79" s="216"/>
      <c r="Y79" s="216"/>
      <c r="Z79" s="216"/>
      <c r="AA79" s="216"/>
      <c r="AB79" s="216"/>
      <c r="AC79" s="216"/>
      <c r="AD79" s="216"/>
      <c r="AE79" s="216"/>
      <c r="AF79" s="216"/>
    </row>
    <row r="80" ht="14.25" customHeight="1">
      <c r="A80" s="216"/>
      <c r="B80" s="435"/>
      <c r="C80" s="156"/>
      <c r="D80" s="477"/>
      <c r="E80" s="491" t="s">
        <v>171</v>
      </c>
      <c r="F80" s="492">
        <f>G87</f>
        <v>0</v>
      </c>
      <c r="G80" s="492">
        <f>MROUND(F80*2.2046,1)</f>
        <v>0</v>
      </c>
      <c r="H80" s="477"/>
      <c r="I80" s="477"/>
      <c r="J80" s="492"/>
      <c r="K80" s="444"/>
      <c r="L80" s="444"/>
      <c r="M80" s="444"/>
      <c r="N80" s="444"/>
      <c r="O80" s="267"/>
      <c r="P80" s="267"/>
      <c r="Q80" s="267"/>
      <c r="R80" s="267"/>
      <c r="S80" s="216"/>
      <c r="T80" s="216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</row>
    <row r="81" ht="23.25" customHeight="1">
      <c r="A81" s="216"/>
      <c r="B81" s="435"/>
      <c r="C81" s="156"/>
      <c r="D81" s="493" t="s">
        <v>181</v>
      </c>
      <c r="E81" s="453"/>
      <c r="F81" s="453"/>
      <c r="G81" s="453"/>
      <c r="H81" s="453"/>
      <c r="I81" s="453"/>
      <c r="J81" s="453"/>
      <c r="K81" s="444"/>
      <c r="L81" s="444"/>
      <c r="M81" s="444"/>
      <c r="N81" s="444"/>
      <c r="O81" s="267"/>
      <c r="P81" s="267"/>
      <c r="Q81" s="267"/>
      <c r="R81" s="267"/>
      <c r="S81" s="216"/>
      <c r="T81" s="216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</row>
    <row r="82" ht="14.25" customHeight="1">
      <c r="A82" s="216"/>
      <c r="B82" s="435"/>
      <c r="C82" s="156"/>
      <c r="D82" s="460"/>
      <c r="E82" s="460"/>
      <c r="F82" s="460"/>
      <c r="G82" s="527" t="s">
        <v>137</v>
      </c>
      <c r="H82" s="527" t="s">
        <v>140</v>
      </c>
      <c r="I82" s="460"/>
      <c r="J82" s="463"/>
      <c r="K82" s="444"/>
      <c r="L82" s="444"/>
      <c r="M82" s="444"/>
      <c r="N82" s="444"/>
      <c r="O82" s="267"/>
      <c r="P82" s="267"/>
      <c r="Q82" s="267"/>
      <c r="R82" s="267"/>
      <c r="S82" s="216"/>
      <c r="T82" s="216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</row>
    <row r="83" ht="14.25" customHeight="1">
      <c r="A83" s="216"/>
      <c r="B83" s="435"/>
      <c r="C83" s="156"/>
      <c r="D83" s="488"/>
      <c r="E83" s="495" t="s">
        <v>161</v>
      </c>
      <c r="F83" s="453"/>
      <c r="G83" s="496">
        <f>G66</f>
        <v>152.5</v>
      </c>
      <c r="H83" s="497">
        <f>MROUND(G83*2.2046,1)</f>
        <v>336</v>
      </c>
      <c r="I83" s="488"/>
      <c r="J83" s="498"/>
      <c r="K83" s="444"/>
      <c r="L83" s="444"/>
      <c r="M83" s="444"/>
      <c r="N83" s="444"/>
      <c r="O83" s="267"/>
      <c r="P83" s="267"/>
      <c r="Q83" s="267"/>
      <c r="R83" s="267"/>
      <c r="S83" s="216"/>
      <c r="T83" s="216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</row>
    <row r="84" ht="23.25" customHeight="1">
      <c r="A84" s="216"/>
      <c r="B84" s="435"/>
      <c r="C84" s="156"/>
      <c r="D84" s="513">
        <v>1.0</v>
      </c>
      <c r="E84" s="453"/>
      <c r="F84" s="453"/>
      <c r="G84" s="453"/>
      <c r="H84" s="453"/>
      <c r="I84" s="453"/>
      <c r="J84" s="453"/>
      <c r="K84" s="444"/>
      <c r="L84" s="444"/>
      <c r="M84" s="444"/>
      <c r="N84" s="444"/>
      <c r="O84" s="267"/>
      <c r="P84" s="267"/>
      <c r="Q84" s="267"/>
      <c r="R84" s="267"/>
      <c r="S84" s="216"/>
      <c r="T84" s="216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</row>
    <row r="85" ht="14.25" customHeight="1">
      <c r="A85" s="216"/>
      <c r="B85" s="435"/>
      <c r="C85" s="156"/>
      <c r="D85" s="500"/>
      <c r="E85" s="500"/>
      <c r="F85" s="500"/>
      <c r="G85" s="501" t="s">
        <v>137</v>
      </c>
      <c r="H85" s="501" t="s">
        <v>140</v>
      </c>
      <c r="I85" s="500"/>
      <c r="J85" s="502" t="s">
        <v>173</v>
      </c>
      <c r="K85" s="444"/>
      <c r="L85" s="444"/>
      <c r="M85" s="444"/>
      <c r="N85" s="444"/>
      <c r="O85" s="267"/>
      <c r="P85" s="267"/>
      <c r="Q85" s="267"/>
      <c r="R85" s="267"/>
      <c r="S85" s="216"/>
      <c r="T85" s="216"/>
      <c r="U85" s="216"/>
      <c r="V85" s="216"/>
      <c r="W85" s="216"/>
      <c r="X85" s="216"/>
      <c r="Y85" s="216"/>
      <c r="Z85" s="216"/>
      <c r="AA85" s="216"/>
      <c r="AB85" s="216"/>
      <c r="AC85" s="216"/>
      <c r="AD85" s="216"/>
      <c r="AE85" s="216"/>
      <c r="AF85" s="216"/>
    </row>
    <row r="86" ht="14.25" customHeight="1">
      <c r="A86" s="216"/>
      <c r="B86" s="435"/>
      <c r="C86" s="156"/>
      <c r="D86" s="503"/>
      <c r="E86" s="504" t="s">
        <v>174</v>
      </c>
      <c r="F86" s="503"/>
      <c r="G86" s="505">
        <f>MROUND(G67*0.93,2.5)</f>
        <v>0</v>
      </c>
      <c r="H86" s="505">
        <f t="shared" ref="H86:H88" si="8">MROUND(G86*2.2046,1)</f>
        <v>0</v>
      </c>
      <c r="I86" s="503"/>
      <c r="J86" s="505">
        <f>G86-G83</f>
        <v>-152.5</v>
      </c>
      <c r="K86" s="444"/>
      <c r="L86" s="444"/>
      <c r="M86" s="444"/>
      <c r="N86" s="444"/>
      <c r="O86" s="267"/>
      <c r="P86" s="267"/>
      <c r="Q86" s="267"/>
      <c r="R86" s="267"/>
      <c r="S86" s="216"/>
      <c r="T86" s="216"/>
      <c r="U86" s="216"/>
      <c r="V86" s="216"/>
      <c r="W86" s="216"/>
      <c r="X86" s="216"/>
      <c r="Y86" s="216"/>
      <c r="Z86" s="216"/>
      <c r="AA86" s="216"/>
      <c r="AB86" s="216"/>
      <c r="AC86" s="216"/>
      <c r="AD86" s="216"/>
      <c r="AE86" s="216"/>
      <c r="AF86" s="216"/>
    </row>
    <row r="87" ht="14.25" customHeight="1">
      <c r="A87" s="216"/>
      <c r="B87" s="435"/>
      <c r="C87" s="156"/>
      <c r="D87" s="507"/>
      <c r="E87" s="528" t="s">
        <v>174</v>
      </c>
      <c r="F87" s="529"/>
      <c r="G87" s="530">
        <f>MROUND(G67*0.93,2.5)</f>
        <v>0</v>
      </c>
      <c r="H87" s="530">
        <f t="shared" si="8"/>
        <v>0</v>
      </c>
      <c r="I87" s="507"/>
      <c r="J87" s="531">
        <f>G87-G83</f>
        <v>-152.5</v>
      </c>
      <c r="K87" s="444"/>
      <c r="L87" s="444"/>
      <c r="M87" s="444"/>
      <c r="N87" s="444"/>
      <c r="O87" s="267"/>
      <c r="P87" s="267"/>
      <c r="Q87" s="267"/>
      <c r="R87" s="267"/>
      <c r="S87" s="216"/>
      <c r="T87" s="216"/>
      <c r="U87" s="216"/>
      <c r="V87" s="216"/>
      <c r="W87" s="216"/>
      <c r="X87" s="216"/>
      <c r="Y87" s="216"/>
      <c r="Z87" s="216"/>
      <c r="AA87" s="216"/>
      <c r="AB87" s="216"/>
      <c r="AC87" s="216"/>
      <c r="AD87" s="216"/>
      <c r="AE87" s="216"/>
      <c r="AF87" s="216"/>
    </row>
    <row r="88" ht="14.25" customHeight="1">
      <c r="A88" s="216"/>
      <c r="B88" s="435"/>
      <c r="C88" s="156"/>
      <c r="D88" s="510"/>
      <c r="E88" s="511" t="s">
        <v>174</v>
      </c>
      <c r="F88" s="510"/>
      <c r="G88" s="512">
        <f>MROUND(G67*0.93,2.5)</f>
        <v>0</v>
      </c>
      <c r="H88" s="512">
        <f t="shared" si="8"/>
        <v>0</v>
      </c>
      <c r="I88" s="510"/>
      <c r="J88" s="512">
        <f>G88-G83</f>
        <v>-152.5</v>
      </c>
      <c r="K88" s="444"/>
      <c r="L88" s="444"/>
      <c r="M88" s="444"/>
      <c r="N88" s="444"/>
      <c r="O88" s="267"/>
      <c r="P88" s="267"/>
      <c r="Q88" s="267"/>
      <c r="R88" s="267"/>
      <c r="S88" s="216"/>
      <c r="T88" s="216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</row>
    <row r="89" ht="23.25" customHeight="1">
      <c r="A89" s="216"/>
      <c r="B89" s="435"/>
      <c r="C89" s="156"/>
      <c r="D89" s="513">
        <v>2.0</v>
      </c>
      <c r="E89" s="453"/>
      <c r="F89" s="453"/>
      <c r="G89" s="453"/>
      <c r="H89" s="453"/>
      <c r="I89" s="453"/>
      <c r="J89" s="453"/>
      <c r="K89" s="444"/>
      <c r="L89" s="444"/>
      <c r="M89" s="444"/>
      <c r="N89" s="444"/>
      <c r="O89" s="267"/>
      <c r="P89" s="267"/>
      <c r="Q89" s="267"/>
      <c r="R89" s="267"/>
      <c r="S89" s="216"/>
      <c r="T89" s="216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</row>
    <row r="90" ht="14.25" customHeight="1">
      <c r="A90" s="216"/>
      <c r="B90" s="435"/>
      <c r="C90" s="156"/>
      <c r="D90" s="500"/>
      <c r="E90" s="500"/>
      <c r="F90" s="500"/>
      <c r="G90" s="501" t="s">
        <v>137</v>
      </c>
      <c r="H90" s="501" t="s">
        <v>140</v>
      </c>
      <c r="I90" s="500"/>
      <c r="J90" s="501"/>
      <c r="K90" s="444"/>
      <c r="L90" s="444"/>
      <c r="M90" s="444"/>
      <c r="N90" s="444"/>
      <c r="O90" s="267"/>
      <c r="P90" s="267"/>
      <c r="Q90" s="267"/>
      <c r="R90" s="267"/>
      <c r="S90" s="216"/>
      <c r="T90" s="216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</row>
    <row r="91" ht="14.25" customHeight="1">
      <c r="A91" s="216"/>
      <c r="B91" s="435"/>
      <c r="C91" s="156"/>
      <c r="D91" s="503"/>
      <c r="E91" s="504" t="s">
        <v>175</v>
      </c>
      <c r="F91" s="503"/>
      <c r="G91" s="505">
        <f>MROUND(G67*0.95,2.5)</f>
        <v>0</v>
      </c>
      <c r="H91" s="505">
        <f t="shared" ref="H91:H93" si="9">MROUND(G91*2.2046,1)</f>
        <v>0</v>
      </c>
      <c r="I91" s="505"/>
      <c r="J91" s="505">
        <f>G91-G83</f>
        <v>-152.5</v>
      </c>
      <c r="K91" s="444"/>
      <c r="L91" s="444"/>
      <c r="M91" s="444"/>
      <c r="N91" s="444"/>
      <c r="O91" s="267"/>
      <c r="P91" s="267"/>
      <c r="Q91" s="267"/>
      <c r="R91" s="267"/>
      <c r="S91" s="216"/>
      <c r="T91" s="216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</row>
    <row r="92" ht="14.25" customHeight="1">
      <c r="A92" s="216"/>
      <c r="B92" s="435"/>
      <c r="C92" s="156"/>
      <c r="D92" s="507"/>
      <c r="E92" s="528" t="s">
        <v>176</v>
      </c>
      <c r="F92" s="529"/>
      <c r="G92" s="530">
        <f>MROUND(G67*0.97,2.5)</f>
        <v>0</v>
      </c>
      <c r="H92" s="530">
        <f t="shared" si="9"/>
        <v>0</v>
      </c>
      <c r="I92" s="531">
        <f t="shared" ref="I92:I93" si="10">G92-G87</f>
        <v>0</v>
      </c>
      <c r="J92" s="531">
        <f>G92-G83</f>
        <v>-152.5</v>
      </c>
      <c r="K92" s="444"/>
      <c r="L92" s="444"/>
      <c r="M92" s="444"/>
      <c r="N92" s="444"/>
      <c r="O92" s="267"/>
      <c r="P92" s="267"/>
      <c r="Q92" s="267"/>
      <c r="R92" s="267"/>
      <c r="S92" s="216"/>
      <c r="T92" s="216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</row>
    <row r="93" ht="14.25" customHeight="1">
      <c r="A93" s="216"/>
      <c r="B93" s="435"/>
      <c r="C93" s="156"/>
      <c r="D93" s="510"/>
      <c r="E93" s="511" t="s">
        <v>177</v>
      </c>
      <c r="F93" s="510"/>
      <c r="G93" s="512">
        <f>MROUND(G67*0.98,2.5)</f>
        <v>0</v>
      </c>
      <c r="H93" s="512">
        <f t="shared" si="9"/>
        <v>0</v>
      </c>
      <c r="I93" s="512">
        <f t="shared" si="10"/>
        <v>0</v>
      </c>
      <c r="J93" s="512">
        <f>G93-G83</f>
        <v>-152.5</v>
      </c>
      <c r="K93" s="444"/>
      <c r="L93" s="444"/>
      <c r="M93" s="444"/>
      <c r="N93" s="444"/>
      <c r="O93" s="267"/>
      <c r="P93" s="267"/>
      <c r="Q93" s="267"/>
      <c r="R93" s="267"/>
      <c r="S93" s="216"/>
      <c r="T93" s="216"/>
      <c r="U93" s="216"/>
      <c r="V93" s="216"/>
      <c r="W93" s="216"/>
      <c r="X93" s="216"/>
      <c r="Y93" s="216"/>
      <c r="Z93" s="216"/>
      <c r="AA93" s="216"/>
      <c r="AB93" s="216"/>
      <c r="AC93" s="216"/>
      <c r="AD93" s="216"/>
      <c r="AE93" s="216"/>
      <c r="AF93" s="216"/>
    </row>
    <row r="94" ht="23.25" customHeight="1">
      <c r="A94" s="216"/>
      <c r="B94" s="435"/>
      <c r="C94" s="156"/>
      <c r="D94" s="513">
        <v>3.0</v>
      </c>
      <c r="E94" s="453"/>
      <c r="F94" s="453"/>
      <c r="G94" s="453"/>
      <c r="H94" s="453"/>
      <c r="I94" s="453"/>
      <c r="J94" s="453"/>
      <c r="K94" s="444"/>
      <c r="L94" s="444"/>
      <c r="M94" s="444"/>
      <c r="N94" s="444"/>
      <c r="O94" s="267"/>
      <c r="P94" s="267"/>
      <c r="Q94" s="267"/>
      <c r="R94" s="267"/>
      <c r="S94" s="216"/>
      <c r="T94" s="216"/>
      <c r="U94" s="216"/>
      <c r="V94" s="216"/>
      <c r="W94" s="216"/>
      <c r="X94" s="216"/>
      <c r="Y94" s="216"/>
      <c r="Z94" s="216"/>
      <c r="AA94" s="216"/>
      <c r="AB94" s="216"/>
      <c r="AC94" s="216"/>
      <c r="AD94" s="216"/>
      <c r="AE94" s="216"/>
      <c r="AF94" s="216"/>
    </row>
    <row r="95" ht="14.25" customHeight="1">
      <c r="A95" s="216"/>
      <c r="B95" s="435"/>
      <c r="C95" s="156"/>
      <c r="D95" s="500"/>
      <c r="E95" s="500"/>
      <c r="F95" s="500"/>
      <c r="G95" s="501" t="s">
        <v>137</v>
      </c>
      <c r="H95" s="501" t="s">
        <v>140</v>
      </c>
      <c r="I95" s="500"/>
      <c r="J95" s="501"/>
      <c r="K95" s="444"/>
      <c r="L95" s="444"/>
      <c r="M95" s="444"/>
      <c r="N95" s="444"/>
      <c r="O95" s="267"/>
      <c r="P95" s="267"/>
      <c r="Q95" s="267"/>
      <c r="R95" s="267"/>
      <c r="S95" s="216"/>
      <c r="T95" s="216"/>
      <c r="U95" s="216"/>
      <c r="V95" s="216"/>
      <c r="W95" s="216"/>
      <c r="X95" s="216"/>
      <c r="Y95" s="216"/>
      <c r="Z95" s="216"/>
      <c r="AA95" s="216"/>
      <c r="AB95" s="216"/>
      <c r="AC95" s="216"/>
      <c r="AD95" s="216"/>
      <c r="AE95" s="216"/>
      <c r="AF95" s="216"/>
    </row>
    <row r="96" ht="14.25" customHeight="1">
      <c r="A96" s="216"/>
      <c r="B96" s="435"/>
      <c r="C96" s="156"/>
      <c r="D96" s="503"/>
      <c r="E96" s="504" t="s">
        <v>175</v>
      </c>
      <c r="F96" s="503"/>
      <c r="G96" s="505">
        <f>MROUND(G67*0.99,2.5)</f>
        <v>0</v>
      </c>
      <c r="H96" s="505">
        <f t="shared" ref="H96:H98" si="11">MROUND(G96*2.2046,1)</f>
        <v>0</v>
      </c>
      <c r="I96" s="505"/>
      <c r="J96" s="505">
        <f>G96-G83</f>
        <v>-152.5</v>
      </c>
      <c r="K96" s="444"/>
      <c r="L96" s="444"/>
      <c r="M96" s="444"/>
      <c r="N96" s="444"/>
      <c r="O96" s="267"/>
      <c r="P96" s="267"/>
      <c r="Q96" s="267"/>
      <c r="R96" s="267"/>
      <c r="S96" s="216"/>
      <c r="T96" s="216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</row>
    <row r="97" ht="14.25" customHeight="1">
      <c r="A97" s="216"/>
      <c r="B97" s="435"/>
      <c r="C97" s="156"/>
      <c r="D97" s="507"/>
      <c r="E97" s="528" t="s">
        <v>176</v>
      </c>
      <c r="F97" s="529"/>
      <c r="G97" s="530">
        <f>MROUND(G67*1,2.5)</f>
        <v>0</v>
      </c>
      <c r="H97" s="530">
        <f t="shared" si="11"/>
        <v>0</v>
      </c>
      <c r="I97" s="531">
        <f>G97-G92</f>
        <v>0</v>
      </c>
      <c r="J97" s="531">
        <f>G97-G83</f>
        <v>-152.5</v>
      </c>
      <c r="K97" s="444"/>
      <c r="L97" s="444"/>
      <c r="M97" s="444"/>
      <c r="N97" s="444"/>
      <c r="O97" s="267"/>
      <c r="P97" s="267"/>
      <c r="Q97" s="267"/>
      <c r="R97" s="267"/>
      <c r="S97" s="216"/>
      <c r="T97" s="216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</row>
    <row r="98" ht="14.25" customHeight="1">
      <c r="A98" s="216"/>
      <c r="B98" s="435"/>
      <c r="C98" s="156"/>
      <c r="D98" s="510"/>
      <c r="E98" s="511" t="s">
        <v>177</v>
      </c>
      <c r="F98" s="510"/>
      <c r="G98" s="512">
        <f>MROUND(G67*1.01,2.5)</f>
        <v>0</v>
      </c>
      <c r="H98" s="512">
        <f t="shared" si="11"/>
        <v>0</v>
      </c>
      <c r="I98" s="512">
        <f>G98-G92</f>
        <v>0</v>
      </c>
      <c r="J98" s="512">
        <f>G98-G83</f>
        <v>-152.5</v>
      </c>
      <c r="K98" s="444"/>
      <c r="L98" s="444"/>
      <c r="M98" s="444"/>
      <c r="N98" s="444"/>
      <c r="O98" s="267"/>
      <c r="P98" s="267"/>
      <c r="Q98" s="267"/>
      <c r="R98" s="267"/>
      <c r="S98" s="216"/>
      <c r="T98" s="216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</row>
    <row r="99" ht="14.25" customHeight="1">
      <c r="A99" s="216"/>
      <c r="B99" s="435"/>
      <c r="C99" s="156"/>
      <c r="D99" s="500"/>
      <c r="E99" s="500"/>
      <c r="F99" s="500"/>
      <c r="G99" s="500"/>
      <c r="H99" s="500"/>
      <c r="I99" s="500"/>
      <c r="J99" s="501"/>
      <c r="K99" s="444"/>
      <c r="L99" s="444"/>
      <c r="M99" s="444"/>
      <c r="N99" s="444"/>
      <c r="O99" s="267"/>
      <c r="P99" s="267"/>
      <c r="Q99" s="267"/>
      <c r="R99" s="267"/>
      <c r="S99" s="216"/>
      <c r="T99" s="216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</row>
    <row r="100" ht="14.25" customHeight="1">
      <c r="A100" s="216"/>
      <c r="B100" s="435"/>
      <c r="C100" s="156"/>
      <c r="D100" s="500"/>
      <c r="E100" s="500"/>
      <c r="F100" s="500"/>
      <c r="G100" s="516" t="s">
        <v>137</v>
      </c>
      <c r="H100" s="501" t="s">
        <v>140</v>
      </c>
      <c r="I100" s="500"/>
      <c r="J100" s="501"/>
      <c r="K100" s="444"/>
      <c r="L100" s="444"/>
      <c r="M100" s="444"/>
      <c r="N100" s="444"/>
      <c r="O100" s="267"/>
      <c r="P100" s="267"/>
      <c r="Q100" s="267"/>
      <c r="R100" s="267"/>
      <c r="S100" s="216"/>
      <c r="T100" s="216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</row>
    <row r="101" ht="14.25" customHeight="1">
      <c r="A101" s="216"/>
      <c r="B101" s="435"/>
      <c r="C101" s="156"/>
      <c r="D101" s="500"/>
      <c r="E101" s="532" t="s">
        <v>178</v>
      </c>
      <c r="F101" s="453"/>
      <c r="G101" s="519"/>
      <c r="H101" s="520">
        <f>MROUND(G101*2.2046,1)</f>
        <v>0</v>
      </c>
      <c r="I101" s="533" t="s">
        <v>182</v>
      </c>
      <c r="J101" s="534">
        <f>G101+G62</f>
        <v>0</v>
      </c>
      <c r="K101" s="444"/>
      <c r="L101" s="444"/>
      <c r="M101" s="444"/>
      <c r="N101" s="444"/>
      <c r="O101" s="267"/>
      <c r="P101" s="267"/>
      <c r="Q101" s="267"/>
      <c r="R101" s="267"/>
      <c r="S101" s="216"/>
      <c r="T101" s="216"/>
      <c r="U101" s="216"/>
      <c r="V101" s="216"/>
      <c r="W101" s="216"/>
      <c r="X101" s="216"/>
      <c r="Y101" s="216"/>
      <c r="Z101" s="216"/>
      <c r="AA101" s="216"/>
      <c r="AB101" s="216"/>
      <c r="AC101" s="216"/>
      <c r="AD101" s="216"/>
      <c r="AE101" s="216"/>
      <c r="AF101" s="216"/>
    </row>
    <row r="102" ht="14.25" customHeight="1">
      <c r="A102" s="216"/>
      <c r="B102" s="435"/>
      <c r="C102" s="156"/>
      <c r="D102" s="460"/>
      <c r="E102" s="460"/>
      <c r="F102" s="460"/>
      <c r="G102" s="521"/>
      <c r="H102" s="460"/>
      <c r="I102" s="522" t="s">
        <v>183</v>
      </c>
      <c r="J102" s="463">
        <f>J101+H21</f>
        <v>0</v>
      </c>
      <c r="K102" s="444"/>
      <c r="L102" s="444"/>
      <c r="M102" s="444"/>
      <c r="N102" s="444"/>
      <c r="O102" s="267"/>
      <c r="P102" s="267"/>
      <c r="Q102" s="267"/>
      <c r="R102" s="267"/>
      <c r="S102" s="216"/>
      <c r="T102" s="216"/>
      <c r="U102" s="216"/>
      <c r="V102" s="216"/>
      <c r="W102" s="216"/>
      <c r="X102" s="216"/>
      <c r="Y102" s="216"/>
      <c r="Z102" s="216"/>
      <c r="AA102" s="216"/>
      <c r="AB102" s="216"/>
      <c r="AC102" s="216"/>
      <c r="AD102" s="216"/>
      <c r="AE102" s="216"/>
      <c r="AF102" s="216"/>
    </row>
    <row r="103" ht="23.25" customHeight="1">
      <c r="A103" s="216"/>
      <c r="B103" s="435"/>
      <c r="C103" s="156"/>
      <c r="D103" s="459" t="s">
        <v>184</v>
      </c>
      <c r="E103" s="453"/>
      <c r="F103" s="453"/>
      <c r="G103" s="453"/>
      <c r="H103" s="453"/>
      <c r="I103" s="453"/>
      <c r="J103" s="453"/>
      <c r="K103" s="444"/>
      <c r="L103" s="444"/>
      <c r="M103" s="444"/>
      <c r="N103" s="444"/>
      <c r="O103" s="267"/>
      <c r="P103" s="267"/>
      <c r="Q103" s="267"/>
      <c r="R103" s="267"/>
      <c r="S103" s="216"/>
      <c r="T103" s="216"/>
      <c r="U103" s="216"/>
      <c r="V103" s="216"/>
      <c r="W103" s="216"/>
      <c r="X103" s="216"/>
      <c r="Y103" s="216"/>
      <c r="Z103" s="216"/>
      <c r="AA103" s="216"/>
      <c r="AB103" s="216"/>
      <c r="AC103" s="216"/>
      <c r="AD103" s="216"/>
      <c r="AE103" s="216"/>
      <c r="AF103" s="216"/>
    </row>
    <row r="104" ht="14.25" customHeight="1">
      <c r="A104" s="216"/>
      <c r="B104" s="435"/>
      <c r="C104" s="156"/>
      <c r="D104" s="535"/>
      <c r="E104" s="536"/>
      <c r="F104" s="536"/>
      <c r="G104" s="537" t="s">
        <v>137</v>
      </c>
      <c r="H104" s="537" t="s">
        <v>140</v>
      </c>
      <c r="I104" s="536"/>
      <c r="J104" s="538"/>
      <c r="K104" s="444"/>
      <c r="L104" s="444"/>
      <c r="M104" s="444"/>
      <c r="N104" s="444"/>
      <c r="O104" s="267"/>
      <c r="P104" s="267"/>
      <c r="Q104" s="267"/>
      <c r="R104" s="267"/>
      <c r="S104" s="216"/>
      <c r="T104" s="216"/>
      <c r="U104" s="216"/>
      <c r="V104" s="216"/>
      <c r="W104" s="216"/>
      <c r="X104" s="216"/>
      <c r="Y104" s="216"/>
      <c r="Z104" s="216"/>
      <c r="AA104" s="216"/>
      <c r="AB104" s="216"/>
      <c r="AC104" s="216"/>
      <c r="AD104" s="216"/>
      <c r="AE104" s="216"/>
      <c r="AF104" s="216"/>
    </row>
    <row r="105" ht="15.75" customHeight="1">
      <c r="A105" s="216"/>
      <c r="B105" s="435"/>
      <c r="C105" s="156"/>
      <c r="D105" s="464"/>
      <c r="E105" s="465" t="s">
        <v>161</v>
      </c>
      <c r="G105" s="466">
        <f>trainingto1.18.25!O12</f>
        <v>265</v>
      </c>
      <c r="H105" s="467">
        <f t="shared" ref="H105:H107" si="12">MROUND(G105*2.2046,1)</f>
        <v>584</v>
      </c>
      <c r="I105" s="468"/>
      <c r="J105" s="469"/>
      <c r="K105" s="444"/>
      <c r="L105" s="444"/>
      <c r="M105" s="444"/>
      <c r="N105" s="444"/>
      <c r="O105" s="392"/>
      <c r="P105" s="392"/>
      <c r="Q105" s="392"/>
      <c r="R105" s="392"/>
      <c r="S105" s="392"/>
      <c r="T105" s="392"/>
      <c r="U105" s="392"/>
      <c r="V105" s="392"/>
      <c r="W105" s="392"/>
      <c r="X105" s="392"/>
      <c r="Y105" s="392"/>
      <c r="Z105" s="392"/>
      <c r="AA105" s="392"/>
      <c r="AB105" s="392"/>
      <c r="AC105" s="392"/>
      <c r="AD105" s="392"/>
      <c r="AE105" s="392"/>
      <c r="AF105" s="392"/>
    </row>
    <row r="106" ht="15.75" customHeight="1">
      <c r="A106" s="216"/>
      <c r="B106" s="435"/>
      <c r="C106" s="156"/>
      <c r="D106" s="470"/>
      <c r="E106" s="471" t="s">
        <v>162</v>
      </c>
      <c r="G106" s="472"/>
      <c r="H106" s="473">
        <f t="shared" si="12"/>
        <v>0</v>
      </c>
      <c r="I106" s="474"/>
      <c r="J106" s="475"/>
      <c r="K106" s="444"/>
      <c r="L106" s="444"/>
      <c r="M106" s="444"/>
      <c r="N106" s="444"/>
      <c r="O106" s="392"/>
      <c r="P106" s="392"/>
      <c r="Q106" s="392"/>
      <c r="R106" s="392"/>
      <c r="S106" s="392"/>
      <c r="T106" s="392"/>
      <c r="U106" s="392"/>
      <c r="V106" s="392"/>
      <c r="W106" s="392"/>
      <c r="X106" s="392"/>
      <c r="Y106" s="392"/>
      <c r="Z106" s="392"/>
      <c r="AA106" s="392"/>
      <c r="AB106" s="392"/>
      <c r="AC106" s="392"/>
      <c r="AD106" s="392"/>
      <c r="AE106" s="392"/>
      <c r="AF106" s="392"/>
    </row>
    <row r="107" ht="15.75" customHeight="1">
      <c r="A107" s="216"/>
      <c r="B107" s="435"/>
      <c r="C107" s="156"/>
      <c r="D107" s="539"/>
      <c r="E107" s="485" t="s">
        <v>163</v>
      </c>
      <c r="F107" s="453"/>
      <c r="G107" s="540"/>
      <c r="H107" s="467">
        <f t="shared" si="12"/>
        <v>0</v>
      </c>
      <c r="I107" s="541"/>
      <c r="J107" s="542"/>
      <c r="K107" s="444"/>
      <c r="L107" s="444"/>
      <c r="M107" s="444"/>
      <c r="N107" s="444"/>
      <c r="O107" s="392"/>
      <c r="P107" s="392"/>
      <c r="Q107" s="392"/>
      <c r="R107" s="392"/>
      <c r="S107" s="392"/>
      <c r="T107" s="392"/>
      <c r="U107" s="392"/>
      <c r="V107" s="392"/>
      <c r="W107" s="392"/>
      <c r="X107" s="392"/>
      <c r="Y107" s="392"/>
      <c r="Z107" s="392"/>
      <c r="AA107" s="392"/>
      <c r="AB107" s="392"/>
      <c r="AC107" s="392"/>
      <c r="AD107" s="392"/>
      <c r="AE107" s="392"/>
      <c r="AF107" s="392"/>
    </row>
    <row r="108" ht="18.75" customHeight="1">
      <c r="A108" s="216"/>
      <c r="B108" s="435"/>
      <c r="C108" s="156"/>
      <c r="D108" s="476" t="s">
        <v>164</v>
      </c>
      <c r="E108" s="453"/>
      <c r="F108" s="453"/>
      <c r="G108" s="453"/>
      <c r="H108" s="453"/>
      <c r="I108" s="453"/>
      <c r="J108" s="453"/>
      <c r="K108" s="444"/>
      <c r="L108" s="444"/>
      <c r="M108" s="444"/>
      <c r="N108" s="444"/>
      <c r="O108" s="392"/>
      <c r="P108" s="392"/>
      <c r="Q108" s="392"/>
      <c r="R108" s="392"/>
      <c r="S108" s="392"/>
      <c r="T108" s="392"/>
      <c r="U108" s="392"/>
      <c r="V108" s="392"/>
      <c r="W108" s="392"/>
      <c r="X108" s="392"/>
      <c r="Y108" s="392"/>
      <c r="Z108" s="392"/>
      <c r="AA108" s="392"/>
      <c r="AB108" s="392"/>
      <c r="AC108" s="392"/>
      <c r="AD108" s="392"/>
      <c r="AE108" s="392"/>
      <c r="AF108" s="392"/>
    </row>
    <row r="109" ht="15.75" customHeight="1">
      <c r="A109" s="216"/>
      <c r="B109" s="435"/>
      <c r="C109" s="156"/>
      <c r="D109" s="477"/>
      <c r="E109" s="478" t="s">
        <v>165</v>
      </c>
      <c r="F109" s="481" t="s">
        <v>137</v>
      </c>
      <c r="G109" s="481" t="s">
        <v>140</v>
      </c>
      <c r="H109" s="481" t="s">
        <v>166</v>
      </c>
      <c r="I109" s="524" t="s">
        <v>167</v>
      </c>
      <c r="J109" s="492"/>
      <c r="K109" s="444"/>
      <c r="L109" s="444"/>
      <c r="M109" s="444"/>
      <c r="N109" s="444"/>
      <c r="O109" s="392"/>
      <c r="P109" s="392"/>
      <c r="Q109" s="392"/>
      <c r="R109" s="392"/>
      <c r="S109" s="392"/>
      <c r="T109" s="392"/>
      <c r="U109" s="392"/>
      <c r="V109" s="392"/>
      <c r="W109" s="392"/>
      <c r="X109" s="392"/>
      <c r="Y109" s="392"/>
      <c r="Z109" s="392"/>
      <c r="AA109" s="392"/>
      <c r="AB109" s="392"/>
      <c r="AC109" s="392"/>
      <c r="AD109" s="392"/>
      <c r="AE109" s="392"/>
      <c r="AF109" s="392"/>
    </row>
    <row r="110" ht="15.75" customHeight="1">
      <c r="A110" s="216"/>
      <c r="B110" s="435"/>
      <c r="C110" s="156"/>
      <c r="D110" s="482">
        <v>1.0</v>
      </c>
      <c r="E110" s="474"/>
      <c r="F110" s="472">
        <v>120.0</v>
      </c>
      <c r="G110" s="473">
        <f t="shared" ref="G110:G117" si="13">MROUND(F110*2.2046,1)</f>
        <v>265</v>
      </c>
      <c r="H110" s="472">
        <v>5.0</v>
      </c>
      <c r="I110" s="525" t="s">
        <v>169</v>
      </c>
      <c r="J110" s="475"/>
      <c r="K110" s="444"/>
      <c r="L110" s="444"/>
      <c r="M110" s="444"/>
      <c r="N110" s="444"/>
      <c r="O110" s="392"/>
      <c r="P110" s="392"/>
      <c r="Q110" s="392"/>
      <c r="R110" s="392"/>
      <c r="S110" s="392"/>
      <c r="T110" s="392"/>
      <c r="U110" s="392"/>
      <c r="V110" s="392"/>
      <c r="W110" s="392"/>
      <c r="X110" s="392"/>
      <c r="Y110" s="392"/>
      <c r="Z110" s="392"/>
      <c r="AA110" s="392"/>
      <c r="AB110" s="392"/>
      <c r="AC110" s="392"/>
      <c r="AD110" s="392"/>
      <c r="AE110" s="392"/>
      <c r="AF110" s="392"/>
    </row>
    <row r="111" ht="15.75" customHeight="1">
      <c r="A111" s="216"/>
      <c r="B111" s="435"/>
      <c r="C111" s="156"/>
      <c r="D111" s="485">
        <v>2.0</v>
      </c>
      <c r="E111" s="468"/>
      <c r="F111" s="466">
        <v>170.0</v>
      </c>
      <c r="G111" s="467">
        <f t="shared" si="13"/>
        <v>375</v>
      </c>
      <c r="H111" s="466">
        <v>3.0</v>
      </c>
      <c r="I111" s="468"/>
      <c r="J111" s="469"/>
      <c r="K111" s="444"/>
      <c r="L111" s="444"/>
      <c r="M111" s="444"/>
      <c r="N111" s="444"/>
      <c r="O111" s="392"/>
      <c r="P111" s="392"/>
      <c r="Q111" s="392"/>
      <c r="R111" s="392"/>
      <c r="S111" s="392"/>
      <c r="T111" s="392"/>
      <c r="U111" s="392"/>
      <c r="V111" s="392"/>
      <c r="W111" s="392"/>
      <c r="X111" s="392"/>
      <c r="Y111" s="392"/>
      <c r="Z111" s="392"/>
      <c r="AA111" s="392"/>
      <c r="AB111" s="392"/>
      <c r="AC111" s="392"/>
      <c r="AD111" s="392"/>
      <c r="AE111" s="392"/>
      <c r="AF111" s="392"/>
    </row>
    <row r="112" ht="15.75" customHeight="1">
      <c r="A112" s="216"/>
      <c r="B112" s="435"/>
      <c r="C112" s="156"/>
      <c r="D112" s="482">
        <v>3.0</v>
      </c>
      <c r="E112" s="474"/>
      <c r="F112" s="472">
        <v>220.0</v>
      </c>
      <c r="G112" s="473">
        <f t="shared" si="13"/>
        <v>485</v>
      </c>
      <c r="H112" s="472">
        <v>3.0</v>
      </c>
      <c r="I112" s="474"/>
      <c r="J112" s="475"/>
      <c r="K112" s="444"/>
      <c r="L112" s="444"/>
      <c r="M112" s="444"/>
      <c r="N112" s="444"/>
      <c r="O112" s="392"/>
      <c r="P112" s="392"/>
      <c r="Q112" s="392"/>
      <c r="R112" s="392"/>
      <c r="S112" s="392"/>
      <c r="T112" s="392"/>
      <c r="U112" s="392"/>
      <c r="V112" s="392"/>
      <c r="W112" s="392"/>
      <c r="X112" s="392"/>
      <c r="Y112" s="392"/>
      <c r="Z112" s="392"/>
      <c r="AA112" s="392"/>
      <c r="AB112" s="392"/>
      <c r="AC112" s="392"/>
      <c r="AD112" s="392"/>
      <c r="AE112" s="392"/>
      <c r="AF112" s="392"/>
    </row>
    <row r="113" ht="15.75" customHeight="1">
      <c r="A113" s="216"/>
      <c r="B113" s="435"/>
      <c r="C113" s="156"/>
      <c r="D113" s="485">
        <v>4.0</v>
      </c>
      <c r="E113" s="468"/>
      <c r="F113" s="466">
        <v>270.0</v>
      </c>
      <c r="G113" s="467">
        <f t="shared" si="13"/>
        <v>595</v>
      </c>
      <c r="H113" s="466">
        <v>1.0</v>
      </c>
      <c r="I113" s="468"/>
      <c r="J113" s="469"/>
      <c r="K113" s="444"/>
      <c r="L113" s="444"/>
      <c r="M113" s="444"/>
      <c r="N113" s="444"/>
      <c r="O113" s="392"/>
      <c r="P113" s="392"/>
      <c r="Q113" s="392"/>
      <c r="R113" s="392"/>
      <c r="S113" s="392"/>
      <c r="T113" s="392"/>
      <c r="U113" s="392"/>
      <c r="V113" s="392"/>
      <c r="W113" s="392"/>
      <c r="X113" s="392"/>
      <c r="Y113" s="392"/>
      <c r="Z113" s="392"/>
      <c r="AA113" s="392"/>
      <c r="AB113" s="392"/>
      <c r="AC113" s="392"/>
      <c r="AD113" s="392"/>
      <c r="AE113" s="392"/>
      <c r="AF113" s="392"/>
    </row>
    <row r="114" ht="15.75" customHeight="1">
      <c r="A114" s="216"/>
      <c r="B114" s="435"/>
      <c r="C114" s="156"/>
      <c r="D114" s="482">
        <v>5.0</v>
      </c>
      <c r="E114" s="474"/>
      <c r="F114" s="472">
        <v>290.0</v>
      </c>
      <c r="G114" s="473">
        <f t="shared" si="13"/>
        <v>639</v>
      </c>
      <c r="H114" s="472">
        <v>1.0</v>
      </c>
      <c r="I114" s="525" t="s">
        <v>170</v>
      </c>
      <c r="J114" s="475"/>
      <c r="K114" s="444"/>
      <c r="L114" s="444"/>
      <c r="M114" s="444"/>
      <c r="N114" s="444"/>
      <c r="O114" s="392"/>
      <c r="P114" s="392"/>
      <c r="Q114" s="392"/>
      <c r="R114" s="392"/>
      <c r="S114" s="392"/>
      <c r="T114" s="392"/>
      <c r="U114" s="392"/>
      <c r="V114" s="392"/>
      <c r="W114" s="392"/>
      <c r="X114" s="392"/>
      <c r="Y114" s="392"/>
      <c r="Z114" s="392"/>
      <c r="AA114" s="392"/>
      <c r="AB114" s="392"/>
      <c r="AC114" s="392"/>
      <c r="AD114" s="392"/>
      <c r="AE114" s="392"/>
      <c r="AF114" s="392"/>
    </row>
    <row r="115" ht="15.75" customHeight="1">
      <c r="A115" s="216"/>
      <c r="B115" s="435"/>
      <c r="C115" s="156"/>
      <c r="D115" s="485">
        <v>6.0</v>
      </c>
      <c r="E115" s="468"/>
      <c r="F115" s="466"/>
      <c r="G115" s="467">
        <f t="shared" si="13"/>
        <v>0</v>
      </c>
      <c r="H115" s="466"/>
      <c r="I115" s="468"/>
      <c r="J115" s="469"/>
      <c r="K115" s="444"/>
      <c r="L115" s="444"/>
      <c r="M115" s="444"/>
      <c r="N115" s="444"/>
      <c r="O115" s="392"/>
      <c r="P115" s="392"/>
      <c r="Q115" s="392"/>
      <c r="R115" s="392"/>
      <c r="S115" s="392"/>
      <c r="T115" s="392"/>
      <c r="U115" s="392"/>
      <c r="V115" s="392"/>
      <c r="W115" s="392"/>
      <c r="X115" s="392"/>
      <c r="Y115" s="392"/>
      <c r="Z115" s="392"/>
      <c r="AA115" s="392"/>
      <c r="AB115" s="392"/>
      <c r="AC115" s="392"/>
      <c r="AD115" s="392"/>
      <c r="AE115" s="392"/>
      <c r="AF115" s="392"/>
    </row>
    <row r="116" ht="15.75" customHeight="1">
      <c r="A116" s="216"/>
      <c r="B116" s="435"/>
      <c r="C116" s="156"/>
      <c r="D116" s="482">
        <v>7.0</v>
      </c>
      <c r="E116" s="474"/>
      <c r="F116" s="472"/>
      <c r="G116" s="473">
        <f t="shared" si="13"/>
        <v>0</v>
      </c>
      <c r="H116" s="472"/>
      <c r="I116" s="474"/>
      <c r="J116" s="475"/>
      <c r="K116" s="444"/>
      <c r="L116" s="444"/>
      <c r="M116" s="444"/>
      <c r="N116" s="444"/>
      <c r="O116" s="392"/>
      <c r="P116" s="392"/>
      <c r="Q116" s="392"/>
      <c r="R116" s="392"/>
      <c r="S116" s="392"/>
      <c r="T116" s="392"/>
      <c r="U116" s="392"/>
      <c r="V116" s="392"/>
      <c r="W116" s="392"/>
      <c r="X116" s="392"/>
      <c r="Y116" s="392"/>
      <c r="Z116" s="392"/>
      <c r="AA116" s="392"/>
      <c r="AB116" s="392"/>
      <c r="AC116" s="392"/>
      <c r="AD116" s="392"/>
      <c r="AE116" s="392"/>
      <c r="AF116" s="392"/>
    </row>
    <row r="117" ht="15.75" customHeight="1">
      <c r="A117" s="216"/>
      <c r="B117" s="435"/>
      <c r="C117" s="156"/>
      <c r="D117" s="485">
        <v>8.0</v>
      </c>
      <c r="E117" s="468"/>
      <c r="F117" s="466"/>
      <c r="G117" s="467">
        <f t="shared" si="13"/>
        <v>0</v>
      </c>
      <c r="H117" s="466"/>
      <c r="I117" s="468"/>
      <c r="J117" s="469"/>
      <c r="K117" s="444"/>
      <c r="L117" s="444"/>
      <c r="M117" s="444"/>
      <c r="N117" s="444"/>
      <c r="O117" s="392"/>
      <c r="P117" s="392"/>
      <c r="Q117" s="392"/>
      <c r="R117" s="392"/>
      <c r="S117" s="392"/>
      <c r="T117" s="392"/>
      <c r="U117" s="392"/>
      <c r="V117" s="392"/>
      <c r="W117" s="392"/>
      <c r="X117" s="392"/>
      <c r="Y117" s="392"/>
      <c r="Z117" s="392"/>
      <c r="AA117" s="392"/>
      <c r="AB117" s="392"/>
      <c r="AC117" s="392"/>
      <c r="AD117" s="392"/>
      <c r="AE117" s="392"/>
      <c r="AF117" s="392"/>
    </row>
    <row r="118" ht="15.75" customHeight="1">
      <c r="A118" s="216"/>
      <c r="B118" s="435"/>
      <c r="C118" s="156"/>
      <c r="D118" s="488"/>
      <c r="E118" s="489"/>
      <c r="F118" s="489"/>
      <c r="G118" s="489"/>
      <c r="H118" s="489"/>
      <c r="I118" s="489"/>
      <c r="J118" s="498"/>
      <c r="K118" s="444"/>
      <c r="L118" s="444"/>
      <c r="M118" s="444"/>
      <c r="N118" s="444"/>
      <c r="O118" s="392"/>
      <c r="P118" s="392"/>
      <c r="Q118" s="392"/>
      <c r="R118" s="392"/>
      <c r="S118" s="392"/>
      <c r="T118" s="392"/>
      <c r="U118" s="392"/>
      <c r="V118" s="392"/>
      <c r="W118" s="392"/>
      <c r="X118" s="392"/>
      <c r="Y118" s="392"/>
      <c r="Z118" s="392"/>
      <c r="AA118" s="392"/>
      <c r="AB118" s="392"/>
      <c r="AC118" s="392"/>
      <c r="AD118" s="392"/>
      <c r="AE118" s="392"/>
      <c r="AF118" s="392"/>
    </row>
    <row r="119" ht="15.75" customHeight="1">
      <c r="A119" s="216"/>
      <c r="B119" s="435"/>
      <c r="C119" s="156"/>
      <c r="D119" s="477"/>
      <c r="E119" s="491" t="s">
        <v>171</v>
      </c>
      <c r="F119" s="492">
        <f>G127</f>
        <v>0</v>
      </c>
      <c r="G119" s="492">
        <f>MROUND(F119*2.2046,1)</f>
        <v>0</v>
      </c>
      <c r="H119" s="477"/>
      <c r="I119" s="477"/>
      <c r="J119" s="492"/>
      <c r="K119" s="444"/>
      <c r="L119" s="444"/>
      <c r="M119" s="444"/>
      <c r="N119" s="444"/>
      <c r="O119" s="392"/>
      <c r="P119" s="392"/>
      <c r="Q119" s="392"/>
      <c r="R119" s="392"/>
      <c r="S119" s="392"/>
      <c r="T119" s="392"/>
      <c r="U119" s="392"/>
      <c r="V119" s="392"/>
      <c r="W119" s="392"/>
      <c r="X119" s="392"/>
      <c r="Y119" s="392"/>
      <c r="Z119" s="392"/>
      <c r="AA119" s="392"/>
      <c r="AB119" s="392"/>
      <c r="AC119" s="392"/>
      <c r="AD119" s="392"/>
      <c r="AE119" s="392"/>
      <c r="AF119" s="392"/>
    </row>
    <row r="120" ht="23.25" customHeight="1">
      <c r="A120" s="216"/>
      <c r="B120" s="435"/>
      <c r="C120" s="156"/>
      <c r="D120" s="493" t="s">
        <v>185</v>
      </c>
      <c r="E120" s="453"/>
      <c r="F120" s="453"/>
      <c r="G120" s="453"/>
      <c r="H120" s="453"/>
      <c r="I120" s="453"/>
      <c r="J120" s="453"/>
      <c r="K120" s="444"/>
      <c r="L120" s="444"/>
      <c r="M120" s="444"/>
      <c r="N120" s="444"/>
      <c r="O120" s="392"/>
      <c r="P120" s="392"/>
      <c r="Q120" s="392"/>
      <c r="R120" s="392"/>
      <c r="S120" s="392"/>
      <c r="T120" s="392"/>
      <c r="U120" s="392"/>
      <c r="V120" s="392"/>
      <c r="W120" s="392"/>
      <c r="X120" s="392"/>
      <c r="Y120" s="392"/>
      <c r="Z120" s="392"/>
      <c r="AA120" s="392"/>
      <c r="AB120" s="392"/>
      <c r="AC120" s="392"/>
      <c r="AD120" s="392"/>
      <c r="AE120" s="392"/>
      <c r="AF120" s="392"/>
    </row>
    <row r="121" ht="15.75" customHeight="1">
      <c r="A121" s="216"/>
      <c r="B121" s="435"/>
      <c r="C121" s="156"/>
      <c r="D121" s="477"/>
      <c r="E121" s="524"/>
      <c r="F121" s="524"/>
      <c r="G121" s="543" t="s">
        <v>137</v>
      </c>
      <c r="H121" s="543" t="s">
        <v>140</v>
      </c>
      <c r="I121" s="477"/>
      <c r="J121" s="492"/>
      <c r="K121" s="444"/>
      <c r="L121" s="444"/>
      <c r="M121" s="444"/>
      <c r="N121" s="444"/>
      <c r="O121" s="392"/>
      <c r="P121" s="392"/>
      <c r="Q121" s="392"/>
      <c r="R121" s="392"/>
      <c r="S121" s="392"/>
      <c r="T121" s="392"/>
      <c r="U121" s="392"/>
      <c r="V121" s="392"/>
      <c r="W121" s="392"/>
      <c r="X121" s="392"/>
      <c r="Y121" s="392"/>
      <c r="Z121" s="392"/>
      <c r="AA121" s="392"/>
      <c r="AB121" s="392"/>
      <c r="AC121" s="392"/>
      <c r="AD121" s="392"/>
      <c r="AE121" s="392"/>
      <c r="AF121" s="392"/>
    </row>
    <row r="122" ht="15.75" customHeight="1">
      <c r="A122" s="216"/>
      <c r="B122" s="435"/>
      <c r="C122" s="156"/>
      <c r="D122" s="470"/>
      <c r="E122" s="544" t="s">
        <v>161</v>
      </c>
      <c r="G122" s="545">
        <f>G105</f>
        <v>265</v>
      </c>
      <c r="H122" s="545">
        <f t="shared" ref="H122:H123" si="14">MROUND(G122*2.2046,1)</f>
        <v>584</v>
      </c>
      <c r="I122" s="546"/>
      <c r="J122" s="498"/>
      <c r="K122" s="444"/>
      <c r="L122" s="444"/>
      <c r="M122" s="444"/>
      <c r="N122" s="444"/>
      <c r="O122" s="392"/>
      <c r="P122" s="392"/>
      <c r="Q122" s="392"/>
      <c r="R122" s="392"/>
      <c r="S122" s="392"/>
      <c r="T122" s="392"/>
      <c r="U122" s="392"/>
      <c r="V122" s="392"/>
      <c r="W122" s="392"/>
      <c r="X122" s="392"/>
      <c r="Y122" s="392"/>
      <c r="Z122" s="392"/>
      <c r="AA122" s="392"/>
      <c r="AB122" s="392"/>
      <c r="AC122" s="392"/>
      <c r="AD122" s="392"/>
      <c r="AE122" s="392"/>
      <c r="AF122" s="392"/>
    </row>
    <row r="123" ht="15.75" customHeight="1">
      <c r="A123" s="216"/>
      <c r="B123" s="435"/>
      <c r="C123" s="156"/>
      <c r="D123" s="464"/>
      <c r="E123" s="547" t="s">
        <v>186</v>
      </c>
      <c r="G123" s="548">
        <f>trainingto1.18.25!O13</f>
        <v>660</v>
      </c>
      <c r="H123" s="549">
        <f t="shared" si="14"/>
        <v>1455</v>
      </c>
      <c r="I123" s="550"/>
      <c r="J123" s="492"/>
      <c r="K123" s="551"/>
      <c r="L123" s="444"/>
      <c r="M123" s="444"/>
      <c r="N123" s="444"/>
      <c r="O123" s="392"/>
      <c r="P123" s="392"/>
      <c r="Q123" s="392"/>
      <c r="R123" s="392"/>
      <c r="S123" s="392"/>
      <c r="T123" s="392"/>
      <c r="U123" s="392"/>
      <c r="V123" s="392"/>
      <c r="W123" s="392"/>
      <c r="X123" s="392"/>
      <c r="Y123" s="392"/>
      <c r="Z123" s="392"/>
      <c r="AA123" s="392"/>
      <c r="AB123" s="392"/>
      <c r="AC123" s="392"/>
      <c r="AD123" s="392"/>
      <c r="AE123" s="392"/>
      <c r="AF123" s="392"/>
    </row>
    <row r="124" ht="23.25" customHeight="1">
      <c r="A124" s="216"/>
      <c r="B124" s="435"/>
      <c r="C124" s="156"/>
      <c r="D124" s="499">
        <v>1.0</v>
      </c>
      <c r="E124" s="453"/>
      <c r="F124" s="453"/>
      <c r="G124" s="453"/>
      <c r="H124" s="453"/>
      <c r="I124" s="453"/>
      <c r="J124" s="453"/>
      <c r="K124" s="500"/>
      <c r="L124" s="444"/>
      <c r="M124" s="444"/>
      <c r="N124" s="444"/>
      <c r="O124" s="392"/>
      <c r="P124" s="392"/>
      <c r="Q124" s="392"/>
      <c r="R124" s="392"/>
      <c r="S124" s="392"/>
      <c r="T124" s="392"/>
      <c r="U124" s="392"/>
      <c r="V124" s="392"/>
      <c r="W124" s="392"/>
      <c r="X124" s="392"/>
      <c r="Y124" s="392"/>
      <c r="Z124" s="392"/>
      <c r="AA124" s="392"/>
      <c r="AB124" s="392"/>
      <c r="AC124" s="392"/>
      <c r="AD124" s="392"/>
      <c r="AE124" s="392"/>
      <c r="AF124" s="392"/>
    </row>
    <row r="125" ht="15.75" customHeight="1">
      <c r="A125" s="216"/>
      <c r="B125" s="435"/>
      <c r="C125" s="156"/>
      <c r="D125" s="500"/>
      <c r="E125" s="500"/>
      <c r="F125" s="500"/>
      <c r="G125" s="501" t="s">
        <v>137</v>
      </c>
      <c r="H125" s="501" t="s">
        <v>140</v>
      </c>
      <c r="I125" s="501"/>
      <c r="J125" s="502" t="s">
        <v>173</v>
      </c>
      <c r="K125" s="502" t="s">
        <v>187</v>
      </c>
      <c r="L125" s="444"/>
      <c r="M125" s="444"/>
      <c r="N125" s="444"/>
      <c r="O125" s="392"/>
      <c r="P125" s="392"/>
      <c r="Q125" s="392"/>
      <c r="R125" s="392"/>
      <c r="S125" s="392"/>
      <c r="T125" s="392"/>
      <c r="U125" s="392"/>
      <c r="V125" s="392"/>
      <c r="W125" s="392"/>
      <c r="X125" s="392"/>
      <c r="Y125" s="392"/>
      <c r="Z125" s="392"/>
      <c r="AA125" s="392"/>
      <c r="AB125" s="392"/>
      <c r="AC125" s="392"/>
      <c r="AD125" s="392"/>
      <c r="AE125" s="392"/>
      <c r="AF125" s="392"/>
    </row>
    <row r="126" ht="15.75" customHeight="1">
      <c r="A126" s="216"/>
      <c r="B126" s="435"/>
      <c r="C126" s="156"/>
      <c r="D126" s="503"/>
      <c r="E126" s="504" t="s">
        <v>174</v>
      </c>
      <c r="F126" s="503"/>
      <c r="G126" s="505">
        <f>MROUND(G106*0.91,2.5)</f>
        <v>0</v>
      </c>
      <c r="H126" s="505">
        <f t="shared" ref="H126:H128" si="15">MROUND(G126*2.2046,1)</f>
        <v>0</v>
      </c>
      <c r="I126" s="505"/>
      <c r="J126" s="505">
        <f>G126-G122</f>
        <v>-265</v>
      </c>
      <c r="K126" s="505">
        <f>E140+G126-G123</f>
        <v>-660</v>
      </c>
      <c r="L126" s="444"/>
      <c r="M126" s="444"/>
      <c r="N126" s="444"/>
      <c r="O126" s="392"/>
      <c r="P126" s="392"/>
      <c r="Q126" s="392"/>
      <c r="R126" s="392"/>
      <c r="S126" s="392"/>
      <c r="T126" s="392"/>
      <c r="U126" s="392"/>
      <c r="V126" s="392"/>
      <c r="W126" s="392"/>
      <c r="X126" s="392"/>
      <c r="Y126" s="392"/>
      <c r="Z126" s="392"/>
      <c r="AA126" s="392"/>
      <c r="AB126" s="392"/>
      <c r="AC126" s="392"/>
      <c r="AD126" s="392"/>
      <c r="AE126" s="392"/>
      <c r="AF126" s="392"/>
    </row>
    <row r="127" ht="15.75" customHeight="1">
      <c r="A127" s="216"/>
      <c r="B127" s="435"/>
      <c r="C127" s="156"/>
      <c r="D127" s="507"/>
      <c r="E127" s="528" t="s">
        <v>174</v>
      </c>
      <c r="F127" s="529"/>
      <c r="G127" s="530">
        <f>MROUND(G106*0.91,2.5)</f>
        <v>0</v>
      </c>
      <c r="H127" s="530">
        <f t="shared" si="15"/>
        <v>0</v>
      </c>
      <c r="I127" s="531"/>
      <c r="J127" s="531">
        <f>G127-G122</f>
        <v>-265</v>
      </c>
      <c r="K127" s="531">
        <f>E140+G127-G123</f>
        <v>-660</v>
      </c>
      <c r="L127" s="444"/>
      <c r="M127" s="444"/>
      <c r="N127" s="444"/>
      <c r="O127" s="392"/>
      <c r="P127" s="392"/>
      <c r="Q127" s="392"/>
      <c r="R127" s="392"/>
      <c r="S127" s="392"/>
      <c r="T127" s="392"/>
      <c r="U127" s="392"/>
      <c r="V127" s="392"/>
      <c r="W127" s="392"/>
      <c r="X127" s="392"/>
      <c r="Y127" s="392"/>
      <c r="Z127" s="392"/>
      <c r="AA127" s="392"/>
      <c r="AB127" s="392"/>
      <c r="AC127" s="392"/>
      <c r="AD127" s="392"/>
      <c r="AE127" s="392"/>
      <c r="AF127" s="392"/>
    </row>
    <row r="128" ht="15.75" customHeight="1">
      <c r="A128" s="216"/>
      <c r="B128" s="435"/>
      <c r="C128" s="156"/>
      <c r="D128" s="510"/>
      <c r="E128" s="511" t="s">
        <v>174</v>
      </c>
      <c r="F128" s="510"/>
      <c r="G128" s="512">
        <f>MROUND(G106*0.91,2.5)</f>
        <v>0</v>
      </c>
      <c r="H128" s="512">
        <f t="shared" si="15"/>
        <v>0</v>
      </c>
      <c r="I128" s="512"/>
      <c r="J128" s="512">
        <f>G128-G122</f>
        <v>-265</v>
      </c>
      <c r="K128" s="512">
        <f>E140+G128-G123</f>
        <v>-660</v>
      </c>
      <c r="L128" s="444"/>
      <c r="M128" s="444"/>
      <c r="N128" s="444"/>
      <c r="O128" s="392"/>
      <c r="P128" s="392"/>
      <c r="Q128" s="392"/>
      <c r="R128" s="392"/>
      <c r="S128" s="392"/>
      <c r="T128" s="392"/>
      <c r="U128" s="392"/>
      <c r="V128" s="392"/>
      <c r="W128" s="392"/>
      <c r="X128" s="392"/>
      <c r="Y128" s="392"/>
      <c r="Z128" s="392"/>
      <c r="AA128" s="392"/>
      <c r="AB128" s="392"/>
      <c r="AC128" s="392"/>
      <c r="AD128" s="392"/>
      <c r="AE128" s="392"/>
      <c r="AF128" s="392"/>
    </row>
    <row r="129" ht="23.25" customHeight="1">
      <c r="A129" s="216"/>
      <c r="B129" s="435"/>
      <c r="C129" s="156"/>
      <c r="D129" s="499">
        <v>2.0</v>
      </c>
      <c r="E129" s="453"/>
      <c r="F129" s="453"/>
      <c r="G129" s="453"/>
      <c r="H129" s="453"/>
      <c r="I129" s="453"/>
      <c r="J129" s="453"/>
      <c r="K129" s="500"/>
      <c r="L129" s="552" t="s">
        <v>188</v>
      </c>
      <c r="M129" s="553">
        <f>G101+G62</f>
        <v>0</v>
      </c>
      <c r="N129" s="554"/>
      <c r="O129" s="555"/>
      <c r="P129" s="392"/>
      <c r="Q129" s="392"/>
      <c r="R129" s="392"/>
      <c r="S129" s="392"/>
      <c r="T129" s="392"/>
      <c r="U129" s="392"/>
      <c r="V129" s="392"/>
      <c r="W129" s="392"/>
      <c r="X129" s="392"/>
      <c r="Y129" s="392"/>
      <c r="Z129" s="392"/>
      <c r="AA129" s="392"/>
      <c r="AB129" s="392"/>
      <c r="AC129" s="392"/>
      <c r="AD129" s="392"/>
      <c r="AE129" s="392"/>
      <c r="AF129" s="392"/>
    </row>
    <row r="130" ht="15.75" customHeight="1">
      <c r="A130" s="216"/>
      <c r="B130" s="435"/>
      <c r="C130" s="156"/>
      <c r="D130" s="500"/>
      <c r="E130" s="500"/>
      <c r="F130" s="500"/>
      <c r="G130" s="501" t="s">
        <v>137</v>
      </c>
      <c r="H130" s="501" t="s">
        <v>140</v>
      </c>
      <c r="I130" s="501"/>
      <c r="J130" s="501"/>
      <c r="K130" s="500"/>
      <c r="L130" s="556" t="s">
        <v>189</v>
      </c>
      <c r="M130" s="83"/>
      <c r="N130" s="83"/>
      <c r="O130" s="83"/>
      <c r="P130" s="392"/>
      <c r="Q130" s="392"/>
      <c r="R130" s="392"/>
      <c r="S130" s="392"/>
      <c r="T130" s="392"/>
      <c r="U130" s="392"/>
      <c r="V130" s="392"/>
      <c r="W130" s="392"/>
      <c r="X130" s="392"/>
      <c r="Y130" s="392"/>
      <c r="Z130" s="392"/>
      <c r="AA130" s="392"/>
      <c r="AB130" s="392"/>
      <c r="AC130" s="392"/>
      <c r="AD130" s="392"/>
      <c r="AE130" s="392"/>
      <c r="AF130" s="392"/>
    </row>
    <row r="131" ht="15.75" customHeight="1">
      <c r="A131" s="216"/>
      <c r="B131" s="435"/>
      <c r="C131" s="156"/>
      <c r="D131" s="503"/>
      <c r="E131" s="504" t="s">
        <v>175</v>
      </c>
      <c r="F131" s="503"/>
      <c r="G131" s="505">
        <f>MROUND(G106*0.94,2.5)</f>
        <v>0</v>
      </c>
      <c r="H131" s="505">
        <f t="shared" ref="H131:H133" si="16">MROUND(G131*2.2046,1)</f>
        <v>0</v>
      </c>
      <c r="I131" s="505"/>
      <c r="J131" s="505">
        <f>G131-G122</f>
        <v>-265</v>
      </c>
      <c r="K131" s="557">
        <f>E140+G131-G123</f>
        <v>-660</v>
      </c>
      <c r="L131" s="558" t="s">
        <v>190</v>
      </c>
      <c r="M131" s="558" t="s">
        <v>191</v>
      </c>
      <c r="N131" s="335"/>
      <c r="O131" s="283"/>
      <c r="P131" s="392"/>
      <c r="Q131" s="392"/>
      <c r="R131" s="392"/>
      <c r="S131" s="392"/>
      <c r="T131" s="392"/>
      <c r="U131" s="392"/>
      <c r="V131" s="392"/>
      <c r="W131" s="392"/>
      <c r="X131" s="392"/>
      <c r="Y131" s="392"/>
      <c r="Z131" s="392"/>
      <c r="AA131" s="392"/>
      <c r="AB131" s="392"/>
      <c r="AC131" s="392"/>
      <c r="AD131" s="392"/>
      <c r="AE131" s="392"/>
      <c r="AF131" s="392"/>
    </row>
    <row r="132" ht="15.75" customHeight="1">
      <c r="A132" s="216"/>
      <c r="B132" s="435"/>
      <c r="C132" s="156"/>
      <c r="D132" s="507"/>
      <c r="E132" s="528" t="s">
        <v>176</v>
      </c>
      <c r="F132" s="529"/>
      <c r="G132" s="530">
        <f>MROUND(G106*0.956,2.5)</f>
        <v>0</v>
      </c>
      <c r="H132" s="530">
        <f t="shared" si="16"/>
        <v>0</v>
      </c>
      <c r="I132" s="531">
        <f>G132-G127</f>
        <v>0</v>
      </c>
      <c r="J132" s="531">
        <f>G132-G122</f>
        <v>-265</v>
      </c>
      <c r="K132" s="559">
        <f>E140+G132-G123</f>
        <v>-660</v>
      </c>
      <c r="L132" s="560"/>
      <c r="M132" s="561">
        <f>L132+J101</f>
        <v>0</v>
      </c>
      <c r="N132" s="335"/>
      <c r="O132" s="283"/>
      <c r="P132" s="392"/>
      <c r="Q132" s="392"/>
      <c r="R132" s="392"/>
      <c r="S132" s="392"/>
      <c r="T132" s="392"/>
      <c r="U132" s="392"/>
      <c r="V132" s="392"/>
      <c r="W132" s="392"/>
      <c r="X132" s="392"/>
      <c r="Y132" s="392"/>
      <c r="Z132" s="392"/>
      <c r="AA132" s="392"/>
      <c r="AB132" s="392"/>
      <c r="AC132" s="392"/>
      <c r="AD132" s="392"/>
      <c r="AE132" s="392"/>
      <c r="AF132" s="392"/>
    </row>
    <row r="133" ht="15.75" customHeight="1">
      <c r="A133" s="216"/>
      <c r="B133" s="435"/>
      <c r="C133" s="156"/>
      <c r="D133" s="510"/>
      <c r="E133" s="511" t="s">
        <v>177</v>
      </c>
      <c r="F133" s="510"/>
      <c r="G133" s="512">
        <f>MROUND(G106*0.956,2.5)</f>
        <v>0</v>
      </c>
      <c r="H133" s="512">
        <f t="shared" si="16"/>
        <v>0</v>
      </c>
      <c r="I133" s="512"/>
      <c r="J133" s="512">
        <f>G133-G122</f>
        <v>-265</v>
      </c>
      <c r="K133" s="512">
        <f>E140+G133-G123</f>
        <v>-660</v>
      </c>
      <c r="L133" s="562"/>
      <c r="M133" s="562"/>
      <c r="N133" s="562"/>
      <c r="O133" s="392"/>
      <c r="P133" s="392"/>
      <c r="Q133" s="392"/>
      <c r="R133" s="392"/>
      <c r="S133" s="392"/>
      <c r="T133" s="392"/>
      <c r="U133" s="392"/>
      <c r="V133" s="392"/>
      <c r="W133" s="392"/>
      <c r="X133" s="392"/>
      <c r="Y133" s="392"/>
      <c r="Z133" s="392"/>
      <c r="AA133" s="392"/>
      <c r="AB133" s="392"/>
      <c r="AC133" s="392"/>
      <c r="AD133" s="392"/>
      <c r="AE133" s="392"/>
      <c r="AF133" s="392"/>
    </row>
    <row r="134" ht="23.25" customHeight="1">
      <c r="A134" s="216"/>
      <c r="B134" s="435"/>
      <c r="C134" s="156"/>
      <c r="D134" s="499">
        <v>3.0</v>
      </c>
      <c r="E134" s="453"/>
      <c r="F134" s="453"/>
      <c r="G134" s="453"/>
      <c r="H134" s="453"/>
      <c r="I134" s="453"/>
      <c r="J134" s="453"/>
      <c r="K134" s="517"/>
      <c r="L134" s="563"/>
      <c r="M134" s="563"/>
      <c r="N134" s="563"/>
      <c r="O134" s="555"/>
      <c r="P134" s="392"/>
      <c r="Q134" s="392"/>
      <c r="R134" s="392"/>
      <c r="S134" s="392"/>
      <c r="T134" s="392"/>
      <c r="U134" s="392"/>
      <c r="V134" s="392"/>
      <c r="W134" s="392"/>
      <c r="X134" s="392"/>
      <c r="Y134" s="392"/>
      <c r="Z134" s="392"/>
      <c r="AA134" s="392"/>
      <c r="AB134" s="392"/>
      <c r="AC134" s="392"/>
      <c r="AD134" s="392"/>
      <c r="AE134" s="392"/>
      <c r="AF134" s="392"/>
    </row>
    <row r="135" ht="15.75" customHeight="1">
      <c r="A135" s="216"/>
      <c r="B135" s="435"/>
      <c r="C135" s="156"/>
      <c r="D135" s="500"/>
      <c r="E135" s="500"/>
      <c r="F135" s="500"/>
      <c r="G135" s="501" t="s">
        <v>137</v>
      </c>
      <c r="H135" s="501" t="s">
        <v>140</v>
      </c>
      <c r="I135" s="501"/>
      <c r="J135" s="501"/>
      <c r="K135" s="517"/>
      <c r="L135" s="564" t="s">
        <v>192</v>
      </c>
      <c r="P135" s="392"/>
      <c r="Q135" s="392"/>
      <c r="R135" s="392"/>
      <c r="S135" s="392"/>
      <c r="T135" s="392"/>
      <c r="U135" s="392"/>
      <c r="V135" s="392"/>
      <c r="W135" s="392"/>
      <c r="X135" s="392"/>
      <c r="Y135" s="392"/>
      <c r="Z135" s="392"/>
      <c r="AA135" s="392"/>
      <c r="AB135" s="392"/>
      <c r="AC135" s="392"/>
      <c r="AD135" s="392"/>
      <c r="AE135" s="392"/>
      <c r="AF135" s="392"/>
    </row>
    <row r="136" ht="15.75" customHeight="1">
      <c r="A136" s="216"/>
      <c r="B136" s="435"/>
      <c r="C136" s="156"/>
      <c r="D136" s="503"/>
      <c r="E136" s="504" t="s">
        <v>175</v>
      </c>
      <c r="F136" s="503"/>
      <c r="G136" s="505">
        <f>MROUND(G106*0.985,2.5)</f>
        <v>0</v>
      </c>
      <c r="H136" s="505">
        <f t="shared" ref="H136:H138" si="17">MROUND(G136*2.2046,1)</f>
        <v>0</v>
      </c>
      <c r="I136" s="505"/>
      <c r="J136" s="505">
        <f>G136-G122</f>
        <v>-265</v>
      </c>
      <c r="K136" s="557">
        <f>E140+G136-G123</f>
        <v>-660</v>
      </c>
      <c r="L136" s="335" t="s">
        <v>193</v>
      </c>
      <c r="M136" s="565" t="s">
        <v>194</v>
      </c>
      <c r="N136" s="566" t="s">
        <v>195</v>
      </c>
      <c r="O136" s="283"/>
      <c r="P136" s="392"/>
      <c r="Q136" s="392"/>
      <c r="R136" s="392"/>
      <c r="S136" s="392"/>
      <c r="T136" s="392"/>
      <c r="U136" s="392"/>
      <c r="V136" s="392"/>
      <c r="W136" s="392"/>
      <c r="X136" s="392"/>
      <c r="Y136" s="392"/>
      <c r="Z136" s="392"/>
      <c r="AA136" s="392"/>
      <c r="AB136" s="392"/>
      <c r="AC136" s="392"/>
      <c r="AD136" s="392"/>
      <c r="AE136" s="392"/>
      <c r="AF136" s="392"/>
    </row>
    <row r="137" ht="15.75" customHeight="1">
      <c r="A137" s="216"/>
      <c r="B137" s="435"/>
      <c r="C137" s="156"/>
      <c r="D137" s="507"/>
      <c r="E137" s="528" t="s">
        <v>176</v>
      </c>
      <c r="F137" s="529"/>
      <c r="G137" s="530">
        <f>MROUND(G106*0.99,2.5)</f>
        <v>0</v>
      </c>
      <c r="H137" s="530">
        <f t="shared" si="17"/>
        <v>0</v>
      </c>
      <c r="I137" s="531">
        <f>G137-G132</f>
        <v>0</v>
      </c>
      <c r="J137" s="531">
        <f>G137-G122</f>
        <v>-265</v>
      </c>
      <c r="K137" s="559">
        <f>E140+G137-G123</f>
        <v>-660</v>
      </c>
      <c r="L137" s="560"/>
      <c r="M137" s="560" t="s">
        <v>196</v>
      </c>
      <c r="N137" s="567">
        <f>IF(M137="no",L137-J101+ 2.5,IF(M137="yes",L137-J101))</f>
        <v>0</v>
      </c>
      <c r="P137" s="392"/>
      <c r="Q137" s="392"/>
      <c r="R137" s="392"/>
      <c r="S137" s="392"/>
      <c r="T137" s="392"/>
      <c r="U137" s="392"/>
      <c r="V137" s="392"/>
      <c r="W137" s="392"/>
      <c r="X137" s="392"/>
      <c r="Y137" s="392"/>
      <c r="Z137" s="392"/>
      <c r="AA137" s="392"/>
      <c r="AB137" s="392"/>
      <c r="AC137" s="392"/>
      <c r="AD137" s="392"/>
      <c r="AE137" s="392"/>
      <c r="AF137" s="392"/>
    </row>
    <row r="138" ht="15.75" customHeight="1">
      <c r="A138" s="216"/>
      <c r="B138" s="435"/>
      <c r="C138" s="156"/>
      <c r="D138" s="510"/>
      <c r="E138" s="511" t="s">
        <v>177</v>
      </c>
      <c r="F138" s="510"/>
      <c r="G138" s="512">
        <f>MROUND(G106*1,2.5)</f>
        <v>0</v>
      </c>
      <c r="H138" s="512">
        <f t="shared" si="17"/>
        <v>0</v>
      </c>
      <c r="I138" s="512"/>
      <c r="J138" s="512">
        <f>G138-G122</f>
        <v>-265</v>
      </c>
      <c r="K138" s="512">
        <f>E140+G138-G123</f>
        <v>-660</v>
      </c>
      <c r="L138" s="445"/>
      <c r="M138" s="445"/>
      <c r="N138" s="445"/>
      <c r="O138" s="392"/>
      <c r="P138" s="392"/>
      <c r="Q138" s="392"/>
      <c r="R138" s="392"/>
      <c r="S138" s="392"/>
      <c r="T138" s="392"/>
      <c r="U138" s="392"/>
      <c r="V138" s="392"/>
      <c r="W138" s="392"/>
      <c r="X138" s="392"/>
      <c r="Y138" s="392"/>
      <c r="Z138" s="392"/>
      <c r="AA138" s="392"/>
      <c r="AB138" s="392"/>
      <c r="AC138" s="392"/>
      <c r="AD138" s="392"/>
      <c r="AE138" s="392"/>
      <c r="AF138" s="392"/>
    </row>
    <row r="139" ht="15.75" customHeight="1">
      <c r="A139" s="216"/>
      <c r="B139" s="435"/>
      <c r="C139" s="156"/>
      <c r="D139" s="477"/>
      <c r="E139" s="568" t="s">
        <v>197</v>
      </c>
      <c r="F139" s="569" t="s">
        <v>198</v>
      </c>
      <c r="G139" s="453"/>
      <c r="H139" s="453"/>
      <c r="I139" s="453"/>
      <c r="J139" s="453"/>
      <c r="K139" s="453"/>
      <c r="L139" s="444"/>
      <c r="M139" s="444"/>
      <c r="N139" s="444"/>
      <c r="O139" s="392"/>
      <c r="P139" s="392"/>
      <c r="Q139" s="392"/>
      <c r="R139" s="392"/>
      <c r="S139" s="392"/>
      <c r="T139" s="392"/>
      <c r="U139" s="392"/>
      <c r="V139" s="392"/>
      <c r="W139" s="392"/>
      <c r="X139" s="392"/>
      <c r="Y139" s="392"/>
      <c r="Z139" s="392"/>
      <c r="AA139" s="392"/>
      <c r="AB139" s="392"/>
      <c r="AC139" s="392"/>
      <c r="AD139" s="392"/>
      <c r="AE139" s="392"/>
      <c r="AF139" s="392"/>
    </row>
    <row r="140" ht="15.75" customHeight="1">
      <c r="A140" s="216"/>
      <c r="B140" s="435"/>
      <c r="C140" s="156"/>
      <c r="D140" s="488"/>
      <c r="E140" s="570">
        <f>G62+G101</f>
        <v>0</v>
      </c>
      <c r="F140" s="571"/>
      <c r="G140" s="572" t="s">
        <v>137</v>
      </c>
      <c r="H140" s="572" t="s">
        <v>140</v>
      </c>
      <c r="I140" s="573" t="s">
        <v>199</v>
      </c>
      <c r="J140" s="574" t="s">
        <v>200</v>
      </c>
      <c r="K140" s="453"/>
      <c r="L140" s="444"/>
      <c r="M140" s="444"/>
      <c r="N140" s="444"/>
      <c r="O140" s="392"/>
      <c r="P140" s="392"/>
      <c r="Q140" s="392"/>
      <c r="R140" s="392"/>
      <c r="S140" s="392"/>
      <c r="T140" s="392"/>
      <c r="U140" s="392"/>
      <c r="V140" s="392"/>
      <c r="W140" s="392"/>
      <c r="X140" s="392"/>
      <c r="Y140" s="392"/>
      <c r="Z140" s="392"/>
      <c r="AA140" s="392"/>
      <c r="AB140" s="392"/>
      <c r="AC140" s="392"/>
      <c r="AD140" s="392"/>
      <c r="AE140" s="392"/>
      <c r="AF140" s="392"/>
    </row>
    <row r="141" ht="15.75" customHeight="1">
      <c r="A141" s="216"/>
      <c r="B141" s="435"/>
      <c r="C141" s="156"/>
      <c r="D141" s="477"/>
      <c r="E141" s="568" t="s">
        <v>159</v>
      </c>
      <c r="F141" s="500"/>
      <c r="G141" s="500">
        <f>G126-10</f>
        <v>-10</v>
      </c>
      <c r="H141" s="533" t="str">
        <f t="shared" ref="H141:H171" si="18">MROUND(G141*2.2056,1)</f>
        <v>#NUM!</v>
      </c>
      <c r="I141" s="501">
        <f>E140+G141</f>
        <v>-10</v>
      </c>
      <c r="J141" s="575">
        <f>IF(E144="male", 500/(-0.000001093*E142^4+0.0007391293*E142^3-0.1918759221*E142^2+24.0900756*E142-307.75076), 500/(-0.0000010706*E142^4+0.0005158568*E142^3-0.1126655495*E142^2+13.6175032*E142-57.96288))*I141</f>
        <v>16.24691357</v>
      </c>
      <c r="K141" s="453"/>
      <c r="L141" s="444"/>
      <c r="M141" s="444"/>
      <c r="N141" s="444"/>
      <c r="O141" s="392"/>
      <c r="P141" s="392"/>
      <c r="Q141" s="392"/>
      <c r="R141" s="392"/>
      <c r="S141" s="392"/>
      <c r="T141" s="392"/>
      <c r="U141" s="392"/>
      <c r="V141" s="392"/>
      <c r="W141" s="392"/>
      <c r="X141" s="392"/>
      <c r="Y141" s="392"/>
      <c r="Z141" s="392"/>
      <c r="AA141" s="392"/>
      <c r="AB141" s="392"/>
      <c r="AC141" s="392"/>
      <c r="AD141" s="392"/>
      <c r="AE141" s="392"/>
      <c r="AF141" s="392"/>
    </row>
    <row r="142" ht="15.75" customHeight="1">
      <c r="A142" s="216"/>
      <c r="B142" s="435"/>
      <c r="C142" s="156"/>
      <c r="D142" s="498"/>
      <c r="E142" s="570" t="str">
        <f>G24</f>
        <v/>
      </c>
      <c r="F142" s="444"/>
      <c r="G142" s="444">
        <f t="shared" ref="G142:G171" si="19">G141+2.5</f>
        <v>-7.5</v>
      </c>
      <c r="H142" s="576" t="str">
        <f t="shared" si="18"/>
        <v>#NUM!</v>
      </c>
      <c r="I142" s="455">
        <f t="shared" ref="I142:I171" si="20">I141+2.5</f>
        <v>-7.5</v>
      </c>
      <c r="J142" s="577">
        <f>IF(E144="male", 500/(-0.000001093*E142^4+0.0007391293*E142^3-0.1918759221*E142^2+24.0900756*E142-307.75076), 500/(-0.0000010706*E142^4+0.0005158568*E142^3-0.1126655495*E142^2+13.6175032*E142-57.96288))*I142</f>
        <v>12.18518518</v>
      </c>
      <c r="K142" s="453"/>
      <c r="L142" s="444"/>
      <c r="M142" s="444"/>
      <c r="N142" s="444"/>
      <c r="O142" s="392"/>
      <c r="P142" s="392"/>
      <c r="Q142" s="392"/>
      <c r="R142" s="392"/>
      <c r="S142" s="392"/>
      <c r="T142" s="392"/>
      <c r="U142" s="392"/>
      <c r="V142" s="392"/>
      <c r="W142" s="392"/>
      <c r="X142" s="392"/>
      <c r="Y142" s="392"/>
      <c r="Z142" s="392"/>
      <c r="AA142" s="392"/>
      <c r="AB142" s="392"/>
      <c r="AC142" s="392"/>
      <c r="AD142" s="392"/>
      <c r="AE142" s="392"/>
      <c r="AF142" s="392"/>
    </row>
    <row r="143" ht="15.75" customHeight="1">
      <c r="A143" s="216"/>
      <c r="B143" s="435"/>
      <c r="C143" s="156"/>
      <c r="D143" s="477"/>
      <c r="E143" s="568" t="s">
        <v>201</v>
      </c>
      <c r="F143" s="500"/>
      <c r="G143" s="500">
        <f t="shared" si="19"/>
        <v>-5</v>
      </c>
      <c r="H143" s="533" t="str">
        <f t="shared" si="18"/>
        <v>#NUM!</v>
      </c>
      <c r="I143" s="501">
        <f t="shared" si="20"/>
        <v>-5</v>
      </c>
      <c r="J143" s="578">
        <f>IF(E144="male", 500/(-0.000001093*E142^4+0.0007391293*E142^3-0.1918759221*E142^2+24.0900756*E142-307.75076), 500/(-0.0000010706*E142^4+0.0005158568*E142^3-0.1126655495*E142^2+13.6175032*E142-57.96288))*I143</f>
        <v>8.123456787</v>
      </c>
      <c r="K143" s="453"/>
      <c r="L143" s="444"/>
      <c r="M143" s="444"/>
      <c r="N143" s="444"/>
      <c r="O143" s="392"/>
      <c r="P143" s="392"/>
      <c r="Q143" s="392"/>
      <c r="R143" s="392"/>
      <c r="S143" s="392"/>
      <c r="T143" s="392"/>
      <c r="U143" s="392"/>
      <c r="V143" s="392"/>
      <c r="W143" s="392"/>
      <c r="X143" s="392"/>
      <c r="Y143" s="392"/>
      <c r="Z143" s="392"/>
      <c r="AA143" s="392"/>
      <c r="AB143" s="392"/>
      <c r="AC143" s="392"/>
      <c r="AD143" s="392"/>
      <c r="AE143" s="392"/>
      <c r="AF143" s="392"/>
    </row>
    <row r="144" ht="15.75" customHeight="1">
      <c r="A144" s="216"/>
      <c r="B144" s="435"/>
      <c r="C144" s="156"/>
      <c r="D144" s="488"/>
      <c r="E144" s="579" t="s">
        <v>202</v>
      </c>
      <c r="F144" s="444"/>
      <c r="G144" s="444">
        <f t="shared" si="19"/>
        <v>-2.5</v>
      </c>
      <c r="H144" s="576" t="str">
        <f t="shared" si="18"/>
        <v>#NUM!</v>
      </c>
      <c r="I144" s="455">
        <f t="shared" si="20"/>
        <v>-2.5</v>
      </c>
      <c r="J144" s="577">
        <f>IF(E144="male", 500/(-0.000001093*E142^4+0.0007391293*E142^3-0.1918759221*E142^2+24.0900756*E142-307.75076), 500/(-0.0000010706*E142^4+0.0005158568*E142^3-0.1126655495*E142^2+13.6175032*E142-57.96288))*I144</f>
        <v>4.061728393</v>
      </c>
      <c r="K144" s="453"/>
      <c r="L144" s="444"/>
      <c r="M144" s="444"/>
      <c r="N144" s="444"/>
      <c r="O144" s="392"/>
      <c r="P144" s="392"/>
      <c r="Q144" s="392"/>
      <c r="R144" s="392"/>
      <c r="S144" s="392"/>
      <c r="T144" s="392"/>
      <c r="U144" s="392"/>
      <c r="V144" s="392"/>
      <c r="W144" s="392"/>
      <c r="X144" s="392"/>
      <c r="Y144" s="392"/>
      <c r="Z144" s="392"/>
      <c r="AA144" s="392"/>
      <c r="AB144" s="392"/>
      <c r="AC144" s="392"/>
      <c r="AD144" s="392"/>
      <c r="AE144" s="392"/>
      <c r="AF144" s="392"/>
    </row>
    <row r="145" ht="15.75" customHeight="1">
      <c r="A145" s="216"/>
      <c r="B145" s="435"/>
      <c r="C145" s="156"/>
      <c r="D145" s="444"/>
      <c r="E145" s="444"/>
      <c r="F145" s="500"/>
      <c r="G145" s="500">
        <f t="shared" si="19"/>
        <v>0</v>
      </c>
      <c r="H145" s="533">
        <f t="shared" si="18"/>
        <v>0</v>
      </c>
      <c r="I145" s="501">
        <f t="shared" si="20"/>
        <v>0</v>
      </c>
      <c r="J145" s="578">
        <f>IF(E144="male", 500/(-0.000001093*E142^4+0.0007391293*E142^3-0.1918759221*E142^2+24.0900756*E142-307.75076), 500/(-0.0000010706*E142^4+0.0005158568*E142^3-0.1126655495*E142^2+13.6175032*E142-57.96288))*I145</f>
        <v>0</v>
      </c>
      <c r="K145" s="453"/>
      <c r="L145" s="444"/>
      <c r="M145" s="444"/>
      <c r="N145" s="444"/>
      <c r="O145" s="392"/>
      <c r="P145" s="392"/>
      <c r="Q145" s="392"/>
      <c r="R145" s="392"/>
      <c r="S145" s="392"/>
      <c r="T145" s="392"/>
      <c r="U145" s="392"/>
      <c r="V145" s="392"/>
      <c r="W145" s="392"/>
      <c r="X145" s="392"/>
      <c r="Y145" s="392"/>
      <c r="Z145" s="392"/>
      <c r="AA145" s="392"/>
      <c r="AB145" s="392"/>
      <c r="AC145" s="392"/>
      <c r="AD145" s="392"/>
      <c r="AE145" s="392"/>
      <c r="AF145" s="392"/>
    </row>
    <row r="146" ht="15.75" customHeight="1">
      <c r="A146" s="216"/>
      <c r="B146" s="435"/>
      <c r="C146" s="156"/>
      <c r="D146" s="444"/>
      <c r="E146" s="444"/>
      <c r="F146" s="444"/>
      <c r="G146" s="444">
        <f t="shared" si="19"/>
        <v>2.5</v>
      </c>
      <c r="H146" s="576">
        <f t="shared" si="18"/>
        <v>6</v>
      </c>
      <c r="I146" s="455">
        <f t="shared" si="20"/>
        <v>2.5</v>
      </c>
      <c r="J146" s="577">
        <f>IF(E144="male", 500/(-0.000001093*E142^4+0.0007391293*E142^3-0.1918759221*E142^2+24.0900756*E142-307.75076), 500/(-0.0000010706*E142^4+0.0005158568*E142^3-0.1126655495*E142^2+13.6175032*E142-57.96288))*I146</f>
        <v>-4.061728393</v>
      </c>
      <c r="K146" s="453"/>
      <c r="L146" s="444"/>
      <c r="M146" s="444"/>
      <c r="N146" s="444"/>
      <c r="O146" s="392"/>
      <c r="P146" s="392"/>
      <c r="Q146" s="392"/>
      <c r="R146" s="392"/>
      <c r="S146" s="392"/>
      <c r="T146" s="392"/>
      <c r="U146" s="392"/>
      <c r="V146" s="392"/>
      <c r="W146" s="392"/>
      <c r="X146" s="392"/>
      <c r="Y146" s="392"/>
      <c r="Z146" s="392"/>
      <c r="AA146" s="392"/>
      <c r="AB146" s="392"/>
      <c r="AC146" s="392"/>
      <c r="AD146" s="392"/>
      <c r="AE146" s="392"/>
      <c r="AF146" s="392"/>
    </row>
    <row r="147" ht="15.75" customHeight="1">
      <c r="A147" s="216"/>
      <c r="B147" s="435"/>
      <c r="C147" s="156"/>
      <c r="D147" s="444"/>
      <c r="E147" s="444"/>
      <c r="F147" s="500"/>
      <c r="G147" s="500">
        <f t="shared" si="19"/>
        <v>5</v>
      </c>
      <c r="H147" s="533">
        <f t="shared" si="18"/>
        <v>11</v>
      </c>
      <c r="I147" s="501">
        <f t="shared" si="20"/>
        <v>5</v>
      </c>
      <c r="J147" s="578">
        <f>IF(E144="male", 500/(-0.000001093*E142^4+0.0007391293*E142^3-0.1918759221*E142^2+24.0900756*E142-307.75076), 500/(-0.0000010706*E142^4+0.0005158568*E142^3-0.1126655495*E142^2+13.6175032*E142-57.96288))*I147</f>
        <v>-8.123456787</v>
      </c>
      <c r="K147" s="453"/>
      <c r="L147" s="444"/>
      <c r="M147" s="444"/>
      <c r="N147" s="444"/>
      <c r="O147" s="392"/>
      <c r="P147" s="392"/>
      <c r="Q147" s="392"/>
      <c r="R147" s="392"/>
      <c r="S147" s="392"/>
      <c r="T147" s="392"/>
      <c r="U147" s="392"/>
      <c r="V147" s="392"/>
      <c r="W147" s="392"/>
      <c r="X147" s="392"/>
      <c r="Y147" s="392"/>
      <c r="Z147" s="392"/>
      <c r="AA147" s="392"/>
      <c r="AB147" s="392"/>
      <c r="AC147" s="392"/>
      <c r="AD147" s="392"/>
      <c r="AE147" s="392"/>
      <c r="AF147" s="392"/>
    </row>
    <row r="148" ht="15.75" customHeight="1">
      <c r="A148" s="216"/>
      <c r="B148" s="435"/>
      <c r="C148" s="156"/>
      <c r="D148" s="444"/>
      <c r="E148" s="444"/>
      <c r="F148" s="444"/>
      <c r="G148" s="444">
        <f t="shared" si="19"/>
        <v>7.5</v>
      </c>
      <c r="H148" s="576">
        <f t="shared" si="18"/>
        <v>17</v>
      </c>
      <c r="I148" s="455">
        <f t="shared" si="20"/>
        <v>7.5</v>
      </c>
      <c r="J148" s="577">
        <f>IF(E144="male", 500/(-0.000001093*E142^4+0.0007391293*E142^3-0.1918759221*E142^2+24.0900756*E142-307.75076), 500/(-0.0000010706*E142^4+0.0005158568*E142^3-0.1126655495*E142^2+13.6175032*E142-57.96288))*I148</f>
        <v>-12.18518518</v>
      </c>
      <c r="K148" s="453"/>
      <c r="L148" s="444"/>
      <c r="M148" s="444"/>
      <c r="N148" s="444"/>
      <c r="O148" s="392"/>
      <c r="P148" s="392"/>
      <c r="Q148" s="392"/>
      <c r="R148" s="392"/>
      <c r="S148" s="392"/>
      <c r="T148" s="392"/>
      <c r="U148" s="392"/>
      <c r="V148" s="392"/>
      <c r="W148" s="392"/>
      <c r="X148" s="392"/>
      <c r="Y148" s="392"/>
      <c r="Z148" s="392"/>
      <c r="AA148" s="392"/>
      <c r="AB148" s="392"/>
      <c r="AC148" s="392"/>
      <c r="AD148" s="392"/>
      <c r="AE148" s="392"/>
      <c r="AF148" s="392"/>
    </row>
    <row r="149" ht="15.75" customHeight="1">
      <c r="A149" s="216"/>
      <c r="B149" s="435"/>
      <c r="C149" s="156"/>
      <c r="D149" s="444"/>
      <c r="E149" s="444"/>
      <c r="F149" s="500"/>
      <c r="G149" s="500">
        <f t="shared" si="19"/>
        <v>10</v>
      </c>
      <c r="H149" s="533">
        <f t="shared" si="18"/>
        <v>22</v>
      </c>
      <c r="I149" s="501">
        <f t="shared" si="20"/>
        <v>10</v>
      </c>
      <c r="J149" s="578">
        <f>IF(E144="male", 500/(-0.000001093*E142^4+0.0007391293*E142^3-0.1918759221*E142^2+24.0900756*E142-307.75076), 500/(-0.0000010706*E142^4+0.0005158568*E142^3-0.1126655495*E142^2+13.6175032*E142-57.96288))*I149</f>
        <v>-16.24691357</v>
      </c>
      <c r="K149" s="453"/>
      <c r="L149" s="444"/>
      <c r="M149" s="444"/>
      <c r="N149" s="444"/>
      <c r="O149" s="392"/>
      <c r="P149" s="392"/>
      <c r="Q149" s="392"/>
      <c r="R149" s="392"/>
      <c r="S149" s="392"/>
      <c r="T149" s="392"/>
      <c r="U149" s="392"/>
      <c r="V149" s="392"/>
      <c r="W149" s="392"/>
      <c r="X149" s="392"/>
      <c r="Y149" s="392"/>
      <c r="Z149" s="392"/>
      <c r="AA149" s="392"/>
      <c r="AB149" s="392"/>
      <c r="AC149" s="392"/>
      <c r="AD149" s="392"/>
      <c r="AE149" s="392"/>
      <c r="AF149" s="392"/>
    </row>
    <row r="150" ht="15.75" customHeight="1">
      <c r="A150" s="216"/>
      <c r="B150" s="435"/>
      <c r="C150" s="156"/>
      <c r="D150" s="444"/>
      <c r="E150" s="444"/>
      <c r="F150" s="444"/>
      <c r="G150" s="444">
        <f t="shared" si="19"/>
        <v>12.5</v>
      </c>
      <c r="H150" s="576">
        <f t="shared" si="18"/>
        <v>28</v>
      </c>
      <c r="I150" s="455">
        <f t="shared" si="20"/>
        <v>12.5</v>
      </c>
      <c r="J150" s="577">
        <f>IF(E144="male", 500/(-0.000001093*E142^4+0.0007391293*E142^3-0.1918759221*E142^2+24.0900756*E142-307.75076), 500/(-0.0000010706*E142^4+0.0005158568*E142^3-0.1126655495*E142^2+13.6175032*E142-57.96288))*I150</f>
        <v>-20.30864197</v>
      </c>
      <c r="K150" s="453"/>
      <c r="L150" s="444"/>
      <c r="M150" s="444"/>
      <c r="N150" s="444"/>
      <c r="O150" s="392"/>
      <c r="P150" s="392"/>
      <c r="Q150" s="392"/>
      <c r="R150" s="392"/>
      <c r="S150" s="392"/>
      <c r="T150" s="392"/>
      <c r="U150" s="392"/>
      <c r="V150" s="392"/>
      <c r="W150" s="392"/>
      <c r="X150" s="392"/>
      <c r="Y150" s="392"/>
      <c r="Z150" s="392"/>
      <c r="AA150" s="392"/>
      <c r="AB150" s="392"/>
      <c r="AC150" s="392"/>
      <c r="AD150" s="392"/>
      <c r="AE150" s="392"/>
      <c r="AF150" s="392"/>
    </row>
    <row r="151" ht="15.75" customHeight="1">
      <c r="A151" s="216"/>
      <c r="B151" s="435"/>
      <c r="C151" s="156"/>
      <c r="D151" s="444"/>
      <c r="E151" s="444"/>
      <c r="F151" s="500"/>
      <c r="G151" s="500">
        <f t="shared" si="19"/>
        <v>15</v>
      </c>
      <c r="H151" s="533">
        <f t="shared" si="18"/>
        <v>33</v>
      </c>
      <c r="I151" s="501">
        <f t="shared" si="20"/>
        <v>15</v>
      </c>
      <c r="J151" s="578">
        <f>IF(E144="male", 500/(-0.000001093*E142^4+0.0007391293*E142^3-0.1918759221*E142^2+24.0900756*E142-307.75076), 500/(-0.0000010706*E142^4+0.0005158568*E142^3-0.1126655495*E142^2+13.6175032*E142-57.96288))*I151</f>
        <v>-24.37037036</v>
      </c>
      <c r="K151" s="453"/>
      <c r="L151" s="444"/>
      <c r="M151" s="444"/>
      <c r="N151" s="444"/>
      <c r="O151" s="392"/>
      <c r="P151" s="392"/>
      <c r="Q151" s="392"/>
      <c r="R151" s="392"/>
      <c r="S151" s="392"/>
      <c r="T151" s="392"/>
      <c r="U151" s="392"/>
      <c r="V151" s="392"/>
      <c r="W151" s="392"/>
      <c r="X151" s="392"/>
      <c r="Y151" s="392"/>
      <c r="Z151" s="392"/>
      <c r="AA151" s="392"/>
      <c r="AB151" s="392"/>
      <c r="AC151" s="392"/>
      <c r="AD151" s="392"/>
      <c r="AE151" s="392"/>
      <c r="AF151" s="392"/>
    </row>
    <row r="152" ht="15.75" customHeight="1">
      <c r="A152" s="216"/>
      <c r="B152" s="435"/>
      <c r="C152" s="156"/>
      <c r="D152" s="444"/>
      <c r="E152" s="444"/>
      <c r="F152" s="444"/>
      <c r="G152" s="444">
        <f t="shared" si="19"/>
        <v>17.5</v>
      </c>
      <c r="H152" s="576">
        <f t="shared" si="18"/>
        <v>39</v>
      </c>
      <c r="I152" s="455">
        <f t="shared" si="20"/>
        <v>17.5</v>
      </c>
      <c r="J152" s="577">
        <f>IF(E144="male", 500/(-0.000001093*E142^4+0.0007391293*E142^3-0.1918759221*E142^2+24.0900756*E142-307.75076), 500/(-0.0000010706*E142^4+0.0005158568*E142^3-0.1126655495*E142^2+13.6175032*E142-57.96288))*I152</f>
        <v>-28.43209875</v>
      </c>
      <c r="K152" s="453"/>
      <c r="L152" s="444"/>
      <c r="M152" s="444"/>
      <c r="N152" s="444"/>
      <c r="O152" s="392"/>
      <c r="P152" s="392"/>
      <c r="Q152" s="392"/>
      <c r="R152" s="392"/>
      <c r="S152" s="392"/>
      <c r="T152" s="392"/>
      <c r="U152" s="392"/>
      <c r="V152" s="392"/>
      <c r="W152" s="392"/>
      <c r="X152" s="392"/>
      <c r="Y152" s="392"/>
      <c r="Z152" s="392"/>
      <c r="AA152" s="392"/>
      <c r="AB152" s="392"/>
      <c r="AC152" s="392"/>
      <c r="AD152" s="392"/>
      <c r="AE152" s="392"/>
      <c r="AF152" s="392"/>
    </row>
    <row r="153" ht="15.75" customHeight="1">
      <c r="A153" s="216"/>
      <c r="B153" s="435"/>
      <c r="C153" s="156"/>
      <c r="D153" s="444"/>
      <c r="E153" s="444"/>
      <c r="F153" s="500"/>
      <c r="G153" s="500">
        <f t="shared" si="19"/>
        <v>20</v>
      </c>
      <c r="H153" s="533">
        <f t="shared" si="18"/>
        <v>44</v>
      </c>
      <c r="I153" s="501">
        <f t="shared" si="20"/>
        <v>20</v>
      </c>
      <c r="J153" s="578">
        <f>IF(E144="male", 500/(-0.000001093*E142^4+0.0007391293*E142^3-0.1918759221*E142^2+24.0900756*E142-307.75076), 500/(-0.0000010706*E142^4+0.0005158568*E142^3-0.1126655495*E142^2+13.6175032*E142-57.96288))*I153</f>
        <v>-32.49382715</v>
      </c>
      <c r="K153" s="453"/>
      <c r="L153" s="444"/>
      <c r="M153" s="444"/>
      <c r="N153" s="444"/>
      <c r="O153" s="392"/>
      <c r="P153" s="392"/>
      <c r="Q153" s="392"/>
      <c r="R153" s="392"/>
      <c r="S153" s="392"/>
      <c r="T153" s="392"/>
      <c r="U153" s="392"/>
      <c r="V153" s="392"/>
      <c r="W153" s="392"/>
      <c r="X153" s="392"/>
      <c r="Y153" s="392"/>
      <c r="Z153" s="392"/>
      <c r="AA153" s="392"/>
      <c r="AB153" s="392"/>
      <c r="AC153" s="392"/>
      <c r="AD153" s="392"/>
      <c r="AE153" s="392"/>
      <c r="AF153" s="392"/>
    </row>
    <row r="154" ht="15.75" customHeight="1">
      <c r="A154" s="216"/>
      <c r="B154" s="435"/>
      <c r="C154" s="156"/>
      <c r="D154" s="444"/>
      <c r="E154" s="444"/>
      <c r="F154" s="444"/>
      <c r="G154" s="444">
        <f t="shared" si="19"/>
        <v>22.5</v>
      </c>
      <c r="H154" s="576">
        <f t="shared" si="18"/>
        <v>50</v>
      </c>
      <c r="I154" s="455">
        <f t="shared" si="20"/>
        <v>22.5</v>
      </c>
      <c r="J154" s="577">
        <f>IF(E144="male", 500/(-0.000001093*E142^4+0.0007391293*E142^3-0.1918759221*E142^2+24.0900756*E142-307.75076), 500/(-0.0000010706*E142^4+0.0005158568*E142^3-0.1126655495*E142^2+13.6175032*E142-57.96288))*I154</f>
        <v>-36.55555554</v>
      </c>
      <c r="K154" s="453"/>
      <c r="L154" s="444"/>
      <c r="M154" s="444"/>
      <c r="N154" s="444"/>
      <c r="O154" s="392"/>
      <c r="P154" s="392"/>
      <c r="Q154" s="392"/>
      <c r="R154" s="392"/>
      <c r="S154" s="392"/>
      <c r="T154" s="392"/>
      <c r="U154" s="392"/>
      <c r="V154" s="392"/>
      <c r="W154" s="392"/>
      <c r="X154" s="392"/>
      <c r="Y154" s="392"/>
      <c r="Z154" s="392"/>
      <c r="AA154" s="392"/>
      <c r="AB154" s="392"/>
      <c r="AC154" s="392"/>
      <c r="AD154" s="392"/>
      <c r="AE154" s="392"/>
      <c r="AF154" s="392"/>
    </row>
    <row r="155" ht="15.75" customHeight="1">
      <c r="A155" s="216"/>
      <c r="B155" s="435"/>
      <c r="C155" s="156"/>
      <c r="D155" s="444"/>
      <c r="E155" s="444"/>
      <c r="F155" s="500"/>
      <c r="G155" s="500">
        <f t="shared" si="19"/>
        <v>25</v>
      </c>
      <c r="H155" s="533">
        <f t="shared" si="18"/>
        <v>55</v>
      </c>
      <c r="I155" s="501">
        <f t="shared" si="20"/>
        <v>25</v>
      </c>
      <c r="J155" s="578">
        <f>IF(E144="male", 500/(-0.000001093*E142^4+0.0007391293*E142^3-0.1918759221*E142^2+24.0900756*E142-307.75076), 500/(-0.0000010706*E142^4+0.0005158568*E142^3-0.1126655495*E142^2+13.6175032*E142-57.96288))*I155</f>
        <v>-40.61728393</v>
      </c>
      <c r="K155" s="453"/>
      <c r="L155" s="444"/>
      <c r="M155" s="444"/>
      <c r="N155" s="444"/>
      <c r="O155" s="392"/>
      <c r="P155" s="392"/>
      <c r="Q155" s="392"/>
      <c r="R155" s="392"/>
      <c r="S155" s="392"/>
      <c r="T155" s="392"/>
      <c r="U155" s="392"/>
      <c r="V155" s="392"/>
      <c r="W155" s="392"/>
      <c r="X155" s="392"/>
      <c r="Y155" s="392"/>
      <c r="Z155" s="392"/>
      <c r="AA155" s="392"/>
      <c r="AB155" s="392"/>
      <c r="AC155" s="392"/>
      <c r="AD155" s="392"/>
      <c r="AE155" s="392"/>
      <c r="AF155" s="392"/>
    </row>
    <row r="156" ht="15.75" customHeight="1">
      <c r="A156" s="216"/>
      <c r="B156" s="435"/>
      <c r="C156" s="156"/>
      <c r="D156" s="444"/>
      <c r="E156" s="444"/>
      <c r="F156" s="444"/>
      <c r="G156" s="444">
        <f t="shared" si="19"/>
        <v>27.5</v>
      </c>
      <c r="H156" s="576">
        <f t="shared" si="18"/>
        <v>61</v>
      </c>
      <c r="I156" s="455">
        <f t="shared" si="20"/>
        <v>27.5</v>
      </c>
      <c r="J156" s="577">
        <f>IF(E144="male", 500/(-0.000001093*E142^4+0.0007391293*E142^3-0.1918759221*E142^2+24.0900756*E142-307.75076), 500/(-0.0000010706*E142^4+0.0005158568*E142^3-0.1126655495*E142^2+13.6175032*E142-57.96288))*I156</f>
        <v>-44.67901233</v>
      </c>
      <c r="K156" s="453"/>
      <c r="L156" s="444"/>
      <c r="M156" s="444"/>
      <c r="N156" s="444"/>
      <c r="O156" s="392"/>
      <c r="P156" s="392"/>
      <c r="Q156" s="392"/>
      <c r="R156" s="392"/>
      <c r="S156" s="392"/>
      <c r="T156" s="392"/>
      <c r="U156" s="392"/>
      <c r="V156" s="392"/>
      <c r="W156" s="392"/>
      <c r="X156" s="392"/>
      <c r="Y156" s="392"/>
      <c r="Z156" s="392"/>
      <c r="AA156" s="392"/>
      <c r="AB156" s="392"/>
      <c r="AC156" s="392"/>
      <c r="AD156" s="392"/>
      <c r="AE156" s="392"/>
      <c r="AF156" s="392"/>
    </row>
    <row r="157" ht="15.75" customHeight="1">
      <c r="A157" s="216"/>
      <c r="B157" s="435"/>
      <c r="C157" s="156"/>
      <c r="D157" s="444"/>
      <c r="E157" s="444"/>
      <c r="F157" s="500"/>
      <c r="G157" s="500">
        <f t="shared" si="19"/>
        <v>30</v>
      </c>
      <c r="H157" s="533">
        <f t="shared" si="18"/>
        <v>66</v>
      </c>
      <c r="I157" s="501">
        <f t="shared" si="20"/>
        <v>30</v>
      </c>
      <c r="J157" s="578">
        <f>IF(E144="male", 500/(-0.000001093*E142^4+0.0007391293*E142^3-0.1918759221*E142^2+24.0900756*E142-307.75076), 500/(-0.0000010706*E142^4+0.0005158568*E142^3-0.1126655495*E142^2+13.6175032*E142-57.96288))*I157</f>
        <v>-48.74074072</v>
      </c>
      <c r="K157" s="453"/>
      <c r="L157" s="444"/>
      <c r="M157" s="444"/>
      <c r="N157" s="444"/>
      <c r="O157" s="392"/>
      <c r="P157" s="392"/>
      <c r="Q157" s="392"/>
      <c r="R157" s="392"/>
      <c r="S157" s="392"/>
      <c r="T157" s="392"/>
      <c r="U157" s="392"/>
      <c r="V157" s="392"/>
      <c r="W157" s="392"/>
      <c r="X157" s="392"/>
      <c r="Y157" s="392"/>
      <c r="Z157" s="392"/>
      <c r="AA157" s="392"/>
      <c r="AB157" s="392"/>
      <c r="AC157" s="392"/>
      <c r="AD157" s="392"/>
      <c r="AE157" s="392"/>
      <c r="AF157" s="392"/>
    </row>
    <row r="158" ht="15.75" customHeight="1">
      <c r="A158" s="216"/>
      <c r="B158" s="435"/>
      <c r="C158" s="156"/>
      <c r="D158" s="444"/>
      <c r="E158" s="444"/>
      <c r="F158" s="444"/>
      <c r="G158" s="444">
        <f t="shared" si="19"/>
        <v>32.5</v>
      </c>
      <c r="H158" s="576">
        <f t="shared" si="18"/>
        <v>72</v>
      </c>
      <c r="I158" s="455">
        <f t="shared" si="20"/>
        <v>32.5</v>
      </c>
      <c r="J158" s="577">
        <f>IF(E144="male", 500/(-0.000001093*E142^4+0.0007391293*E142^3-0.1918759221*E142^2+24.0900756*E142-307.75076), 500/(-0.0000010706*E142^4+0.0005158568*E142^3-0.1126655495*E142^2+13.6175032*E142-57.96288))*I158</f>
        <v>-52.80246911</v>
      </c>
      <c r="K158" s="453"/>
      <c r="L158" s="444"/>
      <c r="M158" s="444"/>
      <c r="N158" s="444"/>
      <c r="O158" s="392"/>
      <c r="P158" s="392"/>
      <c r="Q158" s="392"/>
      <c r="R158" s="392"/>
      <c r="S158" s="392"/>
      <c r="T158" s="392"/>
      <c r="U158" s="392"/>
      <c r="V158" s="392"/>
      <c r="W158" s="392"/>
      <c r="X158" s="392"/>
      <c r="Y158" s="392"/>
      <c r="Z158" s="392"/>
      <c r="AA158" s="392"/>
      <c r="AB158" s="392"/>
      <c r="AC158" s="392"/>
      <c r="AD158" s="392"/>
      <c r="AE158" s="392"/>
      <c r="AF158" s="392"/>
    </row>
    <row r="159" ht="15.75" customHeight="1">
      <c r="A159" s="216"/>
      <c r="B159" s="435"/>
      <c r="C159" s="156"/>
      <c r="D159" s="444"/>
      <c r="E159" s="444"/>
      <c r="F159" s="500"/>
      <c r="G159" s="500">
        <f t="shared" si="19"/>
        <v>35</v>
      </c>
      <c r="H159" s="533">
        <f t="shared" si="18"/>
        <v>77</v>
      </c>
      <c r="I159" s="501">
        <f t="shared" si="20"/>
        <v>35</v>
      </c>
      <c r="J159" s="578">
        <f>IF(E144="male", 500/(-0.000001093*E142^4+0.0007391293*E142^3-0.1918759221*E142^2+24.0900756*E142-307.75076), 500/(-0.0000010706*E142^4+0.0005158568*E142^3-0.1126655495*E142^2+13.6175032*E142-57.96288))*I159</f>
        <v>-56.86419751</v>
      </c>
      <c r="K159" s="453"/>
      <c r="L159" s="444"/>
      <c r="M159" s="444"/>
      <c r="N159" s="444"/>
      <c r="O159" s="392"/>
      <c r="P159" s="392"/>
      <c r="Q159" s="392"/>
      <c r="R159" s="392"/>
      <c r="S159" s="392"/>
      <c r="T159" s="392"/>
      <c r="U159" s="392"/>
      <c r="V159" s="392"/>
      <c r="W159" s="392"/>
      <c r="X159" s="392"/>
      <c r="Y159" s="392"/>
      <c r="Z159" s="392"/>
      <c r="AA159" s="392"/>
      <c r="AB159" s="392"/>
      <c r="AC159" s="392"/>
      <c r="AD159" s="392"/>
      <c r="AE159" s="392"/>
      <c r="AF159" s="392"/>
    </row>
    <row r="160" ht="15.75" customHeight="1">
      <c r="A160" s="216"/>
      <c r="B160" s="435"/>
      <c r="C160" s="156"/>
      <c r="D160" s="444"/>
      <c r="E160" s="444"/>
      <c r="F160" s="444"/>
      <c r="G160" s="444">
        <f t="shared" si="19"/>
        <v>37.5</v>
      </c>
      <c r="H160" s="576">
        <f t="shared" si="18"/>
        <v>83</v>
      </c>
      <c r="I160" s="455">
        <f t="shared" si="20"/>
        <v>37.5</v>
      </c>
      <c r="J160" s="577">
        <f>IF(E144="male", 500/(-0.000001093*E142^4+0.0007391293*E142^3-0.1918759221*E142^2+24.0900756*E142-307.75076), 500/(-0.0000010706*E142^4+0.0005158568*E142^3-0.1126655495*E142^2+13.6175032*E142-57.96288))*I160</f>
        <v>-60.9259259</v>
      </c>
      <c r="K160" s="453"/>
      <c r="L160" s="444"/>
      <c r="M160" s="444"/>
      <c r="N160" s="444"/>
      <c r="O160" s="392"/>
      <c r="P160" s="392"/>
      <c r="Q160" s="392"/>
      <c r="R160" s="392"/>
      <c r="S160" s="392"/>
      <c r="T160" s="392"/>
      <c r="U160" s="392"/>
      <c r="V160" s="392"/>
      <c r="W160" s="392"/>
      <c r="X160" s="392"/>
      <c r="Y160" s="392"/>
      <c r="Z160" s="392"/>
      <c r="AA160" s="392"/>
      <c r="AB160" s="392"/>
      <c r="AC160" s="392"/>
      <c r="AD160" s="392"/>
      <c r="AE160" s="392"/>
      <c r="AF160" s="392"/>
    </row>
    <row r="161" ht="15.75" customHeight="1">
      <c r="A161" s="216"/>
      <c r="B161" s="435"/>
      <c r="C161" s="156"/>
      <c r="D161" s="444"/>
      <c r="E161" s="444"/>
      <c r="F161" s="500"/>
      <c r="G161" s="500">
        <f t="shared" si="19"/>
        <v>40</v>
      </c>
      <c r="H161" s="533">
        <f t="shared" si="18"/>
        <v>88</v>
      </c>
      <c r="I161" s="501">
        <f t="shared" si="20"/>
        <v>40</v>
      </c>
      <c r="J161" s="578">
        <f>IF(E144="male", 500/(-0.000001093*E142^4+0.0007391293*E142^3-0.1918759221*E142^2+24.0900756*E142-307.75076), 500/(-0.0000010706*E142^4+0.0005158568*E142^3-0.1126655495*E142^2+13.6175032*E142-57.96288))*I161</f>
        <v>-64.9876543</v>
      </c>
      <c r="K161" s="453"/>
      <c r="L161" s="444"/>
      <c r="M161" s="444"/>
      <c r="N161" s="444"/>
      <c r="O161" s="392"/>
      <c r="P161" s="392"/>
      <c r="Q161" s="392"/>
      <c r="R161" s="392"/>
      <c r="S161" s="392"/>
      <c r="T161" s="392"/>
      <c r="U161" s="392"/>
      <c r="V161" s="392"/>
      <c r="W161" s="392"/>
      <c r="X161" s="392"/>
      <c r="Y161" s="392"/>
      <c r="Z161" s="392"/>
      <c r="AA161" s="392"/>
      <c r="AB161" s="392"/>
      <c r="AC161" s="392"/>
      <c r="AD161" s="392"/>
      <c r="AE161" s="392"/>
      <c r="AF161" s="392"/>
    </row>
    <row r="162" ht="15.75" customHeight="1">
      <c r="A162" s="216"/>
      <c r="B162" s="435"/>
      <c r="C162" s="156"/>
      <c r="D162" s="444"/>
      <c r="E162" s="444"/>
      <c r="F162" s="444"/>
      <c r="G162" s="444">
        <f t="shared" si="19"/>
        <v>42.5</v>
      </c>
      <c r="H162" s="576">
        <f t="shared" si="18"/>
        <v>94</v>
      </c>
      <c r="I162" s="455">
        <f t="shared" si="20"/>
        <v>42.5</v>
      </c>
      <c r="J162" s="577">
        <f>IF(E144="male", 500/(-0.000001093*E142^4+0.0007391293*E142^3-0.1918759221*E142^2+24.0900756*E142-307.75076), 500/(-0.0000010706*E142^4+0.0005158568*E142^3-0.1126655495*E142^2+13.6175032*E142-57.96288))*I162</f>
        <v>-69.04938269</v>
      </c>
      <c r="K162" s="453"/>
      <c r="L162" s="444"/>
      <c r="M162" s="444"/>
      <c r="N162" s="444"/>
      <c r="O162" s="392"/>
      <c r="P162" s="392"/>
      <c r="Q162" s="392"/>
      <c r="R162" s="392"/>
      <c r="S162" s="392"/>
      <c r="T162" s="392"/>
      <c r="U162" s="392"/>
      <c r="V162" s="392"/>
      <c r="W162" s="392"/>
      <c r="X162" s="392"/>
      <c r="Y162" s="392"/>
      <c r="Z162" s="392"/>
      <c r="AA162" s="392"/>
      <c r="AB162" s="392"/>
      <c r="AC162" s="392"/>
      <c r="AD162" s="392"/>
      <c r="AE162" s="392"/>
      <c r="AF162" s="392"/>
    </row>
    <row r="163" ht="15.75" customHeight="1">
      <c r="A163" s="216"/>
      <c r="B163" s="435"/>
      <c r="C163" s="156"/>
      <c r="D163" s="444"/>
      <c r="E163" s="444"/>
      <c r="F163" s="500"/>
      <c r="G163" s="500">
        <f t="shared" si="19"/>
        <v>45</v>
      </c>
      <c r="H163" s="533">
        <f t="shared" si="18"/>
        <v>99</v>
      </c>
      <c r="I163" s="501">
        <f t="shared" si="20"/>
        <v>45</v>
      </c>
      <c r="J163" s="578">
        <f>IF(E144="male", 500/(-0.000001093*E142^4+0.0007391293*E142^3-0.1918759221*E142^2+24.0900756*E142-307.75076), 500/(-0.0000010706*E142^4+0.0005158568*E142^3-0.1126655495*E142^2+13.6175032*E142-57.96288))*I163</f>
        <v>-73.11111108</v>
      </c>
      <c r="K163" s="453"/>
      <c r="L163" s="444"/>
      <c r="M163" s="444"/>
      <c r="N163" s="444"/>
      <c r="O163" s="392"/>
      <c r="P163" s="392"/>
      <c r="Q163" s="392"/>
      <c r="R163" s="392"/>
      <c r="S163" s="392"/>
      <c r="T163" s="392"/>
      <c r="U163" s="392"/>
      <c r="V163" s="392"/>
      <c r="W163" s="392"/>
      <c r="X163" s="392"/>
      <c r="Y163" s="392"/>
      <c r="Z163" s="392"/>
      <c r="AA163" s="392"/>
      <c r="AB163" s="392"/>
      <c r="AC163" s="392"/>
      <c r="AD163" s="392"/>
      <c r="AE163" s="392"/>
      <c r="AF163" s="392"/>
    </row>
    <row r="164" ht="15.75" customHeight="1">
      <c r="A164" s="216"/>
      <c r="B164" s="435"/>
      <c r="C164" s="156"/>
      <c r="D164" s="444"/>
      <c r="E164" s="444"/>
      <c r="F164" s="444"/>
      <c r="G164" s="444">
        <f t="shared" si="19"/>
        <v>47.5</v>
      </c>
      <c r="H164" s="576">
        <f t="shared" si="18"/>
        <v>105</v>
      </c>
      <c r="I164" s="455">
        <f t="shared" si="20"/>
        <v>47.5</v>
      </c>
      <c r="J164" s="577">
        <f>IF(E144="male", 500/(-0.000001093*E142^4+0.0007391293*E142^3-0.1918759221*E142^2+24.0900756*E142-307.75076), 500/(-0.0000010706*E142^4+0.0005158568*E142^3-0.1126655495*E142^2+13.6175032*E142-57.96288))*I164</f>
        <v>-77.17283948</v>
      </c>
      <c r="K164" s="453"/>
      <c r="L164" s="444"/>
      <c r="M164" s="444"/>
      <c r="N164" s="444"/>
      <c r="O164" s="392"/>
      <c r="P164" s="392"/>
      <c r="Q164" s="392"/>
      <c r="R164" s="392"/>
      <c r="S164" s="392"/>
      <c r="T164" s="392"/>
      <c r="U164" s="392"/>
      <c r="V164" s="392"/>
      <c r="W164" s="392"/>
      <c r="X164" s="392"/>
      <c r="Y164" s="392"/>
      <c r="Z164" s="392"/>
      <c r="AA164" s="392"/>
      <c r="AB164" s="392"/>
      <c r="AC164" s="392"/>
      <c r="AD164" s="392"/>
      <c r="AE164" s="392"/>
      <c r="AF164" s="392"/>
    </row>
    <row r="165" ht="15.75" customHeight="1">
      <c r="A165" s="216"/>
      <c r="B165" s="435"/>
      <c r="C165" s="156"/>
      <c r="D165" s="444"/>
      <c r="E165" s="444"/>
      <c r="F165" s="500"/>
      <c r="G165" s="500">
        <f t="shared" si="19"/>
        <v>50</v>
      </c>
      <c r="H165" s="533">
        <f t="shared" si="18"/>
        <v>110</v>
      </c>
      <c r="I165" s="501">
        <f t="shared" si="20"/>
        <v>50</v>
      </c>
      <c r="J165" s="578">
        <f>IF(E144="male", 500/(-0.000001093*E142^4+0.0007391293*E142^3-0.1918759221*E142^2+24.0900756*E142-307.75076), 500/(-0.0000010706*E142^4+0.0005158568*E142^3-0.1126655495*E142^2+13.6175032*E142-57.96288))*I165</f>
        <v>-81.23456787</v>
      </c>
      <c r="K165" s="453"/>
      <c r="L165" s="444"/>
      <c r="M165" s="444"/>
      <c r="N165" s="444"/>
      <c r="O165" s="392"/>
      <c r="P165" s="392"/>
      <c r="Q165" s="392"/>
      <c r="R165" s="392"/>
      <c r="S165" s="392"/>
      <c r="T165" s="392"/>
      <c r="U165" s="392"/>
      <c r="V165" s="392"/>
      <c r="W165" s="392"/>
      <c r="X165" s="392"/>
      <c r="Y165" s="392"/>
      <c r="Z165" s="392"/>
      <c r="AA165" s="392"/>
      <c r="AB165" s="392"/>
      <c r="AC165" s="392"/>
      <c r="AD165" s="392"/>
      <c r="AE165" s="392"/>
      <c r="AF165" s="392"/>
    </row>
    <row r="166" ht="15.75" customHeight="1">
      <c r="A166" s="216"/>
      <c r="B166" s="435"/>
      <c r="C166" s="156"/>
      <c r="D166" s="444"/>
      <c r="E166" s="444"/>
      <c r="F166" s="444"/>
      <c r="G166" s="444">
        <f t="shared" si="19"/>
        <v>52.5</v>
      </c>
      <c r="H166" s="576">
        <f t="shared" si="18"/>
        <v>116</v>
      </c>
      <c r="I166" s="455">
        <f t="shared" si="20"/>
        <v>52.5</v>
      </c>
      <c r="J166" s="577">
        <f>IF(E144="male", 500/(-0.000001093*E142^4+0.0007391293*E142^3-0.1918759221*E142^2+24.0900756*E142-307.75076), 500/(-0.0000010706*E142^4+0.0005158568*E142^3-0.1126655495*E142^2+13.6175032*E142-57.96288))*I166</f>
        <v>-85.29629626</v>
      </c>
      <c r="K166" s="453"/>
      <c r="L166" s="444"/>
      <c r="M166" s="444"/>
      <c r="N166" s="444"/>
      <c r="O166" s="392"/>
      <c r="P166" s="392"/>
      <c r="Q166" s="392"/>
      <c r="R166" s="392"/>
      <c r="S166" s="392"/>
      <c r="T166" s="392"/>
      <c r="U166" s="392"/>
      <c r="V166" s="392"/>
      <c r="W166" s="392"/>
      <c r="X166" s="392"/>
      <c r="Y166" s="392"/>
      <c r="Z166" s="392"/>
      <c r="AA166" s="392"/>
      <c r="AB166" s="392"/>
      <c r="AC166" s="392"/>
      <c r="AD166" s="392"/>
      <c r="AE166" s="392"/>
      <c r="AF166" s="392"/>
    </row>
    <row r="167" ht="15.75" customHeight="1">
      <c r="A167" s="216"/>
      <c r="B167" s="435"/>
      <c r="C167" s="156"/>
      <c r="D167" s="444"/>
      <c r="E167" s="444"/>
      <c r="F167" s="500"/>
      <c r="G167" s="500">
        <f t="shared" si="19"/>
        <v>55</v>
      </c>
      <c r="H167" s="533">
        <f t="shared" si="18"/>
        <v>121</v>
      </c>
      <c r="I167" s="501">
        <f t="shared" si="20"/>
        <v>55</v>
      </c>
      <c r="J167" s="578">
        <f>IF(E144="male", 500/(-0.000001093*E142^4+0.0007391293*E142^3-0.1918759221*E142^2+24.0900756*E142-307.75076), 500/(-0.0000010706*E142^4+0.0005158568*E142^3-0.1126655495*E142^2+13.6175032*E142-57.96288))*I167</f>
        <v>-89.35802466</v>
      </c>
      <c r="K167" s="453"/>
      <c r="L167" s="444"/>
      <c r="M167" s="444"/>
      <c r="N167" s="444"/>
      <c r="O167" s="392"/>
      <c r="P167" s="392"/>
      <c r="Q167" s="392"/>
      <c r="R167" s="392"/>
      <c r="S167" s="392"/>
      <c r="T167" s="392"/>
      <c r="U167" s="392"/>
      <c r="V167" s="392"/>
      <c r="W167" s="392"/>
      <c r="X167" s="392"/>
      <c r="Y167" s="392"/>
      <c r="Z167" s="392"/>
      <c r="AA167" s="392"/>
      <c r="AB167" s="392"/>
      <c r="AC167" s="392"/>
      <c r="AD167" s="392"/>
      <c r="AE167" s="392"/>
      <c r="AF167" s="392"/>
    </row>
    <row r="168" ht="15.75" customHeight="1">
      <c r="A168" s="216"/>
      <c r="B168" s="435"/>
      <c r="C168" s="156"/>
      <c r="D168" s="444"/>
      <c r="E168" s="444"/>
      <c r="F168" s="444"/>
      <c r="G168" s="444">
        <f t="shared" si="19"/>
        <v>57.5</v>
      </c>
      <c r="H168" s="576">
        <f t="shared" si="18"/>
        <v>127</v>
      </c>
      <c r="I168" s="455">
        <f t="shared" si="20"/>
        <v>57.5</v>
      </c>
      <c r="J168" s="577">
        <f>IF(E144="male", 500/(-0.000001093*E142^4+0.0007391293*E142^3-0.1918759221*E142^2+24.0900756*E142-307.75076), 500/(-0.0000010706*E142^4+0.0005158568*E142^3-0.1126655495*E142^2+13.6175032*E142-57.96288))*I168</f>
        <v>-93.41975305</v>
      </c>
      <c r="K168" s="453"/>
      <c r="L168" s="444"/>
      <c r="M168" s="444"/>
      <c r="N168" s="444"/>
      <c r="O168" s="392"/>
      <c r="P168" s="392"/>
      <c r="Q168" s="392"/>
      <c r="R168" s="392"/>
      <c r="S168" s="392"/>
      <c r="T168" s="392"/>
      <c r="U168" s="392"/>
      <c r="V168" s="392"/>
      <c r="W168" s="392"/>
      <c r="X168" s="392"/>
      <c r="Y168" s="392"/>
      <c r="Z168" s="392"/>
      <c r="AA168" s="392"/>
      <c r="AB168" s="392"/>
      <c r="AC168" s="392"/>
      <c r="AD168" s="392"/>
      <c r="AE168" s="392"/>
      <c r="AF168" s="392"/>
    </row>
    <row r="169" ht="15.75" customHeight="1">
      <c r="A169" s="216"/>
      <c r="B169" s="435"/>
      <c r="C169" s="156"/>
      <c r="D169" s="444"/>
      <c r="E169" s="444"/>
      <c r="F169" s="500"/>
      <c r="G169" s="500">
        <f t="shared" si="19"/>
        <v>60</v>
      </c>
      <c r="H169" s="533">
        <f t="shared" si="18"/>
        <v>132</v>
      </c>
      <c r="I169" s="501">
        <f t="shared" si="20"/>
        <v>60</v>
      </c>
      <c r="J169" s="578">
        <f>IF(E144="male", 500/(-0.000001093*E142^4+0.0007391293*E142^3-0.1918759221*E142^2+24.0900756*E142-307.75076), 500/(-0.0000010706*E142^4+0.0005158568*E142^3-0.1126655495*E142^2+13.6175032*E142-57.96288))*I169</f>
        <v>-97.48148144</v>
      </c>
      <c r="K169" s="453"/>
      <c r="L169" s="444"/>
      <c r="M169" s="444"/>
      <c r="N169" s="444"/>
      <c r="O169" s="392"/>
      <c r="P169" s="392"/>
      <c r="Q169" s="392"/>
      <c r="R169" s="392"/>
      <c r="S169" s="392"/>
      <c r="T169" s="392"/>
      <c r="U169" s="392"/>
      <c r="V169" s="392"/>
      <c r="W169" s="392"/>
      <c r="X169" s="392"/>
      <c r="Y169" s="392"/>
      <c r="Z169" s="392"/>
      <c r="AA169" s="392"/>
      <c r="AB169" s="392"/>
      <c r="AC169" s="392"/>
      <c r="AD169" s="392"/>
      <c r="AE169" s="392"/>
      <c r="AF169" s="392"/>
    </row>
    <row r="170" ht="15.75" customHeight="1">
      <c r="A170" s="216"/>
      <c r="B170" s="435"/>
      <c r="C170" s="156"/>
      <c r="D170" s="444"/>
      <c r="E170" s="444"/>
      <c r="F170" s="444"/>
      <c r="G170" s="444">
        <f t="shared" si="19"/>
        <v>62.5</v>
      </c>
      <c r="H170" s="576">
        <f t="shared" si="18"/>
        <v>138</v>
      </c>
      <c r="I170" s="455">
        <f t="shared" si="20"/>
        <v>62.5</v>
      </c>
      <c r="J170" s="577">
        <f>IF(E144="male", 500/(-0.000001093*E142^4+0.0007391293*E142^3-0.1918759221*E142^2+24.0900756*E142-307.75076), 500/(-0.0000010706*E142^4+0.0005158568*E142^3-0.1126655495*E142^2+13.6175032*E142-57.96288))*I170</f>
        <v>-101.5432098</v>
      </c>
      <c r="K170" s="453"/>
      <c r="L170" s="444"/>
      <c r="M170" s="444"/>
      <c r="N170" s="444"/>
      <c r="O170" s="392"/>
      <c r="P170" s="392"/>
      <c r="Q170" s="392"/>
      <c r="R170" s="392"/>
      <c r="S170" s="392"/>
      <c r="T170" s="392"/>
      <c r="U170" s="392"/>
      <c r="V170" s="392"/>
      <c r="W170" s="392"/>
      <c r="X170" s="392"/>
      <c r="Y170" s="392"/>
      <c r="Z170" s="392"/>
      <c r="AA170" s="392"/>
      <c r="AB170" s="392"/>
      <c r="AC170" s="392"/>
      <c r="AD170" s="392"/>
      <c r="AE170" s="392"/>
      <c r="AF170" s="392"/>
    </row>
    <row r="171" ht="15.75" customHeight="1">
      <c r="A171" s="216"/>
      <c r="B171" s="435"/>
      <c r="C171" s="156"/>
      <c r="D171" s="444"/>
      <c r="E171" s="444"/>
      <c r="F171" s="500"/>
      <c r="G171" s="500">
        <f t="shared" si="19"/>
        <v>65</v>
      </c>
      <c r="H171" s="533">
        <f t="shared" si="18"/>
        <v>143</v>
      </c>
      <c r="I171" s="501">
        <f t="shared" si="20"/>
        <v>65</v>
      </c>
      <c r="J171" s="578">
        <f>IF(E144="male", 500/(-0.000001093*E142^4+0.0007391293*E142^3-0.1918759221*E142^2+24.0900756*E142-307.75076), 500/(-0.0000010706*E142^4+0.0005158568*E142^3-0.1126655495*E142^2+13.6175032*E142-57.96288))*I171</f>
        <v>-105.6049382</v>
      </c>
      <c r="K171" s="453"/>
      <c r="L171" s="444"/>
      <c r="M171" s="444"/>
      <c r="N171" s="444"/>
      <c r="O171" s="392"/>
      <c r="P171" s="392"/>
      <c r="Q171" s="392"/>
      <c r="R171" s="392"/>
      <c r="S171" s="392"/>
      <c r="T171" s="392"/>
      <c r="U171" s="392"/>
      <c r="V171" s="392"/>
      <c r="W171" s="392"/>
      <c r="X171" s="392"/>
      <c r="Y171" s="392"/>
      <c r="Z171" s="392"/>
      <c r="AA171" s="392"/>
      <c r="AB171" s="392"/>
      <c r="AC171" s="392"/>
      <c r="AD171" s="392"/>
      <c r="AE171" s="392"/>
      <c r="AF171" s="392"/>
    </row>
    <row r="172" ht="15.75" customHeight="1">
      <c r="A172" s="216"/>
      <c r="B172" s="156"/>
      <c r="C172" s="156"/>
      <c r="D172" s="156"/>
      <c r="E172" s="392"/>
      <c r="F172" s="392"/>
      <c r="G172" s="392"/>
      <c r="H172" s="392"/>
      <c r="I172" s="392"/>
      <c r="J172" s="145"/>
      <c r="K172" s="392"/>
      <c r="L172" s="392"/>
      <c r="M172" s="392"/>
      <c r="N172" s="392"/>
      <c r="O172" s="392"/>
      <c r="P172" s="392"/>
      <c r="Q172" s="392"/>
      <c r="R172" s="392"/>
      <c r="S172" s="392"/>
      <c r="T172" s="392"/>
      <c r="U172" s="392"/>
      <c r="V172" s="392"/>
      <c r="W172" s="392"/>
      <c r="X172" s="392"/>
      <c r="Y172" s="392"/>
      <c r="Z172" s="392"/>
      <c r="AA172" s="392"/>
      <c r="AB172" s="392"/>
      <c r="AC172" s="392"/>
      <c r="AD172" s="392"/>
      <c r="AE172" s="392"/>
      <c r="AF172" s="392"/>
    </row>
    <row r="173" ht="15.75" customHeight="1">
      <c r="A173" s="216"/>
      <c r="B173" s="156"/>
      <c r="C173" s="156"/>
      <c r="D173" s="156"/>
      <c r="E173" s="392"/>
      <c r="F173" s="392"/>
      <c r="G173" s="392"/>
      <c r="H173" s="392"/>
      <c r="I173" s="392"/>
      <c r="J173" s="145"/>
      <c r="K173" s="392"/>
      <c r="L173" s="392"/>
      <c r="M173" s="392"/>
      <c r="N173" s="392"/>
      <c r="O173" s="392"/>
      <c r="P173" s="392"/>
      <c r="Q173" s="392"/>
      <c r="R173" s="392"/>
      <c r="S173" s="392"/>
      <c r="T173" s="392"/>
      <c r="U173" s="392"/>
      <c r="V173" s="392"/>
      <c r="W173" s="392"/>
      <c r="X173" s="392"/>
      <c r="Y173" s="392"/>
      <c r="Z173" s="392"/>
      <c r="AA173" s="392"/>
      <c r="AB173" s="392"/>
      <c r="AC173" s="392"/>
      <c r="AD173" s="392"/>
      <c r="AE173" s="392"/>
      <c r="AF173" s="392"/>
    </row>
    <row r="174" ht="15.75" customHeight="1">
      <c r="A174" s="216"/>
      <c r="B174" s="156"/>
      <c r="C174" s="156"/>
      <c r="D174" s="156"/>
      <c r="E174" s="392"/>
      <c r="F174" s="392"/>
      <c r="G174" s="392"/>
      <c r="H174" s="392"/>
      <c r="I174" s="392"/>
      <c r="J174" s="145"/>
      <c r="K174" s="392"/>
      <c r="L174" s="392"/>
      <c r="M174" s="392"/>
      <c r="N174" s="392"/>
      <c r="O174" s="392"/>
      <c r="P174" s="392"/>
      <c r="Q174" s="392"/>
      <c r="R174" s="392"/>
      <c r="S174" s="392"/>
      <c r="T174" s="392"/>
      <c r="U174" s="392"/>
      <c r="V174" s="392"/>
      <c r="W174" s="392"/>
      <c r="X174" s="392"/>
      <c r="Y174" s="392"/>
      <c r="Z174" s="392"/>
      <c r="AA174" s="392"/>
      <c r="AB174" s="392"/>
      <c r="AC174" s="392"/>
      <c r="AD174" s="392"/>
      <c r="AE174" s="392"/>
      <c r="AF174" s="392"/>
    </row>
    <row r="175" ht="15.75" customHeight="1">
      <c r="A175" s="216"/>
      <c r="B175" s="156"/>
      <c r="C175" s="156"/>
      <c r="D175" s="156"/>
      <c r="E175" s="392"/>
      <c r="F175" s="392"/>
      <c r="G175" s="392"/>
      <c r="H175" s="392"/>
      <c r="I175" s="392"/>
      <c r="J175" s="145"/>
      <c r="K175" s="392"/>
      <c r="L175" s="392"/>
      <c r="M175" s="392"/>
      <c r="N175" s="392"/>
      <c r="O175" s="392"/>
      <c r="P175" s="392"/>
      <c r="Q175" s="392"/>
      <c r="R175" s="392"/>
      <c r="S175" s="392"/>
      <c r="T175" s="392"/>
      <c r="U175" s="392"/>
      <c r="V175" s="392"/>
      <c r="W175" s="392"/>
      <c r="X175" s="392"/>
      <c r="Y175" s="392"/>
      <c r="Z175" s="392"/>
      <c r="AA175" s="392"/>
      <c r="AB175" s="392"/>
      <c r="AC175" s="392"/>
      <c r="AD175" s="392"/>
      <c r="AE175" s="392"/>
      <c r="AF175" s="392"/>
    </row>
    <row r="176" ht="15.75" customHeight="1">
      <c r="A176" s="216"/>
      <c r="B176" s="156"/>
      <c r="C176" s="156"/>
      <c r="D176" s="156"/>
      <c r="E176" s="392"/>
      <c r="F176" s="392"/>
      <c r="G176" s="392"/>
      <c r="H176" s="392"/>
      <c r="I176" s="392"/>
      <c r="J176" s="145"/>
      <c r="K176" s="392"/>
      <c r="L176" s="392"/>
      <c r="M176" s="392"/>
      <c r="N176" s="392"/>
      <c r="O176" s="392"/>
      <c r="P176" s="392"/>
      <c r="Q176" s="392"/>
      <c r="R176" s="392"/>
      <c r="S176" s="392"/>
      <c r="T176" s="392"/>
      <c r="U176" s="392"/>
      <c r="V176" s="392"/>
      <c r="W176" s="392"/>
      <c r="X176" s="392"/>
      <c r="Y176" s="392"/>
      <c r="Z176" s="392"/>
      <c r="AA176" s="392"/>
      <c r="AB176" s="392"/>
      <c r="AC176" s="392"/>
      <c r="AD176" s="392"/>
      <c r="AE176" s="392"/>
      <c r="AF176" s="392"/>
    </row>
    <row r="177" ht="15.75" customHeight="1">
      <c r="A177" s="216"/>
      <c r="B177" s="156"/>
      <c r="C177" s="156"/>
      <c r="D177" s="156"/>
      <c r="E177" s="392"/>
      <c r="F177" s="392"/>
      <c r="G177" s="392"/>
      <c r="H177" s="392"/>
      <c r="I177" s="392"/>
      <c r="J177" s="145"/>
      <c r="K177" s="392"/>
      <c r="L177" s="392"/>
      <c r="M177" s="392"/>
      <c r="N177" s="392"/>
      <c r="O177" s="392"/>
      <c r="P177" s="392"/>
      <c r="Q177" s="392"/>
      <c r="R177" s="392"/>
      <c r="S177" s="392"/>
      <c r="T177" s="392"/>
      <c r="U177" s="392"/>
      <c r="V177" s="392"/>
      <c r="W177" s="392"/>
      <c r="X177" s="392"/>
      <c r="Y177" s="392"/>
      <c r="Z177" s="392"/>
      <c r="AA177" s="392"/>
      <c r="AB177" s="392"/>
      <c r="AC177" s="392"/>
      <c r="AD177" s="392"/>
      <c r="AE177" s="392"/>
      <c r="AF177" s="392"/>
    </row>
    <row r="178" ht="15.75" customHeight="1">
      <c r="A178" s="216"/>
      <c r="B178" s="156"/>
      <c r="C178" s="156"/>
      <c r="D178" s="156"/>
      <c r="E178" s="392"/>
      <c r="F178" s="392"/>
      <c r="G178" s="392"/>
      <c r="H178" s="392"/>
      <c r="I178" s="392"/>
      <c r="J178" s="145"/>
      <c r="K178" s="392"/>
      <c r="L178" s="392"/>
      <c r="M178" s="392"/>
      <c r="N178" s="392"/>
      <c r="O178" s="392"/>
      <c r="P178" s="392"/>
      <c r="Q178" s="392"/>
      <c r="R178" s="392"/>
      <c r="S178" s="392"/>
      <c r="T178" s="392"/>
      <c r="U178" s="392"/>
      <c r="V178" s="392"/>
      <c r="W178" s="392"/>
      <c r="X178" s="392"/>
      <c r="Y178" s="392"/>
      <c r="Z178" s="392"/>
      <c r="AA178" s="392"/>
      <c r="AB178" s="392"/>
      <c r="AC178" s="392"/>
      <c r="AD178" s="392"/>
      <c r="AE178" s="392"/>
      <c r="AF178" s="392"/>
    </row>
    <row r="179" ht="15.75" customHeight="1">
      <c r="A179" s="216"/>
      <c r="B179" s="156"/>
      <c r="C179" s="156"/>
      <c r="D179" s="156"/>
      <c r="E179" s="392"/>
      <c r="F179" s="392"/>
      <c r="G179" s="392"/>
      <c r="H179" s="392"/>
      <c r="I179" s="392"/>
      <c r="J179" s="145"/>
      <c r="K179" s="392"/>
      <c r="L179" s="392"/>
      <c r="M179" s="392"/>
      <c r="N179" s="392"/>
      <c r="O179" s="392"/>
      <c r="P179" s="392"/>
      <c r="Q179" s="392"/>
      <c r="R179" s="392"/>
      <c r="S179" s="392"/>
      <c r="T179" s="392"/>
      <c r="U179" s="392"/>
      <c r="V179" s="392"/>
      <c r="W179" s="392"/>
      <c r="X179" s="392"/>
      <c r="Y179" s="392"/>
      <c r="Z179" s="392"/>
      <c r="AA179" s="392"/>
      <c r="AB179" s="392"/>
      <c r="AC179" s="392"/>
      <c r="AD179" s="392"/>
      <c r="AE179" s="392"/>
      <c r="AF179" s="392"/>
    </row>
    <row r="180" ht="15.75" customHeight="1">
      <c r="A180" s="216"/>
      <c r="B180" s="156"/>
      <c r="C180" s="156"/>
      <c r="D180" s="156"/>
      <c r="E180" s="392"/>
      <c r="F180" s="392"/>
      <c r="G180" s="392"/>
      <c r="H180" s="392"/>
      <c r="I180" s="392"/>
      <c r="J180" s="145"/>
      <c r="K180" s="392"/>
      <c r="L180" s="392"/>
      <c r="M180" s="392"/>
      <c r="N180" s="392"/>
      <c r="O180" s="392"/>
      <c r="P180" s="392"/>
      <c r="Q180" s="392"/>
      <c r="R180" s="392"/>
      <c r="S180" s="392"/>
      <c r="T180" s="392"/>
      <c r="U180" s="392"/>
      <c r="V180" s="392"/>
      <c r="W180" s="392"/>
      <c r="X180" s="392"/>
      <c r="Y180" s="392"/>
      <c r="Z180" s="392"/>
      <c r="AA180" s="392"/>
      <c r="AB180" s="392"/>
      <c r="AC180" s="392"/>
      <c r="AD180" s="392"/>
      <c r="AE180" s="392"/>
      <c r="AF180" s="392"/>
    </row>
    <row r="181" ht="15.75" customHeight="1">
      <c r="A181" s="216"/>
      <c r="B181" s="156"/>
      <c r="C181" s="156"/>
      <c r="D181" s="156"/>
      <c r="E181" s="392"/>
      <c r="F181" s="392"/>
      <c r="G181" s="392"/>
      <c r="H181" s="392"/>
      <c r="I181" s="392"/>
      <c r="J181" s="145"/>
      <c r="K181" s="392"/>
      <c r="L181" s="392"/>
      <c r="M181" s="392"/>
      <c r="N181" s="392"/>
      <c r="O181" s="392"/>
      <c r="P181" s="392"/>
      <c r="Q181" s="392"/>
      <c r="R181" s="392"/>
      <c r="S181" s="392"/>
      <c r="T181" s="392"/>
      <c r="U181" s="392"/>
      <c r="V181" s="392"/>
      <c r="W181" s="392"/>
      <c r="X181" s="392"/>
      <c r="Y181" s="392"/>
      <c r="Z181" s="392"/>
      <c r="AA181" s="392"/>
      <c r="AB181" s="392"/>
      <c r="AC181" s="392"/>
      <c r="AD181" s="392"/>
      <c r="AE181" s="392"/>
      <c r="AF181" s="392"/>
    </row>
    <row r="182" ht="15.75" customHeight="1">
      <c r="A182" s="216"/>
      <c r="B182" s="156"/>
      <c r="C182" s="156"/>
      <c r="D182" s="156"/>
      <c r="E182" s="392"/>
      <c r="F182" s="392"/>
      <c r="G182" s="392"/>
      <c r="H182" s="392"/>
      <c r="I182" s="392"/>
      <c r="J182" s="145"/>
      <c r="K182" s="392"/>
      <c r="L182" s="392"/>
      <c r="M182" s="392"/>
      <c r="N182" s="392"/>
      <c r="O182" s="392"/>
      <c r="P182" s="392"/>
      <c r="Q182" s="392"/>
      <c r="R182" s="392"/>
      <c r="S182" s="392"/>
      <c r="T182" s="392"/>
      <c r="U182" s="392"/>
      <c r="V182" s="392"/>
      <c r="W182" s="392"/>
      <c r="X182" s="392"/>
      <c r="Y182" s="392"/>
      <c r="Z182" s="392"/>
      <c r="AA182" s="392"/>
      <c r="AB182" s="392"/>
      <c r="AC182" s="392"/>
      <c r="AD182" s="392"/>
      <c r="AE182" s="392"/>
      <c r="AF182" s="392"/>
    </row>
    <row r="183" ht="15.75" customHeight="1">
      <c r="A183" s="216"/>
      <c r="B183" s="156"/>
      <c r="C183" s="156"/>
      <c r="D183" s="156"/>
      <c r="E183" s="392"/>
      <c r="F183" s="392"/>
      <c r="G183" s="392"/>
      <c r="H183" s="392"/>
      <c r="I183" s="392"/>
      <c r="J183" s="145"/>
      <c r="K183" s="392"/>
      <c r="L183" s="392"/>
      <c r="M183" s="392"/>
      <c r="N183" s="392"/>
      <c r="O183" s="392"/>
      <c r="P183" s="392"/>
      <c r="Q183" s="392"/>
      <c r="R183" s="392"/>
      <c r="S183" s="392"/>
      <c r="T183" s="392"/>
      <c r="U183" s="392"/>
      <c r="V183" s="392"/>
      <c r="W183" s="392"/>
      <c r="X183" s="392"/>
      <c r="Y183" s="392"/>
      <c r="Z183" s="392"/>
      <c r="AA183" s="392"/>
      <c r="AB183" s="392"/>
      <c r="AC183" s="392"/>
      <c r="AD183" s="392"/>
      <c r="AE183" s="392"/>
      <c r="AF183" s="392"/>
    </row>
    <row r="184" ht="15.75" customHeight="1">
      <c r="A184" s="216"/>
      <c r="B184" s="156"/>
      <c r="C184" s="156"/>
      <c r="D184" s="156"/>
      <c r="E184" s="392"/>
      <c r="F184" s="392"/>
      <c r="G184" s="392"/>
      <c r="H184" s="392"/>
      <c r="I184" s="392"/>
      <c r="J184" s="145"/>
      <c r="K184" s="392"/>
      <c r="L184" s="392"/>
      <c r="M184" s="392"/>
      <c r="N184" s="392"/>
      <c r="O184" s="392"/>
      <c r="P184" s="392"/>
      <c r="Q184" s="392"/>
      <c r="R184" s="392"/>
      <c r="S184" s="392"/>
      <c r="T184" s="392"/>
      <c r="U184" s="392"/>
      <c r="V184" s="392"/>
      <c r="W184" s="392"/>
      <c r="X184" s="392"/>
      <c r="Y184" s="392"/>
      <c r="Z184" s="392"/>
      <c r="AA184" s="392"/>
      <c r="AB184" s="392"/>
      <c r="AC184" s="392"/>
      <c r="AD184" s="392"/>
      <c r="AE184" s="392"/>
      <c r="AF184" s="392"/>
    </row>
    <row r="185" ht="15.75" customHeight="1">
      <c r="A185" s="216"/>
      <c r="B185" s="156"/>
      <c r="C185" s="156"/>
      <c r="D185" s="156"/>
      <c r="E185" s="392"/>
      <c r="F185" s="392"/>
      <c r="G185" s="392"/>
      <c r="H185" s="392"/>
      <c r="I185" s="392"/>
      <c r="J185" s="145"/>
      <c r="K185" s="392"/>
      <c r="L185" s="392"/>
      <c r="M185" s="392"/>
      <c r="N185" s="392"/>
      <c r="O185" s="392"/>
      <c r="P185" s="392"/>
      <c r="Q185" s="392"/>
      <c r="R185" s="392"/>
      <c r="S185" s="392"/>
      <c r="T185" s="392"/>
      <c r="U185" s="392"/>
      <c r="V185" s="392"/>
      <c r="W185" s="392"/>
      <c r="X185" s="392"/>
      <c r="Y185" s="392"/>
      <c r="Z185" s="392"/>
      <c r="AA185" s="392"/>
      <c r="AB185" s="392"/>
      <c r="AC185" s="392"/>
      <c r="AD185" s="392"/>
      <c r="AE185" s="392"/>
      <c r="AF185" s="392"/>
    </row>
    <row r="186" ht="15.75" customHeight="1">
      <c r="A186" s="216"/>
      <c r="B186" s="156"/>
      <c r="C186" s="156"/>
      <c r="D186" s="156"/>
      <c r="E186" s="392"/>
      <c r="F186" s="392"/>
      <c r="G186" s="392"/>
      <c r="H186" s="392"/>
      <c r="I186" s="392"/>
      <c r="J186" s="145"/>
      <c r="K186" s="392"/>
      <c r="L186" s="392"/>
      <c r="M186" s="392"/>
      <c r="N186" s="392"/>
      <c r="O186" s="392"/>
      <c r="P186" s="392"/>
      <c r="Q186" s="392"/>
      <c r="R186" s="392"/>
      <c r="S186" s="392"/>
      <c r="T186" s="392"/>
      <c r="U186" s="392"/>
      <c r="V186" s="392"/>
      <c r="W186" s="392"/>
      <c r="X186" s="392"/>
      <c r="Y186" s="392"/>
      <c r="Z186" s="392"/>
      <c r="AA186" s="392"/>
      <c r="AB186" s="392"/>
      <c r="AC186" s="392"/>
      <c r="AD186" s="392"/>
      <c r="AE186" s="392"/>
      <c r="AF186" s="392"/>
    </row>
    <row r="187" ht="15.75" customHeight="1">
      <c r="A187" s="216"/>
      <c r="B187" s="156"/>
      <c r="C187" s="156"/>
      <c r="D187" s="156"/>
      <c r="E187" s="392"/>
      <c r="F187" s="392"/>
      <c r="G187" s="392"/>
      <c r="H187" s="392"/>
      <c r="I187" s="392"/>
      <c r="J187" s="145"/>
      <c r="K187" s="392"/>
      <c r="L187" s="392"/>
      <c r="M187" s="392"/>
      <c r="N187" s="392"/>
      <c r="O187" s="392"/>
      <c r="P187" s="392"/>
      <c r="Q187" s="392"/>
      <c r="R187" s="392"/>
      <c r="S187" s="392"/>
      <c r="T187" s="392"/>
      <c r="U187" s="392"/>
      <c r="V187" s="392"/>
      <c r="W187" s="392"/>
      <c r="X187" s="392"/>
      <c r="Y187" s="392"/>
      <c r="Z187" s="392"/>
      <c r="AA187" s="392"/>
      <c r="AB187" s="392"/>
      <c r="AC187" s="392"/>
      <c r="AD187" s="392"/>
      <c r="AE187" s="392"/>
      <c r="AF187" s="392"/>
    </row>
    <row r="188" ht="15.75" customHeight="1">
      <c r="A188" s="216"/>
      <c r="B188" s="156"/>
      <c r="C188" s="156"/>
      <c r="D188" s="156"/>
      <c r="E188" s="392"/>
      <c r="F188" s="392"/>
      <c r="G188" s="392"/>
      <c r="H188" s="392"/>
      <c r="I188" s="392"/>
      <c r="J188" s="145"/>
      <c r="K188" s="392"/>
      <c r="L188" s="392"/>
      <c r="M188" s="392"/>
      <c r="N188" s="392"/>
      <c r="O188" s="392"/>
      <c r="P188" s="392"/>
      <c r="Q188" s="392"/>
      <c r="R188" s="392"/>
      <c r="S188" s="392"/>
      <c r="T188" s="392"/>
      <c r="U188" s="392"/>
      <c r="V188" s="392"/>
      <c r="W188" s="392"/>
      <c r="X188" s="392"/>
      <c r="Y188" s="392"/>
      <c r="Z188" s="392"/>
      <c r="AA188" s="392"/>
      <c r="AB188" s="392"/>
      <c r="AC188" s="392"/>
      <c r="AD188" s="392"/>
      <c r="AE188" s="392"/>
      <c r="AF188" s="392"/>
    </row>
    <row r="189" ht="15.75" customHeight="1">
      <c r="A189" s="216"/>
      <c r="B189" s="156"/>
      <c r="C189" s="156"/>
      <c r="D189" s="156"/>
      <c r="E189" s="392"/>
      <c r="F189" s="392"/>
      <c r="G189" s="392"/>
      <c r="H189" s="392"/>
      <c r="I189" s="392"/>
      <c r="J189" s="145"/>
      <c r="K189" s="392"/>
      <c r="L189" s="392"/>
      <c r="M189" s="392"/>
      <c r="N189" s="392"/>
      <c r="O189" s="392"/>
      <c r="P189" s="392"/>
      <c r="Q189" s="392"/>
      <c r="R189" s="392"/>
      <c r="S189" s="392"/>
      <c r="T189" s="392"/>
      <c r="U189" s="392"/>
      <c r="V189" s="392"/>
      <c r="W189" s="392"/>
      <c r="X189" s="392"/>
      <c r="Y189" s="392"/>
      <c r="Z189" s="392"/>
      <c r="AA189" s="392"/>
      <c r="AB189" s="392"/>
      <c r="AC189" s="392"/>
      <c r="AD189" s="392"/>
      <c r="AE189" s="392"/>
      <c r="AF189" s="392"/>
    </row>
    <row r="190" ht="15.75" customHeight="1">
      <c r="A190" s="216"/>
      <c r="B190" s="156"/>
      <c r="C190" s="156"/>
      <c r="D190" s="156"/>
      <c r="E190" s="392"/>
      <c r="F190" s="392"/>
      <c r="G190" s="392"/>
      <c r="H190" s="392"/>
      <c r="I190" s="392"/>
      <c r="J190" s="145"/>
      <c r="K190" s="392"/>
      <c r="L190" s="392"/>
      <c r="M190" s="392"/>
      <c r="N190" s="392"/>
      <c r="O190" s="392"/>
      <c r="P190" s="392"/>
      <c r="Q190" s="392"/>
      <c r="R190" s="392"/>
      <c r="S190" s="392"/>
      <c r="T190" s="392"/>
      <c r="U190" s="392"/>
      <c r="V190" s="392"/>
      <c r="W190" s="392"/>
      <c r="X190" s="392"/>
      <c r="Y190" s="392"/>
      <c r="Z190" s="392"/>
      <c r="AA190" s="392"/>
      <c r="AB190" s="392"/>
      <c r="AC190" s="392"/>
      <c r="AD190" s="392"/>
      <c r="AE190" s="392"/>
      <c r="AF190" s="392"/>
    </row>
    <row r="191" ht="15.75" customHeight="1">
      <c r="A191" s="216"/>
      <c r="B191" s="156"/>
      <c r="C191" s="156"/>
      <c r="D191" s="156"/>
      <c r="E191" s="392"/>
      <c r="F191" s="392"/>
      <c r="G191" s="392"/>
      <c r="H191" s="392"/>
      <c r="I191" s="392"/>
      <c r="J191" s="145"/>
      <c r="K191" s="392"/>
      <c r="L191" s="392"/>
      <c r="M191" s="392"/>
      <c r="N191" s="392"/>
      <c r="O191" s="392"/>
      <c r="P191" s="392"/>
      <c r="Q191" s="392"/>
      <c r="R191" s="392"/>
      <c r="S191" s="392"/>
      <c r="T191" s="392"/>
      <c r="U191" s="392"/>
      <c r="V191" s="392"/>
      <c r="W191" s="392"/>
      <c r="X191" s="392"/>
      <c r="Y191" s="392"/>
      <c r="Z191" s="392"/>
      <c r="AA191" s="392"/>
      <c r="AB191" s="392"/>
      <c r="AC191" s="392"/>
      <c r="AD191" s="392"/>
      <c r="AE191" s="392"/>
      <c r="AF191" s="392"/>
    </row>
    <row r="192" ht="15.75" customHeight="1">
      <c r="A192" s="216"/>
      <c r="B192" s="156"/>
      <c r="C192" s="156"/>
      <c r="D192" s="156"/>
      <c r="E192" s="392"/>
      <c r="F192" s="392"/>
      <c r="G192" s="392"/>
      <c r="H192" s="392"/>
      <c r="I192" s="392"/>
      <c r="J192" s="145"/>
      <c r="K192" s="392"/>
      <c r="L192" s="392"/>
      <c r="M192" s="392"/>
      <c r="N192" s="392"/>
      <c r="O192" s="392"/>
      <c r="P192" s="392"/>
      <c r="Q192" s="392"/>
      <c r="R192" s="392"/>
      <c r="S192" s="392"/>
      <c r="T192" s="392"/>
      <c r="U192" s="392"/>
      <c r="V192" s="392"/>
      <c r="W192" s="392"/>
      <c r="X192" s="392"/>
      <c r="Y192" s="392"/>
      <c r="Z192" s="392"/>
      <c r="AA192" s="392"/>
      <c r="AB192" s="392"/>
      <c r="AC192" s="392"/>
      <c r="AD192" s="392"/>
      <c r="AE192" s="392"/>
      <c r="AF192" s="392"/>
    </row>
    <row r="193" ht="15.75" customHeight="1">
      <c r="A193" s="216"/>
      <c r="B193" s="156"/>
      <c r="C193" s="156"/>
      <c r="D193" s="156"/>
      <c r="E193" s="392"/>
      <c r="F193" s="392"/>
      <c r="G193" s="392"/>
      <c r="H193" s="392"/>
      <c r="I193" s="392"/>
      <c r="J193" s="145"/>
      <c r="K193" s="392"/>
      <c r="L193" s="392"/>
      <c r="M193" s="392"/>
      <c r="N193" s="392"/>
      <c r="O193" s="392"/>
      <c r="P193" s="392"/>
      <c r="Q193" s="392"/>
      <c r="R193" s="392"/>
      <c r="S193" s="392"/>
      <c r="T193" s="392"/>
      <c r="U193" s="392"/>
      <c r="V193" s="392"/>
      <c r="W193" s="392"/>
      <c r="X193" s="392"/>
      <c r="Y193" s="392"/>
      <c r="Z193" s="392"/>
      <c r="AA193" s="392"/>
      <c r="AB193" s="392"/>
      <c r="AC193" s="392"/>
      <c r="AD193" s="392"/>
      <c r="AE193" s="392"/>
      <c r="AF193" s="392"/>
    </row>
    <row r="194" ht="15.75" customHeight="1">
      <c r="A194" s="216"/>
      <c r="B194" s="156"/>
      <c r="C194" s="156"/>
      <c r="D194" s="156"/>
      <c r="E194" s="392"/>
      <c r="F194" s="392"/>
      <c r="G194" s="392"/>
      <c r="H194" s="392"/>
      <c r="I194" s="392"/>
      <c r="J194" s="145"/>
      <c r="K194" s="392"/>
      <c r="L194" s="392"/>
      <c r="M194" s="392"/>
      <c r="N194" s="392"/>
      <c r="O194" s="392"/>
      <c r="P194" s="392"/>
      <c r="Q194" s="392"/>
      <c r="R194" s="392"/>
      <c r="S194" s="392"/>
      <c r="T194" s="392"/>
      <c r="U194" s="392"/>
      <c r="V194" s="392"/>
      <c r="W194" s="392"/>
      <c r="X194" s="392"/>
      <c r="Y194" s="392"/>
      <c r="Z194" s="392"/>
      <c r="AA194" s="392"/>
      <c r="AB194" s="392"/>
      <c r="AC194" s="392"/>
      <c r="AD194" s="392"/>
      <c r="AE194" s="392"/>
      <c r="AF194" s="392"/>
    </row>
    <row r="195" ht="15.75" customHeight="1">
      <c r="A195" s="216"/>
      <c r="B195" s="156"/>
      <c r="C195" s="156"/>
      <c r="D195" s="156"/>
      <c r="E195" s="392"/>
      <c r="F195" s="392"/>
      <c r="G195" s="392"/>
      <c r="H195" s="392"/>
      <c r="I195" s="392"/>
      <c r="J195" s="145"/>
      <c r="K195" s="392"/>
      <c r="L195" s="392"/>
      <c r="M195" s="392"/>
      <c r="N195" s="392"/>
      <c r="O195" s="392"/>
      <c r="P195" s="392"/>
      <c r="Q195" s="392"/>
      <c r="R195" s="392"/>
      <c r="S195" s="392"/>
      <c r="T195" s="392"/>
      <c r="U195" s="392"/>
      <c r="V195" s="392"/>
      <c r="W195" s="392"/>
      <c r="X195" s="392"/>
      <c r="Y195" s="392"/>
      <c r="Z195" s="392"/>
      <c r="AA195" s="392"/>
      <c r="AB195" s="392"/>
      <c r="AC195" s="392"/>
      <c r="AD195" s="392"/>
      <c r="AE195" s="392"/>
      <c r="AF195" s="392"/>
    </row>
    <row r="196" ht="15.75" customHeight="1">
      <c r="A196" s="216"/>
      <c r="B196" s="156"/>
      <c r="C196" s="156"/>
      <c r="D196" s="156"/>
      <c r="E196" s="392"/>
      <c r="F196" s="392"/>
      <c r="G196" s="392"/>
      <c r="H196" s="392"/>
      <c r="I196" s="392"/>
      <c r="J196" s="145"/>
      <c r="K196" s="392"/>
      <c r="L196" s="392"/>
      <c r="M196" s="392"/>
      <c r="N196" s="392"/>
      <c r="O196" s="392"/>
      <c r="P196" s="392"/>
      <c r="Q196" s="392"/>
      <c r="R196" s="392"/>
      <c r="S196" s="392"/>
      <c r="T196" s="392"/>
      <c r="U196" s="392"/>
      <c r="V196" s="392"/>
      <c r="W196" s="392"/>
      <c r="X196" s="392"/>
      <c r="Y196" s="392"/>
      <c r="Z196" s="392"/>
      <c r="AA196" s="392"/>
      <c r="AB196" s="392"/>
      <c r="AC196" s="392"/>
      <c r="AD196" s="392"/>
      <c r="AE196" s="392"/>
      <c r="AF196" s="392"/>
    </row>
    <row r="197" ht="15.75" customHeight="1">
      <c r="A197" s="216"/>
      <c r="B197" s="156"/>
      <c r="C197" s="156"/>
      <c r="D197" s="156"/>
      <c r="E197" s="392"/>
      <c r="F197" s="392"/>
      <c r="G197" s="392"/>
      <c r="H197" s="392"/>
      <c r="I197" s="392"/>
      <c r="J197" s="145"/>
      <c r="K197" s="392"/>
      <c r="L197" s="392"/>
      <c r="M197" s="392"/>
      <c r="N197" s="392"/>
      <c r="O197" s="392"/>
      <c r="P197" s="392"/>
      <c r="Q197" s="392"/>
      <c r="R197" s="392"/>
      <c r="S197" s="392"/>
      <c r="T197" s="392"/>
      <c r="U197" s="392"/>
      <c r="V197" s="392"/>
      <c r="W197" s="392"/>
      <c r="X197" s="392"/>
      <c r="Y197" s="392"/>
      <c r="Z197" s="392"/>
      <c r="AA197" s="392"/>
      <c r="AB197" s="392"/>
      <c r="AC197" s="392"/>
      <c r="AD197" s="392"/>
      <c r="AE197" s="392"/>
      <c r="AF197" s="392"/>
    </row>
    <row r="198" ht="15.75" customHeight="1">
      <c r="A198" s="216"/>
      <c r="B198" s="156"/>
      <c r="C198" s="156"/>
      <c r="D198" s="156"/>
      <c r="E198" s="392"/>
      <c r="F198" s="392"/>
      <c r="G198" s="392"/>
      <c r="H198" s="392"/>
      <c r="I198" s="392"/>
      <c r="J198" s="145"/>
      <c r="K198" s="392"/>
      <c r="L198" s="392"/>
      <c r="M198" s="392"/>
      <c r="N198" s="392"/>
      <c r="O198" s="392"/>
      <c r="P198" s="392"/>
      <c r="Q198" s="392"/>
      <c r="R198" s="392"/>
      <c r="S198" s="392"/>
      <c r="T198" s="392"/>
      <c r="U198" s="392"/>
      <c r="V198" s="392"/>
      <c r="W198" s="392"/>
      <c r="X198" s="392"/>
      <c r="Y198" s="392"/>
      <c r="Z198" s="392"/>
      <c r="AA198" s="392"/>
      <c r="AB198" s="392"/>
      <c r="AC198" s="392"/>
      <c r="AD198" s="392"/>
      <c r="AE198" s="392"/>
      <c r="AF198" s="392"/>
    </row>
    <row r="199" ht="15.75" customHeight="1">
      <c r="A199" s="216"/>
      <c r="B199" s="156"/>
      <c r="C199" s="156"/>
      <c r="D199" s="156"/>
      <c r="E199" s="392"/>
      <c r="F199" s="392"/>
      <c r="G199" s="392"/>
      <c r="H199" s="392"/>
      <c r="I199" s="392"/>
      <c r="J199" s="145"/>
      <c r="K199" s="392"/>
      <c r="L199" s="392"/>
      <c r="M199" s="392"/>
      <c r="N199" s="392"/>
      <c r="O199" s="392"/>
      <c r="P199" s="392"/>
      <c r="Q199" s="392"/>
      <c r="R199" s="392"/>
      <c r="S199" s="392"/>
      <c r="T199" s="392"/>
      <c r="U199" s="392"/>
      <c r="V199" s="392"/>
      <c r="W199" s="392"/>
      <c r="X199" s="392"/>
      <c r="Y199" s="392"/>
      <c r="Z199" s="392"/>
      <c r="AA199" s="392"/>
      <c r="AB199" s="392"/>
      <c r="AC199" s="392"/>
      <c r="AD199" s="392"/>
      <c r="AE199" s="392"/>
      <c r="AF199" s="392"/>
    </row>
    <row r="200" ht="15.75" customHeight="1">
      <c r="A200" s="216"/>
      <c r="B200" s="156"/>
      <c r="C200" s="156"/>
      <c r="D200" s="156"/>
      <c r="E200" s="392"/>
      <c r="F200" s="392"/>
      <c r="G200" s="392"/>
      <c r="H200" s="392"/>
      <c r="I200" s="392"/>
      <c r="J200" s="145"/>
      <c r="K200" s="392"/>
      <c r="L200" s="392"/>
      <c r="M200" s="392"/>
      <c r="N200" s="392"/>
      <c r="O200" s="392"/>
      <c r="P200" s="392"/>
      <c r="Q200" s="392"/>
      <c r="R200" s="392"/>
      <c r="S200" s="392"/>
      <c r="T200" s="392"/>
      <c r="U200" s="392"/>
      <c r="V200" s="392"/>
      <c r="W200" s="392"/>
      <c r="X200" s="392"/>
      <c r="Y200" s="392"/>
      <c r="Z200" s="392"/>
      <c r="AA200" s="392"/>
      <c r="AB200" s="392"/>
      <c r="AC200" s="392"/>
      <c r="AD200" s="392"/>
      <c r="AE200" s="392"/>
      <c r="AF200" s="392"/>
    </row>
    <row r="201" ht="15.75" customHeight="1">
      <c r="A201" s="216"/>
      <c r="B201" s="156"/>
      <c r="C201" s="156"/>
      <c r="D201" s="156"/>
      <c r="E201" s="392"/>
      <c r="F201" s="392"/>
      <c r="G201" s="392"/>
      <c r="H201" s="392"/>
      <c r="I201" s="392"/>
      <c r="J201" s="145"/>
      <c r="K201" s="392"/>
      <c r="L201" s="392"/>
      <c r="M201" s="392"/>
      <c r="N201" s="392"/>
      <c r="O201" s="392"/>
      <c r="P201" s="392"/>
      <c r="Q201" s="392"/>
      <c r="R201" s="392"/>
      <c r="S201" s="392"/>
      <c r="T201" s="392"/>
      <c r="U201" s="392"/>
      <c r="V201" s="392"/>
      <c r="W201" s="392"/>
      <c r="X201" s="392"/>
      <c r="Y201" s="392"/>
      <c r="Z201" s="392"/>
      <c r="AA201" s="392"/>
      <c r="AB201" s="392"/>
      <c r="AC201" s="392"/>
      <c r="AD201" s="392"/>
      <c r="AE201" s="392"/>
      <c r="AF201" s="392"/>
    </row>
    <row r="202" ht="15.75" customHeight="1">
      <c r="A202" s="216"/>
      <c r="B202" s="156"/>
      <c r="C202" s="156"/>
      <c r="D202" s="156"/>
      <c r="E202" s="392"/>
      <c r="F202" s="392"/>
      <c r="G202" s="392"/>
      <c r="H202" s="392"/>
      <c r="I202" s="392"/>
      <c r="J202" s="145"/>
      <c r="K202" s="392"/>
      <c r="L202" s="392"/>
      <c r="M202" s="392"/>
      <c r="N202" s="392"/>
      <c r="O202" s="392"/>
      <c r="P202" s="392"/>
      <c r="Q202" s="392"/>
      <c r="R202" s="392"/>
      <c r="S202" s="392"/>
      <c r="T202" s="392"/>
      <c r="U202" s="392"/>
      <c r="V202" s="392"/>
      <c r="W202" s="392"/>
      <c r="X202" s="392"/>
      <c r="Y202" s="392"/>
      <c r="Z202" s="392"/>
      <c r="AA202" s="392"/>
      <c r="AB202" s="392"/>
      <c r="AC202" s="392"/>
      <c r="AD202" s="392"/>
      <c r="AE202" s="392"/>
      <c r="AF202" s="392"/>
    </row>
    <row r="203" ht="15.75" customHeight="1">
      <c r="A203" s="216"/>
      <c r="B203" s="156"/>
      <c r="C203" s="156"/>
      <c r="D203" s="156"/>
      <c r="E203" s="392"/>
      <c r="F203" s="392"/>
      <c r="G203" s="392"/>
      <c r="H203" s="392"/>
      <c r="I203" s="392"/>
      <c r="J203" s="145"/>
      <c r="K203" s="392"/>
      <c r="L203" s="392"/>
      <c r="M203" s="392"/>
      <c r="N203" s="392"/>
      <c r="O203" s="392"/>
      <c r="P203" s="392"/>
      <c r="Q203" s="392"/>
      <c r="R203" s="392"/>
      <c r="S203" s="392"/>
      <c r="T203" s="392"/>
      <c r="U203" s="392"/>
      <c r="V203" s="392"/>
      <c r="W203" s="392"/>
      <c r="X203" s="392"/>
      <c r="Y203" s="392"/>
      <c r="Z203" s="392"/>
      <c r="AA203" s="392"/>
      <c r="AB203" s="392"/>
      <c r="AC203" s="392"/>
      <c r="AD203" s="392"/>
      <c r="AE203" s="392"/>
      <c r="AF203" s="392"/>
    </row>
    <row r="204" ht="15.75" customHeight="1">
      <c r="A204" s="216"/>
      <c r="B204" s="156"/>
      <c r="C204" s="156"/>
      <c r="D204" s="156"/>
      <c r="E204" s="392"/>
      <c r="F204" s="392"/>
      <c r="G204" s="392"/>
      <c r="H204" s="392"/>
      <c r="I204" s="392"/>
      <c r="J204" s="145"/>
      <c r="K204" s="392"/>
      <c r="L204" s="392"/>
      <c r="M204" s="392"/>
      <c r="N204" s="392"/>
      <c r="O204" s="392"/>
      <c r="P204" s="392"/>
      <c r="Q204" s="392"/>
      <c r="R204" s="392"/>
      <c r="S204" s="392"/>
      <c r="T204" s="392"/>
      <c r="U204" s="392"/>
      <c r="V204" s="392"/>
      <c r="W204" s="392"/>
      <c r="X204" s="392"/>
      <c r="Y204" s="392"/>
      <c r="Z204" s="392"/>
      <c r="AA204" s="392"/>
      <c r="AB204" s="392"/>
      <c r="AC204" s="392"/>
      <c r="AD204" s="392"/>
      <c r="AE204" s="392"/>
      <c r="AF204" s="392"/>
    </row>
    <row r="205" ht="15.75" customHeight="1">
      <c r="A205" s="216"/>
      <c r="B205" s="156"/>
      <c r="C205" s="156"/>
      <c r="D205" s="156"/>
      <c r="E205" s="392"/>
      <c r="F205" s="392"/>
      <c r="G205" s="392"/>
      <c r="H205" s="392"/>
      <c r="I205" s="392"/>
      <c r="J205" s="145"/>
      <c r="K205" s="392"/>
      <c r="L205" s="392"/>
      <c r="M205" s="392"/>
      <c r="N205" s="392"/>
      <c r="O205" s="392"/>
      <c r="P205" s="392"/>
      <c r="Q205" s="392"/>
      <c r="R205" s="392"/>
      <c r="S205" s="392"/>
      <c r="T205" s="392"/>
      <c r="U205" s="392"/>
      <c r="V205" s="392"/>
      <c r="W205" s="392"/>
      <c r="X205" s="392"/>
      <c r="Y205" s="392"/>
      <c r="Z205" s="392"/>
      <c r="AA205" s="392"/>
      <c r="AB205" s="392"/>
      <c r="AC205" s="392"/>
      <c r="AD205" s="392"/>
      <c r="AE205" s="392"/>
      <c r="AF205" s="392"/>
    </row>
    <row r="206" ht="15.75" customHeight="1">
      <c r="A206" s="216"/>
      <c r="B206" s="156"/>
      <c r="C206" s="156"/>
      <c r="D206" s="156"/>
      <c r="E206" s="392"/>
      <c r="F206" s="392"/>
      <c r="G206" s="392"/>
      <c r="H206" s="392"/>
      <c r="I206" s="392"/>
      <c r="J206" s="145"/>
      <c r="K206" s="392"/>
      <c r="L206" s="392"/>
      <c r="M206" s="392"/>
      <c r="N206" s="392"/>
      <c r="O206" s="392"/>
      <c r="P206" s="392"/>
      <c r="Q206" s="392"/>
      <c r="R206" s="392"/>
      <c r="S206" s="392"/>
      <c r="T206" s="392"/>
      <c r="U206" s="392"/>
      <c r="V206" s="392"/>
      <c r="W206" s="392"/>
      <c r="X206" s="392"/>
      <c r="Y206" s="392"/>
      <c r="Z206" s="392"/>
      <c r="AA206" s="392"/>
      <c r="AB206" s="392"/>
      <c r="AC206" s="392"/>
      <c r="AD206" s="392"/>
      <c r="AE206" s="392"/>
      <c r="AF206" s="392"/>
    </row>
    <row r="207" ht="15.75" customHeight="1">
      <c r="A207" s="216"/>
      <c r="B207" s="156"/>
      <c r="C207" s="156"/>
      <c r="D207" s="156"/>
      <c r="E207" s="392"/>
      <c r="F207" s="392"/>
      <c r="G207" s="392"/>
      <c r="H207" s="392"/>
      <c r="I207" s="392"/>
      <c r="J207" s="145"/>
      <c r="K207" s="392"/>
      <c r="L207" s="392"/>
      <c r="M207" s="392"/>
      <c r="N207" s="392"/>
      <c r="O207" s="392"/>
      <c r="P207" s="392"/>
      <c r="Q207" s="392"/>
      <c r="R207" s="392"/>
      <c r="S207" s="392"/>
      <c r="T207" s="392"/>
      <c r="U207" s="392"/>
      <c r="V207" s="392"/>
      <c r="W207" s="392"/>
      <c r="X207" s="392"/>
      <c r="Y207" s="392"/>
      <c r="Z207" s="392"/>
      <c r="AA207" s="392"/>
      <c r="AB207" s="392"/>
      <c r="AC207" s="392"/>
      <c r="AD207" s="392"/>
      <c r="AE207" s="392"/>
      <c r="AF207" s="392"/>
    </row>
    <row r="208" ht="15.75" customHeight="1">
      <c r="A208" s="216"/>
      <c r="B208" s="156"/>
      <c r="C208" s="156"/>
      <c r="D208" s="156"/>
      <c r="E208" s="392"/>
      <c r="F208" s="392"/>
      <c r="G208" s="392"/>
      <c r="H208" s="392"/>
      <c r="I208" s="392"/>
      <c r="J208" s="145"/>
      <c r="K208" s="392"/>
      <c r="L208" s="392"/>
      <c r="M208" s="392"/>
      <c r="N208" s="392"/>
      <c r="O208" s="392"/>
      <c r="P208" s="392"/>
      <c r="Q208" s="392"/>
      <c r="R208" s="392"/>
      <c r="S208" s="392"/>
      <c r="T208" s="392"/>
      <c r="U208" s="392"/>
      <c r="V208" s="392"/>
      <c r="W208" s="392"/>
      <c r="X208" s="392"/>
      <c r="Y208" s="392"/>
      <c r="Z208" s="392"/>
      <c r="AA208" s="392"/>
      <c r="AB208" s="392"/>
      <c r="AC208" s="392"/>
      <c r="AD208" s="392"/>
      <c r="AE208" s="392"/>
      <c r="AF208" s="392"/>
    </row>
    <row r="209" ht="15.75" customHeight="1">
      <c r="A209" s="216"/>
      <c r="B209" s="156"/>
      <c r="C209" s="156"/>
      <c r="D209" s="156"/>
      <c r="E209" s="392"/>
      <c r="F209" s="392"/>
      <c r="G209" s="392"/>
      <c r="H209" s="392"/>
      <c r="I209" s="392"/>
      <c r="J209" s="145"/>
      <c r="K209" s="392"/>
      <c r="L209" s="392"/>
      <c r="M209" s="392"/>
      <c r="N209" s="392"/>
      <c r="O209" s="392"/>
      <c r="P209" s="392"/>
      <c r="Q209" s="392"/>
      <c r="R209" s="392"/>
      <c r="S209" s="392"/>
      <c r="T209" s="392"/>
      <c r="U209" s="392"/>
      <c r="V209" s="392"/>
      <c r="W209" s="392"/>
      <c r="X209" s="392"/>
      <c r="Y209" s="392"/>
      <c r="Z209" s="392"/>
      <c r="AA209" s="392"/>
      <c r="AB209" s="392"/>
      <c r="AC209" s="392"/>
      <c r="AD209" s="392"/>
      <c r="AE209" s="392"/>
      <c r="AF209" s="392"/>
    </row>
    <row r="210" ht="15.75" customHeight="1">
      <c r="A210" s="216"/>
      <c r="B210" s="156"/>
      <c r="C210" s="156"/>
      <c r="D210" s="156"/>
      <c r="E210" s="392"/>
      <c r="F210" s="392"/>
      <c r="G210" s="392"/>
      <c r="H210" s="392"/>
      <c r="I210" s="392"/>
      <c r="J210" s="145"/>
      <c r="K210" s="392"/>
      <c r="L210" s="392"/>
      <c r="M210" s="392"/>
      <c r="N210" s="392"/>
      <c r="O210" s="392"/>
      <c r="P210" s="392"/>
      <c r="Q210" s="392"/>
      <c r="R210" s="392"/>
      <c r="S210" s="392"/>
      <c r="T210" s="392"/>
      <c r="U210" s="392"/>
      <c r="V210" s="392"/>
      <c r="W210" s="392"/>
      <c r="X210" s="392"/>
      <c r="Y210" s="392"/>
      <c r="Z210" s="392"/>
      <c r="AA210" s="392"/>
      <c r="AB210" s="392"/>
      <c r="AC210" s="392"/>
      <c r="AD210" s="392"/>
      <c r="AE210" s="392"/>
      <c r="AF210" s="392"/>
    </row>
    <row r="211" ht="15.75" customHeight="1">
      <c r="A211" s="216"/>
      <c r="B211" s="156"/>
      <c r="C211" s="156"/>
      <c r="D211" s="156"/>
      <c r="E211" s="392"/>
      <c r="F211" s="392"/>
      <c r="G211" s="392"/>
      <c r="H211" s="392"/>
      <c r="I211" s="392"/>
      <c r="J211" s="145"/>
      <c r="K211" s="392"/>
      <c r="L211" s="392"/>
      <c r="M211" s="392"/>
      <c r="N211" s="392"/>
      <c r="O211" s="392"/>
      <c r="P211" s="392"/>
      <c r="Q211" s="392"/>
      <c r="R211" s="392"/>
      <c r="S211" s="392"/>
      <c r="T211" s="392"/>
      <c r="U211" s="392"/>
      <c r="V211" s="392"/>
      <c r="W211" s="392"/>
      <c r="X211" s="392"/>
      <c r="Y211" s="392"/>
      <c r="Z211" s="392"/>
      <c r="AA211" s="392"/>
      <c r="AB211" s="392"/>
      <c r="AC211" s="392"/>
      <c r="AD211" s="392"/>
      <c r="AE211" s="392"/>
      <c r="AF211" s="392"/>
    </row>
    <row r="212" ht="15.75" customHeight="1">
      <c r="A212" s="216"/>
      <c r="B212" s="156"/>
      <c r="C212" s="156"/>
      <c r="D212" s="156"/>
      <c r="E212" s="392"/>
      <c r="F212" s="392"/>
      <c r="G212" s="392"/>
      <c r="H212" s="392"/>
      <c r="I212" s="392"/>
      <c r="J212" s="145"/>
      <c r="K212" s="392"/>
      <c r="L212" s="392"/>
      <c r="M212" s="392"/>
      <c r="N212" s="392"/>
      <c r="O212" s="392"/>
      <c r="P212" s="392"/>
      <c r="Q212" s="392"/>
      <c r="R212" s="392"/>
      <c r="S212" s="392"/>
      <c r="T212" s="392"/>
      <c r="U212" s="392"/>
      <c r="V212" s="392"/>
      <c r="W212" s="392"/>
      <c r="X212" s="392"/>
      <c r="Y212" s="392"/>
      <c r="Z212" s="392"/>
      <c r="AA212" s="392"/>
      <c r="AB212" s="392"/>
      <c r="AC212" s="392"/>
      <c r="AD212" s="392"/>
      <c r="AE212" s="392"/>
      <c r="AF212" s="392"/>
    </row>
    <row r="213" ht="15.75" customHeight="1">
      <c r="A213" s="216"/>
      <c r="B213" s="156"/>
      <c r="C213" s="156"/>
      <c r="D213" s="156"/>
      <c r="E213" s="392"/>
      <c r="F213" s="392"/>
      <c r="G213" s="392"/>
      <c r="H213" s="392"/>
      <c r="I213" s="392"/>
      <c r="J213" s="145"/>
      <c r="K213" s="392"/>
      <c r="L213" s="392"/>
      <c r="M213" s="392"/>
      <c r="N213" s="392"/>
      <c r="O213" s="392"/>
      <c r="P213" s="392"/>
      <c r="Q213" s="392"/>
      <c r="R213" s="392"/>
      <c r="S213" s="392"/>
      <c r="T213" s="392"/>
      <c r="U213" s="392"/>
      <c r="V213" s="392"/>
      <c r="W213" s="392"/>
      <c r="X213" s="392"/>
      <c r="Y213" s="392"/>
      <c r="Z213" s="392"/>
      <c r="AA213" s="392"/>
      <c r="AB213" s="392"/>
      <c r="AC213" s="392"/>
      <c r="AD213" s="392"/>
      <c r="AE213" s="392"/>
      <c r="AF213" s="392"/>
    </row>
    <row r="214" ht="15.75" customHeight="1">
      <c r="A214" s="216"/>
      <c r="B214" s="156"/>
      <c r="C214" s="156"/>
      <c r="D214" s="156"/>
      <c r="E214" s="392"/>
      <c r="F214" s="392"/>
      <c r="G214" s="392"/>
      <c r="H214" s="392"/>
      <c r="I214" s="392"/>
      <c r="J214" s="145"/>
      <c r="K214" s="392"/>
      <c r="L214" s="392"/>
      <c r="M214" s="392"/>
      <c r="N214" s="392"/>
      <c r="O214" s="392"/>
      <c r="P214" s="392"/>
      <c r="Q214" s="392"/>
      <c r="R214" s="392"/>
      <c r="S214" s="392"/>
      <c r="T214" s="392"/>
      <c r="U214" s="392"/>
      <c r="V214" s="392"/>
      <c r="W214" s="392"/>
      <c r="X214" s="392"/>
      <c r="Y214" s="392"/>
      <c r="Z214" s="392"/>
      <c r="AA214" s="392"/>
      <c r="AB214" s="392"/>
      <c r="AC214" s="392"/>
      <c r="AD214" s="392"/>
      <c r="AE214" s="392"/>
      <c r="AF214" s="392"/>
    </row>
    <row r="215" ht="15.75" customHeight="1">
      <c r="A215" s="216"/>
      <c r="B215" s="156"/>
      <c r="C215" s="156"/>
      <c r="D215" s="156"/>
      <c r="E215" s="392"/>
      <c r="F215" s="392"/>
      <c r="G215" s="392"/>
      <c r="H215" s="392"/>
      <c r="I215" s="392"/>
      <c r="J215" s="145"/>
      <c r="K215" s="392"/>
      <c r="L215" s="392"/>
      <c r="M215" s="392"/>
      <c r="N215" s="392"/>
      <c r="O215" s="392"/>
      <c r="P215" s="392"/>
      <c r="Q215" s="392"/>
      <c r="R215" s="392"/>
      <c r="S215" s="392"/>
      <c r="T215" s="392"/>
      <c r="U215" s="392"/>
      <c r="V215" s="392"/>
      <c r="W215" s="392"/>
      <c r="X215" s="392"/>
      <c r="Y215" s="392"/>
      <c r="Z215" s="392"/>
      <c r="AA215" s="392"/>
      <c r="AB215" s="392"/>
      <c r="AC215" s="392"/>
      <c r="AD215" s="392"/>
      <c r="AE215" s="392"/>
      <c r="AF215" s="392"/>
    </row>
    <row r="216" ht="15.75" customHeight="1">
      <c r="A216" s="216"/>
      <c r="B216" s="156"/>
      <c r="C216" s="156"/>
      <c r="D216" s="156"/>
      <c r="E216" s="392"/>
      <c r="F216" s="392"/>
      <c r="G216" s="392"/>
      <c r="H216" s="392"/>
      <c r="I216" s="392"/>
      <c r="J216" s="145"/>
      <c r="K216" s="392"/>
      <c r="L216" s="392"/>
      <c r="M216" s="392"/>
      <c r="N216" s="392"/>
      <c r="O216" s="392"/>
      <c r="P216" s="392"/>
      <c r="Q216" s="392"/>
      <c r="R216" s="392"/>
      <c r="S216" s="392"/>
      <c r="T216" s="392"/>
      <c r="U216" s="392"/>
      <c r="V216" s="392"/>
      <c r="W216" s="392"/>
      <c r="X216" s="392"/>
      <c r="Y216" s="392"/>
      <c r="Z216" s="392"/>
      <c r="AA216" s="392"/>
      <c r="AB216" s="392"/>
      <c r="AC216" s="392"/>
      <c r="AD216" s="392"/>
      <c r="AE216" s="392"/>
      <c r="AF216" s="392"/>
    </row>
    <row r="217" ht="15.75" customHeight="1">
      <c r="A217" s="216"/>
      <c r="B217" s="156"/>
      <c r="C217" s="156"/>
      <c r="D217" s="156"/>
      <c r="E217" s="392"/>
      <c r="F217" s="392"/>
      <c r="G217" s="392"/>
      <c r="H217" s="392"/>
      <c r="I217" s="392"/>
      <c r="J217" s="145"/>
      <c r="K217" s="392"/>
      <c r="L217" s="392"/>
      <c r="M217" s="392"/>
      <c r="N217" s="392"/>
      <c r="O217" s="392"/>
      <c r="P217" s="392"/>
      <c r="Q217" s="392"/>
      <c r="R217" s="392"/>
      <c r="S217" s="392"/>
      <c r="T217" s="392"/>
      <c r="U217" s="392"/>
      <c r="V217" s="392"/>
      <c r="W217" s="392"/>
      <c r="X217" s="392"/>
      <c r="Y217" s="392"/>
      <c r="Z217" s="392"/>
      <c r="AA217" s="392"/>
      <c r="AB217" s="392"/>
      <c r="AC217" s="392"/>
      <c r="AD217" s="392"/>
      <c r="AE217" s="392"/>
      <c r="AF217" s="392"/>
    </row>
    <row r="218" ht="15.75" customHeight="1">
      <c r="A218" s="216"/>
      <c r="B218" s="156"/>
      <c r="C218" s="156"/>
      <c r="D218" s="156"/>
      <c r="E218" s="392"/>
      <c r="F218" s="392"/>
      <c r="G218" s="392"/>
      <c r="H218" s="392"/>
      <c r="I218" s="392"/>
      <c r="J218" s="145"/>
      <c r="K218" s="392"/>
      <c r="L218" s="392"/>
      <c r="M218" s="392"/>
      <c r="N218" s="392"/>
      <c r="O218" s="392"/>
      <c r="P218" s="392"/>
      <c r="Q218" s="392"/>
      <c r="R218" s="392"/>
      <c r="S218" s="392"/>
      <c r="T218" s="392"/>
      <c r="U218" s="392"/>
      <c r="V218" s="392"/>
      <c r="W218" s="392"/>
      <c r="X218" s="392"/>
      <c r="Y218" s="392"/>
      <c r="Z218" s="392"/>
      <c r="AA218" s="392"/>
      <c r="AB218" s="392"/>
      <c r="AC218" s="392"/>
      <c r="AD218" s="392"/>
      <c r="AE218" s="392"/>
      <c r="AF218" s="392"/>
    </row>
    <row r="219" ht="15.75" customHeight="1">
      <c r="A219" s="216"/>
      <c r="B219" s="156"/>
      <c r="C219" s="156"/>
      <c r="D219" s="156"/>
      <c r="E219" s="392"/>
      <c r="F219" s="392"/>
      <c r="G219" s="392"/>
      <c r="H219" s="392"/>
      <c r="I219" s="392"/>
      <c r="J219" s="145"/>
      <c r="K219" s="392"/>
      <c r="L219" s="392"/>
      <c r="M219" s="392"/>
      <c r="N219" s="392"/>
      <c r="O219" s="392"/>
      <c r="P219" s="392"/>
      <c r="Q219" s="392"/>
      <c r="R219" s="392"/>
      <c r="S219" s="392"/>
      <c r="T219" s="392"/>
      <c r="U219" s="392"/>
      <c r="V219" s="392"/>
      <c r="W219" s="392"/>
      <c r="X219" s="392"/>
      <c r="Y219" s="392"/>
      <c r="Z219" s="392"/>
      <c r="AA219" s="392"/>
      <c r="AB219" s="392"/>
      <c r="AC219" s="392"/>
      <c r="AD219" s="392"/>
      <c r="AE219" s="392"/>
      <c r="AF219" s="392"/>
    </row>
    <row r="220" ht="15.75" customHeight="1">
      <c r="A220" s="216"/>
      <c r="B220" s="156"/>
      <c r="C220" s="156"/>
      <c r="D220" s="156"/>
      <c r="E220" s="392"/>
      <c r="F220" s="392"/>
      <c r="G220" s="392"/>
      <c r="H220" s="392"/>
      <c r="I220" s="392"/>
      <c r="J220" s="145"/>
      <c r="K220" s="392"/>
      <c r="L220" s="392"/>
      <c r="M220" s="392"/>
      <c r="N220" s="392"/>
      <c r="O220" s="392"/>
      <c r="P220" s="392"/>
      <c r="Q220" s="392"/>
      <c r="R220" s="392"/>
      <c r="S220" s="392"/>
      <c r="T220" s="392"/>
      <c r="U220" s="392"/>
      <c r="V220" s="392"/>
      <c r="W220" s="392"/>
      <c r="X220" s="392"/>
      <c r="Y220" s="392"/>
      <c r="Z220" s="392"/>
      <c r="AA220" s="392"/>
      <c r="AB220" s="392"/>
      <c r="AC220" s="392"/>
      <c r="AD220" s="392"/>
      <c r="AE220" s="392"/>
      <c r="AF220" s="392"/>
    </row>
    <row r="221" ht="15.75" customHeight="1">
      <c r="A221" s="216"/>
      <c r="B221" s="156"/>
      <c r="C221" s="156"/>
      <c r="D221" s="156"/>
      <c r="E221" s="392"/>
      <c r="F221" s="392"/>
      <c r="G221" s="392"/>
      <c r="H221" s="392"/>
      <c r="I221" s="392"/>
      <c r="J221" s="145"/>
      <c r="K221" s="392"/>
      <c r="L221" s="392"/>
      <c r="M221" s="392"/>
      <c r="N221" s="392"/>
      <c r="O221" s="392"/>
      <c r="P221" s="392"/>
      <c r="Q221" s="392"/>
      <c r="R221" s="392"/>
      <c r="S221" s="392"/>
      <c r="T221" s="392"/>
      <c r="U221" s="392"/>
      <c r="V221" s="392"/>
      <c r="W221" s="392"/>
      <c r="X221" s="392"/>
      <c r="Y221" s="392"/>
      <c r="Z221" s="392"/>
      <c r="AA221" s="392"/>
      <c r="AB221" s="392"/>
      <c r="AC221" s="392"/>
      <c r="AD221" s="392"/>
      <c r="AE221" s="392"/>
      <c r="AF221" s="392"/>
    </row>
    <row r="222" ht="15.75" customHeight="1">
      <c r="A222" s="216"/>
      <c r="B222" s="156"/>
      <c r="C222" s="156"/>
      <c r="D222" s="156"/>
      <c r="E222" s="392"/>
      <c r="F222" s="392"/>
      <c r="G222" s="392"/>
      <c r="H222" s="392"/>
      <c r="I222" s="392"/>
      <c r="J222" s="145"/>
      <c r="K222" s="392"/>
      <c r="L222" s="392"/>
      <c r="M222" s="392"/>
      <c r="N222" s="392"/>
      <c r="O222" s="392"/>
      <c r="P222" s="392"/>
      <c r="Q222" s="392"/>
      <c r="R222" s="392"/>
      <c r="S222" s="392"/>
      <c r="T222" s="392"/>
      <c r="U222" s="392"/>
      <c r="V222" s="392"/>
      <c r="W222" s="392"/>
      <c r="X222" s="392"/>
      <c r="Y222" s="392"/>
      <c r="Z222" s="392"/>
      <c r="AA222" s="392"/>
      <c r="AB222" s="392"/>
      <c r="AC222" s="392"/>
      <c r="AD222" s="392"/>
      <c r="AE222" s="392"/>
      <c r="AF222" s="392"/>
    </row>
    <row r="223" ht="15.75" customHeight="1">
      <c r="A223" s="216"/>
      <c r="B223" s="156"/>
      <c r="C223" s="156"/>
      <c r="D223" s="156"/>
      <c r="E223" s="392"/>
      <c r="F223" s="392"/>
      <c r="G223" s="392"/>
      <c r="H223" s="392"/>
      <c r="I223" s="392"/>
      <c r="J223" s="145"/>
      <c r="K223" s="392"/>
      <c r="L223" s="392"/>
      <c r="M223" s="392"/>
      <c r="N223" s="392"/>
      <c r="O223" s="392"/>
      <c r="P223" s="392"/>
      <c r="Q223" s="392"/>
      <c r="R223" s="392"/>
      <c r="S223" s="392"/>
      <c r="T223" s="392"/>
      <c r="U223" s="392"/>
      <c r="V223" s="392"/>
      <c r="W223" s="392"/>
      <c r="X223" s="392"/>
      <c r="Y223" s="392"/>
      <c r="Z223" s="392"/>
      <c r="AA223" s="392"/>
      <c r="AB223" s="392"/>
      <c r="AC223" s="392"/>
      <c r="AD223" s="392"/>
      <c r="AE223" s="392"/>
      <c r="AF223" s="392"/>
    </row>
    <row r="224" ht="15.75" customHeight="1">
      <c r="A224" s="216"/>
      <c r="B224" s="156"/>
      <c r="C224" s="156"/>
      <c r="D224" s="156"/>
      <c r="E224" s="392"/>
      <c r="F224" s="392"/>
      <c r="G224" s="392"/>
      <c r="H224" s="392"/>
      <c r="I224" s="392"/>
      <c r="J224" s="145"/>
      <c r="K224" s="392"/>
      <c r="L224" s="392"/>
      <c r="M224" s="392"/>
      <c r="N224" s="392"/>
      <c r="O224" s="392"/>
      <c r="P224" s="392"/>
      <c r="Q224" s="392"/>
      <c r="R224" s="392"/>
      <c r="S224" s="392"/>
      <c r="T224" s="392"/>
      <c r="U224" s="392"/>
      <c r="V224" s="392"/>
      <c r="W224" s="392"/>
      <c r="X224" s="392"/>
      <c r="Y224" s="392"/>
      <c r="Z224" s="392"/>
      <c r="AA224" s="392"/>
      <c r="AB224" s="392"/>
      <c r="AC224" s="392"/>
      <c r="AD224" s="392"/>
      <c r="AE224" s="392"/>
      <c r="AF224" s="392"/>
    </row>
    <row r="225" ht="15.75" customHeight="1">
      <c r="A225" s="216"/>
      <c r="B225" s="156"/>
      <c r="C225" s="156"/>
      <c r="D225" s="156"/>
      <c r="E225" s="392"/>
      <c r="F225" s="392"/>
      <c r="G225" s="392"/>
      <c r="H225" s="392"/>
      <c r="I225" s="392"/>
      <c r="J225" s="145"/>
      <c r="K225" s="392"/>
      <c r="L225" s="392"/>
      <c r="M225" s="392"/>
      <c r="N225" s="392"/>
      <c r="O225" s="392"/>
      <c r="P225" s="392"/>
      <c r="Q225" s="392"/>
      <c r="R225" s="392"/>
      <c r="S225" s="392"/>
      <c r="T225" s="392"/>
      <c r="U225" s="392"/>
      <c r="V225" s="392"/>
      <c r="W225" s="392"/>
      <c r="X225" s="392"/>
      <c r="Y225" s="392"/>
      <c r="Z225" s="392"/>
      <c r="AA225" s="392"/>
      <c r="AB225" s="392"/>
      <c r="AC225" s="392"/>
      <c r="AD225" s="392"/>
      <c r="AE225" s="392"/>
      <c r="AF225" s="392"/>
    </row>
    <row r="226" ht="15.75" customHeight="1">
      <c r="A226" s="216"/>
      <c r="B226" s="156"/>
      <c r="C226" s="156"/>
      <c r="D226" s="156"/>
      <c r="E226" s="392"/>
      <c r="F226" s="392"/>
      <c r="G226" s="392"/>
      <c r="H226" s="392"/>
      <c r="I226" s="392"/>
      <c r="J226" s="145"/>
      <c r="K226" s="392"/>
      <c r="L226" s="392"/>
      <c r="M226" s="392"/>
      <c r="N226" s="392"/>
      <c r="O226" s="392"/>
      <c r="P226" s="392"/>
      <c r="Q226" s="392"/>
      <c r="R226" s="392"/>
      <c r="S226" s="392"/>
      <c r="T226" s="392"/>
      <c r="U226" s="392"/>
      <c r="V226" s="392"/>
      <c r="W226" s="392"/>
      <c r="X226" s="392"/>
      <c r="Y226" s="392"/>
      <c r="Z226" s="392"/>
      <c r="AA226" s="392"/>
      <c r="AB226" s="392"/>
      <c r="AC226" s="392"/>
      <c r="AD226" s="392"/>
      <c r="AE226" s="392"/>
      <c r="AF226" s="392"/>
    </row>
    <row r="227" ht="15.75" customHeight="1">
      <c r="A227" s="216"/>
      <c r="B227" s="156"/>
      <c r="C227" s="156"/>
      <c r="D227" s="156"/>
      <c r="E227" s="392"/>
      <c r="F227" s="392"/>
      <c r="G227" s="392"/>
      <c r="H227" s="392"/>
      <c r="I227" s="392"/>
      <c r="J227" s="145"/>
      <c r="K227" s="392"/>
      <c r="L227" s="392"/>
      <c r="M227" s="392"/>
      <c r="N227" s="392"/>
      <c r="O227" s="392"/>
      <c r="P227" s="392"/>
      <c r="Q227" s="392"/>
      <c r="R227" s="392"/>
      <c r="S227" s="392"/>
      <c r="T227" s="392"/>
      <c r="U227" s="392"/>
      <c r="V227" s="392"/>
      <c r="W227" s="392"/>
      <c r="X227" s="392"/>
      <c r="Y227" s="392"/>
      <c r="Z227" s="392"/>
      <c r="AA227" s="392"/>
      <c r="AB227" s="392"/>
      <c r="AC227" s="392"/>
      <c r="AD227" s="392"/>
      <c r="AE227" s="392"/>
      <c r="AF227" s="392"/>
    </row>
    <row r="228" ht="15.75" customHeight="1">
      <c r="A228" s="216"/>
      <c r="B228" s="156"/>
      <c r="C228" s="156"/>
      <c r="D228" s="156"/>
      <c r="E228" s="392"/>
      <c r="F228" s="392"/>
      <c r="G228" s="392"/>
      <c r="H228" s="392"/>
      <c r="I228" s="392"/>
      <c r="J228" s="145"/>
      <c r="K228" s="392"/>
      <c r="L228" s="392"/>
      <c r="M228" s="392"/>
      <c r="N228" s="392"/>
      <c r="O228" s="392"/>
      <c r="P228" s="392"/>
      <c r="Q228" s="392"/>
      <c r="R228" s="392"/>
      <c r="S228" s="392"/>
      <c r="T228" s="392"/>
      <c r="U228" s="392"/>
      <c r="V228" s="392"/>
      <c r="W228" s="392"/>
      <c r="X228" s="392"/>
      <c r="Y228" s="392"/>
      <c r="Z228" s="392"/>
      <c r="AA228" s="392"/>
      <c r="AB228" s="392"/>
      <c r="AC228" s="392"/>
      <c r="AD228" s="392"/>
      <c r="AE228" s="392"/>
      <c r="AF228" s="392"/>
    </row>
    <row r="229" ht="15.75" customHeight="1">
      <c r="A229" s="216"/>
      <c r="B229" s="156"/>
      <c r="C229" s="156"/>
      <c r="D229" s="156"/>
      <c r="E229" s="392"/>
      <c r="F229" s="392"/>
      <c r="G229" s="392"/>
      <c r="H229" s="392"/>
      <c r="I229" s="392"/>
      <c r="J229" s="145"/>
      <c r="K229" s="392"/>
      <c r="L229" s="392"/>
      <c r="M229" s="392"/>
      <c r="N229" s="392"/>
      <c r="O229" s="392"/>
      <c r="P229" s="392"/>
      <c r="Q229" s="392"/>
      <c r="R229" s="392"/>
      <c r="S229" s="392"/>
      <c r="T229" s="392"/>
      <c r="U229" s="392"/>
      <c r="V229" s="392"/>
      <c r="W229" s="392"/>
      <c r="X229" s="392"/>
      <c r="Y229" s="392"/>
      <c r="Z229" s="392"/>
      <c r="AA229" s="392"/>
      <c r="AB229" s="392"/>
      <c r="AC229" s="392"/>
      <c r="AD229" s="392"/>
      <c r="AE229" s="392"/>
      <c r="AF229" s="392"/>
    </row>
    <row r="230" ht="15.75" customHeight="1">
      <c r="A230" s="216"/>
      <c r="B230" s="156"/>
      <c r="C230" s="156"/>
      <c r="D230" s="156"/>
      <c r="E230" s="392"/>
      <c r="F230" s="392"/>
      <c r="G230" s="392"/>
      <c r="H230" s="392"/>
      <c r="I230" s="392"/>
      <c r="J230" s="145"/>
      <c r="K230" s="392"/>
      <c r="L230" s="392"/>
      <c r="M230" s="392"/>
      <c r="N230" s="392"/>
      <c r="O230" s="392"/>
      <c r="P230" s="392"/>
      <c r="Q230" s="392"/>
      <c r="R230" s="392"/>
      <c r="S230" s="392"/>
      <c r="T230" s="392"/>
      <c r="U230" s="392"/>
      <c r="V230" s="392"/>
      <c r="W230" s="392"/>
      <c r="X230" s="392"/>
      <c r="Y230" s="392"/>
      <c r="Z230" s="392"/>
      <c r="AA230" s="392"/>
      <c r="AB230" s="392"/>
      <c r="AC230" s="392"/>
      <c r="AD230" s="392"/>
      <c r="AE230" s="392"/>
      <c r="AF230" s="392"/>
    </row>
    <row r="231" ht="15.75" customHeight="1">
      <c r="A231" s="216"/>
      <c r="B231" s="156"/>
      <c r="C231" s="156"/>
      <c r="D231" s="156"/>
      <c r="E231" s="392"/>
      <c r="F231" s="392"/>
      <c r="G231" s="392"/>
      <c r="H231" s="392"/>
      <c r="I231" s="392"/>
      <c r="J231" s="145"/>
      <c r="K231" s="392"/>
      <c r="L231" s="392"/>
      <c r="M231" s="392"/>
      <c r="N231" s="392"/>
      <c r="O231" s="392"/>
      <c r="P231" s="392"/>
      <c r="Q231" s="392"/>
      <c r="R231" s="392"/>
      <c r="S231" s="392"/>
      <c r="T231" s="392"/>
      <c r="U231" s="392"/>
      <c r="V231" s="392"/>
      <c r="W231" s="392"/>
      <c r="X231" s="392"/>
      <c r="Y231" s="392"/>
      <c r="Z231" s="392"/>
      <c r="AA231" s="392"/>
      <c r="AB231" s="392"/>
      <c r="AC231" s="392"/>
      <c r="AD231" s="392"/>
      <c r="AE231" s="392"/>
      <c r="AF231" s="392"/>
    </row>
    <row r="232" ht="15.75" customHeight="1">
      <c r="A232" s="216"/>
      <c r="B232" s="156"/>
      <c r="C232" s="156"/>
      <c r="D232" s="156"/>
      <c r="E232" s="392"/>
      <c r="F232" s="392"/>
      <c r="G232" s="392"/>
      <c r="H232" s="392"/>
      <c r="I232" s="392"/>
      <c r="J232" s="145"/>
      <c r="K232" s="392"/>
      <c r="L232" s="392"/>
      <c r="M232" s="392"/>
      <c r="N232" s="392"/>
      <c r="O232" s="392"/>
      <c r="P232" s="392"/>
      <c r="Q232" s="392"/>
      <c r="R232" s="392"/>
      <c r="S232" s="392"/>
      <c r="T232" s="392"/>
      <c r="U232" s="392"/>
      <c r="V232" s="392"/>
      <c r="W232" s="392"/>
      <c r="X232" s="392"/>
      <c r="Y232" s="392"/>
      <c r="Z232" s="392"/>
      <c r="AA232" s="392"/>
      <c r="AB232" s="392"/>
      <c r="AC232" s="392"/>
      <c r="AD232" s="392"/>
      <c r="AE232" s="392"/>
      <c r="AF232" s="392"/>
    </row>
    <row r="233" ht="15.75" customHeight="1">
      <c r="A233" s="216"/>
      <c r="B233" s="156"/>
      <c r="C233" s="156"/>
      <c r="D233" s="156"/>
      <c r="E233" s="392"/>
      <c r="F233" s="392"/>
      <c r="G233" s="392"/>
      <c r="H233" s="392"/>
      <c r="I233" s="392"/>
      <c r="J233" s="145"/>
      <c r="K233" s="392"/>
      <c r="L233" s="392"/>
      <c r="M233" s="392"/>
      <c r="N233" s="392"/>
      <c r="O233" s="392"/>
      <c r="P233" s="392"/>
      <c r="Q233" s="392"/>
      <c r="R233" s="392"/>
      <c r="S233" s="392"/>
      <c r="T233" s="392"/>
      <c r="U233" s="392"/>
      <c r="V233" s="392"/>
      <c r="W233" s="392"/>
      <c r="X233" s="392"/>
      <c r="Y233" s="392"/>
      <c r="Z233" s="392"/>
      <c r="AA233" s="392"/>
      <c r="AB233" s="392"/>
      <c r="AC233" s="392"/>
      <c r="AD233" s="392"/>
      <c r="AE233" s="392"/>
      <c r="AF233" s="392"/>
    </row>
    <row r="234" ht="15.75" customHeight="1">
      <c r="A234" s="216"/>
      <c r="B234" s="156"/>
      <c r="C234" s="156"/>
      <c r="D234" s="156"/>
      <c r="E234" s="392"/>
      <c r="F234" s="392"/>
      <c r="G234" s="392"/>
      <c r="H234" s="392"/>
      <c r="I234" s="392"/>
      <c r="J234" s="145"/>
      <c r="K234" s="392"/>
      <c r="L234" s="392"/>
      <c r="M234" s="392"/>
      <c r="N234" s="392"/>
      <c r="O234" s="392"/>
      <c r="P234" s="392"/>
      <c r="Q234" s="392"/>
      <c r="R234" s="392"/>
      <c r="S234" s="392"/>
      <c r="T234" s="392"/>
      <c r="U234" s="392"/>
      <c r="V234" s="392"/>
      <c r="W234" s="392"/>
      <c r="X234" s="392"/>
      <c r="Y234" s="392"/>
      <c r="Z234" s="392"/>
      <c r="AA234" s="392"/>
      <c r="AB234" s="392"/>
      <c r="AC234" s="392"/>
      <c r="AD234" s="392"/>
      <c r="AE234" s="392"/>
      <c r="AF234" s="392"/>
    </row>
    <row r="235" ht="15.75" customHeight="1">
      <c r="A235" s="216"/>
      <c r="B235" s="156"/>
      <c r="C235" s="156"/>
      <c r="D235" s="156"/>
      <c r="E235" s="392"/>
      <c r="F235" s="392"/>
      <c r="G235" s="392"/>
      <c r="H235" s="392"/>
      <c r="I235" s="392"/>
      <c r="J235" s="145"/>
      <c r="K235" s="392"/>
      <c r="L235" s="392"/>
      <c r="M235" s="392"/>
      <c r="N235" s="392"/>
      <c r="O235" s="392"/>
      <c r="P235" s="392"/>
      <c r="Q235" s="392"/>
      <c r="R235" s="392"/>
      <c r="S235" s="392"/>
      <c r="T235" s="392"/>
      <c r="U235" s="392"/>
      <c r="V235" s="392"/>
      <c r="W235" s="392"/>
      <c r="X235" s="392"/>
      <c r="Y235" s="392"/>
      <c r="Z235" s="392"/>
      <c r="AA235" s="392"/>
      <c r="AB235" s="392"/>
      <c r="AC235" s="392"/>
      <c r="AD235" s="392"/>
      <c r="AE235" s="392"/>
      <c r="AF235" s="392"/>
    </row>
    <row r="236" ht="15.75" customHeight="1">
      <c r="A236" s="216"/>
      <c r="B236" s="156"/>
      <c r="C236" s="156"/>
      <c r="D236" s="156"/>
      <c r="E236" s="392"/>
      <c r="F236" s="392"/>
      <c r="G236" s="392"/>
      <c r="H236" s="392"/>
      <c r="I236" s="392"/>
      <c r="J236" s="145"/>
      <c r="K236" s="392"/>
      <c r="L236" s="392"/>
      <c r="M236" s="392"/>
      <c r="N236" s="392"/>
      <c r="O236" s="392"/>
      <c r="P236" s="392"/>
      <c r="Q236" s="392"/>
      <c r="R236" s="392"/>
      <c r="S236" s="392"/>
      <c r="T236" s="392"/>
      <c r="U236" s="392"/>
      <c r="V236" s="392"/>
      <c r="W236" s="392"/>
      <c r="X236" s="392"/>
      <c r="Y236" s="392"/>
      <c r="Z236" s="392"/>
      <c r="AA236" s="392"/>
      <c r="AB236" s="392"/>
      <c r="AC236" s="392"/>
      <c r="AD236" s="392"/>
      <c r="AE236" s="392"/>
      <c r="AF236" s="392"/>
    </row>
    <row r="237" ht="15.75" customHeight="1">
      <c r="A237" s="216"/>
      <c r="B237" s="156"/>
      <c r="C237" s="156"/>
      <c r="D237" s="156"/>
      <c r="E237" s="392"/>
      <c r="F237" s="392"/>
      <c r="G237" s="392"/>
      <c r="H237" s="392"/>
      <c r="I237" s="392"/>
      <c r="J237" s="145"/>
      <c r="K237" s="392"/>
      <c r="L237" s="392"/>
      <c r="M237" s="392"/>
      <c r="N237" s="392"/>
      <c r="O237" s="392"/>
      <c r="P237" s="392"/>
      <c r="Q237" s="392"/>
      <c r="R237" s="392"/>
      <c r="S237" s="392"/>
      <c r="T237" s="392"/>
      <c r="U237" s="392"/>
      <c r="V237" s="392"/>
      <c r="W237" s="392"/>
      <c r="X237" s="392"/>
      <c r="Y237" s="392"/>
      <c r="Z237" s="392"/>
      <c r="AA237" s="392"/>
      <c r="AB237" s="392"/>
      <c r="AC237" s="392"/>
      <c r="AD237" s="392"/>
      <c r="AE237" s="392"/>
      <c r="AF237" s="392"/>
    </row>
    <row r="238" ht="15.75" customHeight="1">
      <c r="A238" s="216"/>
      <c r="B238" s="156"/>
      <c r="C238" s="156"/>
      <c r="D238" s="156"/>
      <c r="E238" s="392"/>
      <c r="F238" s="392"/>
      <c r="G238" s="392"/>
      <c r="H238" s="392"/>
      <c r="I238" s="392"/>
      <c r="J238" s="145"/>
      <c r="K238" s="392"/>
      <c r="L238" s="392"/>
      <c r="M238" s="392"/>
      <c r="N238" s="392"/>
      <c r="O238" s="392"/>
      <c r="P238" s="392"/>
      <c r="Q238" s="392"/>
      <c r="R238" s="392"/>
      <c r="S238" s="392"/>
      <c r="T238" s="392"/>
      <c r="U238" s="392"/>
      <c r="V238" s="392"/>
      <c r="W238" s="392"/>
      <c r="X238" s="392"/>
      <c r="Y238" s="392"/>
      <c r="Z238" s="392"/>
      <c r="AA238" s="392"/>
      <c r="AB238" s="392"/>
      <c r="AC238" s="392"/>
      <c r="AD238" s="392"/>
      <c r="AE238" s="392"/>
      <c r="AF238" s="392"/>
    </row>
    <row r="239" ht="15.75" customHeight="1">
      <c r="A239" s="216"/>
      <c r="B239" s="156"/>
      <c r="C239" s="156"/>
      <c r="D239" s="156"/>
      <c r="E239" s="392"/>
      <c r="F239" s="392"/>
      <c r="G239" s="392"/>
      <c r="H239" s="392"/>
      <c r="I239" s="392"/>
      <c r="J239" s="145"/>
      <c r="K239" s="392"/>
      <c r="L239" s="392"/>
      <c r="M239" s="392"/>
      <c r="N239" s="392"/>
      <c r="O239" s="392"/>
      <c r="P239" s="392"/>
      <c r="Q239" s="392"/>
      <c r="R239" s="392"/>
      <c r="S239" s="392"/>
      <c r="T239" s="392"/>
      <c r="U239" s="392"/>
      <c r="V239" s="392"/>
      <c r="W239" s="392"/>
      <c r="X239" s="392"/>
      <c r="Y239" s="392"/>
      <c r="Z239" s="392"/>
      <c r="AA239" s="392"/>
      <c r="AB239" s="392"/>
      <c r="AC239" s="392"/>
      <c r="AD239" s="392"/>
      <c r="AE239" s="392"/>
      <c r="AF239" s="392"/>
    </row>
    <row r="240" ht="15.75" customHeight="1">
      <c r="A240" s="216"/>
      <c r="B240" s="156"/>
      <c r="C240" s="156"/>
      <c r="D240" s="156"/>
      <c r="E240" s="392"/>
      <c r="F240" s="392"/>
      <c r="G240" s="392"/>
      <c r="H240" s="392"/>
      <c r="I240" s="392"/>
      <c r="J240" s="145"/>
      <c r="K240" s="392"/>
      <c r="L240" s="392"/>
      <c r="M240" s="392"/>
      <c r="N240" s="392"/>
      <c r="O240" s="392"/>
      <c r="P240" s="392"/>
      <c r="Q240" s="392"/>
      <c r="R240" s="392"/>
      <c r="S240" s="392"/>
      <c r="T240" s="392"/>
      <c r="U240" s="392"/>
      <c r="V240" s="392"/>
      <c r="W240" s="392"/>
      <c r="X240" s="392"/>
      <c r="Y240" s="392"/>
      <c r="Z240" s="392"/>
      <c r="AA240" s="392"/>
      <c r="AB240" s="392"/>
      <c r="AC240" s="392"/>
      <c r="AD240" s="392"/>
      <c r="AE240" s="392"/>
      <c r="AF240" s="392"/>
    </row>
    <row r="241" ht="15.75" customHeight="1">
      <c r="A241" s="216"/>
      <c r="B241" s="156"/>
      <c r="C241" s="156"/>
      <c r="D241" s="156"/>
      <c r="E241" s="392"/>
      <c r="F241" s="392"/>
      <c r="G241" s="392"/>
      <c r="H241" s="392"/>
      <c r="I241" s="392"/>
      <c r="J241" s="145"/>
      <c r="K241" s="392"/>
      <c r="L241" s="392"/>
      <c r="M241" s="392"/>
      <c r="N241" s="392"/>
      <c r="O241" s="392"/>
      <c r="P241" s="392"/>
      <c r="Q241" s="392"/>
      <c r="R241" s="392"/>
      <c r="S241" s="392"/>
      <c r="T241" s="392"/>
      <c r="U241" s="392"/>
      <c r="V241" s="392"/>
      <c r="W241" s="392"/>
      <c r="X241" s="392"/>
      <c r="Y241" s="392"/>
      <c r="Z241" s="392"/>
      <c r="AA241" s="392"/>
      <c r="AB241" s="392"/>
      <c r="AC241" s="392"/>
      <c r="AD241" s="392"/>
      <c r="AE241" s="392"/>
      <c r="AF241" s="392"/>
    </row>
    <row r="242" ht="15.75" customHeight="1">
      <c r="A242" s="216"/>
      <c r="B242" s="156"/>
      <c r="C242" s="156"/>
      <c r="D242" s="156"/>
      <c r="E242" s="392"/>
      <c r="F242" s="392"/>
      <c r="G242" s="392"/>
      <c r="H242" s="392"/>
      <c r="I242" s="392"/>
      <c r="J242" s="145"/>
      <c r="K242" s="392"/>
      <c r="L242" s="392"/>
      <c r="M242" s="392"/>
      <c r="N242" s="392"/>
      <c r="O242" s="392"/>
      <c r="P242" s="392"/>
      <c r="Q242" s="392"/>
      <c r="R242" s="392"/>
      <c r="S242" s="392"/>
      <c r="T242" s="392"/>
      <c r="U242" s="392"/>
      <c r="V242" s="392"/>
      <c r="W242" s="392"/>
      <c r="X242" s="392"/>
      <c r="Y242" s="392"/>
      <c r="Z242" s="392"/>
      <c r="AA242" s="392"/>
      <c r="AB242" s="392"/>
      <c r="AC242" s="392"/>
      <c r="AD242" s="392"/>
      <c r="AE242" s="392"/>
      <c r="AF242" s="392"/>
    </row>
    <row r="243" ht="15.75" customHeight="1">
      <c r="A243" s="216"/>
      <c r="B243" s="156"/>
      <c r="C243" s="156"/>
      <c r="D243" s="156"/>
      <c r="E243" s="392"/>
      <c r="F243" s="392"/>
      <c r="G243" s="392"/>
      <c r="H243" s="392"/>
      <c r="I243" s="392"/>
      <c r="J243" s="145"/>
      <c r="K243" s="392"/>
      <c r="L243" s="392"/>
      <c r="M243" s="392"/>
      <c r="N243" s="392"/>
      <c r="O243" s="392"/>
      <c r="P243" s="392"/>
      <c r="Q243" s="392"/>
      <c r="R243" s="392"/>
      <c r="S243" s="392"/>
      <c r="T243" s="392"/>
      <c r="U243" s="392"/>
      <c r="V243" s="392"/>
      <c r="W243" s="392"/>
      <c r="X243" s="392"/>
      <c r="Y243" s="392"/>
      <c r="Z243" s="392"/>
      <c r="AA243" s="392"/>
      <c r="AB243" s="392"/>
      <c r="AC243" s="392"/>
      <c r="AD243" s="392"/>
      <c r="AE243" s="392"/>
      <c r="AF243" s="392"/>
    </row>
    <row r="244" ht="15.75" customHeight="1">
      <c r="A244" s="216"/>
      <c r="B244" s="156"/>
      <c r="C244" s="156"/>
      <c r="D244" s="156"/>
      <c r="E244" s="392"/>
      <c r="F244" s="392"/>
      <c r="G244" s="392"/>
      <c r="H244" s="392"/>
      <c r="I244" s="392"/>
      <c r="J244" s="145"/>
      <c r="K244" s="392"/>
      <c r="L244" s="392"/>
      <c r="M244" s="392"/>
      <c r="N244" s="392"/>
      <c r="O244" s="392"/>
      <c r="P244" s="392"/>
      <c r="Q244" s="392"/>
      <c r="R244" s="392"/>
      <c r="S244" s="392"/>
      <c r="T244" s="392"/>
      <c r="U244" s="392"/>
      <c r="V244" s="392"/>
      <c r="W244" s="392"/>
      <c r="X244" s="392"/>
      <c r="Y244" s="392"/>
      <c r="Z244" s="392"/>
      <c r="AA244" s="392"/>
      <c r="AB244" s="392"/>
      <c r="AC244" s="392"/>
      <c r="AD244" s="392"/>
      <c r="AE244" s="392"/>
      <c r="AF244" s="392"/>
    </row>
    <row r="245" ht="15.75" customHeight="1">
      <c r="A245" s="216"/>
      <c r="B245" s="156"/>
      <c r="C245" s="156"/>
      <c r="D245" s="156"/>
      <c r="E245" s="392"/>
      <c r="F245" s="392"/>
      <c r="G245" s="392"/>
      <c r="H245" s="392"/>
      <c r="I245" s="392"/>
      <c r="J245" s="145"/>
      <c r="K245" s="392"/>
      <c r="L245" s="392"/>
      <c r="M245" s="392"/>
      <c r="N245" s="392"/>
      <c r="O245" s="392"/>
      <c r="P245" s="392"/>
      <c r="Q245" s="392"/>
      <c r="R245" s="392"/>
      <c r="S245" s="392"/>
      <c r="T245" s="392"/>
      <c r="U245" s="392"/>
      <c r="V245" s="392"/>
      <c r="W245" s="392"/>
      <c r="X245" s="392"/>
      <c r="Y245" s="392"/>
      <c r="Z245" s="392"/>
      <c r="AA245" s="392"/>
      <c r="AB245" s="392"/>
      <c r="AC245" s="392"/>
      <c r="AD245" s="392"/>
      <c r="AE245" s="392"/>
      <c r="AF245" s="392"/>
    </row>
    <row r="246" ht="15.75" customHeight="1">
      <c r="A246" s="216"/>
      <c r="B246" s="156"/>
      <c r="C246" s="156"/>
      <c r="D246" s="156"/>
      <c r="E246" s="392"/>
      <c r="F246" s="392"/>
      <c r="G246" s="392"/>
      <c r="H246" s="392"/>
      <c r="I246" s="392"/>
      <c r="J246" s="145"/>
      <c r="K246" s="392"/>
      <c r="L246" s="392"/>
      <c r="M246" s="392"/>
      <c r="N246" s="392"/>
      <c r="O246" s="392"/>
      <c r="P246" s="392"/>
      <c r="Q246" s="392"/>
      <c r="R246" s="392"/>
      <c r="S246" s="392"/>
      <c r="T246" s="392"/>
      <c r="U246" s="392"/>
      <c r="V246" s="392"/>
      <c r="W246" s="392"/>
      <c r="X246" s="392"/>
      <c r="Y246" s="392"/>
      <c r="Z246" s="392"/>
      <c r="AA246" s="392"/>
      <c r="AB246" s="392"/>
      <c r="AC246" s="392"/>
      <c r="AD246" s="392"/>
      <c r="AE246" s="392"/>
      <c r="AF246" s="392"/>
    </row>
    <row r="247" ht="15.75" customHeight="1">
      <c r="A247" s="216"/>
      <c r="B247" s="156"/>
      <c r="C247" s="156"/>
      <c r="D247" s="156"/>
      <c r="E247" s="392"/>
      <c r="F247" s="392"/>
      <c r="G247" s="392"/>
      <c r="H247" s="392"/>
      <c r="I247" s="392"/>
      <c r="J247" s="145"/>
      <c r="K247" s="392"/>
      <c r="L247" s="392"/>
      <c r="M247" s="392"/>
      <c r="N247" s="392"/>
      <c r="O247" s="392"/>
      <c r="P247" s="392"/>
      <c r="Q247" s="392"/>
      <c r="R247" s="392"/>
      <c r="S247" s="392"/>
      <c r="T247" s="392"/>
      <c r="U247" s="392"/>
      <c r="V247" s="392"/>
      <c r="W247" s="392"/>
      <c r="X247" s="392"/>
      <c r="Y247" s="392"/>
      <c r="Z247" s="392"/>
      <c r="AA247" s="392"/>
      <c r="AB247" s="392"/>
      <c r="AC247" s="392"/>
      <c r="AD247" s="392"/>
      <c r="AE247" s="392"/>
      <c r="AF247" s="392"/>
    </row>
    <row r="248" ht="15.75" customHeight="1">
      <c r="A248" s="216"/>
      <c r="B248" s="156"/>
      <c r="C248" s="156"/>
      <c r="D248" s="156"/>
      <c r="E248" s="392"/>
      <c r="F248" s="392"/>
      <c r="G248" s="392"/>
      <c r="H248" s="392"/>
      <c r="I248" s="392"/>
      <c r="J248" s="145"/>
      <c r="K248" s="392"/>
      <c r="L248" s="392"/>
      <c r="M248" s="392"/>
      <c r="N248" s="392"/>
      <c r="O248" s="392"/>
      <c r="P248" s="392"/>
      <c r="Q248" s="392"/>
      <c r="R248" s="392"/>
      <c r="S248" s="392"/>
      <c r="T248" s="392"/>
      <c r="U248" s="392"/>
      <c r="V248" s="392"/>
      <c r="W248" s="392"/>
      <c r="X248" s="392"/>
      <c r="Y248" s="392"/>
      <c r="Z248" s="392"/>
      <c r="AA248" s="392"/>
      <c r="AB248" s="392"/>
      <c r="AC248" s="392"/>
      <c r="AD248" s="392"/>
      <c r="AE248" s="392"/>
      <c r="AF248" s="392"/>
    </row>
    <row r="249" ht="15.75" customHeight="1">
      <c r="A249" s="216"/>
      <c r="B249" s="156"/>
      <c r="C249" s="156"/>
      <c r="D249" s="156"/>
      <c r="E249" s="392"/>
      <c r="F249" s="392"/>
      <c r="G249" s="392"/>
      <c r="H249" s="392"/>
      <c r="I249" s="392"/>
      <c r="J249" s="145"/>
      <c r="K249" s="392"/>
      <c r="L249" s="392"/>
      <c r="M249" s="392"/>
      <c r="N249" s="392"/>
      <c r="O249" s="392"/>
      <c r="P249" s="392"/>
      <c r="Q249" s="392"/>
      <c r="R249" s="392"/>
      <c r="S249" s="392"/>
      <c r="T249" s="392"/>
      <c r="U249" s="392"/>
      <c r="V249" s="392"/>
      <c r="W249" s="392"/>
      <c r="X249" s="392"/>
      <c r="Y249" s="392"/>
      <c r="Z249" s="392"/>
      <c r="AA249" s="392"/>
      <c r="AB249" s="392"/>
      <c r="AC249" s="392"/>
      <c r="AD249" s="392"/>
      <c r="AE249" s="392"/>
      <c r="AF249" s="392"/>
    </row>
    <row r="250" ht="15.75" customHeight="1">
      <c r="A250" s="216"/>
      <c r="B250" s="156"/>
      <c r="C250" s="156"/>
      <c r="D250" s="156"/>
      <c r="E250" s="392"/>
      <c r="F250" s="392"/>
      <c r="G250" s="392"/>
      <c r="H250" s="392"/>
      <c r="I250" s="392"/>
      <c r="J250" s="145"/>
      <c r="K250" s="392"/>
      <c r="L250" s="392"/>
      <c r="M250" s="392"/>
      <c r="N250" s="392"/>
      <c r="O250" s="392"/>
      <c r="P250" s="392"/>
      <c r="Q250" s="392"/>
      <c r="R250" s="392"/>
      <c r="S250" s="392"/>
      <c r="T250" s="392"/>
      <c r="U250" s="392"/>
      <c r="V250" s="392"/>
      <c r="W250" s="392"/>
      <c r="X250" s="392"/>
      <c r="Y250" s="392"/>
      <c r="Z250" s="392"/>
      <c r="AA250" s="392"/>
      <c r="AB250" s="392"/>
      <c r="AC250" s="392"/>
      <c r="AD250" s="392"/>
      <c r="AE250" s="392"/>
      <c r="AF250" s="392"/>
    </row>
    <row r="251" ht="15.75" customHeight="1">
      <c r="A251" s="216"/>
      <c r="B251" s="156"/>
      <c r="C251" s="156"/>
      <c r="D251" s="156"/>
      <c r="E251" s="392"/>
      <c r="F251" s="392"/>
      <c r="G251" s="392"/>
      <c r="H251" s="392"/>
      <c r="I251" s="392"/>
      <c r="J251" s="145"/>
      <c r="K251" s="392"/>
      <c r="L251" s="392"/>
      <c r="M251" s="392"/>
      <c r="N251" s="392"/>
      <c r="O251" s="392"/>
      <c r="P251" s="392"/>
      <c r="Q251" s="392"/>
      <c r="R251" s="392"/>
      <c r="S251" s="392"/>
      <c r="T251" s="392"/>
      <c r="U251" s="392"/>
      <c r="V251" s="392"/>
      <c r="W251" s="392"/>
      <c r="X251" s="392"/>
      <c r="Y251" s="392"/>
      <c r="Z251" s="392"/>
      <c r="AA251" s="392"/>
      <c r="AB251" s="392"/>
      <c r="AC251" s="392"/>
      <c r="AD251" s="392"/>
      <c r="AE251" s="392"/>
      <c r="AF251" s="392"/>
    </row>
    <row r="252" ht="15.75" customHeight="1">
      <c r="A252" s="216"/>
      <c r="B252" s="156"/>
      <c r="C252" s="156"/>
      <c r="D252" s="156"/>
      <c r="E252" s="392"/>
      <c r="F252" s="392"/>
      <c r="G252" s="392"/>
      <c r="H252" s="392"/>
      <c r="I252" s="392"/>
      <c r="J252" s="145"/>
      <c r="K252" s="392"/>
      <c r="L252" s="392"/>
      <c r="M252" s="392"/>
      <c r="N252" s="392"/>
      <c r="O252" s="392"/>
      <c r="P252" s="392"/>
      <c r="Q252" s="392"/>
      <c r="R252" s="392"/>
      <c r="S252" s="392"/>
      <c r="T252" s="392"/>
      <c r="U252" s="392"/>
      <c r="V252" s="392"/>
      <c r="W252" s="392"/>
      <c r="X252" s="392"/>
      <c r="Y252" s="392"/>
      <c r="Z252" s="392"/>
      <c r="AA252" s="392"/>
      <c r="AB252" s="392"/>
      <c r="AC252" s="392"/>
      <c r="AD252" s="392"/>
      <c r="AE252" s="392"/>
      <c r="AF252" s="392"/>
    </row>
    <row r="253" ht="15.75" customHeight="1">
      <c r="A253" s="216"/>
      <c r="B253" s="156"/>
      <c r="C253" s="156"/>
      <c r="D253" s="156"/>
      <c r="E253" s="392"/>
      <c r="F253" s="392"/>
      <c r="G253" s="392"/>
      <c r="H253" s="392"/>
      <c r="I253" s="392"/>
      <c r="J253" s="145"/>
      <c r="K253" s="392"/>
      <c r="L253" s="392"/>
      <c r="M253" s="392"/>
      <c r="N253" s="392"/>
      <c r="O253" s="392"/>
      <c r="P253" s="392"/>
      <c r="Q253" s="392"/>
      <c r="R253" s="392"/>
      <c r="S253" s="392"/>
      <c r="T253" s="392"/>
      <c r="U253" s="392"/>
      <c r="V253" s="392"/>
      <c r="W253" s="392"/>
      <c r="X253" s="392"/>
      <c r="Y253" s="392"/>
      <c r="Z253" s="392"/>
      <c r="AA253" s="392"/>
      <c r="AB253" s="392"/>
      <c r="AC253" s="392"/>
      <c r="AD253" s="392"/>
      <c r="AE253" s="392"/>
      <c r="AF253" s="392"/>
    </row>
    <row r="254" ht="15.75" customHeight="1">
      <c r="A254" s="216"/>
      <c r="B254" s="156"/>
      <c r="C254" s="156"/>
      <c r="D254" s="156"/>
      <c r="E254" s="392"/>
      <c r="F254" s="392"/>
      <c r="G254" s="392"/>
      <c r="H254" s="392"/>
      <c r="I254" s="392"/>
      <c r="J254" s="145"/>
      <c r="K254" s="392"/>
      <c r="L254" s="392"/>
      <c r="M254" s="392"/>
      <c r="N254" s="392"/>
      <c r="O254" s="392"/>
      <c r="P254" s="392"/>
      <c r="Q254" s="392"/>
      <c r="R254" s="392"/>
      <c r="S254" s="392"/>
      <c r="T254" s="392"/>
      <c r="U254" s="392"/>
      <c r="V254" s="392"/>
      <c r="W254" s="392"/>
      <c r="X254" s="392"/>
      <c r="Y254" s="392"/>
      <c r="Z254" s="392"/>
      <c r="AA254" s="392"/>
      <c r="AB254" s="392"/>
      <c r="AC254" s="392"/>
      <c r="AD254" s="392"/>
      <c r="AE254" s="392"/>
      <c r="AF254" s="392"/>
    </row>
    <row r="255" ht="15.75" customHeight="1">
      <c r="A255" s="216"/>
      <c r="B255" s="156"/>
      <c r="C255" s="156"/>
      <c r="D255" s="156"/>
      <c r="E255" s="392"/>
      <c r="F255" s="392"/>
      <c r="G255" s="392"/>
      <c r="H255" s="392"/>
      <c r="I255" s="392"/>
      <c r="J255" s="145"/>
      <c r="K255" s="392"/>
      <c r="L255" s="392"/>
      <c r="M255" s="392"/>
      <c r="N255" s="392"/>
      <c r="O255" s="392"/>
      <c r="P255" s="392"/>
      <c r="Q255" s="392"/>
      <c r="R255" s="392"/>
      <c r="S255" s="392"/>
      <c r="T255" s="392"/>
      <c r="U255" s="392"/>
      <c r="V255" s="392"/>
      <c r="W255" s="392"/>
      <c r="X255" s="392"/>
      <c r="Y255" s="392"/>
      <c r="Z255" s="392"/>
      <c r="AA255" s="392"/>
      <c r="AB255" s="392"/>
      <c r="AC255" s="392"/>
      <c r="AD255" s="392"/>
      <c r="AE255" s="392"/>
      <c r="AF255" s="392"/>
    </row>
    <row r="256" ht="15.75" customHeight="1">
      <c r="A256" s="216"/>
      <c r="B256" s="156"/>
      <c r="C256" s="156"/>
      <c r="D256" s="156"/>
      <c r="E256" s="392"/>
      <c r="F256" s="392"/>
      <c r="G256" s="392"/>
      <c r="H256" s="392"/>
      <c r="I256" s="392"/>
      <c r="J256" s="145"/>
      <c r="K256" s="392"/>
      <c r="L256" s="392"/>
      <c r="M256" s="392"/>
      <c r="N256" s="392"/>
      <c r="O256" s="392"/>
      <c r="P256" s="392"/>
      <c r="Q256" s="392"/>
      <c r="R256" s="392"/>
      <c r="S256" s="392"/>
      <c r="T256" s="392"/>
      <c r="U256" s="392"/>
      <c r="V256" s="392"/>
      <c r="W256" s="392"/>
      <c r="X256" s="392"/>
      <c r="Y256" s="392"/>
      <c r="Z256" s="392"/>
      <c r="AA256" s="392"/>
      <c r="AB256" s="392"/>
      <c r="AC256" s="392"/>
      <c r="AD256" s="392"/>
      <c r="AE256" s="392"/>
      <c r="AF256" s="392"/>
    </row>
    <row r="257" ht="15.75" customHeight="1">
      <c r="A257" s="216"/>
      <c r="B257" s="156"/>
      <c r="C257" s="156"/>
      <c r="D257" s="156"/>
      <c r="E257" s="392"/>
      <c r="F257" s="392"/>
      <c r="G257" s="392"/>
      <c r="H257" s="392"/>
      <c r="I257" s="392"/>
      <c r="J257" s="145"/>
      <c r="K257" s="392"/>
      <c r="L257" s="392"/>
      <c r="M257" s="392"/>
      <c r="N257" s="392"/>
      <c r="O257" s="392"/>
      <c r="P257" s="392"/>
      <c r="Q257" s="392"/>
      <c r="R257" s="392"/>
      <c r="S257" s="392"/>
      <c r="T257" s="392"/>
      <c r="U257" s="392"/>
      <c r="V257" s="392"/>
      <c r="W257" s="392"/>
      <c r="X257" s="392"/>
      <c r="Y257" s="392"/>
      <c r="Z257" s="392"/>
      <c r="AA257" s="392"/>
      <c r="AB257" s="392"/>
      <c r="AC257" s="392"/>
      <c r="AD257" s="392"/>
      <c r="AE257" s="392"/>
      <c r="AF257" s="392"/>
    </row>
    <row r="258" ht="15.75" customHeight="1">
      <c r="A258" s="216"/>
      <c r="B258" s="156"/>
      <c r="C258" s="156"/>
      <c r="D258" s="156"/>
      <c r="E258" s="392"/>
      <c r="F258" s="392"/>
      <c r="G258" s="392"/>
      <c r="H258" s="392"/>
      <c r="I258" s="392"/>
      <c r="J258" s="145"/>
      <c r="K258" s="392"/>
      <c r="L258" s="392"/>
      <c r="M258" s="392"/>
      <c r="N258" s="392"/>
      <c r="O258" s="392"/>
      <c r="P258" s="392"/>
      <c r="Q258" s="392"/>
      <c r="R258" s="392"/>
      <c r="S258" s="392"/>
      <c r="T258" s="392"/>
      <c r="U258" s="392"/>
      <c r="V258" s="392"/>
      <c r="W258" s="392"/>
      <c r="X258" s="392"/>
      <c r="Y258" s="392"/>
      <c r="Z258" s="392"/>
      <c r="AA258" s="392"/>
      <c r="AB258" s="392"/>
      <c r="AC258" s="392"/>
      <c r="AD258" s="392"/>
      <c r="AE258" s="392"/>
      <c r="AF258" s="392"/>
    </row>
    <row r="259" ht="15.75" customHeight="1">
      <c r="A259" s="216"/>
      <c r="B259" s="156"/>
      <c r="C259" s="156"/>
      <c r="D259" s="156"/>
      <c r="E259" s="392"/>
      <c r="F259" s="392"/>
      <c r="G259" s="392"/>
      <c r="H259" s="392"/>
      <c r="I259" s="392"/>
      <c r="J259" s="145"/>
      <c r="K259" s="392"/>
      <c r="L259" s="392"/>
      <c r="M259" s="392"/>
      <c r="N259" s="392"/>
      <c r="O259" s="392"/>
      <c r="P259" s="392"/>
      <c r="Q259" s="392"/>
      <c r="R259" s="392"/>
      <c r="S259" s="392"/>
      <c r="T259" s="392"/>
      <c r="U259" s="392"/>
      <c r="V259" s="392"/>
      <c r="W259" s="392"/>
      <c r="X259" s="392"/>
      <c r="Y259" s="392"/>
      <c r="Z259" s="392"/>
      <c r="AA259" s="392"/>
      <c r="AB259" s="392"/>
      <c r="AC259" s="392"/>
      <c r="AD259" s="392"/>
      <c r="AE259" s="392"/>
      <c r="AF259" s="392"/>
    </row>
    <row r="260" ht="15.75" customHeight="1">
      <c r="A260" s="216"/>
      <c r="B260" s="156"/>
      <c r="C260" s="156"/>
      <c r="D260" s="156"/>
      <c r="E260" s="392"/>
      <c r="F260" s="392"/>
      <c r="G260" s="392"/>
      <c r="H260" s="392"/>
      <c r="I260" s="392"/>
      <c r="J260" s="145"/>
      <c r="K260" s="392"/>
      <c r="L260" s="392"/>
      <c r="M260" s="392"/>
      <c r="N260" s="392"/>
      <c r="O260" s="392"/>
      <c r="P260" s="392"/>
      <c r="Q260" s="392"/>
      <c r="R260" s="392"/>
      <c r="S260" s="392"/>
      <c r="T260" s="392"/>
      <c r="U260" s="392"/>
      <c r="V260" s="392"/>
      <c r="W260" s="392"/>
      <c r="X260" s="392"/>
      <c r="Y260" s="392"/>
      <c r="Z260" s="392"/>
      <c r="AA260" s="392"/>
      <c r="AB260" s="392"/>
      <c r="AC260" s="392"/>
      <c r="AD260" s="392"/>
      <c r="AE260" s="392"/>
      <c r="AF260" s="392"/>
    </row>
    <row r="261" ht="15.75" customHeight="1">
      <c r="A261" s="216"/>
      <c r="B261" s="156"/>
      <c r="C261" s="156"/>
      <c r="D261" s="156"/>
      <c r="E261" s="392"/>
      <c r="F261" s="392"/>
      <c r="G261" s="392"/>
      <c r="H261" s="392"/>
      <c r="I261" s="392"/>
      <c r="J261" s="145"/>
      <c r="K261" s="392"/>
      <c r="L261" s="392"/>
      <c r="M261" s="392"/>
      <c r="N261" s="392"/>
      <c r="O261" s="392"/>
      <c r="P261" s="392"/>
      <c r="Q261" s="392"/>
      <c r="R261" s="392"/>
      <c r="S261" s="392"/>
      <c r="T261" s="392"/>
      <c r="U261" s="392"/>
      <c r="V261" s="392"/>
      <c r="W261" s="392"/>
      <c r="X261" s="392"/>
      <c r="Y261" s="392"/>
      <c r="Z261" s="392"/>
      <c r="AA261" s="392"/>
      <c r="AB261" s="392"/>
      <c r="AC261" s="392"/>
      <c r="AD261" s="392"/>
      <c r="AE261" s="392"/>
      <c r="AF261" s="392"/>
    </row>
    <row r="262" ht="15.75" customHeight="1">
      <c r="A262" s="216"/>
      <c r="B262" s="156"/>
      <c r="C262" s="156"/>
      <c r="D262" s="156"/>
      <c r="E262" s="392"/>
      <c r="F262" s="392"/>
      <c r="G262" s="392"/>
      <c r="H262" s="392"/>
      <c r="I262" s="392"/>
      <c r="J262" s="145"/>
      <c r="K262" s="392"/>
      <c r="L262" s="392"/>
      <c r="M262" s="392"/>
      <c r="N262" s="392"/>
      <c r="O262" s="392"/>
      <c r="P262" s="392"/>
      <c r="Q262" s="392"/>
      <c r="R262" s="392"/>
      <c r="S262" s="392"/>
      <c r="T262" s="392"/>
      <c r="U262" s="392"/>
      <c r="V262" s="392"/>
      <c r="W262" s="392"/>
      <c r="X262" s="392"/>
      <c r="Y262" s="392"/>
      <c r="Z262" s="392"/>
      <c r="AA262" s="392"/>
      <c r="AB262" s="392"/>
      <c r="AC262" s="392"/>
      <c r="AD262" s="392"/>
      <c r="AE262" s="392"/>
      <c r="AF262" s="392"/>
    </row>
    <row r="263" ht="15.75" customHeight="1">
      <c r="A263" s="216"/>
      <c r="B263" s="156"/>
      <c r="C263" s="156"/>
      <c r="D263" s="156"/>
      <c r="E263" s="392"/>
      <c r="F263" s="392"/>
      <c r="G263" s="392"/>
      <c r="H263" s="392"/>
      <c r="I263" s="392"/>
      <c r="J263" s="145"/>
      <c r="K263" s="392"/>
      <c r="L263" s="392"/>
      <c r="M263" s="392"/>
      <c r="N263" s="392"/>
      <c r="O263" s="392"/>
      <c r="P263" s="392"/>
      <c r="Q263" s="392"/>
      <c r="R263" s="392"/>
      <c r="S263" s="392"/>
      <c r="T263" s="392"/>
      <c r="U263" s="392"/>
      <c r="V263" s="392"/>
      <c r="W263" s="392"/>
      <c r="X263" s="392"/>
      <c r="Y263" s="392"/>
      <c r="Z263" s="392"/>
      <c r="AA263" s="392"/>
      <c r="AB263" s="392"/>
      <c r="AC263" s="392"/>
      <c r="AD263" s="392"/>
      <c r="AE263" s="392"/>
      <c r="AF263" s="392"/>
    </row>
    <row r="264" ht="15.75" customHeight="1">
      <c r="A264" s="216"/>
      <c r="B264" s="156"/>
      <c r="C264" s="156"/>
      <c r="D264" s="156"/>
      <c r="E264" s="392"/>
      <c r="F264" s="392"/>
      <c r="G264" s="392"/>
      <c r="H264" s="392"/>
      <c r="I264" s="392"/>
      <c r="J264" s="145"/>
      <c r="K264" s="392"/>
      <c r="L264" s="392"/>
      <c r="M264" s="392"/>
      <c r="N264" s="392"/>
      <c r="O264" s="392"/>
      <c r="P264" s="392"/>
      <c r="Q264" s="392"/>
      <c r="R264" s="392"/>
      <c r="S264" s="392"/>
      <c r="T264" s="392"/>
      <c r="U264" s="392"/>
      <c r="V264" s="392"/>
      <c r="W264" s="392"/>
      <c r="X264" s="392"/>
      <c r="Y264" s="392"/>
      <c r="Z264" s="392"/>
      <c r="AA264" s="392"/>
      <c r="AB264" s="392"/>
      <c r="AC264" s="392"/>
      <c r="AD264" s="392"/>
      <c r="AE264" s="392"/>
      <c r="AF264" s="392"/>
    </row>
    <row r="265" ht="15.75" customHeight="1">
      <c r="A265" s="216"/>
      <c r="B265" s="156"/>
      <c r="C265" s="156"/>
      <c r="D265" s="156"/>
      <c r="E265" s="392"/>
      <c r="F265" s="392"/>
      <c r="G265" s="392"/>
      <c r="H265" s="392"/>
      <c r="I265" s="392"/>
      <c r="J265" s="145"/>
      <c r="K265" s="392"/>
      <c r="L265" s="392"/>
      <c r="M265" s="392"/>
      <c r="N265" s="392"/>
      <c r="O265" s="392"/>
      <c r="P265" s="392"/>
      <c r="Q265" s="392"/>
      <c r="R265" s="392"/>
      <c r="S265" s="392"/>
      <c r="T265" s="392"/>
      <c r="U265" s="392"/>
      <c r="V265" s="392"/>
      <c r="W265" s="392"/>
      <c r="X265" s="392"/>
      <c r="Y265" s="392"/>
      <c r="Z265" s="392"/>
      <c r="AA265" s="392"/>
      <c r="AB265" s="392"/>
      <c r="AC265" s="392"/>
      <c r="AD265" s="392"/>
      <c r="AE265" s="392"/>
      <c r="AF265" s="392"/>
    </row>
    <row r="266" ht="15.75" customHeight="1">
      <c r="A266" s="216"/>
      <c r="B266" s="156"/>
      <c r="C266" s="156"/>
      <c r="D266" s="156"/>
      <c r="E266" s="392"/>
      <c r="F266" s="392"/>
      <c r="G266" s="392"/>
      <c r="H266" s="392"/>
      <c r="I266" s="392"/>
      <c r="J266" s="145"/>
      <c r="K266" s="392"/>
      <c r="L266" s="392"/>
      <c r="M266" s="392"/>
      <c r="N266" s="392"/>
      <c r="O266" s="392"/>
      <c r="P266" s="392"/>
      <c r="Q266" s="392"/>
      <c r="R266" s="392"/>
      <c r="S266" s="392"/>
      <c r="T266" s="392"/>
      <c r="U266" s="392"/>
      <c r="V266" s="392"/>
      <c r="W266" s="392"/>
      <c r="X266" s="392"/>
      <c r="Y266" s="392"/>
      <c r="Z266" s="392"/>
      <c r="AA266" s="392"/>
      <c r="AB266" s="392"/>
      <c r="AC266" s="392"/>
      <c r="AD266" s="392"/>
      <c r="AE266" s="392"/>
      <c r="AF266" s="392"/>
    </row>
    <row r="267" ht="15.75" customHeight="1">
      <c r="A267" s="216"/>
      <c r="B267" s="156"/>
      <c r="C267" s="156"/>
      <c r="D267" s="156"/>
      <c r="E267" s="392"/>
      <c r="F267" s="392"/>
      <c r="G267" s="392"/>
      <c r="H267" s="392"/>
      <c r="I267" s="392"/>
      <c r="J267" s="145"/>
      <c r="K267" s="392"/>
      <c r="L267" s="392"/>
      <c r="M267" s="392"/>
      <c r="N267" s="392"/>
      <c r="O267" s="392"/>
      <c r="P267" s="392"/>
      <c r="Q267" s="392"/>
      <c r="R267" s="392"/>
      <c r="S267" s="392"/>
      <c r="T267" s="392"/>
      <c r="U267" s="392"/>
      <c r="V267" s="392"/>
      <c r="W267" s="392"/>
      <c r="X267" s="392"/>
      <c r="Y267" s="392"/>
      <c r="Z267" s="392"/>
      <c r="AA267" s="392"/>
      <c r="AB267" s="392"/>
      <c r="AC267" s="392"/>
      <c r="AD267" s="392"/>
      <c r="AE267" s="392"/>
      <c r="AF267" s="392"/>
    </row>
    <row r="268" ht="15.75" customHeight="1">
      <c r="A268" s="216"/>
      <c r="B268" s="156"/>
      <c r="C268" s="156"/>
      <c r="D268" s="156"/>
      <c r="E268" s="392"/>
      <c r="F268" s="392"/>
      <c r="G268" s="392"/>
      <c r="H268" s="392"/>
      <c r="I268" s="392"/>
      <c r="J268" s="145"/>
      <c r="K268" s="392"/>
      <c r="L268" s="392"/>
      <c r="M268" s="392"/>
      <c r="N268" s="392"/>
      <c r="O268" s="392"/>
      <c r="P268" s="392"/>
      <c r="Q268" s="392"/>
      <c r="R268" s="392"/>
      <c r="S268" s="392"/>
      <c r="T268" s="392"/>
      <c r="U268" s="392"/>
      <c r="V268" s="392"/>
      <c r="W268" s="392"/>
      <c r="X268" s="392"/>
      <c r="Y268" s="392"/>
      <c r="Z268" s="392"/>
      <c r="AA268" s="392"/>
      <c r="AB268" s="392"/>
      <c r="AC268" s="392"/>
      <c r="AD268" s="392"/>
      <c r="AE268" s="392"/>
      <c r="AF268" s="392"/>
    </row>
    <row r="269" ht="15.75" customHeight="1">
      <c r="A269" s="216"/>
      <c r="B269" s="156"/>
      <c r="C269" s="156"/>
      <c r="D269" s="156"/>
      <c r="E269" s="392"/>
      <c r="F269" s="392"/>
      <c r="G269" s="392"/>
      <c r="H269" s="392"/>
      <c r="I269" s="392"/>
      <c r="J269" s="145"/>
      <c r="K269" s="392"/>
      <c r="L269" s="392"/>
      <c r="M269" s="392"/>
      <c r="N269" s="392"/>
      <c r="O269" s="392"/>
      <c r="P269" s="392"/>
      <c r="Q269" s="392"/>
      <c r="R269" s="392"/>
      <c r="S269" s="392"/>
      <c r="T269" s="392"/>
      <c r="U269" s="392"/>
      <c r="V269" s="392"/>
      <c r="W269" s="392"/>
      <c r="X269" s="392"/>
      <c r="Y269" s="392"/>
      <c r="Z269" s="392"/>
      <c r="AA269" s="392"/>
      <c r="AB269" s="392"/>
      <c r="AC269" s="392"/>
      <c r="AD269" s="392"/>
      <c r="AE269" s="392"/>
      <c r="AF269" s="392"/>
    </row>
    <row r="270" ht="15.75" customHeight="1">
      <c r="A270" s="216"/>
      <c r="B270" s="156"/>
      <c r="C270" s="156"/>
      <c r="D270" s="156"/>
      <c r="E270" s="392"/>
      <c r="F270" s="392"/>
      <c r="G270" s="392"/>
      <c r="H270" s="392"/>
      <c r="I270" s="392"/>
      <c r="J270" s="145"/>
      <c r="K270" s="392"/>
      <c r="L270" s="392"/>
      <c r="M270" s="392"/>
      <c r="N270" s="392"/>
      <c r="O270" s="392"/>
      <c r="P270" s="392"/>
      <c r="Q270" s="392"/>
      <c r="R270" s="392"/>
      <c r="S270" s="392"/>
      <c r="T270" s="392"/>
      <c r="U270" s="392"/>
      <c r="V270" s="392"/>
      <c r="W270" s="392"/>
      <c r="X270" s="392"/>
      <c r="Y270" s="392"/>
      <c r="Z270" s="392"/>
      <c r="AA270" s="392"/>
      <c r="AB270" s="392"/>
      <c r="AC270" s="392"/>
      <c r="AD270" s="392"/>
      <c r="AE270" s="392"/>
      <c r="AF270" s="392"/>
    </row>
    <row r="271" ht="15.75" customHeight="1">
      <c r="A271" s="216"/>
      <c r="B271" s="156"/>
      <c r="C271" s="156"/>
      <c r="D271" s="156"/>
      <c r="E271" s="392"/>
      <c r="F271" s="392"/>
      <c r="G271" s="392"/>
      <c r="H271" s="392"/>
      <c r="I271" s="392"/>
      <c r="J271" s="145"/>
      <c r="K271" s="392"/>
      <c r="L271" s="392"/>
      <c r="M271" s="392"/>
      <c r="N271" s="392"/>
      <c r="O271" s="392"/>
      <c r="P271" s="392"/>
      <c r="Q271" s="392"/>
      <c r="R271" s="392"/>
      <c r="S271" s="392"/>
      <c r="T271" s="392"/>
      <c r="U271" s="392"/>
      <c r="V271" s="392"/>
      <c r="W271" s="392"/>
      <c r="X271" s="392"/>
      <c r="Y271" s="392"/>
      <c r="Z271" s="392"/>
      <c r="AA271" s="392"/>
      <c r="AB271" s="392"/>
      <c r="AC271" s="392"/>
      <c r="AD271" s="392"/>
      <c r="AE271" s="392"/>
      <c r="AF271" s="392"/>
    </row>
    <row r="272" ht="15.75" customHeight="1">
      <c r="A272" s="216"/>
      <c r="B272" s="156"/>
      <c r="C272" s="156"/>
      <c r="D272" s="156"/>
      <c r="E272" s="392"/>
      <c r="F272" s="392"/>
      <c r="G272" s="392"/>
      <c r="H272" s="392"/>
      <c r="I272" s="392"/>
      <c r="J272" s="145"/>
      <c r="K272" s="392"/>
      <c r="L272" s="392"/>
      <c r="M272" s="392"/>
      <c r="N272" s="392"/>
      <c r="O272" s="392"/>
      <c r="P272" s="392"/>
      <c r="Q272" s="392"/>
      <c r="R272" s="392"/>
      <c r="S272" s="392"/>
      <c r="T272" s="392"/>
      <c r="U272" s="392"/>
      <c r="V272" s="392"/>
      <c r="W272" s="392"/>
      <c r="X272" s="392"/>
      <c r="Y272" s="392"/>
      <c r="Z272" s="392"/>
      <c r="AA272" s="392"/>
      <c r="AB272" s="392"/>
      <c r="AC272" s="392"/>
      <c r="AD272" s="392"/>
      <c r="AE272" s="392"/>
      <c r="AF272" s="392"/>
    </row>
    <row r="273" ht="15.75" customHeight="1">
      <c r="A273" s="216"/>
      <c r="B273" s="156"/>
      <c r="C273" s="156"/>
      <c r="D273" s="156"/>
      <c r="E273" s="392"/>
      <c r="F273" s="392"/>
      <c r="G273" s="392"/>
      <c r="H273" s="392"/>
      <c r="I273" s="392"/>
      <c r="J273" s="145"/>
      <c r="K273" s="392"/>
      <c r="L273" s="392"/>
      <c r="M273" s="392"/>
      <c r="N273" s="392"/>
      <c r="O273" s="392"/>
      <c r="P273" s="392"/>
      <c r="Q273" s="392"/>
      <c r="R273" s="392"/>
      <c r="S273" s="392"/>
      <c r="T273" s="392"/>
      <c r="U273" s="392"/>
      <c r="V273" s="392"/>
      <c r="W273" s="392"/>
      <c r="X273" s="392"/>
      <c r="Y273" s="392"/>
      <c r="Z273" s="392"/>
      <c r="AA273" s="392"/>
      <c r="AB273" s="392"/>
      <c r="AC273" s="392"/>
      <c r="AD273" s="392"/>
      <c r="AE273" s="392"/>
      <c r="AF273" s="392"/>
    </row>
    <row r="274" ht="15.75" customHeight="1">
      <c r="A274" s="216"/>
      <c r="B274" s="156"/>
      <c r="C274" s="156"/>
      <c r="D274" s="156"/>
      <c r="E274" s="392"/>
      <c r="F274" s="392"/>
      <c r="G274" s="392"/>
      <c r="H274" s="392"/>
      <c r="I274" s="392"/>
      <c r="J274" s="145"/>
      <c r="K274" s="392"/>
      <c r="L274" s="392"/>
      <c r="M274" s="392"/>
      <c r="N274" s="392"/>
      <c r="O274" s="392"/>
      <c r="P274" s="392"/>
      <c r="Q274" s="392"/>
      <c r="R274" s="392"/>
      <c r="S274" s="392"/>
      <c r="T274" s="392"/>
      <c r="U274" s="392"/>
      <c r="V274" s="392"/>
      <c r="W274" s="392"/>
      <c r="X274" s="392"/>
      <c r="Y274" s="392"/>
      <c r="Z274" s="392"/>
      <c r="AA274" s="392"/>
      <c r="AB274" s="392"/>
      <c r="AC274" s="392"/>
      <c r="AD274" s="392"/>
      <c r="AE274" s="392"/>
      <c r="AF274" s="392"/>
    </row>
    <row r="275" ht="15.75" customHeight="1">
      <c r="A275" s="216"/>
      <c r="B275" s="156"/>
      <c r="C275" s="156"/>
      <c r="D275" s="156"/>
      <c r="E275" s="392"/>
      <c r="F275" s="392"/>
      <c r="G275" s="392"/>
      <c r="H275" s="392"/>
      <c r="I275" s="392"/>
      <c r="J275" s="145"/>
      <c r="K275" s="392"/>
      <c r="L275" s="392"/>
      <c r="M275" s="392"/>
      <c r="N275" s="392"/>
      <c r="O275" s="392"/>
      <c r="P275" s="392"/>
      <c r="Q275" s="392"/>
      <c r="R275" s="392"/>
      <c r="S275" s="392"/>
      <c r="T275" s="392"/>
      <c r="U275" s="392"/>
      <c r="V275" s="392"/>
      <c r="W275" s="392"/>
      <c r="X275" s="392"/>
      <c r="Y275" s="392"/>
      <c r="Z275" s="392"/>
      <c r="AA275" s="392"/>
      <c r="AB275" s="392"/>
      <c r="AC275" s="392"/>
      <c r="AD275" s="392"/>
      <c r="AE275" s="392"/>
      <c r="AF275" s="392"/>
    </row>
    <row r="276" ht="15.75" customHeight="1">
      <c r="A276" s="216"/>
      <c r="B276" s="156"/>
      <c r="C276" s="156"/>
      <c r="D276" s="156"/>
      <c r="E276" s="392"/>
      <c r="F276" s="392"/>
      <c r="G276" s="392"/>
      <c r="H276" s="392"/>
      <c r="I276" s="392"/>
      <c r="J276" s="145"/>
      <c r="K276" s="392"/>
      <c r="L276" s="392"/>
      <c r="M276" s="392"/>
      <c r="N276" s="392"/>
      <c r="O276" s="392"/>
      <c r="P276" s="392"/>
      <c r="Q276" s="392"/>
      <c r="R276" s="392"/>
      <c r="S276" s="392"/>
      <c r="T276" s="392"/>
      <c r="U276" s="392"/>
      <c r="V276" s="392"/>
      <c r="W276" s="392"/>
      <c r="X276" s="392"/>
      <c r="Y276" s="392"/>
      <c r="Z276" s="392"/>
      <c r="AA276" s="392"/>
      <c r="AB276" s="392"/>
      <c r="AC276" s="392"/>
      <c r="AD276" s="392"/>
      <c r="AE276" s="392"/>
      <c r="AF276" s="392"/>
    </row>
    <row r="277" ht="15.75" customHeight="1">
      <c r="A277" s="216"/>
      <c r="B277" s="156"/>
      <c r="C277" s="156"/>
      <c r="D277" s="156"/>
      <c r="E277" s="392"/>
      <c r="F277" s="392"/>
      <c r="G277" s="392"/>
      <c r="H277" s="392"/>
      <c r="I277" s="392"/>
      <c r="J277" s="145"/>
      <c r="K277" s="392"/>
      <c r="L277" s="392"/>
      <c r="M277" s="392"/>
      <c r="N277" s="392"/>
      <c r="O277" s="392"/>
      <c r="P277" s="392"/>
      <c r="Q277" s="392"/>
      <c r="R277" s="392"/>
      <c r="S277" s="392"/>
      <c r="T277" s="392"/>
      <c r="U277" s="392"/>
      <c r="V277" s="392"/>
      <c r="W277" s="392"/>
      <c r="X277" s="392"/>
      <c r="Y277" s="392"/>
      <c r="Z277" s="392"/>
      <c r="AA277" s="392"/>
      <c r="AB277" s="392"/>
      <c r="AC277" s="392"/>
      <c r="AD277" s="392"/>
      <c r="AE277" s="392"/>
      <c r="AF277" s="392"/>
    </row>
    <row r="278" ht="15.75" customHeight="1">
      <c r="A278" s="216"/>
      <c r="B278" s="156"/>
      <c r="C278" s="156"/>
      <c r="D278" s="156"/>
      <c r="E278" s="392"/>
      <c r="F278" s="392"/>
      <c r="G278" s="392"/>
      <c r="H278" s="392"/>
      <c r="I278" s="392"/>
      <c r="J278" s="145"/>
      <c r="K278" s="392"/>
      <c r="L278" s="392"/>
      <c r="M278" s="392"/>
      <c r="N278" s="392"/>
      <c r="O278" s="392"/>
      <c r="P278" s="392"/>
      <c r="Q278" s="392"/>
      <c r="R278" s="392"/>
      <c r="S278" s="392"/>
      <c r="T278" s="392"/>
      <c r="U278" s="392"/>
      <c r="V278" s="392"/>
      <c r="W278" s="392"/>
      <c r="X278" s="392"/>
      <c r="Y278" s="392"/>
      <c r="Z278" s="392"/>
      <c r="AA278" s="392"/>
      <c r="AB278" s="392"/>
      <c r="AC278" s="392"/>
      <c r="AD278" s="392"/>
      <c r="AE278" s="392"/>
      <c r="AF278" s="392"/>
    </row>
    <row r="279" ht="15.75" customHeight="1">
      <c r="A279" s="216"/>
      <c r="B279" s="156"/>
      <c r="C279" s="156"/>
      <c r="D279" s="156"/>
      <c r="E279" s="392"/>
      <c r="F279" s="392"/>
      <c r="G279" s="392"/>
      <c r="H279" s="392"/>
      <c r="I279" s="392"/>
      <c r="J279" s="145"/>
      <c r="K279" s="392"/>
      <c r="L279" s="392"/>
      <c r="M279" s="392"/>
      <c r="N279" s="392"/>
      <c r="O279" s="392"/>
      <c r="P279" s="392"/>
      <c r="Q279" s="392"/>
      <c r="R279" s="392"/>
      <c r="S279" s="392"/>
      <c r="T279" s="392"/>
      <c r="U279" s="392"/>
      <c r="V279" s="392"/>
      <c r="W279" s="392"/>
      <c r="X279" s="392"/>
      <c r="Y279" s="392"/>
      <c r="Z279" s="392"/>
      <c r="AA279" s="392"/>
      <c r="AB279" s="392"/>
      <c r="AC279" s="392"/>
      <c r="AD279" s="392"/>
      <c r="AE279" s="392"/>
      <c r="AF279" s="392"/>
    </row>
    <row r="280" ht="15.75" customHeight="1">
      <c r="A280" s="216"/>
      <c r="B280" s="156"/>
      <c r="C280" s="156"/>
      <c r="D280" s="156"/>
      <c r="E280" s="392"/>
      <c r="F280" s="392"/>
      <c r="G280" s="392"/>
      <c r="H280" s="392"/>
      <c r="I280" s="392"/>
      <c r="J280" s="145"/>
      <c r="K280" s="392"/>
      <c r="L280" s="392"/>
      <c r="M280" s="392"/>
      <c r="N280" s="392"/>
      <c r="O280" s="392"/>
      <c r="P280" s="392"/>
      <c r="Q280" s="392"/>
      <c r="R280" s="392"/>
      <c r="S280" s="392"/>
      <c r="T280" s="392"/>
      <c r="U280" s="392"/>
      <c r="V280" s="392"/>
      <c r="W280" s="392"/>
      <c r="X280" s="392"/>
      <c r="Y280" s="392"/>
      <c r="Z280" s="392"/>
      <c r="AA280" s="392"/>
      <c r="AB280" s="392"/>
      <c r="AC280" s="392"/>
      <c r="AD280" s="392"/>
      <c r="AE280" s="392"/>
      <c r="AF280" s="392"/>
    </row>
    <row r="281" ht="15.75" customHeight="1">
      <c r="A281" s="216"/>
      <c r="B281" s="156"/>
      <c r="C281" s="156"/>
      <c r="D281" s="156"/>
      <c r="E281" s="392"/>
      <c r="F281" s="392"/>
      <c r="G281" s="392"/>
      <c r="H281" s="392"/>
      <c r="I281" s="392"/>
      <c r="J281" s="145"/>
      <c r="K281" s="392"/>
      <c r="L281" s="392"/>
      <c r="M281" s="392"/>
      <c r="N281" s="392"/>
      <c r="O281" s="392"/>
      <c r="P281" s="392"/>
      <c r="Q281" s="392"/>
      <c r="R281" s="392"/>
      <c r="S281" s="392"/>
      <c r="T281" s="392"/>
      <c r="U281" s="392"/>
      <c r="V281" s="392"/>
      <c r="W281" s="392"/>
      <c r="X281" s="392"/>
      <c r="Y281" s="392"/>
      <c r="Z281" s="392"/>
      <c r="AA281" s="392"/>
      <c r="AB281" s="392"/>
      <c r="AC281" s="392"/>
      <c r="AD281" s="392"/>
      <c r="AE281" s="392"/>
      <c r="AF281" s="392"/>
    </row>
    <row r="282" ht="15.75" customHeight="1">
      <c r="A282" s="216"/>
      <c r="B282" s="156"/>
      <c r="C282" s="156"/>
      <c r="D282" s="156"/>
      <c r="E282" s="392"/>
      <c r="F282" s="392"/>
      <c r="G282" s="392"/>
      <c r="H282" s="392"/>
      <c r="I282" s="392"/>
      <c r="J282" s="145"/>
      <c r="K282" s="392"/>
      <c r="L282" s="392"/>
      <c r="M282" s="392"/>
      <c r="N282" s="392"/>
      <c r="O282" s="392"/>
      <c r="P282" s="392"/>
      <c r="Q282" s="392"/>
      <c r="R282" s="392"/>
      <c r="S282" s="392"/>
      <c r="T282" s="392"/>
      <c r="U282" s="392"/>
      <c r="V282" s="392"/>
      <c r="W282" s="392"/>
      <c r="X282" s="392"/>
      <c r="Y282" s="392"/>
      <c r="Z282" s="392"/>
      <c r="AA282" s="392"/>
      <c r="AB282" s="392"/>
      <c r="AC282" s="392"/>
      <c r="AD282" s="392"/>
      <c r="AE282" s="392"/>
      <c r="AF282" s="392"/>
    </row>
    <row r="283" ht="15.75" customHeight="1">
      <c r="A283" s="216"/>
      <c r="B283" s="156"/>
      <c r="C283" s="156"/>
      <c r="D283" s="156"/>
      <c r="E283" s="392"/>
      <c r="F283" s="392"/>
      <c r="G283" s="392"/>
      <c r="H283" s="392"/>
      <c r="I283" s="392"/>
      <c r="J283" s="145"/>
      <c r="K283" s="392"/>
      <c r="L283" s="392"/>
      <c r="M283" s="392"/>
      <c r="N283" s="392"/>
      <c r="O283" s="392"/>
      <c r="P283" s="392"/>
      <c r="Q283" s="392"/>
      <c r="R283" s="392"/>
      <c r="S283" s="392"/>
      <c r="T283" s="392"/>
      <c r="U283" s="392"/>
      <c r="V283" s="392"/>
      <c r="W283" s="392"/>
      <c r="X283" s="392"/>
      <c r="Y283" s="392"/>
      <c r="Z283" s="392"/>
      <c r="AA283" s="392"/>
      <c r="AB283" s="392"/>
      <c r="AC283" s="392"/>
      <c r="AD283" s="392"/>
      <c r="AE283" s="392"/>
      <c r="AF283" s="392"/>
    </row>
    <row r="284" ht="15.75" customHeight="1">
      <c r="A284" s="216"/>
      <c r="B284" s="156"/>
      <c r="C284" s="156"/>
      <c r="D284" s="156"/>
      <c r="E284" s="392"/>
      <c r="F284" s="392"/>
      <c r="G284" s="392"/>
      <c r="H284" s="392"/>
      <c r="I284" s="392"/>
      <c r="J284" s="145"/>
      <c r="K284" s="392"/>
      <c r="L284" s="392"/>
      <c r="M284" s="392"/>
      <c r="N284" s="392"/>
      <c r="O284" s="392"/>
      <c r="P284" s="392"/>
      <c r="Q284" s="392"/>
      <c r="R284" s="392"/>
      <c r="S284" s="392"/>
      <c r="T284" s="392"/>
      <c r="U284" s="392"/>
      <c r="V284" s="392"/>
      <c r="W284" s="392"/>
      <c r="X284" s="392"/>
      <c r="Y284" s="392"/>
      <c r="Z284" s="392"/>
      <c r="AA284" s="392"/>
      <c r="AB284" s="392"/>
      <c r="AC284" s="392"/>
      <c r="AD284" s="392"/>
      <c r="AE284" s="392"/>
      <c r="AF284" s="392"/>
    </row>
    <row r="285" ht="15.75" customHeight="1">
      <c r="A285" s="216"/>
      <c r="B285" s="156"/>
      <c r="C285" s="156"/>
      <c r="D285" s="156"/>
      <c r="E285" s="392"/>
      <c r="F285" s="392"/>
      <c r="G285" s="392"/>
      <c r="H285" s="392"/>
      <c r="I285" s="392"/>
      <c r="J285" s="145"/>
      <c r="K285" s="392"/>
      <c r="L285" s="392"/>
      <c r="M285" s="392"/>
      <c r="N285" s="392"/>
      <c r="O285" s="392"/>
      <c r="P285" s="392"/>
      <c r="Q285" s="392"/>
      <c r="R285" s="392"/>
      <c r="S285" s="392"/>
      <c r="T285" s="392"/>
      <c r="U285" s="392"/>
      <c r="V285" s="392"/>
      <c r="W285" s="392"/>
      <c r="X285" s="392"/>
      <c r="Y285" s="392"/>
      <c r="Z285" s="392"/>
      <c r="AA285" s="392"/>
      <c r="AB285" s="392"/>
      <c r="AC285" s="392"/>
      <c r="AD285" s="392"/>
      <c r="AE285" s="392"/>
      <c r="AF285" s="392"/>
    </row>
    <row r="286" ht="15.75" customHeight="1">
      <c r="A286" s="216"/>
      <c r="B286" s="156"/>
      <c r="C286" s="156"/>
      <c r="D286" s="156"/>
      <c r="E286" s="392"/>
      <c r="F286" s="392"/>
      <c r="G286" s="392"/>
      <c r="H286" s="392"/>
      <c r="I286" s="392"/>
      <c r="J286" s="145"/>
      <c r="K286" s="392"/>
      <c r="L286" s="392"/>
      <c r="M286" s="392"/>
      <c r="N286" s="392"/>
      <c r="O286" s="392"/>
      <c r="P286" s="392"/>
      <c r="Q286" s="392"/>
      <c r="R286" s="392"/>
      <c r="S286" s="392"/>
      <c r="T286" s="392"/>
      <c r="U286" s="392"/>
      <c r="V286" s="392"/>
      <c r="W286" s="392"/>
      <c r="X286" s="392"/>
      <c r="Y286" s="392"/>
      <c r="Z286" s="392"/>
      <c r="AA286" s="392"/>
      <c r="AB286" s="392"/>
      <c r="AC286" s="392"/>
      <c r="AD286" s="392"/>
      <c r="AE286" s="392"/>
      <c r="AF286" s="392"/>
    </row>
    <row r="287" ht="15.75" customHeight="1">
      <c r="A287" s="216"/>
      <c r="B287" s="156"/>
      <c r="C287" s="156"/>
      <c r="D287" s="156"/>
      <c r="E287" s="392"/>
      <c r="F287" s="392"/>
      <c r="G287" s="392"/>
      <c r="H287" s="392"/>
      <c r="I287" s="392"/>
      <c r="J287" s="145"/>
      <c r="K287" s="392"/>
      <c r="L287" s="392"/>
      <c r="M287" s="392"/>
      <c r="N287" s="392"/>
      <c r="O287" s="392"/>
      <c r="P287" s="392"/>
      <c r="Q287" s="392"/>
      <c r="R287" s="392"/>
      <c r="S287" s="392"/>
      <c r="T287" s="392"/>
      <c r="U287" s="392"/>
      <c r="V287" s="392"/>
      <c r="W287" s="392"/>
      <c r="X287" s="392"/>
      <c r="Y287" s="392"/>
      <c r="Z287" s="392"/>
      <c r="AA287" s="392"/>
      <c r="AB287" s="392"/>
      <c r="AC287" s="392"/>
      <c r="AD287" s="392"/>
      <c r="AE287" s="392"/>
      <c r="AF287" s="392"/>
    </row>
    <row r="288" ht="15.75" customHeight="1">
      <c r="A288" s="216"/>
      <c r="B288" s="156"/>
      <c r="C288" s="156"/>
      <c r="D288" s="156"/>
      <c r="E288" s="392"/>
      <c r="F288" s="392"/>
      <c r="G288" s="392"/>
      <c r="H288" s="392"/>
      <c r="I288" s="392"/>
      <c r="J288" s="145"/>
      <c r="K288" s="392"/>
      <c r="L288" s="392"/>
      <c r="M288" s="392"/>
      <c r="N288" s="392"/>
      <c r="O288" s="392"/>
      <c r="P288" s="392"/>
      <c r="Q288" s="392"/>
      <c r="R288" s="392"/>
      <c r="S288" s="392"/>
      <c r="T288" s="392"/>
      <c r="U288" s="392"/>
      <c r="V288" s="392"/>
      <c r="W288" s="392"/>
      <c r="X288" s="392"/>
      <c r="Y288" s="392"/>
      <c r="Z288" s="392"/>
      <c r="AA288" s="392"/>
      <c r="AB288" s="392"/>
      <c r="AC288" s="392"/>
      <c r="AD288" s="392"/>
      <c r="AE288" s="392"/>
      <c r="AF288" s="392"/>
    </row>
    <row r="289" ht="15.75" customHeight="1">
      <c r="A289" s="216"/>
      <c r="B289" s="156"/>
      <c r="C289" s="156"/>
      <c r="D289" s="156"/>
      <c r="E289" s="392"/>
      <c r="F289" s="392"/>
      <c r="G289" s="392"/>
      <c r="H289" s="392"/>
      <c r="I289" s="392"/>
      <c r="J289" s="145"/>
      <c r="K289" s="392"/>
      <c r="L289" s="392"/>
      <c r="M289" s="392"/>
      <c r="N289" s="392"/>
      <c r="O289" s="392"/>
      <c r="P289" s="392"/>
      <c r="Q289" s="392"/>
      <c r="R289" s="392"/>
      <c r="S289" s="392"/>
      <c r="T289" s="392"/>
      <c r="U289" s="392"/>
      <c r="V289" s="392"/>
      <c r="W289" s="392"/>
      <c r="X289" s="392"/>
      <c r="Y289" s="392"/>
      <c r="Z289" s="392"/>
      <c r="AA289" s="392"/>
      <c r="AB289" s="392"/>
      <c r="AC289" s="392"/>
      <c r="AD289" s="392"/>
      <c r="AE289" s="392"/>
      <c r="AF289" s="392"/>
    </row>
    <row r="290" ht="15.75" customHeight="1">
      <c r="A290" s="216"/>
      <c r="B290" s="156"/>
      <c r="C290" s="156"/>
      <c r="D290" s="156"/>
      <c r="E290" s="392"/>
      <c r="F290" s="392"/>
      <c r="G290" s="392"/>
      <c r="H290" s="392"/>
      <c r="I290" s="392"/>
      <c r="J290" s="145"/>
      <c r="K290" s="392"/>
      <c r="L290" s="392"/>
      <c r="M290" s="392"/>
      <c r="N290" s="392"/>
      <c r="O290" s="392"/>
      <c r="P290" s="392"/>
      <c r="Q290" s="392"/>
      <c r="R290" s="392"/>
      <c r="S290" s="392"/>
      <c r="T290" s="392"/>
      <c r="U290" s="392"/>
      <c r="V290" s="392"/>
      <c r="W290" s="392"/>
      <c r="X290" s="392"/>
      <c r="Y290" s="392"/>
      <c r="Z290" s="392"/>
      <c r="AA290" s="392"/>
      <c r="AB290" s="392"/>
      <c r="AC290" s="392"/>
      <c r="AD290" s="392"/>
      <c r="AE290" s="392"/>
      <c r="AF290" s="392"/>
    </row>
    <row r="291" ht="15.75" customHeight="1">
      <c r="A291" s="216"/>
      <c r="B291" s="156"/>
      <c r="C291" s="156"/>
      <c r="D291" s="156"/>
      <c r="E291" s="392"/>
      <c r="F291" s="392"/>
      <c r="G291" s="392"/>
      <c r="H291" s="392"/>
      <c r="I291" s="392"/>
      <c r="J291" s="145"/>
      <c r="K291" s="392"/>
      <c r="L291" s="392"/>
      <c r="M291" s="392"/>
      <c r="N291" s="392"/>
      <c r="O291" s="392"/>
      <c r="P291" s="392"/>
      <c r="Q291" s="392"/>
      <c r="R291" s="392"/>
      <c r="S291" s="392"/>
      <c r="T291" s="392"/>
      <c r="U291" s="392"/>
      <c r="V291" s="392"/>
      <c r="W291" s="392"/>
      <c r="X291" s="392"/>
      <c r="Y291" s="392"/>
      <c r="Z291" s="392"/>
      <c r="AA291" s="392"/>
      <c r="AB291" s="392"/>
      <c r="AC291" s="392"/>
      <c r="AD291" s="392"/>
      <c r="AE291" s="392"/>
      <c r="AF291" s="392"/>
    </row>
    <row r="292" ht="15.75" customHeight="1">
      <c r="A292" s="216"/>
      <c r="B292" s="156"/>
      <c r="C292" s="156"/>
      <c r="D292" s="156"/>
      <c r="E292" s="392"/>
      <c r="F292" s="392"/>
      <c r="G292" s="392"/>
      <c r="H292" s="392"/>
      <c r="I292" s="392"/>
      <c r="J292" s="145"/>
      <c r="K292" s="392"/>
      <c r="L292" s="392"/>
      <c r="M292" s="392"/>
      <c r="N292" s="392"/>
      <c r="O292" s="392"/>
      <c r="P292" s="392"/>
      <c r="Q292" s="392"/>
      <c r="R292" s="392"/>
      <c r="S292" s="392"/>
      <c r="T292" s="392"/>
      <c r="U292" s="392"/>
      <c r="V292" s="392"/>
      <c r="W292" s="392"/>
      <c r="X292" s="392"/>
      <c r="Y292" s="392"/>
      <c r="Z292" s="392"/>
      <c r="AA292" s="392"/>
      <c r="AB292" s="392"/>
      <c r="AC292" s="392"/>
      <c r="AD292" s="392"/>
      <c r="AE292" s="392"/>
      <c r="AF292" s="392"/>
    </row>
    <row r="293" ht="15.75" customHeight="1">
      <c r="A293" s="216"/>
      <c r="B293" s="156"/>
      <c r="C293" s="156"/>
      <c r="D293" s="156"/>
      <c r="E293" s="392"/>
      <c r="F293" s="392"/>
      <c r="G293" s="392"/>
      <c r="H293" s="392"/>
      <c r="I293" s="392"/>
      <c r="J293" s="145"/>
      <c r="K293" s="392"/>
      <c r="L293" s="392"/>
      <c r="M293" s="392"/>
      <c r="N293" s="392"/>
      <c r="O293" s="392"/>
      <c r="P293" s="392"/>
      <c r="Q293" s="392"/>
      <c r="R293" s="392"/>
      <c r="S293" s="392"/>
      <c r="T293" s="392"/>
      <c r="U293" s="392"/>
      <c r="V293" s="392"/>
      <c r="W293" s="392"/>
      <c r="X293" s="392"/>
      <c r="Y293" s="392"/>
      <c r="Z293" s="392"/>
      <c r="AA293" s="392"/>
      <c r="AB293" s="392"/>
      <c r="AC293" s="392"/>
      <c r="AD293" s="392"/>
      <c r="AE293" s="392"/>
      <c r="AF293" s="392"/>
    </row>
    <row r="294" ht="15.75" customHeight="1">
      <c r="A294" s="216"/>
      <c r="B294" s="156"/>
      <c r="C294" s="156"/>
      <c r="D294" s="156"/>
      <c r="E294" s="392"/>
      <c r="F294" s="392"/>
      <c r="G294" s="392"/>
      <c r="H294" s="392"/>
      <c r="I294" s="392"/>
      <c r="J294" s="145"/>
      <c r="K294" s="392"/>
      <c r="L294" s="392"/>
      <c r="M294" s="392"/>
      <c r="N294" s="392"/>
      <c r="O294" s="392"/>
      <c r="P294" s="392"/>
      <c r="Q294" s="392"/>
      <c r="R294" s="392"/>
      <c r="S294" s="392"/>
      <c r="T294" s="392"/>
      <c r="U294" s="392"/>
      <c r="V294" s="392"/>
      <c r="W294" s="392"/>
      <c r="X294" s="392"/>
      <c r="Y294" s="392"/>
      <c r="Z294" s="392"/>
      <c r="AA294" s="392"/>
      <c r="AB294" s="392"/>
      <c r="AC294" s="392"/>
      <c r="AD294" s="392"/>
      <c r="AE294" s="392"/>
      <c r="AF294" s="392"/>
    </row>
    <row r="295" ht="15.75" customHeight="1">
      <c r="A295" s="216"/>
      <c r="B295" s="156"/>
      <c r="C295" s="156"/>
      <c r="D295" s="156"/>
      <c r="E295" s="392"/>
      <c r="F295" s="392"/>
      <c r="G295" s="392"/>
      <c r="H295" s="392"/>
      <c r="I295" s="392"/>
      <c r="J295" s="145"/>
      <c r="K295" s="392"/>
      <c r="L295" s="392"/>
      <c r="M295" s="392"/>
      <c r="N295" s="392"/>
      <c r="O295" s="392"/>
      <c r="P295" s="392"/>
      <c r="Q295" s="392"/>
      <c r="R295" s="392"/>
      <c r="S295" s="392"/>
      <c r="T295" s="392"/>
      <c r="U295" s="392"/>
      <c r="V295" s="392"/>
      <c r="W295" s="392"/>
      <c r="X295" s="392"/>
      <c r="Y295" s="392"/>
      <c r="Z295" s="392"/>
      <c r="AA295" s="392"/>
      <c r="AB295" s="392"/>
      <c r="AC295" s="392"/>
      <c r="AD295" s="392"/>
      <c r="AE295" s="392"/>
      <c r="AF295" s="392"/>
    </row>
    <row r="296" ht="15.75" customHeight="1">
      <c r="A296" s="216"/>
      <c r="B296" s="156"/>
      <c r="C296" s="156"/>
      <c r="D296" s="156"/>
      <c r="E296" s="392"/>
      <c r="F296" s="392"/>
      <c r="G296" s="392"/>
      <c r="H296" s="392"/>
      <c r="I296" s="392"/>
      <c r="J296" s="145"/>
      <c r="K296" s="392"/>
      <c r="L296" s="392"/>
      <c r="M296" s="392"/>
      <c r="N296" s="392"/>
      <c r="O296" s="392"/>
      <c r="P296" s="392"/>
      <c r="Q296" s="392"/>
      <c r="R296" s="392"/>
      <c r="S296" s="392"/>
      <c r="T296" s="392"/>
      <c r="U296" s="392"/>
      <c r="V296" s="392"/>
      <c r="W296" s="392"/>
      <c r="X296" s="392"/>
      <c r="Y296" s="392"/>
      <c r="Z296" s="392"/>
      <c r="AA296" s="392"/>
      <c r="AB296" s="392"/>
      <c r="AC296" s="392"/>
      <c r="AD296" s="392"/>
      <c r="AE296" s="392"/>
      <c r="AF296" s="392"/>
    </row>
    <row r="297" ht="15.75" customHeight="1">
      <c r="A297" s="216"/>
      <c r="B297" s="156"/>
      <c r="C297" s="156"/>
      <c r="D297" s="156"/>
      <c r="E297" s="392"/>
      <c r="F297" s="392"/>
      <c r="G297" s="392"/>
      <c r="H297" s="392"/>
      <c r="I297" s="392"/>
      <c r="J297" s="145"/>
      <c r="K297" s="392"/>
      <c r="L297" s="392"/>
      <c r="M297" s="392"/>
      <c r="N297" s="392"/>
      <c r="O297" s="392"/>
      <c r="P297" s="392"/>
      <c r="Q297" s="392"/>
      <c r="R297" s="392"/>
      <c r="S297" s="392"/>
      <c r="T297" s="392"/>
      <c r="U297" s="392"/>
      <c r="V297" s="392"/>
      <c r="W297" s="392"/>
      <c r="X297" s="392"/>
      <c r="Y297" s="392"/>
      <c r="Z297" s="392"/>
      <c r="AA297" s="392"/>
      <c r="AB297" s="392"/>
      <c r="AC297" s="392"/>
      <c r="AD297" s="392"/>
      <c r="AE297" s="392"/>
      <c r="AF297" s="392"/>
    </row>
    <row r="298" ht="15.75" customHeight="1">
      <c r="A298" s="216"/>
      <c r="B298" s="156"/>
      <c r="C298" s="156"/>
      <c r="D298" s="156"/>
      <c r="E298" s="392"/>
      <c r="F298" s="392"/>
      <c r="G298" s="392"/>
      <c r="H298" s="392"/>
      <c r="I298" s="392"/>
      <c r="J298" s="145"/>
      <c r="K298" s="392"/>
      <c r="L298" s="392"/>
      <c r="M298" s="392"/>
      <c r="N298" s="392"/>
      <c r="O298" s="392"/>
      <c r="P298" s="392"/>
      <c r="Q298" s="392"/>
      <c r="R298" s="392"/>
      <c r="S298" s="392"/>
      <c r="T298" s="392"/>
      <c r="U298" s="392"/>
      <c r="V298" s="392"/>
      <c r="W298" s="392"/>
      <c r="X298" s="392"/>
      <c r="Y298" s="392"/>
      <c r="Z298" s="392"/>
      <c r="AA298" s="392"/>
      <c r="AB298" s="392"/>
      <c r="AC298" s="392"/>
      <c r="AD298" s="392"/>
      <c r="AE298" s="392"/>
      <c r="AF298" s="392"/>
    </row>
    <row r="299" ht="15.75" customHeight="1">
      <c r="A299" s="216"/>
      <c r="B299" s="156"/>
      <c r="C299" s="156"/>
      <c r="D299" s="156"/>
      <c r="E299" s="392"/>
      <c r="F299" s="392"/>
      <c r="G299" s="392"/>
      <c r="H299" s="392"/>
      <c r="I299" s="392"/>
      <c r="J299" s="145"/>
      <c r="K299" s="392"/>
      <c r="L299" s="392"/>
      <c r="M299" s="392"/>
      <c r="N299" s="392"/>
      <c r="O299" s="392"/>
      <c r="P299" s="392"/>
      <c r="Q299" s="392"/>
      <c r="R299" s="392"/>
      <c r="S299" s="392"/>
      <c r="T299" s="392"/>
      <c r="U299" s="392"/>
      <c r="V299" s="392"/>
      <c r="W299" s="392"/>
      <c r="X299" s="392"/>
      <c r="Y299" s="392"/>
      <c r="Z299" s="392"/>
      <c r="AA299" s="392"/>
      <c r="AB299" s="392"/>
      <c r="AC299" s="392"/>
      <c r="AD299" s="392"/>
      <c r="AE299" s="392"/>
      <c r="AF299" s="392"/>
    </row>
    <row r="300" ht="15.75" customHeight="1">
      <c r="A300" s="216"/>
      <c r="B300" s="156"/>
      <c r="C300" s="156"/>
      <c r="D300" s="156"/>
      <c r="E300" s="392"/>
      <c r="F300" s="392"/>
      <c r="G300" s="392"/>
      <c r="H300" s="392"/>
      <c r="I300" s="392"/>
      <c r="J300" s="145"/>
      <c r="K300" s="392"/>
      <c r="L300" s="392"/>
      <c r="M300" s="392"/>
      <c r="N300" s="392"/>
      <c r="O300" s="392"/>
      <c r="P300" s="392"/>
      <c r="Q300" s="392"/>
      <c r="R300" s="392"/>
      <c r="S300" s="392"/>
      <c r="T300" s="392"/>
      <c r="U300" s="392"/>
      <c r="V300" s="392"/>
      <c r="W300" s="392"/>
      <c r="X300" s="392"/>
      <c r="Y300" s="392"/>
      <c r="Z300" s="392"/>
      <c r="AA300" s="392"/>
      <c r="AB300" s="392"/>
      <c r="AC300" s="392"/>
      <c r="AD300" s="392"/>
      <c r="AE300" s="392"/>
      <c r="AF300" s="392"/>
    </row>
    <row r="301" ht="15.75" customHeight="1">
      <c r="A301" s="216"/>
      <c r="B301" s="156"/>
      <c r="C301" s="156"/>
      <c r="D301" s="156"/>
      <c r="E301" s="392"/>
      <c r="F301" s="392"/>
      <c r="G301" s="392"/>
      <c r="H301" s="392"/>
      <c r="I301" s="392"/>
      <c r="J301" s="145"/>
      <c r="K301" s="392"/>
      <c r="L301" s="392"/>
      <c r="M301" s="392"/>
      <c r="N301" s="392"/>
      <c r="O301" s="392"/>
      <c r="P301" s="392"/>
      <c r="Q301" s="392"/>
      <c r="R301" s="392"/>
      <c r="S301" s="392"/>
      <c r="T301" s="392"/>
      <c r="U301" s="392"/>
      <c r="V301" s="392"/>
      <c r="W301" s="392"/>
      <c r="X301" s="392"/>
      <c r="Y301" s="392"/>
      <c r="Z301" s="392"/>
      <c r="AA301" s="392"/>
      <c r="AB301" s="392"/>
      <c r="AC301" s="392"/>
      <c r="AD301" s="392"/>
      <c r="AE301" s="392"/>
      <c r="AF301" s="392"/>
    </row>
    <row r="302" ht="15.75" customHeight="1">
      <c r="A302" s="216"/>
      <c r="B302" s="156"/>
      <c r="C302" s="156"/>
      <c r="D302" s="156"/>
      <c r="E302" s="392"/>
      <c r="F302" s="392"/>
      <c r="G302" s="392"/>
      <c r="H302" s="392"/>
      <c r="I302" s="392"/>
      <c r="J302" s="145"/>
      <c r="K302" s="392"/>
      <c r="L302" s="392"/>
      <c r="M302" s="392"/>
      <c r="N302" s="392"/>
      <c r="O302" s="392"/>
      <c r="P302" s="392"/>
      <c r="Q302" s="392"/>
      <c r="R302" s="392"/>
      <c r="S302" s="392"/>
      <c r="T302" s="392"/>
      <c r="U302" s="392"/>
      <c r="V302" s="392"/>
      <c r="W302" s="392"/>
      <c r="X302" s="392"/>
      <c r="Y302" s="392"/>
      <c r="Z302" s="392"/>
      <c r="AA302" s="392"/>
      <c r="AB302" s="392"/>
      <c r="AC302" s="392"/>
      <c r="AD302" s="392"/>
      <c r="AE302" s="392"/>
      <c r="AF302" s="392"/>
    </row>
    <row r="303" ht="15.75" customHeight="1">
      <c r="A303" s="216"/>
      <c r="B303" s="156"/>
      <c r="C303" s="156"/>
      <c r="D303" s="156"/>
      <c r="E303" s="392"/>
      <c r="F303" s="392"/>
      <c r="G303" s="392"/>
      <c r="H303" s="392"/>
      <c r="I303" s="392"/>
      <c r="J303" s="145"/>
      <c r="K303" s="392"/>
      <c r="L303" s="392"/>
      <c r="M303" s="392"/>
      <c r="N303" s="392"/>
      <c r="O303" s="392"/>
      <c r="P303" s="392"/>
      <c r="Q303" s="392"/>
      <c r="R303" s="392"/>
      <c r="S303" s="392"/>
      <c r="T303" s="392"/>
      <c r="U303" s="392"/>
      <c r="V303" s="392"/>
      <c r="W303" s="392"/>
      <c r="X303" s="392"/>
      <c r="Y303" s="392"/>
      <c r="Z303" s="392"/>
      <c r="AA303" s="392"/>
      <c r="AB303" s="392"/>
      <c r="AC303" s="392"/>
      <c r="AD303" s="392"/>
      <c r="AE303" s="392"/>
      <c r="AF303" s="392"/>
    </row>
    <row r="304" ht="15.75" customHeight="1">
      <c r="A304" s="216"/>
      <c r="B304" s="156"/>
      <c r="C304" s="156"/>
      <c r="D304" s="156"/>
      <c r="E304" s="392"/>
      <c r="F304" s="392"/>
      <c r="G304" s="392"/>
      <c r="H304" s="392"/>
      <c r="I304" s="392"/>
      <c r="J304" s="145"/>
      <c r="K304" s="392"/>
      <c r="L304" s="392"/>
      <c r="M304" s="392"/>
      <c r="N304" s="392"/>
      <c r="O304" s="392"/>
      <c r="P304" s="392"/>
      <c r="Q304" s="392"/>
      <c r="R304" s="392"/>
      <c r="S304" s="392"/>
      <c r="T304" s="392"/>
      <c r="U304" s="392"/>
      <c r="V304" s="392"/>
      <c r="W304" s="392"/>
      <c r="X304" s="392"/>
      <c r="Y304" s="392"/>
      <c r="Z304" s="392"/>
      <c r="AA304" s="392"/>
      <c r="AB304" s="392"/>
      <c r="AC304" s="392"/>
      <c r="AD304" s="392"/>
      <c r="AE304" s="392"/>
      <c r="AF304" s="392"/>
    </row>
    <row r="305" ht="15.75" customHeight="1">
      <c r="A305" s="216"/>
      <c r="B305" s="156"/>
      <c r="C305" s="156"/>
      <c r="D305" s="156"/>
      <c r="E305" s="392"/>
      <c r="F305" s="392"/>
      <c r="G305" s="392"/>
      <c r="H305" s="392"/>
      <c r="I305" s="392"/>
      <c r="J305" s="145"/>
      <c r="K305" s="392"/>
      <c r="L305" s="392"/>
      <c r="M305" s="392"/>
      <c r="N305" s="392"/>
      <c r="O305" s="392"/>
      <c r="P305" s="392"/>
      <c r="Q305" s="392"/>
      <c r="R305" s="392"/>
      <c r="S305" s="392"/>
      <c r="T305" s="392"/>
      <c r="U305" s="392"/>
      <c r="V305" s="392"/>
      <c r="W305" s="392"/>
      <c r="X305" s="392"/>
      <c r="Y305" s="392"/>
      <c r="Z305" s="392"/>
      <c r="AA305" s="392"/>
      <c r="AB305" s="392"/>
      <c r="AC305" s="392"/>
      <c r="AD305" s="392"/>
      <c r="AE305" s="392"/>
      <c r="AF305" s="392"/>
    </row>
    <row r="306" ht="15.75" customHeight="1">
      <c r="A306" s="216"/>
      <c r="B306" s="156"/>
      <c r="C306" s="156"/>
      <c r="D306" s="156"/>
      <c r="E306" s="392"/>
      <c r="F306" s="392"/>
      <c r="G306" s="392"/>
      <c r="H306" s="392"/>
      <c r="I306" s="392"/>
      <c r="J306" s="145"/>
      <c r="K306" s="392"/>
      <c r="L306" s="392"/>
      <c r="M306" s="392"/>
      <c r="N306" s="392"/>
      <c r="O306" s="392"/>
      <c r="P306" s="392"/>
      <c r="Q306" s="392"/>
      <c r="R306" s="392"/>
      <c r="S306" s="392"/>
      <c r="T306" s="392"/>
      <c r="U306" s="392"/>
      <c r="V306" s="392"/>
      <c r="W306" s="392"/>
      <c r="X306" s="392"/>
      <c r="Y306" s="392"/>
      <c r="Z306" s="392"/>
      <c r="AA306" s="392"/>
      <c r="AB306" s="392"/>
      <c r="AC306" s="392"/>
      <c r="AD306" s="392"/>
      <c r="AE306" s="392"/>
      <c r="AF306" s="392"/>
    </row>
    <row r="307" ht="15.75" customHeight="1">
      <c r="A307" s="216"/>
      <c r="B307" s="156"/>
      <c r="C307" s="156"/>
      <c r="D307" s="156"/>
      <c r="E307" s="392"/>
      <c r="F307" s="392"/>
      <c r="G307" s="392"/>
      <c r="H307" s="392"/>
      <c r="I307" s="392"/>
      <c r="J307" s="145"/>
      <c r="K307" s="392"/>
      <c r="L307" s="392"/>
      <c r="M307" s="392"/>
      <c r="N307" s="392"/>
      <c r="O307" s="392"/>
      <c r="P307" s="392"/>
      <c r="Q307" s="392"/>
      <c r="R307" s="392"/>
      <c r="S307" s="392"/>
      <c r="T307" s="392"/>
      <c r="U307" s="392"/>
      <c r="V307" s="392"/>
      <c r="W307" s="392"/>
      <c r="X307" s="392"/>
      <c r="Y307" s="392"/>
      <c r="Z307" s="392"/>
      <c r="AA307" s="392"/>
      <c r="AB307" s="392"/>
      <c r="AC307" s="392"/>
      <c r="AD307" s="392"/>
      <c r="AE307" s="392"/>
      <c r="AF307" s="392"/>
    </row>
    <row r="308" ht="15.75" customHeight="1">
      <c r="A308" s="216"/>
      <c r="B308" s="156"/>
      <c r="C308" s="156"/>
      <c r="D308" s="156"/>
      <c r="E308" s="392"/>
      <c r="F308" s="392"/>
      <c r="G308" s="392"/>
      <c r="H308" s="392"/>
      <c r="I308" s="392"/>
      <c r="J308" s="145"/>
      <c r="K308" s="392"/>
      <c r="L308" s="392"/>
      <c r="M308" s="392"/>
      <c r="N308" s="392"/>
      <c r="O308" s="392"/>
      <c r="P308" s="392"/>
      <c r="Q308" s="392"/>
      <c r="R308" s="392"/>
      <c r="S308" s="392"/>
      <c r="T308" s="392"/>
      <c r="U308" s="392"/>
      <c r="V308" s="392"/>
      <c r="W308" s="392"/>
      <c r="X308" s="392"/>
      <c r="Y308" s="392"/>
      <c r="Z308" s="392"/>
      <c r="AA308" s="392"/>
      <c r="AB308" s="392"/>
      <c r="AC308" s="392"/>
      <c r="AD308" s="392"/>
      <c r="AE308" s="392"/>
      <c r="AF308" s="392"/>
    </row>
    <row r="309" ht="15.75" customHeight="1">
      <c r="A309" s="216"/>
      <c r="B309" s="156"/>
      <c r="C309" s="156"/>
      <c r="D309" s="156"/>
      <c r="E309" s="392"/>
      <c r="F309" s="392"/>
      <c r="G309" s="392"/>
      <c r="H309" s="392"/>
      <c r="I309" s="392"/>
      <c r="J309" s="145"/>
      <c r="K309" s="392"/>
      <c r="L309" s="392"/>
      <c r="M309" s="392"/>
      <c r="N309" s="392"/>
      <c r="O309" s="392"/>
      <c r="P309" s="392"/>
      <c r="Q309" s="392"/>
      <c r="R309" s="392"/>
      <c r="S309" s="392"/>
      <c r="T309" s="392"/>
      <c r="U309" s="392"/>
      <c r="V309" s="392"/>
      <c r="W309" s="392"/>
      <c r="X309" s="392"/>
      <c r="Y309" s="392"/>
      <c r="Z309" s="392"/>
      <c r="AA309" s="392"/>
      <c r="AB309" s="392"/>
      <c r="AC309" s="392"/>
      <c r="AD309" s="392"/>
      <c r="AE309" s="392"/>
      <c r="AF309" s="392"/>
    </row>
    <row r="310" ht="15.75" customHeight="1">
      <c r="A310" s="216"/>
      <c r="B310" s="156"/>
      <c r="C310" s="156"/>
      <c r="D310" s="156"/>
      <c r="E310" s="392"/>
      <c r="F310" s="392"/>
      <c r="G310" s="392"/>
      <c r="H310" s="392"/>
      <c r="I310" s="392"/>
      <c r="J310" s="145"/>
      <c r="K310" s="392"/>
      <c r="L310" s="392"/>
      <c r="M310" s="392"/>
      <c r="N310" s="392"/>
      <c r="O310" s="392"/>
      <c r="P310" s="392"/>
      <c r="Q310" s="392"/>
      <c r="R310" s="392"/>
      <c r="S310" s="392"/>
      <c r="T310" s="392"/>
      <c r="U310" s="392"/>
      <c r="V310" s="392"/>
      <c r="W310" s="392"/>
      <c r="X310" s="392"/>
      <c r="Y310" s="392"/>
      <c r="Z310" s="392"/>
      <c r="AA310" s="392"/>
      <c r="AB310" s="392"/>
      <c r="AC310" s="392"/>
      <c r="AD310" s="392"/>
      <c r="AE310" s="392"/>
      <c r="AF310" s="392"/>
    </row>
    <row r="311" ht="15.75" customHeight="1">
      <c r="A311" s="216"/>
      <c r="B311" s="156"/>
      <c r="C311" s="156"/>
      <c r="D311" s="156"/>
      <c r="E311" s="392"/>
      <c r="F311" s="392"/>
      <c r="G311" s="392"/>
      <c r="H311" s="392"/>
      <c r="I311" s="392"/>
      <c r="J311" s="145"/>
      <c r="K311" s="392"/>
      <c r="L311" s="392"/>
      <c r="M311" s="392"/>
      <c r="N311" s="392"/>
      <c r="O311" s="392"/>
      <c r="P311" s="392"/>
      <c r="Q311" s="392"/>
      <c r="R311" s="392"/>
      <c r="S311" s="392"/>
      <c r="T311" s="392"/>
      <c r="U311" s="392"/>
      <c r="V311" s="392"/>
      <c r="W311" s="392"/>
      <c r="X311" s="392"/>
      <c r="Y311" s="392"/>
      <c r="Z311" s="392"/>
      <c r="AA311" s="392"/>
      <c r="AB311" s="392"/>
      <c r="AC311" s="392"/>
      <c r="AD311" s="392"/>
      <c r="AE311" s="392"/>
      <c r="AF311" s="392"/>
    </row>
    <row r="312" ht="15.75" customHeight="1">
      <c r="A312" s="216"/>
      <c r="B312" s="156"/>
      <c r="C312" s="156"/>
      <c r="D312" s="156"/>
      <c r="E312" s="392"/>
      <c r="F312" s="392"/>
      <c r="G312" s="392"/>
      <c r="H312" s="392"/>
      <c r="I312" s="392"/>
      <c r="J312" s="145"/>
      <c r="K312" s="392"/>
      <c r="L312" s="392"/>
      <c r="M312" s="392"/>
      <c r="N312" s="392"/>
      <c r="O312" s="392"/>
      <c r="P312" s="392"/>
      <c r="Q312" s="392"/>
      <c r="R312" s="392"/>
      <c r="S312" s="392"/>
      <c r="T312" s="392"/>
      <c r="U312" s="392"/>
      <c r="V312" s="392"/>
      <c r="W312" s="392"/>
      <c r="X312" s="392"/>
      <c r="Y312" s="392"/>
      <c r="Z312" s="392"/>
      <c r="AA312" s="392"/>
      <c r="AB312" s="392"/>
      <c r="AC312" s="392"/>
      <c r="AD312" s="392"/>
      <c r="AE312" s="392"/>
      <c r="AF312" s="392"/>
    </row>
    <row r="313" ht="15.75" customHeight="1">
      <c r="A313" s="216"/>
      <c r="B313" s="156"/>
      <c r="C313" s="156"/>
      <c r="D313" s="156"/>
      <c r="E313" s="392"/>
      <c r="F313" s="392"/>
      <c r="G313" s="392"/>
      <c r="H313" s="392"/>
      <c r="I313" s="392"/>
      <c r="J313" s="145"/>
      <c r="K313" s="392"/>
      <c r="L313" s="392"/>
      <c r="M313" s="392"/>
      <c r="N313" s="392"/>
      <c r="O313" s="392"/>
      <c r="P313" s="392"/>
      <c r="Q313" s="392"/>
      <c r="R313" s="392"/>
      <c r="S313" s="392"/>
      <c r="T313" s="392"/>
      <c r="U313" s="392"/>
      <c r="V313" s="392"/>
      <c r="W313" s="392"/>
      <c r="X313" s="392"/>
      <c r="Y313" s="392"/>
      <c r="Z313" s="392"/>
      <c r="AA313" s="392"/>
      <c r="AB313" s="392"/>
      <c r="AC313" s="392"/>
      <c r="AD313" s="392"/>
      <c r="AE313" s="392"/>
      <c r="AF313" s="392"/>
    </row>
    <row r="314" ht="15.75" customHeight="1">
      <c r="A314" s="216"/>
      <c r="B314" s="156"/>
      <c r="C314" s="156"/>
      <c r="D314" s="156"/>
      <c r="E314" s="392"/>
      <c r="F314" s="392"/>
      <c r="G314" s="392"/>
      <c r="H314" s="392"/>
      <c r="I314" s="392"/>
      <c r="J314" s="145"/>
      <c r="K314" s="392"/>
      <c r="L314" s="392"/>
      <c r="M314" s="392"/>
      <c r="N314" s="392"/>
      <c r="O314" s="392"/>
      <c r="P314" s="392"/>
      <c r="Q314" s="392"/>
      <c r="R314" s="392"/>
      <c r="S314" s="392"/>
      <c r="T314" s="392"/>
      <c r="U314" s="392"/>
      <c r="V314" s="392"/>
      <c r="W314" s="392"/>
      <c r="X314" s="392"/>
      <c r="Y314" s="392"/>
      <c r="Z314" s="392"/>
      <c r="AA314" s="392"/>
      <c r="AB314" s="392"/>
      <c r="AC314" s="392"/>
      <c r="AD314" s="392"/>
      <c r="AE314" s="392"/>
      <c r="AF314" s="392"/>
    </row>
    <row r="315" ht="15.75" customHeight="1">
      <c r="A315" s="216"/>
      <c r="B315" s="156"/>
      <c r="C315" s="156"/>
      <c r="D315" s="156"/>
      <c r="E315" s="392"/>
      <c r="F315" s="392"/>
      <c r="G315" s="392"/>
      <c r="H315" s="392"/>
      <c r="I315" s="392"/>
      <c r="J315" s="145"/>
      <c r="K315" s="392"/>
      <c r="L315" s="392"/>
      <c r="M315" s="392"/>
      <c r="N315" s="392"/>
      <c r="O315" s="392"/>
      <c r="P315" s="392"/>
      <c r="Q315" s="392"/>
      <c r="R315" s="392"/>
      <c r="S315" s="392"/>
      <c r="T315" s="392"/>
      <c r="U315" s="392"/>
      <c r="V315" s="392"/>
      <c r="W315" s="392"/>
      <c r="X315" s="392"/>
      <c r="Y315" s="392"/>
      <c r="Z315" s="392"/>
      <c r="AA315" s="392"/>
      <c r="AB315" s="392"/>
      <c r="AC315" s="392"/>
      <c r="AD315" s="392"/>
      <c r="AE315" s="392"/>
      <c r="AF315" s="392"/>
    </row>
    <row r="316" ht="15.75" customHeight="1">
      <c r="A316" s="216"/>
      <c r="B316" s="156"/>
      <c r="C316" s="156"/>
      <c r="D316" s="156"/>
      <c r="E316" s="392"/>
      <c r="F316" s="392"/>
      <c r="G316" s="392"/>
      <c r="H316" s="392"/>
      <c r="I316" s="392"/>
      <c r="J316" s="145"/>
      <c r="K316" s="392"/>
      <c r="L316" s="392"/>
      <c r="M316" s="392"/>
      <c r="N316" s="392"/>
      <c r="O316" s="392"/>
      <c r="P316" s="392"/>
      <c r="Q316" s="392"/>
      <c r="R316" s="392"/>
      <c r="S316" s="392"/>
      <c r="T316" s="392"/>
      <c r="U316" s="392"/>
      <c r="V316" s="392"/>
      <c r="W316" s="392"/>
      <c r="X316" s="392"/>
      <c r="Y316" s="392"/>
      <c r="Z316" s="392"/>
      <c r="AA316" s="392"/>
      <c r="AB316" s="392"/>
      <c r="AC316" s="392"/>
      <c r="AD316" s="392"/>
      <c r="AE316" s="392"/>
      <c r="AF316" s="392"/>
    </row>
    <row r="317" ht="15.75" customHeight="1">
      <c r="A317" s="216"/>
      <c r="B317" s="156"/>
      <c r="C317" s="156"/>
      <c r="D317" s="156"/>
      <c r="E317" s="392"/>
      <c r="F317" s="392"/>
      <c r="G317" s="392"/>
      <c r="H317" s="392"/>
      <c r="I317" s="392"/>
      <c r="J317" s="145"/>
      <c r="K317" s="392"/>
      <c r="L317" s="392"/>
      <c r="M317" s="392"/>
      <c r="N317" s="392"/>
      <c r="O317" s="392"/>
      <c r="P317" s="392"/>
      <c r="Q317" s="392"/>
      <c r="R317" s="392"/>
      <c r="S317" s="392"/>
      <c r="T317" s="392"/>
      <c r="U317" s="392"/>
      <c r="V317" s="392"/>
      <c r="W317" s="392"/>
      <c r="X317" s="392"/>
      <c r="Y317" s="392"/>
      <c r="Z317" s="392"/>
      <c r="AA317" s="392"/>
      <c r="AB317" s="392"/>
      <c r="AC317" s="392"/>
      <c r="AD317" s="392"/>
      <c r="AE317" s="392"/>
      <c r="AF317" s="392"/>
    </row>
    <row r="318" ht="15.75" customHeight="1">
      <c r="A318" s="216"/>
      <c r="B318" s="156"/>
      <c r="C318" s="156"/>
      <c r="D318" s="156"/>
      <c r="E318" s="392"/>
      <c r="F318" s="392"/>
      <c r="G318" s="392"/>
      <c r="H318" s="392"/>
      <c r="I318" s="392"/>
      <c r="J318" s="145"/>
      <c r="K318" s="392"/>
      <c r="L318" s="392"/>
      <c r="M318" s="392"/>
      <c r="N318" s="392"/>
      <c r="O318" s="392"/>
      <c r="P318" s="392"/>
      <c r="Q318" s="392"/>
      <c r="R318" s="392"/>
      <c r="S318" s="392"/>
      <c r="T318" s="392"/>
      <c r="U318" s="392"/>
      <c r="V318" s="392"/>
      <c r="W318" s="392"/>
      <c r="X318" s="392"/>
      <c r="Y318" s="392"/>
      <c r="Z318" s="392"/>
      <c r="AA318" s="392"/>
      <c r="AB318" s="392"/>
      <c r="AC318" s="392"/>
      <c r="AD318" s="392"/>
      <c r="AE318" s="392"/>
      <c r="AF318" s="392"/>
    </row>
    <row r="319" ht="15.75" customHeight="1">
      <c r="A319" s="216"/>
      <c r="B319" s="156"/>
      <c r="C319" s="156"/>
      <c r="D319" s="156"/>
      <c r="E319" s="392"/>
      <c r="F319" s="392"/>
      <c r="G319" s="392"/>
      <c r="H319" s="392"/>
      <c r="I319" s="392"/>
      <c r="J319" s="145"/>
      <c r="K319" s="392"/>
      <c r="L319" s="392"/>
      <c r="M319" s="392"/>
      <c r="N319" s="392"/>
      <c r="O319" s="392"/>
      <c r="P319" s="392"/>
      <c r="Q319" s="392"/>
      <c r="R319" s="392"/>
      <c r="S319" s="392"/>
      <c r="T319" s="392"/>
      <c r="U319" s="392"/>
      <c r="V319" s="392"/>
      <c r="W319" s="392"/>
      <c r="X319" s="392"/>
      <c r="Y319" s="392"/>
      <c r="Z319" s="392"/>
      <c r="AA319" s="392"/>
      <c r="AB319" s="392"/>
      <c r="AC319" s="392"/>
      <c r="AD319" s="392"/>
      <c r="AE319" s="392"/>
      <c r="AF319" s="392"/>
    </row>
    <row r="320" ht="15.75" customHeight="1">
      <c r="A320" s="216"/>
      <c r="B320" s="156"/>
      <c r="C320" s="156"/>
      <c r="D320" s="156"/>
      <c r="E320" s="392"/>
      <c r="F320" s="392"/>
      <c r="G320" s="392"/>
      <c r="H320" s="392"/>
      <c r="I320" s="392"/>
      <c r="J320" s="145"/>
      <c r="K320" s="392"/>
      <c r="L320" s="392"/>
      <c r="M320" s="392"/>
      <c r="N320" s="392"/>
      <c r="O320" s="392"/>
      <c r="P320" s="392"/>
      <c r="Q320" s="392"/>
      <c r="R320" s="392"/>
      <c r="S320" s="392"/>
      <c r="T320" s="392"/>
      <c r="U320" s="392"/>
      <c r="V320" s="392"/>
      <c r="W320" s="392"/>
      <c r="X320" s="392"/>
      <c r="Y320" s="392"/>
      <c r="Z320" s="392"/>
      <c r="AA320" s="392"/>
      <c r="AB320" s="392"/>
      <c r="AC320" s="392"/>
      <c r="AD320" s="392"/>
      <c r="AE320" s="392"/>
      <c r="AF320" s="392"/>
    </row>
    <row r="321" ht="15.75" customHeight="1">
      <c r="A321" s="216"/>
      <c r="B321" s="156"/>
      <c r="C321" s="156"/>
      <c r="D321" s="156"/>
      <c r="E321" s="392"/>
      <c r="F321" s="392"/>
      <c r="G321" s="392"/>
      <c r="H321" s="392"/>
      <c r="I321" s="392"/>
      <c r="J321" s="145"/>
      <c r="K321" s="392"/>
      <c r="L321" s="392"/>
      <c r="M321" s="392"/>
      <c r="N321" s="392"/>
      <c r="O321" s="392"/>
      <c r="P321" s="392"/>
      <c r="Q321" s="392"/>
      <c r="R321" s="392"/>
      <c r="S321" s="392"/>
      <c r="T321" s="392"/>
      <c r="U321" s="392"/>
      <c r="V321" s="392"/>
      <c r="W321" s="392"/>
      <c r="X321" s="392"/>
      <c r="Y321" s="392"/>
      <c r="Z321" s="392"/>
      <c r="AA321" s="392"/>
      <c r="AB321" s="392"/>
      <c r="AC321" s="392"/>
      <c r="AD321" s="392"/>
      <c r="AE321" s="392"/>
      <c r="AF321" s="392"/>
    </row>
    <row r="322" ht="15.75" customHeight="1">
      <c r="A322" s="216"/>
      <c r="B322" s="156"/>
      <c r="C322" s="156"/>
      <c r="D322" s="156"/>
      <c r="E322" s="392"/>
      <c r="F322" s="392"/>
      <c r="G322" s="392"/>
      <c r="H322" s="392"/>
      <c r="I322" s="392"/>
      <c r="J322" s="145"/>
      <c r="K322" s="392"/>
      <c r="L322" s="392"/>
      <c r="M322" s="392"/>
      <c r="N322" s="392"/>
      <c r="O322" s="392"/>
      <c r="P322" s="392"/>
      <c r="Q322" s="392"/>
      <c r="R322" s="392"/>
      <c r="S322" s="392"/>
      <c r="T322" s="392"/>
      <c r="U322" s="392"/>
      <c r="V322" s="392"/>
      <c r="W322" s="392"/>
      <c r="X322" s="392"/>
      <c r="Y322" s="392"/>
      <c r="Z322" s="392"/>
      <c r="AA322" s="392"/>
      <c r="AB322" s="392"/>
      <c r="AC322" s="392"/>
      <c r="AD322" s="392"/>
      <c r="AE322" s="392"/>
      <c r="AF322" s="392"/>
    </row>
    <row r="323" ht="15.75" customHeight="1">
      <c r="A323" s="216"/>
      <c r="B323" s="156"/>
      <c r="C323" s="156"/>
      <c r="D323" s="156"/>
      <c r="E323" s="392"/>
      <c r="F323" s="392"/>
      <c r="G323" s="392"/>
      <c r="H323" s="392"/>
      <c r="I323" s="392"/>
      <c r="J323" s="145"/>
      <c r="K323" s="392"/>
      <c r="L323" s="392"/>
      <c r="M323" s="392"/>
      <c r="N323" s="392"/>
      <c r="O323" s="392"/>
      <c r="P323" s="392"/>
      <c r="Q323" s="392"/>
      <c r="R323" s="392"/>
      <c r="S323" s="392"/>
      <c r="T323" s="392"/>
      <c r="U323" s="392"/>
      <c r="V323" s="392"/>
      <c r="W323" s="392"/>
      <c r="X323" s="392"/>
      <c r="Y323" s="392"/>
      <c r="Z323" s="392"/>
      <c r="AA323" s="392"/>
      <c r="AB323" s="392"/>
      <c r="AC323" s="392"/>
      <c r="AD323" s="392"/>
      <c r="AE323" s="392"/>
      <c r="AF323" s="392"/>
    </row>
    <row r="324" ht="15.75" customHeight="1">
      <c r="A324" s="216"/>
      <c r="B324" s="156"/>
      <c r="C324" s="156"/>
      <c r="D324" s="156"/>
      <c r="E324" s="392"/>
      <c r="F324" s="392"/>
      <c r="G324" s="392"/>
      <c r="H324" s="392"/>
      <c r="I324" s="392"/>
      <c r="J324" s="145"/>
      <c r="K324" s="392"/>
      <c r="L324" s="392"/>
      <c r="M324" s="392"/>
      <c r="N324" s="392"/>
      <c r="O324" s="392"/>
      <c r="P324" s="392"/>
      <c r="Q324" s="392"/>
      <c r="R324" s="392"/>
      <c r="S324" s="392"/>
      <c r="T324" s="392"/>
      <c r="U324" s="392"/>
      <c r="V324" s="392"/>
      <c r="W324" s="392"/>
      <c r="X324" s="392"/>
      <c r="Y324" s="392"/>
      <c r="Z324" s="392"/>
      <c r="AA324" s="392"/>
      <c r="AB324" s="392"/>
      <c r="AC324" s="392"/>
      <c r="AD324" s="392"/>
      <c r="AE324" s="392"/>
      <c r="AF324" s="392"/>
    </row>
    <row r="325" ht="15.75" customHeight="1">
      <c r="A325" s="216"/>
      <c r="B325" s="156"/>
      <c r="C325" s="156"/>
      <c r="D325" s="156"/>
      <c r="E325" s="392"/>
      <c r="F325" s="392"/>
      <c r="G325" s="392"/>
      <c r="H325" s="392"/>
      <c r="I325" s="392"/>
      <c r="J325" s="145"/>
      <c r="K325" s="392"/>
      <c r="L325" s="392"/>
      <c r="M325" s="392"/>
      <c r="N325" s="392"/>
      <c r="O325" s="392"/>
      <c r="P325" s="392"/>
      <c r="Q325" s="392"/>
      <c r="R325" s="392"/>
      <c r="S325" s="392"/>
      <c r="T325" s="392"/>
      <c r="U325" s="392"/>
      <c r="V325" s="392"/>
      <c r="W325" s="392"/>
      <c r="X325" s="392"/>
      <c r="Y325" s="392"/>
      <c r="Z325" s="392"/>
      <c r="AA325" s="392"/>
      <c r="AB325" s="392"/>
      <c r="AC325" s="392"/>
      <c r="AD325" s="392"/>
      <c r="AE325" s="392"/>
      <c r="AF325" s="392"/>
    </row>
    <row r="326" ht="15.75" customHeight="1">
      <c r="A326" s="216"/>
      <c r="B326" s="156"/>
      <c r="C326" s="156"/>
      <c r="D326" s="156"/>
      <c r="E326" s="392"/>
      <c r="F326" s="392"/>
      <c r="G326" s="392"/>
      <c r="H326" s="392"/>
      <c r="I326" s="392"/>
      <c r="J326" s="145"/>
      <c r="K326" s="392"/>
      <c r="L326" s="392"/>
      <c r="M326" s="392"/>
      <c r="N326" s="392"/>
      <c r="O326" s="392"/>
      <c r="P326" s="392"/>
      <c r="Q326" s="392"/>
      <c r="R326" s="392"/>
      <c r="S326" s="392"/>
      <c r="T326" s="392"/>
      <c r="U326" s="392"/>
      <c r="V326" s="392"/>
      <c r="W326" s="392"/>
      <c r="X326" s="392"/>
      <c r="Y326" s="392"/>
      <c r="Z326" s="392"/>
      <c r="AA326" s="392"/>
      <c r="AB326" s="392"/>
      <c r="AC326" s="392"/>
      <c r="AD326" s="392"/>
      <c r="AE326" s="392"/>
      <c r="AF326" s="392"/>
    </row>
    <row r="327" ht="15.75" customHeight="1">
      <c r="A327" s="216"/>
      <c r="B327" s="156"/>
      <c r="C327" s="156"/>
      <c r="D327" s="156"/>
      <c r="E327" s="392"/>
      <c r="F327" s="392"/>
      <c r="G327" s="392"/>
      <c r="H327" s="392"/>
      <c r="I327" s="392"/>
      <c r="J327" s="145"/>
      <c r="K327" s="392"/>
      <c r="L327" s="392"/>
      <c r="M327" s="392"/>
      <c r="N327" s="392"/>
      <c r="O327" s="392"/>
      <c r="P327" s="392"/>
      <c r="Q327" s="392"/>
      <c r="R327" s="392"/>
      <c r="S327" s="392"/>
      <c r="T327" s="392"/>
      <c r="U327" s="392"/>
      <c r="V327" s="392"/>
      <c r="W327" s="392"/>
      <c r="X327" s="392"/>
      <c r="Y327" s="392"/>
      <c r="Z327" s="392"/>
      <c r="AA327" s="392"/>
      <c r="AB327" s="392"/>
      <c r="AC327" s="392"/>
      <c r="AD327" s="392"/>
      <c r="AE327" s="392"/>
      <c r="AF327" s="392"/>
    </row>
    <row r="328" ht="15.75" customHeight="1">
      <c r="A328" s="216"/>
      <c r="B328" s="156"/>
      <c r="C328" s="156"/>
      <c r="D328" s="156"/>
      <c r="E328" s="392"/>
      <c r="F328" s="392"/>
      <c r="G328" s="392"/>
      <c r="H328" s="392"/>
      <c r="I328" s="392"/>
      <c r="J328" s="145"/>
      <c r="K328" s="392"/>
      <c r="L328" s="392"/>
      <c r="M328" s="392"/>
      <c r="N328" s="392"/>
      <c r="O328" s="392"/>
      <c r="P328" s="392"/>
      <c r="Q328" s="392"/>
      <c r="R328" s="392"/>
      <c r="S328" s="392"/>
      <c r="T328" s="392"/>
      <c r="U328" s="392"/>
      <c r="V328" s="392"/>
      <c r="W328" s="392"/>
      <c r="X328" s="392"/>
      <c r="Y328" s="392"/>
      <c r="Z328" s="392"/>
      <c r="AA328" s="392"/>
      <c r="AB328" s="392"/>
      <c r="AC328" s="392"/>
      <c r="AD328" s="392"/>
      <c r="AE328" s="392"/>
      <c r="AF328" s="392"/>
    </row>
    <row r="329" ht="15.75" customHeight="1">
      <c r="A329" s="216"/>
      <c r="B329" s="156"/>
      <c r="C329" s="156"/>
      <c r="D329" s="156"/>
      <c r="E329" s="392"/>
      <c r="F329" s="392"/>
      <c r="G329" s="392"/>
      <c r="H329" s="392"/>
      <c r="I329" s="392"/>
      <c r="J329" s="145"/>
      <c r="K329" s="392"/>
      <c r="L329" s="392"/>
      <c r="M329" s="392"/>
      <c r="N329" s="392"/>
      <c r="O329" s="392"/>
      <c r="P329" s="392"/>
      <c r="Q329" s="392"/>
      <c r="R329" s="392"/>
      <c r="S329" s="392"/>
      <c r="T329" s="392"/>
      <c r="U329" s="392"/>
      <c r="V329" s="392"/>
      <c r="W329" s="392"/>
      <c r="X329" s="392"/>
      <c r="Y329" s="392"/>
      <c r="Z329" s="392"/>
      <c r="AA329" s="392"/>
      <c r="AB329" s="392"/>
      <c r="AC329" s="392"/>
      <c r="AD329" s="392"/>
      <c r="AE329" s="392"/>
      <c r="AF329" s="392"/>
    </row>
    <row r="330" ht="15.75" customHeight="1">
      <c r="A330" s="216"/>
      <c r="B330" s="156"/>
      <c r="C330" s="156"/>
      <c r="D330" s="156"/>
      <c r="E330" s="392"/>
      <c r="F330" s="392"/>
      <c r="G330" s="392"/>
      <c r="H330" s="392"/>
      <c r="I330" s="392"/>
      <c r="J330" s="145"/>
      <c r="K330" s="392"/>
      <c r="L330" s="392"/>
      <c r="M330" s="392"/>
      <c r="N330" s="392"/>
      <c r="O330" s="392"/>
      <c r="P330" s="392"/>
      <c r="Q330" s="392"/>
      <c r="R330" s="392"/>
      <c r="S330" s="392"/>
      <c r="T330" s="392"/>
      <c r="U330" s="392"/>
      <c r="V330" s="392"/>
      <c r="W330" s="392"/>
      <c r="X330" s="392"/>
      <c r="Y330" s="392"/>
      <c r="Z330" s="392"/>
      <c r="AA330" s="392"/>
      <c r="AB330" s="392"/>
      <c r="AC330" s="392"/>
      <c r="AD330" s="392"/>
      <c r="AE330" s="392"/>
      <c r="AF330" s="392"/>
    </row>
    <row r="331" ht="15.75" customHeight="1">
      <c r="A331" s="216"/>
      <c r="B331" s="156"/>
      <c r="C331" s="156"/>
      <c r="D331" s="156"/>
      <c r="E331" s="392"/>
      <c r="F331" s="392"/>
      <c r="G331" s="392"/>
      <c r="H331" s="392"/>
      <c r="I331" s="392"/>
      <c r="J331" s="145"/>
      <c r="K331" s="392"/>
      <c r="L331" s="392"/>
      <c r="M331" s="392"/>
      <c r="N331" s="392"/>
      <c r="O331" s="392"/>
      <c r="P331" s="392"/>
      <c r="Q331" s="392"/>
      <c r="R331" s="392"/>
      <c r="S331" s="392"/>
      <c r="T331" s="392"/>
      <c r="U331" s="392"/>
      <c r="V331" s="392"/>
      <c r="W331" s="392"/>
      <c r="X331" s="392"/>
      <c r="Y331" s="392"/>
      <c r="Z331" s="392"/>
      <c r="AA331" s="392"/>
      <c r="AB331" s="392"/>
      <c r="AC331" s="392"/>
      <c r="AD331" s="392"/>
      <c r="AE331" s="392"/>
      <c r="AF331" s="392"/>
    </row>
    <row r="332" ht="15.75" customHeight="1">
      <c r="A332" s="216"/>
      <c r="B332" s="156"/>
      <c r="C332" s="156"/>
      <c r="D332" s="156"/>
      <c r="E332" s="392"/>
      <c r="F332" s="392"/>
      <c r="G332" s="392"/>
      <c r="H332" s="392"/>
      <c r="I332" s="392"/>
      <c r="J332" s="145"/>
      <c r="K332" s="392"/>
      <c r="L332" s="392"/>
      <c r="M332" s="392"/>
      <c r="N332" s="392"/>
      <c r="O332" s="392"/>
      <c r="P332" s="392"/>
      <c r="Q332" s="392"/>
      <c r="R332" s="392"/>
      <c r="S332" s="392"/>
      <c r="T332" s="392"/>
      <c r="U332" s="392"/>
      <c r="V332" s="392"/>
      <c r="W332" s="392"/>
      <c r="X332" s="392"/>
      <c r="Y332" s="392"/>
      <c r="Z332" s="392"/>
      <c r="AA332" s="392"/>
      <c r="AB332" s="392"/>
      <c r="AC332" s="392"/>
      <c r="AD332" s="392"/>
      <c r="AE332" s="392"/>
      <c r="AF332" s="392"/>
    </row>
    <row r="333" ht="15.75" customHeight="1">
      <c r="A333" s="216"/>
      <c r="B333" s="156"/>
      <c r="C333" s="156"/>
      <c r="D333" s="156"/>
      <c r="E333" s="392"/>
      <c r="F333" s="392"/>
      <c r="G333" s="392"/>
      <c r="H333" s="392"/>
      <c r="I333" s="392"/>
      <c r="J333" s="145"/>
      <c r="K333" s="392"/>
      <c r="L333" s="392"/>
      <c r="M333" s="392"/>
      <c r="N333" s="392"/>
      <c r="O333" s="392"/>
      <c r="P333" s="392"/>
      <c r="Q333" s="392"/>
      <c r="R333" s="392"/>
      <c r="S333" s="392"/>
      <c r="T333" s="392"/>
      <c r="U333" s="392"/>
      <c r="V333" s="392"/>
      <c r="W333" s="392"/>
      <c r="X333" s="392"/>
      <c r="Y333" s="392"/>
      <c r="Z333" s="392"/>
      <c r="AA333" s="392"/>
      <c r="AB333" s="392"/>
      <c r="AC333" s="392"/>
      <c r="AD333" s="392"/>
      <c r="AE333" s="392"/>
      <c r="AF333" s="392"/>
    </row>
    <row r="334" ht="15.75" customHeight="1">
      <c r="A334" s="216"/>
      <c r="B334" s="156"/>
      <c r="C334" s="156"/>
      <c r="D334" s="156"/>
      <c r="E334" s="392"/>
      <c r="F334" s="392"/>
      <c r="G334" s="392"/>
      <c r="H334" s="392"/>
      <c r="I334" s="392"/>
      <c r="J334" s="145"/>
      <c r="K334" s="392"/>
      <c r="L334" s="392"/>
      <c r="M334" s="392"/>
      <c r="N334" s="392"/>
      <c r="O334" s="392"/>
      <c r="P334" s="392"/>
      <c r="Q334" s="392"/>
      <c r="R334" s="392"/>
      <c r="S334" s="392"/>
      <c r="T334" s="392"/>
      <c r="U334" s="392"/>
      <c r="V334" s="392"/>
      <c r="W334" s="392"/>
      <c r="X334" s="392"/>
      <c r="Y334" s="392"/>
      <c r="Z334" s="392"/>
      <c r="AA334" s="392"/>
      <c r="AB334" s="392"/>
      <c r="AC334" s="392"/>
      <c r="AD334" s="392"/>
      <c r="AE334" s="392"/>
      <c r="AF334" s="392"/>
    </row>
    <row r="335" ht="15.75" customHeight="1">
      <c r="A335" s="216"/>
      <c r="B335" s="156"/>
      <c r="C335" s="156"/>
      <c r="D335" s="156"/>
      <c r="E335" s="392"/>
      <c r="F335" s="392"/>
      <c r="G335" s="392"/>
      <c r="H335" s="392"/>
      <c r="I335" s="392"/>
      <c r="J335" s="145"/>
      <c r="K335" s="392"/>
      <c r="L335" s="392"/>
      <c r="M335" s="392"/>
      <c r="N335" s="392"/>
      <c r="O335" s="392"/>
      <c r="P335" s="392"/>
      <c r="Q335" s="392"/>
      <c r="R335" s="392"/>
      <c r="S335" s="392"/>
      <c r="T335" s="392"/>
      <c r="U335" s="392"/>
      <c r="V335" s="392"/>
      <c r="W335" s="392"/>
      <c r="X335" s="392"/>
      <c r="Y335" s="392"/>
      <c r="Z335" s="392"/>
      <c r="AA335" s="392"/>
      <c r="AB335" s="392"/>
      <c r="AC335" s="392"/>
      <c r="AD335" s="392"/>
      <c r="AE335" s="392"/>
      <c r="AF335" s="392"/>
    </row>
    <row r="336" ht="15.75" customHeight="1">
      <c r="A336" s="216"/>
      <c r="B336" s="156"/>
      <c r="C336" s="156"/>
      <c r="D336" s="156"/>
      <c r="E336" s="392"/>
      <c r="F336" s="392"/>
      <c r="G336" s="392"/>
      <c r="H336" s="392"/>
      <c r="I336" s="392"/>
      <c r="J336" s="145"/>
      <c r="K336" s="392"/>
      <c r="L336" s="392"/>
      <c r="M336" s="392"/>
      <c r="N336" s="392"/>
      <c r="O336" s="392"/>
      <c r="P336" s="392"/>
      <c r="Q336" s="392"/>
      <c r="R336" s="392"/>
      <c r="S336" s="392"/>
      <c r="T336" s="392"/>
      <c r="U336" s="392"/>
      <c r="V336" s="392"/>
      <c r="W336" s="392"/>
      <c r="X336" s="392"/>
      <c r="Y336" s="392"/>
      <c r="Z336" s="392"/>
      <c r="AA336" s="392"/>
      <c r="AB336" s="392"/>
      <c r="AC336" s="392"/>
      <c r="AD336" s="392"/>
      <c r="AE336" s="392"/>
      <c r="AF336" s="392"/>
    </row>
    <row r="337" ht="15.75" customHeight="1">
      <c r="A337" s="216"/>
      <c r="B337" s="156"/>
      <c r="C337" s="156"/>
      <c r="D337" s="156"/>
      <c r="E337" s="392"/>
      <c r="F337" s="392"/>
      <c r="G337" s="392"/>
      <c r="H337" s="392"/>
      <c r="I337" s="392"/>
      <c r="J337" s="145"/>
      <c r="K337" s="392"/>
      <c r="L337" s="392"/>
      <c r="M337" s="392"/>
      <c r="N337" s="392"/>
      <c r="O337" s="392"/>
      <c r="P337" s="392"/>
      <c r="Q337" s="392"/>
      <c r="R337" s="392"/>
      <c r="S337" s="392"/>
      <c r="T337" s="392"/>
      <c r="U337" s="392"/>
      <c r="V337" s="392"/>
      <c r="W337" s="392"/>
      <c r="X337" s="392"/>
      <c r="Y337" s="392"/>
      <c r="Z337" s="392"/>
      <c r="AA337" s="392"/>
      <c r="AB337" s="392"/>
      <c r="AC337" s="392"/>
      <c r="AD337" s="392"/>
      <c r="AE337" s="392"/>
      <c r="AF337" s="392"/>
    </row>
    <row r="338" ht="15.75" customHeight="1">
      <c r="A338" s="216"/>
      <c r="B338" s="156"/>
      <c r="C338" s="156"/>
      <c r="D338" s="156"/>
      <c r="E338" s="392"/>
      <c r="F338" s="392"/>
      <c r="G338" s="392"/>
      <c r="H338" s="392"/>
      <c r="I338" s="392"/>
      <c r="J338" s="145"/>
      <c r="K338" s="392"/>
      <c r="L338" s="392"/>
      <c r="M338" s="392"/>
      <c r="N338" s="392"/>
      <c r="O338" s="392"/>
      <c r="P338" s="392"/>
      <c r="Q338" s="392"/>
      <c r="R338" s="392"/>
      <c r="S338" s="392"/>
      <c r="T338" s="392"/>
      <c r="U338" s="392"/>
      <c r="V338" s="392"/>
      <c r="W338" s="392"/>
      <c r="X338" s="392"/>
      <c r="Y338" s="392"/>
      <c r="Z338" s="392"/>
      <c r="AA338" s="392"/>
      <c r="AB338" s="392"/>
      <c r="AC338" s="392"/>
      <c r="AD338" s="392"/>
      <c r="AE338" s="392"/>
      <c r="AF338" s="392"/>
    </row>
    <row r="339" ht="15.75" customHeight="1">
      <c r="A339" s="216"/>
      <c r="B339" s="156"/>
      <c r="C339" s="156"/>
      <c r="D339" s="156"/>
      <c r="E339" s="392"/>
      <c r="F339" s="392"/>
      <c r="G339" s="392"/>
      <c r="H339" s="392"/>
      <c r="I339" s="392"/>
      <c r="J339" s="145"/>
      <c r="K339" s="392"/>
      <c r="L339" s="392"/>
      <c r="M339" s="392"/>
      <c r="N339" s="392"/>
      <c r="O339" s="392"/>
      <c r="P339" s="392"/>
      <c r="Q339" s="392"/>
      <c r="R339" s="392"/>
      <c r="S339" s="392"/>
      <c r="T339" s="392"/>
      <c r="U339" s="392"/>
      <c r="V339" s="392"/>
      <c r="W339" s="392"/>
      <c r="X339" s="392"/>
      <c r="Y339" s="392"/>
      <c r="Z339" s="392"/>
      <c r="AA339" s="392"/>
      <c r="AB339" s="392"/>
      <c r="AC339" s="392"/>
      <c r="AD339" s="392"/>
      <c r="AE339" s="392"/>
      <c r="AF339" s="392"/>
    </row>
    <row r="340" ht="15.75" customHeight="1">
      <c r="A340" s="216"/>
      <c r="B340" s="156"/>
      <c r="C340" s="156"/>
      <c r="D340" s="156"/>
      <c r="E340" s="392"/>
      <c r="F340" s="392"/>
      <c r="G340" s="392"/>
      <c r="H340" s="392"/>
      <c r="I340" s="392"/>
      <c r="J340" s="145"/>
      <c r="K340" s="392"/>
      <c r="L340" s="392"/>
      <c r="M340" s="392"/>
      <c r="N340" s="392"/>
      <c r="O340" s="392"/>
      <c r="P340" s="392"/>
      <c r="Q340" s="392"/>
      <c r="R340" s="392"/>
      <c r="S340" s="392"/>
      <c r="T340" s="392"/>
      <c r="U340" s="392"/>
      <c r="V340" s="392"/>
      <c r="W340" s="392"/>
      <c r="X340" s="392"/>
      <c r="Y340" s="392"/>
      <c r="Z340" s="392"/>
      <c r="AA340" s="392"/>
      <c r="AB340" s="392"/>
      <c r="AC340" s="392"/>
      <c r="AD340" s="392"/>
      <c r="AE340" s="392"/>
      <c r="AF340" s="392"/>
    </row>
    <row r="341" ht="15.75" customHeight="1">
      <c r="A341" s="216"/>
      <c r="B341" s="156"/>
      <c r="C341" s="156"/>
      <c r="D341" s="156"/>
      <c r="E341" s="392"/>
      <c r="F341" s="392"/>
      <c r="G341" s="392"/>
      <c r="H341" s="392"/>
      <c r="I341" s="392"/>
      <c r="J341" s="145"/>
      <c r="K341" s="392"/>
      <c r="L341" s="392"/>
      <c r="M341" s="392"/>
      <c r="N341" s="392"/>
      <c r="O341" s="392"/>
      <c r="P341" s="392"/>
      <c r="Q341" s="392"/>
      <c r="R341" s="392"/>
      <c r="S341" s="392"/>
      <c r="T341" s="392"/>
      <c r="U341" s="392"/>
      <c r="V341" s="392"/>
      <c r="W341" s="392"/>
      <c r="X341" s="392"/>
      <c r="Y341" s="392"/>
      <c r="Z341" s="392"/>
      <c r="AA341" s="392"/>
      <c r="AB341" s="392"/>
      <c r="AC341" s="392"/>
      <c r="AD341" s="392"/>
      <c r="AE341" s="392"/>
      <c r="AF341" s="392"/>
    </row>
    <row r="342" ht="15.75" customHeight="1">
      <c r="A342" s="216"/>
      <c r="B342" s="156"/>
      <c r="C342" s="156"/>
      <c r="D342" s="156"/>
      <c r="E342" s="392"/>
      <c r="F342" s="392"/>
      <c r="G342" s="392"/>
      <c r="H342" s="392"/>
      <c r="I342" s="392"/>
      <c r="J342" s="145"/>
      <c r="K342" s="392"/>
      <c r="L342" s="392"/>
      <c r="M342" s="392"/>
      <c r="N342" s="392"/>
      <c r="O342" s="392"/>
      <c r="P342" s="392"/>
      <c r="Q342" s="392"/>
      <c r="R342" s="392"/>
      <c r="S342" s="392"/>
      <c r="T342" s="392"/>
      <c r="U342" s="392"/>
      <c r="V342" s="392"/>
      <c r="W342" s="392"/>
      <c r="X342" s="392"/>
      <c r="Y342" s="392"/>
      <c r="Z342" s="392"/>
      <c r="AA342" s="392"/>
      <c r="AB342" s="392"/>
      <c r="AC342" s="392"/>
      <c r="AD342" s="392"/>
      <c r="AE342" s="392"/>
      <c r="AF342" s="392"/>
    </row>
    <row r="343" ht="15.75" customHeight="1">
      <c r="A343" s="216"/>
      <c r="B343" s="156"/>
      <c r="C343" s="156"/>
      <c r="D343" s="156"/>
      <c r="E343" s="392"/>
      <c r="F343" s="392"/>
      <c r="G343" s="392"/>
      <c r="H343" s="392"/>
      <c r="I343" s="392"/>
      <c r="J343" s="145"/>
      <c r="K343" s="392"/>
      <c r="L343" s="392"/>
      <c r="M343" s="392"/>
      <c r="N343" s="392"/>
      <c r="O343" s="392"/>
      <c r="P343" s="392"/>
      <c r="Q343" s="392"/>
      <c r="R343" s="392"/>
      <c r="S343" s="392"/>
      <c r="T343" s="392"/>
      <c r="U343" s="392"/>
      <c r="V343" s="392"/>
      <c r="W343" s="392"/>
      <c r="X343" s="392"/>
      <c r="Y343" s="392"/>
      <c r="Z343" s="392"/>
      <c r="AA343" s="392"/>
      <c r="AB343" s="392"/>
      <c r="AC343" s="392"/>
      <c r="AD343" s="392"/>
      <c r="AE343" s="392"/>
      <c r="AF343" s="392"/>
    </row>
    <row r="344" ht="15.75" customHeight="1">
      <c r="A344" s="216"/>
      <c r="B344" s="156"/>
      <c r="C344" s="156"/>
      <c r="D344" s="156"/>
      <c r="E344" s="392"/>
      <c r="F344" s="392"/>
      <c r="G344" s="392"/>
      <c r="H344" s="392"/>
      <c r="I344" s="392"/>
      <c r="J344" s="145"/>
      <c r="K344" s="392"/>
      <c r="L344" s="392"/>
      <c r="M344" s="392"/>
      <c r="N344" s="392"/>
      <c r="O344" s="392"/>
      <c r="P344" s="392"/>
      <c r="Q344" s="392"/>
      <c r="R344" s="392"/>
      <c r="S344" s="392"/>
      <c r="T344" s="392"/>
      <c r="U344" s="392"/>
      <c r="V344" s="392"/>
      <c r="W344" s="392"/>
      <c r="X344" s="392"/>
      <c r="Y344" s="392"/>
      <c r="Z344" s="392"/>
      <c r="AA344" s="392"/>
      <c r="AB344" s="392"/>
      <c r="AC344" s="392"/>
      <c r="AD344" s="392"/>
      <c r="AE344" s="392"/>
      <c r="AF344" s="392"/>
    </row>
    <row r="345" ht="15.75" customHeight="1">
      <c r="A345" s="216"/>
      <c r="B345" s="156"/>
      <c r="C345" s="156"/>
      <c r="D345" s="156"/>
      <c r="E345" s="392"/>
      <c r="F345" s="392"/>
      <c r="G345" s="392"/>
      <c r="H345" s="392"/>
      <c r="I345" s="392"/>
      <c r="J345" s="145"/>
      <c r="K345" s="392"/>
      <c r="L345" s="392"/>
      <c r="M345" s="392"/>
      <c r="N345" s="392"/>
      <c r="O345" s="392"/>
      <c r="P345" s="392"/>
      <c r="Q345" s="392"/>
      <c r="R345" s="392"/>
      <c r="S345" s="392"/>
      <c r="T345" s="392"/>
      <c r="U345" s="392"/>
      <c r="V345" s="392"/>
      <c r="W345" s="392"/>
      <c r="X345" s="392"/>
      <c r="Y345" s="392"/>
      <c r="Z345" s="392"/>
      <c r="AA345" s="392"/>
      <c r="AB345" s="392"/>
      <c r="AC345" s="392"/>
      <c r="AD345" s="392"/>
      <c r="AE345" s="392"/>
      <c r="AF345" s="392"/>
    </row>
    <row r="346" ht="15.75" customHeight="1">
      <c r="A346" s="216"/>
      <c r="B346" s="156"/>
      <c r="C346" s="156"/>
      <c r="D346" s="156"/>
      <c r="E346" s="392"/>
      <c r="F346" s="392"/>
      <c r="G346" s="392"/>
      <c r="H346" s="392"/>
      <c r="I346" s="392"/>
      <c r="J346" s="145"/>
      <c r="K346" s="392"/>
      <c r="L346" s="392"/>
      <c r="M346" s="392"/>
      <c r="N346" s="392"/>
      <c r="O346" s="392"/>
      <c r="P346" s="392"/>
      <c r="Q346" s="392"/>
      <c r="R346" s="392"/>
      <c r="S346" s="392"/>
      <c r="T346" s="392"/>
      <c r="U346" s="392"/>
      <c r="V346" s="392"/>
      <c r="W346" s="392"/>
      <c r="X346" s="392"/>
      <c r="Y346" s="392"/>
      <c r="Z346" s="392"/>
      <c r="AA346" s="392"/>
      <c r="AB346" s="392"/>
      <c r="AC346" s="392"/>
      <c r="AD346" s="392"/>
      <c r="AE346" s="392"/>
      <c r="AF346" s="392"/>
    </row>
    <row r="347" ht="15.75" customHeight="1">
      <c r="A347" s="216"/>
      <c r="B347" s="156"/>
      <c r="C347" s="156"/>
      <c r="D347" s="156"/>
      <c r="E347" s="392"/>
      <c r="F347" s="392"/>
      <c r="G347" s="392"/>
      <c r="H347" s="392"/>
      <c r="I347" s="392"/>
      <c r="J347" s="145"/>
      <c r="K347" s="392"/>
      <c r="L347" s="392"/>
      <c r="M347" s="392"/>
      <c r="N347" s="392"/>
      <c r="O347" s="392"/>
      <c r="P347" s="392"/>
      <c r="Q347" s="392"/>
      <c r="R347" s="392"/>
      <c r="S347" s="392"/>
      <c r="T347" s="392"/>
      <c r="U347" s="392"/>
      <c r="V347" s="392"/>
      <c r="W347" s="392"/>
      <c r="X347" s="392"/>
      <c r="Y347" s="392"/>
      <c r="Z347" s="392"/>
      <c r="AA347" s="392"/>
      <c r="AB347" s="392"/>
      <c r="AC347" s="392"/>
      <c r="AD347" s="392"/>
      <c r="AE347" s="392"/>
      <c r="AF347" s="392"/>
    </row>
    <row r="348" ht="15.75" customHeight="1">
      <c r="A348" s="216"/>
      <c r="B348" s="156"/>
      <c r="C348" s="156"/>
      <c r="D348" s="156"/>
      <c r="E348" s="392"/>
      <c r="F348" s="392"/>
      <c r="G348" s="392"/>
      <c r="H348" s="392"/>
      <c r="I348" s="392"/>
      <c r="J348" s="145"/>
      <c r="K348" s="392"/>
      <c r="L348" s="392"/>
      <c r="M348" s="392"/>
      <c r="N348" s="392"/>
      <c r="O348" s="392"/>
      <c r="P348" s="392"/>
      <c r="Q348" s="392"/>
      <c r="R348" s="392"/>
      <c r="S348" s="392"/>
      <c r="T348" s="392"/>
      <c r="U348" s="392"/>
      <c r="V348" s="392"/>
      <c r="W348" s="392"/>
      <c r="X348" s="392"/>
      <c r="Y348" s="392"/>
      <c r="Z348" s="392"/>
      <c r="AA348" s="392"/>
      <c r="AB348" s="392"/>
      <c r="AC348" s="392"/>
      <c r="AD348" s="392"/>
      <c r="AE348" s="392"/>
      <c r="AF348" s="392"/>
    </row>
    <row r="349" ht="15.75" customHeight="1">
      <c r="A349" s="216"/>
      <c r="B349" s="156"/>
      <c r="C349" s="156"/>
      <c r="D349" s="156"/>
      <c r="E349" s="392"/>
      <c r="F349" s="392"/>
      <c r="G349" s="392"/>
      <c r="H349" s="392"/>
      <c r="I349" s="392"/>
      <c r="J349" s="145"/>
      <c r="K349" s="392"/>
      <c r="L349" s="392"/>
      <c r="M349" s="392"/>
      <c r="N349" s="392"/>
      <c r="O349" s="392"/>
      <c r="P349" s="392"/>
      <c r="Q349" s="392"/>
      <c r="R349" s="392"/>
      <c r="S349" s="392"/>
      <c r="T349" s="392"/>
      <c r="U349" s="392"/>
      <c r="V349" s="392"/>
      <c r="W349" s="392"/>
      <c r="X349" s="392"/>
      <c r="Y349" s="392"/>
      <c r="Z349" s="392"/>
      <c r="AA349" s="392"/>
      <c r="AB349" s="392"/>
      <c r="AC349" s="392"/>
      <c r="AD349" s="392"/>
      <c r="AE349" s="392"/>
      <c r="AF349" s="392"/>
    </row>
    <row r="350" ht="15.75" customHeight="1">
      <c r="A350" s="216"/>
      <c r="B350" s="156"/>
      <c r="C350" s="156"/>
      <c r="D350" s="156"/>
      <c r="E350" s="392"/>
      <c r="F350" s="392"/>
      <c r="G350" s="392"/>
      <c r="H350" s="392"/>
      <c r="I350" s="392"/>
      <c r="J350" s="145"/>
      <c r="K350" s="392"/>
      <c r="L350" s="392"/>
      <c r="M350" s="392"/>
      <c r="N350" s="392"/>
      <c r="O350" s="392"/>
      <c r="P350" s="392"/>
      <c r="Q350" s="392"/>
      <c r="R350" s="392"/>
      <c r="S350" s="392"/>
      <c r="T350" s="392"/>
      <c r="U350" s="392"/>
      <c r="V350" s="392"/>
      <c r="W350" s="392"/>
      <c r="X350" s="392"/>
      <c r="Y350" s="392"/>
      <c r="Z350" s="392"/>
      <c r="AA350" s="392"/>
      <c r="AB350" s="392"/>
      <c r="AC350" s="392"/>
      <c r="AD350" s="392"/>
      <c r="AE350" s="392"/>
      <c r="AF350" s="392"/>
    </row>
    <row r="351" ht="15.75" customHeight="1">
      <c r="A351" s="216"/>
      <c r="B351" s="156"/>
      <c r="C351" s="156"/>
      <c r="D351" s="156"/>
      <c r="E351" s="392"/>
      <c r="F351" s="392"/>
      <c r="G351" s="392"/>
      <c r="H351" s="392"/>
      <c r="I351" s="392"/>
      <c r="J351" s="145"/>
      <c r="K351" s="392"/>
      <c r="L351" s="392"/>
      <c r="M351" s="392"/>
      <c r="N351" s="392"/>
      <c r="O351" s="392"/>
      <c r="P351" s="392"/>
      <c r="Q351" s="392"/>
      <c r="R351" s="392"/>
      <c r="S351" s="392"/>
      <c r="T351" s="392"/>
      <c r="U351" s="392"/>
      <c r="V351" s="392"/>
      <c r="W351" s="392"/>
      <c r="X351" s="392"/>
      <c r="Y351" s="392"/>
      <c r="Z351" s="392"/>
      <c r="AA351" s="392"/>
      <c r="AB351" s="392"/>
      <c r="AC351" s="392"/>
      <c r="AD351" s="392"/>
      <c r="AE351" s="392"/>
      <c r="AF351" s="392"/>
    </row>
    <row r="352" ht="15.75" customHeight="1">
      <c r="A352" s="216"/>
      <c r="B352" s="156"/>
      <c r="C352" s="156"/>
      <c r="D352" s="156"/>
      <c r="E352" s="392"/>
      <c r="F352" s="392"/>
      <c r="G352" s="392"/>
      <c r="H352" s="392"/>
      <c r="I352" s="392"/>
      <c r="J352" s="145"/>
      <c r="K352" s="392"/>
      <c r="L352" s="392"/>
      <c r="M352" s="392"/>
      <c r="N352" s="392"/>
      <c r="O352" s="392"/>
      <c r="P352" s="392"/>
      <c r="Q352" s="392"/>
      <c r="R352" s="392"/>
      <c r="S352" s="392"/>
      <c r="T352" s="392"/>
      <c r="U352" s="392"/>
      <c r="V352" s="392"/>
      <c r="W352" s="392"/>
      <c r="X352" s="392"/>
      <c r="Y352" s="392"/>
      <c r="Z352" s="392"/>
      <c r="AA352" s="392"/>
      <c r="AB352" s="392"/>
      <c r="AC352" s="392"/>
      <c r="AD352" s="392"/>
      <c r="AE352" s="392"/>
      <c r="AF352" s="392"/>
    </row>
    <row r="353" ht="15.75" customHeight="1">
      <c r="A353" s="216"/>
      <c r="B353" s="156"/>
      <c r="C353" s="156"/>
      <c r="D353" s="156"/>
      <c r="E353" s="392"/>
      <c r="F353" s="392"/>
      <c r="G353" s="392"/>
      <c r="H353" s="392"/>
      <c r="I353" s="392"/>
      <c r="J353" s="145"/>
      <c r="K353" s="392"/>
      <c r="L353" s="392"/>
      <c r="M353" s="392"/>
      <c r="N353" s="392"/>
      <c r="O353" s="392"/>
      <c r="P353" s="392"/>
      <c r="Q353" s="392"/>
      <c r="R353" s="392"/>
      <c r="S353" s="392"/>
      <c r="T353" s="392"/>
      <c r="U353" s="392"/>
      <c r="V353" s="392"/>
      <c r="W353" s="392"/>
      <c r="X353" s="392"/>
      <c r="Y353" s="392"/>
      <c r="Z353" s="392"/>
      <c r="AA353" s="392"/>
      <c r="AB353" s="392"/>
      <c r="AC353" s="392"/>
      <c r="AD353" s="392"/>
      <c r="AE353" s="392"/>
      <c r="AF353" s="392"/>
    </row>
    <row r="354" ht="15.75" customHeight="1">
      <c r="A354" s="216"/>
      <c r="B354" s="156"/>
      <c r="C354" s="156"/>
      <c r="D354" s="156"/>
      <c r="E354" s="392"/>
      <c r="F354" s="392"/>
      <c r="G354" s="392"/>
      <c r="H354" s="392"/>
      <c r="I354" s="392"/>
      <c r="J354" s="145"/>
      <c r="K354" s="392"/>
      <c r="L354" s="392"/>
      <c r="M354" s="392"/>
      <c r="N354" s="392"/>
      <c r="O354" s="392"/>
      <c r="P354" s="392"/>
      <c r="Q354" s="392"/>
      <c r="R354" s="392"/>
      <c r="S354" s="392"/>
      <c r="T354" s="392"/>
      <c r="U354" s="392"/>
      <c r="V354" s="392"/>
      <c r="W354" s="392"/>
      <c r="X354" s="392"/>
      <c r="Y354" s="392"/>
      <c r="Z354" s="392"/>
      <c r="AA354" s="392"/>
      <c r="AB354" s="392"/>
      <c r="AC354" s="392"/>
      <c r="AD354" s="392"/>
      <c r="AE354" s="392"/>
      <c r="AF354" s="392"/>
    </row>
    <row r="355" ht="15.75" customHeight="1">
      <c r="A355" s="216"/>
      <c r="B355" s="156"/>
      <c r="C355" s="156"/>
      <c r="D355" s="156"/>
      <c r="E355" s="392"/>
      <c r="F355" s="392"/>
      <c r="G355" s="392"/>
      <c r="H355" s="392"/>
      <c r="I355" s="392"/>
      <c r="J355" s="145"/>
      <c r="K355" s="392"/>
      <c r="L355" s="392"/>
      <c r="M355" s="392"/>
      <c r="N355" s="392"/>
      <c r="O355" s="392"/>
      <c r="P355" s="392"/>
      <c r="Q355" s="392"/>
      <c r="R355" s="392"/>
      <c r="S355" s="392"/>
      <c r="T355" s="392"/>
      <c r="U355" s="392"/>
      <c r="V355" s="392"/>
      <c r="W355" s="392"/>
      <c r="X355" s="392"/>
      <c r="Y355" s="392"/>
      <c r="Z355" s="392"/>
      <c r="AA355" s="392"/>
      <c r="AB355" s="392"/>
      <c r="AC355" s="392"/>
      <c r="AD355" s="392"/>
      <c r="AE355" s="392"/>
      <c r="AF355" s="392"/>
    </row>
    <row r="356" ht="15.75" customHeight="1">
      <c r="A356" s="216"/>
      <c r="B356" s="156"/>
      <c r="C356" s="156"/>
      <c r="D356" s="156"/>
      <c r="E356" s="392"/>
      <c r="F356" s="392"/>
      <c r="G356" s="392"/>
      <c r="H356" s="392"/>
      <c r="I356" s="392"/>
      <c r="J356" s="145"/>
      <c r="K356" s="392"/>
      <c r="L356" s="392"/>
      <c r="M356" s="392"/>
      <c r="N356" s="392"/>
      <c r="O356" s="392"/>
      <c r="P356" s="392"/>
      <c r="Q356" s="392"/>
      <c r="R356" s="392"/>
      <c r="S356" s="392"/>
      <c r="T356" s="392"/>
      <c r="U356" s="392"/>
      <c r="V356" s="392"/>
      <c r="W356" s="392"/>
      <c r="X356" s="392"/>
      <c r="Y356" s="392"/>
      <c r="Z356" s="392"/>
      <c r="AA356" s="392"/>
      <c r="AB356" s="392"/>
      <c r="AC356" s="392"/>
      <c r="AD356" s="392"/>
      <c r="AE356" s="392"/>
      <c r="AF356" s="392"/>
    </row>
    <row r="357" ht="15.75" customHeight="1">
      <c r="A357" s="216"/>
      <c r="B357" s="156"/>
      <c r="C357" s="156"/>
      <c r="D357" s="156"/>
      <c r="E357" s="392"/>
      <c r="F357" s="392"/>
      <c r="G357" s="392"/>
      <c r="H357" s="392"/>
      <c r="I357" s="392"/>
      <c r="J357" s="145"/>
      <c r="K357" s="392"/>
      <c r="L357" s="392"/>
      <c r="M357" s="392"/>
      <c r="N357" s="392"/>
      <c r="O357" s="392"/>
      <c r="P357" s="392"/>
      <c r="Q357" s="392"/>
      <c r="R357" s="392"/>
      <c r="S357" s="392"/>
      <c r="T357" s="392"/>
      <c r="U357" s="392"/>
      <c r="V357" s="392"/>
      <c r="W357" s="392"/>
      <c r="X357" s="392"/>
      <c r="Y357" s="392"/>
      <c r="Z357" s="392"/>
      <c r="AA357" s="392"/>
      <c r="AB357" s="392"/>
      <c r="AC357" s="392"/>
      <c r="AD357" s="392"/>
      <c r="AE357" s="392"/>
      <c r="AF357" s="392"/>
    </row>
    <row r="358" ht="15.75" customHeight="1">
      <c r="A358" s="216"/>
      <c r="B358" s="156"/>
      <c r="C358" s="156"/>
      <c r="D358" s="156"/>
      <c r="E358" s="392"/>
      <c r="F358" s="392"/>
      <c r="G358" s="392"/>
      <c r="H358" s="392"/>
      <c r="I358" s="392"/>
      <c r="J358" s="145"/>
      <c r="K358" s="392"/>
      <c r="L358" s="392"/>
      <c r="M358" s="392"/>
      <c r="N358" s="392"/>
      <c r="O358" s="392"/>
      <c r="P358" s="392"/>
      <c r="Q358" s="392"/>
      <c r="R358" s="392"/>
      <c r="S358" s="392"/>
      <c r="T358" s="392"/>
      <c r="U358" s="392"/>
      <c r="V358" s="392"/>
      <c r="W358" s="392"/>
      <c r="X358" s="392"/>
      <c r="Y358" s="392"/>
      <c r="Z358" s="392"/>
      <c r="AA358" s="392"/>
      <c r="AB358" s="392"/>
      <c r="AC358" s="392"/>
      <c r="AD358" s="392"/>
      <c r="AE358" s="392"/>
      <c r="AF358" s="392"/>
    </row>
    <row r="359" ht="15.75" customHeight="1">
      <c r="A359" s="216"/>
      <c r="B359" s="156"/>
      <c r="C359" s="156"/>
      <c r="D359" s="156"/>
      <c r="E359" s="392"/>
      <c r="F359" s="392"/>
      <c r="G359" s="392"/>
      <c r="H359" s="392"/>
      <c r="I359" s="392"/>
      <c r="J359" s="145"/>
      <c r="K359" s="392"/>
      <c r="L359" s="392"/>
      <c r="M359" s="392"/>
      <c r="N359" s="392"/>
      <c r="O359" s="392"/>
      <c r="P359" s="392"/>
      <c r="Q359" s="392"/>
      <c r="R359" s="392"/>
      <c r="S359" s="392"/>
      <c r="T359" s="392"/>
      <c r="U359" s="392"/>
      <c r="V359" s="392"/>
      <c r="W359" s="392"/>
      <c r="X359" s="392"/>
      <c r="Y359" s="392"/>
      <c r="Z359" s="392"/>
      <c r="AA359" s="392"/>
      <c r="AB359" s="392"/>
      <c r="AC359" s="392"/>
      <c r="AD359" s="392"/>
      <c r="AE359" s="392"/>
      <c r="AF359" s="392"/>
    </row>
    <row r="360" ht="15.75" customHeight="1">
      <c r="A360" s="216"/>
      <c r="B360" s="156"/>
      <c r="C360" s="156"/>
      <c r="D360" s="156"/>
      <c r="E360" s="392"/>
      <c r="F360" s="392"/>
      <c r="G360" s="392"/>
      <c r="H360" s="392"/>
      <c r="I360" s="392"/>
      <c r="J360" s="145"/>
      <c r="K360" s="392"/>
      <c r="L360" s="392"/>
      <c r="M360" s="392"/>
      <c r="N360" s="392"/>
      <c r="O360" s="392"/>
      <c r="P360" s="392"/>
      <c r="Q360" s="392"/>
      <c r="R360" s="392"/>
      <c r="S360" s="392"/>
      <c r="T360" s="392"/>
      <c r="U360" s="392"/>
      <c r="V360" s="392"/>
      <c r="W360" s="392"/>
      <c r="X360" s="392"/>
      <c r="Y360" s="392"/>
      <c r="Z360" s="392"/>
      <c r="AA360" s="392"/>
      <c r="AB360" s="392"/>
      <c r="AC360" s="392"/>
      <c r="AD360" s="392"/>
      <c r="AE360" s="392"/>
      <c r="AF360" s="392"/>
    </row>
    <row r="361" ht="15.75" customHeight="1">
      <c r="A361" s="216"/>
      <c r="B361" s="156"/>
      <c r="C361" s="156"/>
      <c r="D361" s="156"/>
      <c r="E361" s="392"/>
      <c r="F361" s="392"/>
      <c r="G361" s="392"/>
      <c r="H361" s="392"/>
      <c r="I361" s="392"/>
      <c r="J361" s="145"/>
      <c r="K361" s="392"/>
      <c r="L361" s="392"/>
      <c r="M361" s="392"/>
      <c r="N361" s="392"/>
      <c r="O361" s="392"/>
      <c r="P361" s="392"/>
      <c r="Q361" s="392"/>
      <c r="R361" s="392"/>
      <c r="S361" s="392"/>
      <c r="T361" s="392"/>
      <c r="U361" s="392"/>
      <c r="V361" s="392"/>
      <c r="W361" s="392"/>
      <c r="X361" s="392"/>
      <c r="Y361" s="392"/>
      <c r="Z361" s="392"/>
      <c r="AA361" s="392"/>
      <c r="AB361" s="392"/>
      <c r="AC361" s="392"/>
      <c r="AD361" s="392"/>
      <c r="AE361" s="392"/>
      <c r="AF361" s="392"/>
    </row>
    <row r="362" ht="15.75" customHeight="1">
      <c r="A362" s="216"/>
      <c r="B362" s="156"/>
      <c r="C362" s="156"/>
      <c r="D362" s="156"/>
      <c r="E362" s="392"/>
      <c r="F362" s="392"/>
      <c r="G362" s="392"/>
      <c r="H362" s="392"/>
      <c r="I362" s="392"/>
      <c r="J362" s="145"/>
      <c r="K362" s="392"/>
      <c r="L362" s="392"/>
      <c r="M362" s="392"/>
      <c r="N362" s="392"/>
      <c r="O362" s="392"/>
      <c r="P362" s="392"/>
      <c r="Q362" s="392"/>
      <c r="R362" s="392"/>
      <c r="S362" s="392"/>
      <c r="T362" s="392"/>
      <c r="U362" s="392"/>
      <c r="V362" s="392"/>
      <c r="W362" s="392"/>
      <c r="X362" s="392"/>
      <c r="Y362" s="392"/>
      <c r="Z362" s="392"/>
      <c r="AA362" s="392"/>
      <c r="AB362" s="392"/>
      <c r="AC362" s="392"/>
      <c r="AD362" s="392"/>
      <c r="AE362" s="392"/>
      <c r="AF362" s="392"/>
    </row>
    <row r="363" ht="15.75" customHeight="1">
      <c r="A363" s="216"/>
      <c r="B363" s="156"/>
      <c r="C363" s="156"/>
      <c r="D363" s="156"/>
      <c r="E363" s="392"/>
      <c r="F363" s="392"/>
      <c r="G363" s="392"/>
      <c r="H363" s="392"/>
      <c r="I363" s="392"/>
      <c r="J363" s="145"/>
      <c r="K363" s="392"/>
      <c r="L363" s="392"/>
      <c r="M363" s="392"/>
      <c r="N363" s="392"/>
      <c r="O363" s="392"/>
      <c r="P363" s="392"/>
      <c r="Q363" s="392"/>
      <c r="R363" s="392"/>
      <c r="S363" s="392"/>
      <c r="T363" s="392"/>
      <c r="U363" s="392"/>
      <c r="V363" s="392"/>
      <c r="W363" s="392"/>
      <c r="X363" s="392"/>
      <c r="Y363" s="392"/>
      <c r="Z363" s="392"/>
      <c r="AA363" s="392"/>
      <c r="AB363" s="392"/>
      <c r="AC363" s="392"/>
      <c r="AD363" s="392"/>
      <c r="AE363" s="392"/>
      <c r="AF363" s="392"/>
    </row>
    <row r="364" ht="15.75" customHeight="1">
      <c r="A364" s="216"/>
      <c r="B364" s="156"/>
      <c r="C364" s="156"/>
      <c r="D364" s="156"/>
      <c r="E364" s="392"/>
      <c r="F364" s="392"/>
      <c r="G364" s="392"/>
      <c r="H364" s="392"/>
      <c r="I364" s="392"/>
      <c r="J364" s="145"/>
      <c r="K364" s="392"/>
      <c r="L364" s="392"/>
      <c r="M364" s="392"/>
      <c r="N364" s="392"/>
      <c r="O364" s="392"/>
      <c r="P364" s="392"/>
      <c r="Q364" s="392"/>
      <c r="R364" s="392"/>
      <c r="S364" s="392"/>
      <c r="T364" s="392"/>
      <c r="U364" s="392"/>
      <c r="V364" s="392"/>
      <c r="W364" s="392"/>
      <c r="X364" s="392"/>
      <c r="Y364" s="392"/>
      <c r="Z364" s="392"/>
      <c r="AA364" s="392"/>
      <c r="AB364" s="392"/>
      <c r="AC364" s="392"/>
      <c r="AD364" s="392"/>
      <c r="AE364" s="392"/>
      <c r="AF364" s="392"/>
    </row>
    <row r="365" ht="15.75" customHeight="1">
      <c r="A365" s="216"/>
      <c r="B365" s="156"/>
      <c r="C365" s="156"/>
      <c r="D365" s="156"/>
      <c r="E365" s="392"/>
      <c r="F365" s="392"/>
      <c r="G365" s="392"/>
      <c r="H365" s="392"/>
      <c r="I365" s="392"/>
      <c r="J365" s="145"/>
      <c r="K365" s="392"/>
      <c r="L365" s="392"/>
      <c r="M365" s="392"/>
      <c r="N365" s="392"/>
      <c r="O365" s="392"/>
      <c r="P365" s="392"/>
      <c r="Q365" s="392"/>
      <c r="R365" s="392"/>
      <c r="S365" s="392"/>
      <c r="T365" s="392"/>
      <c r="U365" s="392"/>
      <c r="V365" s="392"/>
      <c r="W365" s="392"/>
      <c r="X365" s="392"/>
      <c r="Y365" s="392"/>
      <c r="Z365" s="392"/>
      <c r="AA365" s="392"/>
      <c r="AB365" s="392"/>
      <c r="AC365" s="392"/>
      <c r="AD365" s="392"/>
      <c r="AE365" s="392"/>
      <c r="AF365" s="392"/>
    </row>
    <row r="366" ht="15.75" customHeight="1">
      <c r="A366" s="216"/>
      <c r="B366" s="156"/>
      <c r="C366" s="156"/>
      <c r="D366" s="156"/>
      <c r="E366" s="392"/>
      <c r="F366" s="392"/>
      <c r="G366" s="392"/>
      <c r="H366" s="392"/>
      <c r="I366" s="392"/>
      <c r="J366" s="145"/>
      <c r="K366" s="392"/>
      <c r="L366" s="392"/>
      <c r="M366" s="392"/>
      <c r="N366" s="392"/>
      <c r="O366" s="392"/>
      <c r="P366" s="392"/>
      <c r="Q366" s="392"/>
      <c r="R366" s="392"/>
      <c r="S366" s="392"/>
      <c r="T366" s="392"/>
      <c r="U366" s="392"/>
      <c r="V366" s="392"/>
      <c r="W366" s="392"/>
      <c r="X366" s="392"/>
      <c r="Y366" s="392"/>
      <c r="Z366" s="392"/>
      <c r="AA366" s="392"/>
      <c r="AB366" s="392"/>
      <c r="AC366" s="392"/>
      <c r="AD366" s="392"/>
      <c r="AE366" s="392"/>
      <c r="AF366" s="392"/>
    </row>
    <row r="367" ht="15.75" customHeight="1">
      <c r="A367" s="216"/>
      <c r="B367" s="156"/>
      <c r="C367" s="156"/>
      <c r="D367" s="156"/>
      <c r="E367" s="392"/>
      <c r="F367" s="392"/>
      <c r="G367" s="392"/>
      <c r="H367" s="392"/>
      <c r="I367" s="392"/>
      <c r="J367" s="145"/>
      <c r="K367" s="392"/>
      <c r="L367" s="392"/>
      <c r="M367" s="392"/>
      <c r="N367" s="392"/>
      <c r="O367" s="392"/>
      <c r="P367" s="392"/>
      <c r="Q367" s="392"/>
      <c r="R367" s="392"/>
      <c r="S367" s="392"/>
      <c r="T367" s="392"/>
      <c r="U367" s="392"/>
      <c r="V367" s="392"/>
      <c r="W367" s="392"/>
      <c r="X367" s="392"/>
      <c r="Y367" s="392"/>
      <c r="Z367" s="392"/>
      <c r="AA367" s="392"/>
      <c r="AB367" s="392"/>
      <c r="AC367" s="392"/>
      <c r="AD367" s="392"/>
      <c r="AE367" s="392"/>
      <c r="AF367" s="392"/>
    </row>
    <row r="368" ht="15.75" customHeight="1">
      <c r="A368" s="216"/>
      <c r="B368" s="156"/>
      <c r="C368" s="156"/>
      <c r="D368" s="156"/>
      <c r="E368" s="392"/>
      <c r="F368" s="392"/>
      <c r="G368" s="392"/>
      <c r="H368" s="392"/>
      <c r="I368" s="392"/>
      <c r="J368" s="145"/>
      <c r="K368" s="392"/>
      <c r="L368" s="392"/>
      <c r="M368" s="392"/>
      <c r="N368" s="392"/>
      <c r="O368" s="392"/>
      <c r="P368" s="392"/>
      <c r="Q368" s="392"/>
      <c r="R368" s="392"/>
      <c r="S368" s="392"/>
      <c r="T368" s="392"/>
      <c r="U368" s="392"/>
      <c r="V368" s="392"/>
      <c r="W368" s="392"/>
      <c r="X368" s="392"/>
      <c r="Y368" s="392"/>
      <c r="Z368" s="392"/>
      <c r="AA368" s="392"/>
      <c r="AB368" s="392"/>
      <c r="AC368" s="392"/>
      <c r="AD368" s="392"/>
      <c r="AE368" s="392"/>
      <c r="AF368" s="392"/>
    </row>
    <row r="369" ht="15.75" customHeight="1">
      <c r="A369" s="216"/>
      <c r="B369" s="156"/>
      <c r="C369" s="156"/>
      <c r="D369" s="156"/>
      <c r="E369" s="392"/>
      <c r="F369" s="392"/>
      <c r="G369" s="392"/>
      <c r="H369" s="392"/>
      <c r="I369" s="392"/>
      <c r="J369" s="145"/>
      <c r="K369" s="392"/>
      <c r="L369" s="392"/>
      <c r="M369" s="392"/>
      <c r="N369" s="392"/>
      <c r="O369" s="392"/>
      <c r="P369" s="392"/>
      <c r="Q369" s="392"/>
      <c r="R369" s="392"/>
      <c r="S369" s="392"/>
      <c r="T369" s="392"/>
      <c r="U369" s="392"/>
      <c r="V369" s="392"/>
      <c r="W369" s="392"/>
      <c r="X369" s="392"/>
      <c r="Y369" s="392"/>
      <c r="Z369" s="392"/>
      <c r="AA369" s="392"/>
      <c r="AB369" s="392"/>
      <c r="AC369" s="392"/>
      <c r="AD369" s="392"/>
      <c r="AE369" s="392"/>
      <c r="AF369" s="392"/>
    </row>
    <row r="370" ht="15.75" customHeight="1">
      <c r="A370" s="216"/>
      <c r="B370" s="156"/>
      <c r="C370" s="156"/>
      <c r="D370" s="156"/>
      <c r="E370" s="392"/>
      <c r="F370" s="392"/>
      <c r="G370" s="392"/>
      <c r="H370" s="392"/>
      <c r="I370" s="392"/>
      <c r="J370" s="145"/>
      <c r="K370" s="392"/>
      <c r="L370" s="392"/>
      <c r="M370" s="392"/>
      <c r="N370" s="392"/>
      <c r="O370" s="392"/>
      <c r="P370" s="392"/>
      <c r="Q370" s="392"/>
      <c r="R370" s="392"/>
      <c r="S370" s="392"/>
      <c r="T370" s="392"/>
      <c r="U370" s="392"/>
      <c r="V370" s="392"/>
      <c r="W370" s="392"/>
      <c r="X370" s="392"/>
      <c r="Y370" s="392"/>
      <c r="Z370" s="392"/>
      <c r="AA370" s="392"/>
      <c r="AB370" s="392"/>
      <c r="AC370" s="392"/>
      <c r="AD370" s="392"/>
      <c r="AE370" s="392"/>
      <c r="AF370" s="392"/>
    </row>
    <row r="371" ht="15.75" customHeight="1">
      <c r="A371" s="216"/>
      <c r="B371" s="156"/>
      <c r="C371" s="156"/>
      <c r="D371" s="156"/>
      <c r="E371" s="392"/>
      <c r="F371" s="392"/>
      <c r="G371" s="392"/>
      <c r="H371" s="392"/>
      <c r="I371" s="392"/>
      <c r="J371" s="145"/>
      <c r="K371" s="392"/>
      <c r="L371" s="392"/>
      <c r="M371" s="392"/>
      <c r="N371" s="392"/>
      <c r="O371" s="392"/>
      <c r="P371" s="392"/>
      <c r="Q371" s="392"/>
      <c r="R371" s="392"/>
      <c r="S371" s="392"/>
      <c r="T371" s="392"/>
      <c r="U371" s="392"/>
      <c r="V371" s="392"/>
      <c r="W371" s="392"/>
      <c r="X371" s="392"/>
      <c r="Y371" s="392"/>
      <c r="Z371" s="392"/>
      <c r="AA371" s="392"/>
      <c r="AB371" s="392"/>
      <c r="AC371" s="392"/>
      <c r="AD371" s="392"/>
      <c r="AE371" s="392"/>
      <c r="AF371" s="392"/>
    </row>
    <row r="372" ht="15.75" customHeight="1">
      <c r="A372" s="216"/>
      <c r="B372" s="156"/>
      <c r="C372" s="156"/>
      <c r="D372" s="156"/>
      <c r="E372" s="392"/>
      <c r="F372" s="392"/>
      <c r="G372" s="392"/>
      <c r="H372" s="392"/>
      <c r="I372" s="392"/>
      <c r="J372" s="145"/>
      <c r="K372" s="392"/>
      <c r="L372" s="392"/>
      <c r="M372" s="392"/>
      <c r="N372" s="392"/>
      <c r="O372" s="392"/>
      <c r="P372" s="392"/>
      <c r="Q372" s="392"/>
      <c r="R372" s="392"/>
      <c r="S372" s="392"/>
      <c r="T372" s="392"/>
      <c r="U372" s="392"/>
      <c r="V372" s="392"/>
      <c r="W372" s="392"/>
      <c r="X372" s="392"/>
      <c r="Y372" s="392"/>
      <c r="Z372" s="392"/>
      <c r="AA372" s="392"/>
      <c r="AB372" s="392"/>
      <c r="AC372" s="392"/>
      <c r="AD372" s="392"/>
      <c r="AE372" s="392"/>
      <c r="AF372" s="392"/>
    </row>
    <row r="373" ht="15.75" customHeight="1">
      <c r="A373" s="216"/>
      <c r="B373" s="156"/>
      <c r="C373" s="156"/>
      <c r="D373" s="156"/>
      <c r="E373" s="392"/>
      <c r="F373" s="392"/>
      <c r="G373" s="392"/>
      <c r="H373" s="392"/>
      <c r="I373" s="392"/>
      <c r="J373" s="145"/>
      <c r="K373" s="392"/>
      <c r="L373" s="392"/>
      <c r="M373" s="392"/>
      <c r="N373" s="392"/>
      <c r="O373" s="392"/>
      <c r="P373" s="392"/>
      <c r="Q373" s="392"/>
      <c r="R373" s="392"/>
      <c r="S373" s="392"/>
      <c r="T373" s="392"/>
      <c r="U373" s="392"/>
      <c r="V373" s="392"/>
      <c r="W373" s="392"/>
      <c r="X373" s="392"/>
      <c r="Y373" s="392"/>
      <c r="Z373" s="392"/>
      <c r="AA373" s="392"/>
      <c r="AB373" s="392"/>
      <c r="AC373" s="392"/>
      <c r="AD373" s="392"/>
      <c r="AE373" s="392"/>
      <c r="AF373" s="392"/>
    </row>
    <row r="374" ht="15.75" customHeight="1">
      <c r="A374" s="216"/>
      <c r="B374" s="156"/>
      <c r="C374" s="156"/>
      <c r="D374" s="156"/>
      <c r="E374" s="392"/>
      <c r="F374" s="392"/>
      <c r="G374" s="392"/>
      <c r="H374" s="392"/>
      <c r="I374" s="392"/>
      <c r="J374" s="145"/>
      <c r="K374" s="392"/>
      <c r="L374" s="392"/>
      <c r="M374" s="392"/>
      <c r="N374" s="392"/>
      <c r="O374" s="392"/>
      <c r="P374" s="392"/>
      <c r="Q374" s="392"/>
      <c r="R374" s="392"/>
      <c r="S374" s="392"/>
      <c r="T374" s="392"/>
      <c r="U374" s="392"/>
      <c r="V374" s="392"/>
      <c r="W374" s="392"/>
      <c r="X374" s="392"/>
      <c r="Y374" s="392"/>
      <c r="Z374" s="392"/>
      <c r="AA374" s="392"/>
      <c r="AB374" s="392"/>
      <c r="AC374" s="392"/>
      <c r="AD374" s="392"/>
      <c r="AE374" s="392"/>
      <c r="AF374" s="392"/>
    </row>
    <row r="375" ht="15.75" customHeight="1">
      <c r="A375" s="216"/>
      <c r="B375" s="156"/>
      <c r="C375" s="156"/>
      <c r="D375" s="156"/>
      <c r="E375" s="392"/>
      <c r="F375" s="392"/>
      <c r="G375" s="392"/>
      <c r="H375" s="392"/>
      <c r="I375" s="392"/>
      <c r="J375" s="145"/>
      <c r="K375" s="392"/>
      <c r="L375" s="392"/>
      <c r="M375" s="392"/>
      <c r="N375" s="392"/>
      <c r="O375" s="392"/>
      <c r="P375" s="392"/>
      <c r="Q375" s="392"/>
      <c r="R375" s="392"/>
      <c r="S375" s="392"/>
      <c r="T375" s="392"/>
      <c r="U375" s="392"/>
      <c r="V375" s="392"/>
      <c r="W375" s="392"/>
      <c r="X375" s="392"/>
      <c r="Y375" s="392"/>
      <c r="Z375" s="392"/>
      <c r="AA375" s="392"/>
      <c r="AB375" s="392"/>
      <c r="AC375" s="392"/>
      <c r="AD375" s="392"/>
      <c r="AE375" s="392"/>
      <c r="AF375" s="392"/>
    </row>
    <row r="376" ht="15.75" customHeight="1">
      <c r="A376" s="216"/>
      <c r="B376" s="156"/>
      <c r="C376" s="156"/>
      <c r="D376" s="156"/>
      <c r="E376" s="392"/>
      <c r="F376" s="392"/>
      <c r="G376" s="392"/>
      <c r="H376" s="392"/>
      <c r="I376" s="392"/>
      <c r="J376" s="145"/>
      <c r="K376" s="392"/>
      <c r="L376" s="392"/>
      <c r="M376" s="392"/>
      <c r="N376" s="392"/>
      <c r="O376" s="392"/>
      <c r="P376" s="392"/>
      <c r="Q376" s="392"/>
      <c r="R376" s="392"/>
      <c r="S376" s="392"/>
      <c r="T376" s="392"/>
      <c r="U376" s="392"/>
      <c r="V376" s="392"/>
      <c r="W376" s="392"/>
      <c r="X376" s="392"/>
      <c r="Y376" s="392"/>
      <c r="Z376" s="392"/>
      <c r="AA376" s="392"/>
      <c r="AB376" s="392"/>
      <c r="AC376" s="392"/>
      <c r="AD376" s="392"/>
      <c r="AE376" s="392"/>
      <c r="AF376" s="392"/>
    </row>
    <row r="377" ht="15.75" customHeight="1">
      <c r="A377" s="216"/>
      <c r="B377" s="156"/>
      <c r="C377" s="156"/>
      <c r="D377" s="156"/>
      <c r="E377" s="392"/>
      <c r="F377" s="392"/>
      <c r="G377" s="392"/>
      <c r="H377" s="392"/>
      <c r="I377" s="392"/>
      <c r="J377" s="145"/>
      <c r="K377" s="392"/>
      <c r="L377" s="392"/>
      <c r="M377" s="392"/>
      <c r="N377" s="392"/>
      <c r="O377" s="392"/>
      <c r="P377" s="392"/>
      <c r="Q377" s="392"/>
      <c r="R377" s="392"/>
      <c r="S377" s="392"/>
      <c r="T377" s="392"/>
      <c r="U377" s="392"/>
      <c r="V377" s="392"/>
      <c r="W377" s="392"/>
      <c r="X377" s="392"/>
      <c r="Y377" s="392"/>
      <c r="Z377" s="392"/>
      <c r="AA377" s="392"/>
      <c r="AB377" s="392"/>
      <c r="AC377" s="392"/>
      <c r="AD377" s="392"/>
      <c r="AE377" s="392"/>
      <c r="AF377" s="392"/>
    </row>
    <row r="378" ht="15.75" customHeight="1">
      <c r="A378" s="216"/>
      <c r="B378" s="156"/>
      <c r="C378" s="156"/>
      <c r="D378" s="156"/>
      <c r="E378" s="392"/>
      <c r="F378" s="392"/>
      <c r="G378" s="392"/>
      <c r="H378" s="392"/>
      <c r="I378" s="392"/>
      <c r="J378" s="145"/>
      <c r="K378" s="392"/>
      <c r="L378" s="392"/>
      <c r="M378" s="392"/>
      <c r="N378" s="392"/>
      <c r="O378" s="392"/>
      <c r="P378" s="392"/>
      <c r="Q378" s="392"/>
      <c r="R378" s="392"/>
      <c r="S378" s="392"/>
      <c r="T378" s="392"/>
      <c r="U378" s="392"/>
      <c r="V378" s="392"/>
      <c r="W378" s="392"/>
      <c r="X378" s="392"/>
      <c r="Y378" s="392"/>
      <c r="Z378" s="392"/>
      <c r="AA378" s="392"/>
      <c r="AB378" s="392"/>
      <c r="AC378" s="392"/>
      <c r="AD378" s="392"/>
      <c r="AE378" s="392"/>
      <c r="AF378" s="392"/>
    </row>
    <row r="379" ht="15.75" customHeight="1">
      <c r="A379" s="216"/>
      <c r="B379" s="156"/>
      <c r="C379" s="156"/>
      <c r="D379" s="156"/>
      <c r="E379" s="392"/>
      <c r="F379" s="392"/>
      <c r="G379" s="392"/>
      <c r="H379" s="392"/>
      <c r="I379" s="392"/>
      <c r="J379" s="145"/>
      <c r="K379" s="392"/>
      <c r="L379" s="392"/>
      <c r="M379" s="392"/>
      <c r="N379" s="392"/>
      <c r="O379" s="392"/>
      <c r="P379" s="392"/>
      <c r="Q379" s="392"/>
      <c r="R379" s="392"/>
      <c r="S379" s="392"/>
      <c r="T379" s="392"/>
      <c r="U379" s="392"/>
      <c r="V379" s="392"/>
      <c r="W379" s="392"/>
      <c r="X379" s="392"/>
      <c r="Y379" s="392"/>
      <c r="Z379" s="392"/>
      <c r="AA379" s="392"/>
      <c r="AB379" s="392"/>
      <c r="AC379" s="392"/>
      <c r="AD379" s="392"/>
      <c r="AE379" s="392"/>
      <c r="AF379" s="392"/>
    </row>
    <row r="380" ht="15.75" customHeight="1">
      <c r="A380" s="216"/>
      <c r="B380" s="156"/>
      <c r="C380" s="156"/>
      <c r="D380" s="156"/>
      <c r="E380" s="392"/>
      <c r="F380" s="392"/>
      <c r="G380" s="392"/>
      <c r="H380" s="392"/>
      <c r="I380" s="392"/>
      <c r="J380" s="145"/>
      <c r="K380" s="392"/>
      <c r="L380" s="392"/>
      <c r="M380" s="392"/>
      <c r="N380" s="392"/>
      <c r="O380" s="392"/>
      <c r="P380" s="392"/>
      <c r="Q380" s="392"/>
      <c r="R380" s="392"/>
      <c r="S380" s="392"/>
      <c r="T380" s="392"/>
      <c r="U380" s="392"/>
      <c r="V380" s="392"/>
      <c r="W380" s="392"/>
      <c r="X380" s="392"/>
      <c r="Y380" s="392"/>
      <c r="Z380" s="392"/>
      <c r="AA380" s="392"/>
      <c r="AB380" s="392"/>
      <c r="AC380" s="392"/>
      <c r="AD380" s="392"/>
      <c r="AE380" s="392"/>
      <c r="AF380" s="392"/>
    </row>
    <row r="381" ht="15.75" customHeight="1">
      <c r="A381" s="216"/>
      <c r="B381" s="156"/>
      <c r="C381" s="156"/>
      <c r="D381" s="156"/>
      <c r="E381" s="392"/>
      <c r="F381" s="392"/>
      <c r="G381" s="392"/>
      <c r="H381" s="392"/>
      <c r="I381" s="392"/>
      <c r="J381" s="145"/>
      <c r="K381" s="392"/>
      <c r="L381" s="392"/>
      <c r="M381" s="392"/>
      <c r="N381" s="392"/>
      <c r="O381" s="392"/>
      <c r="P381" s="392"/>
      <c r="Q381" s="392"/>
      <c r="R381" s="392"/>
      <c r="S381" s="392"/>
      <c r="T381" s="392"/>
      <c r="U381" s="392"/>
      <c r="V381" s="392"/>
      <c r="W381" s="392"/>
      <c r="X381" s="392"/>
      <c r="Y381" s="392"/>
      <c r="Z381" s="392"/>
      <c r="AA381" s="392"/>
      <c r="AB381" s="392"/>
      <c r="AC381" s="392"/>
      <c r="AD381" s="392"/>
      <c r="AE381" s="392"/>
      <c r="AF381" s="392"/>
    </row>
    <row r="382" ht="15.75" customHeight="1">
      <c r="A382" s="216"/>
      <c r="B382" s="156"/>
      <c r="C382" s="156"/>
      <c r="D382" s="156"/>
      <c r="E382" s="392"/>
      <c r="F382" s="392"/>
      <c r="G382" s="392"/>
      <c r="H382" s="392"/>
      <c r="I382" s="392"/>
      <c r="J382" s="145"/>
      <c r="K382" s="392"/>
      <c r="L382" s="392"/>
      <c r="M382" s="392"/>
      <c r="N382" s="392"/>
      <c r="O382" s="392"/>
      <c r="P382" s="392"/>
      <c r="Q382" s="392"/>
      <c r="R382" s="392"/>
      <c r="S382" s="392"/>
      <c r="T382" s="392"/>
      <c r="U382" s="392"/>
      <c r="V382" s="392"/>
      <c r="W382" s="392"/>
      <c r="X382" s="392"/>
      <c r="Y382" s="392"/>
      <c r="Z382" s="392"/>
      <c r="AA382" s="392"/>
      <c r="AB382" s="392"/>
      <c r="AC382" s="392"/>
      <c r="AD382" s="392"/>
      <c r="AE382" s="392"/>
      <c r="AF382" s="392"/>
    </row>
    <row r="383" ht="15.75" customHeight="1">
      <c r="A383" s="216"/>
      <c r="B383" s="156"/>
      <c r="C383" s="156"/>
      <c r="D383" s="156"/>
      <c r="E383" s="392"/>
      <c r="F383" s="392"/>
      <c r="G383" s="392"/>
      <c r="H383" s="392"/>
      <c r="I383" s="392"/>
      <c r="J383" s="145"/>
      <c r="K383" s="392"/>
      <c r="L383" s="392"/>
      <c r="M383" s="392"/>
      <c r="N383" s="392"/>
      <c r="O383" s="392"/>
      <c r="P383" s="392"/>
      <c r="Q383" s="392"/>
      <c r="R383" s="392"/>
      <c r="S383" s="392"/>
      <c r="T383" s="392"/>
      <c r="U383" s="392"/>
      <c r="V383" s="392"/>
      <c r="W383" s="392"/>
      <c r="X383" s="392"/>
      <c r="Y383" s="392"/>
      <c r="Z383" s="392"/>
      <c r="AA383" s="392"/>
      <c r="AB383" s="392"/>
      <c r="AC383" s="392"/>
      <c r="AD383" s="392"/>
      <c r="AE383" s="392"/>
      <c r="AF383" s="392"/>
    </row>
    <row r="384" ht="15.75" customHeight="1">
      <c r="A384" s="216"/>
      <c r="B384" s="156"/>
      <c r="C384" s="156"/>
      <c r="D384" s="156"/>
      <c r="E384" s="392"/>
      <c r="F384" s="392"/>
      <c r="G384" s="392"/>
      <c r="H384" s="392"/>
      <c r="I384" s="392"/>
      <c r="J384" s="145"/>
      <c r="K384" s="392"/>
      <c r="L384" s="392"/>
      <c r="M384" s="392"/>
      <c r="N384" s="392"/>
      <c r="O384" s="392"/>
      <c r="P384" s="392"/>
      <c r="Q384" s="392"/>
      <c r="R384" s="392"/>
      <c r="S384" s="392"/>
      <c r="T384" s="392"/>
      <c r="U384" s="392"/>
      <c r="V384" s="392"/>
      <c r="W384" s="392"/>
      <c r="X384" s="392"/>
      <c r="Y384" s="392"/>
      <c r="Z384" s="392"/>
      <c r="AA384" s="392"/>
      <c r="AB384" s="392"/>
      <c r="AC384" s="392"/>
      <c r="AD384" s="392"/>
      <c r="AE384" s="392"/>
      <c r="AF384" s="392"/>
    </row>
    <row r="385" ht="15.75" customHeight="1">
      <c r="A385" s="216"/>
      <c r="B385" s="156"/>
      <c r="C385" s="156"/>
      <c r="D385" s="156"/>
      <c r="E385" s="392"/>
      <c r="F385" s="392"/>
      <c r="G385" s="392"/>
      <c r="H385" s="392"/>
      <c r="I385" s="392"/>
      <c r="J385" s="145"/>
      <c r="K385" s="392"/>
      <c r="L385" s="392"/>
      <c r="M385" s="392"/>
      <c r="N385" s="392"/>
      <c r="O385" s="392"/>
      <c r="P385" s="392"/>
      <c r="Q385" s="392"/>
      <c r="R385" s="392"/>
      <c r="S385" s="392"/>
      <c r="T385" s="392"/>
      <c r="U385" s="392"/>
      <c r="V385" s="392"/>
      <c r="W385" s="392"/>
      <c r="X385" s="392"/>
      <c r="Y385" s="392"/>
      <c r="Z385" s="392"/>
      <c r="AA385" s="392"/>
      <c r="AB385" s="392"/>
      <c r="AC385" s="392"/>
      <c r="AD385" s="392"/>
      <c r="AE385" s="392"/>
      <c r="AF385" s="392"/>
    </row>
    <row r="386" ht="15.75" customHeight="1">
      <c r="A386" s="216"/>
      <c r="B386" s="156"/>
      <c r="C386" s="156"/>
      <c r="D386" s="156"/>
      <c r="E386" s="392"/>
      <c r="F386" s="392"/>
      <c r="G386" s="392"/>
      <c r="H386" s="392"/>
      <c r="I386" s="392"/>
      <c r="J386" s="145"/>
      <c r="K386" s="392"/>
      <c r="L386" s="392"/>
      <c r="M386" s="392"/>
      <c r="N386" s="392"/>
      <c r="O386" s="392"/>
      <c r="P386" s="392"/>
      <c r="Q386" s="392"/>
      <c r="R386" s="392"/>
      <c r="S386" s="392"/>
      <c r="T386" s="392"/>
      <c r="U386" s="392"/>
      <c r="V386" s="392"/>
      <c r="W386" s="392"/>
      <c r="X386" s="392"/>
      <c r="Y386" s="392"/>
      <c r="Z386" s="392"/>
      <c r="AA386" s="392"/>
      <c r="AB386" s="392"/>
      <c r="AC386" s="392"/>
      <c r="AD386" s="392"/>
      <c r="AE386" s="392"/>
      <c r="AF386" s="392"/>
    </row>
    <row r="387" ht="15.75" customHeight="1">
      <c r="A387" s="216"/>
      <c r="B387" s="156"/>
      <c r="C387" s="156"/>
      <c r="D387" s="156"/>
      <c r="E387" s="392"/>
      <c r="F387" s="392"/>
      <c r="G387" s="392"/>
      <c r="H387" s="392"/>
      <c r="I387" s="392"/>
      <c r="J387" s="145"/>
      <c r="K387" s="392"/>
      <c r="L387" s="392"/>
      <c r="M387" s="392"/>
      <c r="N387" s="392"/>
      <c r="O387" s="392"/>
      <c r="P387" s="392"/>
      <c r="Q387" s="392"/>
      <c r="R387" s="392"/>
      <c r="S387" s="392"/>
      <c r="T387" s="392"/>
      <c r="U387" s="392"/>
      <c r="V387" s="392"/>
      <c r="W387" s="392"/>
      <c r="X387" s="392"/>
      <c r="Y387" s="392"/>
      <c r="Z387" s="392"/>
      <c r="AA387" s="392"/>
      <c r="AB387" s="392"/>
      <c r="AC387" s="392"/>
      <c r="AD387" s="392"/>
      <c r="AE387" s="392"/>
      <c r="AF387" s="392"/>
    </row>
    <row r="388" ht="15.75" customHeight="1">
      <c r="A388" s="216"/>
      <c r="B388" s="156"/>
      <c r="C388" s="156"/>
      <c r="D388" s="156"/>
      <c r="E388" s="392"/>
      <c r="F388" s="392"/>
      <c r="G388" s="392"/>
      <c r="H388" s="392"/>
      <c r="I388" s="392"/>
      <c r="J388" s="145"/>
      <c r="K388" s="392"/>
      <c r="L388" s="392"/>
      <c r="M388" s="392"/>
      <c r="N388" s="392"/>
      <c r="O388" s="392"/>
      <c r="P388" s="392"/>
      <c r="Q388" s="392"/>
      <c r="R388" s="392"/>
      <c r="S388" s="392"/>
      <c r="T388" s="392"/>
      <c r="U388" s="392"/>
      <c r="V388" s="392"/>
      <c r="W388" s="392"/>
      <c r="X388" s="392"/>
      <c r="Y388" s="392"/>
      <c r="Z388" s="392"/>
      <c r="AA388" s="392"/>
      <c r="AB388" s="392"/>
      <c r="AC388" s="392"/>
      <c r="AD388" s="392"/>
      <c r="AE388" s="392"/>
      <c r="AF388" s="392"/>
    </row>
    <row r="389" ht="15.75" customHeight="1">
      <c r="A389" s="216"/>
      <c r="B389" s="156"/>
      <c r="C389" s="156"/>
      <c r="D389" s="156"/>
      <c r="E389" s="392"/>
      <c r="F389" s="392"/>
      <c r="G389" s="392"/>
      <c r="H389" s="392"/>
      <c r="I389" s="392"/>
      <c r="J389" s="145"/>
      <c r="K389" s="392"/>
      <c r="L389" s="392"/>
      <c r="M389" s="392"/>
      <c r="N389" s="392"/>
      <c r="O389" s="392"/>
      <c r="P389" s="392"/>
      <c r="Q389" s="392"/>
      <c r="R389" s="392"/>
      <c r="S389" s="392"/>
      <c r="T389" s="392"/>
      <c r="U389" s="392"/>
      <c r="V389" s="392"/>
      <c r="W389" s="392"/>
      <c r="X389" s="392"/>
      <c r="Y389" s="392"/>
      <c r="Z389" s="392"/>
      <c r="AA389" s="392"/>
      <c r="AB389" s="392"/>
      <c r="AC389" s="392"/>
      <c r="AD389" s="392"/>
      <c r="AE389" s="392"/>
      <c r="AF389" s="392"/>
    </row>
    <row r="390" ht="15.75" customHeight="1">
      <c r="A390" s="216"/>
      <c r="B390" s="156"/>
      <c r="C390" s="156"/>
      <c r="D390" s="156"/>
      <c r="E390" s="392"/>
      <c r="F390" s="392"/>
      <c r="G390" s="392"/>
      <c r="H390" s="392"/>
      <c r="I390" s="392"/>
      <c r="J390" s="145"/>
      <c r="K390" s="392"/>
      <c r="L390" s="392"/>
      <c r="M390" s="392"/>
      <c r="N390" s="392"/>
      <c r="O390" s="392"/>
      <c r="P390" s="392"/>
      <c r="Q390" s="392"/>
      <c r="R390" s="392"/>
      <c r="S390" s="392"/>
      <c r="T390" s="392"/>
      <c r="U390" s="392"/>
      <c r="V390" s="392"/>
      <c r="W390" s="392"/>
      <c r="X390" s="392"/>
      <c r="Y390" s="392"/>
      <c r="Z390" s="392"/>
      <c r="AA390" s="392"/>
      <c r="AB390" s="392"/>
      <c r="AC390" s="392"/>
      <c r="AD390" s="392"/>
      <c r="AE390" s="392"/>
      <c r="AF390" s="392"/>
    </row>
    <row r="391" ht="15.75" customHeight="1">
      <c r="A391" s="216"/>
      <c r="B391" s="156"/>
      <c r="C391" s="156"/>
      <c r="D391" s="156"/>
      <c r="E391" s="392"/>
      <c r="F391" s="392"/>
      <c r="G391" s="392"/>
      <c r="H391" s="392"/>
      <c r="I391" s="392"/>
      <c r="J391" s="145"/>
      <c r="K391" s="392"/>
      <c r="L391" s="392"/>
      <c r="M391" s="392"/>
      <c r="N391" s="392"/>
      <c r="O391" s="392"/>
      <c r="P391" s="392"/>
      <c r="Q391" s="392"/>
      <c r="R391" s="392"/>
      <c r="S391" s="392"/>
      <c r="T391" s="392"/>
      <c r="U391" s="392"/>
      <c r="V391" s="392"/>
      <c r="W391" s="392"/>
      <c r="X391" s="392"/>
      <c r="Y391" s="392"/>
      <c r="Z391" s="392"/>
      <c r="AA391" s="392"/>
      <c r="AB391" s="392"/>
      <c r="AC391" s="392"/>
      <c r="AD391" s="392"/>
      <c r="AE391" s="392"/>
      <c r="AF391" s="392"/>
    </row>
    <row r="392" ht="15.75" customHeight="1">
      <c r="A392" s="216"/>
      <c r="B392" s="156"/>
      <c r="C392" s="156"/>
      <c r="D392" s="156"/>
      <c r="E392" s="392"/>
      <c r="F392" s="392"/>
      <c r="G392" s="392"/>
      <c r="H392" s="392"/>
      <c r="I392" s="392"/>
      <c r="J392" s="145"/>
      <c r="K392" s="392"/>
      <c r="L392" s="392"/>
      <c r="M392" s="392"/>
      <c r="N392" s="392"/>
      <c r="O392" s="392"/>
      <c r="P392" s="392"/>
      <c r="Q392" s="392"/>
      <c r="R392" s="392"/>
      <c r="S392" s="392"/>
      <c r="T392" s="392"/>
      <c r="U392" s="392"/>
      <c r="V392" s="392"/>
      <c r="W392" s="392"/>
      <c r="X392" s="392"/>
      <c r="Y392" s="392"/>
      <c r="Z392" s="392"/>
      <c r="AA392" s="392"/>
      <c r="AB392" s="392"/>
      <c r="AC392" s="392"/>
      <c r="AD392" s="392"/>
      <c r="AE392" s="392"/>
      <c r="AF392" s="392"/>
    </row>
    <row r="393" ht="15.75" customHeight="1">
      <c r="A393" s="216"/>
      <c r="B393" s="156"/>
      <c r="C393" s="156"/>
      <c r="D393" s="156"/>
      <c r="E393" s="392"/>
      <c r="F393" s="392"/>
      <c r="G393" s="392"/>
      <c r="H393" s="392"/>
      <c r="I393" s="392"/>
      <c r="J393" s="145"/>
      <c r="K393" s="392"/>
      <c r="L393" s="392"/>
      <c r="M393" s="392"/>
      <c r="N393" s="392"/>
      <c r="O393" s="392"/>
      <c r="P393" s="392"/>
      <c r="Q393" s="392"/>
      <c r="R393" s="392"/>
      <c r="S393" s="392"/>
      <c r="T393" s="392"/>
      <c r="U393" s="392"/>
      <c r="V393" s="392"/>
      <c r="W393" s="392"/>
      <c r="X393" s="392"/>
      <c r="Y393" s="392"/>
      <c r="Z393" s="392"/>
      <c r="AA393" s="392"/>
      <c r="AB393" s="392"/>
      <c r="AC393" s="392"/>
      <c r="AD393" s="392"/>
      <c r="AE393" s="392"/>
      <c r="AF393" s="392"/>
    </row>
    <row r="394" ht="15.75" customHeight="1">
      <c r="A394" s="216"/>
      <c r="B394" s="156"/>
      <c r="C394" s="156"/>
      <c r="D394" s="156"/>
      <c r="E394" s="392"/>
      <c r="F394" s="392"/>
      <c r="G394" s="392"/>
      <c r="H394" s="392"/>
      <c r="I394" s="392"/>
      <c r="J394" s="145"/>
      <c r="K394" s="392"/>
      <c r="L394" s="392"/>
      <c r="M394" s="392"/>
      <c r="N394" s="392"/>
      <c r="O394" s="392"/>
      <c r="P394" s="392"/>
      <c r="Q394" s="392"/>
      <c r="R394" s="392"/>
      <c r="S394" s="392"/>
      <c r="T394" s="392"/>
      <c r="U394" s="392"/>
      <c r="V394" s="392"/>
      <c r="W394" s="392"/>
      <c r="X394" s="392"/>
      <c r="Y394" s="392"/>
      <c r="Z394" s="392"/>
      <c r="AA394" s="392"/>
      <c r="AB394" s="392"/>
      <c r="AC394" s="392"/>
      <c r="AD394" s="392"/>
      <c r="AE394" s="392"/>
      <c r="AF394" s="392"/>
    </row>
    <row r="395" ht="15.75" customHeight="1">
      <c r="A395" s="216"/>
      <c r="B395" s="156"/>
      <c r="C395" s="156"/>
      <c r="D395" s="156"/>
      <c r="E395" s="392"/>
      <c r="F395" s="392"/>
      <c r="G395" s="392"/>
      <c r="H395" s="392"/>
      <c r="I395" s="392"/>
      <c r="J395" s="145"/>
      <c r="K395" s="392"/>
      <c r="L395" s="392"/>
      <c r="M395" s="392"/>
      <c r="N395" s="392"/>
      <c r="O395" s="392"/>
      <c r="P395" s="392"/>
      <c r="Q395" s="392"/>
      <c r="R395" s="392"/>
      <c r="S395" s="392"/>
      <c r="T395" s="392"/>
      <c r="U395" s="392"/>
      <c r="V395" s="392"/>
      <c r="W395" s="392"/>
      <c r="X395" s="392"/>
      <c r="Y395" s="392"/>
      <c r="Z395" s="392"/>
      <c r="AA395" s="392"/>
      <c r="AB395" s="392"/>
      <c r="AC395" s="392"/>
      <c r="AD395" s="392"/>
      <c r="AE395" s="392"/>
      <c r="AF395" s="392"/>
    </row>
    <row r="396" ht="15.75" customHeight="1">
      <c r="A396" s="216"/>
      <c r="B396" s="156"/>
      <c r="C396" s="156"/>
      <c r="D396" s="156"/>
      <c r="E396" s="392"/>
      <c r="F396" s="392"/>
      <c r="G396" s="392"/>
      <c r="H396" s="392"/>
      <c r="I396" s="392"/>
      <c r="J396" s="145"/>
      <c r="K396" s="392"/>
      <c r="L396" s="392"/>
      <c r="M396" s="392"/>
      <c r="N396" s="392"/>
      <c r="O396" s="392"/>
      <c r="P396" s="392"/>
      <c r="Q396" s="392"/>
      <c r="R396" s="392"/>
      <c r="S396" s="392"/>
      <c r="T396" s="392"/>
      <c r="U396" s="392"/>
      <c r="V396" s="392"/>
      <c r="W396" s="392"/>
      <c r="X396" s="392"/>
      <c r="Y396" s="392"/>
      <c r="Z396" s="392"/>
      <c r="AA396" s="392"/>
      <c r="AB396" s="392"/>
      <c r="AC396" s="392"/>
      <c r="AD396" s="392"/>
      <c r="AE396" s="392"/>
      <c r="AF396" s="392"/>
    </row>
    <row r="397" ht="15.75" customHeight="1">
      <c r="A397" s="216"/>
      <c r="B397" s="156"/>
      <c r="C397" s="156"/>
      <c r="D397" s="156"/>
      <c r="E397" s="392"/>
      <c r="F397" s="392"/>
      <c r="G397" s="392"/>
      <c r="H397" s="392"/>
      <c r="I397" s="392"/>
      <c r="J397" s="145"/>
      <c r="K397" s="392"/>
      <c r="L397" s="392"/>
      <c r="M397" s="392"/>
      <c r="N397" s="392"/>
      <c r="O397" s="392"/>
      <c r="P397" s="392"/>
      <c r="Q397" s="392"/>
      <c r="R397" s="392"/>
      <c r="S397" s="392"/>
      <c r="T397" s="392"/>
      <c r="U397" s="392"/>
      <c r="V397" s="392"/>
      <c r="W397" s="392"/>
      <c r="X397" s="392"/>
      <c r="Y397" s="392"/>
      <c r="Z397" s="392"/>
      <c r="AA397" s="392"/>
      <c r="AB397" s="392"/>
      <c r="AC397" s="392"/>
      <c r="AD397" s="392"/>
      <c r="AE397" s="392"/>
      <c r="AF397" s="392"/>
    </row>
    <row r="398" ht="15.75" customHeight="1">
      <c r="A398" s="216"/>
      <c r="B398" s="156"/>
      <c r="C398" s="156"/>
      <c r="D398" s="156"/>
      <c r="E398" s="392"/>
      <c r="F398" s="392"/>
      <c r="G398" s="392"/>
      <c r="H398" s="392"/>
      <c r="I398" s="392"/>
      <c r="J398" s="145"/>
      <c r="K398" s="392"/>
      <c r="L398" s="392"/>
      <c r="M398" s="392"/>
      <c r="N398" s="392"/>
      <c r="O398" s="392"/>
      <c r="P398" s="392"/>
      <c r="Q398" s="392"/>
      <c r="R398" s="392"/>
      <c r="S398" s="392"/>
      <c r="T398" s="392"/>
      <c r="U398" s="392"/>
      <c r="V398" s="392"/>
      <c r="W398" s="392"/>
      <c r="X398" s="392"/>
      <c r="Y398" s="392"/>
      <c r="Z398" s="392"/>
      <c r="AA398" s="392"/>
      <c r="AB398" s="392"/>
      <c r="AC398" s="392"/>
      <c r="AD398" s="392"/>
      <c r="AE398" s="392"/>
      <c r="AF398" s="392"/>
    </row>
    <row r="399" ht="15.75" customHeight="1">
      <c r="A399" s="216"/>
      <c r="B399" s="156"/>
      <c r="C399" s="156"/>
      <c r="D399" s="156"/>
      <c r="E399" s="392"/>
      <c r="F399" s="392"/>
      <c r="G399" s="392"/>
      <c r="H399" s="392"/>
      <c r="I399" s="392"/>
      <c r="J399" s="145"/>
      <c r="K399" s="392"/>
      <c r="L399" s="392"/>
      <c r="M399" s="392"/>
      <c r="N399" s="392"/>
      <c r="O399" s="392"/>
      <c r="P399" s="392"/>
      <c r="Q399" s="392"/>
      <c r="R399" s="392"/>
      <c r="S399" s="392"/>
      <c r="T399" s="392"/>
      <c r="U399" s="392"/>
      <c r="V399" s="392"/>
      <c r="W399" s="392"/>
      <c r="X399" s="392"/>
      <c r="Y399" s="392"/>
      <c r="Z399" s="392"/>
      <c r="AA399" s="392"/>
      <c r="AB399" s="392"/>
      <c r="AC399" s="392"/>
      <c r="AD399" s="392"/>
      <c r="AE399" s="392"/>
      <c r="AF399" s="392"/>
    </row>
    <row r="400" ht="15.75" customHeight="1">
      <c r="A400" s="216"/>
      <c r="B400" s="156"/>
      <c r="C400" s="156"/>
      <c r="D400" s="156"/>
      <c r="E400" s="392"/>
      <c r="F400" s="392"/>
      <c r="G400" s="392"/>
      <c r="H400" s="392"/>
      <c r="I400" s="392"/>
      <c r="J400" s="145"/>
      <c r="K400" s="392"/>
      <c r="L400" s="392"/>
      <c r="M400" s="392"/>
      <c r="N400" s="392"/>
      <c r="O400" s="392"/>
      <c r="P400" s="392"/>
      <c r="Q400" s="392"/>
      <c r="R400" s="392"/>
      <c r="S400" s="392"/>
      <c r="T400" s="392"/>
      <c r="U400" s="392"/>
      <c r="V400" s="392"/>
      <c r="W400" s="392"/>
      <c r="X400" s="392"/>
      <c r="Y400" s="392"/>
      <c r="Z400" s="392"/>
      <c r="AA400" s="392"/>
      <c r="AB400" s="392"/>
      <c r="AC400" s="392"/>
      <c r="AD400" s="392"/>
      <c r="AE400" s="392"/>
      <c r="AF400" s="392"/>
    </row>
    <row r="401" ht="15.75" customHeight="1">
      <c r="A401" s="216"/>
      <c r="B401" s="156"/>
      <c r="C401" s="156"/>
      <c r="D401" s="156"/>
      <c r="E401" s="392"/>
      <c r="F401" s="392"/>
      <c r="G401" s="392"/>
      <c r="H401" s="392"/>
      <c r="I401" s="392"/>
      <c r="J401" s="145"/>
      <c r="K401" s="392"/>
      <c r="L401" s="392"/>
      <c r="M401" s="392"/>
      <c r="N401" s="392"/>
      <c r="O401" s="392"/>
      <c r="P401" s="392"/>
      <c r="Q401" s="392"/>
      <c r="R401" s="392"/>
      <c r="S401" s="392"/>
      <c r="T401" s="392"/>
      <c r="U401" s="392"/>
      <c r="V401" s="392"/>
      <c r="W401" s="392"/>
      <c r="X401" s="392"/>
      <c r="Y401" s="392"/>
      <c r="Z401" s="392"/>
      <c r="AA401" s="392"/>
      <c r="AB401" s="392"/>
      <c r="AC401" s="392"/>
      <c r="AD401" s="392"/>
      <c r="AE401" s="392"/>
      <c r="AF401" s="392"/>
    </row>
    <row r="402" ht="15.75" customHeight="1">
      <c r="A402" s="216"/>
      <c r="B402" s="156"/>
      <c r="C402" s="156"/>
      <c r="D402" s="156"/>
      <c r="E402" s="392"/>
      <c r="F402" s="392"/>
      <c r="G402" s="392"/>
      <c r="H402" s="392"/>
      <c r="I402" s="392"/>
      <c r="J402" s="145"/>
      <c r="K402" s="392"/>
      <c r="L402" s="392"/>
      <c r="M402" s="392"/>
      <c r="N402" s="392"/>
      <c r="O402" s="392"/>
      <c r="P402" s="392"/>
      <c r="Q402" s="392"/>
      <c r="R402" s="392"/>
      <c r="S402" s="392"/>
      <c r="T402" s="392"/>
      <c r="U402" s="392"/>
      <c r="V402" s="392"/>
      <c r="W402" s="392"/>
      <c r="X402" s="392"/>
      <c r="Y402" s="392"/>
      <c r="Z402" s="392"/>
      <c r="AA402" s="392"/>
      <c r="AB402" s="392"/>
      <c r="AC402" s="392"/>
      <c r="AD402" s="392"/>
      <c r="AE402" s="392"/>
      <c r="AF402" s="392"/>
    </row>
    <row r="403" ht="15.75" customHeight="1">
      <c r="A403" s="216"/>
      <c r="B403" s="156"/>
      <c r="C403" s="156"/>
      <c r="D403" s="156"/>
      <c r="E403" s="392"/>
      <c r="F403" s="392"/>
      <c r="G403" s="392"/>
      <c r="H403" s="392"/>
      <c r="I403" s="392"/>
      <c r="J403" s="145"/>
      <c r="K403" s="392"/>
      <c r="L403" s="392"/>
      <c r="M403" s="392"/>
      <c r="N403" s="392"/>
      <c r="O403" s="392"/>
      <c r="P403" s="392"/>
      <c r="Q403" s="392"/>
      <c r="R403" s="392"/>
      <c r="S403" s="392"/>
      <c r="T403" s="392"/>
      <c r="U403" s="392"/>
      <c r="V403" s="392"/>
      <c r="W403" s="392"/>
      <c r="X403" s="392"/>
      <c r="Y403" s="392"/>
      <c r="Z403" s="392"/>
      <c r="AA403" s="392"/>
      <c r="AB403" s="392"/>
      <c r="AC403" s="392"/>
      <c r="AD403" s="392"/>
      <c r="AE403" s="392"/>
      <c r="AF403" s="392"/>
    </row>
    <row r="404" ht="15.75" customHeight="1">
      <c r="A404" s="216"/>
      <c r="B404" s="156"/>
      <c r="C404" s="156"/>
      <c r="D404" s="156"/>
      <c r="E404" s="392"/>
      <c r="F404" s="392"/>
      <c r="G404" s="392"/>
      <c r="H404" s="392"/>
      <c r="I404" s="392"/>
      <c r="J404" s="145"/>
      <c r="K404" s="392"/>
      <c r="L404" s="392"/>
      <c r="M404" s="392"/>
      <c r="N404" s="392"/>
      <c r="O404" s="392"/>
      <c r="P404" s="392"/>
      <c r="Q404" s="392"/>
      <c r="R404" s="392"/>
      <c r="S404" s="392"/>
      <c r="T404" s="392"/>
      <c r="U404" s="392"/>
      <c r="V404" s="392"/>
      <c r="W404" s="392"/>
      <c r="X404" s="392"/>
      <c r="Y404" s="392"/>
      <c r="Z404" s="392"/>
      <c r="AA404" s="392"/>
      <c r="AB404" s="392"/>
      <c r="AC404" s="392"/>
      <c r="AD404" s="392"/>
      <c r="AE404" s="392"/>
      <c r="AF404" s="392"/>
    </row>
    <row r="405" ht="15.75" customHeight="1">
      <c r="A405" s="216"/>
      <c r="B405" s="156"/>
      <c r="C405" s="156"/>
      <c r="D405" s="156"/>
      <c r="E405" s="392"/>
      <c r="F405" s="392"/>
      <c r="G405" s="392"/>
      <c r="H405" s="392"/>
      <c r="I405" s="392"/>
      <c r="J405" s="145"/>
      <c r="K405" s="392"/>
      <c r="L405" s="392"/>
      <c r="M405" s="392"/>
      <c r="N405" s="392"/>
      <c r="O405" s="392"/>
      <c r="P405" s="392"/>
      <c r="Q405" s="392"/>
      <c r="R405" s="392"/>
      <c r="S405" s="392"/>
      <c r="T405" s="392"/>
      <c r="U405" s="392"/>
      <c r="V405" s="392"/>
      <c r="W405" s="392"/>
      <c r="X405" s="392"/>
      <c r="Y405" s="392"/>
      <c r="Z405" s="392"/>
      <c r="AA405" s="392"/>
      <c r="AB405" s="392"/>
      <c r="AC405" s="392"/>
      <c r="AD405" s="392"/>
      <c r="AE405" s="392"/>
      <c r="AF405" s="392"/>
    </row>
    <row r="406" ht="15.75" customHeight="1">
      <c r="A406" s="216"/>
      <c r="B406" s="156"/>
      <c r="C406" s="156"/>
      <c r="D406" s="156"/>
      <c r="E406" s="392"/>
      <c r="F406" s="392"/>
      <c r="G406" s="392"/>
      <c r="H406" s="392"/>
      <c r="I406" s="392"/>
      <c r="J406" s="145"/>
      <c r="K406" s="392"/>
      <c r="L406" s="392"/>
      <c r="M406" s="392"/>
      <c r="N406" s="392"/>
      <c r="O406" s="392"/>
      <c r="P406" s="392"/>
      <c r="Q406" s="392"/>
      <c r="R406" s="392"/>
      <c r="S406" s="392"/>
      <c r="T406" s="392"/>
      <c r="U406" s="392"/>
      <c r="V406" s="392"/>
      <c r="W406" s="392"/>
      <c r="X406" s="392"/>
      <c r="Y406" s="392"/>
      <c r="Z406" s="392"/>
      <c r="AA406" s="392"/>
      <c r="AB406" s="392"/>
      <c r="AC406" s="392"/>
      <c r="AD406" s="392"/>
      <c r="AE406" s="392"/>
      <c r="AF406" s="392"/>
    </row>
    <row r="407" ht="15.75" customHeight="1">
      <c r="A407" s="216"/>
      <c r="B407" s="156"/>
      <c r="C407" s="156"/>
      <c r="D407" s="156"/>
      <c r="E407" s="392"/>
      <c r="F407" s="392"/>
      <c r="G407" s="392"/>
      <c r="H407" s="392"/>
      <c r="I407" s="392"/>
      <c r="J407" s="145"/>
      <c r="K407" s="392"/>
      <c r="L407" s="392"/>
      <c r="M407" s="392"/>
      <c r="N407" s="392"/>
      <c r="O407" s="392"/>
      <c r="P407" s="392"/>
      <c r="Q407" s="392"/>
      <c r="R407" s="392"/>
      <c r="S407" s="392"/>
      <c r="T407" s="392"/>
      <c r="U407" s="392"/>
      <c r="V407" s="392"/>
      <c r="W407" s="392"/>
      <c r="X407" s="392"/>
      <c r="Y407" s="392"/>
      <c r="Z407" s="392"/>
      <c r="AA407" s="392"/>
      <c r="AB407" s="392"/>
      <c r="AC407" s="392"/>
      <c r="AD407" s="392"/>
      <c r="AE407" s="392"/>
      <c r="AF407" s="392"/>
    </row>
    <row r="408" ht="15.75" customHeight="1">
      <c r="A408" s="216"/>
      <c r="B408" s="156"/>
      <c r="C408" s="156"/>
      <c r="D408" s="156"/>
      <c r="E408" s="392"/>
      <c r="F408" s="392"/>
      <c r="G408" s="392"/>
      <c r="H408" s="392"/>
      <c r="I408" s="392"/>
      <c r="J408" s="145"/>
      <c r="K408" s="392"/>
      <c r="L408" s="392"/>
      <c r="M408" s="392"/>
      <c r="N408" s="392"/>
      <c r="O408" s="392"/>
      <c r="P408" s="392"/>
      <c r="Q408" s="392"/>
      <c r="R408" s="392"/>
      <c r="S408" s="392"/>
      <c r="T408" s="392"/>
      <c r="U408" s="392"/>
      <c r="V408" s="392"/>
      <c r="W408" s="392"/>
      <c r="X408" s="392"/>
      <c r="Y408" s="392"/>
      <c r="Z408" s="392"/>
      <c r="AA408" s="392"/>
      <c r="AB408" s="392"/>
      <c r="AC408" s="392"/>
      <c r="AD408" s="392"/>
      <c r="AE408" s="392"/>
      <c r="AF408" s="392"/>
    </row>
    <row r="409" ht="15.75" customHeight="1">
      <c r="A409" s="216"/>
      <c r="B409" s="156"/>
      <c r="C409" s="156"/>
      <c r="D409" s="156"/>
      <c r="E409" s="392"/>
      <c r="F409" s="392"/>
      <c r="G409" s="392"/>
      <c r="H409" s="392"/>
      <c r="I409" s="392"/>
      <c r="J409" s="145"/>
      <c r="K409" s="392"/>
      <c r="L409" s="392"/>
      <c r="M409" s="392"/>
      <c r="N409" s="392"/>
      <c r="O409" s="392"/>
      <c r="P409" s="392"/>
      <c r="Q409" s="392"/>
      <c r="R409" s="392"/>
      <c r="S409" s="392"/>
      <c r="T409" s="392"/>
      <c r="U409" s="392"/>
      <c r="V409" s="392"/>
      <c r="W409" s="392"/>
      <c r="X409" s="392"/>
      <c r="Y409" s="392"/>
      <c r="Z409" s="392"/>
      <c r="AA409" s="392"/>
      <c r="AB409" s="392"/>
      <c r="AC409" s="392"/>
      <c r="AD409" s="392"/>
      <c r="AE409" s="392"/>
      <c r="AF409" s="392"/>
    </row>
    <row r="410" ht="15.75" customHeight="1">
      <c r="A410" s="216"/>
      <c r="B410" s="156"/>
      <c r="C410" s="156"/>
      <c r="D410" s="156"/>
      <c r="E410" s="392"/>
      <c r="F410" s="392"/>
      <c r="G410" s="392"/>
      <c r="H410" s="392"/>
      <c r="I410" s="392"/>
      <c r="J410" s="145"/>
      <c r="K410" s="392"/>
      <c r="L410" s="392"/>
      <c r="M410" s="392"/>
      <c r="N410" s="392"/>
      <c r="O410" s="392"/>
      <c r="P410" s="392"/>
      <c r="Q410" s="392"/>
      <c r="R410" s="392"/>
      <c r="S410" s="392"/>
      <c r="T410" s="392"/>
      <c r="U410" s="392"/>
      <c r="V410" s="392"/>
      <c r="W410" s="392"/>
      <c r="X410" s="392"/>
      <c r="Y410" s="392"/>
      <c r="Z410" s="392"/>
      <c r="AA410" s="392"/>
      <c r="AB410" s="392"/>
      <c r="AC410" s="392"/>
      <c r="AD410" s="392"/>
      <c r="AE410" s="392"/>
      <c r="AF410" s="392"/>
    </row>
    <row r="411" ht="15.75" customHeight="1">
      <c r="A411" s="216"/>
      <c r="B411" s="156"/>
      <c r="C411" s="156"/>
      <c r="D411" s="156"/>
      <c r="E411" s="392"/>
      <c r="F411" s="392"/>
      <c r="G411" s="392"/>
      <c r="H411" s="392"/>
      <c r="I411" s="392"/>
      <c r="J411" s="145"/>
      <c r="K411" s="392"/>
      <c r="L411" s="392"/>
      <c r="M411" s="392"/>
      <c r="N411" s="392"/>
      <c r="O411" s="392"/>
      <c r="P411" s="392"/>
      <c r="Q411" s="392"/>
      <c r="R411" s="392"/>
      <c r="S411" s="392"/>
      <c r="T411" s="392"/>
      <c r="U411" s="392"/>
      <c r="V411" s="392"/>
      <c r="W411" s="392"/>
      <c r="X411" s="392"/>
      <c r="Y411" s="392"/>
      <c r="Z411" s="392"/>
      <c r="AA411" s="392"/>
      <c r="AB411" s="392"/>
      <c r="AC411" s="392"/>
      <c r="AD411" s="392"/>
      <c r="AE411" s="392"/>
      <c r="AF411" s="392"/>
    </row>
    <row r="412" ht="15.75" customHeight="1">
      <c r="A412" s="216"/>
      <c r="B412" s="156"/>
      <c r="C412" s="156"/>
      <c r="D412" s="156"/>
      <c r="E412" s="392"/>
      <c r="F412" s="392"/>
      <c r="G412" s="392"/>
      <c r="H412" s="392"/>
      <c r="I412" s="392"/>
      <c r="J412" s="145"/>
      <c r="K412" s="392"/>
      <c r="L412" s="392"/>
      <c r="M412" s="392"/>
      <c r="N412" s="392"/>
      <c r="O412" s="392"/>
      <c r="P412" s="392"/>
      <c r="Q412" s="392"/>
      <c r="R412" s="392"/>
      <c r="S412" s="392"/>
      <c r="T412" s="392"/>
      <c r="U412" s="392"/>
      <c r="V412" s="392"/>
      <c r="W412" s="392"/>
      <c r="X412" s="392"/>
      <c r="Y412" s="392"/>
      <c r="Z412" s="392"/>
      <c r="AA412" s="392"/>
      <c r="AB412" s="392"/>
      <c r="AC412" s="392"/>
      <c r="AD412" s="392"/>
      <c r="AE412" s="392"/>
      <c r="AF412" s="392"/>
    </row>
    <row r="413" ht="15.75" customHeight="1">
      <c r="A413" s="216"/>
      <c r="B413" s="156"/>
      <c r="C413" s="156"/>
      <c r="D413" s="156"/>
      <c r="E413" s="392"/>
      <c r="F413" s="392"/>
      <c r="G413" s="392"/>
      <c r="H413" s="392"/>
      <c r="I413" s="392"/>
      <c r="J413" s="145"/>
      <c r="K413" s="392"/>
      <c r="L413" s="392"/>
      <c r="M413" s="392"/>
      <c r="N413" s="392"/>
      <c r="O413" s="392"/>
      <c r="P413" s="392"/>
      <c r="Q413" s="392"/>
      <c r="R413" s="392"/>
      <c r="S413" s="392"/>
      <c r="T413" s="392"/>
      <c r="U413" s="392"/>
      <c r="V413" s="392"/>
      <c r="W413" s="392"/>
      <c r="X413" s="392"/>
      <c r="Y413" s="392"/>
      <c r="Z413" s="392"/>
      <c r="AA413" s="392"/>
      <c r="AB413" s="392"/>
      <c r="AC413" s="392"/>
      <c r="AD413" s="392"/>
      <c r="AE413" s="392"/>
      <c r="AF413" s="392"/>
    </row>
    <row r="414" ht="15.75" customHeight="1">
      <c r="A414" s="216"/>
      <c r="B414" s="156"/>
      <c r="C414" s="156"/>
      <c r="D414" s="156"/>
      <c r="E414" s="392"/>
      <c r="F414" s="392"/>
      <c r="G414" s="392"/>
      <c r="H414" s="392"/>
      <c r="I414" s="392"/>
      <c r="J414" s="145"/>
      <c r="K414" s="392"/>
      <c r="L414" s="392"/>
      <c r="M414" s="392"/>
      <c r="N414" s="392"/>
      <c r="O414" s="392"/>
      <c r="P414" s="392"/>
      <c r="Q414" s="392"/>
      <c r="R414" s="392"/>
      <c r="S414" s="392"/>
      <c r="T414" s="392"/>
      <c r="U414" s="392"/>
      <c r="V414" s="392"/>
      <c r="W414" s="392"/>
      <c r="X414" s="392"/>
      <c r="Y414" s="392"/>
      <c r="Z414" s="392"/>
      <c r="AA414" s="392"/>
      <c r="AB414" s="392"/>
      <c r="AC414" s="392"/>
      <c r="AD414" s="392"/>
      <c r="AE414" s="392"/>
      <c r="AF414" s="392"/>
    </row>
    <row r="415" ht="15.75" customHeight="1">
      <c r="A415" s="216"/>
      <c r="B415" s="156"/>
      <c r="C415" s="156"/>
      <c r="D415" s="156"/>
      <c r="E415" s="392"/>
      <c r="F415" s="392"/>
      <c r="G415" s="392"/>
      <c r="H415" s="392"/>
      <c r="I415" s="392"/>
      <c r="J415" s="145"/>
      <c r="K415" s="392"/>
      <c r="L415" s="392"/>
      <c r="M415" s="392"/>
      <c r="N415" s="392"/>
      <c r="O415" s="392"/>
      <c r="P415" s="392"/>
      <c r="Q415" s="392"/>
      <c r="R415" s="392"/>
      <c r="S415" s="392"/>
      <c r="T415" s="392"/>
      <c r="U415" s="392"/>
      <c r="V415" s="392"/>
      <c r="W415" s="392"/>
      <c r="X415" s="392"/>
      <c r="Y415" s="392"/>
      <c r="Z415" s="392"/>
      <c r="AA415" s="392"/>
      <c r="AB415" s="392"/>
      <c r="AC415" s="392"/>
      <c r="AD415" s="392"/>
      <c r="AE415" s="392"/>
      <c r="AF415" s="392"/>
    </row>
    <row r="416" ht="15.75" customHeight="1">
      <c r="A416" s="216"/>
      <c r="B416" s="156"/>
      <c r="C416" s="156"/>
      <c r="D416" s="156"/>
      <c r="E416" s="392"/>
      <c r="F416" s="392"/>
      <c r="G416" s="392"/>
      <c r="H416" s="392"/>
      <c r="I416" s="392"/>
      <c r="J416" s="145"/>
      <c r="K416" s="392"/>
      <c r="L416" s="392"/>
      <c r="M416" s="392"/>
      <c r="N416" s="392"/>
      <c r="O416" s="392"/>
      <c r="P416" s="392"/>
      <c r="Q416" s="392"/>
      <c r="R416" s="392"/>
      <c r="S416" s="392"/>
      <c r="T416" s="392"/>
      <c r="U416" s="392"/>
      <c r="V416" s="392"/>
      <c r="W416" s="392"/>
      <c r="X416" s="392"/>
      <c r="Y416" s="392"/>
      <c r="Z416" s="392"/>
      <c r="AA416" s="392"/>
      <c r="AB416" s="392"/>
      <c r="AC416" s="392"/>
      <c r="AD416" s="392"/>
      <c r="AE416" s="392"/>
      <c r="AF416" s="392"/>
    </row>
    <row r="417" ht="15.75" customHeight="1">
      <c r="A417" s="216"/>
      <c r="B417" s="156"/>
      <c r="C417" s="156"/>
      <c r="D417" s="156"/>
      <c r="E417" s="392"/>
      <c r="F417" s="392"/>
      <c r="G417" s="392"/>
      <c r="H417" s="392"/>
      <c r="I417" s="392"/>
      <c r="J417" s="145"/>
      <c r="K417" s="392"/>
      <c r="L417" s="392"/>
      <c r="M417" s="392"/>
      <c r="N417" s="392"/>
      <c r="O417" s="392"/>
      <c r="P417" s="392"/>
      <c r="Q417" s="392"/>
      <c r="R417" s="392"/>
      <c r="S417" s="392"/>
      <c r="T417" s="392"/>
      <c r="U417" s="392"/>
      <c r="V417" s="392"/>
      <c r="W417" s="392"/>
      <c r="X417" s="392"/>
      <c r="Y417" s="392"/>
      <c r="Z417" s="392"/>
      <c r="AA417" s="392"/>
      <c r="AB417" s="392"/>
      <c r="AC417" s="392"/>
      <c r="AD417" s="392"/>
      <c r="AE417" s="392"/>
      <c r="AF417" s="392"/>
    </row>
    <row r="418" ht="15.75" customHeight="1">
      <c r="A418" s="216"/>
      <c r="B418" s="156"/>
      <c r="C418" s="156"/>
      <c r="D418" s="156"/>
      <c r="E418" s="392"/>
      <c r="F418" s="392"/>
      <c r="G418" s="392"/>
      <c r="H418" s="392"/>
      <c r="I418" s="392"/>
      <c r="J418" s="145"/>
      <c r="K418" s="392"/>
      <c r="L418" s="392"/>
      <c r="M418" s="392"/>
      <c r="N418" s="392"/>
      <c r="O418" s="392"/>
      <c r="P418" s="392"/>
      <c r="Q418" s="392"/>
      <c r="R418" s="392"/>
      <c r="S418" s="392"/>
      <c r="T418" s="392"/>
      <c r="U418" s="392"/>
      <c r="V418" s="392"/>
      <c r="W418" s="392"/>
      <c r="X418" s="392"/>
      <c r="Y418" s="392"/>
      <c r="Z418" s="392"/>
      <c r="AA418" s="392"/>
      <c r="AB418" s="392"/>
      <c r="AC418" s="392"/>
      <c r="AD418" s="392"/>
      <c r="AE418" s="392"/>
      <c r="AF418" s="392"/>
    </row>
    <row r="419" ht="15.75" customHeight="1">
      <c r="A419" s="216"/>
      <c r="B419" s="156"/>
      <c r="C419" s="156"/>
      <c r="D419" s="156"/>
      <c r="E419" s="392"/>
      <c r="F419" s="392"/>
      <c r="G419" s="392"/>
      <c r="H419" s="392"/>
      <c r="I419" s="392"/>
      <c r="J419" s="145"/>
      <c r="K419" s="392"/>
      <c r="L419" s="392"/>
      <c r="M419" s="392"/>
      <c r="N419" s="392"/>
      <c r="O419" s="392"/>
      <c r="P419" s="392"/>
      <c r="Q419" s="392"/>
      <c r="R419" s="392"/>
      <c r="S419" s="392"/>
      <c r="T419" s="392"/>
      <c r="U419" s="392"/>
      <c r="V419" s="392"/>
      <c r="W419" s="392"/>
      <c r="X419" s="392"/>
      <c r="Y419" s="392"/>
      <c r="Z419" s="392"/>
      <c r="AA419" s="392"/>
      <c r="AB419" s="392"/>
      <c r="AC419" s="392"/>
      <c r="AD419" s="392"/>
      <c r="AE419" s="392"/>
      <c r="AF419" s="392"/>
    </row>
    <row r="420" ht="15.75" customHeight="1">
      <c r="A420" s="216"/>
      <c r="B420" s="156"/>
      <c r="C420" s="156"/>
      <c r="D420" s="156"/>
      <c r="E420" s="392"/>
      <c r="F420" s="392"/>
      <c r="G420" s="392"/>
      <c r="H420" s="392"/>
      <c r="I420" s="392"/>
      <c r="J420" s="145"/>
      <c r="K420" s="392"/>
      <c r="L420" s="392"/>
      <c r="M420" s="392"/>
      <c r="N420" s="392"/>
      <c r="O420" s="392"/>
      <c r="P420" s="392"/>
      <c r="Q420" s="392"/>
      <c r="R420" s="392"/>
      <c r="S420" s="392"/>
      <c r="T420" s="392"/>
      <c r="U420" s="392"/>
      <c r="V420" s="392"/>
      <c r="W420" s="392"/>
      <c r="X420" s="392"/>
      <c r="Y420" s="392"/>
      <c r="Z420" s="392"/>
      <c r="AA420" s="392"/>
      <c r="AB420" s="392"/>
      <c r="AC420" s="392"/>
      <c r="AD420" s="392"/>
      <c r="AE420" s="392"/>
      <c r="AF420" s="392"/>
    </row>
    <row r="421" ht="15.75" customHeight="1">
      <c r="A421" s="216"/>
      <c r="B421" s="156"/>
      <c r="C421" s="156"/>
      <c r="D421" s="156"/>
      <c r="E421" s="392"/>
      <c r="F421" s="392"/>
      <c r="G421" s="392"/>
      <c r="H421" s="392"/>
      <c r="I421" s="392"/>
      <c r="J421" s="145"/>
      <c r="K421" s="392"/>
      <c r="L421" s="392"/>
      <c r="M421" s="392"/>
      <c r="N421" s="392"/>
      <c r="O421" s="392"/>
      <c r="P421" s="392"/>
      <c r="Q421" s="392"/>
      <c r="R421" s="392"/>
      <c r="S421" s="392"/>
      <c r="T421" s="392"/>
      <c r="U421" s="392"/>
      <c r="V421" s="392"/>
      <c r="W421" s="392"/>
      <c r="X421" s="392"/>
      <c r="Y421" s="392"/>
      <c r="Z421" s="392"/>
      <c r="AA421" s="392"/>
      <c r="AB421" s="392"/>
      <c r="AC421" s="392"/>
      <c r="AD421" s="392"/>
      <c r="AE421" s="392"/>
      <c r="AF421" s="392"/>
    </row>
    <row r="422" ht="15.75" customHeight="1">
      <c r="A422" s="216"/>
      <c r="B422" s="156"/>
      <c r="C422" s="156"/>
      <c r="D422" s="156"/>
      <c r="E422" s="392"/>
      <c r="F422" s="392"/>
      <c r="G422" s="392"/>
      <c r="H422" s="392"/>
      <c r="I422" s="392"/>
      <c r="J422" s="145"/>
      <c r="K422" s="392"/>
      <c r="L422" s="392"/>
      <c r="M422" s="392"/>
      <c r="N422" s="392"/>
      <c r="O422" s="392"/>
      <c r="P422" s="392"/>
      <c r="Q422" s="392"/>
      <c r="R422" s="392"/>
      <c r="S422" s="392"/>
      <c r="T422" s="392"/>
      <c r="U422" s="392"/>
      <c r="V422" s="392"/>
      <c r="W422" s="392"/>
      <c r="X422" s="392"/>
      <c r="Y422" s="392"/>
      <c r="Z422" s="392"/>
      <c r="AA422" s="392"/>
      <c r="AB422" s="392"/>
      <c r="AC422" s="392"/>
      <c r="AD422" s="392"/>
      <c r="AE422" s="392"/>
      <c r="AF422" s="392"/>
    </row>
    <row r="423" ht="15.75" customHeight="1">
      <c r="A423" s="216"/>
      <c r="B423" s="156"/>
      <c r="C423" s="156"/>
      <c r="D423" s="156"/>
      <c r="E423" s="392"/>
      <c r="F423" s="392"/>
      <c r="G423" s="392"/>
      <c r="H423" s="392"/>
      <c r="I423" s="392"/>
      <c r="J423" s="145"/>
      <c r="K423" s="392"/>
      <c r="L423" s="392"/>
      <c r="M423" s="392"/>
      <c r="N423" s="392"/>
      <c r="O423" s="392"/>
      <c r="P423" s="392"/>
      <c r="Q423" s="392"/>
      <c r="R423" s="392"/>
      <c r="S423" s="392"/>
      <c r="T423" s="392"/>
      <c r="U423" s="392"/>
      <c r="V423" s="392"/>
      <c r="W423" s="392"/>
      <c r="X423" s="392"/>
      <c r="Y423" s="392"/>
      <c r="Z423" s="392"/>
      <c r="AA423" s="392"/>
      <c r="AB423" s="392"/>
      <c r="AC423" s="392"/>
      <c r="AD423" s="392"/>
      <c r="AE423" s="392"/>
      <c r="AF423" s="392"/>
    </row>
    <row r="424" ht="15.75" customHeight="1">
      <c r="A424" s="216"/>
      <c r="B424" s="156"/>
      <c r="C424" s="156"/>
      <c r="D424" s="156"/>
      <c r="E424" s="392"/>
      <c r="F424" s="392"/>
      <c r="G424" s="392"/>
      <c r="H424" s="392"/>
      <c r="I424" s="392"/>
      <c r="J424" s="145"/>
      <c r="K424" s="392"/>
      <c r="L424" s="392"/>
      <c r="M424" s="392"/>
      <c r="N424" s="392"/>
      <c r="O424" s="392"/>
      <c r="P424" s="392"/>
      <c r="Q424" s="392"/>
      <c r="R424" s="392"/>
      <c r="S424" s="392"/>
      <c r="T424" s="392"/>
      <c r="U424" s="392"/>
      <c r="V424" s="392"/>
      <c r="W424" s="392"/>
      <c r="X424" s="392"/>
      <c r="Y424" s="392"/>
      <c r="Z424" s="392"/>
      <c r="AA424" s="392"/>
      <c r="AB424" s="392"/>
      <c r="AC424" s="392"/>
      <c r="AD424" s="392"/>
      <c r="AE424" s="392"/>
      <c r="AF424" s="392"/>
    </row>
    <row r="425" ht="15.75" customHeight="1">
      <c r="A425" s="216"/>
      <c r="B425" s="156"/>
      <c r="C425" s="156"/>
      <c r="D425" s="156"/>
      <c r="E425" s="392"/>
      <c r="F425" s="392"/>
      <c r="G425" s="392"/>
      <c r="H425" s="392"/>
      <c r="I425" s="392"/>
      <c r="J425" s="145"/>
      <c r="K425" s="392"/>
      <c r="L425" s="392"/>
      <c r="M425" s="392"/>
      <c r="N425" s="392"/>
      <c r="O425" s="392"/>
      <c r="P425" s="392"/>
      <c r="Q425" s="392"/>
      <c r="R425" s="392"/>
      <c r="S425" s="392"/>
      <c r="T425" s="392"/>
      <c r="U425" s="392"/>
      <c r="V425" s="392"/>
      <c r="W425" s="392"/>
      <c r="X425" s="392"/>
      <c r="Y425" s="392"/>
      <c r="Z425" s="392"/>
      <c r="AA425" s="392"/>
      <c r="AB425" s="392"/>
      <c r="AC425" s="392"/>
      <c r="AD425" s="392"/>
      <c r="AE425" s="392"/>
      <c r="AF425" s="392"/>
    </row>
    <row r="426" ht="15.75" customHeight="1">
      <c r="A426" s="216"/>
      <c r="B426" s="156"/>
      <c r="C426" s="156"/>
      <c r="D426" s="156"/>
      <c r="E426" s="392"/>
      <c r="F426" s="392"/>
      <c r="G426" s="392"/>
      <c r="H426" s="392"/>
      <c r="I426" s="392"/>
      <c r="J426" s="145"/>
      <c r="K426" s="392"/>
      <c r="L426" s="392"/>
      <c r="M426" s="392"/>
      <c r="N426" s="392"/>
      <c r="O426" s="392"/>
      <c r="P426" s="392"/>
      <c r="Q426" s="392"/>
      <c r="R426" s="392"/>
      <c r="S426" s="392"/>
      <c r="T426" s="392"/>
      <c r="U426" s="392"/>
      <c r="V426" s="392"/>
      <c r="W426" s="392"/>
      <c r="X426" s="392"/>
      <c r="Y426" s="392"/>
      <c r="Z426" s="392"/>
      <c r="AA426" s="392"/>
      <c r="AB426" s="392"/>
      <c r="AC426" s="392"/>
      <c r="AD426" s="392"/>
      <c r="AE426" s="392"/>
      <c r="AF426" s="392"/>
    </row>
    <row r="427" ht="15.75" customHeight="1">
      <c r="A427" s="216"/>
      <c r="B427" s="156"/>
      <c r="C427" s="156"/>
      <c r="D427" s="156"/>
      <c r="E427" s="392"/>
      <c r="F427" s="392"/>
      <c r="G427" s="392"/>
      <c r="H427" s="392"/>
      <c r="I427" s="392"/>
      <c r="J427" s="145"/>
      <c r="K427" s="392"/>
      <c r="L427" s="392"/>
      <c r="M427" s="392"/>
      <c r="N427" s="392"/>
      <c r="O427" s="392"/>
      <c r="P427" s="392"/>
      <c r="Q427" s="392"/>
      <c r="R427" s="392"/>
      <c r="S427" s="392"/>
      <c r="T427" s="392"/>
      <c r="U427" s="392"/>
      <c r="V427" s="392"/>
      <c r="W427" s="392"/>
      <c r="X427" s="392"/>
      <c r="Y427" s="392"/>
      <c r="Z427" s="392"/>
      <c r="AA427" s="392"/>
      <c r="AB427" s="392"/>
      <c r="AC427" s="392"/>
      <c r="AD427" s="392"/>
      <c r="AE427" s="392"/>
      <c r="AF427" s="392"/>
    </row>
    <row r="428" ht="15.75" customHeight="1">
      <c r="A428" s="216"/>
      <c r="B428" s="156"/>
      <c r="C428" s="156"/>
      <c r="D428" s="156"/>
      <c r="E428" s="392"/>
      <c r="F428" s="392"/>
      <c r="G428" s="392"/>
      <c r="H428" s="392"/>
      <c r="I428" s="392"/>
      <c r="J428" s="145"/>
      <c r="K428" s="392"/>
      <c r="L428" s="392"/>
      <c r="M428" s="392"/>
      <c r="N428" s="392"/>
      <c r="O428" s="392"/>
      <c r="P428" s="392"/>
      <c r="Q428" s="392"/>
      <c r="R428" s="392"/>
      <c r="S428" s="392"/>
      <c r="T428" s="392"/>
      <c r="U428" s="392"/>
      <c r="V428" s="392"/>
      <c r="W428" s="392"/>
      <c r="X428" s="392"/>
      <c r="Y428" s="392"/>
      <c r="Z428" s="392"/>
      <c r="AA428" s="392"/>
      <c r="AB428" s="392"/>
      <c r="AC428" s="392"/>
      <c r="AD428" s="392"/>
      <c r="AE428" s="392"/>
      <c r="AF428" s="392"/>
    </row>
    <row r="429" ht="15.75" customHeight="1">
      <c r="A429" s="216"/>
      <c r="B429" s="156"/>
      <c r="C429" s="156"/>
      <c r="D429" s="156"/>
      <c r="E429" s="392"/>
      <c r="F429" s="392"/>
      <c r="G429" s="392"/>
      <c r="H429" s="392"/>
      <c r="I429" s="392"/>
      <c r="J429" s="145"/>
      <c r="K429" s="392"/>
      <c r="L429" s="392"/>
      <c r="M429" s="392"/>
      <c r="N429" s="392"/>
      <c r="O429" s="392"/>
      <c r="P429" s="392"/>
      <c r="Q429" s="392"/>
      <c r="R429" s="392"/>
      <c r="S429" s="392"/>
      <c r="T429" s="392"/>
      <c r="U429" s="392"/>
      <c r="V429" s="392"/>
      <c r="W429" s="392"/>
      <c r="X429" s="392"/>
      <c r="Y429" s="392"/>
      <c r="Z429" s="392"/>
      <c r="AA429" s="392"/>
      <c r="AB429" s="392"/>
      <c r="AC429" s="392"/>
      <c r="AD429" s="392"/>
      <c r="AE429" s="392"/>
      <c r="AF429" s="392"/>
    </row>
    <row r="430" ht="15.75" customHeight="1">
      <c r="A430" s="216"/>
      <c r="B430" s="156"/>
      <c r="C430" s="156"/>
      <c r="D430" s="156"/>
      <c r="E430" s="392"/>
      <c r="F430" s="392"/>
      <c r="G430" s="392"/>
      <c r="H430" s="392"/>
      <c r="I430" s="392"/>
      <c r="J430" s="145"/>
      <c r="K430" s="392"/>
      <c r="L430" s="392"/>
      <c r="M430" s="392"/>
      <c r="N430" s="392"/>
      <c r="O430" s="392"/>
      <c r="P430" s="392"/>
      <c r="Q430" s="392"/>
      <c r="R430" s="392"/>
      <c r="S430" s="392"/>
      <c r="T430" s="392"/>
      <c r="U430" s="392"/>
      <c r="V430" s="392"/>
      <c r="W430" s="392"/>
      <c r="X430" s="392"/>
      <c r="Y430" s="392"/>
      <c r="Z430" s="392"/>
      <c r="AA430" s="392"/>
      <c r="AB430" s="392"/>
      <c r="AC430" s="392"/>
      <c r="AD430" s="392"/>
      <c r="AE430" s="392"/>
      <c r="AF430" s="392"/>
    </row>
    <row r="431" ht="15.75" customHeight="1">
      <c r="A431" s="216"/>
      <c r="B431" s="156"/>
      <c r="C431" s="156"/>
      <c r="D431" s="156"/>
      <c r="E431" s="392"/>
      <c r="F431" s="392"/>
      <c r="G431" s="392"/>
      <c r="H431" s="392"/>
      <c r="I431" s="392"/>
      <c r="J431" s="145"/>
      <c r="K431" s="392"/>
      <c r="L431" s="392"/>
      <c r="M431" s="392"/>
      <c r="N431" s="392"/>
      <c r="O431" s="392"/>
      <c r="P431" s="392"/>
      <c r="Q431" s="392"/>
      <c r="R431" s="392"/>
      <c r="S431" s="392"/>
      <c r="T431" s="392"/>
      <c r="U431" s="392"/>
      <c r="V431" s="392"/>
      <c r="W431" s="392"/>
      <c r="X431" s="392"/>
      <c r="Y431" s="392"/>
      <c r="Z431" s="392"/>
      <c r="AA431" s="392"/>
      <c r="AB431" s="392"/>
      <c r="AC431" s="392"/>
      <c r="AD431" s="392"/>
      <c r="AE431" s="392"/>
      <c r="AF431" s="392"/>
    </row>
    <row r="432" ht="15.75" customHeight="1">
      <c r="A432" s="216"/>
      <c r="B432" s="156"/>
      <c r="C432" s="156"/>
      <c r="D432" s="156"/>
      <c r="E432" s="392"/>
      <c r="F432" s="392"/>
      <c r="G432" s="392"/>
      <c r="H432" s="392"/>
      <c r="I432" s="392"/>
      <c r="J432" s="145"/>
      <c r="K432" s="392"/>
      <c r="L432" s="392"/>
      <c r="M432" s="392"/>
      <c r="N432" s="392"/>
      <c r="O432" s="392"/>
      <c r="P432" s="392"/>
      <c r="Q432" s="392"/>
      <c r="R432" s="392"/>
      <c r="S432" s="392"/>
      <c r="T432" s="392"/>
      <c r="U432" s="392"/>
      <c r="V432" s="392"/>
      <c r="W432" s="392"/>
      <c r="X432" s="392"/>
      <c r="Y432" s="392"/>
      <c r="Z432" s="392"/>
      <c r="AA432" s="392"/>
      <c r="AB432" s="392"/>
      <c r="AC432" s="392"/>
      <c r="AD432" s="392"/>
      <c r="AE432" s="392"/>
      <c r="AF432" s="392"/>
    </row>
    <row r="433" ht="15.75" customHeight="1">
      <c r="A433" s="216"/>
      <c r="B433" s="156"/>
      <c r="C433" s="156"/>
      <c r="D433" s="156"/>
      <c r="E433" s="392"/>
      <c r="F433" s="392"/>
      <c r="G433" s="392"/>
      <c r="H433" s="392"/>
      <c r="I433" s="392"/>
      <c r="J433" s="145"/>
      <c r="K433" s="392"/>
      <c r="L433" s="392"/>
      <c r="M433" s="392"/>
      <c r="N433" s="392"/>
      <c r="O433" s="392"/>
      <c r="P433" s="392"/>
      <c r="Q433" s="392"/>
      <c r="R433" s="392"/>
      <c r="S433" s="392"/>
      <c r="T433" s="392"/>
      <c r="U433" s="392"/>
      <c r="V433" s="392"/>
      <c r="W433" s="392"/>
      <c r="X433" s="392"/>
      <c r="Y433" s="392"/>
      <c r="Z433" s="392"/>
      <c r="AA433" s="392"/>
      <c r="AB433" s="392"/>
      <c r="AC433" s="392"/>
      <c r="AD433" s="392"/>
      <c r="AE433" s="392"/>
      <c r="AF433" s="392"/>
    </row>
    <row r="434" ht="15.75" customHeight="1">
      <c r="A434" s="216"/>
      <c r="B434" s="156"/>
      <c r="C434" s="156"/>
      <c r="D434" s="156"/>
      <c r="E434" s="392"/>
      <c r="F434" s="392"/>
      <c r="G434" s="392"/>
      <c r="H434" s="392"/>
      <c r="I434" s="392"/>
      <c r="J434" s="145"/>
      <c r="K434" s="392"/>
      <c r="L434" s="392"/>
      <c r="M434" s="392"/>
      <c r="N434" s="392"/>
      <c r="O434" s="392"/>
      <c r="P434" s="392"/>
      <c r="Q434" s="392"/>
      <c r="R434" s="392"/>
      <c r="S434" s="392"/>
      <c r="T434" s="392"/>
      <c r="U434" s="392"/>
      <c r="V434" s="392"/>
      <c r="W434" s="392"/>
      <c r="X434" s="392"/>
      <c r="Y434" s="392"/>
      <c r="Z434" s="392"/>
      <c r="AA434" s="392"/>
      <c r="AB434" s="392"/>
      <c r="AC434" s="392"/>
      <c r="AD434" s="392"/>
      <c r="AE434" s="392"/>
      <c r="AF434" s="392"/>
    </row>
    <row r="435" ht="15.75" customHeight="1">
      <c r="A435" s="216"/>
      <c r="B435" s="156"/>
      <c r="C435" s="156"/>
      <c r="D435" s="156"/>
      <c r="E435" s="392"/>
      <c r="F435" s="392"/>
      <c r="G435" s="392"/>
      <c r="H435" s="392"/>
      <c r="I435" s="392"/>
      <c r="J435" s="145"/>
      <c r="K435" s="392"/>
      <c r="L435" s="392"/>
      <c r="M435" s="392"/>
      <c r="N435" s="392"/>
      <c r="O435" s="392"/>
      <c r="P435" s="392"/>
      <c r="Q435" s="392"/>
      <c r="R435" s="392"/>
      <c r="S435" s="392"/>
      <c r="T435" s="392"/>
      <c r="U435" s="392"/>
      <c r="V435" s="392"/>
      <c r="W435" s="392"/>
      <c r="X435" s="392"/>
      <c r="Y435" s="392"/>
      <c r="Z435" s="392"/>
      <c r="AA435" s="392"/>
      <c r="AB435" s="392"/>
      <c r="AC435" s="392"/>
      <c r="AD435" s="392"/>
      <c r="AE435" s="392"/>
      <c r="AF435" s="392"/>
    </row>
    <row r="436" ht="15.75" customHeight="1">
      <c r="A436" s="216"/>
      <c r="B436" s="156"/>
      <c r="C436" s="156"/>
      <c r="D436" s="156"/>
      <c r="E436" s="392"/>
      <c r="F436" s="392"/>
      <c r="G436" s="392"/>
      <c r="H436" s="392"/>
      <c r="I436" s="392"/>
      <c r="J436" s="145"/>
      <c r="K436" s="392"/>
      <c r="L436" s="392"/>
      <c r="M436" s="392"/>
      <c r="N436" s="392"/>
      <c r="O436" s="392"/>
      <c r="P436" s="392"/>
      <c r="Q436" s="392"/>
      <c r="R436" s="392"/>
      <c r="S436" s="392"/>
      <c r="T436" s="392"/>
      <c r="U436" s="392"/>
      <c r="V436" s="392"/>
      <c r="W436" s="392"/>
      <c r="X436" s="392"/>
      <c r="Y436" s="392"/>
      <c r="Z436" s="392"/>
      <c r="AA436" s="392"/>
      <c r="AB436" s="392"/>
      <c r="AC436" s="392"/>
      <c r="AD436" s="392"/>
      <c r="AE436" s="392"/>
      <c r="AF436" s="392"/>
    </row>
    <row r="437" ht="15.75" customHeight="1">
      <c r="A437" s="216"/>
      <c r="B437" s="156"/>
      <c r="C437" s="156"/>
      <c r="D437" s="156"/>
      <c r="E437" s="392"/>
      <c r="F437" s="392"/>
      <c r="G437" s="392"/>
      <c r="H437" s="392"/>
      <c r="I437" s="392"/>
      <c r="J437" s="145"/>
      <c r="K437" s="392"/>
      <c r="L437" s="392"/>
      <c r="M437" s="392"/>
      <c r="N437" s="392"/>
      <c r="O437" s="392"/>
      <c r="P437" s="392"/>
      <c r="Q437" s="392"/>
      <c r="R437" s="392"/>
      <c r="S437" s="392"/>
      <c r="T437" s="392"/>
      <c r="U437" s="392"/>
      <c r="V437" s="392"/>
      <c r="W437" s="392"/>
      <c r="X437" s="392"/>
      <c r="Y437" s="392"/>
      <c r="Z437" s="392"/>
      <c r="AA437" s="392"/>
      <c r="AB437" s="392"/>
      <c r="AC437" s="392"/>
      <c r="AD437" s="392"/>
      <c r="AE437" s="392"/>
      <c r="AF437" s="392"/>
    </row>
    <row r="438" ht="15.75" customHeight="1">
      <c r="A438" s="216"/>
      <c r="B438" s="156"/>
      <c r="C438" s="156"/>
      <c r="D438" s="156"/>
      <c r="E438" s="392"/>
      <c r="F438" s="392"/>
      <c r="G438" s="392"/>
      <c r="H438" s="392"/>
      <c r="I438" s="392"/>
      <c r="J438" s="145"/>
      <c r="K438" s="392"/>
      <c r="L438" s="392"/>
      <c r="M438" s="392"/>
      <c r="N438" s="392"/>
      <c r="O438" s="392"/>
      <c r="P438" s="392"/>
      <c r="Q438" s="392"/>
      <c r="R438" s="392"/>
      <c r="S438" s="392"/>
      <c r="T438" s="392"/>
      <c r="U438" s="392"/>
      <c r="V438" s="392"/>
      <c r="W438" s="392"/>
      <c r="X438" s="392"/>
      <c r="Y438" s="392"/>
      <c r="Z438" s="392"/>
      <c r="AA438" s="392"/>
      <c r="AB438" s="392"/>
      <c r="AC438" s="392"/>
      <c r="AD438" s="392"/>
      <c r="AE438" s="392"/>
      <c r="AF438" s="392"/>
    </row>
    <row r="439" ht="15.75" customHeight="1">
      <c r="A439" s="216"/>
      <c r="B439" s="156"/>
      <c r="C439" s="156"/>
      <c r="D439" s="156"/>
      <c r="E439" s="392"/>
      <c r="F439" s="392"/>
      <c r="G439" s="392"/>
      <c r="H439" s="392"/>
      <c r="I439" s="392"/>
      <c r="J439" s="145"/>
      <c r="K439" s="392"/>
      <c r="L439" s="392"/>
      <c r="M439" s="392"/>
      <c r="N439" s="392"/>
      <c r="O439" s="392"/>
      <c r="P439" s="392"/>
      <c r="Q439" s="392"/>
      <c r="R439" s="392"/>
      <c r="S439" s="392"/>
      <c r="T439" s="392"/>
      <c r="U439" s="392"/>
      <c r="V439" s="392"/>
      <c r="W439" s="392"/>
      <c r="X439" s="392"/>
      <c r="Y439" s="392"/>
      <c r="Z439" s="392"/>
      <c r="AA439" s="392"/>
      <c r="AB439" s="392"/>
      <c r="AC439" s="392"/>
      <c r="AD439" s="392"/>
      <c r="AE439" s="392"/>
      <c r="AF439" s="392"/>
    </row>
    <row r="440" ht="15.75" customHeight="1">
      <c r="A440" s="216"/>
      <c r="B440" s="156"/>
      <c r="C440" s="156"/>
      <c r="D440" s="156"/>
      <c r="E440" s="392"/>
      <c r="F440" s="392"/>
      <c r="G440" s="392"/>
      <c r="H440" s="392"/>
      <c r="I440" s="392"/>
      <c r="J440" s="145"/>
      <c r="K440" s="392"/>
      <c r="L440" s="392"/>
      <c r="M440" s="392"/>
      <c r="N440" s="392"/>
      <c r="O440" s="392"/>
      <c r="P440" s="392"/>
      <c r="Q440" s="392"/>
      <c r="R440" s="392"/>
      <c r="S440" s="392"/>
      <c r="T440" s="392"/>
      <c r="U440" s="392"/>
      <c r="V440" s="392"/>
      <c r="W440" s="392"/>
      <c r="X440" s="392"/>
      <c r="Y440" s="392"/>
      <c r="Z440" s="392"/>
      <c r="AA440" s="392"/>
      <c r="AB440" s="392"/>
      <c r="AC440" s="392"/>
      <c r="AD440" s="392"/>
      <c r="AE440" s="392"/>
      <c r="AF440" s="392"/>
    </row>
    <row r="441" ht="15.75" customHeight="1">
      <c r="A441" s="216"/>
      <c r="B441" s="156"/>
      <c r="C441" s="156"/>
      <c r="D441" s="156"/>
      <c r="E441" s="392"/>
      <c r="F441" s="392"/>
      <c r="G441" s="392"/>
      <c r="H441" s="392"/>
      <c r="I441" s="392"/>
      <c r="J441" s="145"/>
      <c r="K441" s="392"/>
      <c r="L441" s="392"/>
      <c r="M441" s="392"/>
      <c r="N441" s="392"/>
      <c r="O441" s="392"/>
      <c r="P441" s="392"/>
      <c r="Q441" s="392"/>
      <c r="R441" s="392"/>
      <c r="S441" s="392"/>
      <c r="T441" s="392"/>
      <c r="U441" s="392"/>
      <c r="V441" s="392"/>
      <c r="W441" s="392"/>
      <c r="X441" s="392"/>
      <c r="Y441" s="392"/>
      <c r="Z441" s="392"/>
      <c r="AA441" s="392"/>
      <c r="AB441" s="392"/>
      <c r="AC441" s="392"/>
      <c r="AD441" s="392"/>
      <c r="AE441" s="392"/>
      <c r="AF441" s="392"/>
    </row>
    <row r="442" ht="15.75" customHeight="1">
      <c r="A442" s="216"/>
      <c r="B442" s="156"/>
      <c r="C442" s="156"/>
      <c r="D442" s="156"/>
      <c r="E442" s="392"/>
      <c r="F442" s="392"/>
      <c r="G442" s="392"/>
      <c r="H442" s="392"/>
      <c r="I442" s="392"/>
      <c r="J442" s="145"/>
      <c r="K442" s="392"/>
      <c r="L442" s="392"/>
      <c r="M442" s="392"/>
      <c r="N442" s="392"/>
      <c r="O442" s="392"/>
      <c r="P442" s="392"/>
      <c r="Q442" s="392"/>
      <c r="R442" s="392"/>
      <c r="S442" s="392"/>
      <c r="T442" s="392"/>
      <c r="U442" s="392"/>
      <c r="V442" s="392"/>
      <c r="W442" s="392"/>
      <c r="X442" s="392"/>
      <c r="Y442" s="392"/>
      <c r="Z442" s="392"/>
      <c r="AA442" s="392"/>
      <c r="AB442" s="392"/>
      <c r="AC442" s="392"/>
      <c r="AD442" s="392"/>
      <c r="AE442" s="392"/>
      <c r="AF442" s="392"/>
    </row>
    <row r="443" ht="15.75" customHeight="1">
      <c r="A443" s="216"/>
      <c r="B443" s="156"/>
      <c r="C443" s="156"/>
      <c r="D443" s="156"/>
      <c r="E443" s="392"/>
      <c r="F443" s="392"/>
      <c r="G443" s="392"/>
      <c r="H443" s="392"/>
      <c r="I443" s="392"/>
      <c r="J443" s="145"/>
      <c r="K443" s="392"/>
      <c r="L443" s="392"/>
      <c r="M443" s="392"/>
      <c r="N443" s="392"/>
      <c r="O443" s="392"/>
      <c r="P443" s="392"/>
      <c r="Q443" s="392"/>
      <c r="R443" s="392"/>
      <c r="S443" s="392"/>
      <c r="T443" s="392"/>
      <c r="U443" s="392"/>
      <c r="V443" s="392"/>
      <c r="W443" s="392"/>
      <c r="X443" s="392"/>
      <c r="Y443" s="392"/>
      <c r="Z443" s="392"/>
      <c r="AA443" s="392"/>
      <c r="AB443" s="392"/>
      <c r="AC443" s="392"/>
      <c r="AD443" s="392"/>
      <c r="AE443" s="392"/>
      <c r="AF443" s="392"/>
    </row>
    <row r="444" ht="15.75" customHeight="1">
      <c r="A444" s="216"/>
      <c r="B444" s="156"/>
      <c r="C444" s="156"/>
      <c r="D444" s="156"/>
      <c r="E444" s="392"/>
      <c r="F444" s="392"/>
      <c r="G444" s="392"/>
      <c r="H444" s="392"/>
      <c r="I444" s="392"/>
      <c r="J444" s="145"/>
      <c r="K444" s="392"/>
      <c r="L444" s="392"/>
      <c r="M444" s="392"/>
      <c r="N444" s="392"/>
      <c r="O444" s="392"/>
      <c r="P444" s="392"/>
      <c r="Q444" s="392"/>
      <c r="R444" s="392"/>
      <c r="S444" s="392"/>
      <c r="T444" s="392"/>
      <c r="U444" s="392"/>
      <c r="V444" s="392"/>
      <c r="W444" s="392"/>
      <c r="X444" s="392"/>
      <c r="Y444" s="392"/>
      <c r="Z444" s="392"/>
      <c r="AA444" s="392"/>
      <c r="AB444" s="392"/>
      <c r="AC444" s="392"/>
      <c r="AD444" s="392"/>
      <c r="AE444" s="392"/>
      <c r="AF444" s="392"/>
    </row>
    <row r="445" ht="15.75" customHeight="1">
      <c r="A445" s="216"/>
      <c r="B445" s="156"/>
      <c r="C445" s="156"/>
      <c r="D445" s="156"/>
      <c r="E445" s="392"/>
      <c r="F445" s="392"/>
      <c r="G445" s="392"/>
      <c r="H445" s="392"/>
      <c r="I445" s="392"/>
      <c r="J445" s="145"/>
      <c r="K445" s="392"/>
      <c r="L445" s="392"/>
      <c r="M445" s="392"/>
      <c r="N445" s="392"/>
      <c r="O445" s="392"/>
      <c r="P445" s="392"/>
      <c r="Q445" s="392"/>
      <c r="R445" s="392"/>
      <c r="S445" s="392"/>
      <c r="T445" s="392"/>
      <c r="U445" s="392"/>
      <c r="V445" s="392"/>
      <c r="W445" s="392"/>
      <c r="X445" s="392"/>
      <c r="Y445" s="392"/>
      <c r="Z445" s="392"/>
      <c r="AA445" s="392"/>
      <c r="AB445" s="392"/>
      <c r="AC445" s="392"/>
      <c r="AD445" s="392"/>
      <c r="AE445" s="392"/>
      <c r="AF445" s="392"/>
    </row>
    <row r="446" ht="15.75" customHeight="1">
      <c r="A446" s="216"/>
      <c r="B446" s="156"/>
      <c r="C446" s="156"/>
      <c r="D446" s="156"/>
      <c r="E446" s="392"/>
      <c r="F446" s="392"/>
      <c r="G446" s="392"/>
      <c r="H446" s="392"/>
      <c r="I446" s="392"/>
      <c r="J446" s="145"/>
      <c r="K446" s="392"/>
      <c r="L446" s="392"/>
      <c r="M446" s="392"/>
      <c r="N446" s="392"/>
      <c r="O446" s="392"/>
      <c r="P446" s="392"/>
      <c r="Q446" s="392"/>
      <c r="R446" s="392"/>
      <c r="S446" s="392"/>
      <c r="T446" s="392"/>
      <c r="U446" s="392"/>
      <c r="V446" s="392"/>
      <c r="W446" s="392"/>
      <c r="X446" s="392"/>
      <c r="Y446" s="392"/>
      <c r="Z446" s="392"/>
      <c r="AA446" s="392"/>
      <c r="AB446" s="392"/>
      <c r="AC446" s="392"/>
      <c r="AD446" s="392"/>
      <c r="AE446" s="392"/>
      <c r="AF446" s="392"/>
    </row>
    <row r="447" ht="15.75" customHeight="1">
      <c r="A447" s="216"/>
      <c r="B447" s="156"/>
      <c r="C447" s="156"/>
      <c r="D447" s="156"/>
      <c r="E447" s="392"/>
      <c r="F447" s="392"/>
      <c r="G447" s="392"/>
      <c r="H447" s="392"/>
      <c r="I447" s="392"/>
      <c r="J447" s="145"/>
      <c r="K447" s="392"/>
      <c r="L447" s="392"/>
      <c r="M447" s="392"/>
      <c r="N447" s="392"/>
      <c r="O447" s="392"/>
      <c r="P447" s="392"/>
      <c r="Q447" s="392"/>
      <c r="R447" s="392"/>
      <c r="S447" s="392"/>
      <c r="T447" s="392"/>
      <c r="U447" s="392"/>
      <c r="V447" s="392"/>
      <c r="W447" s="392"/>
      <c r="X447" s="392"/>
      <c r="Y447" s="392"/>
      <c r="Z447" s="392"/>
      <c r="AA447" s="392"/>
      <c r="AB447" s="392"/>
      <c r="AC447" s="392"/>
      <c r="AD447" s="392"/>
      <c r="AE447" s="392"/>
      <c r="AF447" s="392"/>
    </row>
    <row r="448" ht="15.75" customHeight="1">
      <c r="A448" s="216"/>
      <c r="B448" s="156"/>
      <c r="C448" s="156"/>
      <c r="D448" s="156"/>
      <c r="E448" s="392"/>
      <c r="F448" s="392"/>
      <c r="G448" s="392"/>
      <c r="H448" s="392"/>
      <c r="I448" s="392"/>
      <c r="J448" s="145"/>
      <c r="K448" s="392"/>
      <c r="L448" s="392"/>
      <c r="M448" s="392"/>
      <c r="N448" s="392"/>
      <c r="O448" s="392"/>
      <c r="P448" s="392"/>
      <c r="Q448" s="392"/>
      <c r="R448" s="392"/>
      <c r="S448" s="392"/>
      <c r="T448" s="392"/>
      <c r="U448" s="392"/>
      <c r="V448" s="392"/>
      <c r="W448" s="392"/>
      <c r="X448" s="392"/>
      <c r="Y448" s="392"/>
      <c r="Z448" s="392"/>
      <c r="AA448" s="392"/>
      <c r="AB448" s="392"/>
      <c r="AC448" s="392"/>
      <c r="AD448" s="392"/>
      <c r="AE448" s="392"/>
      <c r="AF448" s="392"/>
    </row>
    <row r="449" ht="15.75" customHeight="1">
      <c r="A449" s="216"/>
      <c r="B449" s="156"/>
      <c r="C449" s="156"/>
      <c r="D449" s="156"/>
      <c r="E449" s="392"/>
      <c r="F449" s="392"/>
      <c r="G449" s="392"/>
      <c r="H449" s="392"/>
      <c r="I449" s="392"/>
      <c r="J449" s="145"/>
      <c r="K449" s="392"/>
      <c r="L449" s="392"/>
      <c r="M449" s="392"/>
      <c r="N449" s="392"/>
      <c r="O449" s="392"/>
      <c r="P449" s="392"/>
      <c r="Q449" s="392"/>
      <c r="R449" s="392"/>
      <c r="S449" s="392"/>
      <c r="T449" s="392"/>
      <c r="U449" s="392"/>
      <c r="V449" s="392"/>
      <c r="W449" s="392"/>
      <c r="X449" s="392"/>
      <c r="Y449" s="392"/>
      <c r="Z449" s="392"/>
      <c r="AA449" s="392"/>
      <c r="AB449" s="392"/>
      <c r="AC449" s="392"/>
      <c r="AD449" s="392"/>
      <c r="AE449" s="392"/>
      <c r="AF449" s="392"/>
    </row>
    <row r="450" ht="15.75" customHeight="1">
      <c r="A450" s="216"/>
      <c r="B450" s="156"/>
      <c r="C450" s="156"/>
      <c r="D450" s="156"/>
      <c r="E450" s="392"/>
      <c r="F450" s="392"/>
      <c r="G450" s="392"/>
      <c r="H450" s="392"/>
      <c r="I450" s="392"/>
      <c r="J450" s="145"/>
      <c r="K450" s="392"/>
      <c r="L450" s="392"/>
      <c r="M450" s="392"/>
      <c r="N450" s="392"/>
      <c r="O450" s="392"/>
      <c r="P450" s="392"/>
      <c r="Q450" s="392"/>
      <c r="R450" s="392"/>
      <c r="S450" s="392"/>
      <c r="T450" s="392"/>
      <c r="U450" s="392"/>
      <c r="V450" s="392"/>
      <c r="W450" s="392"/>
      <c r="X450" s="392"/>
      <c r="Y450" s="392"/>
      <c r="Z450" s="392"/>
      <c r="AA450" s="392"/>
      <c r="AB450" s="392"/>
      <c r="AC450" s="392"/>
      <c r="AD450" s="392"/>
      <c r="AE450" s="392"/>
      <c r="AF450" s="392"/>
    </row>
    <row r="451" ht="15.75" customHeight="1">
      <c r="A451" s="216"/>
      <c r="B451" s="156"/>
      <c r="C451" s="156"/>
      <c r="D451" s="156"/>
      <c r="E451" s="392"/>
      <c r="F451" s="392"/>
      <c r="G451" s="392"/>
      <c r="H451" s="392"/>
      <c r="I451" s="392"/>
      <c r="J451" s="145"/>
      <c r="K451" s="392"/>
      <c r="L451" s="392"/>
      <c r="M451" s="392"/>
      <c r="N451" s="392"/>
      <c r="O451" s="392"/>
      <c r="P451" s="392"/>
      <c r="Q451" s="392"/>
      <c r="R451" s="392"/>
      <c r="S451" s="392"/>
      <c r="T451" s="392"/>
      <c r="U451" s="392"/>
      <c r="V451" s="392"/>
      <c r="W451" s="392"/>
      <c r="X451" s="392"/>
      <c r="Y451" s="392"/>
      <c r="Z451" s="392"/>
      <c r="AA451" s="392"/>
      <c r="AB451" s="392"/>
      <c r="AC451" s="392"/>
      <c r="AD451" s="392"/>
      <c r="AE451" s="392"/>
      <c r="AF451" s="392"/>
    </row>
    <row r="452" ht="15.75" customHeight="1">
      <c r="A452" s="216"/>
      <c r="B452" s="156"/>
      <c r="C452" s="156"/>
      <c r="D452" s="156"/>
      <c r="E452" s="392"/>
      <c r="F452" s="392"/>
      <c r="G452" s="392"/>
      <c r="H452" s="392"/>
      <c r="I452" s="392"/>
      <c r="J452" s="145"/>
      <c r="K452" s="392"/>
      <c r="L452" s="392"/>
      <c r="M452" s="392"/>
      <c r="N452" s="392"/>
      <c r="O452" s="392"/>
      <c r="P452" s="392"/>
      <c r="Q452" s="392"/>
      <c r="R452" s="392"/>
      <c r="S452" s="392"/>
      <c r="T452" s="392"/>
      <c r="U452" s="392"/>
      <c r="V452" s="392"/>
      <c r="W452" s="392"/>
      <c r="X452" s="392"/>
      <c r="Y452" s="392"/>
      <c r="Z452" s="392"/>
      <c r="AA452" s="392"/>
      <c r="AB452" s="392"/>
      <c r="AC452" s="392"/>
      <c r="AD452" s="392"/>
      <c r="AE452" s="392"/>
      <c r="AF452" s="392"/>
    </row>
    <row r="453" ht="15.75" customHeight="1">
      <c r="A453" s="216"/>
      <c r="B453" s="156"/>
      <c r="C453" s="156"/>
      <c r="D453" s="156"/>
      <c r="E453" s="392"/>
      <c r="F453" s="392"/>
      <c r="G453" s="392"/>
      <c r="H453" s="392"/>
      <c r="I453" s="392"/>
      <c r="J453" s="145"/>
      <c r="K453" s="392"/>
      <c r="L453" s="392"/>
      <c r="M453" s="392"/>
      <c r="N453" s="392"/>
      <c r="O453" s="392"/>
      <c r="P453" s="392"/>
      <c r="Q453" s="392"/>
      <c r="R453" s="392"/>
      <c r="S453" s="392"/>
      <c r="T453" s="392"/>
      <c r="U453" s="392"/>
      <c r="V453" s="392"/>
      <c r="W453" s="392"/>
      <c r="X453" s="392"/>
      <c r="Y453" s="392"/>
      <c r="Z453" s="392"/>
      <c r="AA453" s="392"/>
      <c r="AB453" s="392"/>
      <c r="AC453" s="392"/>
      <c r="AD453" s="392"/>
      <c r="AE453" s="392"/>
      <c r="AF453" s="392"/>
    </row>
    <row r="454" ht="15.75" customHeight="1">
      <c r="A454" s="216"/>
      <c r="B454" s="156"/>
      <c r="C454" s="156"/>
      <c r="D454" s="156"/>
      <c r="E454" s="392"/>
      <c r="F454" s="392"/>
      <c r="G454" s="392"/>
      <c r="H454" s="392"/>
      <c r="I454" s="392"/>
      <c r="J454" s="145"/>
      <c r="K454" s="392"/>
      <c r="L454" s="392"/>
      <c r="M454" s="392"/>
      <c r="N454" s="392"/>
      <c r="O454" s="392"/>
      <c r="P454" s="392"/>
      <c r="Q454" s="392"/>
      <c r="R454" s="392"/>
      <c r="S454" s="392"/>
      <c r="T454" s="392"/>
      <c r="U454" s="392"/>
      <c r="V454" s="392"/>
      <c r="W454" s="392"/>
      <c r="X454" s="392"/>
      <c r="Y454" s="392"/>
      <c r="Z454" s="392"/>
      <c r="AA454" s="392"/>
      <c r="AB454" s="392"/>
      <c r="AC454" s="392"/>
      <c r="AD454" s="392"/>
      <c r="AE454" s="392"/>
      <c r="AF454" s="392"/>
    </row>
    <row r="455" ht="15.75" customHeight="1">
      <c r="A455" s="216"/>
      <c r="B455" s="156"/>
      <c r="C455" s="156"/>
      <c r="D455" s="156"/>
      <c r="E455" s="392"/>
      <c r="F455" s="392"/>
      <c r="G455" s="392"/>
      <c r="H455" s="392"/>
      <c r="I455" s="392"/>
      <c r="J455" s="145"/>
      <c r="K455" s="392"/>
      <c r="L455" s="392"/>
      <c r="M455" s="392"/>
      <c r="N455" s="392"/>
      <c r="O455" s="392"/>
      <c r="P455" s="392"/>
      <c r="Q455" s="392"/>
      <c r="R455" s="392"/>
      <c r="S455" s="392"/>
      <c r="T455" s="392"/>
      <c r="U455" s="392"/>
      <c r="V455" s="392"/>
      <c r="W455" s="392"/>
      <c r="X455" s="392"/>
      <c r="Y455" s="392"/>
      <c r="Z455" s="392"/>
      <c r="AA455" s="392"/>
      <c r="AB455" s="392"/>
      <c r="AC455" s="392"/>
      <c r="AD455" s="392"/>
      <c r="AE455" s="392"/>
      <c r="AF455" s="392"/>
    </row>
    <row r="456" ht="15.75" customHeight="1">
      <c r="A456" s="216"/>
      <c r="B456" s="156"/>
      <c r="C456" s="156"/>
      <c r="D456" s="156"/>
      <c r="E456" s="392"/>
      <c r="F456" s="392"/>
      <c r="G456" s="392"/>
      <c r="H456" s="392"/>
      <c r="I456" s="392"/>
      <c r="J456" s="145"/>
      <c r="K456" s="392"/>
      <c r="L456" s="392"/>
      <c r="M456" s="392"/>
      <c r="N456" s="392"/>
      <c r="O456" s="392"/>
      <c r="P456" s="392"/>
      <c r="Q456" s="392"/>
      <c r="R456" s="392"/>
      <c r="S456" s="392"/>
      <c r="T456" s="392"/>
      <c r="U456" s="392"/>
      <c r="V456" s="392"/>
      <c r="W456" s="392"/>
      <c r="X456" s="392"/>
      <c r="Y456" s="392"/>
      <c r="Z456" s="392"/>
      <c r="AA456" s="392"/>
      <c r="AB456" s="392"/>
      <c r="AC456" s="392"/>
      <c r="AD456" s="392"/>
      <c r="AE456" s="392"/>
      <c r="AF456" s="392"/>
    </row>
    <row r="457" ht="15.75" customHeight="1">
      <c r="A457" s="216"/>
      <c r="B457" s="156"/>
      <c r="C457" s="156"/>
      <c r="D457" s="156"/>
      <c r="E457" s="392"/>
      <c r="F457" s="392"/>
      <c r="G457" s="392"/>
      <c r="H457" s="392"/>
      <c r="I457" s="392"/>
      <c r="J457" s="145"/>
      <c r="K457" s="392"/>
      <c r="L457" s="392"/>
      <c r="M457" s="392"/>
      <c r="N457" s="392"/>
      <c r="O457" s="392"/>
      <c r="P457" s="392"/>
      <c r="Q457" s="392"/>
      <c r="R457" s="392"/>
      <c r="S457" s="392"/>
      <c r="T457" s="392"/>
      <c r="U457" s="392"/>
      <c r="V457" s="392"/>
      <c r="W457" s="392"/>
      <c r="X457" s="392"/>
      <c r="Y457" s="392"/>
      <c r="Z457" s="392"/>
      <c r="AA457" s="392"/>
      <c r="AB457" s="392"/>
      <c r="AC457" s="392"/>
      <c r="AD457" s="392"/>
      <c r="AE457" s="392"/>
      <c r="AF457" s="392"/>
    </row>
    <row r="458" ht="15.75" customHeight="1">
      <c r="A458" s="216"/>
      <c r="B458" s="156"/>
      <c r="C458" s="156"/>
      <c r="D458" s="156"/>
      <c r="E458" s="392"/>
      <c r="F458" s="392"/>
      <c r="G458" s="392"/>
      <c r="H458" s="392"/>
      <c r="I458" s="392"/>
      <c r="J458" s="145"/>
      <c r="K458" s="392"/>
      <c r="L458" s="392"/>
      <c r="M458" s="392"/>
      <c r="N458" s="392"/>
      <c r="O458" s="392"/>
      <c r="P458" s="392"/>
      <c r="Q458" s="392"/>
      <c r="R458" s="392"/>
      <c r="S458" s="392"/>
      <c r="T458" s="392"/>
      <c r="U458" s="392"/>
      <c r="V458" s="392"/>
      <c r="W458" s="392"/>
      <c r="X458" s="392"/>
      <c r="Y458" s="392"/>
      <c r="Z458" s="392"/>
      <c r="AA458" s="392"/>
      <c r="AB458" s="392"/>
      <c r="AC458" s="392"/>
      <c r="AD458" s="392"/>
      <c r="AE458" s="392"/>
      <c r="AF458" s="392"/>
    </row>
    <row r="459" ht="15.75" customHeight="1">
      <c r="A459" s="216"/>
      <c r="B459" s="156"/>
      <c r="C459" s="156"/>
      <c r="D459" s="156"/>
      <c r="E459" s="392"/>
      <c r="F459" s="392"/>
      <c r="G459" s="392"/>
      <c r="H459" s="392"/>
      <c r="I459" s="392"/>
      <c r="J459" s="145"/>
      <c r="K459" s="392"/>
      <c r="L459" s="392"/>
      <c r="M459" s="392"/>
      <c r="N459" s="392"/>
      <c r="O459" s="392"/>
      <c r="P459" s="392"/>
      <c r="Q459" s="392"/>
      <c r="R459" s="392"/>
      <c r="S459" s="392"/>
      <c r="T459" s="392"/>
      <c r="U459" s="392"/>
      <c r="V459" s="392"/>
      <c r="W459" s="392"/>
      <c r="X459" s="392"/>
      <c r="Y459" s="392"/>
      <c r="Z459" s="392"/>
      <c r="AA459" s="392"/>
      <c r="AB459" s="392"/>
      <c r="AC459" s="392"/>
      <c r="AD459" s="392"/>
      <c r="AE459" s="392"/>
      <c r="AF459" s="392"/>
    </row>
    <row r="460" ht="15.75" customHeight="1">
      <c r="A460" s="216"/>
      <c r="B460" s="156"/>
      <c r="C460" s="156"/>
      <c r="D460" s="156"/>
      <c r="E460" s="392"/>
      <c r="F460" s="392"/>
      <c r="G460" s="392"/>
      <c r="H460" s="392"/>
      <c r="I460" s="392"/>
      <c r="J460" s="145"/>
      <c r="K460" s="392"/>
      <c r="L460" s="392"/>
      <c r="M460" s="392"/>
      <c r="N460" s="392"/>
      <c r="O460" s="392"/>
      <c r="P460" s="392"/>
      <c r="Q460" s="392"/>
      <c r="R460" s="392"/>
      <c r="S460" s="392"/>
      <c r="T460" s="392"/>
      <c r="U460" s="392"/>
      <c r="V460" s="392"/>
      <c r="W460" s="392"/>
      <c r="X460" s="392"/>
      <c r="Y460" s="392"/>
      <c r="Z460" s="392"/>
      <c r="AA460" s="392"/>
      <c r="AB460" s="392"/>
      <c r="AC460" s="392"/>
      <c r="AD460" s="392"/>
      <c r="AE460" s="392"/>
      <c r="AF460" s="392"/>
    </row>
    <row r="461" ht="15.75" customHeight="1">
      <c r="A461" s="216"/>
      <c r="B461" s="156"/>
      <c r="C461" s="156"/>
      <c r="D461" s="156"/>
      <c r="E461" s="392"/>
      <c r="F461" s="392"/>
      <c r="G461" s="392"/>
      <c r="H461" s="392"/>
      <c r="I461" s="392"/>
      <c r="J461" s="145"/>
      <c r="K461" s="392"/>
      <c r="L461" s="392"/>
      <c r="M461" s="392"/>
      <c r="N461" s="392"/>
      <c r="O461" s="392"/>
      <c r="P461" s="392"/>
      <c r="Q461" s="392"/>
      <c r="R461" s="392"/>
      <c r="S461" s="392"/>
      <c r="T461" s="392"/>
      <c r="U461" s="392"/>
      <c r="V461" s="392"/>
      <c r="W461" s="392"/>
      <c r="X461" s="392"/>
      <c r="Y461" s="392"/>
      <c r="Z461" s="392"/>
      <c r="AA461" s="392"/>
      <c r="AB461" s="392"/>
      <c r="AC461" s="392"/>
      <c r="AD461" s="392"/>
      <c r="AE461" s="392"/>
      <c r="AF461" s="392"/>
    </row>
    <row r="462" ht="15.75" customHeight="1">
      <c r="A462" s="216"/>
      <c r="B462" s="156"/>
      <c r="C462" s="156"/>
      <c r="D462" s="156"/>
      <c r="E462" s="392"/>
      <c r="F462" s="392"/>
      <c r="G462" s="392"/>
      <c r="H462" s="392"/>
      <c r="I462" s="392"/>
      <c r="J462" s="145"/>
      <c r="K462" s="392"/>
      <c r="L462" s="392"/>
      <c r="M462" s="392"/>
      <c r="N462" s="392"/>
      <c r="O462" s="392"/>
      <c r="P462" s="392"/>
      <c r="Q462" s="392"/>
      <c r="R462" s="392"/>
      <c r="S462" s="392"/>
      <c r="T462" s="392"/>
      <c r="U462" s="392"/>
      <c r="V462" s="392"/>
      <c r="W462" s="392"/>
      <c r="X462" s="392"/>
      <c r="Y462" s="392"/>
      <c r="Z462" s="392"/>
      <c r="AA462" s="392"/>
      <c r="AB462" s="392"/>
      <c r="AC462" s="392"/>
      <c r="AD462" s="392"/>
      <c r="AE462" s="392"/>
      <c r="AF462" s="392"/>
    </row>
    <row r="463" ht="15.75" customHeight="1">
      <c r="A463" s="216"/>
      <c r="B463" s="156"/>
      <c r="C463" s="156"/>
      <c r="D463" s="156"/>
      <c r="E463" s="392"/>
      <c r="F463" s="392"/>
      <c r="G463" s="392"/>
      <c r="H463" s="392"/>
      <c r="I463" s="392"/>
      <c r="J463" s="145"/>
      <c r="K463" s="392"/>
      <c r="L463" s="392"/>
      <c r="M463" s="392"/>
      <c r="N463" s="392"/>
      <c r="O463" s="392"/>
      <c r="P463" s="392"/>
      <c r="Q463" s="392"/>
      <c r="R463" s="392"/>
      <c r="S463" s="392"/>
      <c r="T463" s="392"/>
      <c r="U463" s="392"/>
      <c r="V463" s="392"/>
      <c r="W463" s="392"/>
      <c r="X463" s="392"/>
      <c r="Y463" s="392"/>
      <c r="Z463" s="392"/>
      <c r="AA463" s="392"/>
      <c r="AB463" s="392"/>
      <c r="AC463" s="392"/>
      <c r="AD463" s="392"/>
      <c r="AE463" s="392"/>
      <c r="AF463" s="392"/>
    </row>
    <row r="464" ht="15.75" customHeight="1">
      <c r="A464" s="216"/>
      <c r="B464" s="156"/>
      <c r="C464" s="156"/>
      <c r="D464" s="156"/>
      <c r="E464" s="392"/>
      <c r="F464" s="392"/>
      <c r="G464" s="392"/>
      <c r="H464" s="392"/>
      <c r="I464" s="392"/>
      <c r="J464" s="145"/>
      <c r="K464" s="392"/>
      <c r="L464" s="392"/>
      <c r="M464" s="392"/>
      <c r="N464" s="392"/>
      <c r="O464" s="392"/>
      <c r="P464" s="392"/>
      <c r="Q464" s="392"/>
      <c r="R464" s="392"/>
      <c r="S464" s="392"/>
      <c r="T464" s="392"/>
      <c r="U464" s="392"/>
      <c r="V464" s="392"/>
      <c r="W464" s="392"/>
      <c r="X464" s="392"/>
      <c r="Y464" s="392"/>
      <c r="Z464" s="392"/>
      <c r="AA464" s="392"/>
      <c r="AB464" s="392"/>
      <c r="AC464" s="392"/>
      <c r="AD464" s="392"/>
      <c r="AE464" s="392"/>
      <c r="AF464" s="392"/>
    </row>
    <row r="465" ht="15.75" customHeight="1">
      <c r="A465" s="216"/>
      <c r="B465" s="156"/>
      <c r="C465" s="156"/>
      <c r="D465" s="156"/>
      <c r="E465" s="392"/>
      <c r="F465" s="392"/>
      <c r="G465" s="392"/>
      <c r="H465" s="392"/>
      <c r="I465" s="392"/>
      <c r="J465" s="145"/>
      <c r="K465" s="392"/>
      <c r="L465" s="392"/>
      <c r="M465" s="392"/>
      <c r="N465" s="392"/>
      <c r="O465" s="392"/>
      <c r="P465" s="392"/>
      <c r="Q465" s="392"/>
      <c r="R465" s="392"/>
      <c r="S465" s="392"/>
      <c r="T465" s="392"/>
      <c r="U465" s="392"/>
      <c r="V465" s="392"/>
      <c r="W465" s="392"/>
      <c r="X465" s="392"/>
      <c r="Y465" s="392"/>
      <c r="Z465" s="392"/>
      <c r="AA465" s="392"/>
      <c r="AB465" s="392"/>
      <c r="AC465" s="392"/>
      <c r="AD465" s="392"/>
      <c r="AE465" s="392"/>
      <c r="AF465" s="392"/>
    </row>
    <row r="466" ht="15.75" customHeight="1">
      <c r="A466" s="216"/>
      <c r="B466" s="156"/>
      <c r="C466" s="156"/>
      <c r="D466" s="156"/>
      <c r="E466" s="392"/>
      <c r="F466" s="392"/>
      <c r="G466" s="392"/>
      <c r="H466" s="392"/>
      <c r="I466" s="392"/>
      <c r="J466" s="145"/>
      <c r="K466" s="392"/>
      <c r="L466" s="392"/>
      <c r="M466" s="392"/>
      <c r="N466" s="392"/>
      <c r="O466" s="392"/>
      <c r="P466" s="392"/>
      <c r="Q466" s="392"/>
      <c r="R466" s="392"/>
      <c r="S466" s="392"/>
      <c r="T466" s="392"/>
      <c r="U466" s="392"/>
      <c r="V466" s="392"/>
      <c r="W466" s="392"/>
      <c r="X466" s="392"/>
      <c r="Y466" s="392"/>
      <c r="Z466" s="392"/>
      <c r="AA466" s="392"/>
      <c r="AB466" s="392"/>
      <c r="AC466" s="392"/>
      <c r="AD466" s="392"/>
      <c r="AE466" s="392"/>
      <c r="AF466" s="392"/>
    </row>
    <row r="467" ht="15.75" customHeight="1">
      <c r="A467" s="216"/>
      <c r="B467" s="156"/>
      <c r="C467" s="156"/>
      <c r="D467" s="156"/>
      <c r="E467" s="392"/>
      <c r="F467" s="392"/>
      <c r="G467" s="392"/>
      <c r="H467" s="392"/>
      <c r="I467" s="392"/>
      <c r="J467" s="145"/>
      <c r="K467" s="392"/>
      <c r="L467" s="392"/>
      <c r="M467" s="392"/>
      <c r="N467" s="392"/>
      <c r="O467" s="392"/>
      <c r="P467" s="392"/>
      <c r="Q467" s="392"/>
      <c r="R467" s="392"/>
      <c r="S467" s="392"/>
      <c r="T467" s="392"/>
      <c r="U467" s="392"/>
      <c r="V467" s="392"/>
      <c r="W467" s="392"/>
      <c r="X467" s="392"/>
      <c r="Y467" s="392"/>
      <c r="Z467" s="392"/>
      <c r="AA467" s="392"/>
      <c r="AB467" s="392"/>
      <c r="AC467" s="392"/>
      <c r="AD467" s="392"/>
      <c r="AE467" s="392"/>
      <c r="AF467" s="392"/>
    </row>
    <row r="468" ht="15.75" customHeight="1">
      <c r="A468" s="216"/>
      <c r="B468" s="156"/>
      <c r="C468" s="156"/>
      <c r="D468" s="156"/>
      <c r="E468" s="392"/>
      <c r="F468" s="392"/>
      <c r="G468" s="392"/>
      <c r="H468" s="392"/>
      <c r="I468" s="392"/>
      <c r="J468" s="145"/>
      <c r="K468" s="392"/>
      <c r="L468" s="392"/>
      <c r="M468" s="392"/>
      <c r="N468" s="392"/>
      <c r="O468" s="392"/>
      <c r="P468" s="392"/>
      <c r="Q468" s="392"/>
      <c r="R468" s="392"/>
      <c r="S468" s="392"/>
      <c r="T468" s="392"/>
      <c r="U468" s="392"/>
      <c r="V468" s="392"/>
      <c r="W468" s="392"/>
      <c r="X468" s="392"/>
      <c r="Y468" s="392"/>
      <c r="Z468" s="392"/>
      <c r="AA468" s="392"/>
      <c r="AB468" s="392"/>
      <c r="AC468" s="392"/>
      <c r="AD468" s="392"/>
      <c r="AE468" s="392"/>
      <c r="AF468" s="392"/>
    </row>
    <row r="469" ht="15.75" customHeight="1">
      <c r="A469" s="216"/>
      <c r="B469" s="156"/>
      <c r="C469" s="156"/>
      <c r="D469" s="156"/>
      <c r="E469" s="392"/>
      <c r="F469" s="392"/>
      <c r="G469" s="392"/>
      <c r="H469" s="392"/>
      <c r="I469" s="392"/>
      <c r="J469" s="145"/>
      <c r="K469" s="392"/>
      <c r="L469" s="392"/>
      <c r="M469" s="392"/>
      <c r="N469" s="392"/>
      <c r="O469" s="392"/>
      <c r="P469" s="392"/>
      <c r="Q469" s="392"/>
      <c r="R469" s="392"/>
      <c r="S469" s="392"/>
      <c r="T469" s="392"/>
      <c r="U469" s="392"/>
      <c r="V469" s="392"/>
      <c r="W469" s="392"/>
      <c r="X469" s="392"/>
      <c r="Y469" s="392"/>
      <c r="Z469" s="392"/>
      <c r="AA469" s="392"/>
      <c r="AB469" s="392"/>
      <c r="AC469" s="392"/>
      <c r="AD469" s="392"/>
      <c r="AE469" s="392"/>
      <c r="AF469" s="392"/>
    </row>
    <row r="470" ht="15.75" customHeight="1">
      <c r="A470" s="216"/>
      <c r="B470" s="156"/>
      <c r="C470" s="156"/>
      <c r="D470" s="156"/>
      <c r="E470" s="392"/>
      <c r="F470" s="392"/>
      <c r="G470" s="392"/>
      <c r="H470" s="392"/>
      <c r="I470" s="392"/>
      <c r="J470" s="145"/>
      <c r="K470" s="392"/>
      <c r="L470" s="392"/>
      <c r="M470" s="392"/>
      <c r="N470" s="392"/>
      <c r="O470" s="392"/>
      <c r="P470" s="392"/>
      <c r="Q470" s="392"/>
      <c r="R470" s="392"/>
      <c r="S470" s="392"/>
      <c r="T470" s="392"/>
      <c r="U470" s="392"/>
      <c r="V470" s="392"/>
      <c r="W470" s="392"/>
      <c r="X470" s="392"/>
      <c r="Y470" s="392"/>
      <c r="Z470" s="392"/>
      <c r="AA470" s="392"/>
      <c r="AB470" s="392"/>
      <c r="AC470" s="392"/>
      <c r="AD470" s="392"/>
      <c r="AE470" s="392"/>
      <c r="AF470" s="392"/>
    </row>
    <row r="471" ht="15.75" customHeight="1">
      <c r="A471" s="216"/>
      <c r="B471" s="156"/>
      <c r="C471" s="156"/>
      <c r="D471" s="156"/>
      <c r="E471" s="392"/>
      <c r="F471" s="392"/>
      <c r="G471" s="392"/>
      <c r="H471" s="392"/>
      <c r="I471" s="392"/>
      <c r="J471" s="145"/>
      <c r="K471" s="392"/>
      <c r="L471" s="392"/>
      <c r="M471" s="392"/>
      <c r="N471" s="392"/>
      <c r="O471" s="392"/>
      <c r="P471" s="392"/>
      <c r="Q471" s="392"/>
      <c r="R471" s="392"/>
      <c r="S471" s="392"/>
      <c r="T471" s="392"/>
      <c r="U471" s="392"/>
      <c r="V471" s="392"/>
      <c r="W471" s="392"/>
      <c r="X471" s="392"/>
      <c r="Y471" s="392"/>
      <c r="Z471" s="392"/>
      <c r="AA471" s="392"/>
      <c r="AB471" s="392"/>
      <c r="AC471" s="392"/>
      <c r="AD471" s="392"/>
      <c r="AE471" s="392"/>
      <c r="AF471" s="392"/>
    </row>
    <row r="472" ht="15.75" customHeight="1">
      <c r="A472" s="216"/>
      <c r="B472" s="156"/>
      <c r="C472" s="156"/>
      <c r="D472" s="156"/>
      <c r="E472" s="392"/>
      <c r="F472" s="392"/>
      <c r="G472" s="392"/>
      <c r="H472" s="392"/>
      <c r="I472" s="392"/>
      <c r="J472" s="145"/>
      <c r="K472" s="392"/>
      <c r="L472" s="392"/>
      <c r="M472" s="392"/>
      <c r="N472" s="392"/>
      <c r="O472" s="392"/>
      <c r="P472" s="392"/>
      <c r="Q472" s="392"/>
      <c r="R472" s="392"/>
      <c r="S472" s="392"/>
      <c r="T472" s="392"/>
      <c r="U472" s="392"/>
      <c r="V472" s="392"/>
      <c r="W472" s="392"/>
      <c r="X472" s="392"/>
      <c r="Y472" s="392"/>
      <c r="Z472" s="392"/>
      <c r="AA472" s="392"/>
      <c r="AB472" s="392"/>
      <c r="AC472" s="392"/>
      <c r="AD472" s="392"/>
      <c r="AE472" s="392"/>
      <c r="AF472" s="392"/>
    </row>
    <row r="473" ht="15.75" customHeight="1">
      <c r="A473" s="216"/>
      <c r="B473" s="156"/>
      <c r="C473" s="156"/>
      <c r="D473" s="156"/>
      <c r="E473" s="392"/>
      <c r="F473" s="392"/>
      <c r="G473" s="392"/>
      <c r="H473" s="392"/>
      <c r="I473" s="392"/>
      <c r="J473" s="145"/>
      <c r="K473" s="392"/>
      <c r="L473" s="392"/>
      <c r="M473" s="392"/>
      <c r="N473" s="392"/>
      <c r="O473" s="392"/>
      <c r="P473" s="392"/>
      <c r="Q473" s="392"/>
      <c r="R473" s="392"/>
      <c r="S473" s="392"/>
      <c r="T473" s="392"/>
      <c r="U473" s="392"/>
      <c r="V473" s="392"/>
      <c r="W473" s="392"/>
      <c r="X473" s="392"/>
      <c r="Y473" s="392"/>
      <c r="Z473" s="392"/>
      <c r="AA473" s="392"/>
      <c r="AB473" s="392"/>
      <c r="AC473" s="392"/>
      <c r="AD473" s="392"/>
      <c r="AE473" s="392"/>
      <c r="AF473" s="392"/>
    </row>
    <row r="474" ht="15.75" customHeight="1">
      <c r="A474" s="216"/>
      <c r="B474" s="156"/>
      <c r="C474" s="156"/>
      <c r="D474" s="156"/>
      <c r="E474" s="392"/>
      <c r="F474" s="392"/>
      <c r="G474" s="392"/>
      <c r="H474" s="392"/>
      <c r="I474" s="392"/>
      <c r="J474" s="145"/>
      <c r="K474" s="392"/>
      <c r="L474" s="392"/>
      <c r="M474" s="392"/>
      <c r="N474" s="392"/>
      <c r="O474" s="392"/>
      <c r="P474" s="392"/>
      <c r="Q474" s="392"/>
      <c r="R474" s="392"/>
      <c r="S474" s="392"/>
      <c r="T474" s="392"/>
      <c r="U474" s="392"/>
      <c r="V474" s="392"/>
      <c r="W474" s="392"/>
      <c r="X474" s="392"/>
      <c r="Y474" s="392"/>
      <c r="Z474" s="392"/>
      <c r="AA474" s="392"/>
      <c r="AB474" s="392"/>
      <c r="AC474" s="392"/>
      <c r="AD474" s="392"/>
      <c r="AE474" s="392"/>
      <c r="AF474" s="392"/>
    </row>
    <row r="475" ht="15.75" customHeight="1">
      <c r="A475" s="216"/>
      <c r="B475" s="156"/>
      <c r="C475" s="156"/>
      <c r="D475" s="156"/>
      <c r="E475" s="392"/>
      <c r="F475" s="392"/>
      <c r="G475" s="392"/>
      <c r="H475" s="392"/>
      <c r="I475" s="392"/>
      <c r="J475" s="145"/>
      <c r="K475" s="392"/>
      <c r="L475" s="392"/>
      <c r="M475" s="392"/>
      <c r="N475" s="392"/>
      <c r="O475" s="392"/>
      <c r="P475" s="392"/>
      <c r="Q475" s="392"/>
      <c r="R475" s="392"/>
      <c r="S475" s="392"/>
      <c r="T475" s="392"/>
      <c r="U475" s="392"/>
      <c r="V475" s="392"/>
      <c r="W475" s="392"/>
      <c r="X475" s="392"/>
      <c r="Y475" s="392"/>
      <c r="Z475" s="392"/>
      <c r="AA475" s="392"/>
      <c r="AB475" s="392"/>
      <c r="AC475" s="392"/>
      <c r="AD475" s="392"/>
      <c r="AE475" s="392"/>
      <c r="AF475" s="392"/>
    </row>
    <row r="476" ht="15.75" customHeight="1">
      <c r="A476" s="216"/>
      <c r="B476" s="156"/>
      <c r="C476" s="156"/>
      <c r="D476" s="156"/>
      <c r="E476" s="392"/>
      <c r="F476" s="392"/>
      <c r="G476" s="392"/>
      <c r="H476" s="392"/>
      <c r="I476" s="392"/>
      <c r="J476" s="145"/>
      <c r="K476" s="392"/>
      <c r="L476" s="392"/>
      <c r="M476" s="392"/>
      <c r="N476" s="392"/>
      <c r="O476" s="392"/>
      <c r="P476" s="392"/>
      <c r="Q476" s="392"/>
      <c r="R476" s="392"/>
      <c r="S476" s="392"/>
      <c r="T476" s="392"/>
      <c r="U476" s="392"/>
      <c r="V476" s="392"/>
      <c r="W476" s="392"/>
      <c r="X476" s="392"/>
      <c r="Y476" s="392"/>
      <c r="Z476" s="392"/>
      <c r="AA476" s="392"/>
      <c r="AB476" s="392"/>
      <c r="AC476" s="392"/>
      <c r="AD476" s="392"/>
      <c r="AE476" s="392"/>
      <c r="AF476" s="392"/>
    </row>
    <row r="477" ht="15.75" customHeight="1">
      <c r="A477" s="216"/>
      <c r="B477" s="156"/>
      <c r="C477" s="156"/>
      <c r="D477" s="156"/>
      <c r="E477" s="392"/>
      <c r="F477" s="392"/>
      <c r="G477" s="392"/>
      <c r="H477" s="392"/>
      <c r="I477" s="392"/>
      <c r="J477" s="145"/>
      <c r="K477" s="392"/>
      <c r="L477" s="392"/>
      <c r="M477" s="392"/>
      <c r="N477" s="392"/>
      <c r="O477" s="392"/>
      <c r="P477" s="392"/>
      <c r="Q477" s="392"/>
      <c r="R477" s="392"/>
      <c r="S477" s="392"/>
      <c r="T477" s="392"/>
      <c r="U477" s="392"/>
      <c r="V477" s="392"/>
      <c r="W477" s="392"/>
      <c r="X477" s="392"/>
      <c r="Y477" s="392"/>
      <c r="Z477" s="392"/>
      <c r="AA477" s="392"/>
      <c r="AB477" s="392"/>
      <c r="AC477" s="392"/>
      <c r="AD477" s="392"/>
      <c r="AE477" s="392"/>
      <c r="AF477" s="392"/>
    </row>
    <row r="478" ht="15.75" customHeight="1">
      <c r="A478" s="216"/>
      <c r="B478" s="156"/>
      <c r="C478" s="156"/>
      <c r="D478" s="156"/>
      <c r="E478" s="392"/>
      <c r="F478" s="392"/>
      <c r="G478" s="392"/>
      <c r="H478" s="392"/>
      <c r="I478" s="392"/>
      <c r="J478" s="145"/>
      <c r="K478" s="392"/>
      <c r="L478" s="392"/>
      <c r="M478" s="392"/>
      <c r="N478" s="392"/>
      <c r="O478" s="392"/>
      <c r="P478" s="392"/>
      <c r="Q478" s="392"/>
      <c r="R478" s="392"/>
      <c r="S478" s="392"/>
      <c r="T478" s="392"/>
      <c r="U478" s="392"/>
      <c r="V478" s="392"/>
      <c r="W478" s="392"/>
      <c r="X478" s="392"/>
      <c r="Y478" s="392"/>
      <c r="Z478" s="392"/>
      <c r="AA478" s="392"/>
      <c r="AB478" s="392"/>
      <c r="AC478" s="392"/>
      <c r="AD478" s="392"/>
      <c r="AE478" s="392"/>
      <c r="AF478" s="392"/>
    </row>
    <row r="479" ht="15.75" customHeight="1">
      <c r="A479" s="216"/>
      <c r="B479" s="156"/>
      <c r="C479" s="156"/>
      <c r="D479" s="156"/>
      <c r="E479" s="392"/>
      <c r="F479" s="392"/>
      <c r="G479" s="392"/>
      <c r="H479" s="392"/>
      <c r="I479" s="392"/>
      <c r="J479" s="145"/>
      <c r="K479" s="392"/>
      <c r="L479" s="392"/>
      <c r="M479" s="392"/>
      <c r="N479" s="392"/>
      <c r="O479" s="392"/>
      <c r="P479" s="392"/>
      <c r="Q479" s="392"/>
      <c r="R479" s="392"/>
      <c r="S479" s="392"/>
      <c r="T479" s="392"/>
      <c r="U479" s="392"/>
      <c r="V479" s="392"/>
      <c r="W479" s="392"/>
      <c r="X479" s="392"/>
      <c r="Y479" s="392"/>
      <c r="Z479" s="392"/>
      <c r="AA479" s="392"/>
      <c r="AB479" s="392"/>
      <c r="AC479" s="392"/>
      <c r="AD479" s="392"/>
      <c r="AE479" s="392"/>
      <c r="AF479" s="392"/>
    </row>
    <row r="480" ht="15.75" customHeight="1">
      <c r="A480" s="216"/>
      <c r="B480" s="156"/>
      <c r="C480" s="156"/>
      <c r="D480" s="156"/>
      <c r="E480" s="392"/>
      <c r="F480" s="392"/>
      <c r="G480" s="392"/>
      <c r="H480" s="392"/>
      <c r="I480" s="392"/>
      <c r="J480" s="145"/>
      <c r="K480" s="392"/>
      <c r="L480" s="392"/>
      <c r="M480" s="392"/>
      <c r="N480" s="392"/>
      <c r="O480" s="392"/>
      <c r="P480" s="392"/>
      <c r="Q480" s="392"/>
      <c r="R480" s="392"/>
      <c r="S480" s="392"/>
      <c r="T480" s="392"/>
      <c r="U480" s="392"/>
      <c r="V480" s="392"/>
      <c r="W480" s="392"/>
      <c r="X480" s="392"/>
      <c r="Y480" s="392"/>
      <c r="Z480" s="392"/>
      <c r="AA480" s="392"/>
      <c r="AB480" s="392"/>
      <c r="AC480" s="392"/>
      <c r="AD480" s="392"/>
      <c r="AE480" s="392"/>
      <c r="AF480" s="392"/>
    </row>
    <row r="481" ht="15.75" customHeight="1">
      <c r="A481" s="216"/>
      <c r="B481" s="156"/>
      <c r="C481" s="156"/>
      <c r="D481" s="156"/>
      <c r="E481" s="392"/>
      <c r="F481" s="392"/>
      <c r="G481" s="392"/>
      <c r="H481" s="392"/>
      <c r="I481" s="392"/>
      <c r="J481" s="145"/>
      <c r="K481" s="392"/>
      <c r="L481" s="392"/>
      <c r="M481" s="392"/>
      <c r="N481" s="392"/>
      <c r="O481" s="392"/>
      <c r="P481" s="392"/>
      <c r="Q481" s="392"/>
      <c r="R481" s="392"/>
      <c r="S481" s="392"/>
      <c r="T481" s="392"/>
      <c r="U481" s="392"/>
      <c r="V481" s="392"/>
      <c r="W481" s="392"/>
      <c r="X481" s="392"/>
      <c r="Y481" s="392"/>
      <c r="Z481" s="392"/>
      <c r="AA481" s="392"/>
      <c r="AB481" s="392"/>
      <c r="AC481" s="392"/>
      <c r="AD481" s="392"/>
      <c r="AE481" s="392"/>
      <c r="AF481" s="392"/>
    </row>
    <row r="482" ht="15.75" customHeight="1">
      <c r="A482" s="216"/>
      <c r="B482" s="156"/>
      <c r="C482" s="156"/>
      <c r="D482" s="156"/>
      <c r="E482" s="392"/>
      <c r="F482" s="392"/>
      <c r="G482" s="392"/>
      <c r="H482" s="392"/>
      <c r="I482" s="392"/>
      <c r="J482" s="145"/>
      <c r="K482" s="392"/>
      <c r="L482" s="392"/>
      <c r="M482" s="392"/>
      <c r="N482" s="392"/>
      <c r="O482" s="392"/>
      <c r="P482" s="392"/>
      <c r="Q482" s="392"/>
      <c r="R482" s="392"/>
      <c r="S482" s="392"/>
      <c r="T482" s="392"/>
      <c r="U482" s="392"/>
      <c r="V482" s="392"/>
      <c r="W482" s="392"/>
      <c r="X482" s="392"/>
      <c r="Y482" s="392"/>
      <c r="Z482" s="392"/>
      <c r="AA482" s="392"/>
      <c r="AB482" s="392"/>
      <c r="AC482" s="392"/>
      <c r="AD482" s="392"/>
      <c r="AE482" s="392"/>
      <c r="AF482" s="392"/>
    </row>
    <row r="483" ht="15.75" customHeight="1">
      <c r="A483" s="216"/>
      <c r="B483" s="156"/>
      <c r="C483" s="156"/>
      <c r="D483" s="156"/>
      <c r="E483" s="392"/>
      <c r="F483" s="392"/>
      <c r="G483" s="392"/>
      <c r="H483" s="392"/>
      <c r="I483" s="392"/>
      <c r="J483" s="145"/>
      <c r="K483" s="392"/>
      <c r="L483" s="392"/>
      <c r="M483" s="392"/>
      <c r="N483" s="392"/>
      <c r="O483" s="392"/>
      <c r="P483" s="392"/>
      <c r="Q483" s="392"/>
      <c r="R483" s="392"/>
      <c r="S483" s="392"/>
      <c r="T483" s="392"/>
      <c r="U483" s="392"/>
      <c r="V483" s="392"/>
      <c r="W483" s="392"/>
      <c r="X483" s="392"/>
      <c r="Y483" s="392"/>
      <c r="Z483" s="392"/>
      <c r="AA483" s="392"/>
      <c r="AB483" s="392"/>
      <c r="AC483" s="392"/>
      <c r="AD483" s="392"/>
      <c r="AE483" s="392"/>
      <c r="AF483" s="392"/>
    </row>
    <row r="484" ht="15.75" customHeight="1">
      <c r="A484" s="216"/>
      <c r="B484" s="156"/>
      <c r="C484" s="156"/>
      <c r="D484" s="156"/>
      <c r="E484" s="392"/>
      <c r="F484" s="392"/>
      <c r="G484" s="392"/>
      <c r="H484" s="392"/>
      <c r="I484" s="392"/>
      <c r="J484" s="145"/>
      <c r="K484" s="392"/>
      <c r="L484" s="392"/>
      <c r="M484" s="392"/>
      <c r="N484" s="392"/>
      <c r="O484" s="392"/>
      <c r="P484" s="392"/>
      <c r="Q484" s="392"/>
      <c r="R484" s="392"/>
      <c r="S484" s="392"/>
      <c r="T484" s="392"/>
      <c r="U484" s="392"/>
      <c r="V484" s="392"/>
      <c r="W484" s="392"/>
      <c r="X484" s="392"/>
      <c r="Y484" s="392"/>
      <c r="Z484" s="392"/>
      <c r="AA484" s="392"/>
      <c r="AB484" s="392"/>
      <c r="AC484" s="392"/>
      <c r="AD484" s="392"/>
      <c r="AE484" s="392"/>
      <c r="AF484" s="392"/>
    </row>
    <row r="485" ht="15.75" customHeight="1">
      <c r="A485" s="216"/>
      <c r="B485" s="156"/>
      <c r="C485" s="156"/>
      <c r="D485" s="156"/>
      <c r="E485" s="392"/>
      <c r="F485" s="392"/>
      <c r="G485" s="392"/>
      <c r="H485" s="392"/>
      <c r="I485" s="392"/>
      <c r="J485" s="145"/>
      <c r="K485" s="392"/>
      <c r="L485" s="392"/>
      <c r="M485" s="392"/>
      <c r="N485" s="392"/>
      <c r="O485" s="392"/>
      <c r="P485" s="392"/>
      <c r="Q485" s="392"/>
      <c r="R485" s="392"/>
      <c r="S485" s="392"/>
      <c r="T485" s="392"/>
      <c r="U485" s="392"/>
      <c r="V485" s="392"/>
      <c r="W485" s="392"/>
      <c r="X485" s="392"/>
      <c r="Y485" s="392"/>
      <c r="Z485" s="392"/>
      <c r="AA485" s="392"/>
      <c r="AB485" s="392"/>
      <c r="AC485" s="392"/>
      <c r="AD485" s="392"/>
      <c r="AE485" s="392"/>
      <c r="AF485" s="392"/>
    </row>
    <row r="486" ht="15.75" customHeight="1">
      <c r="A486" s="216"/>
      <c r="B486" s="156"/>
      <c r="C486" s="156"/>
      <c r="D486" s="156"/>
      <c r="E486" s="392"/>
      <c r="F486" s="392"/>
      <c r="G486" s="392"/>
      <c r="H486" s="392"/>
      <c r="I486" s="392"/>
      <c r="J486" s="145"/>
      <c r="K486" s="392"/>
      <c r="L486" s="392"/>
      <c r="M486" s="392"/>
      <c r="N486" s="392"/>
      <c r="O486" s="392"/>
      <c r="P486" s="392"/>
      <c r="Q486" s="392"/>
      <c r="R486" s="392"/>
      <c r="S486" s="392"/>
      <c r="T486" s="392"/>
      <c r="U486" s="392"/>
      <c r="V486" s="392"/>
      <c r="W486" s="392"/>
      <c r="X486" s="392"/>
      <c r="Y486" s="392"/>
      <c r="Z486" s="392"/>
      <c r="AA486" s="392"/>
      <c r="AB486" s="392"/>
      <c r="AC486" s="392"/>
      <c r="AD486" s="392"/>
      <c r="AE486" s="392"/>
      <c r="AF486" s="392"/>
    </row>
    <row r="487" ht="15.75" customHeight="1">
      <c r="A487" s="216"/>
      <c r="B487" s="156"/>
      <c r="C487" s="156"/>
      <c r="D487" s="156"/>
      <c r="E487" s="392"/>
      <c r="F487" s="392"/>
      <c r="G487" s="392"/>
      <c r="H487" s="392"/>
      <c r="I487" s="392"/>
      <c r="J487" s="145"/>
      <c r="K487" s="392"/>
      <c r="L487" s="392"/>
      <c r="M487" s="392"/>
      <c r="N487" s="392"/>
      <c r="O487" s="392"/>
      <c r="P487" s="392"/>
      <c r="Q487" s="392"/>
      <c r="R487" s="392"/>
      <c r="S487" s="392"/>
      <c r="T487" s="392"/>
      <c r="U487" s="392"/>
      <c r="V487" s="392"/>
      <c r="W487" s="392"/>
      <c r="X487" s="392"/>
      <c r="Y487" s="392"/>
      <c r="Z487" s="392"/>
      <c r="AA487" s="392"/>
      <c r="AB487" s="392"/>
      <c r="AC487" s="392"/>
      <c r="AD487" s="392"/>
      <c r="AE487" s="392"/>
      <c r="AF487" s="392"/>
    </row>
    <row r="488" ht="15.75" customHeight="1">
      <c r="A488" s="216"/>
      <c r="B488" s="156"/>
      <c r="C488" s="156"/>
      <c r="D488" s="156"/>
      <c r="E488" s="392"/>
      <c r="F488" s="392"/>
      <c r="G488" s="392"/>
      <c r="H488" s="392"/>
      <c r="I488" s="392"/>
      <c r="J488" s="145"/>
      <c r="K488" s="392"/>
      <c r="L488" s="392"/>
      <c r="M488" s="392"/>
      <c r="N488" s="392"/>
      <c r="O488" s="392"/>
      <c r="P488" s="392"/>
      <c r="Q488" s="392"/>
      <c r="R488" s="392"/>
      <c r="S488" s="392"/>
      <c r="T488" s="392"/>
      <c r="U488" s="392"/>
      <c r="V488" s="392"/>
      <c r="W488" s="392"/>
      <c r="X488" s="392"/>
      <c r="Y488" s="392"/>
      <c r="Z488" s="392"/>
      <c r="AA488" s="392"/>
      <c r="AB488" s="392"/>
      <c r="AC488" s="392"/>
      <c r="AD488" s="392"/>
      <c r="AE488" s="392"/>
      <c r="AF488" s="392"/>
    </row>
    <row r="489" ht="15.75" customHeight="1">
      <c r="A489" s="216"/>
      <c r="B489" s="156"/>
      <c r="C489" s="156"/>
      <c r="D489" s="156"/>
      <c r="E489" s="392"/>
      <c r="F489" s="392"/>
      <c r="G489" s="392"/>
      <c r="H489" s="392"/>
      <c r="I489" s="392"/>
      <c r="J489" s="145"/>
      <c r="K489" s="392"/>
      <c r="L489" s="392"/>
      <c r="M489" s="392"/>
      <c r="N489" s="392"/>
      <c r="O489" s="392"/>
      <c r="P489" s="392"/>
      <c r="Q489" s="392"/>
      <c r="R489" s="392"/>
      <c r="S489" s="392"/>
      <c r="T489" s="392"/>
      <c r="U489" s="392"/>
      <c r="V489" s="392"/>
      <c r="W489" s="392"/>
      <c r="X489" s="392"/>
      <c r="Y489" s="392"/>
      <c r="Z489" s="392"/>
      <c r="AA489" s="392"/>
      <c r="AB489" s="392"/>
      <c r="AC489" s="392"/>
      <c r="AD489" s="392"/>
      <c r="AE489" s="392"/>
      <c r="AF489" s="392"/>
    </row>
    <row r="490" ht="15.75" customHeight="1">
      <c r="A490" s="216"/>
      <c r="B490" s="156"/>
      <c r="C490" s="156"/>
      <c r="D490" s="156"/>
      <c r="E490" s="392"/>
      <c r="F490" s="392"/>
      <c r="G490" s="392"/>
      <c r="H490" s="392"/>
      <c r="I490" s="392"/>
      <c r="J490" s="145"/>
      <c r="K490" s="392"/>
      <c r="L490" s="392"/>
      <c r="M490" s="392"/>
      <c r="N490" s="392"/>
      <c r="O490" s="392"/>
      <c r="P490" s="392"/>
      <c r="Q490" s="392"/>
      <c r="R490" s="392"/>
      <c r="S490" s="392"/>
      <c r="T490" s="392"/>
      <c r="U490" s="392"/>
      <c r="V490" s="392"/>
      <c r="W490" s="392"/>
      <c r="X490" s="392"/>
      <c r="Y490" s="392"/>
      <c r="Z490" s="392"/>
      <c r="AA490" s="392"/>
      <c r="AB490" s="392"/>
      <c r="AC490" s="392"/>
      <c r="AD490" s="392"/>
      <c r="AE490" s="392"/>
      <c r="AF490" s="392"/>
    </row>
    <row r="491" ht="15.75" customHeight="1">
      <c r="A491" s="216"/>
      <c r="B491" s="156"/>
      <c r="C491" s="156"/>
      <c r="D491" s="156"/>
      <c r="E491" s="392"/>
      <c r="F491" s="392"/>
      <c r="G491" s="392"/>
      <c r="H491" s="392"/>
      <c r="I491" s="392"/>
      <c r="J491" s="145"/>
      <c r="K491" s="392"/>
      <c r="L491" s="392"/>
      <c r="M491" s="392"/>
      <c r="N491" s="392"/>
      <c r="O491" s="392"/>
      <c r="P491" s="392"/>
      <c r="Q491" s="392"/>
      <c r="R491" s="392"/>
      <c r="S491" s="392"/>
      <c r="T491" s="392"/>
      <c r="U491" s="392"/>
      <c r="V491" s="392"/>
      <c r="W491" s="392"/>
      <c r="X491" s="392"/>
      <c r="Y491" s="392"/>
      <c r="Z491" s="392"/>
      <c r="AA491" s="392"/>
      <c r="AB491" s="392"/>
      <c r="AC491" s="392"/>
      <c r="AD491" s="392"/>
      <c r="AE491" s="392"/>
      <c r="AF491" s="392"/>
    </row>
    <row r="492" ht="15.75" customHeight="1">
      <c r="A492" s="216"/>
      <c r="B492" s="156"/>
      <c r="C492" s="156"/>
      <c r="D492" s="156"/>
      <c r="E492" s="392"/>
      <c r="F492" s="392"/>
      <c r="G492" s="392"/>
      <c r="H492" s="392"/>
      <c r="I492" s="392"/>
      <c r="J492" s="145"/>
      <c r="K492" s="392"/>
      <c r="L492" s="392"/>
      <c r="M492" s="392"/>
      <c r="N492" s="392"/>
      <c r="O492" s="392"/>
      <c r="P492" s="392"/>
      <c r="Q492" s="392"/>
      <c r="R492" s="392"/>
      <c r="S492" s="392"/>
      <c r="T492" s="392"/>
      <c r="U492" s="392"/>
      <c r="V492" s="392"/>
      <c r="W492" s="392"/>
      <c r="X492" s="392"/>
      <c r="Y492" s="392"/>
      <c r="Z492" s="392"/>
      <c r="AA492" s="392"/>
      <c r="AB492" s="392"/>
      <c r="AC492" s="392"/>
      <c r="AD492" s="392"/>
      <c r="AE492" s="392"/>
      <c r="AF492" s="392"/>
    </row>
    <row r="493" ht="15.75" customHeight="1">
      <c r="A493" s="216"/>
      <c r="B493" s="156"/>
      <c r="C493" s="156"/>
      <c r="D493" s="156"/>
      <c r="E493" s="392"/>
      <c r="F493" s="392"/>
      <c r="G493" s="392"/>
      <c r="H493" s="392"/>
      <c r="I493" s="392"/>
      <c r="J493" s="145"/>
      <c r="K493" s="392"/>
      <c r="L493" s="392"/>
      <c r="M493" s="392"/>
      <c r="N493" s="392"/>
      <c r="O493" s="392"/>
      <c r="P493" s="392"/>
      <c r="Q493" s="392"/>
      <c r="R493" s="392"/>
      <c r="S493" s="392"/>
      <c r="T493" s="392"/>
      <c r="U493" s="392"/>
      <c r="V493" s="392"/>
      <c r="W493" s="392"/>
      <c r="X493" s="392"/>
      <c r="Y493" s="392"/>
      <c r="Z493" s="392"/>
      <c r="AA493" s="392"/>
      <c r="AB493" s="392"/>
      <c r="AC493" s="392"/>
      <c r="AD493" s="392"/>
      <c r="AE493" s="392"/>
      <c r="AF493" s="392"/>
    </row>
    <row r="494" ht="15.75" customHeight="1">
      <c r="A494" s="216"/>
      <c r="B494" s="156"/>
      <c r="C494" s="156"/>
      <c r="D494" s="156"/>
      <c r="E494" s="392"/>
      <c r="F494" s="392"/>
      <c r="G494" s="392"/>
      <c r="H494" s="392"/>
      <c r="I494" s="392"/>
      <c r="J494" s="145"/>
      <c r="K494" s="392"/>
      <c r="L494" s="392"/>
      <c r="M494" s="392"/>
      <c r="N494" s="392"/>
      <c r="O494" s="392"/>
      <c r="P494" s="392"/>
      <c r="Q494" s="392"/>
      <c r="R494" s="392"/>
      <c r="S494" s="392"/>
      <c r="T494" s="392"/>
      <c r="U494" s="392"/>
      <c r="V494" s="392"/>
      <c r="W494" s="392"/>
      <c r="X494" s="392"/>
      <c r="Y494" s="392"/>
      <c r="Z494" s="392"/>
      <c r="AA494" s="392"/>
      <c r="AB494" s="392"/>
      <c r="AC494" s="392"/>
      <c r="AD494" s="392"/>
      <c r="AE494" s="392"/>
      <c r="AF494" s="392"/>
    </row>
    <row r="495" ht="15.75" customHeight="1">
      <c r="A495" s="216"/>
      <c r="B495" s="156"/>
      <c r="C495" s="156"/>
      <c r="D495" s="156"/>
      <c r="E495" s="392"/>
      <c r="F495" s="392"/>
      <c r="G495" s="392"/>
      <c r="H495" s="392"/>
      <c r="I495" s="392"/>
      <c r="J495" s="145"/>
      <c r="K495" s="392"/>
      <c r="L495" s="392"/>
      <c r="M495" s="392"/>
      <c r="N495" s="392"/>
      <c r="O495" s="392"/>
      <c r="P495" s="392"/>
      <c r="Q495" s="392"/>
      <c r="R495" s="392"/>
      <c r="S495" s="392"/>
      <c r="T495" s="392"/>
      <c r="U495" s="392"/>
      <c r="V495" s="392"/>
      <c r="W495" s="392"/>
      <c r="X495" s="392"/>
      <c r="Y495" s="392"/>
      <c r="Z495" s="392"/>
      <c r="AA495" s="392"/>
      <c r="AB495" s="392"/>
      <c r="AC495" s="392"/>
      <c r="AD495" s="392"/>
      <c r="AE495" s="392"/>
      <c r="AF495" s="392"/>
    </row>
    <row r="496" ht="15.75" customHeight="1">
      <c r="A496" s="216"/>
      <c r="B496" s="156"/>
      <c r="C496" s="156"/>
      <c r="D496" s="156"/>
      <c r="E496" s="392"/>
      <c r="F496" s="392"/>
      <c r="G496" s="392"/>
      <c r="H496" s="392"/>
      <c r="I496" s="392"/>
      <c r="J496" s="145"/>
      <c r="K496" s="392"/>
      <c r="L496" s="392"/>
      <c r="M496" s="392"/>
      <c r="N496" s="392"/>
      <c r="O496" s="392"/>
      <c r="P496" s="392"/>
      <c r="Q496" s="392"/>
      <c r="R496" s="392"/>
      <c r="S496" s="392"/>
      <c r="T496" s="392"/>
      <c r="U496" s="392"/>
      <c r="V496" s="392"/>
      <c r="W496" s="392"/>
      <c r="X496" s="392"/>
      <c r="Y496" s="392"/>
      <c r="Z496" s="392"/>
      <c r="AA496" s="392"/>
      <c r="AB496" s="392"/>
      <c r="AC496" s="392"/>
      <c r="AD496" s="392"/>
      <c r="AE496" s="392"/>
      <c r="AF496" s="392"/>
    </row>
    <row r="497" ht="15.75" customHeight="1">
      <c r="A497" s="216"/>
      <c r="B497" s="156"/>
      <c r="C497" s="156"/>
      <c r="D497" s="156"/>
      <c r="E497" s="392"/>
      <c r="F497" s="392"/>
      <c r="G497" s="392"/>
      <c r="H497" s="392"/>
      <c r="I497" s="392"/>
      <c r="J497" s="145"/>
      <c r="K497" s="392"/>
      <c r="L497" s="392"/>
      <c r="M497" s="392"/>
      <c r="N497" s="392"/>
      <c r="O497" s="392"/>
      <c r="P497" s="392"/>
      <c r="Q497" s="392"/>
      <c r="R497" s="392"/>
      <c r="S497" s="392"/>
      <c r="T497" s="392"/>
      <c r="U497" s="392"/>
      <c r="V497" s="392"/>
      <c r="W497" s="392"/>
      <c r="X497" s="392"/>
      <c r="Y497" s="392"/>
      <c r="Z497" s="392"/>
      <c r="AA497" s="392"/>
      <c r="AB497" s="392"/>
      <c r="AC497" s="392"/>
      <c r="AD497" s="392"/>
      <c r="AE497" s="392"/>
      <c r="AF497" s="392"/>
    </row>
    <row r="498" ht="15.75" customHeight="1">
      <c r="A498" s="216"/>
      <c r="B498" s="156"/>
      <c r="C498" s="156"/>
      <c r="D498" s="156"/>
      <c r="E498" s="392"/>
      <c r="F498" s="392"/>
      <c r="G498" s="392"/>
      <c r="H498" s="392"/>
      <c r="I498" s="392"/>
      <c r="J498" s="145"/>
      <c r="K498" s="392"/>
      <c r="L498" s="392"/>
      <c r="M498" s="392"/>
      <c r="N498" s="392"/>
      <c r="O498" s="392"/>
      <c r="P498" s="392"/>
      <c r="Q498" s="392"/>
      <c r="R498" s="392"/>
      <c r="S498" s="392"/>
      <c r="T498" s="392"/>
      <c r="U498" s="392"/>
      <c r="V498" s="392"/>
      <c r="W498" s="392"/>
      <c r="X498" s="392"/>
      <c r="Y498" s="392"/>
      <c r="Z498" s="392"/>
      <c r="AA498" s="392"/>
      <c r="AB498" s="392"/>
      <c r="AC498" s="392"/>
      <c r="AD498" s="392"/>
      <c r="AE498" s="392"/>
      <c r="AF498" s="392"/>
    </row>
    <row r="499" ht="15.75" customHeight="1">
      <c r="A499" s="216"/>
      <c r="B499" s="156"/>
      <c r="C499" s="156"/>
      <c r="D499" s="156"/>
      <c r="E499" s="392"/>
      <c r="F499" s="392"/>
      <c r="G499" s="392"/>
      <c r="H499" s="392"/>
      <c r="I499" s="392"/>
      <c r="J499" s="145"/>
      <c r="K499" s="392"/>
      <c r="L499" s="392"/>
      <c r="M499" s="392"/>
      <c r="N499" s="392"/>
      <c r="O499" s="392"/>
      <c r="P499" s="392"/>
      <c r="Q499" s="392"/>
      <c r="R499" s="392"/>
      <c r="S499" s="392"/>
      <c r="T499" s="392"/>
      <c r="U499" s="392"/>
      <c r="V499" s="392"/>
      <c r="W499" s="392"/>
      <c r="X499" s="392"/>
      <c r="Y499" s="392"/>
      <c r="Z499" s="392"/>
      <c r="AA499" s="392"/>
      <c r="AB499" s="392"/>
      <c r="AC499" s="392"/>
      <c r="AD499" s="392"/>
      <c r="AE499" s="392"/>
      <c r="AF499" s="392"/>
    </row>
    <row r="500" ht="15.75" customHeight="1">
      <c r="A500" s="216"/>
      <c r="B500" s="156"/>
      <c r="C500" s="156"/>
      <c r="D500" s="156"/>
      <c r="E500" s="392"/>
      <c r="F500" s="392"/>
      <c r="G500" s="392"/>
      <c r="H500" s="392"/>
      <c r="I500" s="392"/>
      <c r="J500" s="145"/>
      <c r="K500" s="392"/>
      <c r="L500" s="392"/>
      <c r="M500" s="392"/>
      <c r="N500" s="392"/>
      <c r="O500" s="392"/>
      <c r="P500" s="392"/>
      <c r="Q500" s="392"/>
      <c r="R500" s="392"/>
      <c r="S500" s="392"/>
      <c r="T500" s="392"/>
      <c r="U500" s="392"/>
      <c r="V500" s="392"/>
      <c r="W500" s="392"/>
      <c r="X500" s="392"/>
      <c r="Y500" s="392"/>
      <c r="Z500" s="392"/>
      <c r="AA500" s="392"/>
      <c r="AB500" s="392"/>
      <c r="AC500" s="392"/>
      <c r="AD500" s="392"/>
      <c r="AE500" s="392"/>
      <c r="AF500" s="392"/>
    </row>
    <row r="501" ht="15.75" customHeight="1">
      <c r="A501" s="216"/>
      <c r="B501" s="156"/>
      <c r="C501" s="156"/>
      <c r="D501" s="156"/>
      <c r="E501" s="392"/>
      <c r="F501" s="392"/>
      <c r="G501" s="392"/>
      <c r="H501" s="392"/>
      <c r="I501" s="392"/>
      <c r="J501" s="145"/>
      <c r="K501" s="392"/>
      <c r="L501" s="392"/>
      <c r="M501" s="392"/>
      <c r="N501" s="392"/>
      <c r="O501" s="392"/>
      <c r="P501" s="392"/>
      <c r="Q501" s="392"/>
      <c r="R501" s="392"/>
      <c r="S501" s="392"/>
      <c r="T501" s="392"/>
      <c r="U501" s="392"/>
      <c r="V501" s="392"/>
      <c r="W501" s="392"/>
      <c r="X501" s="392"/>
      <c r="Y501" s="392"/>
      <c r="Z501" s="392"/>
      <c r="AA501" s="392"/>
      <c r="AB501" s="392"/>
      <c r="AC501" s="392"/>
      <c r="AD501" s="392"/>
      <c r="AE501" s="392"/>
      <c r="AF501" s="392"/>
    </row>
    <row r="502" ht="15.75" customHeight="1">
      <c r="A502" s="216"/>
      <c r="B502" s="156"/>
      <c r="C502" s="156"/>
      <c r="D502" s="156"/>
      <c r="E502" s="392"/>
      <c r="F502" s="392"/>
      <c r="G502" s="392"/>
      <c r="H502" s="392"/>
      <c r="I502" s="392"/>
      <c r="J502" s="145"/>
      <c r="K502" s="392"/>
      <c r="L502" s="392"/>
      <c r="M502" s="392"/>
      <c r="N502" s="392"/>
      <c r="O502" s="392"/>
      <c r="P502" s="392"/>
      <c r="Q502" s="392"/>
      <c r="R502" s="392"/>
      <c r="S502" s="392"/>
      <c r="T502" s="392"/>
      <c r="U502" s="392"/>
      <c r="V502" s="392"/>
      <c r="W502" s="392"/>
      <c r="X502" s="392"/>
      <c r="Y502" s="392"/>
      <c r="Z502" s="392"/>
      <c r="AA502" s="392"/>
      <c r="AB502" s="392"/>
      <c r="AC502" s="392"/>
      <c r="AD502" s="392"/>
      <c r="AE502" s="392"/>
      <c r="AF502" s="392"/>
    </row>
    <row r="503" ht="15.75" customHeight="1">
      <c r="A503" s="216"/>
      <c r="B503" s="156"/>
      <c r="C503" s="156"/>
      <c r="D503" s="156"/>
      <c r="E503" s="392"/>
      <c r="F503" s="392"/>
      <c r="G503" s="392"/>
      <c r="H503" s="392"/>
      <c r="I503" s="392"/>
      <c r="J503" s="145"/>
      <c r="K503" s="392"/>
      <c r="L503" s="392"/>
      <c r="M503" s="392"/>
      <c r="N503" s="392"/>
      <c r="O503" s="392"/>
      <c r="P503" s="392"/>
      <c r="Q503" s="392"/>
      <c r="R503" s="392"/>
      <c r="S503" s="392"/>
      <c r="T503" s="392"/>
      <c r="U503" s="392"/>
      <c r="V503" s="392"/>
      <c r="W503" s="392"/>
      <c r="X503" s="392"/>
      <c r="Y503" s="392"/>
      <c r="Z503" s="392"/>
      <c r="AA503" s="392"/>
      <c r="AB503" s="392"/>
      <c r="AC503" s="392"/>
      <c r="AD503" s="392"/>
      <c r="AE503" s="392"/>
      <c r="AF503" s="392"/>
    </row>
    <row r="504" ht="15.75" customHeight="1">
      <c r="A504" s="216"/>
      <c r="B504" s="156"/>
      <c r="C504" s="156"/>
      <c r="D504" s="156"/>
      <c r="E504" s="392"/>
      <c r="F504" s="392"/>
      <c r="G504" s="392"/>
      <c r="H504" s="392"/>
      <c r="I504" s="392"/>
      <c r="J504" s="145"/>
      <c r="K504" s="392"/>
      <c r="L504" s="392"/>
      <c r="M504" s="392"/>
      <c r="N504" s="392"/>
      <c r="O504" s="392"/>
      <c r="P504" s="392"/>
      <c r="Q504" s="392"/>
      <c r="R504" s="392"/>
      <c r="S504" s="392"/>
      <c r="T504" s="392"/>
      <c r="U504" s="392"/>
      <c r="V504" s="392"/>
      <c r="W504" s="392"/>
      <c r="X504" s="392"/>
      <c r="Y504" s="392"/>
      <c r="Z504" s="392"/>
      <c r="AA504" s="392"/>
      <c r="AB504" s="392"/>
      <c r="AC504" s="392"/>
      <c r="AD504" s="392"/>
      <c r="AE504" s="392"/>
      <c r="AF504" s="392"/>
    </row>
    <row r="505" ht="15.75" customHeight="1">
      <c r="A505" s="216"/>
      <c r="B505" s="156"/>
      <c r="C505" s="156"/>
      <c r="D505" s="156"/>
      <c r="E505" s="392"/>
      <c r="F505" s="392"/>
      <c r="G505" s="392"/>
      <c r="H505" s="392"/>
      <c r="I505" s="392"/>
      <c r="J505" s="145"/>
      <c r="K505" s="392"/>
      <c r="L505" s="392"/>
      <c r="M505" s="392"/>
      <c r="N505" s="392"/>
      <c r="O505" s="392"/>
      <c r="P505" s="392"/>
      <c r="Q505" s="392"/>
      <c r="R505" s="392"/>
      <c r="S505" s="392"/>
      <c r="T505" s="392"/>
      <c r="U505" s="392"/>
      <c r="V505" s="392"/>
      <c r="W505" s="392"/>
      <c r="X505" s="392"/>
      <c r="Y505" s="392"/>
      <c r="Z505" s="392"/>
      <c r="AA505" s="392"/>
      <c r="AB505" s="392"/>
      <c r="AC505" s="392"/>
      <c r="AD505" s="392"/>
      <c r="AE505" s="392"/>
      <c r="AF505" s="392"/>
    </row>
    <row r="506" ht="15.75" customHeight="1">
      <c r="A506" s="216"/>
      <c r="B506" s="156"/>
      <c r="C506" s="156"/>
      <c r="D506" s="156"/>
      <c r="E506" s="392"/>
      <c r="F506" s="392"/>
      <c r="G506" s="392"/>
      <c r="H506" s="392"/>
      <c r="I506" s="392"/>
      <c r="J506" s="145"/>
      <c r="K506" s="392"/>
      <c r="L506" s="392"/>
      <c r="M506" s="392"/>
      <c r="N506" s="392"/>
      <c r="O506" s="392"/>
      <c r="P506" s="392"/>
      <c r="Q506" s="392"/>
      <c r="R506" s="392"/>
      <c r="S506" s="392"/>
      <c r="T506" s="392"/>
      <c r="U506" s="392"/>
      <c r="V506" s="392"/>
      <c r="W506" s="392"/>
      <c r="X506" s="392"/>
      <c r="Y506" s="392"/>
      <c r="Z506" s="392"/>
      <c r="AA506" s="392"/>
      <c r="AB506" s="392"/>
      <c r="AC506" s="392"/>
      <c r="AD506" s="392"/>
      <c r="AE506" s="392"/>
      <c r="AF506" s="392"/>
    </row>
    <row r="507" ht="15.75" customHeight="1">
      <c r="A507" s="216"/>
      <c r="B507" s="156"/>
      <c r="C507" s="156"/>
      <c r="D507" s="156"/>
      <c r="E507" s="392"/>
      <c r="F507" s="392"/>
      <c r="G507" s="392"/>
      <c r="H507" s="392"/>
      <c r="I507" s="392"/>
      <c r="J507" s="145"/>
      <c r="K507" s="392"/>
      <c r="L507" s="392"/>
      <c r="M507" s="392"/>
      <c r="N507" s="392"/>
      <c r="O507" s="392"/>
      <c r="P507" s="392"/>
      <c r="Q507" s="392"/>
      <c r="R507" s="392"/>
      <c r="S507" s="392"/>
      <c r="T507" s="392"/>
      <c r="U507" s="392"/>
      <c r="V507" s="392"/>
      <c r="W507" s="392"/>
      <c r="X507" s="392"/>
      <c r="Y507" s="392"/>
      <c r="Z507" s="392"/>
      <c r="AA507" s="392"/>
      <c r="AB507" s="392"/>
      <c r="AC507" s="392"/>
      <c r="AD507" s="392"/>
      <c r="AE507" s="392"/>
      <c r="AF507" s="392"/>
    </row>
    <row r="508" ht="15.75" customHeight="1">
      <c r="A508" s="216"/>
      <c r="B508" s="156"/>
      <c r="C508" s="156"/>
      <c r="D508" s="156"/>
      <c r="E508" s="392"/>
      <c r="F508" s="392"/>
      <c r="G508" s="392"/>
      <c r="H508" s="392"/>
      <c r="I508" s="392"/>
      <c r="J508" s="145"/>
      <c r="K508" s="392"/>
      <c r="L508" s="392"/>
      <c r="M508" s="392"/>
      <c r="N508" s="392"/>
      <c r="O508" s="392"/>
      <c r="P508" s="392"/>
      <c r="Q508" s="392"/>
      <c r="R508" s="392"/>
      <c r="S508" s="392"/>
      <c r="T508" s="392"/>
      <c r="U508" s="392"/>
      <c r="V508" s="392"/>
      <c r="W508" s="392"/>
      <c r="X508" s="392"/>
      <c r="Y508" s="392"/>
      <c r="Z508" s="392"/>
      <c r="AA508" s="392"/>
      <c r="AB508" s="392"/>
      <c r="AC508" s="392"/>
      <c r="AD508" s="392"/>
      <c r="AE508" s="392"/>
      <c r="AF508" s="392"/>
    </row>
    <row r="509" ht="15.75" customHeight="1">
      <c r="A509" s="216"/>
      <c r="B509" s="156"/>
      <c r="C509" s="156"/>
      <c r="D509" s="156"/>
      <c r="E509" s="392"/>
      <c r="F509" s="392"/>
      <c r="G509" s="392"/>
      <c r="H509" s="392"/>
      <c r="I509" s="392"/>
      <c r="J509" s="145"/>
      <c r="K509" s="392"/>
      <c r="L509" s="392"/>
      <c r="M509" s="392"/>
      <c r="N509" s="392"/>
      <c r="O509" s="392"/>
      <c r="P509" s="392"/>
      <c r="Q509" s="392"/>
      <c r="R509" s="392"/>
      <c r="S509" s="392"/>
      <c r="T509" s="392"/>
      <c r="U509" s="392"/>
      <c r="V509" s="392"/>
      <c r="W509" s="392"/>
      <c r="X509" s="392"/>
      <c r="Y509" s="392"/>
      <c r="Z509" s="392"/>
      <c r="AA509" s="392"/>
      <c r="AB509" s="392"/>
      <c r="AC509" s="392"/>
      <c r="AD509" s="392"/>
      <c r="AE509" s="392"/>
      <c r="AF509" s="392"/>
    </row>
    <row r="510" ht="15.75" customHeight="1">
      <c r="A510" s="216"/>
      <c r="B510" s="156"/>
      <c r="C510" s="156"/>
      <c r="D510" s="156"/>
      <c r="E510" s="392"/>
      <c r="F510" s="392"/>
      <c r="G510" s="392"/>
      <c r="H510" s="392"/>
      <c r="I510" s="392"/>
      <c r="J510" s="145"/>
      <c r="K510" s="392"/>
      <c r="L510" s="392"/>
      <c r="M510" s="392"/>
      <c r="N510" s="392"/>
      <c r="O510" s="392"/>
      <c r="P510" s="392"/>
      <c r="Q510" s="392"/>
      <c r="R510" s="392"/>
      <c r="S510" s="392"/>
      <c r="T510" s="392"/>
      <c r="U510" s="392"/>
      <c r="V510" s="392"/>
      <c r="W510" s="392"/>
      <c r="X510" s="392"/>
      <c r="Y510" s="392"/>
      <c r="Z510" s="392"/>
      <c r="AA510" s="392"/>
      <c r="AB510" s="392"/>
      <c r="AC510" s="392"/>
      <c r="AD510" s="392"/>
      <c r="AE510" s="392"/>
      <c r="AF510" s="392"/>
    </row>
    <row r="511" ht="15.75" customHeight="1">
      <c r="A511" s="216"/>
      <c r="B511" s="156"/>
      <c r="C511" s="156"/>
      <c r="D511" s="156"/>
      <c r="E511" s="392"/>
      <c r="F511" s="392"/>
      <c r="G511" s="392"/>
      <c r="H511" s="392"/>
      <c r="I511" s="392"/>
      <c r="J511" s="145"/>
      <c r="K511" s="392"/>
      <c r="L511" s="392"/>
      <c r="M511" s="392"/>
      <c r="N511" s="392"/>
      <c r="O511" s="392"/>
      <c r="P511" s="392"/>
      <c r="Q511" s="392"/>
      <c r="R511" s="392"/>
      <c r="S511" s="392"/>
      <c r="T511" s="392"/>
      <c r="U511" s="392"/>
      <c r="V511" s="392"/>
      <c r="W511" s="392"/>
      <c r="X511" s="392"/>
      <c r="Y511" s="392"/>
      <c r="Z511" s="392"/>
      <c r="AA511" s="392"/>
      <c r="AB511" s="392"/>
      <c r="AC511" s="392"/>
      <c r="AD511" s="392"/>
      <c r="AE511" s="392"/>
      <c r="AF511" s="392"/>
    </row>
    <row r="512" ht="15.75" customHeight="1">
      <c r="A512" s="216"/>
      <c r="B512" s="156"/>
      <c r="C512" s="156"/>
      <c r="D512" s="156"/>
      <c r="E512" s="392"/>
      <c r="F512" s="392"/>
      <c r="G512" s="392"/>
      <c r="H512" s="392"/>
      <c r="I512" s="392"/>
      <c r="J512" s="145"/>
      <c r="K512" s="392"/>
      <c r="L512" s="392"/>
      <c r="M512" s="392"/>
      <c r="N512" s="392"/>
      <c r="O512" s="392"/>
      <c r="P512" s="392"/>
      <c r="Q512" s="392"/>
      <c r="R512" s="392"/>
      <c r="S512" s="392"/>
      <c r="T512" s="392"/>
      <c r="U512" s="392"/>
      <c r="V512" s="392"/>
      <c r="W512" s="392"/>
      <c r="X512" s="392"/>
      <c r="Y512" s="392"/>
      <c r="Z512" s="392"/>
      <c r="AA512" s="392"/>
      <c r="AB512" s="392"/>
      <c r="AC512" s="392"/>
      <c r="AD512" s="392"/>
      <c r="AE512" s="392"/>
      <c r="AF512" s="392"/>
    </row>
    <row r="513" ht="15.75" customHeight="1">
      <c r="A513" s="216"/>
      <c r="B513" s="156"/>
      <c r="C513" s="156"/>
      <c r="D513" s="156"/>
      <c r="E513" s="392"/>
      <c r="F513" s="392"/>
      <c r="G513" s="392"/>
      <c r="H513" s="392"/>
      <c r="I513" s="392"/>
      <c r="J513" s="145"/>
      <c r="K513" s="392"/>
      <c r="L513" s="392"/>
      <c r="M513" s="392"/>
      <c r="N513" s="392"/>
      <c r="O513" s="392"/>
      <c r="P513" s="392"/>
      <c r="Q513" s="392"/>
      <c r="R513" s="392"/>
      <c r="S513" s="392"/>
      <c r="T513" s="392"/>
      <c r="U513" s="392"/>
      <c r="V513" s="392"/>
      <c r="W513" s="392"/>
      <c r="X513" s="392"/>
      <c r="Y513" s="392"/>
      <c r="Z513" s="392"/>
      <c r="AA513" s="392"/>
      <c r="AB513" s="392"/>
      <c r="AC513" s="392"/>
      <c r="AD513" s="392"/>
      <c r="AE513" s="392"/>
      <c r="AF513" s="392"/>
    </row>
    <row r="514" ht="15.75" customHeight="1">
      <c r="A514" s="216"/>
      <c r="B514" s="156"/>
      <c r="C514" s="156"/>
      <c r="D514" s="156"/>
      <c r="E514" s="392"/>
      <c r="F514" s="392"/>
      <c r="G514" s="392"/>
      <c r="H514" s="392"/>
      <c r="I514" s="392"/>
      <c r="J514" s="145"/>
      <c r="K514" s="392"/>
      <c r="L514" s="392"/>
      <c r="M514" s="392"/>
      <c r="N514" s="392"/>
      <c r="O514" s="392"/>
      <c r="P514" s="392"/>
      <c r="Q514" s="392"/>
      <c r="R514" s="392"/>
      <c r="S514" s="392"/>
      <c r="T514" s="392"/>
      <c r="U514" s="392"/>
      <c r="V514" s="392"/>
      <c r="W514" s="392"/>
      <c r="X514" s="392"/>
      <c r="Y514" s="392"/>
      <c r="Z514" s="392"/>
      <c r="AA514" s="392"/>
      <c r="AB514" s="392"/>
      <c r="AC514" s="392"/>
      <c r="AD514" s="392"/>
      <c r="AE514" s="392"/>
      <c r="AF514" s="392"/>
    </row>
    <row r="515" ht="15.75" customHeight="1">
      <c r="A515" s="216"/>
      <c r="B515" s="156"/>
      <c r="C515" s="156"/>
      <c r="D515" s="156"/>
      <c r="E515" s="392"/>
      <c r="F515" s="392"/>
      <c r="G515" s="392"/>
      <c r="H515" s="392"/>
      <c r="I515" s="392"/>
      <c r="J515" s="145"/>
      <c r="K515" s="392"/>
      <c r="L515" s="392"/>
      <c r="M515" s="392"/>
      <c r="N515" s="392"/>
      <c r="O515" s="392"/>
      <c r="P515" s="392"/>
      <c r="Q515" s="392"/>
      <c r="R515" s="392"/>
      <c r="S515" s="392"/>
      <c r="T515" s="392"/>
      <c r="U515" s="392"/>
      <c r="V515" s="392"/>
      <c r="W515" s="392"/>
      <c r="X515" s="392"/>
      <c r="Y515" s="392"/>
      <c r="Z515" s="392"/>
      <c r="AA515" s="392"/>
      <c r="AB515" s="392"/>
      <c r="AC515" s="392"/>
      <c r="AD515" s="392"/>
      <c r="AE515" s="392"/>
      <c r="AF515" s="392"/>
    </row>
    <row r="516" ht="15.75" customHeight="1">
      <c r="A516" s="216"/>
      <c r="B516" s="156"/>
      <c r="C516" s="156"/>
      <c r="D516" s="156"/>
      <c r="E516" s="392"/>
      <c r="F516" s="392"/>
      <c r="G516" s="392"/>
      <c r="H516" s="392"/>
      <c r="I516" s="392"/>
      <c r="J516" s="145"/>
      <c r="K516" s="392"/>
      <c r="L516" s="392"/>
      <c r="M516" s="392"/>
      <c r="N516" s="392"/>
      <c r="O516" s="392"/>
      <c r="P516" s="392"/>
      <c r="Q516" s="392"/>
      <c r="R516" s="392"/>
      <c r="S516" s="392"/>
      <c r="T516" s="392"/>
      <c r="U516" s="392"/>
      <c r="V516" s="392"/>
      <c r="W516" s="392"/>
      <c r="X516" s="392"/>
      <c r="Y516" s="392"/>
      <c r="Z516" s="392"/>
      <c r="AA516" s="392"/>
      <c r="AB516" s="392"/>
      <c r="AC516" s="392"/>
      <c r="AD516" s="392"/>
      <c r="AE516" s="392"/>
      <c r="AF516" s="392"/>
    </row>
    <row r="517" ht="15.75" customHeight="1">
      <c r="A517" s="216"/>
      <c r="B517" s="156"/>
      <c r="C517" s="156"/>
      <c r="D517" s="156"/>
      <c r="E517" s="392"/>
      <c r="F517" s="392"/>
      <c r="G517" s="392"/>
      <c r="H517" s="392"/>
      <c r="I517" s="392"/>
      <c r="J517" s="145"/>
      <c r="K517" s="392"/>
      <c r="L517" s="392"/>
      <c r="M517" s="392"/>
      <c r="N517" s="392"/>
      <c r="O517" s="392"/>
      <c r="P517" s="392"/>
      <c r="Q517" s="392"/>
      <c r="R517" s="392"/>
      <c r="S517" s="392"/>
      <c r="T517" s="392"/>
      <c r="U517" s="392"/>
      <c r="V517" s="392"/>
      <c r="W517" s="392"/>
      <c r="X517" s="392"/>
      <c r="Y517" s="392"/>
      <c r="Z517" s="392"/>
      <c r="AA517" s="392"/>
      <c r="AB517" s="392"/>
      <c r="AC517" s="392"/>
      <c r="AD517" s="392"/>
      <c r="AE517" s="392"/>
      <c r="AF517" s="392"/>
    </row>
    <row r="518" ht="15.75" customHeight="1">
      <c r="A518" s="216"/>
      <c r="B518" s="156"/>
      <c r="C518" s="156"/>
      <c r="D518" s="156"/>
      <c r="E518" s="392"/>
      <c r="F518" s="392"/>
      <c r="G518" s="392"/>
      <c r="H518" s="392"/>
      <c r="I518" s="392"/>
      <c r="J518" s="145"/>
      <c r="K518" s="392"/>
      <c r="L518" s="392"/>
      <c r="M518" s="392"/>
      <c r="N518" s="392"/>
      <c r="O518" s="392"/>
      <c r="P518" s="392"/>
      <c r="Q518" s="392"/>
      <c r="R518" s="392"/>
      <c r="S518" s="392"/>
      <c r="T518" s="392"/>
      <c r="U518" s="392"/>
      <c r="V518" s="392"/>
      <c r="W518" s="392"/>
      <c r="X518" s="392"/>
      <c r="Y518" s="392"/>
      <c r="Z518" s="392"/>
      <c r="AA518" s="392"/>
      <c r="AB518" s="392"/>
      <c r="AC518" s="392"/>
      <c r="AD518" s="392"/>
      <c r="AE518" s="392"/>
      <c r="AF518" s="392"/>
    </row>
    <row r="519" ht="15.75" customHeight="1">
      <c r="A519" s="216"/>
      <c r="B519" s="156"/>
      <c r="C519" s="156"/>
      <c r="D519" s="156"/>
      <c r="E519" s="392"/>
      <c r="F519" s="392"/>
      <c r="G519" s="392"/>
      <c r="H519" s="392"/>
      <c r="I519" s="392"/>
      <c r="J519" s="145"/>
      <c r="K519" s="392"/>
      <c r="L519" s="392"/>
      <c r="M519" s="392"/>
      <c r="N519" s="392"/>
      <c r="O519" s="392"/>
      <c r="P519" s="392"/>
      <c r="Q519" s="392"/>
      <c r="R519" s="392"/>
      <c r="S519" s="392"/>
      <c r="T519" s="392"/>
      <c r="U519" s="392"/>
      <c r="V519" s="392"/>
      <c r="W519" s="392"/>
      <c r="X519" s="392"/>
      <c r="Y519" s="392"/>
      <c r="Z519" s="392"/>
      <c r="AA519" s="392"/>
      <c r="AB519" s="392"/>
      <c r="AC519" s="392"/>
      <c r="AD519" s="392"/>
      <c r="AE519" s="392"/>
      <c r="AF519" s="392"/>
    </row>
    <row r="520" ht="15.75" customHeight="1">
      <c r="A520" s="216"/>
      <c r="B520" s="156"/>
      <c r="C520" s="156"/>
      <c r="D520" s="156"/>
      <c r="E520" s="392"/>
      <c r="F520" s="392"/>
      <c r="G520" s="392"/>
      <c r="H520" s="392"/>
      <c r="I520" s="392"/>
      <c r="J520" s="145"/>
      <c r="K520" s="392"/>
      <c r="L520" s="392"/>
      <c r="M520" s="392"/>
      <c r="N520" s="392"/>
      <c r="O520" s="392"/>
      <c r="P520" s="392"/>
      <c r="Q520" s="392"/>
      <c r="R520" s="392"/>
      <c r="S520" s="392"/>
      <c r="T520" s="392"/>
      <c r="U520" s="392"/>
      <c r="V520" s="392"/>
      <c r="W520" s="392"/>
      <c r="X520" s="392"/>
      <c r="Y520" s="392"/>
      <c r="Z520" s="392"/>
      <c r="AA520" s="392"/>
      <c r="AB520" s="392"/>
      <c r="AC520" s="392"/>
      <c r="AD520" s="392"/>
      <c r="AE520" s="392"/>
      <c r="AF520" s="392"/>
    </row>
    <row r="521" ht="15.75" customHeight="1">
      <c r="A521" s="216"/>
      <c r="B521" s="156"/>
      <c r="C521" s="156"/>
      <c r="D521" s="156"/>
      <c r="E521" s="392"/>
      <c r="F521" s="392"/>
      <c r="G521" s="392"/>
      <c r="H521" s="392"/>
      <c r="I521" s="392"/>
      <c r="J521" s="145"/>
      <c r="K521" s="392"/>
      <c r="L521" s="392"/>
      <c r="M521" s="392"/>
      <c r="N521" s="392"/>
      <c r="O521" s="392"/>
      <c r="P521" s="392"/>
      <c r="Q521" s="392"/>
      <c r="R521" s="392"/>
      <c r="S521" s="392"/>
      <c r="T521" s="392"/>
      <c r="U521" s="392"/>
      <c r="V521" s="392"/>
      <c r="W521" s="392"/>
      <c r="X521" s="392"/>
      <c r="Y521" s="392"/>
      <c r="Z521" s="392"/>
      <c r="AA521" s="392"/>
      <c r="AB521" s="392"/>
      <c r="AC521" s="392"/>
      <c r="AD521" s="392"/>
      <c r="AE521" s="392"/>
      <c r="AF521" s="392"/>
    </row>
    <row r="522" ht="15.75" customHeight="1">
      <c r="A522" s="216"/>
      <c r="B522" s="156"/>
      <c r="C522" s="156"/>
      <c r="D522" s="156"/>
      <c r="E522" s="392"/>
      <c r="F522" s="392"/>
      <c r="G522" s="392"/>
      <c r="H522" s="392"/>
      <c r="I522" s="392"/>
      <c r="J522" s="145"/>
      <c r="K522" s="392"/>
      <c r="L522" s="392"/>
      <c r="M522" s="392"/>
      <c r="N522" s="392"/>
      <c r="O522" s="392"/>
      <c r="P522" s="392"/>
      <c r="Q522" s="392"/>
      <c r="R522" s="392"/>
      <c r="S522" s="392"/>
      <c r="T522" s="392"/>
      <c r="U522" s="392"/>
      <c r="V522" s="392"/>
      <c r="W522" s="392"/>
      <c r="X522" s="392"/>
      <c r="Y522" s="392"/>
      <c r="Z522" s="392"/>
      <c r="AA522" s="392"/>
      <c r="AB522" s="392"/>
      <c r="AC522" s="392"/>
      <c r="AD522" s="392"/>
      <c r="AE522" s="392"/>
      <c r="AF522" s="392"/>
    </row>
    <row r="523" ht="15.75" customHeight="1">
      <c r="A523" s="216"/>
      <c r="B523" s="156"/>
      <c r="C523" s="156"/>
      <c r="D523" s="156"/>
      <c r="E523" s="392"/>
      <c r="F523" s="392"/>
      <c r="G523" s="392"/>
      <c r="H523" s="392"/>
      <c r="I523" s="392"/>
      <c r="J523" s="145"/>
      <c r="K523" s="392"/>
      <c r="L523" s="392"/>
      <c r="M523" s="392"/>
      <c r="N523" s="392"/>
      <c r="O523" s="392"/>
      <c r="P523" s="392"/>
      <c r="Q523" s="392"/>
      <c r="R523" s="392"/>
      <c r="S523" s="392"/>
      <c r="T523" s="392"/>
      <c r="U523" s="392"/>
      <c r="V523" s="392"/>
      <c r="W523" s="392"/>
      <c r="X523" s="392"/>
      <c r="Y523" s="392"/>
      <c r="Z523" s="392"/>
      <c r="AA523" s="392"/>
      <c r="AB523" s="392"/>
      <c r="AC523" s="392"/>
      <c r="AD523" s="392"/>
      <c r="AE523" s="392"/>
      <c r="AF523" s="392"/>
    </row>
    <row r="524" ht="15.75" customHeight="1">
      <c r="A524" s="216"/>
      <c r="B524" s="156"/>
      <c r="C524" s="156"/>
      <c r="D524" s="156"/>
      <c r="E524" s="392"/>
      <c r="F524" s="392"/>
      <c r="G524" s="392"/>
      <c r="H524" s="392"/>
      <c r="I524" s="392"/>
      <c r="J524" s="145"/>
      <c r="K524" s="392"/>
      <c r="L524" s="392"/>
      <c r="M524" s="392"/>
      <c r="N524" s="392"/>
      <c r="O524" s="392"/>
      <c r="P524" s="392"/>
      <c r="Q524" s="392"/>
      <c r="R524" s="392"/>
      <c r="S524" s="392"/>
      <c r="T524" s="392"/>
      <c r="U524" s="392"/>
      <c r="V524" s="392"/>
      <c r="W524" s="392"/>
      <c r="X524" s="392"/>
      <c r="Y524" s="392"/>
      <c r="Z524" s="392"/>
      <c r="AA524" s="392"/>
      <c r="AB524" s="392"/>
      <c r="AC524" s="392"/>
      <c r="AD524" s="392"/>
      <c r="AE524" s="392"/>
      <c r="AF524" s="392"/>
    </row>
    <row r="525" ht="15.75" customHeight="1">
      <c r="A525" s="216"/>
      <c r="B525" s="156"/>
      <c r="C525" s="156"/>
      <c r="D525" s="156"/>
      <c r="E525" s="392"/>
      <c r="F525" s="392"/>
      <c r="G525" s="392"/>
      <c r="H525" s="392"/>
      <c r="I525" s="392"/>
      <c r="J525" s="145"/>
      <c r="K525" s="392"/>
      <c r="L525" s="392"/>
      <c r="M525" s="392"/>
      <c r="N525" s="392"/>
      <c r="O525" s="392"/>
      <c r="P525" s="392"/>
      <c r="Q525" s="392"/>
      <c r="R525" s="392"/>
      <c r="S525" s="392"/>
      <c r="T525" s="392"/>
      <c r="U525" s="392"/>
      <c r="V525" s="392"/>
      <c r="W525" s="392"/>
      <c r="X525" s="392"/>
      <c r="Y525" s="392"/>
      <c r="Z525" s="392"/>
      <c r="AA525" s="392"/>
      <c r="AB525" s="392"/>
      <c r="AC525" s="392"/>
      <c r="AD525" s="392"/>
      <c r="AE525" s="392"/>
      <c r="AF525" s="392"/>
    </row>
    <row r="526" ht="15.75" customHeight="1">
      <c r="A526" s="216"/>
      <c r="B526" s="156"/>
      <c r="C526" s="156"/>
      <c r="D526" s="156"/>
      <c r="E526" s="392"/>
      <c r="F526" s="392"/>
      <c r="G526" s="392"/>
      <c r="H526" s="392"/>
      <c r="I526" s="392"/>
      <c r="J526" s="145"/>
      <c r="K526" s="392"/>
      <c r="L526" s="392"/>
      <c r="M526" s="392"/>
      <c r="N526" s="392"/>
      <c r="O526" s="392"/>
      <c r="P526" s="392"/>
      <c r="Q526" s="392"/>
      <c r="R526" s="392"/>
      <c r="S526" s="392"/>
      <c r="T526" s="392"/>
      <c r="U526" s="392"/>
      <c r="V526" s="392"/>
      <c r="W526" s="392"/>
      <c r="X526" s="392"/>
      <c r="Y526" s="392"/>
      <c r="Z526" s="392"/>
      <c r="AA526" s="392"/>
      <c r="AB526" s="392"/>
      <c r="AC526" s="392"/>
      <c r="AD526" s="392"/>
      <c r="AE526" s="392"/>
      <c r="AF526" s="392"/>
    </row>
    <row r="527" ht="15.75" customHeight="1">
      <c r="A527" s="216"/>
      <c r="B527" s="156"/>
      <c r="C527" s="156"/>
      <c r="D527" s="156"/>
      <c r="E527" s="392"/>
      <c r="F527" s="392"/>
      <c r="G527" s="392"/>
      <c r="H527" s="392"/>
      <c r="I527" s="392"/>
      <c r="J527" s="145"/>
      <c r="K527" s="392"/>
      <c r="L527" s="392"/>
      <c r="M527" s="392"/>
      <c r="N527" s="392"/>
      <c r="O527" s="392"/>
      <c r="P527" s="392"/>
      <c r="Q527" s="392"/>
      <c r="R527" s="392"/>
      <c r="S527" s="392"/>
      <c r="T527" s="392"/>
      <c r="U527" s="392"/>
      <c r="V527" s="392"/>
      <c r="W527" s="392"/>
      <c r="X527" s="392"/>
      <c r="Y527" s="392"/>
      <c r="Z527" s="392"/>
      <c r="AA527" s="392"/>
      <c r="AB527" s="392"/>
      <c r="AC527" s="392"/>
      <c r="AD527" s="392"/>
      <c r="AE527" s="392"/>
      <c r="AF527" s="392"/>
    </row>
    <row r="528" ht="15.75" customHeight="1">
      <c r="A528" s="216"/>
      <c r="B528" s="156"/>
      <c r="C528" s="156"/>
      <c r="D528" s="156"/>
      <c r="E528" s="392"/>
      <c r="F528" s="392"/>
      <c r="G528" s="392"/>
      <c r="H528" s="392"/>
      <c r="I528" s="392"/>
      <c r="J528" s="145"/>
      <c r="K528" s="392"/>
      <c r="L528" s="392"/>
      <c r="M528" s="392"/>
      <c r="N528" s="392"/>
      <c r="O528" s="392"/>
      <c r="P528" s="392"/>
      <c r="Q528" s="392"/>
      <c r="R528" s="392"/>
      <c r="S528" s="392"/>
      <c r="T528" s="392"/>
      <c r="U528" s="392"/>
      <c r="V528" s="392"/>
      <c r="W528" s="392"/>
      <c r="X528" s="392"/>
      <c r="Y528" s="392"/>
      <c r="Z528" s="392"/>
      <c r="AA528" s="392"/>
      <c r="AB528" s="392"/>
      <c r="AC528" s="392"/>
      <c r="AD528" s="392"/>
      <c r="AE528" s="392"/>
      <c r="AF528" s="392"/>
    </row>
    <row r="529" ht="15.75" customHeight="1">
      <c r="A529" s="216"/>
      <c r="B529" s="156"/>
      <c r="C529" s="156"/>
      <c r="D529" s="156"/>
      <c r="E529" s="392"/>
      <c r="F529" s="392"/>
      <c r="G529" s="392"/>
      <c r="H529" s="392"/>
      <c r="I529" s="392"/>
      <c r="J529" s="145"/>
      <c r="K529" s="392"/>
      <c r="L529" s="392"/>
      <c r="M529" s="392"/>
      <c r="N529" s="392"/>
      <c r="O529" s="392"/>
      <c r="P529" s="392"/>
      <c r="Q529" s="392"/>
      <c r="R529" s="392"/>
      <c r="S529" s="392"/>
      <c r="T529" s="392"/>
      <c r="U529" s="392"/>
      <c r="V529" s="392"/>
      <c r="W529" s="392"/>
      <c r="X529" s="392"/>
      <c r="Y529" s="392"/>
      <c r="Z529" s="392"/>
      <c r="AA529" s="392"/>
      <c r="AB529" s="392"/>
      <c r="AC529" s="392"/>
      <c r="AD529" s="392"/>
      <c r="AE529" s="392"/>
      <c r="AF529" s="392"/>
    </row>
    <row r="530" ht="15.75" customHeight="1">
      <c r="A530" s="216"/>
      <c r="B530" s="156"/>
      <c r="C530" s="156"/>
      <c r="D530" s="156"/>
      <c r="E530" s="392"/>
      <c r="F530" s="392"/>
      <c r="G530" s="392"/>
      <c r="H530" s="392"/>
      <c r="I530" s="392"/>
      <c r="J530" s="145"/>
      <c r="K530" s="392"/>
      <c r="L530" s="392"/>
      <c r="M530" s="392"/>
      <c r="N530" s="392"/>
      <c r="O530" s="392"/>
      <c r="P530" s="392"/>
      <c r="Q530" s="392"/>
      <c r="R530" s="392"/>
      <c r="S530" s="392"/>
      <c r="T530" s="392"/>
      <c r="U530" s="392"/>
      <c r="V530" s="392"/>
      <c r="W530" s="392"/>
      <c r="X530" s="392"/>
      <c r="Y530" s="392"/>
      <c r="Z530" s="392"/>
      <c r="AA530" s="392"/>
      <c r="AB530" s="392"/>
      <c r="AC530" s="392"/>
      <c r="AD530" s="392"/>
      <c r="AE530" s="392"/>
      <c r="AF530" s="392"/>
    </row>
    <row r="531" ht="15.75" customHeight="1">
      <c r="A531" s="216"/>
      <c r="B531" s="156"/>
      <c r="C531" s="156"/>
      <c r="D531" s="156"/>
      <c r="E531" s="392"/>
      <c r="F531" s="392"/>
      <c r="G531" s="392"/>
      <c r="H531" s="392"/>
      <c r="I531" s="392"/>
      <c r="J531" s="145"/>
      <c r="K531" s="392"/>
      <c r="L531" s="392"/>
      <c r="M531" s="392"/>
      <c r="N531" s="392"/>
      <c r="O531" s="392"/>
      <c r="P531" s="392"/>
      <c r="Q531" s="392"/>
      <c r="R531" s="392"/>
      <c r="S531" s="392"/>
      <c r="T531" s="392"/>
      <c r="U531" s="392"/>
      <c r="V531" s="392"/>
      <c r="W531" s="392"/>
      <c r="X531" s="392"/>
      <c r="Y531" s="392"/>
      <c r="Z531" s="392"/>
      <c r="AA531" s="392"/>
      <c r="AB531" s="392"/>
      <c r="AC531" s="392"/>
      <c r="AD531" s="392"/>
      <c r="AE531" s="392"/>
      <c r="AF531" s="392"/>
    </row>
    <row r="532" ht="15.75" customHeight="1">
      <c r="A532" s="216"/>
      <c r="B532" s="156"/>
      <c r="C532" s="156"/>
      <c r="D532" s="156"/>
      <c r="E532" s="392"/>
      <c r="F532" s="392"/>
      <c r="G532" s="392"/>
      <c r="H532" s="392"/>
      <c r="I532" s="392"/>
      <c r="J532" s="145"/>
      <c r="K532" s="392"/>
      <c r="L532" s="392"/>
      <c r="M532" s="392"/>
      <c r="N532" s="392"/>
      <c r="O532" s="392"/>
      <c r="P532" s="392"/>
      <c r="Q532" s="392"/>
      <c r="R532" s="392"/>
      <c r="S532" s="392"/>
      <c r="T532" s="392"/>
      <c r="U532" s="392"/>
      <c r="V532" s="392"/>
      <c r="W532" s="392"/>
      <c r="X532" s="392"/>
      <c r="Y532" s="392"/>
      <c r="Z532" s="392"/>
      <c r="AA532" s="392"/>
      <c r="AB532" s="392"/>
      <c r="AC532" s="392"/>
      <c r="AD532" s="392"/>
      <c r="AE532" s="392"/>
      <c r="AF532" s="392"/>
    </row>
    <row r="533" ht="15.75" customHeight="1">
      <c r="A533" s="216"/>
      <c r="B533" s="156"/>
      <c r="C533" s="156"/>
      <c r="D533" s="156"/>
      <c r="E533" s="392"/>
      <c r="F533" s="392"/>
      <c r="G533" s="392"/>
      <c r="H533" s="392"/>
      <c r="I533" s="392"/>
      <c r="J533" s="145"/>
      <c r="K533" s="392"/>
      <c r="L533" s="392"/>
      <c r="M533" s="392"/>
      <c r="N533" s="392"/>
      <c r="O533" s="392"/>
      <c r="P533" s="392"/>
      <c r="Q533" s="392"/>
      <c r="R533" s="392"/>
      <c r="S533" s="392"/>
      <c r="T533" s="392"/>
      <c r="U533" s="392"/>
      <c r="V533" s="392"/>
      <c r="W533" s="392"/>
      <c r="X533" s="392"/>
      <c r="Y533" s="392"/>
      <c r="Z533" s="392"/>
      <c r="AA533" s="392"/>
      <c r="AB533" s="392"/>
      <c r="AC533" s="392"/>
      <c r="AD533" s="392"/>
      <c r="AE533" s="392"/>
      <c r="AF533" s="392"/>
    </row>
    <row r="534" ht="15.75" customHeight="1">
      <c r="A534" s="216"/>
      <c r="B534" s="156"/>
      <c r="C534" s="156"/>
      <c r="D534" s="156"/>
      <c r="E534" s="392"/>
      <c r="F534" s="392"/>
      <c r="G534" s="392"/>
      <c r="H534" s="392"/>
      <c r="I534" s="392"/>
      <c r="J534" s="145"/>
      <c r="K534" s="392"/>
      <c r="L534" s="392"/>
      <c r="M534" s="392"/>
      <c r="N534" s="392"/>
      <c r="O534" s="392"/>
      <c r="P534" s="392"/>
      <c r="Q534" s="392"/>
      <c r="R534" s="392"/>
      <c r="S534" s="392"/>
      <c r="T534" s="392"/>
      <c r="U534" s="392"/>
      <c r="V534" s="392"/>
      <c r="W534" s="392"/>
      <c r="X534" s="392"/>
      <c r="Y534" s="392"/>
      <c r="Z534" s="392"/>
      <c r="AA534" s="392"/>
      <c r="AB534" s="392"/>
      <c r="AC534" s="392"/>
      <c r="AD534" s="392"/>
      <c r="AE534" s="392"/>
      <c r="AF534" s="392"/>
    </row>
    <row r="535" ht="15.75" customHeight="1">
      <c r="A535" s="216"/>
      <c r="B535" s="156"/>
      <c r="C535" s="156"/>
      <c r="D535" s="156"/>
      <c r="E535" s="392"/>
      <c r="F535" s="392"/>
      <c r="G535" s="392"/>
      <c r="H535" s="392"/>
      <c r="I535" s="392"/>
      <c r="J535" s="145"/>
      <c r="K535" s="392"/>
      <c r="L535" s="392"/>
      <c r="M535" s="392"/>
      <c r="N535" s="392"/>
      <c r="O535" s="392"/>
      <c r="P535" s="392"/>
      <c r="Q535" s="392"/>
      <c r="R535" s="392"/>
      <c r="S535" s="392"/>
      <c r="T535" s="392"/>
      <c r="U535" s="392"/>
      <c r="V535" s="392"/>
      <c r="W535" s="392"/>
      <c r="X535" s="392"/>
      <c r="Y535" s="392"/>
      <c r="Z535" s="392"/>
      <c r="AA535" s="392"/>
      <c r="AB535" s="392"/>
      <c r="AC535" s="392"/>
      <c r="AD535" s="392"/>
      <c r="AE535" s="392"/>
      <c r="AF535" s="392"/>
    </row>
    <row r="536" ht="15.75" customHeight="1">
      <c r="A536" s="216"/>
      <c r="B536" s="156"/>
      <c r="C536" s="156"/>
      <c r="D536" s="156"/>
      <c r="E536" s="392"/>
      <c r="F536" s="392"/>
      <c r="G536" s="392"/>
      <c r="H536" s="392"/>
      <c r="I536" s="392"/>
      <c r="J536" s="145"/>
      <c r="K536" s="392"/>
      <c r="L536" s="392"/>
      <c r="M536" s="392"/>
      <c r="N536" s="392"/>
      <c r="O536" s="392"/>
      <c r="P536" s="392"/>
      <c r="Q536" s="392"/>
      <c r="R536" s="392"/>
      <c r="S536" s="392"/>
      <c r="T536" s="392"/>
      <c r="U536" s="392"/>
      <c r="V536" s="392"/>
      <c r="W536" s="392"/>
      <c r="X536" s="392"/>
      <c r="Y536" s="392"/>
      <c r="Z536" s="392"/>
      <c r="AA536" s="392"/>
      <c r="AB536" s="392"/>
      <c r="AC536" s="392"/>
      <c r="AD536" s="392"/>
      <c r="AE536" s="392"/>
      <c r="AF536" s="392"/>
    </row>
    <row r="537" ht="15.75" customHeight="1">
      <c r="A537" s="216"/>
      <c r="B537" s="156"/>
      <c r="C537" s="156"/>
      <c r="D537" s="156"/>
      <c r="E537" s="392"/>
      <c r="F537" s="392"/>
      <c r="G537" s="392"/>
      <c r="H537" s="392"/>
      <c r="I537" s="392"/>
      <c r="J537" s="145"/>
      <c r="K537" s="392"/>
      <c r="L537" s="392"/>
      <c r="M537" s="392"/>
      <c r="N537" s="392"/>
      <c r="O537" s="392"/>
      <c r="P537" s="392"/>
      <c r="Q537" s="392"/>
      <c r="R537" s="392"/>
      <c r="S537" s="392"/>
      <c r="T537" s="392"/>
      <c r="U537" s="392"/>
      <c r="V537" s="392"/>
      <c r="W537" s="392"/>
      <c r="X537" s="392"/>
      <c r="Y537" s="392"/>
      <c r="Z537" s="392"/>
      <c r="AA537" s="392"/>
      <c r="AB537" s="392"/>
      <c r="AC537" s="392"/>
      <c r="AD537" s="392"/>
      <c r="AE537" s="392"/>
      <c r="AF537" s="392"/>
    </row>
    <row r="538" ht="15.75" customHeight="1">
      <c r="A538" s="216"/>
      <c r="B538" s="156"/>
      <c r="C538" s="156"/>
      <c r="D538" s="156"/>
      <c r="E538" s="392"/>
      <c r="F538" s="392"/>
      <c r="G538" s="392"/>
      <c r="H538" s="392"/>
      <c r="I538" s="392"/>
      <c r="J538" s="145"/>
      <c r="K538" s="392"/>
      <c r="L538" s="392"/>
      <c r="M538" s="392"/>
      <c r="N538" s="392"/>
      <c r="O538" s="392"/>
      <c r="P538" s="392"/>
      <c r="Q538" s="392"/>
      <c r="R538" s="392"/>
      <c r="S538" s="392"/>
      <c r="T538" s="392"/>
      <c r="U538" s="392"/>
      <c r="V538" s="392"/>
      <c r="W538" s="392"/>
      <c r="X538" s="392"/>
      <c r="Y538" s="392"/>
      <c r="Z538" s="392"/>
      <c r="AA538" s="392"/>
      <c r="AB538" s="392"/>
      <c r="AC538" s="392"/>
      <c r="AD538" s="392"/>
      <c r="AE538" s="392"/>
      <c r="AF538" s="392"/>
    </row>
    <row r="539" ht="15.75" customHeight="1">
      <c r="A539" s="216"/>
      <c r="B539" s="156"/>
      <c r="C539" s="156"/>
      <c r="D539" s="156"/>
      <c r="E539" s="392"/>
      <c r="F539" s="392"/>
      <c r="G539" s="392"/>
      <c r="H539" s="392"/>
      <c r="I539" s="392"/>
      <c r="J539" s="145"/>
      <c r="K539" s="392"/>
      <c r="L539" s="392"/>
      <c r="M539" s="392"/>
      <c r="N539" s="392"/>
      <c r="O539" s="392"/>
      <c r="P539" s="392"/>
      <c r="Q539" s="392"/>
      <c r="R539" s="392"/>
      <c r="S539" s="392"/>
      <c r="T539" s="392"/>
      <c r="U539" s="392"/>
      <c r="V539" s="392"/>
      <c r="W539" s="392"/>
      <c r="X539" s="392"/>
      <c r="Y539" s="392"/>
      <c r="Z539" s="392"/>
      <c r="AA539" s="392"/>
      <c r="AB539" s="392"/>
      <c r="AC539" s="392"/>
      <c r="AD539" s="392"/>
      <c r="AE539" s="392"/>
      <c r="AF539" s="392"/>
    </row>
    <row r="540" ht="15.75" customHeight="1">
      <c r="A540" s="216"/>
      <c r="B540" s="156"/>
      <c r="C540" s="156"/>
      <c r="D540" s="156"/>
      <c r="E540" s="392"/>
      <c r="F540" s="392"/>
      <c r="G540" s="392"/>
      <c r="H540" s="392"/>
      <c r="I540" s="392"/>
      <c r="J540" s="145"/>
      <c r="K540" s="392"/>
      <c r="L540" s="392"/>
      <c r="M540" s="392"/>
      <c r="N540" s="392"/>
      <c r="O540" s="392"/>
      <c r="P540" s="392"/>
      <c r="Q540" s="392"/>
      <c r="R540" s="392"/>
      <c r="S540" s="392"/>
      <c r="T540" s="392"/>
      <c r="U540" s="392"/>
      <c r="V540" s="392"/>
      <c r="W540" s="392"/>
      <c r="X540" s="392"/>
      <c r="Y540" s="392"/>
      <c r="Z540" s="392"/>
      <c r="AA540" s="392"/>
      <c r="AB540" s="392"/>
      <c r="AC540" s="392"/>
      <c r="AD540" s="392"/>
      <c r="AE540" s="392"/>
      <c r="AF540" s="392"/>
    </row>
    <row r="541" ht="15.75" customHeight="1">
      <c r="A541" s="216"/>
      <c r="B541" s="156"/>
      <c r="C541" s="156"/>
      <c r="D541" s="156"/>
      <c r="E541" s="392"/>
      <c r="F541" s="392"/>
      <c r="G541" s="392"/>
      <c r="H541" s="392"/>
      <c r="I541" s="392"/>
      <c r="J541" s="145"/>
      <c r="K541" s="392"/>
      <c r="L541" s="392"/>
      <c r="M541" s="392"/>
      <c r="N541" s="392"/>
      <c r="O541" s="392"/>
      <c r="P541" s="392"/>
      <c r="Q541" s="392"/>
      <c r="R541" s="392"/>
      <c r="S541" s="392"/>
      <c r="T541" s="392"/>
      <c r="U541" s="392"/>
      <c r="V541" s="392"/>
      <c r="W541" s="392"/>
      <c r="X541" s="392"/>
      <c r="Y541" s="392"/>
      <c r="Z541" s="392"/>
      <c r="AA541" s="392"/>
      <c r="AB541" s="392"/>
      <c r="AC541" s="392"/>
      <c r="AD541" s="392"/>
      <c r="AE541" s="392"/>
      <c r="AF541" s="392"/>
    </row>
    <row r="542" ht="15.75" customHeight="1">
      <c r="A542" s="216"/>
      <c r="B542" s="156"/>
      <c r="C542" s="156"/>
      <c r="D542" s="156"/>
      <c r="E542" s="392"/>
      <c r="F542" s="392"/>
      <c r="G542" s="392"/>
      <c r="H542" s="392"/>
      <c r="I542" s="392"/>
      <c r="J542" s="145"/>
      <c r="K542" s="392"/>
      <c r="L542" s="392"/>
      <c r="M542" s="392"/>
      <c r="N542" s="392"/>
      <c r="O542" s="392"/>
      <c r="P542" s="392"/>
      <c r="Q542" s="392"/>
      <c r="R542" s="392"/>
      <c r="S542" s="392"/>
      <c r="T542" s="392"/>
      <c r="U542" s="392"/>
      <c r="V542" s="392"/>
      <c r="W542" s="392"/>
      <c r="X542" s="392"/>
      <c r="Y542" s="392"/>
      <c r="Z542" s="392"/>
      <c r="AA542" s="392"/>
      <c r="AB542" s="392"/>
      <c r="AC542" s="392"/>
      <c r="AD542" s="392"/>
      <c r="AE542" s="392"/>
      <c r="AF542" s="392"/>
    </row>
    <row r="543" ht="15.75" customHeight="1">
      <c r="A543" s="216"/>
      <c r="B543" s="156"/>
      <c r="C543" s="156"/>
      <c r="D543" s="156"/>
      <c r="E543" s="392"/>
      <c r="F543" s="392"/>
      <c r="G543" s="392"/>
      <c r="H543" s="392"/>
      <c r="I543" s="392"/>
      <c r="J543" s="145"/>
      <c r="K543" s="392"/>
      <c r="L543" s="392"/>
      <c r="M543" s="392"/>
      <c r="N543" s="392"/>
      <c r="O543" s="392"/>
      <c r="P543" s="392"/>
      <c r="Q543" s="392"/>
      <c r="R543" s="392"/>
      <c r="S543" s="392"/>
      <c r="T543" s="392"/>
      <c r="U543" s="392"/>
      <c r="V543" s="392"/>
      <c r="W543" s="392"/>
      <c r="X543" s="392"/>
      <c r="Y543" s="392"/>
      <c r="Z543" s="392"/>
      <c r="AA543" s="392"/>
      <c r="AB543" s="392"/>
      <c r="AC543" s="392"/>
      <c r="AD543" s="392"/>
      <c r="AE543" s="392"/>
      <c r="AF543" s="392"/>
    </row>
    <row r="544" ht="15.75" customHeight="1">
      <c r="A544" s="216"/>
      <c r="B544" s="156"/>
      <c r="C544" s="156"/>
      <c r="D544" s="156"/>
      <c r="E544" s="392"/>
      <c r="F544" s="392"/>
      <c r="G544" s="392"/>
      <c r="H544" s="392"/>
      <c r="I544" s="392"/>
      <c r="J544" s="145"/>
      <c r="K544" s="392"/>
      <c r="L544" s="392"/>
      <c r="M544" s="392"/>
      <c r="N544" s="392"/>
      <c r="O544" s="392"/>
      <c r="P544" s="392"/>
      <c r="Q544" s="392"/>
      <c r="R544" s="392"/>
      <c r="S544" s="392"/>
      <c r="T544" s="392"/>
      <c r="U544" s="392"/>
      <c r="V544" s="392"/>
      <c r="W544" s="392"/>
      <c r="X544" s="392"/>
      <c r="Y544" s="392"/>
      <c r="Z544" s="392"/>
      <c r="AA544" s="392"/>
      <c r="AB544" s="392"/>
      <c r="AC544" s="392"/>
      <c r="AD544" s="392"/>
      <c r="AE544" s="392"/>
      <c r="AF544" s="392"/>
    </row>
    <row r="545" ht="15.75" customHeight="1">
      <c r="A545" s="216"/>
      <c r="B545" s="156"/>
      <c r="C545" s="156"/>
      <c r="D545" s="156"/>
      <c r="E545" s="392"/>
      <c r="F545" s="392"/>
      <c r="G545" s="392"/>
      <c r="H545" s="392"/>
      <c r="I545" s="392"/>
      <c r="J545" s="145"/>
      <c r="K545" s="392"/>
      <c r="L545" s="392"/>
      <c r="M545" s="392"/>
      <c r="N545" s="392"/>
      <c r="O545" s="392"/>
      <c r="P545" s="392"/>
      <c r="Q545" s="392"/>
      <c r="R545" s="392"/>
      <c r="S545" s="392"/>
      <c r="T545" s="392"/>
      <c r="U545" s="392"/>
      <c r="V545" s="392"/>
      <c r="W545" s="392"/>
      <c r="X545" s="392"/>
      <c r="Y545" s="392"/>
      <c r="Z545" s="392"/>
      <c r="AA545" s="392"/>
      <c r="AB545" s="392"/>
      <c r="AC545" s="392"/>
      <c r="AD545" s="392"/>
      <c r="AE545" s="392"/>
      <c r="AF545" s="392"/>
    </row>
    <row r="546" ht="15.75" customHeight="1">
      <c r="A546" s="216"/>
      <c r="B546" s="156"/>
      <c r="C546" s="156"/>
      <c r="D546" s="156"/>
      <c r="E546" s="392"/>
      <c r="F546" s="392"/>
      <c r="G546" s="392"/>
      <c r="H546" s="392"/>
      <c r="I546" s="392"/>
      <c r="J546" s="145"/>
      <c r="K546" s="392"/>
      <c r="L546" s="392"/>
      <c r="M546" s="392"/>
      <c r="N546" s="392"/>
      <c r="O546" s="392"/>
      <c r="P546" s="392"/>
      <c r="Q546" s="392"/>
      <c r="R546" s="392"/>
      <c r="S546" s="392"/>
      <c r="T546" s="392"/>
      <c r="U546" s="392"/>
      <c r="V546" s="392"/>
      <c r="W546" s="392"/>
      <c r="X546" s="392"/>
      <c r="Y546" s="392"/>
      <c r="Z546" s="392"/>
      <c r="AA546" s="392"/>
      <c r="AB546" s="392"/>
      <c r="AC546" s="392"/>
      <c r="AD546" s="392"/>
      <c r="AE546" s="392"/>
      <c r="AF546" s="392"/>
    </row>
    <row r="547" ht="15.75" customHeight="1">
      <c r="A547" s="216"/>
      <c r="B547" s="156"/>
      <c r="C547" s="156"/>
      <c r="D547" s="156"/>
      <c r="E547" s="392"/>
      <c r="F547" s="392"/>
      <c r="G547" s="392"/>
      <c r="H547" s="392"/>
      <c r="I547" s="392"/>
      <c r="J547" s="145"/>
      <c r="K547" s="392"/>
      <c r="L547" s="392"/>
      <c r="M547" s="392"/>
      <c r="N547" s="392"/>
      <c r="O547" s="392"/>
      <c r="P547" s="392"/>
      <c r="Q547" s="392"/>
      <c r="R547" s="392"/>
      <c r="S547" s="392"/>
      <c r="T547" s="392"/>
      <c r="U547" s="392"/>
      <c r="V547" s="392"/>
      <c r="W547" s="392"/>
      <c r="X547" s="392"/>
      <c r="Y547" s="392"/>
      <c r="Z547" s="392"/>
      <c r="AA547" s="392"/>
      <c r="AB547" s="392"/>
      <c r="AC547" s="392"/>
      <c r="AD547" s="392"/>
      <c r="AE547" s="392"/>
      <c r="AF547" s="392"/>
    </row>
    <row r="548" ht="15.75" customHeight="1">
      <c r="A548" s="216"/>
      <c r="B548" s="156"/>
      <c r="C548" s="156"/>
      <c r="D548" s="156"/>
      <c r="E548" s="392"/>
      <c r="F548" s="392"/>
      <c r="G548" s="392"/>
      <c r="H548" s="392"/>
      <c r="I548" s="392"/>
      <c r="J548" s="145"/>
      <c r="K548" s="392"/>
      <c r="L548" s="392"/>
      <c r="M548" s="392"/>
      <c r="N548" s="392"/>
      <c r="O548" s="392"/>
      <c r="P548" s="392"/>
      <c r="Q548" s="392"/>
      <c r="R548" s="392"/>
      <c r="S548" s="392"/>
      <c r="T548" s="392"/>
      <c r="U548" s="392"/>
      <c r="V548" s="392"/>
      <c r="W548" s="392"/>
      <c r="X548" s="392"/>
      <c r="Y548" s="392"/>
      <c r="Z548" s="392"/>
      <c r="AA548" s="392"/>
      <c r="AB548" s="392"/>
      <c r="AC548" s="392"/>
      <c r="AD548" s="392"/>
      <c r="AE548" s="392"/>
      <c r="AF548" s="392"/>
    </row>
    <row r="549" ht="15.75" customHeight="1">
      <c r="A549" s="216"/>
      <c r="B549" s="156"/>
      <c r="C549" s="156"/>
      <c r="D549" s="156"/>
      <c r="E549" s="392"/>
      <c r="F549" s="392"/>
      <c r="G549" s="392"/>
      <c r="H549" s="392"/>
      <c r="I549" s="392"/>
      <c r="J549" s="145"/>
      <c r="K549" s="392"/>
      <c r="L549" s="392"/>
      <c r="M549" s="392"/>
      <c r="N549" s="392"/>
      <c r="O549" s="392"/>
      <c r="P549" s="392"/>
      <c r="Q549" s="392"/>
      <c r="R549" s="392"/>
      <c r="S549" s="392"/>
      <c r="T549" s="392"/>
      <c r="U549" s="392"/>
      <c r="V549" s="392"/>
      <c r="W549" s="392"/>
      <c r="X549" s="392"/>
      <c r="Y549" s="392"/>
      <c r="Z549" s="392"/>
      <c r="AA549" s="392"/>
      <c r="AB549" s="392"/>
      <c r="AC549" s="392"/>
      <c r="AD549" s="392"/>
      <c r="AE549" s="392"/>
      <c r="AF549" s="392"/>
    </row>
    <row r="550" ht="15.75" customHeight="1">
      <c r="A550" s="216"/>
      <c r="B550" s="156"/>
      <c r="C550" s="156"/>
      <c r="D550" s="156"/>
      <c r="E550" s="392"/>
      <c r="F550" s="392"/>
      <c r="G550" s="392"/>
      <c r="H550" s="392"/>
      <c r="I550" s="392"/>
      <c r="J550" s="145"/>
      <c r="K550" s="392"/>
      <c r="L550" s="392"/>
      <c r="M550" s="392"/>
      <c r="N550" s="392"/>
      <c r="O550" s="392"/>
      <c r="P550" s="392"/>
      <c r="Q550" s="392"/>
      <c r="R550" s="392"/>
      <c r="S550" s="392"/>
      <c r="T550" s="392"/>
      <c r="U550" s="392"/>
      <c r="V550" s="392"/>
      <c r="W550" s="392"/>
      <c r="X550" s="392"/>
      <c r="Y550" s="392"/>
      <c r="Z550" s="392"/>
      <c r="AA550" s="392"/>
      <c r="AB550" s="392"/>
      <c r="AC550" s="392"/>
      <c r="AD550" s="392"/>
      <c r="AE550" s="392"/>
      <c r="AF550" s="392"/>
    </row>
    <row r="551" ht="15.75" customHeight="1">
      <c r="A551" s="216"/>
      <c r="B551" s="156"/>
      <c r="C551" s="156"/>
      <c r="D551" s="156"/>
      <c r="E551" s="392"/>
      <c r="F551" s="392"/>
      <c r="G551" s="392"/>
      <c r="H551" s="392"/>
      <c r="I551" s="392"/>
      <c r="J551" s="145"/>
      <c r="K551" s="392"/>
      <c r="L551" s="392"/>
      <c r="M551" s="392"/>
      <c r="N551" s="392"/>
      <c r="O551" s="392"/>
      <c r="P551" s="392"/>
      <c r="Q551" s="392"/>
      <c r="R551" s="392"/>
      <c r="S551" s="392"/>
      <c r="T551" s="392"/>
      <c r="U551" s="392"/>
      <c r="V551" s="392"/>
      <c r="W551" s="392"/>
      <c r="X551" s="392"/>
      <c r="Y551" s="392"/>
      <c r="Z551" s="392"/>
      <c r="AA551" s="392"/>
      <c r="AB551" s="392"/>
      <c r="AC551" s="392"/>
      <c r="AD551" s="392"/>
      <c r="AE551" s="392"/>
      <c r="AF551" s="392"/>
    </row>
    <row r="552" ht="15.75" customHeight="1">
      <c r="A552" s="216"/>
      <c r="B552" s="156"/>
      <c r="C552" s="156"/>
      <c r="D552" s="156"/>
      <c r="E552" s="392"/>
      <c r="F552" s="392"/>
      <c r="G552" s="392"/>
      <c r="H552" s="392"/>
      <c r="I552" s="392"/>
      <c r="J552" s="145"/>
      <c r="K552" s="392"/>
      <c r="L552" s="392"/>
      <c r="M552" s="392"/>
      <c r="N552" s="392"/>
      <c r="O552" s="392"/>
      <c r="P552" s="392"/>
      <c r="Q552" s="392"/>
      <c r="R552" s="392"/>
      <c r="S552" s="392"/>
      <c r="T552" s="392"/>
      <c r="U552" s="392"/>
      <c r="V552" s="392"/>
      <c r="W552" s="392"/>
      <c r="X552" s="392"/>
      <c r="Y552" s="392"/>
      <c r="Z552" s="392"/>
      <c r="AA552" s="392"/>
      <c r="AB552" s="392"/>
      <c r="AC552" s="392"/>
      <c r="AD552" s="392"/>
      <c r="AE552" s="392"/>
      <c r="AF552" s="392"/>
    </row>
    <row r="553" ht="15.75" customHeight="1">
      <c r="A553" s="216"/>
      <c r="B553" s="156"/>
      <c r="C553" s="156"/>
      <c r="D553" s="156"/>
      <c r="E553" s="392"/>
      <c r="F553" s="392"/>
      <c r="G553" s="392"/>
      <c r="H553" s="392"/>
      <c r="I553" s="392"/>
      <c r="J553" s="145"/>
      <c r="K553" s="392"/>
      <c r="L553" s="392"/>
      <c r="M553" s="392"/>
      <c r="N553" s="392"/>
      <c r="O553" s="392"/>
      <c r="P553" s="392"/>
      <c r="Q553" s="392"/>
      <c r="R553" s="392"/>
      <c r="S553" s="392"/>
      <c r="T553" s="392"/>
      <c r="U553" s="392"/>
      <c r="V553" s="392"/>
      <c r="W553" s="392"/>
      <c r="X553" s="392"/>
      <c r="Y553" s="392"/>
      <c r="Z553" s="392"/>
      <c r="AA553" s="392"/>
      <c r="AB553" s="392"/>
      <c r="AC553" s="392"/>
      <c r="AD553" s="392"/>
      <c r="AE553" s="392"/>
      <c r="AF553" s="392"/>
    </row>
    <row r="554" ht="15.75" customHeight="1">
      <c r="A554" s="216"/>
      <c r="B554" s="156"/>
      <c r="C554" s="156"/>
      <c r="D554" s="156"/>
      <c r="E554" s="392"/>
      <c r="F554" s="392"/>
      <c r="G554" s="392"/>
      <c r="H554" s="392"/>
      <c r="I554" s="392"/>
      <c r="J554" s="145"/>
      <c r="K554" s="392"/>
      <c r="L554" s="392"/>
      <c r="M554" s="392"/>
      <c r="N554" s="392"/>
      <c r="O554" s="392"/>
      <c r="P554" s="392"/>
      <c r="Q554" s="392"/>
      <c r="R554" s="392"/>
      <c r="S554" s="392"/>
      <c r="T554" s="392"/>
      <c r="U554" s="392"/>
      <c r="V554" s="392"/>
      <c r="W554" s="392"/>
      <c r="X554" s="392"/>
      <c r="Y554" s="392"/>
      <c r="Z554" s="392"/>
      <c r="AA554" s="392"/>
      <c r="AB554" s="392"/>
      <c r="AC554" s="392"/>
      <c r="AD554" s="392"/>
      <c r="AE554" s="392"/>
      <c r="AF554" s="392"/>
    </row>
    <row r="555" ht="15.75" customHeight="1">
      <c r="A555" s="216"/>
      <c r="B555" s="156"/>
      <c r="C555" s="156"/>
      <c r="D555" s="156"/>
      <c r="E555" s="392"/>
      <c r="F555" s="392"/>
      <c r="G555" s="392"/>
      <c r="H555" s="392"/>
      <c r="I555" s="392"/>
      <c r="J555" s="145"/>
      <c r="K555" s="392"/>
      <c r="L555" s="392"/>
      <c r="M555" s="392"/>
      <c r="N555" s="392"/>
      <c r="O555" s="392"/>
      <c r="P555" s="392"/>
      <c r="Q555" s="392"/>
      <c r="R555" s="392"/>
      <c r="S555" s="392"/>
      <c r="T555" s="392"/>
      <c r="U555" s="392"/>
      <c r="V555" s="392"/>
      <c r="W555" s="392"/>
      <c r="X555" s="392"/>
      <c r="Y555" s="392"/>
      <c r="Z555" s="392"/>
      <c r="AA555" s="392"/>
      <c r="AB555" s="392"/>
      <c r="AC555" s="392"/>
      <c r="AD555" s="392"/>
      <c r="AE555" s="392"/>
      <c r="AF555" s="392"/>
    </row>
    <row r="556" ht="15.75" customHeight="1">
      <c r="A556" s="216"/>
      <c r="B556" s="156"/>
      <c r="C556" s="156"/>
      <c r="D556" s="156"/>
      <c r="E556" s="392"/>
      <c r="F556" s="392"/>
      <c r="G556" s="392"/>
      <c r="H556" s="392"/>
      <c r="I556" s="392"/>
      <c r="J556" s="145"/>
      <c r="K556" s="392"/>
      <c r="L556" s="392"/>
      <c r="M556" s="392"/>
      <c r="N556" s="392"/>
      <c r="O556" s="392"/>
      <c r="P556" s="392"/>
      <c r="Q556" s="392"/>
      <c r="R556" s="392"/>
      <c r="S556" s="392"/>
      <c r="T556" s="392"/>
      <c r="U556" s="392"/>
      <c r="V556" s="392"/>
      <c r="W556" s="392"/>
      <c r="X556" s="392"/>
      <c r="Y556" s="392"/>
      <c r="Z556" s="392"/>
      <c r="AA556" s="392"/>
      <c r="AB556" s="392"/>
      <c r="AC556" s="392"/>
      <c r="AD556" s="392"/>
      <c r="AE556" s="392"/>
      <c r="AF556" s="392"/>
    </row>
    <row r="557" ht="15.75" customHeight="1">
      <c r="A557" s="216"/>
      <c r="B557" s="156"/>
      <c r="C557" s="156"/>
      <c r="D557" s="156"/>
      <c r="E557" s="392"/>
      <c r="F557" s="392"/>
      <c r="G557" s="392"/>
      <c r="H557" s="392"/>
      <c r="I557" s="392"/>
      <c r="J557" s="145"/>
      <c r="K557" s="392"/>
      <c r="L557" s="392"/>
      <c r="M557" s="392"/>
      <c r="N557" s="392"/>
      <c r="O557" s="392"/>
      <c r="P557" s="392"/>
      <c r="Q557" s="392"/>
      <c r="R557" s="392"/>
      <c r="S557" s="392"/>
      <c r="T557" s="392"/>
      <c r="U557" s="392"/>
      <c r="V557" s="392"/>
      <c r="W557" s="392"/>
      <c r="X557" s="392"/>
      <c r="Y557" s="392"/>
      <c r="Z557" s="392"/>
      <c r="AA557" s="392"/>
      <c r="AB557" s="392"/>
      <c r="AC557" s="392"/>
      <c r="AD557" s="392"/>
      <c r="AE557" s="392"/>
      <c r="AF557" s="392"/>
    </row>
    <row r="558" ht="15.75" customHeight="1">
      <c r="A558" s="216"/>
      <c r="B558" s="156"/>
      <c r="C558" s="156"/>
      <c r="D558" s="156"/>
      <c r="E558" s="392"/>
      <c r="F558" s="392"/>
      <c r="G558" s="392"/>
      <c r="H558" s="392"/>
      <c r="I558" s="392"/>
      <c r="J558" s="145"/>
      <c r="K558" s="392"/>
      <c r="L558" s="392"/>
      <c r="M558" s="392"/>
      <c r="N558" s="392"/>
      <c r="O558" s="392"/>
      <c r="P558" s="392"/>
      <c r="Q558" s="392"/>
      <c r="R558" s="392"/>
      <c r="S558" s="392"/>
      <c r="T558" s="392"/>
      <c r="U558" s="392"/>
      <c r="V558" s="392"/>
      <c r="W558" s="392"/>
      <c r="X558" s="392"/>
      <c r="Y558" s="392"/>
      <c r="Z558" s="392"/>
      <c r="AA558" s="392"/>
      <c r="AB558" s="392"/>
      <c r="AC558" s="392"/>
      <c r="AD558" s="392"/>
      <c r="AE558" s="392"/>
      <c r="AF558" s="392"/>
    </row>
    <row r="559" ht="15.75" customHeight="1">
      <c r="A559" s="216"/>
      <c r="B559" s="156"/>
      <c r="C559" s="156"/>
      <c r="D559" s="156"/>
      <c r="E559" s="392"/>
      <c r="F559" s="392"/>
      <c r="G559" s="392"/>
      <c r="H559" s="392"/>
      <c r="I559" s="392"/>
      <c r="J559" s="145"/>
      <c r="K559" s="392"/>
      <c r="L559" s="392"/>
      <c r="M559" s="392"/>
      <c r="N559" s="392"/>
      <c r="O559" s="392"/>
      <c r="P559" s="392"/>
      <c r="Q559" s="392"/>
      <c r="R559" s="392"/>
      <c r="S559" s="392"/>
      <c r="T559" s="392"/>
      <c r="U559" s="392"/>
      <c r="V559" s="392"/>
      <c r="W559" s="392"/>
      <c r="X559" s="392"/>
      <c r="Y559" s="392"/>
      <c r="Z559" s="392"/>
      <c r="AA559" s="392"/>
      <c r="AB559" s="392"/>
      <c r="AC559" s="392"/>
      <c r="AD559" s="392"/>
      <c r="AE559" s="392"/>
      <c r="AF559" s="392"/>
    </row>
    <row r="560" ht="15.75" customHeight="1">
      <c r="A560" s="216"/>
      <c r="B560" s="156"/>
      <c r="C560" s="156"/>
      <c r="D560" s="156"/>
      <c r="E560" s="392"/>
      <c r="F560" s="392"/>
      <c r="G560" s="392"/>
      <c r="H560" s="392"/>
      <c r="I560" s="392"/>
      <c r="J560" s="145"/>
      <c r="K560" s="392"/>
      <c r="L560" s="392"/>
      <c r="M560" s="392"/>
      <c r="N560" s="392"/>
      <c r="O560" s="392"/>
      <c r="P560" s="392"/>
      <c r="Q560" s="392"/>
      <c r="R560" s="392"/>
      <c r="S560" s="392"/>
      <c r="T560" s="392"/>
      <c r="U560" s="392"/>
      <c r="V560" s="392"/>
      <c r="W560" s="392"/>
      <c r="X560" s="392"/>
      <c r="Y560" s="392"/>
      <c r="Z560" s="392"/>
      <c r="AA560" s="392"/>
      <c r="AB560" s="392"/>
      <c r="AC560" s="392"/>
      <c r="AD560" s="392"/>
      <c r="AE560" s="392"/>
      <c r="AF560" s="392"/>
    </row>
    <row r="561" ht="15.75" customHeight="1">
      <c r="A561" s="216"/>
      <c r="B561" s="156"/>
      <c r="C561" s="156"/>
      <c r="D561" s="156"/>
      <c r="E561" s="392"/>
      <c r="F561" s="392"/>
      <c r="G561" s="392"/>
      <c r="H561" s="392"/>
      <c r="I561" s="392"/>
      <c r="J561" s="145"/>
      <c r="K561" s="392"/>
      <c r="L561" s="392"/>
      <c r="M561" s="392"/>
      <c r="N561" s="392"/>
      <c r="O561" s="392"/>
      <c r="P561" s="392"/>
      <c r="Q561" s="392"/>
      <c r="R561" s="392"/>
      <c r="S561" s="392"/>
      <c r="T561" s="392"/>
      <c r="U561" s="392"/>
      <c r="V561" s="392"/>
      <c r="W561" s="392"/>
      <c r="X561" s="392"/>
      <c r="Y561" s="392"/>
      <c r="Z561" s="392"/>
      <c r="AA561" s="392"/>
      <c r="AB561" s="392"/>
      <c r="AC561" s="392"/>
      <c r="AD561" s="392"/>
      <c r="AE561" s="392"/>
      <c r="AF561" s="392"/>
    </row>
    <row r="562" ht="15.75" customHeight="1">
      <c r="A562" s="216"/>
      <c r="B562" s="156"/>
      <c r="C562" s="156"/>
      <c r="D562" s="156"/>
      <c r="E562" s="392"/>
      <c r="F562" s="392"/>
      <c r="G562" s="392"/>
      <c r="H562" s="392"/>
      <c r="I562" s="392"/>
      <c r="J562" s="145"/>
      <c r="K562" s="392"/>
      <c r="L562" s="392"/>
      <c r="M562" s="392"/>
      <c r="N562" s="392"/>
      <c r="O562" s="392"/>
      <c r="P562" s="392"/>
      <c r="Q562" s="392"/>
      <c r="R562" s="392"/>
      <c r="S562" s="392"/>
      <c r="T562" s="392"/>
      <c r="U562" s="392"/>
      <c r="V562" s="392"/>
      <c r="W562" s="392"/>
      <c r="X562" s="392"/>
      <c r="Y562" s="392"/>
      <c r="Z562" s="392"/>
      <c r="AA562" s="392"/>
      <c r="AB562" s="392"/>
      <c r="AC562" s="392"/>
      <c r="AD562" s="392"/>
      <c r="AE562" s="392"/>
      <c r="AF562" s="392"/>
    </row>
    <row r="563" ht="15.75" customHeight="1">
      <c r="A563" s="216"/>
      <c r="B563" s="156"/>
      <c r="C563" s="156"/>
      <c r="D563" s="156"/>
      <c r="E563" s="392"/>
      <c r="F563" s="392"/>
      <c r="G563" s="392"/>
      <c r="H563" s="392"/>
      <c r="I563" s="392"/>
      <c r="J563" s="145"/>
      <c r="K563" s="392"/>
      <c r="L563" s="392"/>
      <c r="M563" s="392"/>
      <c r="N563" s="392"/>
      <c r="O563" s="392"/>
      <c r="P563" s="392"/>
      <c r="Q563" s="392"/>
      <c r="R563" s="392"/>
      <c r="S563" s="392"/>
      <c r="T563" s="392"/>
      <c r="U563" s="392"/>
      <c r="V563" s="392"/>
      <c r="W563" s="392"/>
      <c r="X563" s="392"/>
      <c r="Y563" s="392"/>
      <c r="Z563" s="392"/>
      <c r="AA563" s="392"/>
      <c r="AB563" s="392"/>
      <c r="AC563" s="392"/>
      <c r="AD563" s="392"/>
      <c r="AE563" s="392"/>
      <c r="AF563" s="392"/>
    </row>
    <row r="564" ht="15.75" customHeight="1">
      <c r="A564" s="216"/>
      <c r="B564" s="156"/>
      <c r="C564" s="156"/>
      <c r="D564" s="156"/>
      <c r="E564" s="392"/>
      <c r="F564" s="392"/>
      <c r="G564" s="392"/>
      <c r="H564" s="392"/>
      <c r="I564" s="392"/>
      <c r="J564" s="145"/>
      <c r="K564" s="392"/>
      <c r="L564" s="392"/>
      <c r="M564" s="392"/>
      <c r="N564" s="392"/>
      <c r="O564" s="392"/>
      <c r="P564" s="392"/>
      <c r="Q564" s="392"/>
      <c r="R564" s="392"/>
      <c r="S564" s="392"/>
      <c r="T564" s="392"/>
      <c r="U564" s="392"/>
      <c r="V564" s="392"/>
      <c r="W564" s="392"/>
      <c r="X564" s="392"/>
      <c r="Y564" s="392"/>
      <c r="Z564" s="392"/>
      <c r="AA564" s="392"/>
      <c r="AB564" s="392"/>
      <c r="AC564" s="392"/>
      <c r="AD564" s="392"/>
      <c r="AE564" s="392"/>
      <c r="AF564" s="392"/>
    </row>
    <row r="565" ht="15.75" customHeight="1">
      <c r="A565" s="216"/>
      <c r="B565" s="156"/>
      <c r="C565" s="156"/>
      <c r="D565" s="156"/>
      <c r="E565" s="392"/>
      <c r="F565" s="392"/>
      <c r="G565" s="392"/>
      <c r="H565" s="392"/>
      <c r="I565" s="392"/>
      <c r="J565" s="145"/>
      <c r="K565" s="392"/>
      <c r="L565" s="392"/>
      <c r="M565" s="392"/>
      <c r="N565" s="392"/>
      <c r="O565" s="392"/>
      <c r="P565" s="392"/>
      <c r="Q565" s="392"/>
      <c r="R565" s="392"/>
      <c r="S565" s="392"/>
      <c r="T565" s="392"/>
      <c r="U565" s="392"/>
      <c r="V565" s="392"/>
      <c r="W565" s="392"/>
      <c r="X565" s="392"/>
      <c r="Y565" s="392"/>
      <c r="Z565" s="392"/>
      <c r="AA565" s="392"/>
      <c r="AB565" s="392"/>
      <c r="AC565" s="392"/>
      <c r="AD565" s="392"/>
      <c r="AE565" s="392"/>
      <c r="AF565" s="392"/>
    </row>
    <row r="566" ht="15.75" customHeight="1">
      <c r="A566" s="216"/>
      <c r="B566" s="156"/>
      <c r="C566" s="156"/>
      <c r="D566" s="156"/>
      <c r="E566" s="392"/>
      <c r="F566" s="392"/>
      <c r="G566" s="392"/>
      <c r="H566" s="392"/>
      <c r="I566" s="392"/>
      <c r="J566" s="145"/>
      <c r="K566" s="392"/>
      <c r="L566" s="392"/>
      <c r="M566" s="392"/>
      <c r="N566" s="392"/>
      <c r="O566" s="392"/>
      <c r="P566" s="392"/>
      <c r="Q566" s="392"/>
      <c r="R566" s="392"/>
      <c r="S566" s="392"/>
      <c r="T566" s="392"/>
      <c r="U566" s="392"/>
      <c r="V566" s="392"/>
      <c r="W566" s="392"/>
      <c r="X566" s="392"/>
      <c r="Y566" s="392"/>
      <c r="Z566" s="392"/>
      <c r="AA566" s="392"/>
      <c r="AB566" s="392"/>
      <c r="AC566" s="392"/>
      <c r="AD566" s="392"/>
      <c r="AE566" s="392"/>
      <c r="AF566" s="392"/>
    </row>
    <row r="567" ht="15.75" customHeight="1">
      <c r="A567" s="216"/>
      <c r="B567" s="156"/>
      <c r="C567" s="156"/>
      <c r="D567" s="156"/>
      <c r="E567" s="392"/>
      <c r="F567" s="392"/>
      <c r="G567" s="392"/>
      <c r="H567" s="392"/>
      <c r="I567" s="392"/>
      <c r="J567" s="145"/>
      <c r="K567" s="392"/>
      <c r="L567" s="392"/>
      <c r="M567" s="392"/>
      <c r="N567" s="392"/>
      <c r="O567" s="392"/>
      <c r="P567" s="392"/>
      <c r="Q567" s="392"/>
      <c r="R567" s="392"/>
      <c r="S567" s="392"/>
      <c r="T567" s="392"/>
      <c r="U567" s="392"/>
      <c r="V567" s="392"/>
      <c r="W567" s="392"/>
      <c r="X567" s="392"/>
      <c r="Y567" s="392"/>
      <c r="Z567" s="392"/>
      <c r="AA567" s="392"/>
      <c r="AB567" s="392"/>
      <c r="AC567" s="392"/>
      <c r="AD567" s="392"/>
      <c r="AE567" s="392"/>
      <c r="AF567" s="392"/>
    </row>
    <row r="568" ht="15.75" customHeight="1">
      <c r="A568" s="216"/>
      <c r="B568" s="156"/>
      <c r="C568" s="156"/>
      <c r="D568" s="156"/>
      <c r="E568" s="392"/>
      <c r="F568" s="392"/>
      <c r="G568" s="392"/>
      <c r="H568" s="392"/>
      <c r="I568" s="392"/>
      <c r="J568" s="145"/>
      <c r="K568" s="392"/>
      <c r="L568" s="392"/>
      <c r="M568" s="392"/>
      <c r="N568" s="392"/>
      <c r="O568" s="392"/>
      <c r="P568" s="392"/>
      <c r="Q568" s="392"/>
      <c r="R568" s="392"/>
      <c r="S568" s="392"/>
      <c r="T568" s="392"/>
      <c r="U568" s="392"/>
      <c r="V568" s="392"/>
      <c r="W568" s="392"/>
      <c r="X568" s="392"/>
      <c r="Y568" s="392"/>
      <c r="Z568" s="392"/>
      <c r="AA568" s="392"/>
      <c r="AB568" s="392"/>
      <c r="AC568" s="392"/>
      <c r="AD568" s="392"/>
      <c r="AE568" s="392"/>
      <c r="AF568" s="392"/>
    </row>
    <row r="569" ht="15.75" customHeight="1">
      <c r="A569" s="216"/>
      <c r="B569" s="156"/>
      <c r="C569" s="156"/>
      <c r="D569" s="156"/>
      <c r="E569" s="392"/>
      <c r="F569" s="392"/>
      <c r="G569" s="392"/>
      <c r="H569" s="392"/>
      <c r="I569" s="392"/>
      <c r="J569" s="145"/>
      <c r="K569" s="392"/>
      <c r="L569" s="392"/>
      <c r="M569" s="392"/>
      <c r="N569" s="392"/>
      <c r="O569" s="392"/>
      <c r="P569" s="392"/>
      <c r="Q569" s="392"/>
      <c r="R569" s="392"/>
      <c r="S569" s="392"/>
      <c r="T569" s="392"/>
      <c r="U569" s="392"/>
      <c r="V569" s="392"/>
      <c r="W569" s="392"/>
      <c r="X569" s="392"/>
      <c r="Y569" s="392"/>
      <c r="Z569" s="392"/>
      <c r="AA569" s="392"/>
      <c r="AB569" s="392"/>
      <c r="AC569" s="392"/>
      <c r="AD569" s="392"/>
      <c r="AE569" s="392"/>
      <c r="AF569" s="392"/>
    </row>
    <row r="570" ht="15.75" customHeight="1">
      <c r="A570" s="216"/>
      <c r="B570" s="156"/>
      <c r="C570" s="156"/>
      <c r="D570" s="156"/>
      <c r="E570" s="392"/>
      <c r="F570" s="392"/>
      <c r="G570" s="392"/>
      <c r="H570" s="392"/>
      <c r="I570" s="392"/>
      <c r="J570" s="145"/>
      <c r="K570" s="392"/>
      <c r="L570" s="392"/>
      <c r="M570" s="392"/>
      <c r="N570" s="392"/>
      <c r="O570" s="392"/>
      <c r="P570" s="392"/>
      <c r="Q570" s="392"/>
      <c r="R570" s="392"/>
      <c r="S570" s="392"/>
      <c r="T570" s="392"/>
      <c r="U570" s="392"/>
      <c r="V570" s="392"/>
      <c r="W570" s="392"/>
      <c r="X570" s="392"/>
      <c r="Y570" s="392"/>
      <c r="Z570" s="392"/>
      <c r="AA570" s="392"/>
      <c r="AB570" s="392"/>
      <c r="AC570" s="392"/>
      <c r="AD570" s="392"/>
      <c r="AE570" s="392"/>
      <c r="AF570" s="392"/>
    </row>
    <row r="571" ht="15.75" customHeight="1">
      <c r="A571" s="216"/>
      <c r="B571" s="156"/>
      <c r="C571" s="156"/>
      <c r="D571" s="156"/>
      <c r="E571" s="392"/>
      <c r="F571" s="392"/>
      <c r="G571" s="392"/>
      <c r="H571" s="392"/>
      <c r="I571" s="392"/>
      <c r="J571" s="145"/>
      <c r="K571" s="392"/>
      <c r="L571" s="392"/>
      <c r="M571" s="392"/>
      <c r="N571" s="392"/>
      <c r="O571" s="392"/>
      <c r="P571" s="392"/>
      <c r="Q571" s="392"/>
      <c r="R571" s="392"/>
      <c r="S571" s="392"/>
      <c r="T571" s="392"/>
      <c r="U571" s="392"/>
      <c r="V571" s="392"/>
      <c r="W571" s="392"/>
      <c r="X571" s="392"/>
      <c r="Y571" s="392"/>
      <c r="Z571" s="392"/>
      <c r="AA571" s="392"/>
      <c r="AB571" s="392"/>
      <c r="AC571" s="392"/>
      <c r="AD571" s="392"/>
      <c r="AE571" s="392"/>
      <c r="AF571" s="392"/>
    </row>
    <row r="572" ht="15.75" customHeight="1">
      <c r="A572" s="216"/>
      <c r="B572" s="156"/>
      <c r="C572" s="156"/>
      <c r="D572" s="156"/>
      <c r="E572" s="392"/>
      <c r="F572" s="392"/>
      <c r="G572" s="392"/>
      <c r="H572" s="392"/>
      <c r="I572" s="392"/>
      <c r="J572" s="145"/>
      <c r="K572" s="392"/>
      <c r="L572" s="392"/>
      <c r="M572" s="392"/>
      <c r="N572" s="392"/>
      <c r="O572" s="392"/>
      <c r="P572" s="392"/>
      <c r="Q572" s="392"/>
      <c r="R572" s="392"/>
      <c r="S572" s="392"/>
      <c r="T572" s="392"/>
      <c r="U572" s="392"/>
      <c r="V572" s="392"/>
      <c r="W572" s="392"/>
      <c r="X572" s="392"/>
      <c r="Y572" s="392"/>
      <c r="Z572" s="392"/>
      <c r="AA572" s="392"/>
      <c r="AB572" s="392"/>
      <c r="AC572" s="392"/>
      <c r="AD572" s="392"/>
      <c r="AE572" s="392"/>
      <c r="AF572" s="392"/>
    </row>
    <row r="573" ht="15.75" customHeight="1">
      <c r="A573" s="216"/>
      <c r="B573" s="156"/>
      <c r="C573" s="156"/>
      <c r="D573" s="156"/>
      <c r="E573" s="392"/>
      <c r="F573" s="392"/>
      <c r="G573" s="392"/>
      <c r="H573" s="392"/>
      <c r="I573" s="392"/>
      <c r="J573" s="145"/>
      <c r="K573" s="392"/>
      <c r="L573" s="392"/>
      <c r="M573" s="392"/>
      <c r="N573" s="392"/>
      <c r="O573" s="392"/>
      <c r="P573" s="392"/>
      <c r="Q573" s="392"/>
      <c r="R573" s="392"/>
      <c r="S573" s="392"/>
      <c r="T573" s="392"/>
      <c r="U573" s="392"/>
      <c r="V573" s="392"/>
      <c r="W573" s="392"/>
      <c r="X573" s="392"/>
      <c r="Y573" s="392"/>
      <c r="Z573" s="392"/>
      <c r="AA573" s="392"/>
      <c r="AB573" s="392"/>
      <c r="AC573" s="392"/>
      <c r="AD573" s="392"/>
      <c r="AE573" s="392"/>
      <c r="AF573" s="392"/>
    </row>
    <row r="574" ht="15.75" customHeight="1">
      <c r="A574" s="216"/>
      <c r="B574" s="156"/>
      <c r="C574" s="156"/>
      <c r="D574" s="156"/>
      <c r="E574" s="392"/>
      <c r="F574" s="392"/>
      <c r="G574" s="392"/>
      <c r="H574" s="392"/>
      <c r="I574" s="392"/>
      <c r="J574" s="145"/>
      <c r="K574" s="392"/>
      <c r="L574" s="392"/>
      <c r="M574" s="392"/>
      <c r="N574" s="392"/>
      <c r="O574" s="392"/>
      <c r="P574" s="392"/>
      <c r="Q574" s="392"/>
      <c r="R574" s="392"/>
      <c r="S574" s="392"/>
      <c r="T574" s="392"/>
      <c r="U574" s="392"/>
      <c r="V574" s="392"/>
      <c r="W574" s="392"/>
      <c r="X574" s="392"/>
      <c r="Y574" s="392"/>
      <c r="Z574" s="392"/>
      <c r="AA574" s="392"/>
      <c r="AB574" s="392"/>
      <c r="AC574" s="392"/>
      <c r="AD574" s="392"/>
      <c r="AE574" s="392"/>
      <c r="AF574" s="392"/>
    </row>
    <row r="575" ht="15.75" customHeight="1">
      <c r="A575" s="216"/>
      <c r="B575" s="156"/>
      <c r="C575" s="156"/>
      <c r="D575" s="156"/>
      <c r="E575" s="392"/>
      <c r="F575" s="392"/>
      <c r="G575" s="392"/>
      <c r="H575" s="392"/>
      <c r="I575" s="392"/>
      <c r="J575" s="145"/>
      <c r="K575" s="392"/>
      <c r="L575" s="392"/>
      <c r="M575" s="392"/>
      <c r="N575" s="392"/>
      <c r="O575" s="392"/>
      <c r="P575" s="392"/>
      <c r="Q575" s="392"/>
      <c r="R575" s="392"/>
      <c r="S575" s="392"/>
      <c r="T575" s="392"/>
      <c r="U575" s="392"/>
      <c r="V575" s="392"/>
      <c r="W575" s="392"/>
      <c r="X575" s="392"/>
      <c r="Y575" s="392"/>
      <c r="Z575" s="392"/>
      <c r="AA575" s="392"/>
      <c r="AB575" s="392"/>
      <c r="AC575" s="392"/>
      <c r="AD575" s="392"/>
      <c r="AE575" s="392"/>
      <c r="AF575" s="392"/>
    </row>
    <row r="576" ht="15.75" customHeight="1">
      <c r="A576" s="216"/>
      <c r="B576" s="156"/>
      <c r="C576" s="156"/>
      <c r="D576" s="156"/>
      <c r="E576" s="392"/>
      <c r="F576" s="392"/>
      <c r="G576" s="392"/>
      <c r="H576" s="392"/>
      <c r="I576" s="392"/>
      <c r="J576" s="145"/>
      <c r="K576" s="392"/>
      <c r="L576" s="392"/>
      <c r="M576" s="392"/>
      <c r="N576" s="392"/>
      <c r="O576" s="392"/>
      <c r="P576" s="392"/>
      <c r="Q576" s="392"/>
      <c r="R576" s="392"/>
      <c r="S576" s="392"/>
      <c r="T576" s="392"/>
      <c r="U576" s="392"/>
      <c r="V576" s="392"/>
      <c r="W576" s="392"/>
      <c r="X576" s="392"/>
      <c r="Y576" s="392"/>
      <c r="Z576" s="392"/>
      <c r="AA576" s="392"/>
      <c r="AB576" s="392"/>
      <c r="AC576" s="392"/>
      <c r="AD576" s="392"/>
      <c r="AE576" s="392"/>
      <c r="AF576" s="392"/>
    </row>
    <row r="577" ht="15.75" customHeight="1">
      <c r="A577" s="216"/>
      <c r="B577" s="156"/>
      <c r="C577" s="156"/>
      <c r="D577" s="156"/>
      <c r="E577" s="392"/>
      <c r="F577" s="392"/>
      <c r="G577" s="392"/>
      <c r="H577" s="392"/>
      <c r="I577" s="392"/>
      <c r="J577" s="145"/>
      <c r="K577" s="392"/>
      <c r="L577" s="392"/>
      <c r="M577" s="392"/>
      <c r="N577" s="392"/>
      <c r="O577" s="392"/>
      <c r="P577" s="392"/>
      <c r="Q577" s="392"/>
      <c r="R577" s="392"/>
      <c r="S577" s="392"/>
      <c r="T577" s="392"/>
      <c r="U577" s="392"/>
      <c r="V577" s="392"/>
      <c r="W577" s="392"/>
      <c r="X577" s="392"/>
      <c r="Y577" s="392"/>
      <c r="Z577" s="392"/>
      <c r="AA577" s="392"/>
      <c r="AB577" s="392"/>
      <c r="AC577" s="392"/>
      <c r="AD577" s="392"/>
      <c r="AE577" s="392"/>
      <c r="AF577" s="392"/>
    </row>
    <row r="578" ht="15.75" customHeight="1">
      <c r="A578" s="216"/>
      <c r="B578" s="156"/>
      <c r="C578" s="156"/>
      <c r="D578" s="156"/>
      <c r="E578" s="392"/>
      <c r="F578" s="392"/>
      <c r="G578" s="392"/>
      <c r="H578" s="392"/>
      <c r="I578" s="392"/>
      <c r="J578" s="145"/>
      <c r="K578" s="392"/>
      <c r="L578" s="392"/>
      <c r="M578" s="392"/>
      <c r="N578" s="392"/>
      <c r="O578" s="392"/>
      <c r="P578" s="392"/>
      <c r="Q578" s="392"/>
      <c r="R578" s="392"/>
      <c r="S578" s="392"/>
      <c r="T578" s="392"/>
      <c r="U578" s="392"/>
      <c r="V578" s="392"/>
      <c r="W578" s="392"/>
      <c r="X578" s="392"/>
      <c r="Y578" s="392"/>
      <c r="Z578" s="392"/>
      <c r="AA578" s="392"/>
      <c r="AB578" s="392"/>
      <c r="AC578" s="392"/>
      <c r="AD578" s="392"/>
      <c r="AE578" s="392"/>
      <c r="AF578" s="392"/>
    </row>
    <row r="579" ht="15.75" customHeight="1">
      <c r="A579" s="216"/>
      <c r="B579" s="156"/>
      <c r="C579" s="156"/>
      <c r="D579" s="156"/>
      <c r="E579" s="392"/>
      <c r="F579" s="392"/>
      <c r="G579" s="392"/>
      <c r="H579" s="392"/>
      <c r="I579" s="392"/>
      <c r="J579" s="145"/>
      <c r="K579" s="392"/>
      <c r="L579" s="392"/>
      <c r="M579" s="392"/>
      <c r="N579" s="392"/>
      <c r="O579" s="392"/>
      <c r="P579" s="392"/>
      <c r="Q579" s="392"/>
      <c r="R579" s="392"/>
      <c r="S579" s="392"/>
      <c r="T579" s="392"/>
      <c r="U579" s="392"/>
      <c r="V579" s="392"/>
      <c r="W579" s="392"/>
      <c r="X579" s="392"/>
      <c r="Y579" s="392"/>
      <c r="Z579" s="392"/>
      <c r="AA579" s="392"/>
      <c r="AB579" s="392"/>
      <c r="AC579" s="392"/>
      <c r="AD579" s="392"/>
      <c r="AE579" s="392"/>
      <c r="AF579" s="392"/>
    </row>
    <row r="580" ht="15.75" customHeight="1">
      <c r="A580" s="216"/>
      <c r="B580" s="156"/>
      <c r="C580" s="156"/>
      <c r="D580" s="156"/>
      <c r="E580" s="392"/>
      <c r="F580" s="392"/>
      <c r="G580" s="392"/>
      <c r="H580" s="392"/>
      <c r="I580" s="392"/>
      <c r="J580" s="145"/>
      <c r="K580" s="392"/>
      <c r="L580" s="392"/>
      <c r="M580" s="392"/>
      <c r="N580" s="392"/>
      <c r="O580" s="392"/>
      <c r="P580" s="392"/>
      <c r="Q580" s="392"/>
      <c r="R580" s="392"/>
      <c r="S580" s="392"/>
      <c r="T580" s="392"/>
      <c r="U580" s="392"/>
      <c r="V580" s="392"/>
      <c r="W580" s="392"/>
      <c r="X580" s="392"/>
      <c r="Y580" s="392"/>
      <c r="Z580" s="392"/>
      <c r="AA580" s="392"/>
      <c r="AB580" s="392"/>
      <c r="AC580" s="392"/>
      <c r="AD580" s="392"/>
      <c r="AE580" s="392"/>
      <c r="AF580" s="392"/>
    </row>
    <row r="581" ht="15.75" customHeight="1">
      <c r="A581" s="216"/>
      <c r="B581" s="156"/>
      <c r="C581" s="156"/>
      <c r="D581" s="156"/>
      <c r="E581" s="392"/>
      <c r="F581" s="392"/>
      <c r="G581" s="392"/>
      <c r="H581" s="392"/>
      <c r="I581" s="392"/>
      <c r="J581" s="145"/>
      <c r="K581" s="392"/>
      <c r="L581" s="392"/>
      <c r="M581" s="392"/>
      <c r="N581" s="392"/>
      <c r="O581" s="392"/>
      <c r="P581" s="392"/>
      <c r="Q581" s="392"/>
      <c r="R581" s="392"/>
      <c r="S581" s="392"/>
      <c r="T581" s="392"/>
      <c r="U581" s="392"/>
      <c r="V581" s="392"/>
      <c r="W581" s="392"/>
      <c r="X581" s="392"/>
      <c r="Y581" s="392"/>
      <c r="Z581" s="392"/>
      <c r="AA581" s="392"/>
      <c r="AB581" s="392"/>
      <c r="AC581" s="392"/>
      <c r="AD581" s="392"/>
      <c r="AE581" s="392"/>
      <c r="AF581" s="392"/>
    </row>
    <row r="582" ht="15.75" customHeight="1">
      <c r="A582" s="216"/>
      <c r="B582" s="156"/>
      <c r="C582" s="156"/>
      <c r="D582" s="156"/>
      <c r="E582" s="392"/>
      <c r="F582" s="392"/>
      <c r="G582" s="392"/>
      <c r="H582" s="392"/>
      <c r="I582" s="392"/>
      <c r="J582" s="145"/>
      <c r="K582" s="392"/>
      <c r="L582" s="392"/>
      <c r="M582" s="392"/>
      <c r="N582" s="392"/>
      <c r="O582" s="392"/>
      <c r="P582" s="392"/>
      <c r="Q582" s="392"/>
      <c r="R582" s="392"/>
      <c r="S582" s="392"/>
      <c r="T582" s="392"/>
      <c r="U582" s="392"/>
      <c r="V582" s="392"/>
      <c r="W582" s="392"/>
      <c r="X582" s="392"/>
      <c r="Y582" s="392"/>
      <c r="Z582" s="392"/>
      <c r="AA582" s="392"/>
      <c r="AB582" s="392"/>
      <c r="AC582" s="392"/>
      <c r="AD582" s="392"/>
      <c r="AE582" s="392"/>
      <c r="AF582" s="392"/>
    </row>
    <row r="583" ht="15.75" customHeight="1">
      <c r="A583" s="216"/>
      <c r="B583" s="156"/>
      <c r="C583" s="156"/>
      <c r="D583" s="156"/>
      <c r="E583" s="392"/>
      <c r="F583" s="392"/>
      <c r="G583" s="392"/>
      <c r="H583" s="392"/>
      <c r="I583" s="392"/>
      <c r="J583" s="145"/>
      <c r="K583" s="392"/>
      <c r="L583" s="392"/>
      <c r="M583" s="392"/>
      <c r="N583" s="392"/>
      <c r="O583" s="392"/>
      <c r="P583" s="392"/>
      <c r="Q583" s="392"/>
      <c r="R583" s="392"/>
      <c r="S583" s="392"/>
      <c r="T583" s="392"/>
      <c r="U583" s="392"/>
      <c r="V583" s="392"/>
      <c r="W583" s="392"/>
      <c r="X583" s="392"/>
      <c r="Y583" s="392"/>
      <c r="Z583" s="392"/>
      <c r="AA583" s="392"/>
      <c r="AB583" s="392"/>
      <c r="AC583" s="392"/>
      <c r="AD583" s="392"/>
      <c r="AE583" s="392"/>
      <c r="AF583" s="392"/>
    </row>
    <row r="584" ht="15.75" customHeight="1">
      <c r="A584" s="216"/>
      <c r="B584" s="156"/>
      <c r="C584" s="156"/>
      <c r="D584" s="156"/>
      <c r="E584" s="392"/>
      <c r="F584" s="392"/>
      <c r="G584" s="392"/>
      <c r="H584" s="392"/>
      <c r="I584" s="392"/>
      <c r="J584" s="145"/>
      <c r="K584" s="392"/>
      <c r="L584" s="392"/>
      <c r="M584" s="392"/>
      <c r="N584" s="392"/>
      <c r="O584" s="392"/>
      <c r="P584" s="392"/>
      <c r="Q584" s="392"/>
      <c r="R584" s="392"/>
      <c r="S584" s="392"/>
      <c r="T584" s="392"/>
      <c r="U584" s="392"/>
      <c r="V584" s="392"/>
      <c r="W584" s="392"/>
      <c r="X584" s="392"/>
      <c r="Y584" s="392"/>
      <c r="Z584" s="392"/>
      <c r="AA584" s="392"/>
      <c r="AB584" s="392"/>
      <c r="AC584" s="392"/>
      <c r="AD584" s="392"/>
      <c r="AE584" s="392"/>
      <c r="AF584" s="392"/>
    </row>
    <row r="585" ht="15.75" customHeight="1">
      <c r="A585" s="216"/>
      <c r="B585" s="156"/>
      <c r="C585" s="156"/>
      <c r="D585" s="156"/>
      <c r="E585" s="392"/>
      <c r="F585" s="392"/>
      <c r="G585" s="392"/>
      <c r="H585" s="392"/>
      <c r="I585" s="392"/>
      <c r="J585" s="145"/>
      <c r="K585" s="392"/>
      <c r="L585" s="392"/>
      <c r="M585" s="392"/>
      <c r="N585" s="392"/>
      <c r="O585" s="392"/>
      <c r="P585" s="392"/>
      <c r="Q585" s="392"/>
      <c r="R585" s="392"/>
      <c r="S585" s="392"/>
      <c r="T585" s="392"/>
      <c r="U585" s="392"/>
      <c r="V585" s="392"/>
      <c r="W585" s="392"/>
      <c r="X585" s="392"/>
      <c r="Y585" s="392"/>
      <c r="Z585" s="392"/>
      <c r="AA585" s="392"/>
      <c r="AB585" s="392"/>
      <c r="AC585" s="392"/>
      <c r="AD585" s="392"/>
      <c r="AE585" s="392"/>
      <c r="AF585" s="392"/>
    </row>
    <row r="586" ht="15.75" customHeight="1">
      <c r="A586" s="216"/>
      <c r="B586" s="156"/>
      <c r="C586" s="156"/>
      <c r="D586" s="156"/>
      <c r="E586" s="392"/>
      <c r="F586" s="392"/>
      <c r="G586" s="392"/>
      <c r="H586" s="392"/>
      <c r="I586" s="392"/>
      <c r="J586" s="145"/>
      <c r="K586" s="392"/>
      <c r="L586" s="392"/>
      <c r="M586" s="392"/>
      <c r="N586" s="392"/>
      <c r="O586" s="392"/>
      <c r="P586" s="392"/>
      <c r="Q586" s="392"/>
      <c r="R586" s="392"/>
      <c r="S586" s="392"/>
      <c r="T586" s="392"/>
      <c r="U586" s="392"/>
      <c r="V586" s="392"/>
      <c r="W586" s="392"/>
      <c r="X586" s="392"/>
      <c r="Y586" s="392"/>
      <c r="Z586" s="392"/>
      <c r="AA586" s="392"/>
      <c r="AB586" s="392"/>
      <c r="AC586" s="392"/>
      <c r="AD586" s="392"/>
      <c r="AE586" s="392"/>
      <c r="AF586" s="392"/>
    </row>
    <row r="587" ht="15.75" customHeight="1">
      <c r="A587" s="216"/>
      <c r="B587" s="156"/>
      <c r="C587" s="156"/>
      <c r="D587" s="156"/>
      <c r="E587" s="392"/>
      <c r="F587" s="392"/>
      <c r="G587" s="392"/>
      <c r="H587" s="392"/>
      <c r="I587" s="392"/>
      <c r="J587" s="145"/>
      <c r="K587" s="392"/>
      <c r="L587" s="392"/>
      <c r="M587" s="392"/>
      <c r="N587" s="392"/>
      <c r="O587" s="392"/>
      <c r="P587" s="392"/>
      <c r="Q587" s="392"/>
      <c r="R587" s="392"/>
      <c r="S587" s="392"/>
      <c r="T587" s="392"/>
      <c r="U587" s="392"/>
      <c r="V587" s="392"/>
      <c r="W587" s="392"/>
      <c r="X587" s="392"/>
      <c r="Y587" s="392"/>
      <c r="Z587" s="392"/>
      <c r="AA587" s="392"/>
      <c r="AB587" s="392"/>
      <c r="AC587" s="392"/>
      <c r="AD587" s="392"/>
      <c r="AE587" s="392"/>
      <c r="AF587" s="392"/>
    </row>
    <row r="588" ht="15.75" customHeight="1">
      <c r="A588" s="216"/>
      <c r="B588" s="156"/>
      <c r="C588" s="156"/>
      <c r="D588" s="156"/>
      <c r="E588" s="392"/>
      <c r="F588" s="392"/>
      <c r="G588" s="392"/>
      <c r="H588" s="392"/>
      <c r="I588" s="392"/>
      <c r="J588" s="145"/>
      <c r="K588" s="392"/>
      <c r="L588" s="392"/>
      <c r="M588" s="392"/>
      <c r="N588" s="392"/>
      <c r="O588" s="392"/>
      <c r="P588" s="392"/>
      <c r="Q588" s="392"/>
      <c r="R588" s="392"/>
      <c r="S588" s="392"/>
      <c r="T588" s="392"/>
      <c r="U588" s="392"/>
      <c r="V588" s="392"/>
      <c r="W588" s="392"/>
      <c r="X588" s="392"/>
      <c r="Y588" s="392"/>
      <c r="Z588" s="392"/>
      <c r="AA588" s="392"/>
      <c r="AB588" s="392"/>
      <c r="AC588" s="392"/>
      <c r="AD588" s="392"/>
      <c r="AE588" s="392"/>
      <c r="AF588" s="392"/>
    </row>
    <row r="589" ht="15.75" customHeight="1">
      <c r="A589" s="216"/>
      <c r="B589" s="156"/>
      <c r="C589" s="156"/>
      <c r="D589" s="156"/>
      <c r="E589" s="392"/>
      <c r="F589" s="392"/>
      <c r="G589" s="392"/>
      <c r="H589" s="392"/>
      <c r="I589" s="392"/>
      <c r="J589" s="145"/>
      <c r="K589" s="392"/>
      <c r="L589" s="392"/>
      <c r="M589" s="392"/>
      <c r="N589" s="392"/>
      <c r="O589" s="392"/>
      <c r="P589" s="392"/>
      <c r="Q589" s="392"/>
      <c r="R589" s="392"/>
      <c r="S589" s="392"/>
      <c r="T589" s="392"/>
      <c r="U589" s="392"/>
      <c r="V589" s="392"/>
      <c r="W589" s="392"/>
      <c r="X589" s="392"/>
      <c r="Y589" s="392"/>
      <c r="Z589" s="392"/>
      <c r="AA589" s="392"/>
      <c r="AB589" s="392"/>
      <c r="AC589" s="392"/>
      <c r="AD589" s="392"/>
      <c r="AE589" s="392"/>
      <c r="AF589" s="392"/>
    </row>
    <row r="590" ht="15.75" customHeight="1">
      <c r="A590" s="216"/>
      <c r="B590" s="156"/>
      <c r="C590" s="156"/>
      <c r="D590" s="156"/>
      <c r="E590" s="392"/>
      <c r="F590" s="392"/>
      <c r="G590" s="392"/>
      <c r="H590" s="392"/>
      <c r="I590" s="392"/>
      <c r="J590" s="145"/>
      <c r="K590" s="392"/>
      <c r="L590" s="392"/>
      <c r="M590" s="392"/>
      <c r="N590" s="392"/>
      <c r="O590" s="392"/>
      <c r="P590" s="392"/>
      <c r="Q590" s="392"/>
      <c r="R590" s="392"/>
      <c r="S590" s="392"/>
      <c r="T590" s="392"/>
      <c r="U590" s="392"/>
      <c r="V590" s="392"/>
      <c r="W590" s="392"/>
      <c r="X590" s="392"/>
      <c r="Y590" s="392"/>
      <c r="Z590" s="392"/>
      <c r="AA590" s="392"/>
      <c r="AB590" s="392"/>
      <c r="AC590" s="392"/>
      <c r="AD590" s="392"/>
      <c r="AE590" s="392"/>
      <c r="AF590" s="392"/>
    </row>
    <row r="591" ht="15.75" customHeight="1">
      <c r="A591" s="216"/>
      <c r="B591" s="156"/>
      <c r="C591" s="156"/>
      <c r="D591" s="156"/>
      <c r="E591" s="392"/>
      <c r="F591" s="392"/>
      <c r="G591" s="392"/>
      <c r="H591" s="392"/>
      <c r="I591" s="392"/>
      <c r="J591" s="145"/>
      <c r="K591" s="392"/>
      <c r="L591" s="392"/>
      <c r="M591" s="392"/>
      <c r="N591" s="392"/>
      <c r="O591" s="392"/>
      <c r="P591" s="392"/>
      <c r="Q591" s="392"/>
      <c r="R591" s="392"/>
      <c r="S591" s="392"/>
      <c r="T591" s="392"/>
      <c r="U591" s="392"/>
      <c r="V591" s="392"/>
      <c r="W591" s="392"/>
      <c r="X591" s="392"/>
      <c r="Y591" s="392"/>
      <c r="Z591" s="392"/>
      <c r="AA591" s="392"/>
      <c r="AB591" s="392"/>
      <c r="AC591" s="392"/>
      <c r="AD591" s="392"/>
      <c r="AE591" s="392"/>
      <c r="AF591" s="392"/>
    </row>
    <row r="592" ht="15.75" customHeight="1">
      <c r="A592" s="216"/>
      <c r="B592" s="156"/>
      <c r="C592" s="156"/>
      <c r="D592" s="156"/>
      <c r="E592" s="392"/>
      <c r="F592" s="392"/>
      <c r="G592" s="392"/>
      <c r="H592" s="392"/>
      <c r="I592" s="392"/>
      <c r="J592" s="145"/>
      <c r="K592" s="392"/>
      <c r="L592" s="392"/>
      <c r="M592" s="392"/>
      <c r="N592" s="392"/>
      <c r="O592" s="392"/>
      <c r="P592" s="392"/>
      <c r="Q592" s="392"/>
      <c r="R592" s="392"/>
      <c r="S592" s="392"/>
      <c r="T592" s="392"/>
      <c r="U592" s="392"/>
      <c r="V592" s="392"/>
      <c r="W592" s="392"/>
      <c r="X592" s="392"/>
      <c r="Y592" s="392"/>
      <c r="Z592" s="392"/>
      <c r="AA592" s="392"/>
      <c r="AB592" s="392"/>
      <c r="AC592" s="392"/>
      <c r="AD592" s="392"/>
      <c r="AE592" s="392"/>
      <c r="AF592" s="392"/>
    </row>
    <row r="593" ht="15.75" customHeight="1">
      <c r="A593" s="216"/>
      <c r="B593" s="156"/>
      <c r="C593" s="156"/>
      <c r="D593" s="156"/>
      <c r="E593" s="392"/>
      <c r="F593" s="392"/>
      <c r="G593" s="392"/>
      <c r="H593" s="392"/>
      <c r="I593" s="392"/>
      <c r="J593" s="145"/>
      <c r="K593" s="392"/>
      <c r="L593" s="392"/>
      <c r="M593" s="392"/>
      <c r="N593" s="392"/>
      <c r="O593" s="392"/>
      <c r="P593" s="392"/>
      <c r="Q593" s="392"/>
      <c r="R593" s="392"/>
      <c r="S593" s="392"/>
      <c r="T593" s="392"/>
      <c r="U593" s="392"/>
      <c r="V593" s="392"/>
      <c r="W593" s="392"/>
      <c r="X593" s="392"/>
      <c r="Y593" s="392"/>
      <c r="Z593" s="392"/>
      <c r="AA593" s="392"/>
      <c r="AB593" s="392"/>
      <c r="AC593" s="392"/>
      <c r="AD593" s="392"/>
      <c r="AE593" s="392"/>
      <c r="AF593" s="392"/>
    </row>
    <row r="594" ht="15.75" customHeight="1">
      <c r="A594" s="216"/>
      <c r="B594" s="156"/>
      <c r="C594" s="156"/>
      <c r="D594" s="156"/>
      <c r="E594" s="392"/>
      <c r="F594" s="392"/>
      <c r="G594" s="392"/>
      <c r="H594" s="392"/>
      <c r="I594" s="392"/>
      <c r="J594" s="145"/>
      <c r="K594" s="392"/>
      <c r="L594" s="392"/>
      <c r="M594" s="392"/>
      <c r="N594" s="392"/>
      <c r="O594" s="392"/>
      <c r="P594" s="392"/>
      <c r="Q594" s="392"/>
      <c r="R594" s="392"/>
      <c r="S594" s="392"/>
      <c r="T594" s="392"/>
      <c r="U594" s="392"/>
      <c r="V594" s="392"/>
      <c r="W594" s="392"/>
      <c r="X594" s="392"/>
      <c r="Y594" s="392"/>
      <c r="Z594" s="392"/>
      <c r="AA594" s="392"/>
      <c r="AB594" s="392"/>
      <c r="AC594" s="392"/>
      <c r="AD594" s="392"/>
      <c r="AE594" s="392"/>
      <c r="AF594" s="392"/>
    </row>
    <row r="595" ht="15.75" customHeight="1">
      <c r="A595" s="216"/>
      <c r="B595" s="156"/>
      <c r="C595" s="156"/>
      <c r="D595" s="156"/>
      <c r="E595" s="392"/>
      <c r="F595" s="392"/>
      <c r="G595" s="392"/>
      <c r="H595" s="392"/>
      <c r="I595" s="392"/>
      <c r="J595" s="145"/>
      <c r="K595" s="392"/>
      <c r="L595" s="392"/>
      <c r="M595" s="392"/>
      <c r="N595" s="392"/>
      <c r="O595" s="392"/>
      <c r="P595" s="392"/>
      <c r="Q595" s="392"/>
      <c r="R595" s="392"/>
      <c r="S595" s="392"/>
      <c r="T595" s="392"/>
      <c r="U595" s="392"/>
      <c r="V595" s="392"/>
      <c r="W595" s="392"/>
      <c r="X595" s="392"/>
      <c r="Y595" s="392"/>
      <c r="Z595" s="392"/>
      <c r="AA595" s="392"/>
      <c r="AB595" s="392"/>
      <c r="AC595" s="392"/>
      <c r="AD595" s="392"/>
      <c r="AE595" s="392"/>
      <c r="AF595" s="392"/>
    </row>
    <row r="596" ht="15.75" customHeight="1">
      <c r="A596" s="216"/>
      <c r="B596" s="156"/>
      <c r="C596" s="156"/>
      <c r="D596" s="156"/>
      <c r="E596" s="392"/>
      <c r="F596" s="392"/>
      <c r="G596" s="392"/>
      <c r="H596" s="392"/>
      <c r="I596" s="392"/>
      <c r="J596" s="145"/>
      <c r="K596" s="392"/>
      <c r="L596" s="392"/>
      <c r="M596" s="392"/>
      <c r="N596" s="392"/>
      <c r="O596" s="392"/>
      <c r="P596" s="392"/>
      <c r="Q596" s="392"/>
      <c r="R596" s="392"/>
      <c r="S596" s="392"/>
      <c r="T596" s="392"/>
      <c r="U596" s="392"/>
      <c r="V596" s="392"/>
      <c r="W596" s="392"/>
      <c r="X596" s="392"/>
      <c r="Y596" s="392"/>
      <c r="Z596" s="392"/>
      <c r="AA596" s="392"/>
      <c r="AB596" s="392"/>
      <c r="AC596" s="392"/>
      <c r="AD596" s="392"/>
      <c r="AE596" s="392"/>
      <c r="AF596" s="392"/>
    </row>
    <row r="597" ht="15.75" customHeight="1">
      <c r="A597" s="216"/>
      <c r="B597" s="156"/>
      <c r="C597" s="156"/>
      <c r="D597" s="156"/>
      <c r="E597" s="392"/>
      <c r="F597" s="392"/>
      <c r="G597" s="392"/>
      <c r="H597" s="392"/>
      <c r="I597" s="392"/>
      <c r="J597" s="145"/>
      <c r="K597" s="392"/>
      <c r="L597" s="392"/>
      <c r="M597" s="392"/>
      <c r="N597" s="392"/>
      <c r="O597" s="392"/>
      <c r="P597" s="392"/>
      <c r="Q597" s="392"/>
      <c r="R597" s="392"/>
      <c r="S597" s="392"/>
      <c r="T597" s="392"/>
      <c r="U597" s="392"/>
      <c r="V597" s="392"/>
      <c r="W597" s="392"/>
      <c r="X597" s="392"/>
      <c r="Y597" s="392"/>
      <c r="Z597" s="392"/>
      <c r="AA597" s="392"/>
      <c r="AB597" s="392"/>
      <c r="AC597" s="392"/>
      <c r="AD597" s="392"/>
      <c r="AE597" s="392"/>
      <c r="AF597" s="392"/>
    </row>
    <row r="598" ht="15.75" customHeight="1">
      <c r="A598" s="216"/>
      <c r="B598" s="156"/>
      <c r="C598" s="156"/>
      <c r="D598" s="156"/>
      <c r="E598" s="392"/>
      <c r="F598" s="392"/>
      <c r="G598" s="392"/>
      <c r="H598" s="392"/>
      <c r="I598" s="392"/>
      <c r="J598" s="145"/>
      <c r="K598" s="392"/>
      <c r="L598" s="392"/>
      <c r="M598" s="392"/>
      <c r="N598" s="392"/>
      <c r="O598" s="392"/>
      <c r="P598" s="392"/>
      <c r="Q598" s="392"/>
      <c r="R598" s="392"/>
      <c r="S598" s="392"/>
      <c r="T598" s="392"/>
      <c r="U598" s="392"/>
      <c r="V598" s="392"/>
      <c r="W598" s="392"/>
      <c r="X598" s="392"/>
      <c r="Y598" s="392"/>
      <c r="Z598" s="392"/>
      <c r="AA598" s="392"/>
      <c r="AB598" s="392"/>
      <c r="AC598" s="392"/>
      <c r="AD598" s="392"/>
      <c r="AE598" s="392"/>
      <c r="AF598" s="392"/>
    </row>
    <row r="599" ht="15.75" customHeight="1">
      <c r="A599" s="216"/>
      <c r="B599" s="156"/>
      <c r="C599" s="156"/>
      <c r="D599" s="156"/>
      <c r="E599" s="392"/>
      <c r="F599" s="392"/>
      <c r="G599" s="392"/>
      <c r="H599" s="392"/>
      <c r="I599" s="392"/>
      <c r="J599" s="145"/>
      <c r="K599" s="392"/>
      <c r="L599" s="392"/>
      <c r="M599" s="392"/>
      <c r="N599" s="392"/>
      <c r="O599" s="392"/>
      <c r="P599" s="392"/>
      <c r="Q599" s="392"/>
      <c r="R599" s="392"/>
      <c r="S599" s="392"/>
      <c r="T599" s="392"/>
      <c r="U599" s="392"/>
      <c r="V599" s="392"/>
      <c r="W599" s="392"/>
      <c r="X599" s="392"/>
      <c r="Y599" s="392"/>
      <c r="Z599" s="392"/>
      <c r="AA599" s="392"/>
      <c r="AB599" s="392"/>
      <c r="AC599" s="392"/>
      <c r="AD599" s="392"/>
      <c r="AE599" s="392"/>
      <c r="AF599" s="392"/>
    </row>
    <row r="600" ht="15.75" customHeight="1">
      <c r="A600" s="216"/>
      <c r="B600" s="156"/>
      <c r="C600" s="156"/>
      <c r="D600" s="156"/>
      <c r="E600" s="392"/>
      <c r="F600" s="392"/>
      <c r="G600" s="392"/>
      <c r="H600" s="392"/>
      <c r="I600" s="392"/>
      <c r="J600" s="145"/>
      <c r="K600" s="392"/>
      <c r="L600" s="392"/>
      <c r="M600" s="392"/>
      <c r="N600" s="392"/>
      <c r="O600" s="392"/>
      <c r="P600" s="392"/>
      <c r="Q600" s="392"/>
      <c r="R600" s="392"/>
      <c r="S600" s="392"/>
      <c r="T600" s="392"/>
      <c r="U600" s="392"/>
      <c r="V600" s="392"/>
      <c r="W600" s="392"/>
      <c r="X600" s="392"/>
      <c r="Y600" s="392"/>
      <c r="Z600" s="392"/>
      <c r="AA600" s="392"/>
      <c r="AB600" s="392"/>
      <c r="AC600" s="392"/>
      <c r="AD600" s="392"/>
      <c r="AE600" s="392"/>
      <c r="AF600" s="392"/>
    </row>
    <row r="601" ht="15.75" customHeight="1">
      <c r="A601" s="216"/>
      <c r="B601" s="156"/>
      <c r="C601" s="156"/>
      <c r="D601" s="156"/>
      <c r="E601" s="392"/>
      <c r="F601" s="392"/>
      <c r="G601" s="392"/>
      <c r="H601" s="392"/>
      <c r="I601" s="392"/>
      <c r="J601" s="145"/>
      <c r="K601" s="392"/>
      <c r="L601" s="392"/>
      <c r="M601" s="392"/>
      <c r="N601" s="392"/>
      <c r="O601" s="392"/>
      <c r="P601" s="392"/>
      <c r="Q601" s="392"/>
      <c r="R601" s="392"/>
      <c r="S601" s="392"/>
      <c r="T601" s="392"/>
      <c r="U601" s="392"/>
      <c r="V601" s="392"/>
      <c r="W601" s="392"/>
      <c r="X601" s="392"/>
      <c r="Y601" s="392"/>
      <c r="Z601" s="392"/>
      <c r="AA601" s="392"/>
      <c r="AB601" s="392"/>
      <c r="AC601" s="392"/>
      <c r="AD601" s="392"/>
      <c r="AE601" s="392"/>
      <c r="AF601" s="392"/>
    </row>
    <row r="602" ht="15.75" customHeight="1">
      <c r="A602" s="216"/>
      <c r="B602" s="156"/>
      <c r="C602" s="156"/>
      <c r="D602" s="156"/>
      <c r="E602" s="392"/>
      <c r="F602" s="392"/>
      <c r="G602" s="392"/>
      <c r="H602" s="392"/>
      <c r="I602" s="392"/>
      <c r="J602" s="145"/>
      <c r="K602" s="392"/>
      <c r="L602" s="392"/>
      <c r="M602" s="392"/>
      <c r="N602" s="392"/>
      <c r="O602" s="392"/>
      <c r="P602" s="392"/>
      <c r="Q602" s="392"/>
      <c r="R602" s="392"/>
      <c r="S602" s="392"/>
      <c r="T602" s="392"/>
      <c r="U602" s="392"/>
      <c r="V602" s="392"/>
      <c r="W602" s="392"/>
      <c r="X602" s="392"/>
      <c r="Y602" s="392"/>
      <c r="Z602" s="392"/>
      <c r="AA602" s="392"/>
      <c r="AB602" s="392"/>
      <c r="AC602" s="392"/>
      <c r="AD602" s="392"/>
      <c r="AE602" s="392"/>
      <c r="AF602" s="392"/>
    </row>
    <row r="603" ht="15.75" customHeight="1">
      <c r="A603" s="216"/>
      <c r="B603" s="156"/>
      <c r="C603" s="156"/>
      <c r="D603" s="156"/>
      <c r="E603" s="392"/>
      <c r="F603" s="392"/>
      <c r="G603" s="392"/>
      <c r="H603" s="392"/>
      <c r="I603" s="392"/>
      <c r="J603" s="145"/>
      <c r="K603" s="392"/>
      <c r="L603" s="392"/>
      <c r="M603" s="392"/>
      <c r="N603" s="392"/>
      <c r="O603" s="392"/>
      <c r="P603" s="392"/>
      <c r="Q603" s="392"/>
      <c r="R603" s="392"/>
      <c r="S603" s="392"/>
      <c r="T603" s="392"/>
      <c r="U603" s="392"/>
      <c r="V603" s="392"/>
      <c r="W603" s="392"/>
      <c r="X603" s="392"/>
      <c r="Y603" s="392"/>
      <c r="Z603" s="392"/>
      <c r="AA603" s="392"/>
      <c r="AB603" s="392"/>
      <c r="AC603" s="392"/>
      <c r="AD603" s="392"/>
      <c r="AE603" s="392"/>
      <c r="AF603" s="392"/>
    </row>
    <row r="604" ht="15.75" customHeight="1">
      <c r="A604" s="216"/>
      <c r="B604" s="156"/>
      <c r="C604" s="156"/>
      <c r="D604" s="156"/>
      <c r="E604" s="392"/>
      <c r="F604" s="392"/>
      <c r="G604" s="392"/>
      <c r="H604" s="392"/>
      <c r="I604" s="392"/>
      <c r="J604" s="145"/>
      <c r="K604" s="392"/>
      <c r="L604" s="392"/>
      <c r="M604" s="392"/>
      <c r="N604" s="392"/>
      <c r="O604" s="392"/>
      <c r="P604" s="392"/>
      <c r="Q604" s="392"/>
      <c r="R604" s="392"/>
      <c r="S604" s="392"/>
      <c r="T604" s="392"/>
      <c r="U604" s="392"/>
      <c r="V604" s="392"/>
      <c r="W604" s="392"/>
      <c r="X604" s="392"/>
      <c r="Y604" s="392"/>
      <c r="Z604" s="392"/>
      <c r="AA604" s="392"/>
      <c r="AB604" s="392"/>
      <c r="AC604" s="392"/>
      <c r="AD604" s="392"/>
      <c r="AE604" s="392"/>
      <c r="AF604" s="392"/>
    </row>
    <row r="605" ht="15.75" customHeight="1">
      <c r="A605" s="216"/>
      <c r="B605" s="156"/>
      <c r="C605" s="156"/>
      <c r="D605" s="156"/>
      <c r="E605" s="392"/>
      <c r="F605" s="392"/>
      <c r="G605" s="392"/>
      <c r="H605" s="392"/>
      <c r="I605" s="392"/>
      <c r="J605" s="145"/>
      <c r="K605" s="392"/>
      <c r="L605" s="392"/>
      <c r="M605" s="392"/>
      <c r="N605" s="392"/>
      <c r="O605" s="392"/>
      <c r="P605" s="392"/>
      <c r="Q605" s="392"/>
      <c r="R605" s="392"/>
      <c r="S605" s="392"/>
      <c r="T605" s="392"/>
      <c r="U605" s="392"/>
      <c r="V605" s="392"/>
      <c r="W605" s="392"/>
      <c r="X605" s="392"/>
      <c r="Y605" s="392"/>
      <c r="Z605" s="392"/>
      <c r="AA605" s="392"/>
      <c r="AB605" s="392"/>
      <c r="AC605" s="392"/>
      <c r="AD605" s="392"/>
      <c r="AE605" s="392"/>
      <c r="AF605" s="392"/>
    </row>
    <row r="606" ht="15.75" customHeight="1">
      <c r="A606" s="216"/>
      <c r="B606" s="156"/>
      <c r="C606" s="156"/>
      <c r="D606" s="156"/>
      <c r="E606" s="392"/>
      <c r="F606" s="392"/>
      <c r="G606" s="392"/>
      <c r="H606" s="392"/>
      <c r="I606" s="392"/>
      <c r="J606" s="145"/>
      <c r="K606" s="392"/>
      <c r="L606" s="392"/>
      <c r="M606" s="392"/>
      <c r="N606" s="392"/>
      <c r="O606" s="392"/>
      <c r="P606" s="392"/>
      <c r="Q606" s="392"/>
      <c r="R606" s="392"/>
      <c r="S606" s="392"/>
      <c r="T606" s="392"/>
      <c r="U606" s="392"/>
      <c r="V606" s="392"/>
      <c r="W606" s="392"/>
      <c r="X606" s="392"/>
      <c r="Y606" s="392"/>
      <c r="Z606" s="392"/>
      <c r="AA606" s="392"/>
      <c r="AB606" s="392"/>
      <c r="AC606" s="392"/>
      <c r="AD606" s="392"/>
      <c r="AE606" s="392"/>
      <c r="AF606" s="392"/>
    </row>
    <row r="607" ht="15.75" customHeight="1">
      <c r="A607" s="216"/>
      <c r="B607" s="156"/>
      <c r="C607" s="156"/>
      <c r="D607" s="156"/>
      <c r="E607" s="392"/>
      <c r="F607" s="392"/>
      <c r="G607" s="392"/>
      <c r="H607" s="392"/>
      <c r="I607" s="392"/>
      <c r="J607" s="145"/>
      <c r="K607" s="392"/>
      <c r="L607" s="392"/>
      <c r="M607" s="392"/>
      <c r="N607" s="392"/>
      <c r="O607" s="392"/>
      <c r="P607" s="392"/>
      <c r="Q607" s="392"/>
      <c r="R607" s="392"/>
      <c r="S607" s="392"/>
      <c r="T607" s="392"/>
      <c r="U607" s="392"/>
      <c r="V607" s="392"/>
      <c r="W607" s="392"/>
      <c r="X607" s="392"/>
      <c r="Y607" s="392"/>
      <c r="Z607" s="392"/>
      <c r="AA607" s="392"/>
      <c r="AB607" s="392"/>
      <c r="AC607" s="392"/>
      <c r="AD607" s="392"/>
      <c r="AE607" s="392"/>
      <c r="AF607" s="392"/>
    </row>
    <row r="608" ht="15.75" customHeight="1">
      <c r="A608" s="216"/>
      <c r="B608" s="156"/>
      <c r="C608" s="156"/>
      <c r="D608" s="156"/>
      <c r="E608" s="392"/>
      <c r="F608" s="392"/>
      <c r="G608" s="392"/>
      <c r="H608" s="392"/>
      <c r="I608" s="392"/>
      <c r="J608" s="145"/>
      <c r="K608" s="392"/>
      <c r="L608" s="392"/>
      <c r="M608" s="392"/>
      <c r="N608" s="392"/>
      <c r="O608" s="392"/>
      <c r="P608" s="392"/>
      <c r="Q608" s="392"/>
      <c r="R608" s="392"/>
      <c r="S608" s="392"/>
      <c r="T608" s="392"/>
      <c r="U608" s="392"/>
      <c r="V608" s="392"/>
      <c r="W608" s="392"/>
      <c r="X608" s="392"/>
      <c r="Y608" s="392"/>
      <c r="Z608" s="392"/>
      <c r="AA608" s="392"/>
      <c r="AB608" s="392"/>
      <c r="AC608" s="392"/>
      <c r="AD608" s="392"/>
      <c r="AE608" s="392"/>
      <c r="AF608" s="392"/>
    </row>
    <row r="609" ht="15.75" customHeight="1">
      <c r="A609" s="216"/>
      <c r="B609" s="156"/>
      <c r="C609" s="156"/>
      <c r="D609" s="156"/>
      <c r="E609" s="392"/>
      <c r="F609" s="392"/>
      <c r="G609" s="392"/>
      <c r="H609" s="392"/>
      <c r="I609" s="392"/>
      <c r="J609" s="145"/>
      <c r="K609" s="392"/>
      <c r="L609" s="392"/>
      <c r="M609" s="392"/>
      <c r="N609" s="392"/>
      <c r="O609" s="392"/>
      <c r="P609" s="392"/>
      <c r="Q609" s="392"/>
      <c r="R609" s="392"/>
      <c r="S609" s="392"/>
      <c r="T609" s="392"/>
      <c r="U609" s="392"/>
      <c r="V609" s="392"/>
      <c r="W609" s="392"/>
      <c r="X609" s="392"/>
      <c r="Y609" s="392"/>
      <c r="Z609" s="392"/>
      <c r="AA609" s="392"/>
      <c r="AB609" s="392"/>
      <c r="AC609" s="392"/>
      <c r="AD609" s="392"/>
      <c r="AE609" s="392"/>
      <c r="AF609" s="392"/>
    </row>
    <row r="610" ht="15.75" customHeight="1">
      <c r="A610" s="216"/>
      <c r="B610" s="156"/>
      <c r="C610" s="156"/>
      <c r="D610" s="156"/>
      <c r="E610" s="392"/>
      <c r="F610" s="392"/>
      <c r="G610" s="392"/>
      <c r="H610" s="392"/>
      <c r="I610" s="392"/>
      <c r="J610" s="145"/>
      <c r="K610" s="392"/>
      <c r="L610" s="392"/>
      <c r="M610" s="392"/>
      <c r="N610" s="392"/>
      <c r="O610" s="392"/>
      <c r="P610" s="392"/>
      <c r="Q610" s="392"/>
      <c r="R610" s="392"/>
      <c r="S610" s="392"/>
      <c r="T610" s="392"/>
      <c r="U610" s="392"/>
      <c r="V610" s="392"/>
      <c r="W610" s="392"/>
      <c r="X610" s="392"/>
      <c r="Y610" s="392"/>
      <c r="Z610" s="392"/>
      <c r="AA610" s="392"/>
      <c r="AB610" s="392"/>
      <c r="AC610" s="392"/>
      <c r="AD610" s="392"/>
      <c r="AE610" s="392"/>
      <c r="AF610" s="392"/>
    </row>
    <row r="611" ht="15.75" customHeight="1">
      <c r="A611" s="216"/>
      <c r="B611" s="156"/>
      <c r="C611" s="156"/>
      <c r="D611" s="156"/>
      <c r="E611" s="392"/>
      <c r="F611" s="392"/>
      <c r="G611" s="392"/>
      <c r="H611" s="392"/>
      <c r="I611" s="392"/>
      <c r="J611" s="145"/>
      <c r="K611" s="392"/>
      <c r="L611" s="392"/>
      <c r="M611" s="392"/>
      <c r="N611" s="392"/>
      <c r="O611" s="392"/>
      <c r="P611" s="392"/>
      <c r="Q611" s="392"/>
      <c r="R611" s="392"/>
      <c r="S611" s="392"/>
      <c r="T611" s="392"/>
      <c r="U611" s="392"/>
      <c r="V611" s="392"/>
      <c r="W611" s="392"/>
      <c r="X611" s="392"/>
      <c r="Y611" s="392"/>
      <c r="Z611" s="392"/>
      <c r="AA611" s="392"/>
      <c r="AB611" s="392"/>
      <c r="AC611" s="392"/>
      <c r="AD611" s="392"/>
      <c r="AE611" s="392"/>
      <c r="AF611" s="392"/>
    </row>
    <row r="612" ht="15.75" customHeight="1">
      <c r="A612" s="216"/>
      <c r="B612" s="156"/>
      <c r="C612" s="156"/>
      <c r="D612" s="156"/>
      <c r="E612" s="392"/>
      <c r="F612" s="392"/>
      <c r="G612" s="392"/>
      <c r="H612" s="392"/>
      <c r="I612" s="392"/>
      <c r="J612" s="145"/>
      <c r="K612" s="392"/>
      <c r="L612" s="392"/>
      <c r="M612" s="392"/>
      <c r="N612" s="392"/>
      <c r="O612" s="392"/>
      <c r="P612" s="392"/>
      <c r="Q612" s="392"/>
      <c r="R612" s="392"/>
      <c r="S612" s="392"/>
      <c r="T612" s="392"/>
      <c r="U612" s="392"/>
      <c r="V612" s="392"/>
      <c r="W612" s="392"/>
      <c r="X612" s="392"/>
      <c r="Y612" s="392"/>
      <c r="Z612" s="392"/>
      <c r="AA612" s="392"/>
      <c r="AB612" s="392"/>
      <c r="AC612" s="392"/>
      <c r="AD612" s="392"/>
      <c r="AE612" s="392"/>
      <c r="AF612" s="392"/>
    </row>
    <row r="613" ht="15.75" customHeight="1">
      <c r="A613" s="216"/>
      <c r="B613" s="156"/>
      <c r="C613" s="156"/>
      <c r="D613" s="156"/>
      <c r="E613" s="392"/>
      <c r="F613" s="392"/>
      <c r="G613" s="392"/>
      <c r="H613" s="392"/>
      <c r="I613" s="392"/>
      <c r="J613" s="145"/>
      <c r="K613" s="392"/>
      <c r="L613" s="392"/>
      <c r="M613" s="392"/>
      <c r="N613" s="392"/>
      <c r="O613" s="392"/>
      <c r="P613" s="392"/>
      <c r="Q613" s="392"/>
      <c r="R613" s="392"/>
      <c r="S613" s="392"/>
      <c r="T613" s="392"/>
      <c r="U613" s="392"/>
      <c r="V613" s="392"/>
      <c r="W613" s="392"/>
      <c r="X613" s="392"/>
      <c r="Y613" s="392"/>
      <c r="Z613" s="392"/>
      <c r="AA613" s="392"/>
      <c r="AB613" s="392"/>
      <c r="AC613" s="392"/>
      <c r="AD613" s="392"/>
      <c r="AE613" s="392"/>
      <c r="AF613" s="392"/>
    </row>
    <row r="614" ht="15.75" customHeight="1">
      <c r="A614" s="216"/>
      <c r="B614" s="156"/>
      <c r="C614" s="156"/>
      <c r="D614" s="156"/>
      <c r="E614" s="392"/>
      <c r="F614" s="392"/>
      <c r="G614" s="392"/>
      <c r="H614" s="392"/>
      <c r="I614" s="392"/>
      <c r="J614" s="145"/>
      <c r="K614" s="392"/>
      <c r="L614" s="392"/>
      <c r="M614" s="392"/>
      <c r="N614" s="392"/>
      <c r="O614" s="392"/>
      <c r="P614" s="392"/>
      <c r="Q614" s="392"/>
      <c r="R614" s="392"/>
      <c r="S614" s="392"/>
      <c r="T614" s="392"/>
      <c r="U614" s="392"/>
      <c r="V614" s="392"/>
      <c r="W614" s="392"/>
      <c r="X614" s="392"/>
      <c r="Y614" s="392"/>
      <c r="Z614" s="392"/>
      <c r="AA614" s="392"/>
      <c r="AB614" s="392"/>
      <c r="AC614" s="392"/>
      <c r="AD614" s="392"/>
      <c r="AE614" s="392"/>
      <c r="AF614" s="392"/>
    </row>
    <row r="615" ht="15.75" customHeight="1">
      <c r="A615" s="216"/>
      <c r="B615" s="156"/>
      <c r="C615" s="156"/>
      <c r="D615" s="156"/>
      <c r="E615" s="392"/>
      <c r="F615" s="392"/>
      <c r="G615" s="392"/>
      <c r="H615" s="392"/>
      <c r="I615" s="392"/>
      <c r="J615" s="145"/>
      <c r="K615" s="392"/>
      <c r="L615" s="392"/>
      <c r="M615" s="392"/>
      <c r="N615" s="392"/>
      <c r="O615" s="392"/>
      <c r="P615" s="392"/>
      <c r="Q615" s="392"/>
      <c r="R615" s="392"/>
      <c r="S615" s="392"/>
      <c r="T615" s="392"/>
      <c r="U615" s="392"/>
      <c r="V615" s="392"/>
      <c r="W615" s="392"/>
      <c r="X615" s="392"/>
      <c r="Y615" s="392"/>
      <c r="Z615" s="392"/>
      <c r="AA615" s="392"/>
      <c r="AB615" s="392"/>
      <c r="AC615" s="392"/>
      <c r="AD615" s="392"/>
      <c r="AE615" s="392"/>
      <c r="AF615" s="392"/>
    </row>
    <row r="616" ht="15.75" customHeight="1">
      <c r="A616" s="216"/>
      <c r="B616" s="156"/>
      <c r="C616" s="156"/>
      <c r="D616" s="156"/>
      <c r="E616" s="392"/>
      <c r="F616" s="392"/>
      <c r="G616" s="392"/>
      <c r="H616" s="392"/>
      <c r="I616" s="392"/>
      <c r="J616" s="145"/>
      <c r="K616" s="392"/>
      <c r="L616" s="392"/>
      <c r="M616" s="392"/>
      <c r="N616" s="392"/>
      <c r="O616" s="392"/>
      <c r="P616" s="392"/>
      <c r="Q616" s="392"/>
      <c r="R616" s="392"/>
      <c r="S616" s="392"/>
      <c r="T616" s="392"/>
      <c r="U616" s="392"/>
      <c r="V616" s="392"/>
      <c r="W616" s="392"/>
      <c r="X616" s="392"/>
      <c r="Y616" s="392"/>
      <c r="Z616" s="392"/>
      <c r="AA616" s="392"/>
      <c r="AB616" s="392"/>
      <c r="AC616" s="392"/>
      <c r="AD616" s="392"/>
      <c r="AE616" s="392"/>
      <c r="AF616" s="392"/>
    </row>
    <row r="617" ht="15.75" customHeight="1">
      <c r="A617" s="216"/>
      <c r="B617" s="156"/>
      <c r="C617" s="156"/>
      <c r="D617" s="156"/>
      <c r="E617" s="392"/>
      <c r="F617" s="392"/>
      <c r="G617" s="392"/>
      <c r="H617" s="392"/>
      <c r="I617" s="392"/>
      <c r="J617" s="145"/>
      <c r="K617" s="392"/>
      <c r="L617" s="392"/>
      <c r="M617" s="392"/>
      <c r="N617" s="392"/>
      <c r="O617" s="392"/>
      <c r="P617" s="392"/>
      <c r="Q617" s="392"/>
      <c r="R617" s="392"/>
      <c r="S617" s="392"/>
      <c r="T617" s="392"/>
      <c r="U617" s="392"/>
      <c r="V617" s="392"/>
      <c r="W617" s="392"/>
      <c r="X617" s="392"/>
      <c r="Y617" s="392"/>
      <c r="Z617" s="392"/>
      <c r="AA617" s="392"/>
      <c r="AB617" s="392"/>
      <c r="AC617" s="392"/>
      <c r="AD617" s="392"/>
      <c r="AE617" s="392"/>
      <c r="AF617" s="392"/>
    </row>
    <row r="618" ht="15.75" customHeight="1">
      <c r="A618" s="216"/>
      <c r="B618" s="156"/>
      <c r="C618" s="156"/>
      <c r="D618" s="156"/>
      <c r="E618" s="392"/>
      <c r="F618" s="392"/>
      <c r="G618" s="392"/>
      <c r="H618" s="392"/>
      <c r="I618" s="392"/>
      <c r="J618" s="145"/>
      <c r="K618" s="392"/>
      <c r="L618" s="392"/>
      <c r="M618" s="392"/>
      <c r="N618" s="392"/>
      <c r="O618" s="392"/>
      <c r="P618" s="392"/>
      <c r="Q618" s="392"/>
      <c r="R618" s="392"/>
      <c r="S618" s="392"/>
      <c r="T618" s="392"/>
      <c r="U618" s="392"/>
      <c r="V618" s="392"/>
      <c r="W618" s="392"/>
      <c r="X618" s="392"/>
      <c r="Y618" s="392"/>
      <c r="Z618" s="392"/>
      <c r="AA618" s="392"/>
      <c r="AB618" s="392"/>
      <c r="AC618" s="392"/>
      <c r="AD618" s="392"/>
      <c r="AE618" s="392"/>
      <c r="AF618" s="392"/>
    </row>
    <row r="619" ht="15.75" customHeight="1">
      <c r="A619" s="216"/>
      <c r="B619" s="156"/>
      <c r="C619" s="156"/>
      <c r="D619" s="156"/>
      <c r="E619" s="392"/>
      <c r="F619" s="392"/>
      <c r="G619" s="392"/>
      <c r="H619" s="392"/>
      <c r="I619" s="392"/>
      <c r="J619" s="145"/>
      <c r="K619" s="392"/>
      <c r="L619" s="392"/>
      <c r="M619" s="392"/>
      <c r="N619" s="392"/>
      <c r="O619" s="392"/>
      <c r="P619" s="392"/>
      <c r="Q619" s="392"/>
      <c r="R619" s="392"/>
      <c r="S619" s="392"/>
      <c r="T619" s="392"/>
      <c r="U619" s="392"/>
      <c r="V619" s="392"/>
      <c r="W619" s="392"/>
      <c r="X619" s="392"/>
      <c r="Y619" s="392"/>
      <c r="Z619" s="392"/>
      <c r="AA619" s="392"/>
      <c r="AB619" s="392"/>
      <c r="AC619" s="392"/>
      <c r="AD619" s="392"/>
      <c r="AE619" s="392"/>
      <c r="AF619" s="392"/>
    </row>
    <row r="620" ht="15.75" customHeight="1">
      <c r="A620" s="216"/>
      <c r="B620" s="156"/>
      <c r="C620" s="156"/>
      <c r="D620" s="156"/>
      <c r="E620" s="392"/>
      <c r="F620" s="392"/>
      <c r="G620" s="392"/>
      <c r="H620" s="392"/>
      <c r="I620" s="392"/>
      <c r="J620" s="145"/>
      <c r="K620" s="392"/>
      <c r="L620" s="392"/>
      <c r="M620" s="392"/>
      <c r="N620" s="392"/>
      <c r="O620" s="392"/>
      <c r="P620" s="392"/>
      <c r="Q620" s="392"/>
      <c r="R620" s="392"/>
      <c r="S620" s="392"/>
      <c r="T620" s="392"/>
      <c r="U620" s="392"/>
      <c r="V620" s="392"/>
      <c r="W620" s="392"/>
      <c r="X620" s="392"/>
      <c r="Y620" s="392"/>
      <c r="Z620" s="392"/>
      <c r="AA620" s="392"/>
      <c r="AB620" s="392"/>
      <c r="AC620" s="392"/>
      <c r="AD620" s="392"/>
      <c r="AE620" s="392"/>
      <c r="AF620" s="392"/>
    </row>
    <row r="621" ht="15.75" customHeight="1">
      <c r="A621" s="216"/>
      <c r="B621" s="156"/>
      <c r="C621" s="156"/>
      <c r="D621" s="156"/>
      <c r="E621" s="392"/>
      <c r="F621" s="392"/>
      <c r="G621" s="392"/>
      <c r="H621" s="392"/>
      <c r="I621" s="392"/>
      <c r="J621" s="145"/>
      <c r="K621" s="392"/>
      <c r="L621" s="392"/>
      <c r="M621" s="392"/>
      <c r="N621" s="392"/>
      <c r="O621" s="392"/>
      <c r="P621" s="392"/>
      <c r="Q621" s="392"/>
      <c r="R621" s="392"/>
      <c r="S621" s="392"/>
      <c r="T621" s="392"/>
      <c r="U621" s="392"/>
      <c r="V621" s="392"/>
      <c r="W621" s="392"/>
      <c r="X621" s="392"/>
      <c r="Y621" s="392"/>
      <c r="Z621" s="392"/>
      <c r="AA621" s="392"/>
      <c r="AB621" s="392"/>
      <c r="AC621" s="392"/>
      <c r="AD621" s="392"/>
      <c r="AE621" s="392"/>
      <c r="AF621" s="392"/>
    </row>
    <row r="622" ht="15.75" customHeight="1">
      <c r="A622" s="216"/>
      <c r="B622" s="156"/>
      <c r="C622" s="156"/>
      <c r="D622" s="156"/>
      <c r="E622" s="392"/>
      <c r="F622" s="392"/>
      <c r="G622" s="392"/>
      <c r="H622" s="392"/>
      <c r="I622" s="392"/>
      <c r="J622" s="145"/>
      <c r="K622" s="392"/>
      <c r="L622" s="392"/>
      <c r="M622" s="392"/>
      <c r="N622" s="392"/>
      <c r="O622" s="392"/>
      <c r="P622" s="392"/>
      <c r="Q622" s="392"/>
      <c r="R622" s="392"/>
      <c r="S622" s="392"/>
      <c r="T622" s="392"/>
      <c r="U622" s="392"/>
      <c r="V622" s="392"/>
      <c r="W622" s="392"/>
      <c r="X622" s="392"/>
      <c r="Y622" s="392"/>
      <c r="Z622" s="392"/>
      <c r="AA622" s="392"/>
      <c r="AB622" s="392"/>
      <c r="AC622" s="392"/>
      <c r="AD622" s="392"/>
      <c r="AE622" s="392"/>
      <c r="AF622" s="392"/>
    </row>
    <row r="623" ht="15.75" customHeight="1">
      <c r="A623" s="216"/>
      <c r="B623" s="156"/>
      <c r="C623" s="156"/>
      <c r="D623" s="156"/>
      <c r="E623" s="392"/>
      <c r="F623" s="392"/>
      <c r="G623" s="392"/>
      <c r="H623" s="392"/>
      <c r="I623" s="392"/>
      <c r="J623" s="145"/>
      <c r="K623" s="392"/>
      <c r="L623" s="392"/>
      <c r="M623" s="392"/>
      <c r="N623" s="392"/>
      <c r="O623" s="392"/>
      <c r="P623" s="392"/>
      <c r="Q623" s="392"/>
      <c r="R623" s="392"/>
      <c r="S623" s="392"/>
      <c r="T623" s="392"/>
      <c r="U623" s="392"/>
      <c r="V623" s="392"/>
      <c r="W623" s="392"/>
      <c r="X623" s="392"/>
      <c r="Y623" s="392"/>
      <c r="Z623" s="392"/>
      <c r="AA623" s="392"/>
      <c r="AB623" s="392"/>
      <c r="AC623" s="392"/>
      <c r="AD623" s="392"/>
      <c r="AE623" s="392"/>
      <c r="AF623" s="392"/>
    </row>
    <row r="624" ht="15.75" customHeight="1">
      <c r="A624" s="216"/>
      <c r="B624" s="156"/>
      <c r="C624" s="156"/>
      <c r="D624" s="156"/>
      <c r="E624" s="392"/>
      <c r="F624" s="392"/>
      <c r="G624" s="392"/>
      <c r="H624" s="392"/>
      <c r="I624" s="392"/>
      <c r="J624" s="145"/>
      <c r="K624" s="392"/>
      <c r="L624" s="392"/>
      <c r="M624" s="392"/>
      <c r="N624" s="392"/>
      <c r="O624" s="392"/>
      <c r="P624" s="392"/>
      <c r="Q624" s="392"/>
      <c r="R624" s="392"/>
      <c r="S624" s="392"/>
      <c r="T624" s="392"/>
      <c r="U624" s="392"/>
      <c r="V624" s="392"/>
      <c r="W624" s="392"/>
      <c r="X624" s="392"/>
      <c r="Y624" s="392"/>
      <c r="Z624" s="392"/>
      <c r="AA624" s="392"/>
      <c r="AB624" s="392"/>
      <c r="AC624" s="392"/>
      <c r="AD624" s="392"/>
      <c r="AE624" s="392"/>
      <c r="AF624" s="392"/>
    </row>
    <row r="625" ht="15.75" customHeight="1">
      <c r="A625" s="216"/>
      <c r="B625" s="156"/>
      <c r="C625" s="156"/>
      <c r="D625" s="156"/>
      <c r="E625" s="392"/>
      <c r="F625" s="392"/>
      <c r="G625" s="392"/>
      <c r="H625" s="392"/>
      <c r="I625" s="392"/>
      <c r="J625" s="145"/>
      <c r="K625" s="392"/>
      <c r="L625" s="392"/>
      <c r="M625" s="392"/>
      <c r="N625" s="392"/>
      <c r="O625" s="392"/>
      <c r="P625" s="392"/>
      <c r="Q625" s="392"/>
      <c r="R625" s="392"/>
      <c r="S625" s="392"/>
      <c r="T625" s="392"/>
      <c r="U625" s="392"/>
      <c r="V625" s="392"/>
      <c r="W625" s="392"/>
      <c r="X625" s="392"/>
      <c r="Y625" s="392"/>
      <c r="Z625" s="392"/>
      <c r="AA625" s="392"/>
      <c r="AB625" s="392"/>
      <c r="AC625" s="392"/>
      <c r="AD625" s="392"/>
      <c r="AE625" s="392"/>
      <c r="AF625" s="392"/>
    </row>
    <row r="626" ht="15.75" customHeight="1">
      <c r="A626" s="216"/>
      <c r="B626" s="156"/>
      <c r="C626" s="156"/>
      <c r="D626" s="156"/>
      <c r="E626" s="392"/>
      <c r="F626" s="392"/>
      <c r="G626" s="392"/>
      <c r="H626" s="392"/>
      <c r="I626" s="392"/>
      <c r="J626" s="145"/>
      <c r="K626" s="392"/>
      <c r="L626" s="392"/>
      <c r="M626" s="392"/>
      <c r="N626" s="392"/>
      <c r="O626" s="392"/>
      <c r="P626" s="392"/>
      <c r="Q626" s="392"/>
      <c r="R626" s="392"/>
      <c r="S626" s="392"/>
      <c r="T626" s="392"/>
      <c r="U626" s="392"/>
      <c r="V626" s="392"/>
      <c r="W626" s="392"/>
      <c r="X626" s="392"/>
      <c r="Y626" s="392"/>
      <c r="Z626" s="392"/>
      <c r="AA626" s="392"/>
      <c r="AB626" s="392"/>
      <c r="AC626" s="392"/>
      <c r="AD626" s="392"/>
      <c r="AE626" s="392"/>
      <c r="AF626" s="392"/>
    </row>
    <row r="627" ht="15.75" customHeight="1">
      <c r="A627" s="216"/>
      <c r="B627" s="156"/>
      <c r="C627" s="156"/>
      <c r="D627" s="156"/>
      <c r="E627" s="392"/>
      <c r="F627" s="392"/>
      <c r="G627" s="392"/>
      <c r="H627" s="392"/>
      <c r="I627" s="392"/>
      <c r="J627" s="145"/>
      <c r="K627" s="392"/>
      <c r="L627" s="392"/>
      <c r="M627" s="392"/>
      <c r="N627" s="392"/>
      <c r="O627" s="392"/>
      <c r="P627" s="392"/>
      <c r="Q627" s="392"/>
      <c r="R627" s="392"/>
      <c r="S627" s="392"/>
      <c r="T627" s="392"/>
      <c r="U627" s="392"/>
      <c r="V627" s="392"/>
      <c r="W627" s="392"/>
      <c r="X627" s="392"/>
      <c r="Y627" s="392"/>
      <c r="Z627" s="392"/>
      <c r="AA627" s="392"/>
      <c r="AB627" s="392"/>
      <c r="AC627" s="392"/>
      <c r="AD627" s="392"/>
      <c r="AE627" s="392"/>
      <c r="AF627" s="392"/>
    </row>
    <row r="628" ht="15.75" customHeight="1">
      <c r="A628" s="216"/>
      <c r="B628" s="156"/>
      <c r="C628" s="156"/>
      <c r="D628" s="156"/>
      <c r="E628" s="392"/>
      <c r="F628" s="392"/>
      <c r="G628" s="392"/>
      <c r="H628" s="392"/>
      <c r="I628" s="392"/>
      <c r="J628" s="145"/>
      <c r="K628" s="392"/>
      <c r="L628" s="392"/>
      <c r="M628" s="392"/>
      <c r="N628" s="392"/>
      <c r="O628" s="392"/>
      <c r="P628" s="392"/>
      <c r="Q628" s="392"/>
      <c r="R628" s="392"/>
      <c r="S628" s="392"/>
      <c r="T628" s="392"/>
      <c r="U628" s="392"/>
      <c r="V628" s="392"/>
      <c r="W628" s="392"/>
      <c r="X628" s="392"/>
      <c r="Y628" s="392"/>
      <c r="Z628" s="392"/>
      <c r="AA628" s="392"/>
      <c r="AB628" s="392"/>
      <c r="AC628" s="392"/>
      <c r="AD628" s="392"/>
      <c r="AE628" s="392"/>
      <c r="AF628" s="392"/>
    </row>
    <row r="629" ht="15.75" customHeight="1">
      <c r="A629" s="216"/>
      <c r="B629" s="156"/>
      <c r="C629" s="156"/>
      <c r="D629" s="156"/>
      <c r="E629" s="392"/>
      <c r="F629" s="392"/>
      <c r="G629" s="392"/>
      <c r="H629" s="392"/>
      <c r="I629" s="392"/>
      <c r="J629" s="145"/>
      <c r="K629" s="392"/>
      <c r="L629" s="392"/>
      <c r="M629" s="392"/>
      <c r="N629" s="392"/>
      <c r="O629" s="392"/>
      <c r="P629" s="392"/>
      <c r="Q629" s="392"/>
      <c r="R629" s="392"/>
      <c r="S629" s="392"/>
      <c r="T629" s="392"/>
      <c r="U629" s="392"/>
      <c r="V629" s="392"/>
      <c r="W629" s="392"/>
      <c r="X629" s="392"/>
      <c r="Y629" s="392"/>
      <c r="Z629" s="392"/>
      <c r="AA629" s="392"/>
      <c r="AB629" s="392"/>
      <c r="AC629" s="392"/>
      <c r="AD629" s="392"/>
      <c r="AE629" s="392"/>
      <c r="AF629" s="392"/>
    </row>
    <row r="630" ht="15.75" customHeight="1">
      <c r="A630" s="216"/>
      <c r="B630" s="156"/>
      <c r="C630" s="156"/>
      <c r="D630" s="156"/>
      <c r="E630" s="392"/>
      <c r="F630" s="392"/>
      <c r="G630" s="392"/>
      <c r="H630" s="392"/>
      <c r="I630" s="392"/>
      <c r="J630" s="145"/>
      <c r="K630" s="392"/>
      <c r="L630" s="392"/>
      <c r="M630" s="392"/>
      <c r="N630" s="392"/>
      <c r="O630" s="392"/>
      <c r="P630" s="392"/>
      <c r="Q630" s="392"/>
      <c r="R630" s="392"/>
      <c r="S630" s="392"/>
      <c r="T630" s="392"/>
      <c r="U630" s="392"/>
      <c r="V630" s="392"/>
      <c r="W630" s="392"/>
      <c r="X630" s="392"/>
      <c r="Y630" s="392"/>
      <c r="Z630" s="392"/>
      <c r="AA630" s="392"/>
      <c r="AB630" s="392"/>
      <c r="AC630" s="392"/>
      <c r="AD630" s="392"/>
      <c r="AE630" s="392"/>
      <c r="AF630" s="392"/>
    </row>
    <row r="631" ht="15.75" customHeight="1">
      <c r="A631" s="216"/>
      <c r="B631" s="156"/>
      <c r="C631" s="156"/>
      <c r="D631" s="156"/>
      <c r="E631" s="392"/>
      <c r="F631" s="392"/>
      <c r="G631" s="392"/>
      <c r="H631" s="392"/>
      <c r="I631" s="392"/>
      <c r="J631" s="145"/>
      <c r="K631" s="392"/>
      <c r="L631" s="392"/>
      <c r="M631" s="392"/>
      <c r="N631" s="392"/>
      <c r="O631" s="392"/>
      <c r="P631" s="392"/>
      <c r="Q631" s="392"/>
      <c r="R631" s="392"/>
      <c r="S631" s="392"/>
      <c r="T631" s="392"/>
      <c r="U631" s="392"/>
      <c r="V631" s="392"/>
      <c r="W631" s="392"/>
      <c r="X631" s="392"/>
      <c r="Y631" s="392"/>
      <c r="Z631" s="392"/>
      <c r="AA631" s="392"/>
      <c r="AB631" s="392"/>
      <c r="AC631" s="392"/>
      <c r="AD631" s="392"/>
      <c r="AE631" s="392"/>
      <c r="AF631" s="392"/>
    </row>
    <row r="632" ht="15.75" customHeight="1">
      <c r="A632" s="216"/>
      <c r="B632" s="156"/>
      <c r="C632" s="156"/>
      <c r="D632" s="156"/>
      <c r="E632" s="392"/>
      <c r="F632" s="392"/>
      <c r="G632" s="392"/>
      <c r="H632" s="392"/>
      <c r="I632" s="392"/>
      <c r="J632" s="145"/>
      <c r="K632" s="392"/>
      <c r="L632" s="392"/>
      <c r="M632" s="392"/>
      <c r="N632" s="392"/>
      <c r="O632" s="392"/>
      <c r="P632" s="392"/>
      <c r="Q632" s="392"/>
      <c r="R632" s="392"/>
      <c r="S632" s="392"/>
      <c r="T632" s="392"/>
      <c r="U632" s="392"/>
      <c r="V632" s="392"/>
      <c r="W632" s="392"/>
      <c r="X632" s="392"/>
      <c r="Y632" s="392"/>
      <c r="Z632" s="392"/>
      <c r="AA632" s="392"/>
      <c r="AB632" s="392"/>
      <c r="AC632" s="392"/>
      <c r="AD632" s="392"/>
      <c r="AE632" s="392"/>
      <c r="AF632" s="392"/>
    </row>
    <row r="633" ht="15.75" customHeight="1">
      <c r="A633" s="216"/>
      <c r="B633" s="156"/>
      <c r="C633" s="156"/>
      <c r="D633" s="156"/>
      <c r="E633" s="392"/>
      <c r="F633" s="392"/>
      <c r="G633" s="392"/>
      <c r="H633" s="392"/>
      <c r="I633" s="392"/>
      <c r="J633" s="145"/>
      <c r="K633" s="392"/>
      <c r="L633" s="392"/>
      <c r="M633" s="392"/>
      <c r="N633" s="392"/>
      <c r="O633" s="392"/>
      <c r="P633" s="392"/>
      <c r="Q633" s="392"/>
      <c r="R633" s="392"/>
      <c r="S633" s="392"/>
      <c r="T633" s="392"/>
      <c r="U633" s="392"/>
      <c r="V633" s="392"/>
      <c r="W633" s="392"/>
      <c r="X633" s="392"/>
      <c r="Y633" s="392"/>
      <c r="Z633" s="392"/>
      <c r="AA633" s="392"/>
      <c r="AB633" s="392"/>
      <c r="AC633" s="392"/>
      <c r="AD633" s="392"/>
      <c r="AE633" s="392"/>
      <c r="AF633" s="392"/>
    </row>
    <row r="634" ht="15.75" customHeight="1">
      <c r="A634" s="216"/>
      <c r="B634" s="156"/>
      <c r="C634" s="156"/>
      <c r="D634" s="156"/>
      <c r="E634" s="392"/>
      <c r="F634" s="392"/>
      <c r="G634" s="392"/>
      <c r="H634" s="392"/>
      <c r="I634" s="392"/>
      <c r="J634" s="145"/>
      <c r="K634" s="392"/>
      <c r="L634" s="392"/>
      <c r="M634" s="392"/>
      <c r="N634" s="392"/>
      <c r="O634" s="392"/>
      <c r="P634" s="392"/>
      <c r="Q634" s="392"/>
      <c r="R634" s="392"/>
      <c r="S634" s="392"/>
      <c r="T634" s="392"/>
      <c r="U634" s="392"/>
      <c r="V634" s="392"/>
      <c r="W634" s="392"/>
      <c r="X634" s="392"/>
      <c r="Y634" s="392"/>
      <c r="Z634" s="392"/>
      <c r="AA634" s="392"/>
      <c r="AB634" s="392"/>
      <c r="AC634" s="392"/>
      <c r="AD634" s="392"/>
      <c r="AE634" s="392"/>
      <c r="AF634" s="392"/>
    </row>
    <row r="635" ht="15.75" customHeight="1">
      <c r="A635" s="216"/>
      <c r="B635" s="156"/>
      <c r="C635" s="156"/>
      <c r="D635" s="156"/>
      <c r="E635" s="392"/>
      <c r="F635" s="392"/>
      <c r="G635" s="392"/>
      <c r="H635" s="392"/>
      <c r="I635" s="392"/>
      <c r="J635" s="145"/>
      <c r="K635" s="392"/>
      <c r="L635" s="392"/>
      <c r="M635" s="392"/>
      <c r="N635" s="392"/>
      <c r="O635" s="392"/>
      <c r="P635" s="392"/>
      <c r="Q635" s="392"/>
      <c r="R635" s="392"/>
      <c r="S635" s="392"/>
      <c r="T635" s="392"/>
      <c r="U635" s="392"/>
      <c r="V635" s="392"/>
      <c r="W635" s="392"/>
      <c r="X635" s="392"/>
      <c r="Y635" s="392"/>
      <c r="Z635" s="392"/>
      <c r="AA635" s="392"/>
      <c r="AB635" s="392"/>
      <c r="AC635" s="392"/>
      <c r="AD635" s="392"/>
      <c r="AE635" s="392"/>
      <c r="AF635" s="392"/>
    </row>
    <row r="636" ht="15.75" customHeight="1">
      <c r="A636" s="216"/>
      <c r="B636" s="156"/>
      <c r="C636" s="156"/>
      <c r="D636" s="156"/>
      <c r="E636" s="392"/>
      <c r="F636" s="392"/>
      <c r="G636" s="392"/>
      <c r="H636" s="392"/>
      <c r="I636" s="392"/>
      <c r="J636" s="145"/>
      <c r="K636" s="392"/>
      <c r="L636" s="392"/>
      <c r="M636" s="392"/>
      <c r="N636" s="392"/>
      <c r="O636" s="392"/>
      <c r="P636" s="392"/>
      <c r="Q636" s="392"/>
      <c r="R636" s="392"/>
      <c r="S636" s="392"/>
      <c r="T636" s="392"/>
      <c r="U636" s="392"/>
      <c r="V636" s="392"/>
      <c r="W636" s="392"/>
      <c r="X636" s="392"/>
      <c r="Y636" s="392"/>
      <c r="Z636" s="392"/>
      <c r="AA636" s="392"/>
      <c r="AB636" s="392"/>
      <c r="AC636" s="392"/>
      <c r="AD636" s="392"/>
      <c r="AE636" s="392"/>
      <c r="AF636" s="392"/>
    </row>
    <row r="637" ht="15.75" customHeight="1">
      <c r="A637" s="216"/>
      <c r="B637" s="156"/>
      <c r="C637" s="156"/>
      <c r="D637" s="156"/>
      <c r="E637" s="392"/>
      <c r="F637" s="392"/>
      <c r="G637" s="392"/>
      <c r="H637" s="392"/>
      <c r="I637" s="392"/>
      <c r="J637" s="145"/>
      <c r="K637" s="392"/>
      <c r="L637" s="392"/>
      <c r="M637" s="392"/>
      <c r="N637" s="392"/>
      <c r="O637" s="392"/>
      <c r="P637" s="392"/>
      <c r="Q637" s="392"/>
      <c r="R637" s="392"/>
      <c r="S637" s="392"/>
      <c r="T637" s="392"/>
      <c r="U637" s="392"/>
      <c r="V637" s="392"/>
      <c r="W637" s="392"/>
      <c r="X637" s="392"/>
      <c r="Y637" s="392"/>
      <c r="Z637" s="392"/>
      <c r="AA637" s="392"/>
      <c r="AB637" s="392"/>
      <c r="AC637" s="392"/>
      <c r="AD637" s="392"/>
      <c r="AE637" s="392"/>
      <c r="AF637" s="392"/>
    </row>
    <row r="638" ht="15.75" customHeight="1">
      <c r="A638" s="216"/>
      <c r="B638" s="156"/>
      <c r="C638" s="156"/>
      <c r="D638" s="156"/>
      <c r="E638" s="392"/>
      <c r="F638" s="392"/>
      <c r="G638" s="392"/>
      <c r="H638" s="392"/>
      <c r="I638" s="392"/>
      <c r="J638" s="145"/>
      <c r="K638" s="392"/>
      <c r="L638" s="392"/>
      <c r="M638" s="392"/>
      <c r="N638" s="392"/>
      <c r="O638" s="392"/>
      <c r="P638" s="392"/>
      <c r="Q638" s="392"/>
      <c r="R638" s="392"/>
      <c r="S638" s="392"/>
      <c r="T638" s="392"/>
      <c r="U638" s="392"/>
      <c r="V638" s="392"/>
      <c r="W638" s="392"/>
      <c r="X638" s="392"/>
      <c r="Y638" s="392"/>
      <c r="Z638" s="392"/>
      <c r="AA638" s="392"/>
      <c r="AB638" s="392"/>
      <c r="AC638" s="392"/>
      <c r="AD638" s="392"/>
      <c r="AE638" s="392"/>
      <c r="AF638" s="392"/>
    </row>
    <row r="639" ht="15.75" customHeight="1">
      <c r="A639" s="216"/>
      <c r="B639" s="156"/>
      <c r="C639" s="156"/>
      <c r="D639" s="156"/>
      <c r="E639" s="392"/>
      <c r="F639" s="392"/>
      <c r="G639" s="392"/>
      <c r="H639" s="392"/>
      <c r="I639" s="392"/>
      <c r="J639" s="145"/>
      <c r="K639" s="392"/>
      <c r="L639" s="392"/>
      <c r="M639" s="392"/>
      <c r="N639" s="392"/>
      <c r="O639" s="392"/>
      <c r="P639" s="392"/>
      <c r="Q639" s="392"/>
      <c r="R639" s="392"/>
      <c r="S639" s="392"/>
      <c r="T639" s="392"/>
      <c r="U639" s="392"/>
      <c r="V639" s="392"/>
      <c r="W639" s="392"/>
      <c r="X639" s="392"/>
      <c r="Y639" s="392"/>
      <c r="Z639" s="392"/>
      <c r="AA639" s="392"/>
      <c r="AB639" s="392"/>
      <c r="AC639" s="392"/>
      <c r="AD639" s="392"/>
      <c r="AE639" s="392"/>
      <c r="AF639" s="392"/>
    </row>
    <row r="640" ht="15.75" customHeight="1">
      <c r="A640" s="216"/>
      <c r="B640" s="156"/>
      <c r="C640" s="156"/>
      <c r="D640" s="156"/>
      <c r="E640" s="392"/>
      <c r="F640" s="392"/>
      <c r="G640" s="392"/>
      <c r="H640" s="392"/>
      <c r="I640" s="392"/>
      <c r="J640" s="145"/>
      <c r="K640" s="392"/>
      <c r="L640" s="392"/>
      <c r="M640" s="392"/>
      <c r="N640" s="392"/>
      <c r="O640" s="392"/>
      <c r="P640" s="392"/>
      <c r="Q640" s="392"/>
      <c r="R640" s="392"/>
      <c r="S640" s="392"/>
      <c r="T640" s="392"/>
      <c r="U640" s="392"/>
      <c r="V640" s="392"/>
      <c r="W640" s="392"/>
      <c r="X640" s="392"/>
      <c r="Y640" s="392"/>
      <c r="Z640" s="392"/>
      <c r="AA640" s="392"/>
      <c r="AB640" s="392"/>
      <c r="AC640" s="392"/>
      <c r="AD640" s="392"/>
      <c r="AE640" s="392"/>
      <c r="AF640" s="392"/>
    </row>
    <row r="641" ht="15.75" customHeight="1">
      <c r="A641" s="216"/>
      <c r="B641" s="156"/>
      <c r="C641" s="156"/>
      <c r="D641" s="156"/>
      <c r="E641" s="392"/>
      <c r="F641" s="392"/>
      <c r="G641" s="392"/>
      <c r="H641" s="392"/>
      <c r="I641" s="392"/>
      <c r="J641" s="145"/>
      <c r="K641" s="392"/>
      <c r="L641" s="392"/>
      <c r="M641" s="392"/>
      <c r="N641" s="392"/>
      <c r="O641" s="392"/>
      <c r="P641" s="392"/>
      <c r="Q641" s="392"/>
      <c r="R641" s="392"/>
      <c r="S641" s="392"/>
      <c r="T641" s="392"/>
      <c r="U641" s="392"/>
      <c r="V641" s="392"/>
      <c r="W641" s="392"/>
      <c r="X641" s="392"/>
      <c r="Y641" s="392"/>
      <c r="Z641" s="392"/>
      <c r="AA641" s="392"/>
      <c r="AB641" s="392"/>
      <c r="AC641" s="392"/>
      <c r="AD641" s="392"/>
      <c r="AE641" s="392"/>
      <c r="AF641" s="392"/>
    </row>
    <row r="642" ht="15.75" customHeight="1">
      <c r="A642" s="216"/>
      <c r="B642" s="156"/>
      <c r="C642" s="156"/>
      <c r="D642" s="156"/>
      <c r="E642" s="392"/>
      <c r="F642" s="392"/>
      <c r="G642" s="392"/>
      <c r="H642" s="392"/>
      <c r="I642" s="392"/>
      <c r="J642" s="145"/>
      <c r="K642" s="392"/>
      <c r="L642" s="392"/>
      <c r="M642" s="392"/>
      <c r="N642" s="392"/>
      <c r="O642" s="392"/>
      <c r="P642" s="392"/>
      <c r="Q642" s="392"/>
      <c r="R642" s="392"/>
      <c r="S642" s="392"/>
      <c r="T642" s="392"/>
      <c r="U642" s="392"/>
      <c r="V642" s="392"/>
      <c r="W642" s="392"/>
      <c r="X642" s="392"/>
      <c r="Y642" s="392"/>
      <c r="Z642" s="392"/>
      <c r="AA642" s="392"/>
      <c r="AB642" s="392"/>
      <c r="AC642" s="392"/>
      <c r="AD642" s="392"/>
      <c r="AE642" s="392"/>
      <c r="AF642" s="392"/>
    </row>
    <row r="643" ht="15.75" customHeight="1">
      <c r="A643" s="216"/>
      <c r="B643" s="156"/>
      <c r="C643" s="156"/>
      <c r="D643" s="156"/>
      <c r="E643" s="392"/>
      <c r="F643" s="392"/>
      <c r="G643" s="392"/>
      <c r="H643" s="392"/>
      <c r="I643" s="392"/>
      <c r="J643" s="145"/>
      <c r="K643" s="392"/>
      <c r="L643" s="392"/>
      <c r="M643" s="392"/>
      <c r="N643" s="392"/>
      <c r="O643" s="392"/>
      <c r="P643" s="392"/>
      <c r="Q643" s="392"/>
      <c r="R643" s="392"/>
      <c r="S643" s="392"/>
      <c r="T643" s="392"/>
      <c r="U643" s="392"/>
      <c r="V643" s="392"/>
      <c r="W643" s="392"/>
      <c r="X643" s="392"/>
      <c r="Y643" s="392"/>
      <c r="Z643" s="392"/>
      <c r="AA643" s="392"/>
      <c r="AB643" s="392"/>
      <c r="AC643" s="392"/>
      <c r="AD643" s="392"/>
      <c r="AE643" s="392"/>
      <c r="AF643" s="392"/>
    </row>
    <row r="644" ht="15.75" customHeight="1">
      <c r="A644" s="216"/>
      <c r="B644" s="156"/>
      <c r="C644" s="156"/>
      <c r="D644" s="156"/>
      <c r="E644" s="392"/>
      <c r="F644" s="392"/>
      <c r="G644" s="392"/>
      <c r="H644" s="392"/>
      <c r="I644" s="392"/>
      <c r="J644" s="145"/>
      <c r="K644" s="392"/>
      <c r="L644" s="392"/>
      <c r="M644" s="392"/>
      <c r="N644" s="392"/>
      <c r="O644" s="392"/>
      <c r="P644" s="392"/>
      <c r="Q644" s="392"/>
      <c r="R644" s="392"/>
      <c r="S644" s="392"/>
      <c r="T644" s="392"/>
      <c r="U644" s="392"/>
      <c r="V644" s="392"/>
      <c r="W644" s="392"/>
      <c r="X644" s="392"/>
      <c r="Y644" s="392"/>
      <c r="Z644" s="392"/>
      <c r="AA644" s="392"/>
      <c r="AB644" s="392"/>
      <c r="AC644" s="392"/>
      <c r="AD644" s="392"/>
      <c r="AE644" s="392"/>
      <c r="AF644" s="392"/>
    </row>
    <row r="645" ht="15.75" customHeight="1">
      <c r="A645" s="216"/>
      <c r="B645" s="156"/>
      <c r="C645" s="156"/>
      <c r="D645" s="156"/>
      <c r="E645" s="392"/>
      <c r="F645" s="392"/>
      <c r="G645" s="392"/>
      <c r="H645" s="392"/>
      <c r="I645" s="392"/>
      <c r="J645" s="145"/>
      <c r="K645" s="392"/>
      <c r="L645" s="392"/>
      <c r="M645" s="392"/>
      <c r="N645" s="392"/>
      <c r="O645" s="392"/>
      <c r="P645" s="392"/>
      <c r="Q645" s="392"/>
      <c r="R645" s="392"/>
      <c r="S645" s="392"/>
      <c r="T645" s="392"/>
      <c r="U645" s="392"/>
      <c r="V645" s="392"/>
      <c r="W645" s="392"/>
      <c r="X645" s="392"/>
      <c r="Y645" s="392"/>
      <c r="Z645" s="392"/>
      <c r="AA645" s="392"/>
      <c r="AB645" s="392"/>
      <c r="AC645" s="392"/>
      <c r="AD645" s="392"/>
      <c r="AE645" s="392"/>
      <c r="AF645" s="392"/>
    </row>
    <row r="646" ht="15.75" customHeight="1">
      <c r="A646" s="216"/>
      <c r="B646" s="156"/>
      <c r="C646" s="156"/>
      <c r="D646" s="156"/>
      <c r="E646" s="392"/>
      <c r="F646" s="392"/>
      <c r="G646" s="392"/>
      <c r="H646" s="392"/>
      <c r="I646" s="392"/>
      <c r="J646" s="145"/>
      <c r="K646" s="392"/>
      <c r="L646" s="392"/>
      <c r="M646" s="392"/>
      <c r="N646" s="392"/>
      <c r="O646" s="392"/>
      <c r="P646" s="392"/>
      <c r="Q646" s="392"/>
      <c r="R646" s="392"/>
      <c r="S646" s="392"/>
      <c r="T646" s="392"/>
      <c r="U646" s="392"/>
      <c r="V646" s="392"/>
      <c r="W646" s="392"/>
      <c r="X646" s="392"/>
      <c r="Y646" s="392"/>
      <c r="Z646" s="392"/>
      <c r="AA646" s="392"/>
      <c r="AB646" s="392"/>
      <c r="AC646" s="392"/>
      <c r="AD646" s="392"/>
      <c r="AE646" s="392"/>
      <c r="AF646" s="392"/>
    </row>
    <row r="647" ht="15.75" customHeight="1">
      <c r="A647" s="216"/>
      <c r="B647" s="156"/>
      <c r="C647" s="156"/>
      <c r="D647" s="156"/>
      <c r="E647" s="392"/>
      <c r="F647" s="392"/>
      <c r="G647" s="392"/>
      <c r="H647" s="392"/>
      <c r="I647" s="392"/>
      <c r="J647" s="145"/>
      <c r="K647" s="392"/>
      <c r="L647" s="392"/>
      <c r="M647" s="392"/>
      <c r="N647" s="392"/>
      <c r="O647" s="392"/>
      <c r="P647" s="392"/>
      <c r="Q647" s="392"/>
      <c r="R647" s="392"/>
      <c r="S647" s="392"/>
      <c r="T647" s="392"/>
      <c r="U647" s="392"/>
      <c r="V647" s="392"/>
      <c r="W647" s="392"/>
      <c r="X647" s="392"/>
      <c r="Y647" s="392"/>
      <c r="Z647" s="392"/>
      <c r="AA647" s="392"/>
      <c r="AB647" s="392"/>
      <c r="AC647" s="392"/>
      <c r="AD647" s="392"/>
      <c r="AE647" s="392"/>
      <c r="AF647" s="392"/>
    </row>
    <row r="648" ht="15.75" customHeight="1">
      <c r="A648" s="216"/>
      <c r="B648" s="156"/>
      <c r="C648" s="156"/>
      <c r="D648" s="156"/>
      <c r="E648" s="392"/>
      <c r="F648" s="392"/>
      <c r="G648" s="392"/>
      <c r="H648" s="392"/>
      <c r="I648" s="392"/>
      <c r="J648" s="145"/>
      <c r="K648" s="392"/>
      <c r="L648" s="392"/>
      <c r="M648" s="392"/>
      <c r="N648" s="392"/>
      <c r="O648" s="392"/>
      <c r="P648" s="392"/>
      <c r="Q648" s="392"/>
      <c r="R648" s="392"/>
      <c r="S648" s="392"/>
      <c r="T648" s="392"/>
      <c r="U648" s="392"/>
      <c r="V648" s="392"/>
      <c r="W648" s="392"/>
      <c r="X648" s="392"/>
      <c r="Y648" s="392"/>
      <c r="Z648" s="392"/>
      <c r="AA648" s="392"/>
      <c r="AB648" s="392"/>
      <c r="AC648" s="392"/>
      <c r="AD648" s="392"/>
      <c r="AE648" s="392"/>
      <c r="AF648" s="392"/>
    </row>
    <row r="649" ht="15.75" customHeight="1">
      <c r="A649" s="216"/>
      <c r="B649" s="156"/>
      <c r="C649" s="156"/>
      <c r="D649" s="156"/>
      <c r="E649" s="392"/>
      <c r="F649" s="392"/>
      <c r="G649" s="392"/>
      <c r="H649" s="392"/>
      <c r="I649" s="392"/>
      <c r="J649" s="145"/>
      <c r="K649" s="392"/>
      <c r="L649" s="392"/>
      <c r="M649" s="392"/>
      <c r="N649" s="392"/>
      <c r="O649" s="392"/>
      <c r="P649" s="392"/>
      <c r="Q649" s="392"/>
      <c r="R649" s="392"/>
      <c r="S649" s="392"/>
      <c r="T649" s="392"/>
      <c r="U649" s="392"/>
      <c r="V649" s="392"/>
      <c r="W649" s="392"/>
      <c r="X649" s="392"/>
      <c r="Y649" s="392"/>
      <c r="Z649" s="392"/>
      <c r="AA649" s="392"/>
      <c r="AB649" s="392"/>
      <c r="AC649" s="392"/>
      <c r="AD649" s="392"/>
      <c r="AE649" s="392"/>
      <c r="AF649" s="392"/>
    </row>
    <row r="650" ht="15.75" customHeight="1">
      <c r="A650" s="216"/>
      <c r="B650" s="156"/>
      <c r="C650" s="156"/>
      <c r="D650" s="156"/>
      <c r="E650" s="392"/>
      <c r="F650" s="392"/>
      <c r="G650" s="392"/>
      <c r="H650" s="392"/>
      <c r="I650" s="392"/>
      <c r="J650" s="145"/>
      <c r="K650" s="392"/>
      <c r="L650" s="392"/>
      <c r="M650" s="392"/>
      <c r="N650" s="392"/>
      <c r="O650" s="392"/>
      <c r="P650" s="392"/>
      <c r="Q650" s="392"/>
      <c r="R650" s="392"/>
      <c r="S650" s="392"/>
      <c r="T650" s="392"/>
      <c r="U650" s="392"/>
      <c r="V650" s="392"/>
      <c r="W650" s="392"/>
      <c r="X650" s="392"/>
      <c r="Y650" s="392"/>
      <c r="Z650" s="392"/>
      <c r="AA650" s="392"/>
      <c r="AB650" s="392"/>
      <c r="AC650" s="392"/>
      <c r="AD650" s="392"/>
      <c r="AE650" s="392"/>
      <c r="AF650" s="392"/>
    </row>
    <row r="651" ht="15.75" customHeight="1">
      <c r="A651" s="216"/>
      <c r="B651" s="156"/>
      <c r="C651" s="156"/>
      <c r="D651" s="156"/>
      <c r="E651" s="392"/>
      <c r="F651" s="392"/>
      <c r="G651" s="392"/>
      <c r="H651" s="392"/>
      <c r="I651" s="392"/>
      <c r="J651" s="145"/>
      <c r="K651" s="392"/>
      <c r="L651" s="392"/>
      <c r="M651" s="392"/>
      <c r="N651" s="392"/>
      <c r="O651" s="392"/>
      <c r="P651" s="392"/>
      <c r="Q651" s="392"/>
      <c r="R651" s="392"/>
      <c r="S651" s="392"/>
      <c r="T651" s="392"/>
      <c r="U651" s="392"/>
      <c r="V651" s="392"/>
      <c r="W651" s="392"/>
      <c r="X651" s="392"/>
      <c r="Y651" s="392"/>
      <c r="Z651" s="392"/>
      <c r="AA651" s="392"/>
      <c r="AB651" s="392"/>
      <c r="AC651" s="392"/>
      <c r="AD651" s="392"/>
      <c r="AE651" s="392"/>
      <c r="AF651" s="392"/>
    </row>
    <row r="652" ht="15.75" customHeight="1">
      <c r="A652" s="216"/>
      <c r="B652" s="156"/>
      <c r="C652" s="156"/>
      <c r="D652" s="156"/>
      <c r="E652" s="392"/>
      <c r="F652" s="392"/>
      <c r="G652" s="392"/>
      <c r="H652" s="392"/>
      <c r="I652" s="392"/>
      <c r="J652" s="145"/>
      <c r="K652" s="392"/>
      <c r="L652" s="392"/>
      <c r="M652" s="392"/>
      <c r="N652" s="392"/>
      <c r="O652" s="392"/>
      <c r="P652" s="392"/>
      <c r="Q652" s="392"/>
      <c r="R652" s="392"/>
      <c r="S652" s="392"/>
      <c r="T652" s="392"/>
      <c r="U652" s="392"/>
      <c r="V652" s="392"/>
      <c r="W652" s="392"/>
      <c r="X652" s="392"/>
      <c r="Y652" s="392"/>
      <c r="Z652" s="392"/>
      <c r="AA652" s="392"/>
      <c r="AB652" s="392"/>
      <c r="AC652" s="392"/>
      <c r="AD652" s="392"/>
      <c r="AE652" s="392"/>
      <c r="AF652" s="392"/>
    </row>
    <row r="653" ht="15.75" customHeight="1">
      <c r="A653" s="216"/>
      <c r="B653" s="156"/>
      <c r="C653" s="156"/>
      <c r="D653" s="156"/>
      <c r="E653" s="392"/>
      <c r="F653" s="392"/>
      <c r="G653" s="392"/>
      <c r="H653" s="392"/>
      <c r="I653" s="392"/>
      <c r="J653" s="145"/>
      <c r="K653" s="392"/>
      <c r="L653" s="392"/>
      <c r="M653" s="392"/>
      <c r="N653" s="392"/>
      <c r="O653" s="392"/>
      <c r="P653" s="392"/>
      <c r="Q653" s="392"/>
      <c r="R653" s="392"/>
      <c r="S653" s="392"/>
      <c r="T653" s="392"/>
      <c r="U653" s="392"/>
      <c r="V653" s="392"/>
      <c r="W653" s="392"/>
      <c r="X653" s="392"/>
      <c r="Y653" s="392"/>
      <c r="Z653" s="392"/>
      <c r="AA653" s="392"/>
      <c r="AB653" s="392"/>
      <c r="AC653" s="392"/>
      <c r="AD653" s="392"/>
      <c r="AE653" s="392"/>
      <c r="AF653" s="392"/>
    </row>
    <row r="654" ht="15.75" customHeight="1">
      <c r="A654" s="216"/>
      <c r="B654" s="156"/>
      <c r="C654" s="156"/>
      <c r="D654" s="156"/>
      <c r="E654" s="392"/>
      <c r="F654" s="392"/>
      <c r="G654" s="392"/>
      <c r="H654" s="392"/>
      <c r="I654" s="392"/>
      <c r="J654" s="145"/>
      <c r="K654" s="392"/>
      <c r="L654" s="392"/>
      <c r="M654" s="392"/>
      <c r="N654" s="392"/>
      <c r="O654" s="392"/>
      <c r="P654" s="392"/>
      <c r="Q654" s="392"/>
      <c r="R654" s="392"/>
      <c r="S654" s="392"/>
      <c r="T654" s="392"/>
      <c r="U654" s="392"/>
      <c r="V654" s="392"/>
      <c r="W654" s="392"/>
      <c r="X654" s="392"/>
      <c r="Y654" s="392"/>
      <c r="Z654" s="392"/>
      <c r="AA654" s="392"/>
      <c r="AB654" s="392"/>
      <c r="AC654" s="392"/>
      <c r="AD654" s="392"/>
      <c r="AE654" s="392"/>
      <c r="AF654" s="392"/>
    </row>
    <row r="655" ht="15.75" customHeight="1">
      <c r="A655" s="216"/>
      <c r="B655" s="156"/>
      <c r="C655" s="156"/>
      <c r="D655" s="156"/>
      <c r="E655" s="392"/>
      <c r="F655" s="392"/>
      <c r="G655" s="392"/>
      <c r="H655" s="392"/>
      <c r="I655" s="392"/>
      <c r="J655" s="145"/>
      <c r="K655" s="392"/>
      <c r="L655" s="392"/>
      <c r="M655" s="392"/>
      <c r="N655" s="392"/>
      <c r="O655" s="392"/>
      <c r="P655" s="392"/>
      <c r="Q655" s="392"/>
      <c r="R655" s="392"/>
      <c r="S655" s="392"/>
      <c r="T655" s="392"/>
      <c r="U655" s="392"/>
      <c r="V655" s="392"/>
      <c r="W655" s="392"/>
      <c r="X655" s="392"/>
      <c r="Y655" s="392"/>
      <c r="Z655" s="392"/>
      <c r="AA655" s="392"/>
      <c r="AB655" s="392"/>
      <c r="AC655" s="392"/>
      <c r="AD655" s="392"/>
      <c r="AE655" s="392"/>
      <c r="AF655" s="392"/>
    </row>
    <row r="656" ht="15.75" customHeight="1">
      <c r="A656" s="216"/>
      <c r="B656" s="156"/>
      <c r="C656" s="156"/>
      <c r="D656" s="156"/>
      <c r="E656" s="392"/>
      <c r="F656" s="392"/>
      <c r="G656" s="392"/>
      <c r="H656" s="392"/>
      <c r="I656" s="392"/>
      <c r="J656" s="145"/>
      <c r="K656" s="392"/>
      <c r="L656" s="392"/>
      <c r="M656" s="392"/>
      <c r="N656" s="392"/>
      <c r="O656" s="392"/>
      <c r="P656" s="392"/>
      <c r="Q656" s="392"/>
      <c r="R656" s="392"/>
      <c r="S656" s="392"/>
      <c r="T656" s="392"/>
      <c r="U656" s="392"/>
      <c r="V656" s="392"/>
      <c r="W656" s="392"/>
      <c r="X656" s="392"/>
      <c r="Y656" s="392"/>
      <c r="Z656" s="392"/>
      <c r="AA656" s="392"/>
      <c r="AB656" s="392"/>
      <c r="AC656" s="392"/>
      <c r="AD656" s="392"/>
      <c r="AE656" s="392"/>
      <c r="AF656" s="392"/>
    </row>
    <row r="657" ht="15.75" customHeight="1">
      <c r="A657" s="216"/>
      <c r="B657" s="156"/>
      <c r="C657" s="156"/>
      <c r="D657" s="156"/>
      <c r="E657" s="392"/>
      <c r="F657" s="392"/>
      <c r="G657" s="392"/>
      <c r="H657" s="392"/>
      <c r="I657" s="392"/>
      <c r="J657" s="145"/>
      <c r="K657" s="392"/>
      <c r="L657" s="392"/>
      <c r="M657" s="392"/>
      <c r="N657" s="392"/>
      <c r="O657" s="392"/>
      <c r="P657" s="392"/>
      <c r="Q657" s="392"/>
      <c r="R657" s="392"/>
      <c r="S657" s="392"/>
      <c r="T657" s="392"/>
      <c r="U657" s="392"/>
      <c r="V657" s="392"/>
      <c r="W657" s="392"/>
      <c r="X657" s="392"/>
      <c r="Y657" s="392"/>
      <c r="Z657" s="392"/>
      <c r="AA657" s="392"/>
      <c r="AB657" s="392"/>
      <c r="AC657" s="392"/>
      <c r="AD657" s="392"/>
      <c r="AE657" s="392"/>
      <c r="AF657" s="392"/>
    </row>
    <row r="658" ht="15.75" customHeight="1">
      <c r="A658" s="216"/>
      <c r="B658" s="156"/>
      <c r="C658" s="156"/>
      <c r="D658" s="156"/>
      <c r="E658" s="392"/>
      <c r="F658" s="392"/>
      <c r="G658" s="392"/>
      <c r="H658" s="392"/>
      <c r="I658" s="392"/>
      <c r="J658" s="145"/>
      <c r="K658" s="392"/>
      <c r="L658" s="392"/>
      <c r="M658" s="392"/>
      <c r="N658" s="392"/>
      <c r="O658" s="392"/>
      <c r="P658" s="392"/>
      <c r="Q658" s="392"/>
      <c r="R658" s="392"/>
      <c r="S658" s="392"/>
      <c r="T658" s="392"/>
      <c r="U658" s="392"/>
      <c r="V658" s="392"/>
      <c r="W658" s="392"/>
      <c r="X658" s="392"/>
      <c r="Y658" s="392"/>
      <c r="Z658" s="392"/>
      <c r="AA658" s="392"/>
      <c r="AB658" s="392"/>
      <c r="AC658" s="392"/>
      <c r="AD658" s="392"/>
      <c r="AE658" s="392"/>
      <c r="AF658" s="392"/>
    </row>
    <row r="659" ht="15.75" customHeight="1">
      <c r="A659" s="216"/>
      <c r="B659" s="156"/>
      <c r="C659" s="156"/>
      <c r="D659" s="156"/>
      <c r="E659" s="392"/>
      <c r="F659" s="392"/>
      <c r="G659" s="392"/>
      <c r="H659" s="392"/>
      <c r="I659" s="392"/>
      <c r="J659" s="145"/>
      <c r="K659" s="392"/>
      <c r="L659" s="392"/>
      <c r="M659" s="392"/>
      <c r="N659" s="392"/>
      <c r="O659" s="392"/>
      <c r="P659" s="392"/>
      <c r="Q659" s="392"/>
      <c r="R659" s="392"/>
      <c r="S659" s="392"/>
      <c r="T659" s="392"/>
      <c r="U659" s="392"/>
      <c r="V659" s="392"/>
      <c r="W659" s="392"/>
      <c r="X659" s="392"/>
      <c r="Y659" s="392"/>
      <c r="Z659" s="392"/>
      <c r="AA659" s="392"/>
      <c r="AB659" s="392"/>
      <c r="AC659" s="392"/>
      <c r="AD659" s="392"/>
      <c r="AE659" s="392"/>
      <c r="AF659" s="392"/>
    </row>
    <row r="660" ht="15.75" customHeight="1">
      <c r="A660" s="216"/>
      <c r="B660" s="156"/>
      <c r="C660" s="156"/>
      <c r="D660" s="156"/>
      <c r="E660" s="392"/>
      <c r="F660" s="392"/>
      <c r="G660" s="392"/>
      <c r="H660" s="392"/>
      <c r="I660" s="392"/>
      <c r="J660" s="145"/>
      <c r="K660" s="392"/>
      <c r="L660" s="392"/>
      <c r="M660" s="392"/>
      <c r="N660" s="392"/>
      <c r="O660" s="392"/>
      <c r="P660" s="392"/>
      <c r="Q660" s="392"/>
      <c r="R660" s="392"/>
      <c r="S660" s="392"/>
      <c r="T660" s="392"/>
      <c r="U660" s="392"/>
      <c r="V660" s="392"/>
      <c r="W660" s="392"/>
      <c r="X660" s="392"/>
      <c r="Y660" s="392"/>
      <c r="Z660" s="392"/>
      <c r="AA660" s="392"/>
      <c r="AB660" s="392"/>
      <c r="AC660" s="392"/>
      <c r="AD660" s="392"/>
      <c r="AE660" s="392"/>
      <c r="AF660" s="392"/>
    </row>
    <row r="661" ht="15.75" customHeight="1">
      <c r="A661" s="216"/>
      <c r="B661" s="156"/>
      <c r="C661" s="156"/>
      <c r="D661" s="156"/>
      <c r="E661" s="392"/>
      <c r="F661" s="392"/>
      <c r="G661" s="392"/>
      <c r="H661" s="392"/>
      <c r="I661" s="392"/>
      <c r="J661" s="145"/>
      <c r="K661" s="392"/>
      <c r="L661" s="392"/>
      <c r="M661" s="392"/>
      <c r="N661" s="392"/>
      <c r="O661" s="392"/>
      <c r="P661" s="392"/>
      <c r="Q661" s="392"/>
      <c r="R661" s="392"/>
      <c r="S661" s="392"/>
      <c r="T661" s="392"/>
      <c r="U661" s="392"/>
      <c r="V661" s="392"/>
      <c r="W661" s="392"/>
      <c r="X661" s="392"/>
      <c r="Y661" s="392"/>
      <c r="Z661" s="392"/>
      <c r="AA661" s="392"/>
      <c r="AB661" s="392"/>
      <c r="AC661" s="392"/>
      <c r="AD661" s="392"/>
      <c r="AE661" s="392"/>
      <c r="AF661" s="392"/>
    </row>
    <row r="662" ht="15.75" customHeight="1">
      <c r="A662" s="216"/>
      <c r="B662" s="156"/>
      <c r="C662" s="156"/>
      <c r="D662" s="156"/>
      <c r="E662" s="392"/>
      <c r="F662" s="392"/>
      <c r="G662" s="392"/>
      <c r="H662" s="392"/>
      <c r="I662" s="392"/>
      <c r="J662" s="145"/>
      <c r="K662" s="392"/>
      <c r="L662" s="392"/>
      <c r="M662" s="392"/>
      <c r="N662" s="392"/>
      <c r="O662" s="392"/>
      <c r="P662" s="392"/>
      <c r="Q662" s="392"/>
      <c r="R662" s="392"/>
      <c r="S662" s="392"/>
      <c r="T662" s="392"/>
      <c r="U662" s="392"/>
      <c r="V662" s="392"/>
      <c r="W662" s="392"/>
      <c r="X662" s="392"/>
      <c r="Y662" s="392"/>
      <c r="Z662" s="392"/>
      <c r="AA662" s="392"/>
      <c r="AB662" s="392"/>
      <c r="AC662" s="392"/>
      <c r="AD662" s="392"/>
      <c r="AE662" s="392"/>
      <c r="AF662" s="392"/>
    </row>
    <row r="663" ht="15.75" customHeight="1">
      <c r="A663" s="216"/>
      <c r="B663" s="156"/>
      <c r="C663" s="156"/>
      <c r="D663" s="156"/>
      <c r="E663" s="392"/>
      <c r="F663" s="392"/>
      <c r="G663" s="392"/>
      <c r="H663" s="392"/>
      <c r="I663" s="392"/>
      <c r="J663" s="145"/>
      <c r="K663" s="392"/>
      <c r="L663" s="392"/>
      <c r="M663" s="392"/>
      <c r="N663" s="392"/>
      <c r="O663" s="392"/>
      <c r="P663" s="392"/>
      <c r="Q663" s="392"/>
      <c r="R663" s="392"/>
      <c r="S663" s="392"/>
      <c r="T663" s="392"/>
      <c r="U663" s="392"/>
      <c r="V663" s="392"/>
      <c r="W663" s="392"/>
      <c r="X663" s="392"/>
      <c r="Y663" s="392"/>
      <c r="Z663" s="392"/>
      <c r="AA663" s="392"/>
      <c r="AB663" s="392"/>
      <c r="AC663" s="392"/>
      <c r="AD663" s="392"/>
      <c r="AE663" s="392"/>
      <c r="AF663" s="392"/>
    </row>
    <row r="664" ht="15.75" customHeight="1">
      <c r="A664" s="216"/>
      <c r="B664" s="156"/>
      <c r="C664" s="156"/>
      <c r="D664" s="156"/>
      <c r="E664" s="392"/>
      <c r="F664" s="392"/>
      <c r="G664" s="392"/>
      <c r="H664" s="392"/>
      <c r="I664" s="392"/>
      <c r="J664" s="145"/>
      <c r="K664" s="392"/>
      <c r="L664" s="392"/>
      <c r="M664" s="392"/>
      <c r="N664" s="392"/>
      <c r="O664" s="392"/>
      <c r="P664" s="392"/>
      <c r="Q664" s="392"/>
      <c r="R664" s="392"/>
      <c r="S664" s="392"/>
      <c r="T664" s="392"/>
      <c r="U664" s="392"/>
      <c r="V664" s="392"/>
      <c r="W664" s="392"/>
      <c r="X664" s="392"/>
      <c r="Y664" s="392"/>
      <c r="Z664" s="392"/>
      <c r="AA664" s="392"/>
      <c r="AB664" s="392"/>
      <c r="AC664" s="392"/>
      <c r="AD664" s="392"/>
      <c r="AE664" s="392"/>
      <c r="AF664" s="392"/>
    </row>
    <row r="665" ht="15.75" customHeight="1">
      <c r="A665" s="216"/>
      <c r="B665" s="156"/>
      <c r="C665" s="156"/>
      <c r="D665" s="156"/>
      <c r="E665" s="392"/>
      <c r="F665" s="392"/>
      <c r="G665" s="392"/>
      <c r="H665" s="392"/>
      <c r="I665" s="392"/>
      <c r="J665" s="145"/>
      <c r="K665" s="392"/>
      <c r="L665" s="392"/>
      <c r="M665" s="392"/>
      <c r="N665" s="392"/>
      <c r="O665" s="392"/>
      <c r="P665" s="392"/>
      <c r="Q665" s="392"/>
      <c r="R665" s="392"/>
      <c r="S665" s="392"/>
      <c r="T665" s="392"/>
      <c r="U665" s="392"/>
      <c r="V665" s="392"/>
      <c r="W665" s="392"/>
      <c r="X665" s="392"/>
      <c r="Y665" s="392"/>
      <c r="Z665" s="392"/>
      <c r="AA665" s="392"/>
      <c r="AB665" s="392"/>
      <c r="AC665" s="392"/>
      <c r="AD665" s="392"/>
      <c r="AE665" s="392"/>
      <c r="AF665" s="392"/>
    </row>
    <row r="666" ht="15.75" customHeight="1">
      <c r="A666" s="216"/>
      <c r="B666" s="156"/>
      <c r="C666" s="156"/>
      <c r="D666" s="156"/>
      <c r="E666" s="392"/>
      <c r="F666" s="392"/>
      <c r="G666" s="392"/>
      <c r="H666" s="392"/>
      <c r="I666" s="392"/>
      <c r="J666" s="145"/>
      <c r="K666" s="392"/>
      <c r="L666" s="392"/>
      <c r="M666" s="392"/>
      <c r="N666" s="392"/>
      <c r="O666" s="392"/>
      <c r="P666" s="392"/>
      <c r="Q666" s="392"/>
      <c r="R666" s="392"/>
      <c r="S666" s="392"/>
      <c r="T666" s="392"/>
      <c r="U666" s="392"/>
      <c r="V666" s="392"/>
      <c r="W666" s="392"/>
      <c r="X666" s="392"/>
      <c r="Y666" s="392"/>
      <c r="Z666" s="392"/>
      <c r="AA666" s="392"/>
      <c r="AB666" s="392"/>
      <c r="AC666" s="392"/>
      <c r="AD666" s="392"/>
      <c r="AE666" s="392"/>
      <c r="AF666" s="392"/>
    </row>
    <row r="667" ht="15.75" customHeight="1">
      <c r="A667" s="216"/>
      <c r="B667" s="156"/>
      <c r="C667" s="156"/>
      <c r="D667" s="156"/>
      <c r="E667" s="392"/>
      <c r="F667" s="392"/>
      <c r="G667" s="392"/>
      <c r="H667" s="392"/>
      <c r="I667" s="392"/>
      <c r="J667" s="145"/>
      <c r="K667" s="392"/>
      <c r="L667" s="392"/>
      <c r="M667" s="392"/>
      <c r="N667" s="392"/>
      <c r="O667" s="392"/>
      <c r="P667" s="392"/>
      <c r="Q667" s="392"/>
      <c r="R667" s="392"/>
      <c r="S667" s="392"/>
      <c r="T667" s="392"/>
      <c r="U667" s="392"/>
      <c r="V667" s="392"/>
      <c r="W667" s="392"/>
      <c r="X667" s="392"/>
      <c r="Y667" s="392"/>
      <c r="Z667" s="392"/>
      <c r="AA667" s="392"/>
      <c r="AB667" s="392"/>
      <c r="AC667" s="392"/>
      <c r="AD667" s="392"/>
      <c r="AE667" s="392"/>
      <c r="AF667" s="392"/>
    </row>
    <row r="668" ht="15.75" customHeight="1">
      <c r="A668" s="216"/>
      <c r="B668" s="156"/>
      <c r="C668" s="156"/>
      <c r="D668" s="156"/>
      <c r="E668" s="392"/>
      <c r="F668" s="392"/>
      <c r="G668" s="392"/>
      <c r="H668" s="392"/>
      <c r="I668" s="392"/>
      <c r="J668" s="145"/>
      <c r="K668" s="392"/>
      <c r="L668" s="392"/>
      <c r="M668" s="392"/>
      <c r="N668" s="392"/>
      <c r="O668" s="392"/>
      <c r="P668" s="392"/>
      <c r="Q668" s="392"/>
      <c r="R668" s="392"/>
      <c r="S668" s="392"/>
      <c r="T668" s="392"/>
      <c r="U668" s="392"/>
      <c r="V668" s="392"/>
      <c r="W668" s="392"/>
      <c r="X668" s="392"/>
      <c r="Y668" s="392"/>
      <c r="Z668" s="392"/>
      <c r="AA668" s="392"/>
      <c r="AB668" s="392"/>
      <c r="AC668" s="392"/>
      <c r="AD668" s="392"/>
      <c r="AE668" s="392"/>
      <c r="AF668" s="392"/>
    </row>
    <row r="669" ht="15.75" customHeight="1">
      <c r="A669" s="216"/>
      <c r="B669" s="156"/>
      <c r="C669" s="156"/>
      <c r="D669" s="156"/>
      <c r="E669" s="392"/>
      <c r="F669" s="392"/>
      <c r="G669" s="392"/>
      <c r="H669" s="392"/>
      <c r="I669" s="392"/>
      <c r="J669" s="145"/>
      <c r="K669" s="392"/>
      <c r="L669" s="392"/>
      <c r="M669" s="392"/>
      <c r="N669" s="392"/>
      <c r="O669" s="392"/>
      <c r="P669" s="392"/>
      <c r="Q669" s="392"/>
      <c r="R669" s="392"/>
      <c r="S669" s="392"/>
      <c r="T669" s="392"/>
      <c r="U669" s="392"/>
      <c r="V669" s="392"/>
      <c r="W669" s="392"/>
      <c r="X669" s="392"/>
      <c r="Y669" s="392"/>
      <c r="Z669" s="392"/>
      <c r="AA669" s="392"/>
      <c r="AB669" s="392"/>
      <c r="AC669" s="392"/>
      <c r="AD669" s="392"/>
      <c r="AE669" s="392"/>
      <c r="AF669" s="392"/>
    </row>
    <row r="670" ht="15.75" customHeight="1">
      <c r="A670" s="216"/>
      <c r="B670" s="156"/>
      <c r="C670" s="156"/>
      <c r="D670" s="156"/>
      <c r="E670" s="392"/>
      <c r="F670" s="392"/>
      <c r="G670" s="392"/>
      <c r="H670" s="392"/>
      <c r="I670" s="392"/>
      <c r="J670" s="145"/>
      <c r="K670" s="392"/>
      <c r="L670" s="392"/>
      <c r="M670" s="392"/>
      <c r="N670" s="392"/>
      <c r="O670" s="392"/>
      <c r="P670" s="392"/>
      <c r="Q670" s="392"/>
      <c r="R670" s="392"/>
      <c r="S670" s="392"/>
      <c r="T670" s="392"/>
      <c r="U670" s="392"/>
      <c r="V670" s="392"/>
      <c r="W670" s="392"/>
      <c r="X670" s="392"/>
      <c r="Y670" s="392"/>
      <c r="Z670" s="392"/>
      <c r="AA670" s="392"/>
      <c r="AB670" s="392"/>
      <c r="AC670" s="392"/>
      <c r="AD670" s="392"/>
      <c r="AE670" s="392"/>
      <c r="AF670" s="392"/>
    </row>
    <row r="671" ht="15.75" customHeight="1">
      <c r="A671" s="216"/>
      <c r="B671" s="156"/>
      <c r="C671" s="156"/>
      <c r="D671" s="156"/>
      <c r="E671" s="392"/>
      <c r="F671" s="392"/>
      <c r="G671" s="392"/>
      <c r="H671" s="392"/>
      <c r="I671" s="392"/>
      <c r="J671" s="145"/>
      <c r="K671" s="392"/>
      <c r="L671" s="392"/>
      <c r="M671" s="392"/>
      <c r="N671" s="392"/>
      <c r="O671" s="392"/>
      <c r="P671" s="392"/>
      <c r="Q671" s="392"/>
      <c r="R671" s="392"/>
      <c r="S671" s="392"/>
      <c r="T671" s="392"/>
      <c r="U671" s="392"/>
      <c r="V671" s="392"/>
      <c r="W671" s="392"/>
      <c r="X671" s="392"/>
      <c r="Y671" s="392"/>
      <c r="Z671" s="392"/>
      <c r="AA671" s="392"/>
      <c r="AB671" s="392"/>
      <c r="AC671" s="392"/>
      <c r="AD671" s="392"/>
      <c r="AE671" s="392"/>
      <c r="AF671" s="392"/>
    </row>
    <row r="672" ht="15.75" customHeight="1">
      <c r="A672" s="216"/>
      <c r="B672" s="156"/>
      <c r="C672" s="156"/>
      <c r="D672" s="156"/>
      <c r="E672" s="392"/>
      <c r="F672" s="392"/>
      <c r="G672" s="392"/>
      <c r="H672" s="392"/>
      <c r="I672" s="392"/>
      <c r="J672" s="145"/>
      <c r="K672" s="392"/>
      <c r="L672" s="392"/>
      <c r="M672" s="392"/>
      <c r="N672" s="392"/>
      <c r="O672" s="392"/>
      <c r="P672" s="392"/>
      <c r="Q672" s="392"/>
      <c r="R672" s="392"/>
      <c r="S672" s="392"/>
      <c r="T672" s="392"/>
      <c r="U672" s="392"/>
      <c r="V672" s="392"/>
      <c r="W672" s="392"/>
      <c r="X672" s="392"/>
      <c r="Y672" s="392"/>
      <c r="Z672" s="392"/>
      <c r="AA672" s="392"/>
      <c r="AB672" s="392"/>
      <c r="AC672" s="392"/>
      <c r="AD672" s="392"/>
      <c r="AE672" s="392"/>
      <c r="AF672" s="392"/>
    </row>
    <row r="673" ht="15.75" customHeight="1">
      <c r="A673" s="216"/>
      <c r="B673" s="156"/>
      <c r="C673" s="156"/>
      <c r="D673" s="156"/>
      <c r="E673" s="392"/>
      <c r="F673" s="392"/>
      <c r="G673" s="392"/>
      <c r="H673" s="392"/>
      <c r="I673" s="392"/>
      <c r="J673" s="145"/>
      <c r="K673" s="392"/>
      <c r="L673" s="392"/>
      <c r="M673" s="392"/>
      <c r="N673" s="392"/>
      <c r="O673" s="392"/>
      <c r="P673" s="392"/>
      <c r="Q673" s="392"/>
      <c r="R673" s="392"/>
      <c r="S673" s="392"/>
      <c r="T673" s="392"/>
      <c r="U673" s="392"/>
      <c r="V673" s="392"/>
      <c r="W673" s="392"/>
      <c r="X673" s="392"/>
      <c r="Y673" s="392"/>
      <c r="Z673" s="392"/>
      <c r="AA673" s="392"/>
      <c r="AB673" s="392"/>
      <c r="AC673" s="392"/>
      <c r="AD673" s="392"/>
      <c r="AE673" s="392"/>
      <c r="AF673" s="392"/>
    </row>
    <row r="674" ht="15.75" customHeight="1">
      <c r="A674" s="216"/>
      <c r="B674" s="156"/>
      <c r="C674" s="156"/>
      <c r="D674" s="156"/>
      <c r="E674" s="392"/>
      <c r="F674" s="392"/>
      <c r="G674" s="392"/>
      <c r="H674" s="392"/>
      <c r="I674" s="392"/>
      <c r="J674" s="145"/>
      <c r="K674" s="392"/>
      <c r="L674" s="392"/>
      <c r="M674" s="392"/>
      <c r="N674" s="392"/>
      <c r="O674" s="392"/>
      <c r="P674" s="392"/>
      <c r="Q674" s="392"/>
      <c r="R674" s="392"/>
      <c r="S674" s="392"/>
      <c r="T674" s="392"/>
      <c r="U674" s="392"/>
      <c r="V674" s="392"/>
      <c r="W674" s="392"/>
      <c r="X674" s="392"/>
      <c r="Y674" s="392"/>
      <c r="Z674" s="392"/>
      <c r="AA674" s="392"/>
      <c r="AB674" s="392"/>
      <c r="AC674" s="392"/>
      <c r="AD674" s="392"/>
      <c r="AE674" s="392"/>
      <c r="AF674" s="392"/>
    </row>
    <row r="675" ht="15.75" customHeight="1">
      <c r="A675" s="216"/>
      <c r="B675" s="156"/>
      <c r="C675" s="156"/>
      <c r="D675" s="156"/>
      <c r="E675" s="392"/>
      <c r="F675" s="392"/>
      <c r="G675" s="392"/>
      <c r="H675" s="392"/>
      <c r="I675" s="392"/>
      <c r="J675" s="145"/>
      <c r="K675" s="392"/>
      <c r="L675" s="392"/>
      <c r="M675" s="392"/>
      <c r="N675" s="392"/>
      <c r="O675" s="392"/>
      <c r="P675" s="392"/>
      <c r="Q675" s="392"/>
      <c r="R675" s="392"/>
      <c r="S675" s="392"/>
      <c r="T675" s="392"/>
      <c r="U675" s="392"/>
      <c r="V675" s="392"/>
      <c r="W675" s="392"/>
      <c r="X675" s="392"/>
      <c r="Y675" s="392"/>
      <c r="Z675" s="392"/>
      <c r="AA675" s="392"/>
      <c r="AB675" s="392"/>
      <c r="AC675" s="392"/>
      <c r="AD675" s="392"/>
      <c r="AE675" s="392"/>
      <c r="AF675" s="392"/>
    </row>
    <row r="676" ht="15.75" customHeight="1">
      <c r="A676" s="216"/>
      <c r="B676" s="156"/>
      <c r="C676" s="156"/>
      <c r="D676" s="156"/>
      <c r="E676" s="392"/>
      <c r="F676" s="392"/>
      <c r="G676" s="392"/>
      <c r="H676" s="392"/>
      <c r="I676" s="392"/>
      <c r="J676" s="145"/>
      <c r="K676" s="392"/>
      <c r="L676" s="392"/>
      <c r="M676" s="392"/>
      <c r="N676" s="392"/>
      <c r="O676" s="392"/>
      <c r="P676" s="392"/>
      <c r="Q676" s="392"/>
      <c r="R676" s="392"/>
      <c r="S676" s="392"/>
      <c r="T676" s="392"/>
      <c r="U676" s="392"/>
      <c r="V676" s="392"/>
      <c r="W676" s="392"/>
      <c r="X676" s="392"/>
      <c r="Y676" s="392"/>
      <c r="Z676" s="392"/>
      <c r="AA676" s="392"/>
      <c r="AB676" s="392"/>
      <c r="AC676" s="392"/>
      <c r="AD676" s="392"/>
      <c r="AE676" s="392"/>
      <c r="AF676" s="392"/>
    </row>
    <row r="677" ht="15.75" customHeight="1">
      <c r="A677" s="216"/>
      <c r="B677" s="156"/>
      <c r="C677" s="156"/>
      <c r="D677" s="156"/>
      <c r="E677" s="392"/>
      <c r="F677" s="392"/>
      <c r="G677" s="392"/>
      <c r="H677" s="392"/>
      <c r="I677" s="392"/>
      <c r="J677" s="145"/>
      <c r="K677" s="392"/>
      <c r="L677" s="392"/>
      <c r="M677" s="392"/>
      <c r="N677" s="392"/>
      <c r="O677" s="392"/>
      <c r="P677" s="392"/>
      <c r="Q677" s="392"/>
      <c r="R677" s="392"/>
      <c r="S677" s="392"/>
      <c r="T677" s="392"/>
      <c r="U677" s="392"/>
      <c r="V677" s="392"/>
      <c r="W677" s="392"/>
      <c r="X677" s="392"/>
      <c r="Y677" s="392"/>
      <c r="Z677" s="392"/>
      <c r="AA677" s="392"/>
      <c r="AB677" s="392"/>
      <c r="AC677" s="392"/>
      <c r="AD677" s="392"/>
      <c r="AE677" s="392"/>
      <c r="AF677" s="392"/>
    </row>
    <row r="678" ht="15.75" customHeight="1">
      <c r="A678" s="216"/>
      <c r="B678" s="156"/>
      <c r="C678" s="156"/>
      <c r="D678" s="156"/>
      <c r="E678" s="392"/>
      <c r="F678" s="392"/>
      <c r="G678" s="392"/>
      <c r="H678" s="392"/>
      <c r="I678" s="392"/>
      <c r="J678" s="145"/>
      <c r="K678" s="392"/>
      <c r="L678" s="392"/>
      <c r="M678" s="392"/>
      <c r="N678" s="392"/>
      <c r="O678" s="392"/>
      <c r="P678" s="392"/>
      <c r="Q678" s="392"/>
      <c r="R678" s="392"/>
      <c r="S678" s="392"/>
      <c r="T678" s="392"/>
      <c r="U678" s="392"/>
      <c r="V678" s="392"/>
      <c r="W678" s="392"/>
      <c r="X678" s="392"/>
      <c r="Y678" s="392"/>
      <c r="Z678" s="392"/>
      <c r="AA678" s="392"/>
      <c r="AB678" s="392"/>
      <c r="AC678" s="392"/>
      <c r="AD678" s="392"/>
      <c r="AE678" s="392"/>
      <c r="AF678" s="392"/>
    </row>
    <row r="679" ht="15.75" customHeight="1">
      <c r="A679" s="216"/>
      <c r="B679" s="156"/>
      <c r="C679" s="156"/>
      <c r="D679" s="156"/>
      <c r="E679" s="392"/>
      <c r="F679" s="392"/>
      <c r="G679" s="392"/>
      <c r="H679" s="392"/>
      <c r="I679" s="392"/>
      <c r="J679" s="145"/>
      <c r="K679" s="392"/>
      <c r="L679" s="392"/>
      <c r="M679" s="392"/>
      <c r="N679" s="392"/>
      <c r="O679" s="392"/>
      <c r="P679" s="392"/>
      <c r="Q679" s="392"/>
      <c r="R679" s="392"/>
      <c r="S679" s="392"/>
      <c r="T679" s="392"/>
      <c r="U679" s="392"/>
      <c r="V679" s="392"/>
      <c r="W679" s="392"/>
      <c r="X679" s="392"/>
      <c r="Y679" s="392"/>
      <c r="Z679" s="392"/>
      <c r="AA679" s="392"/>
      <c r="AB679" s="392"/>
      <c r="AC679" s="392"/>
      <c r="AD679" s="392"/>
      <c r="AE679" s="392"/>
      <c r="AF679" s="392"/>
    </row>
    <row r="680" ht="15.75" customHeight="1">
      <c r="A680" s="216"/>
      <c r="B680" s="156"/>
      <c r="C680" s="156"/>
      <c r="D680" s="156"/>
      <c r="E680" s="392"/>
      <c r="F680" s="392"/>
      <c r="G680" s="392"/>
      <c r="H680" s="392"/>
      <c r="I680" s="392"/>
      <c r="J680" s="145"/>
      <c r="K680" s="392"/>
      <c r="L680" s="392"/>
      <c r="M680" s="392"/>
      <c r="N680" s="392"/>
      <c r="O680" s="392"/>
      <c r="P680" s="392"/>
      <c r="Q680" s="392"/>
      <c r="R680" s="392"/>
      <c r="S680" s="392"/>
      <c r="T680" s="392"/>
      <c r="U680" s="392"/>
      <c r="V680" s="392"/>
      <c r="W680" s="392"/>
      <c r="X680" s="392"/>
      <c r="Y680" s="392"/>
      <c r="Z680" s="392"/>
      <c r="AA680" s="392"/>
      <c r="AB680" s="392"/>
      <c r="AC680" s="392"/>
      <c r="AD680" s="392"/>
      <c r="AE680" s="392"/>
      <c r="AF680" s="392"/>
    </row>
    <row r="681" ht="15.75" customHeight="1">
      <c r="A681" s="216"/>
      <c r="B681" s="156"/>
      <c r="C681" s="156"/>
      <c r="D681" s="156"/>
      <c r="E681" s="392"/>
      <c r="F681" s="392"/>
      <c r="G681" s="392"/>
      <c r="H681" s="392"/>
      <c r="I681" s="392"/>
      <c r="J681" s="145"/>
      <c r="K681" s="392"/>
      <c r="L681" s="392"/>
      <c r="M681" s="392"/>
      <c r="N681" s="392"/>
      <c r="O681" s="392"/>
      <c r="P681" s="392"/>
      <c r="Q681" s="392"/>
      <c r="R681" s="392"/>
      <c r="S681" s="392"/>
      <c r="T681" s="392"/>
      <c r="U681" s="392"/>
      <c r="V681" s="392"/>
      <c r="W681" s="392"/>
      <c r="X681" s="392"/>
      <c r="Y681" s="392"/>
      <c r="Z681" s="392"/>
      <c r="AA681" s="392"/>
      <c r="AB681" s="392"/>
      <c r="AC681" s="392"/>
      <c r="AD681" s="392"/>
      <c r="AE681" s="392"/>
      <c r="AF681" s="392"/>
    </row>
    <row r="682" ht="15.75" customHeight="1">
      <c r="A682" s="216"/>
      <c r="B682" s="156"/>
      <c r="C682" s="156"/>
      <c r="D682" s="156"/>
      <c r="E682" s="392"/>
      <c r="F682" s="392"/>
      <c r="G682" s="392"/>
      <c r="H682" s="392"/>
      <c r="I682" s="392"/>
      <c r="J682" s="145"/>
      <c r="K682" s="392"/>
      <c r="L682" s="392"/>
      <c r="M682" s="392"/>
      <c r="N682" s="392"/>
      <c r="O682" s="392"/>
      <c r="P682" s="392"/>
      <c r="Q682" s="392"/>
      <c r="R682" s="392"/>
      <c r="S682" s="392"/>
      <c r="T682" s="392"/>
      <c r="U682" s="392"/>
      <c r="V682" s="392"/>
      <c r="W682" s="392"/>
      <c r="X682" s="392"/>
      <c r="Y682" s="392"/>
      <c r="Z682" s="392"/>
      <c r="AA682" s="392"/>
      <c r="AB682" s="392"/>
      <c r="AC682" s="392"/>
      <c r="AD682" s="392"/>
      <c r="AE682" s="392"/>
      <c r="AF682" s="392"/>
    </row>
    <row r="683" ht="15.75" customHeight="1">
      <c r="A683" s="216"/>
      <c r="B683" s="156"/>
      <c r="C683" s="156"/>
      <c r="D683" s="156"/>
      <c r="E683" s="392"/>
      <c r="F683" s="392"/>
      <c r="G683" s="392"/>
      <c r="H683" s="392"/>
      <c r="I683" s="392"/>
      <c r="J683" s="145"/>
      <c r="K683" s="392"/>
      <c r="L683" s="392"/>
      <c r="M683" s="392"/>
      <c r="N683" s="392"/>
      <c r="O683" s="392"/>
      <c r="P683" s="392"/>
      <c r="Q683" s="392"/>
      <c r="R683" s="392"/>
      <c r="S683" s="392"/>
      <c r="T683" s="392"/>
      <c r="U683" s="392"/>
      <c r="V683" s="392"/>
      <c r="W683" s="392"/>
      <c r="X683" s="392"/>
      <c r="Y683" s="392"/>
      <c r="Z683" s="392"/>
      <c r="AA683" s="392"/>
      <c r="AB683" s="392"/>
      <c r="AC683" s="392"/>
      <c r="AD683" s="392"/>
      <c r="AE683" s="392"/>
      <c r="AF683" s="392"/>
    </row>
    <row r="684" ht="15.75" customHeight="1">
      <c r="A684" s="216"/>
      <c r="B684" s="156"/>
      <c r="C684" s="156"/>
      <c r="D684" s="156"/>
      <c r="E684" s="392"/>
      <c r="F684" s="392"/>
      <c r="G684" s="392"/>
      <c r="H684" s="392"/>
      <c r="I684" s="392"/>
      <c r="J684" s="145"/>
      <c r="K684" s="392"/>
      <c r="L684" s="392"/>
      <c r="M684" s="392"/>
      <c r="N684" s="392"/>
      <c r="O684" s="392"/>
      <c r="P684" s="392"/>
      <c r="Q684" s="392"/>
      <c r="R684" s="392"/>
      <c r="S684" s="392"/>
      <c r="T684" s="392"/>
      <c r="U684" s="392"/>
      <c r="V684" s="392"/>
      <c r="W684" s="392"/>
      <c r="X684" s="392"/>
      <c r="Y684" s="392"/>
      <c r="Z684" s="392"/>
      <c r="AA684" s="392"/>
      <c r="AB684" s="392"/>
      <c r="AC684" s="392"/>
      <c r="AD684" s="392"/>
      <c r="AE684" s="392"/>
      <c r="AF684" s="392"/>
    </row>
    <row r="685" ht="15.75" customHeight="1">
      <c r="A685" s="216"/>
      <c r="B685" s="156"/>
      <c r="C685" s="156"/>
      <c r="D685" s="156"/>
      <c r="E685" s="392"/>
      <c r="F685" s="392"/>
      <c r="G685" s="392"/>
      <c r="H685" s="392"/>
      <c r="I685" s="392"/>
      <c r="J685" s="145"/>
      <c r="K685" s="392"/>
      <c r="L685" s="392"/>
      <c r="M685" s="392"/>
      <c r="N685" s="392"/>
      <c r="O685" s="392"/>
      <c r="P685" s="392"/>
      <c r="Q685" s="392"/>
      <c r="R685" s="392"/>
      <c r="S685" s="392"/>
      <c r="T685" s="392"/>
      <c r="U685" s="392"/>
      <c r="V685" s="392"/>
      <c r="W685" s="392"/>
      <c r="X685" s="392"/>
      <c r="Y685" s="392"/>
      <c r="Z685" s="392"/>
      <c r="AA685" s="392"/>
      <c r="AB685" s="392"/>
      <c r="AC685" s="392"/>
      <c r="AD685" s="392"/>
      <c r="AE685" s="392"/>
      <c r="AF685" s="392"/>
    </row>
    <row r="686" ht="15.75" customHeight="1">
      <c r="A686" s="216"/>
      <c r="B686" s="156"/>
      <c r="C686" s="156"/>
      <c r="D686" s="156"/>
      <c r="E686" s="392"/>
      <c r="F686" s="392"/>
      <c r="G686" s="392"/>
      <c r="H686" s="392"/>
      <c r="I686" s="392"/>
      <c r="J686" s="145"/>
      <c r="K686" s="392"/>
      <c r="L686" s="392"/>
      <c r="M686" s="392"/>
      <c r="N686" s="392"/>
      <c r="O686" s="392"/>
      <c r="P686" s="392"/>
      <c r="Q686" s="392"/>
      <c r="R686" s="392"/>
      <c r="S686" s="392"/>
      <c r="T686" s="392"/>
      <c r="U686" s="392"/>
      <c r="V686" s="392"/>
      <c r="W686" s="392"/>
      <c r="X686" s="392"/>
      <c r="Y686" s="392"/>
      <c r="Z686" s="392"/>
      <c r="AA686" s="392"/>
      <c r="AB686" s="392"/>
      <c r="AC686" s="392"/>
      <c r="AD686" s="392"/>
      <c r="AE686" s="392"/>
      <c r="AF686" s="392"/>
    </row>
    <row r="687" ht="15.75" customHeight="1">
      <c r="A687" s="216"/>
      <c r="B687" s="156"/>
      <c r="C687" s="156"/>
      <c r="D687" s="156"/>
      <c r="E687" s="392"/>
      <c r="F687" s="392"/>
      <c r="G687" s="392"/>
      <c r="H687" s="392"/>
      <c r="I687" s="392"/>
      <c r="J687" s="145"/>
      <c r="K687" s="392"/>
      <c r="L687" s="392"/>
      <c r="M687" s="392"/>
      <c r="N687" s="392"/>
      <c r="O687" s="392"/>
      <c r="P687" s="392"/>
      <c r="Q687" s="392"/>
      <c r="R687" s="392"/>
      <c r="S687" s="392"/>
      <c r="T687" s="392"/>
      <c r="U687" s="392"/>
      <c r="V687" s="392"/>
      <c r="W687" s="392"/>
      <c r="X687" s="392"/>
      <c r="Y687" s="392"/>
      <c r="Z687" s="392"/>
      <c r="AA687" s="392"/>
      <c r="AB687" s="392"/>
      <c r="AC687" s="392"/>
      <c r="AD687" s="392"/>
      <c r="AE687" s="392"/>
      <c r="AF687" s="392"/>
    </row>
    <row r="688" ht="15.75" customHeight="1">
      <c r="A688" s="216"/>
      <c r="B688" s="156"/>
      <c r="C688" s="156"/>
      <c r="D688" s="156"/>
      <c r="E688" s="392"/>
      <c r="F688" s="392"/>
      <c r="G688" s="392"/>
      <c r="H688" s="392"/>
      <c r="I688" s="392"/>
      <c r="J688" s="145"/>
      <c r="K688" s="392"/>
      <c r="L688" s="392"/>
      <c r="M688" s="392"/>
      <c r="N688" s="392"/>
      <c r="O688" s="392"/>
      <c r="P688" s="392"/>
      <c r="Q688" s="392"/>
      <c r="R688" s="392"/>
      <c r="S688" s="392"/>
      <c r="T688" s="392"/>
      <c r="U688" s="392"/>
      <c r="V688" s="392"/>
      <c r="W688" s="392"/>
      <c r="X688" s="392"/>
      <c r="Y688" s="392"/>
      <c r="Z688" s="392"/>
      <c r="AA688" s="392"/>
      <c r="AB688" s="392"/>
      <c r="AC688" s="392"/>
      <c r="AD688" s="392"/>
      <c r="AE688" s="392"/>
      <c r="AF688" s="392"/>
    </row>
    <row r="689" ht="15.75" customHeight="1">
      <c r="A689" s="216"/>
      <c r="B689" s="156"/>
      <c r="C689" s="156"/>
      <c r="D689" s="156"/>
      <c r="E689" s="392"/>
      <c r="F689" s="392"/>
      <c r="G689" s="392"/>
      <c r="H689" s="392"/>
      <c r="I689" s="392"/>
      <c r="J689" s="145"/>
      <c r="K689" s="392"/>
      <c r="L689" s="392"/>
      <c r="M689" s="392"/>
      <c r="N689" s="392"/>
      <c r="O689" s="392"/>
      <c r="P689" s="392"/>
      <c r="Q689" s="392"/>
      <c r="R689" s="392"/>
      <c r="S689" s="392"/>
      <c r="T689" s="392"/>
      <c r="U689" s="392"/>
      <c r="V689" s="392"/>
      <c r="W689" s="392"/>
      <c r="X689" s="392"/>
      <c r="Y689" s="392"/>
      <c r="Z689" s="392"/>
      <c r="AA689" s="392"/>
      <c r="AB689" s="392"/>
      <c r="AC689" s="392"/>
      <c r="AD689" s="392"/>
      <c r="AE689" s="392"/>
      <c r="AF689" s="392"/>
    </row>
    <row r="690" ht="15.75" customHeight="1">
      <c r="A690" s="216"/>
      <c r="B690" s="156"/>
      <c r="C690" s="156"/>
      <c r="D690" s="156"/>
      <c r="E690" s="392"/>
      <c r="F690" s="392"/>
      <c r="G690" s="392"/>
      <c r="H690" s="392"/>
      <c r="I690" s="392"/>
      <c r="J690" s="145"/>
      <c r="K690" s="392"/>
      <c r="L690" s="392"/>
      <c r="M690" s="392"/>
      <c r="N690" s="392"/>
      <c r="O690" s="392"/>
      <c r="P690" s="392"/>
      <c r="Q690" s="392"/>
      <c r="R690" s="392"/>
      <c r="S690" s="392"/>
      <c r="T690" s="392"/>
      <c r="U690" s="392"/>
      <c r="V690" s="392"/>
      <c r="W690" s="392"/>
      <c r="X690" s="392"/>
      <c r="Y690" s="392"/>
      <c r="Z690" s="392"/>
      <c r="AA690" s="392"/>
      <c r="AB690" s="392"/>
      <c r="AC690" s="392"/>
      <c r="AD690" s="392"/>
      <c r="AE690" s="392"/>
      <c r="AF690" s="392"/>
    </row>
    <row r="691" ht="15.75" customHeight="1">
      <c r="A691" s="216"/>
      <c r="B691" s="156"/>
      <c r="C691" s="156"/>
      <c r="D691" s="156"/>
      <c r="E691" s="392"/>
      <c r="F691" s="392"/>
      <c r="G691" s="392"/>
      <c r="H691" s="392"/>
      <c r="I691" s="392"/>
      <c r="J691" s="145"/>
      <c r="K691" s="392"/>
      <c r="L691" s="392"/>
      <c r="M691" s="392"/>
      <c r="N691" s="392"/>
      <c r="O691" s="392"/>
      <c r="P691" s="392"/>
      <c r="Q691" s="392"/>
      <c r="R691" s="392"/>
      <c r="S691" s="392"/>
      <c r="T691" s="392"/>
      <c r="U691" s="392"/>
      <c r="V691" s="392"/>
      <c r="W691" s="392"/>
      <c r="X691" s="392"/>
      <c r="Y691" s="392"/>
      <c r="Z691" s="392"/>
      <c r="AA691" s="392"/>
      <c r="AB691" s="392"/>
      <c r="AC691" s="392"/>
      <c r="AD691" s="392"/>
      <c r="AE691" s="392"/>
      <c r="AF691" s="392"/>
    </row>
    <row r="692" ht="15.75" customHeight="1">
      <c r="A692" s="216"/>
      <c r="B692" s="156"/>
      <c r="C692" s="156"/>
      <c r="D692" s="156"/>
      <c r="E692" s="392"/>
      <c r="F692" s="392"/>
      <c r="G692" s="392"/>
      <c r="H692" s="392"/>
      <c r="I692" s="392"/>
      <c r="J692" s="145"/>
      <c r="K692" s="392"/>
      <c r="L692" s="392"/>
      <c r="M692" s="392"/>
      <c r="N692" s="392"/>
      <c r="O692" s="392"/>
      <c r="P692" s="392"/>
      <c r="Q692" s="392"/>
      <c r="R692" s="392"/>
      <c r="S692" s="392"/>
      <c r="T692" s="392"/>
      <c r="U692" s="392"/>
      <c r="V692" s="392"/>
      <c r="W692" s="392"/>
      <c r="X692" s="392"/>
      <c r="Y692" s="392"/>
      <c r="Z692" s="392"/>
      <c r="AA692" s="392"/>
      <c r="AB692" s="392"/>
      <c r="AC692" s="392"/>
      <c r="AD692" s="392"/>
      <c r="AE692" s="392"/>
      <c r="AF692" s="392"/>
    </row>
    <row r="693" ht="15.75" customHeight="1">
      <c r="A693" s="216"/>
      <c r="B693" s="156"/>
      <c r="C693" s="156"/>
      <c r="D693" s="156"/>
      <c r="E693" s="392"/>
      <c r="F693" s="392"/>
      <c r="G693" s="392"/>
      <c r="H693" s="392"/>
      <c r="I693" s="392"/>
      <c r="J693" s="145"/>
      <c r="K693" s="392"/>
      <c r="L693" s="392"/>
      <c r="M693" s="392"/>
      <c r="N693" s="392"/>
      <c r="O693" s="392"/>
      <c r="P693" s="392"/>
      <c r="Q693" s="392"/>
      <c r="R693" s="392"/>
      <c r="S693" s="392"/>
      <c r="T693" s="392"/>
      <c r="U693" s="392"/>
      <c r="V693" s="392"/>
      <c r="W693" s="392"/>
      <c r="X693" s="392"/>
      <c r="Y693" s="392"/>
      <c r="Z693" s="392"/>
      <c r="AA693" s="392"/>
      <c r="AB693" s="392"/>
      <c r="AC693" s="392"/>
      <c r="AD693" s="392"/>
      <c r="AE693" s="392"/>
      <c r="AF693" s="392"/>
    </row>
    <row r="694" ht="15.75" customHeight="1">
      <c r="A694" s="216"/>
      <c r="B694" s="156"/>
      <c r="C694" s="156"/>
      <c r="D694" s="156"/>
      <c r="E694" s="392"/>
      <c r="F694" s="392"/>
      <c r="G694" s="392"/>
      <c r="H694" s="392"/>
      <c r="I694" s="392"/>
      <c r="J694" s="145"/>
      <c r="K694" s="392"/>
      <c r="L694" s="392"/>
      <c r="M694" s="392"/>
      <c r="N694" s="392"/>
      <c r="O694" s="392"/>
      <c r="P694" s="392"/>
      <c r="Q694" s="392"/>
      <c r="R694" s="392"/>
      <c r="S694" s="392"/>
      <c r="T694" s="392"/>
      <c r="U694" s="392"/>
      <c r="V694" s="392"/>
      <c r="W694" s="392"/>
      <c r="X694" s="392"/>
      <c r="Y694" s="392"/>
      <c r="Z694" s="392"/>
      <c r="AA694" s="392"/>
      <c r="AB694" s="392"/>
      <c r="AC694" s="392"/>
      <c r="AD694" s="392"/>
      <c r="AE694" s="392"/>
      <c r="AF694" s="392"/>
    </row>
    <row r="695" ht="15.75" customHeight="1">
      <c r="A695" s="216"/>
      <c r="B695" s="156"/>
      <c r="C695" s="156"/>
      <c r="D695" s="156"/>
      <c r="E695" s="392"/>
      <c r="F695" s="392"/>
      <c r="G695" s="392"/>
      <c r="H695" s="392"/>
      <c r="I695" s="392"/>
      <c r="J695" s="145"/>
      <c r="K695" s="392"/>
      <c r="L695" s="392"/>
      <c r="M695" s="392"/>
      <c r="N695" s="392"/>
      <c r="O695" s="392"/>
      <c r="P695" s="392"/>
      <c r="Q695" s="392"/>
      <c r="R695" s="392"/>
      <c r="S695" s="392"/>
      <c r="T695" s="392"/>
      <c r="U695" s="392"/>
      <c r="V695" s="392"/>
      <c r="W695" s="392"/>
      <c r="X695" s="392"/>
      <c r="Y695" s="392"/>
      <c r="Z695" s="392"/>
      <c r="AA695" s="392"/>
      <c r="AB695" s="392"/>
      <c r="AC695" s="392"/>
      <c r="AD695" s="392"/>
      <c r="AE695" s="392"/>
      <c r="AF695" s="392"/>
    </row>
    <row r="696" ht="15.75" customHeight="1">
      <c r="A696" s="216"/>
      <c r="B696" s="156"/>
      <c r="C696" s="156"/>
      <c r="D696" s="156"/>
      <c r="E696" s="392"/>
      <c r="F696" s="392"/>
      <c r="G696" s="392"/>
      <c r="H696" s="392"/>
      <c r="I696" s="392"/>
      <c r="J696" s="145"/>
      <c r="K696" s="392"/>
      <c r="L696" s="392"/>
      <c r="M696" s="392"/>
      <c r="N696" s="392"/>
      <c r="O696" s="392"/>
      <c r="P696" s="392"/>
      <c r="Q696" s="392"/>
      <c r="R696" s="392"/>
      <c r="S696" s="392"/>
      <c r="T696" s="392"/>
      <c r="U696" s="392"/>
      <c r="V696" s="392"/>
      <c r="W696" s="392"/>
      <c r="X696" s="392"/>
      <c r="Y696" s="392"/>
      <c r="Z696" s="392"/>
      <c r="AA696" s="392"/>
      <c r="AB696" s="392"/>
      <c r="AC696" s="392"/>
      <c r="AD696" s="392"/>
      <c r="AE696" s="392"/>
      <c r="AF696" s="392"/>
    </row>
    <row r="697" ht="15.75" customHeight="1">
      <c r="A697" s="216"/>
      <c r="B697" s="156"/>
      <c r="C697" s="156"/>
      <c r="D697" s="156"/>
      <c r="E697" s="392"/>
      <c r="F697" s="392"/>
      <c r="G697" s="392"/>
      <c r="H697" s="392"/>
      <c r="I697" s="392"/>
      <c r="J697" s="145"/>
      <c r="K697" s="392"/>
      <c r="L697" s="392"/>
      <c r="M697" s="392"/>
      <c r="N697" s="392"/>
      <c r="O697" s="392"/>
      <c r="P697" s="392"/>
      <c r="Q697" s="392"/>
      <c r="R697" s="392"/>
      <c r="S697" s="392"/>
      <c r="T697" s="392"/>
      <c r="U697" s="392"/>
      <c r="V697" s="392"/>
      <c r="W697" s="392"/>
      <c r="X697" s="392"/>
      <c r="Y697" s="392"/>
      <c r="Z697" s="392"/>
      <c r="AA697" s="392"/>
      <c r="AB697" s="392"/>
      <c r="AC697" s="392"/>
      <c r="AD697" s="392"/>
      <c r="AE697" s="392"/>
      <c r="AF697" s="392"/>
    </row>
    <row r="698" ht="15.75" customHeight="1">
      <c r="A698" s="216"/>
      <c r="B698" s="156"/>
      <c r="C698" s="156"/>
      <c r="D698" s="156"/>
      <c r="E698" s="392"/>
      <c r="F698" s="392"/>
      <c r="G698" s="392"/>
      <c r="H698" s="392"/>
      <c r="I698" s="392"/>
      <c r="J698" s="145"/>
      <c r="K698" s="392"/>
      <c r="L698" s="392"/>
      <c r="M698" s="392"/>
      <c r="N698" s="392"/>
      <c r="O698" s="392"/>
      <c r="P698" s="392"/>
      <c r="Q698" s="392"/>
      <c r="R698" s="392"/>
      <c r="S698" s="392"/>
      <c r="T698" s="392"/>
      <c r="U698" s="392"/>
      <c r="V698" s="392"/>
      <c r="W698" s="392"/>
      <c r="X698" s="392"/>
      <c r="Y698" s="392"/>
      <c r="Z698" s="392"/>
      <c r="AA698" s="392"/>
      <c r="AB698" s="392"/>
      <c r="AC698" s="392"/>
      <c r="AD698" s="392"/>
      <c r="AE698" s="392"/>
      <c r="AF698" s="392"/>
    </row>
    <row r="699" ht="15.75" customHeight="1">
      <c r="A699" s="216"/>
      <c r="B699" s="156"/>
      <c r="C699" s="156"/>
      <c r="D699" s="156"/>
      <c r="E699" s="392"/>
      <c r="F699" s="392"/>
      <c r="G699" s="392"/>
      <c r="H699" s="392"/>
      <c r="I699" s="392"/>
      <c r="J699" s="145"/>
      <c r="K699" s="392"/>
      <c r="L699" s="392"/>
      <c r="M699" s="392"/>
      <c r="N699" s="392"/>
      <c r="O699" s="392"/>
      <c r="P699" s="392"/>
      <c r="Q699" s="392"/>
      <c r="R699" s="392"/>
      <c r="S699" s="392"/>
      <c r="T699" s="392"/>
      <c r="U699" s="392"/>
      <c r="V699" s="392"/>
      <c r="W699" s="392"/>
      <c r="X699" s="392"/>
      <c r="Y699" s="392"/>
      <c r="Z699" s="392"/>
      <c r="AA699" s="392"/>
      <c r="AB699" s="392"/>
      <c r="AC699" s="392"/>
      <c r="AD699" s="392"/>
      <c r="AE699" s="392"/>
      <c r="AF699" s="392"/>
    </row>
    <row r="700" ht="15.75" customHeight="1">
      <c r="A700" s="216"/>
      <c r="B700" s="156"/>
      <c r="C700" s="156"/>
      <c r="D700" s="156"/>
      <c r="E700" s="392"/>
      <c r="F700" s="392"/>
      <c r="G700" s="392"/>
      <c r="H700" s="392"/>
      <c r="I700" s="392"/>
      <c r="J700" s="145"/>
      <c r="K700" s="392"/>
      <c r="L700" s="392"/>
      <c r="M700" s="392"/>
      <c r="N700" s="392"/>
      <c r="O700" s="392"/>
      <c r="P700" s="392"/>
      <c r="Q700" s="392"/>
      <c r="R700" s="392"/>
      <c r="S700" s="392"/>
      <c r="T700" s="392"/>
      <c r="U700" s="392"/>
      <c r="V700" s="392"/>
      <c r="W700" s="392"/>
      <c r="X700" s="392"/>
      <c r="Y700" s="392"/>
      <c r="Z700" s="392"/>
      <c r="AA700" s="392"/>
      <c r="AB700" s="392"/>
      <c r="AC700" s="392"/>
      <c r="AD700" s="392"/>
      <c r="AE700" s="392"/>
      <c r="AF700" s="392"/>
    </row>
    <row r="701" ht="15.75" customHeight="1">
      <c r="A701" s="216"/>
      <c r="B701" s="156"/>
      <c r="C701" s="156"/>
      <c r="D701" s="156"/>
      <c r="E701" s="392"/>
      <c r="F701" s="392"/>
      <c r="G701" s="392"/>
      <c r="H701" s="392"/>
      <c r="I701" s="392"/>
      <c r="J701" s="145"/>
      <c r="K701" s="392"/>
      <c r="L701" s="392"/>
      <c r="M701" s="392"/>
      <c r="N701" s="392"/>
      <c r="O701" s="392"/>
      <c r="P701" s="392"/>
      <c r="Q701" s="392"/>
      <c r="R701" s="392"/>
      <c r="S701" s="392"/>
      <c r="T701" s="392"/>
      <c r="U701" s="392"/>
      <c r="V701" s="392"/>
      <c r="W701" s="392"/>
      <c r="X701" s="392"/>
      <c r="Y701" s="392"/>
      <c r="Z701" s="392"/>
      <c r="AA701" s="392"/>
      <c r="AB701" s="392"/>
      <c r="AC701" s="392"/>
      <c r="AD701" s="392"/>
      <c r="AE701" s="392"/>
      <c r="AF701" s="392"/>
    </row>
    <row r="702" ht="15.75" customHeight="1">
      <c r="A702" s="216"/>
      <c r="B702" s="156"/>
      <c r="C702" s="156"/>
      <c r="D702" s="156"/>
      <c r="E702" s="392"/>
      <c r="F702" s="392"/>
      <c r="G702" s="392"/>
      <c r="H702" s="392"/>
      <c r="I702" s="392"/>
      <c r="J702" s="145"/>
      <c r="K702" s="392"/>
      <c r="L702" s="392"/>
      <c r="M702" s="392"/>
      <c r="N702" s="392"/>
      <c r="O702" s="392"/>
      <c r="P702" s="392"/>
      <c r="Q702" s="392"/>
      <c r="R702" s="392"/>
      <c r="S702" s="392"/>
      <c r="T702" s="392"/>
      <c r="U702" s="392"/>
      <c r="V702" s="392"/>
      <c r="W702" s="392"/>
      <c r="X702" s="392"/>
      <c r="Y702" s="392"/>
      <c r="Z702" s="392"/>
      <c r="AA702" s="392"/>
      <c r="AB702" s="392"/>
      <c r="AC702" s="392"/>
      <c r="AD702" s="392"/>
      <c r="AE702" s="392"/>
      <c r="AF702" s="392"/>
    </row>
    <row r="703" ht="15.75" customHeight="1">
      <c r="A703" s="216"/>
      <c r="B703" s="156"/>
      <c r="C703" s="156"/>
      <c r="D703" s="156"/>
      <c r="E703" s="392"/>
      <c r="F703" s="392"/>
      <c r="G703" s="392"/>
      <c r="H703" s="392"/>
      <c r="I703" s="392"/>
      <c r="J703" s="145"/>
      <c r="K703" s="392"/>
      <c r="L703" s="392"/>
      <c r="M703" s="392"/>
      <c r="N703" s="392"/>
      <c r="O703" s="392"/>
      <c r="P703" s="392"/>
      <c r="Q703" s="392"/>
      <c r="R703" s="392"/>
      <c r="S703" s="392"/>
      <c r="T703" s="392"/>
      <c r="U703" s="392"/>
      <c r="V703" s="392"/>
      <c r="W703" s="392"/>
      <c r="X703" s="392"/>
      <c r="Y703" s="392"/>
      <c r="Z703" s="392"/>
      <c r="AA703" s="392"/>
      <c r="AB703" s="392"/>
      <c r="AC703" s="392"/>
      <c r="AD703" s="392"/>
      <c r="AE703" s="392"/>
      <c r="AF703" s="392"/>
    </row>
    <row r="704" ht="15.75" customHeight="1">
      <c r="A704" s="216"/>
      <c r="B704" s="156"/>
      <c r="C704" s="156"/>
      <c r="D704" s="156"/>
      <c r="E704" s="392"/>
      <c r="F704" s="392"/>
      <c r="G704" s="392"/>
      <c r="H704" s="392"/>
      <c r="I704" s="392"/>
      <c r="J704" s="145"/>
      <c r="K704" s="392"/>
      <c r="L704" s="392"/>
      <c r="M704" s="392"/>
      <c r="N704" s="392"/>
      <c r="O704" s="392"/>
      <c r="P704" s="392"/>
      <c r="Q704" s="392"/>
      <c r="R704" s="392"/>
      <c r="S704" s="392"/>
      <c r="T704" s="392"/>
      <c r="U704" s="392"/>
      <c r="V704" s="392"/>
      <c r="W704" s="392"/>
      <c r="X704" s="392"/>
      <c r="Y704" s="392"/>
      <c r="Z704" s="392"/>
      <c r="AA704" s="392"/>
      <c r="AB704" s="392"/>
      <c r="AC704" s="392"/>
      <c r="AD704" s="392"/>
      <c r="AE704" s="392"/>
      <c r="AF704" s="392"/>
    </row>
    <row r="705" ht="15.75" customHeight="1">
      <c r="A705" s="216"/>
      <c r="B705" s="156"/>
      <c r="C705" s="156"/>
      <c r="D705" s="156"/>
      <c r="E705" s="392"/>
      <c r="F705" s="392"/>
      <c r="G705" s="392"/>
      <c r="H705" s="392"/>
      <c r="I705" s="392"/>
      <c r="J705" s="145"/>
      <c r="K705" s="392"/>
      <c r="L705" s="392"/>
      <c r="M705" s="392"/>
      <c r="N705" s="392"/>
      <c r="O705" s="392"/>
      <c r="P705" s="392"/>
      <c r="Q705" s="392"/>
      <c r="R705" s="392"/>
      <c r="S705" s="392"/>
      <c r="T705" s="392"/>
      <c r="U705" s="392"/>
      <c r="V705" s="392"/>
      <c r="W705" s="392"/>
      <c r="X705" s="392"/>
      <c r="Y705" s="392"/>
      <c r="Z705" s="392"/>
      <c r="AA705" s="392"/>
      <c r="AB705" s="392"/>
      <c r="AC705" s="392"/>
      <c r="AD705" s="392"/>
      <c r="AE705" s="392"/>
      <c r="AF705" s="392"/>
    </row>
    <row r="706" ht="15.75" customHeight="1">
      <c r="A706" s="216"/>
      <c r="B706" s="156"/>
      <c r="C706" s="156"/>
      <c r="D706" s="156"/>
      <c r="E706" s="392"/>
      <c r="F706" s="392"/>
      <c r="G706" s="392"/>
      <c r="H706" s="392"/>
      <c r="I706" s="392"/>
      <c r="J706" s="145"/>
      <c r="K706" s="392"/>
      <c r="L706" s="392"/>
      <c r="M706" s="392"/>
      <c r="N706" s="392"/>
      <c r="O706" s="392"/>
      <c r="P706" s="392"/>
      <c r="Q706" s="392"/>
      <c r="R706" s="392"/>
      <c r="S706" s="392"/>
      <c r="T706" s="392"/>
      <c r="U706" s="392"/>
      <c r="V706" s="392"/>
      <c r="W706" s="392"/>
      <c r="X706" s="392"/>
      <c r="Y706" s="392"/>
      <c r="Z706" s="392"/>
      <c r="AA706" s="392"/>
      <c r="AB706" s="392"/>
      <c r="AC706" s="392"/>
      <c r="AD706" s="392"/>
      <c r="AE706" s="392"/>
      <c r="AF706" s="392"/>
    </row>
    <row r="707" ht="15.75" customHeight="1">
      <c r="A707" s="216"/>
      <c r="B707" s="156"/>
      <c r="C707" s="156"/>
      <c r="D707" s="156"/>
      <c r="E707" s="392"/>
      <c r="F707" s="392"/>
      <c r="G707" s="392"/>
      <c r="H707" s="392"/>
      <c r="I707" s="392"/>
      <c r="J707" s="145"/>
      <c r="K707" s="392"/>
      <c r="L707" s="392"/>
      <c r="M707" s="392"/>
      <c r="N707" s="392"/>
      <c r="O707" s="392"/>
      <c r="P707" s="392"/>
      <c r="Q707" s="392"/>
      <c r="R707" s="392"/>
      <c r="S707" s="392"/>
      <c r="T707" s="392"/>
      <c r="U707" s="392"/>
      <c r="V707" s="392"/>
      <c r="W707" s="392"/>
      <c r="X707" s="392"/>
      <c r="Y707" s="392"/>
      <c r="Z707" s="392"/>
      <c r="AA707" s="392"/>
      <c r="AB707" s="392"/>
      <c r="AC707" s="392"/>
      <c r="AD707" s="392"/>
      <c r="AE707" s="392"/>
      <c r="AF707" s="392"/>
    </row>
    <row r="708" ht="15.75" customHeight="1">
      <c r="A708" s="216"/>
      <c r="B708" s="156"/>
      <c r="C708" s="156"/>
      <c r="D708" s="156"/>
      <c r="E708" s="392"/>
      <c r="F708" s="392"/>
      <c r="G708" s="392"/>
      <c r="H708" s="392"/>
      <c r="I708" s="392"/>
      <c r="J708" s="145"/>
      <c r="K708" s="392"/>
      <c r="L708" s="392"/>
      <c r="M708" s="392"/>
      <c r="N708" s="392"/>
      <c r="O708" s="392"/>
      <c r="P708" s="392"/>
      <c r="Q708" s="392"/>
      <c r="R708" s="392"/>
      <c r="S708" s="392"/>
      <c r="T708" s="392"/>
      <c r="U708" s="392"/>
      <c r="V708" s="392"/>
      <c r="W708" s="392"/>
      <c r="X708" s="392"/>
      <c r="Y708" s="392"/>
      <c r="Z708" s="392"/>
      <c r="AA708" s="392"/>
      <c r="AB708" s="392"/>
      <c r="AC708" s="392"/>
      <c r="AD708" s="392"/>
      <c r="AE708" s="392"/>
      <c r="AF708" s="392"/>
    </row>
    <row r="709" ht="15.75" customHeight="1">
      <c r="A709" s="216"/>
      <c r="B709" s="156"/>
      <c r="C709" s="156"/>
      <c r="D709" s="156"/>
      <c r="E709" s="392"/>
      <c r="F709" s="392"/>
      <c r="G709" s="392"/>
      <c r="H709" s="392"/>
      <c r="I709" s="392"/>
      <c r="J709" s="145"/>
      <c r="K709" s="392"/>
      <c r="L709" s="392"/>
      <c r="M709" s="392"/>
      <c r="N709" s="392"/>
      <c r="O709" s="392"/>
      <c r="P709" s="392"/>
      <c r="Q709" s="392"/>
      <c r="R709" s="392"/>
      <c r="S709" s="392"/>
      <c r="T709" s="392"/>
      <c r="U709" s="392"/>
      <c r="V709" s="392"/>
      <c r="W709" s="392"/>
      <c r="X709" s="392"/>
      <c r="Y709" s="392"/>
      <c r="Z709" s="392"/>
      <c r="AA709" s="392"/>
      <c r="AB709" s="392"/>
      <c r="AC709" s="392"/>
      <c r="AD709" s="392"/>
      <c r="AE709" s="392"/>
      <c r="AF709" s="392"/>
    </row>
    <row r="710" ht="15.75" customHeight="1">
      <c r="A710" s="216"/>
      <c r="B710" s="156"/>
      <c r="C710" s="156"/>
      <c r="D710" s="156"/>
      <c r="E710" s="392"/>
      <c r="F710" s="392"/>
      <c r="G710" s="392"/>
      <c r="H710" s="392"/>
      <c r="I710" s="392"/>
      <c r="J710" s="145"/>
      <c r="K710" s="392"/>
      <c r="L710" s="392"/>
      <c r="M710" s="392"/>
      <c r="N710" s="392"/>
      <c r="O710" s="392"/>
      <c r="P710" s="392"/>
      <c r="Q710" s="392"/>
      <c r="R710" s="392"/>
      <c r="S710" s="392"/>
      <c r="T710" s="392"/>
      <c r="U710" s="392"/>
      <c r="V710" s="392"/>
      <c r="W710" s="392"/>
      <c r="X710" s="392"/>
      <c r="Y710" s="392"/>
      <c r="Z710" s="392"/>
      <c r="AA710" s="392"/>
      <c r="AB710" s="392"/>
      <c r="AC710" s="392"/>
      <c r="AD710" s="392"/>
      <c r="AE710" s="392"/>
      <c r="AF710" s="392"/>
    </row>
    <row r="711" ht="15.75" customHeight="1">
      <c r="A711" s="216"/>
      <c r="B711" s="156"/>
      <c r="C711" s="156"/>
      <c r="D711" s="156"/>
      <c r="E711" s="392"/>
      <c r="F711" s="392"/>
      <c r="G711" s="392"/>
      <c r="H711" s="392"/>
      <c r="I711" s="392"/>
      <c r="J711" s="145"/>
      <c r="K711" s="392"/>
      <c r="L711" s="392"/>
      <c r="M711" s="392"/>
      <c r="N711" s="392"/>
      <c r="O711" s="392"/>
      <c r="P711" s="392"/>
      <c r="Q711" s="392"/>
      <c r="R711" s="392"/>
      <c r="S711" s="392"/>
      <c r="T711" s="392"/>
      <c r="U711" s="392"/>
      <c r="V711" s="392"/>
      <c r="W711" s="392"/>
      <c r="X711" s="392"/>
      <c r="Y711" s="392"/>
      <c r="Z711" s="392"/>
      <c r="AA711" s="392"/>
      <c r="AB711" s="392"/>
      <c r="AC711" s="392"/>
      <c r="AD711" s="392"/>
      <c r="AE711" s="392"/>
      <c r="AF711" s="392"/>
    </row>
    <row r="712" ht="15.75" customHeight="1">
      <c r="A712" s="216"/>
      <c r="B712" s="156"/>
      <c r="C712" s="156"/>
      <c r="D712" s="156"/>
      <c r="E712" s="392"/>
      <c r="F712" s="392"/>
      <c r="G712" s="392"/>
      <c r="H712" s="392"/>
      <c r="I712" s="392"/>
      <c r="J712" s="145"/>
      <c r="K712" s="392"/>
      <c r="L712" s="392"/>
      <c r="M712" s="392"/>
      <c r="N712" s="392"/>
      <c r="O712" s="392"/>
      <c r="P712" s="392"/>
      <c r="Q712" s="392"/>
      <c r="R712" s="392"/>
      <c r="S712" s="392"/>
      <c r="T712" s="392"/>
      <c r="U712" s="392"/>
      <c r="V712" s="392"/>
      <c r="W712" s="392"/>
      <c r="X712" s="392"/>
      <c r="Y712" s="392"/>
      <c r="Z712" s="392"/>
      <c r="AA712" s="392"/>
      <c r="AB712" s="392"/>
      <c r="AC712" s="392"/>
      <c r="AD712" s="392"/>
      <c r="AE712" s="392"/>
      <c r="AF712" s="392"/>
    </row>
    <row r="713" ht="15.75" customHeight="1">
      <c r="A713" s="216"/>
      <c r="B713" s="156"/>
      <c r="C713" s="156"/>
      <c r="D713" s="156"/>
      <c r="E713" s="392"/>
      <c r="F713" s="392"/>
      <c r="G713" s="392"/>
      <c r="H713" s="392"/>
      <c r="I713" s="392"/>
      <c r="J713" s="145"/>
      <c r="K713" s="392"/>
      <c r="L713" s="392"/>
      <c r="M713" s="392"/>
      <c r="N713" s="392"/>
      <c r="O713" s="392"/>
      <c r="P713" s="392"/>
      <c r="Q713" s="392"/>
      <c r="R713" s="392"/>
      <c r="S713" s="392"/>
      <c r="T713" s="392"/>
      <c r="U713" s="392"/>
      <c r="V713" s="392"/>
      <c r="W713" s="392"/>
      <c r="X713" s="392"/>
      <c r="Y713" s="392"/>
      <c r="Z713" s="392"/>
      <c r="AA713" s="392"/>
      <c r="AB713" s="392"/>
      <c r="AC713" s="392"/>
      <c r="AD713" s="392"/>
      <c r="AE713" s="392"/>
      <c r="AF713" s="392"/>
    </row>
    <row r="714" ht="15.75" customHeight="1">
      <c r="A714" s="216"/>
      <c r="B714" s="156"/>
      <c r="C714" s="156"/>
      <c r="D714" s="156"/>
      <c r="E714" s="392"/>
      <c r="F714" s="392"/>
      <c r="G714" s="392"/>
      <c r="H714" s="392"/>
      <c r="I714" s="392"/>
      <c r="J714" s="145"/>
      <c r="K714" s="392"/>
      <c r="L714" s="392"/>
      <c r="M714" s="392"/>
      <c r="N714" s="392"/>
      <c r="O714" s="392"/>
      <c r="P714" s="392"/>
      <c r="Q714" s="392"/>
      <c r="R714" s="392"/>
      <c r="S714" s="392"/>
      <c r="T714" s="392"/>
      <c r="U714" s="392"/>
      <c r="V714" s="392"/>
      <c r="W714" s="392"/>
      <c r="X714" s="392"/>
      <c r="Y714" s="392"/>
      <c r="Z714" s="392"/>
      <c r="AA714" s="392"/>
      <c r="AB714" s="392"/>
      <c r="AC714" s="392"/>
      <c r="AD714" s="392"/>
      <c r="AE714" s="392"/>
      <c r="AF714" s="392"/>
    </row>
    <row r="715" ht="15.75" customHeight="1">
      <c r="A715" s="216"/>
      <c r="B715" s="156"/>
      <c r="C715" s="156"/>
      <c r="D715" s="156"/>
      <c r="E715" s="392"/>
      <c r="F715" s="392"/>
      <c r="G715" s="392"/>
      <c r="H715" s="392"/>
      <c r="I715" s="392"/>
      <c r="J715" s="145"/>
      <c r="K715" s="392"/>
      <c r="L715" s="392"/>
      <c r="M715" s="392"/>
      <c r="N715" s="392"/>
      <c r="O715" s="392"/>
      <c r="P715" s="392"/>
      <c r="Q715" s="392"/>
      <c r="R715" s="392"/>
      <c r="S715" s="392"/>
      <c r="T715" s="392"/>
      <c r="U715" s="392"/>
      <c r="V715" s="392"/>
      <c r="W715" s="392"/>
      <c r="X715" s="392"/>
      <c r="Y715" s="392"/>
      <c r="Z715" s="392"/>
      <c r="AA715" s="392"/>
      <c r="AB715" s="392"/>
      <c r="AC715" s="392"/>
      <c r="AD715" s="392"/>
      <c r="AE715" s="392"/>
      <c r="AF715" s="392"/>
    </row>
    <row r="716" ht="15.75" customHeight="1">
      <c r="A716" s="216"/>
      <c r="B716" s="156"/>
      <c r="C716" s="156"/>
      <c r="D716" s="156"/>
      <c r="E716" s="392"/>
      <c r="F716" s="392"/>
      <c r="G716" s="392"/>
      <c r="H716" s="392"/>
      <c r="I716" s="392"/>
      <c r="J716" s="145"/>
      <c r="K716" s="392"/>
      <c r="L716" s="392"/>
      <c r="M716" s="392"/>
      <c r="N716" s="392"/>
      <c r="O716" s="392"/>
      <c r="P716" s="392"/>
      <c r="Q716" s="392"/>
      <c r="R716" s="392"/>
      <c r="S716" s="392"/>
      <c r="T716" s="392"/>
      <c r="U716" s="392"/>
      <c r="V716" s="392"/>
      <c r="W716" s="392"/>
      <c r="X716" s="392"/>
      <c r="Y716" s="392"/>
      <c r="Z716" s="392"/>
      <c r="AA716" s="392"/>
      <c r="AB716" s="392"/>
      <c r="AC716" s="392"/>
      <c r="AD716" s="392"/>
      <c r="AE716" s="392"/>
      <c r="AF716" s="392"/>
    </row>
    <row r="717" ht="15.75" customHeight="1">
      <c r="A717" s="216"/>
      <c r="B717" s="156"/>
      <c r="C717" s="156"/>
      <c r="D717" s="156"/>
      <c r="E717" s="392"/>
      <c r="F717" s="392"/>
      <c r="G717" s="392"/>
      <c r="H717" s="392"/>
      <c r="I717" s="392"/>
      <c r="J717" s="145"/>
      <c r="K717" s="392"/>
      <c r="L717" s="392"/>
      <c r="M717" s="392"/>
      <c r="N717" s="392"/>
      <c r="O717" s="392"/>
      <c r="P717" s="392"/>
      <c r="Q717" s="392"/>
      <c r="R717" s="392"/>
      <c r="S717" s="392"/>
      <c r="T717" s="392"/>
      <c r="U717" s="392"/>
      <c r="V717" s="392"/>
      <c r="W717" s="392"/>
      <c r="X717" s="392"/>
      <c r="Y717" s="392"/>
      <c r="Z717" s="392"/>
      <c r="AA717" s="392"/>
      <c r="AB717" s="392"/>
      <c r="AC717" s="392"/>
      <c r="AD717" s="392"/>
      <c r="AE717" s="392"/>
      <c r="AF717" s="392"/>
    </row>
    <row r="718" ht="15.75" customHeight="1">
      <c r="A718" s="216"/>
      <c r="B718" s="156"/>
      <c r="C718" s="156"/>
      <c r="D718" s="156"/>
      <c r="E718" s="392"/>
      <c r="F718" s="392"/>
      <c r="G718" s="392"/>
      <c r="H718" s="392"/>
      <c r="I718" s="392"/>
      <c r="J718" s="145"/>
      <c r="K718" s="392"/>
      <c r="L718" s="392"/>
      <c r="M718" s="392"/>
      <c r="N718" s="392"/>
      <c r="O718" s="392"/>
      <c r="P718" s="392"/>
      <c r="Q718" s="392"/>
      <c r="R718" s="392"/>
      <c r="S718" s="392"/>
      <c r="T718" s="392"/>
      <c r="U718" s="392"/>
      <c r="V718" s="392"/>
      <c r="W718" s="392"/>
      <c r="X718" s="392"/>
      <c r="Y718" s="392"/>
      <c r="Z718" s="392"/>
      <c r="AA718" s="392"/>
      <c r="AB718" s="392"/>
      <c r="AC718" s="392"/>
      <c r="AD718" s="392"/>
      <c r="AE718" s="392"/>
      <c r="AF718" s="392"/>
    </row>
    <row r="719" ht="15.75" customHeight="1">
      <c r="A719" s="216"/>
      <c r="B719" s="156"/>
      <c r="C719" s="156"/>
      <c r="D719" s="156"/>
      <c r="E719" s="392"/>
      <c r="F719" s="392"/>
      <c r="G719" s="392"/>
      <c r="H719" s="392"/>
      <c r="I719" s="392"/>
      <c r="J719" s="145"/>
      <c r="K719" s="392"/>
      <c r="L719" s="392"/>
      <c r="M719" s="392"/>
      <c r="N719" s="392"/>
      <c r="O719" s="392"/>
      <c r="P719" s="392"/>
      <c r="Q719" s="392"/>
      <c r="R719" s="392"/>
      <c r="S719" s="392"/>
      <c r="T719" s="392"/>
      <c r="U719" s="392"/>
      <c r="V719" s="392"/>
      <c r="W719" s="392"/>
      <c r="X719" s="392"/>
      <c r="Y719" s="392"/>
      <c r="Z719" s="392"/>
      <c r="AA719" s="392"/>
      <c r="AB719" s="392"/>
      <c r="AC719" s="392"/>
      <c r="AD719" s="392"/>
      <c r="AE719" s="392"/>
      <c r="AF719" s="392"/>
    </row>
    <row r="720" ht="15.75" customHeight="1">
      <c r="A720" s="216"/>
      <c r="B720" s="156"/>
      <c r="C720" s="156"/>
      <c r="D720" s="156"/>
      <c r="E720" s="392"/>
      <c r="F720" s="392"/>
      <c r="G720" s="392"/>
      <c r="H720" s="392"/>
      <c r="I720" s="392"/>
      <c r="J720" s="145"/>
      <c r="K720" s="392"/>
      <c r="L720" s="392"/>
      <c r="M720" s="392"/>
      <c r="N720" s="392"/>
      <c r="O720" s="392"/>
      <c r="P720" s="392"/>
      <c r="Q720" s="392"/>
      <c r="R720" s="392"/>
      <c r="S720" s="392"/>
      <c r="T720" s="392"/>
      <c r="U720" s="392"/>
      <c r="V720" s="392"/>
      <c r="W720" s="392"/>
      <c r="X720" s="392"/>
      <c r="Y720" s="392"/>
      <c r="Z720" s="392"/>
      <c r="AA720" s="392"/>
      <c r="AB720" s="392"/>
      <c r="AC720" s="392"/>
      <c r="AD720" s="392"/>
      <c r="AE720" s="392"/>
      <c r="AF720" s="392"/>
    </row>
    <row r="721" ht="15.75" customHeight="1">
      <c r="A721" s="216"/>
      <c r="B721" s="156"/>
      <c r="C721" s="156"/>
      <c r="D721" s="156"/>
      <c r="E721" s="392"/>
      <c r="F721" s="392"/>
      <c r="G721" s="392"/>
      <c r="H721" s="392"/>
      <c r="I721" s="392"/>
      <c r="J721" s="145"/>
      <c r="K721" s="392"/>
      <c r="L721" s="392"/>
      <c r="M721" s="392"/>
      <c r="N721" s="392"/>
      <c r="O721" s="392"/>
      <c r="P721" s="392"/>
      <c r="Q721" s="392"/>
      <c r="R721" s="392"/>
      <c r="S721" s="392"/>
      <c r="T721" s="392"/>
      <c r="U721" s="392"/>
      <c r="V721" s="392"/>
      <c r="W721" s="392"/>
      <c r="X721" s="392"/>
      <c r="Y721" s="392"/>
      <c r="Z721" s="392"/>
      <c r="AA721" s="392"/>
      <c r="AB721" s="392"/>
      <c r="AC721" s="392"/>
      <c r="AD721" s="392"/>
      <c r="AE721" s="392"/>
      <c r="AF721" s="392"/>
    </row>
    <row r="722" ht="15.75" customHeight="1">
      <c r="A722" s="216"/>
      <c r="B722" s="156"/>
      <c r="C722" s="156"/>
      <c r="D722" s="156"/>
      <c r="E722" s="392"/>
      <c r="F722" s="392"/>
      <c r="G722" s="392"/>
      <c r="H722" s="392"/>
      <c r="I722" s="392"/>
      <c r="J722" s="145"/>
      <c r="K722" s="392"/>
      <c r="L722" s="392"/>
      <c r="M722" s="392"/>
      <c r="N722" s="392"/>
      <c r="O722" s="392"/>
      <c r="P722" s="392"/>
      <c r="Q722" s="392"/>
      <c r="R722" s="392"/>
      <c r="S722" s="392"/>
      <c r="T722" s="392"/>
      <c r="U722" s="392"/>
      <c r="V722" s="392"/>
      <c r="W722" s="392"/>
      <c r="X722" s="392"/>
      <c r="Y722" s="392"/>
      <c r="Z722" s="392"/>
      <c r="AA722" s="392"/>
      <c r="AB722" s="392"/>
      <c r="AC722" s="392"/>
      <c r="AD722" s="392"/>
      <c r="AE722" s="392"/>
      <c r="AF722" s="392"/>
    </row>
    <row r="723" ht="15.75" customHeight="1">
      <c r="A723" s="216"/>
      <c r="B723" s="156"/>
      <c r="C723" s="156"/>
      <c r="D723" s="156"/>
      <c r="E723" s="392"/>
      <c r="F723" s="392"/>
      <c r="G723" s="392"/>
      <c r="H723" s="392"/>
      <c r="I723" s="392"/>
      <c r="J723" s="145"/>
      <c r="K723" s="392"/>
      <c r="L723" s="392"/>
      <c r="M723" s="392"/>
      <c r="N723" s="392"/>
      <c r="O723" s="392"/>
      <c r="P723" s="392"/>
      <c r="Q723" s="392"/>
      <c r="R723" s="392"/>
      <c r="S723" s="392"/>
      <c r="T723" s="392"/>
      <c r="U723" s="392"/>
      <c r="V723" s="392"/>
      <c r="W723" s="392"/>
      <c r="X723" s="392"/>
      <c r="Y723" s="392"/>
      <c r="Z723" s="392"/>
      <c r="AA723" s="392"/>
      <c r="AB723" s="392"/>
      <c r="AC723" s="392"/>
      <c r="AD723" s="392"/>
      <c r="AE723" s="392"/>
      <c r="AF723" s="392"/>
    </row>
    <row r="724" ht="15.75" customHeight="1">
      <c r="A724" s="216"/>
      <c r="B724" s="156"/>
      <c r="C724" s="156"/>
      <c r="D724" s="156"/>
      <c r="E724" s="392"/>
      <c r="F724" s="392"/>
      <c r="G724" s="392"/>
      <c r="H724" s="392"/>
      <c r="I724" s="392"/>
      <c r="J724" s="145"/>
      <c r="K724" s="392"/>
      <c r="L724" s="392"/>
      <c r="M724" s="392"/>
      <c r="N724" s="392"/>
      <c r="O724" s="392"/>
      <c r="P724" s="392"/>
      <c r="Q724" s="392"/>
      <c r="R724" s="392"/>
      <c r="S724" s="392"/>
      <c r="T724" s="392"/>
      <c r="U724" s="392"/>
      <c r="V724" s="392"/>
      <c r="W724" s="392"/>
      <c r="X724" s="392"/>
      <c r="Y724" s="392"/>
      <c r="Z724" s="392"/>
      <c r="AA724" s="392"/>
      <c r="AB724" s="392"/>
      <c r="AC724" s="392"/>
      <c r="AD724" s="392"/>
      <c r="AE724" s="392"/>
      <c r="AF724" s="392"/>
    </row>
    <row r="725" ht="15.75" customHeight="1">
      <c r="A725" s="216"/>
      <c r="B725" s="156"/>
      <c r="C725" s="156"/>
      <c r="D725" s="156"/>
      <c r="E725" s="392"/>
      <c r="F725" s="392"/>
      <c r="G725" s="392"/>
      <c r="H725" s="392"/>
      <c r="I725" s="392"/>
      <c r="J725" s="145"/>
      <c r="K725" s="392"/>
      <c r="L725" s="392"/>
      <c r="M725" s="392"/>
      <c r="N725" s="392"/>
      <c r="O725" s="392"/>
      <c r="P725" s="392"/>
      <c r="Q725" s="392"/>
      <c r="R725" s="392"/>
      <c r="S725" s="392"/>
      <c r="T725" s="392"/>
      <c r="U725" s="392"/>
      <c r="V725" s="392"/>
      <c r="W725" s="392"/>
      <c r="X725" s="392"/>
      <c r="Y725" s="392"/>
      <c r="Z725" s="392"/>
      <c r="AA725" s="392"/>
      <c r="AB725" s="392"/>
      <c r="AC725" s="392"/>
      <c r="AD725" s="392"/>
      <c r="AE725" s="392"/>
      <c r="AF725" s="392"/>
    </row>
    <row r="726" ht="15.75" customHeight="1">
      <c r="A726" s="216"/>
      <c r="B726" s="156"/>
      <c r="C726" s="156"/>
      <c r="D726" s="156"/>
      <c r="E726" s="392"/>
      <c r="F726" s="392"/>
      <c r="G726" s="392"/>
      <c r="H726" s="392"/>
      <c r="I726" s="392"/>
      <c r="J726" s="145"/>
      <c r="K726" s="392"/>
      <c r="L726" s="392"/>
      <c r="M726" s="392"/>
      <c r="N726" s="392"/>
      <c r="O726" s="392"/>
      <c r="P726" s="392"/>
      <c r="Q726" s="392"/>
      <c r="R726" s="392"/>
      <c r="S726" s="392"/>
      <c r="T726" s="392"/>
      <c r="U726" s="392"/>
      <c r="V726" s="392"/>
      <c r="W726" s="392"/>
      <c r="X726" s="392"/>
      <c r="Y726" s="392"/>
      <c r="Z726" s="392"/>
      <c r="AA726" s="392"/>
      <c r="AB726" s="392"/>
      <c r="AC726" s="392"/>
      <c r="AD726" s="392"/>
      <c r="AE726" s="392"/>
      <c r="AF726" s="392"/>
    </row>
    <row r="727" ht="15.75" customHeight="1">
      <c r="A727" s="216"/>
      <c r="B727" s="156"/>
      <c r="C727" s="156"/>
      <c r="D727" s="156"/>
      <c r="E727" s="392"/>
      <c r="F727" s="392"/>
      <c r="G727" s="392"/>
      <c r="H727" s="392"/>
      <c r="I727" s="392"/>
      <c r="J727" s="145"/>
      <c r="K727" s="392"/>
      <c r="L727" s="392"/>
      <c r="M727" s="392"/>
      <c r="N727" s="392"/>
      <c r="O727" s="392"/>
      <c r="P727" s="392"/>
      <c r="Q727" s="392"/>
      <c r="R727" s="392"/>
      <c r="S727" s="392"/>
      <c r="T727" s="392"/>
      <c r="U727" s="392"/>
      <c r="V727" s="392"/>
      <c r="W727" s="392"/>
      <c r="X727" s="392"/>
      <c r="Y727" s="392"/>
      <c r="Z727" s="392"/>
      <c r="AA727" s="392"/>
      <c r="AB727" s="392"/>
      <c r="AC727" s="392"/>
      <c r="AD727" s="392"/>
      <c r="AE727" s="392"/>
      <c r="AF727" s="392"/>
    </row>
    <row r="728" ht="15.75" customHeight="1">
      <c r="A728" s="216"/>
      <c r="B728" s="156"/>
      <c r="C728" s="156"/>
      <c r="D728" s="156"/>
      <c r="E728" s="392"/>
      <c r="F728" s="392"/>
      <c r="G728" s="392"/>
      <c r="H728" s="392"/>
      <c r="I728" s="392"/>
      <c r="J728" s="145"/>
      <c r="K728" s="392"/>
      <c r="L728" s="392"/>
      <c r="M728" s="392"/>
      <c r="N728" s="392"/>
      <c r="O728" s="392"/>
      <c r="P728" s="392"/>
      <c r="Q728" s="392"/>
      <c r="R728" s="392"/>
      <c r="S728" s="392"/>
      <c r="T728" s="392"/>
      <c r="U728" s="392"/>
      <c r="V728" s="392"/>
      <c r="W728" s="392"/>
      <c r="X728" s="392"/>
      <c r="Y728" s="392"/>
      <c r="Z728" s="392"/>
      <c r="AA728" s="392"/>
      <c r="AB728" s="392"/>
      <c r="AC728" s="392"/>
      <c r="AD728" s="392"/>
      <c r="AE728" s="392"/>
      <c r="AF728" s="392"/>
    </row>
    <row r="729" ht="15.75" customHeight="1">
      <c r="A729" s="216"/>
      <c r="B729" s="156"/>
      <c r="C729" s="156"/>
      <c r="D729" s="156"/>
      <c r="E729" s="392"/>
      <c r="F729" s="392"/>
      <c r="G729" s="392"/>
      <c r="H729" s="392"/>
      <c r="I729" s="392"/>
      <c r="J729" s="145"/>
      <c r="K729" s="392"/>
      <c r="L729" s="392"/>
      <c r="M729" s="392"/>
      <c r="N729" s="392"/>
      <c r="O729" s="392"/>
      <c r="P729" s="392"/>
      <c r="Q729" s="392"/>
      <c r="R729" s="392"/>
      <c r="S729" s="392"/>
      <c r="T729" s="392"/>
      <c r="U729" s="392"/>
      <c r="V729" s="392"/>
      <c r="W729" s="392"/>
      <c r="X729" s="392"/>
      <c r="Y729" s="392"/>
      <c r="Z729" s="392"/>
      <c r="AA729" s="392"/>
      <c r="AB729" s="392"/>
      <c r="AC729" s="392"/>
      <c r="AD729" s="392"/>
      <c r="AE729" s="392"/>
      <c r="AF729" s="392"/>
    </row>
    <row r="730" ht="15.75" customHeight="1">
      <c r="A730" s="216"/>
      <c r="B730" s="156"/>
      <c r="C730" s="156"/>
      <c r="D730" s="156"/>
      <c r="E730" s="392"/>
      <c r="F730" s="392"/>
      <c r="G730" s="392"/>
      <c r="H730" s="392"/>
      <c r="I730" s="392"/>
      <c r="J730" s="145"/>
      <c r="K730" s="392"/>
      <c r="L730" s="392"/>
      <c r="M730" s="392"/>
      <c r="N730" s="392"/>
      <c r="O730" s="392"/>
      <c r="P730" s="392"/>
      <c r="Q730" s="392"/>
      <c r="R730" s="392"/>
      <c r="S730" s="392"/>
      <c r="T730" s="392"/>
      <c r="U730" s="392"/>
      <c r="V730" s="392"/>
      <c r="W730" s="392"/>
      <c r="X730" s="392"/>
      <c r="Y730" s="392"/>
      <c r="Z730" s="392"/>
      <c r="AA730" s="392"/>
      <c r="AB730" s="392"/>
      <c r="AC730" s="392"/>
      <c r="AD730" s="392"/>
      <c r="AE730" s="392"/>
      <c r="AF730" s="392"/>
    </row>
    <row r="731" ht="15.75" customHeight="1">
      <c r="A731" s="216"/>
      <c r="B731" s="156"/>
      <c r="C731" s="156"/>
      <c r="D731" s="156"/>
      <c r="E731" s="392"/>
      <c r="F731" s="392"/>
      <c r="G731" s="392"/>
      <c r="H731" s="392"/>
      <c r="I731" s="392"/>
      <c r="J731" s="145"/>
      <c r="K731" s="392"/>
      <c r="L731" s="392"/>
      <c r="M731" s="392"/>
      <c r="N731" s="392"/>
      <c r="O731" s="392"/>
      <c r="P731" s="392"/>
      <c r="Q731" s="392"/>
      <c r="R731" s="392"/>
      <c r="S731" s="392"/>
      <c r="T731" s="392"/>
      <c r="U731" s="392"/>
      <c r="V731" s="392"/>
      <c r="W731" s="392"/>
      <c r="X731" s="392"/>
      <c r="Y731" s="392"/>
      <c r="Z731" s="392"/>
      <c r="AA731" s="392"/>
      <c r="AB731" s="392"/>
      <c r="AC731" s="392"/>
      <c r="AD731" s="392"/>
      <c r="AE731" s="392"/>
      <c r="AF731" s="392"/>
    </row>
    <row r="732" ht="15.75" customHeight="1">
      <c r="A732" s="216"/>
      <c r="B732" s="156"/>
      <c r="C732" s="156"/>
      <c r="D732" s="156"/>
      <c r="E732" s="392"/>
      <c r="F732" s="392"/>
      <c r="G732" s="392"/>
      <c r="H732" s="392"/>
      <c r="I732" s="392"/>
      <c r="J732" s="145"/>
      <c r="K732" s="392"/>
      <c r="L732" s="392"/>
      <c r="M732" s="392"/>
      <c r="N732" s="392"/>
      <c r="O732" s="392"/>
      <c r="P732" s="392"/>
      <c r="Q732" s="392"/>
      <c r="R732" s="392"/>
      <c r="S732" s="392"/>
      <c r="T732" s="392"/>
      <c r="U732" s="392"/>
      <c r="V732" s="392"/>
      <c r="W732" s="392"/>
      <c r="X732" s="392"/>
      <c r="Y732" s="392"/>
      <c r="Z732" s="392"/>
      <c r="AA732" s="392"/>
      <c r="AB732" s="392"/>
      <c r="AC732" s="392"/>
      <c r="AD732" s="392"/>
      <c r="AE732" s="392"/>
      <c r="AF732" s="392"/>
    </row>
    <row r="733" ht="15.75" customHeight="1">
      <c r="A733" s="216"/>
      <c r="B733" s="156"/>
      <c r="C733" s="156"/>
      <c r="D733" s="156"/>
      <c r="E733" s="392"/>
      <c r="F733" s="392"/>
      <c r="G733" s="392"/>
      <c r="H733" s="392"/>
      <c r="I733" s="392"/>
      <c r="J733" s="145"/>
      <c r="K733" s="392"/>
      <c r="L733" s="392"/>
      <c r="M733" s="392"/>
      <c r="N733" s="392"/>
      <c r="O733" s="392"/>
      <c r="P733" s="392"/>
      <c r="Q733" s="392"/>
      <c r="R733" s="392"/>
      <c r="S733" s="392"/>
      <c r="T733" s="392"/>
      <c r="U733" s="392"/>
      <c r="V733" s="392"/>
      <c r="W733" s="392"/>
      <c r="X733" s="392"/>
      <c r="Y733" s="392"/>
      <c r="Z733" s="392"/>
      <c r="AA733" s="392"/>
      <c r="AB733" s="392"/>
      <c r="AC733" s="392"/>
      <c r="AD733" s="392"/>
      <c r="AE733" s="392"/>
      <c r="AF733" s="392"/>
    </row>
    <row r="734" ht="15.75" customHeight="1">
      <c r="A734" s="216"/>
      <c r="B734" s="156"/>
      <c r="C734" s="156"/>
      <c r="D734" s="156"/>
      <c r="E734" s="392"/>
      <c r="F734" s="392"/>
      <c r="G734" s="392"/>
      <c r="H734" s="392"/>
      <c r="I734" s="392"/>
      <c r="J734" s="145"/>
      <c r="K734" s="392"/>
      <c r="L734" s="392"/>
      <c r="M734" s="392"/>
      <c r="N734" s="392"/>
      <c r="O734" s="392"/>
      <c r="P734" s="392"/>
      <c r="Q734" s="392"/>
      <c r="R734" s="392"/>
      <c r="S734" s="392"/>
      <c r="T734" s="392"/>
      <c r="U734" s="392"/>
      <c r="V734" s="392"/>
      <c r="W734" s="392"/>
      <c r="X734" s="392"/>
      <c r="Y734" s="392"/>
      <c r="Z734" s="392"/>
      <c r="AA734" s="392"/>
      <c r="AB734" s="392"/>
      <c r="AC734" s="392"/>
      <c r="AD734" s="392"/>
      <c r="AE734" s="392"/>
      <c r="AF734" s="392"/>
    </row>
    <row r="735" ht="15.75" customHeight="1">
      <c r="A735" s="216"/>
      <c r="B735" s="156"/>
      <c r="C735" s="156"/>
      <c r="D735" s="156"/>
      <c r="E735" s="392"/>
      <c r="F735" s="392"/>
      <c r="G735" s="392"/>
      <c r="H735" s="392"/>
      <c r="I735" s="392"/>
      <c r="J735" s="145"/>
      <c r="K735" s="392"/>
      <c r="L735" s="392"/>
      <c r="M735" s="392"/>
      <c r="N735" s="392"/>
      <c r="O735" s="392"/>
      <c r="P735" s="392"/>
      <c r="Q735" s="392"/>
      <c r="R735" s="392"/>
      <c r="S735" s="392"/>
      <c r="T735" s="392"/>
      <c r="U735" s="392"/>
      <c r="V735" s="392"/>
      <c r="W735" s="392"/>
      <c r="X735" s="392"/>
      <c r="Y735" s="392"/>
      <c r="Z735" s="392"/>
      <c r="AA735" s="392"/>
      <c r="AB735" s="392"/>
      <c r="AC735" s="392"/>
      <c r="AD735" s="392"/>
      <c r="AE735" s="392"/>
      <c r="AF735" s="392"/>
    </row>
    <row r="736" ht="15.75" customHeight="1">
      <c r="A736" s="216"/>
      <c r="B736" s="156"/>
      <c r="C736" s="156"/>
      <c r="D736" s="156"/>
      <c r="E736" s="392"/>
      <c r="F736" s="392"/>
      <c r="G736" s="392"/>
      <c r="H736" s="392"/>
      <c r="I736" s="392"/>
      <c r="J736" s="145"/>
      <c r="K736" s="392"/>
      <c r="L736" s="392"/>
      <c r="M736" s="392"/>
      <c r="N736" s="392"/>
      <c r="O736" s="392"/>
      <c r="P736" s="392"/>
      <c r="Q736" s="392"/>
      <c r="R736" s="392"/>
      <c r="S736" s="392"/>
      <c r="T736" s="392"/>
      <c r="U736" s="392"/>
      <c r="V736" s="392"/>
      <c r="W736" s="392"/>
      <c r="X736" s="392"/>
      <c r="Y736" s="392"/>
      <c r="Z736" s="392"/>
      <c r="AA736" s="392"/>
      <c r="AB736" s="392"/>
      <c r="AC736" s="392"/>
      <c r="AD736" s="392"/>
      <c r="AE736" s="392"/>
      <c r="AF736" s="392"/>
    </row>
    <row r="737" ht="15.75" customHeight="1">
      <c r="A737" s="216"/>
      <c r="B737" s="156"/>
      <c r="C737" s="156"/>
      <c r="D737" s="156"/>
      <c r="E737" s="392"/>
      <c r="F737" s="392"/>
      <c r="G737" s="392"/>
      <c r="H737" s="392"/>
      <c r="I737" s="392"/>
      <c r="J737" s="145"/>
      <c r="K737" s="392"/>
      <c r="L737" s="392"/>
      <c r="M737" s="392"/>
      <c r="N737" s="392"/>
      <c r="O737" s="392"/>
      <c r="P737" s="392"/>
      <c r="Q737" s="392"/>
      <c r="R737" s="392"/>
      <c r="S737" s="392"/>
      <c r="T737" s="392"/>
      <c r="U737" s="392"/>
      <c r="V737" s="392"/>
      <c r="W737" s="392"/>
      <c r="X737" s="392"/>
      <c r="Y737" s="392"/>
      <c r="Z737" s="392"/>
      <c r="AA737" s="392"/>
      <c r="AB737" s="392"/>
      <c r="AC737" s="392"/>
      <c r="AD737" s="392"/>
      <c r="AE737" s="392"/>
      <c r="AF737" s="392"/>
    </row>
    <row r="738" ht="15.75" customHeight="1">
      <c r="A738" s="216"/>
      <c r="B738" s="156"/>
      <c r="C738" s="156"/>
      <c r="D738" s="156"/>
      <c r="E738" s="392"/>
      <c r="F738" s="392"/>
      <c r="G738" s="392"/>
      <c r="H738" s="392"/>
      <c r="I738" s="392"/>
      <c r="J738" s="145"/>
      <c r="K738" s="392"/>
      <c r="L738" s="392"/>
      <c r="M738" s="392"/>
      <c r="N738" s="392"/>
      <c r="O738" s="392"/>
      <c r="P738" s="392"/>
      <c r="Q738" s="392"/>
      <c r="R738" s="392"/>
      <c r="S738" s="392"/>
      <c r="T738" s="392"/>
      <c r="U738" s="392"/>
      <c r="V738" s="392"/>
      <c r="W738" s="392"/>
      <c r="X738" s="392"/>
      <c r="Y738" s="392"/>
      <c r="Z738" s="392"/>
      <c r="AA738" s="392"/>
      <c r="AB738" s="392"/>
      <c r="AC738" s="392"/>
      <c r="AD738" s="392"/>
      <c r="AE738" s="392"/>
      <c r="AF738" s="392"/>
    </row>
    <row r="739" ht="15.75" customHeight="1">
      <c r="A739" s="216"/>
      <c r="B739" s="156"/>
      <c r="C739" s="156"/>
      <c r="D739" s="156"/>
      <c r="E739" s="392"/>
      <c r="F739" s="392"/>
      <c r="G739" s="392"/>
      <c r="H739" s="392"/>
      <c r="I739" s="392"/>
      <c r="J739" s="145"/>
      <c r="K739" s="392"/>
      <c r="L739" s="392"/>
      <c r="M739" s="392"/>
      <c r="N739" s="392"/>
      <c r="O739" s="392"/>
      <c r="P739" s="392"/>
      <c r="Q739" s="392"/>
      <c r="R739" s="392"/>
      <c r="S739" s="392"/>
      <c r="T739" s="392"/>
      <c r="U739" s="392"/>
      <c r="V739" s="392"/>
      <c r="W739" s="392"/>
      <c r="X739" s="392"/>
      <c r="Y739" s="392"/>
      <c r="Z739" s="392"/>
      <c r="AA739" s="392"/>
      <c r="AB739" s="392"/>
      <c r="AC739" s="392"/>
      <c r="AD739" s="392"/>
      <c r="AE739" s="392"/>
      <c r="AF739" s="392"/>
    </row>
    <row r="740" ht="15.75" customHeight="1">
      <c r="A740" s="216"/>
      <c r="B740" s="156"/>
      <c r="C740" s="156"/>
      <c r="D740" s="156"/>
      <c r="E740" s="392"/>
      <c r="F740" s="392"/>
      <c r="G740" s="392"/>
      <c r="H740" s="392"/>
      <c r="I740" s="392"/>
      <c r="J740" s="145"/>
      <c r="K740" s="392"/>
      <c r="L740" s="392"/>
      <c r="M740" s="392"/>
      <c r="N740" s="392"/>
      <c r="O740" s="392"/>
      <c r="P740" s="392"/>
      <c r="Q740" s="392"/>
      <c r="R740" s="392"/>
      <c r="S740" s="392"/>
      <c r="T740" s="392"/>
      <c r="U740" s="392"/>
      <c r="V740" s="392"/>
      <c r="W740" s="392"/>
      <c r="X740" s="392"/>
      <c r="Y740" s="392"/>
      <c r="Z740" s="392"/>
      <c r="AA740" s="392"/>
      <c r="AB740" s="392"/>
      <c r="AC740" s="392"/>
      <c r="AD740" s="392"/>
      <c r="AE740" s="392"/>
      <c r="AF740" s="392"/>
    </row>
    <row r="741" ht="15.75" customHeight="1">
      <c r="A741" s="216"/>
      <c r="B741" s="156"/>
      <c r="C741" s="156"/>
      <c r="D741" s="156"/>
      <c r="E741" s="392"/>
      <c r="F741" s="392"/>
      <c r="G741" s="392"/>
      <c r="H741" s="392"/>
      <c r="I741" s="392"/>
      <c r="J741" s="145"/>
      <c r="K741" s="392"/>
      <c r="L741" s="392"/>
      <c r="M741" s="392"/>
      <c r="N741" s="392"/>
      <c r="O741" s="392"/>
      <c r="P741" s="392"/>
      <c r="Q741" s="392"/>
      <c r="R741" s="392"/>
      <c r="S741" s="392"/>
      <c r="T741" s="392"/>
      <c r="U741" s="392"/>
      <c r="V741" s="392"/>
      <c r="W741" s="392"/>
      <c r="X741" s="392"/>
      <c r="Y741" s="392"/>
      <c r="Z741" s="392"/>
      <c r="AA741" s="392"/>
      <c r="AB741" s="392"/>
      <c r="AC741" s="392"/>
      <c r="AD741" s="392"/>
      <c r="AE741" s="392"/>
      <c r="AF741" s="392"/>
    </row>
    <row r="742" ht="15.75" customHeight="1">
      <c r="A742" s="216"/>
      <c r="B742" s="156"/>
      <c r="C742" s="156"/>
      <c r="D742" s="156"/>
      <c r="E742" s="392"/>
      <c r="F742" s="392"/>
      <c r="G742" s="392"/>
      <c r="H742" s="392"/>
      <c r="I742" s="392"/>
      <c r="J742" s="145"/>
      <c r="K742" s="392"/>
      <c r="L742" s="392"/>
      <c r="M742" s="392"/>
      <c r="N742" s="392"/>
      <c r="O742" s="392"/>
      <c r="P742" s="392"/>
      <c r="Q742" s="392"/>
      <c r="R742" s="392"/>
      <c r="S742" s="392"/>
      <c r="T742" s="392"/>
      <c r="U742" s="392"/>
      <c r="V742" s="392"/>
      <c r="W742" s="392"/>
      <c r="X742" s="392"/>
      <c r="Y742" s="392"/>
      <c r="Z742" s="392"/>
      <c r="AA742" s="392"/>
      <c r="AB742" s="392"/>
      <c r="AC742" s="392"/>
      <c r="AD742" s="392"/>
      <c r="AE742" s="392"/>
      <c r="AF742" s="392"/>
    </row>
    <row r="743" ht="15.75" customHeight="1">
      <c r="A743" s="216"/>
      <c r="B743" s="156"/>
      <c r="C743" s="156"/>
      <c r="D743" s="156"/>
      <c r="E743" s="392"/>
      <c r="F743" s="392"/>
      <c r="G743" s="392"/>
      <c r="H743" s="392"/>
      <c r="I743" s="392"/>
      <c r="J743" s="145"/>
      <c r="K743" s="392"/>
      <c r="L743" s="392"/>
      <c r="M743" s="392"/>
      <c r="N743" s="392"/>
      <c r="O743" s="392"/>
      <c r="P743" s="392"/>
      <c r="Q743" s="392"/>
      <c r="R743" s="392"/>
      <c r="S743" s="392"/>
      <c r="T743" s="392"/>
      <c r="U743" s="392"/>
      <c r="V743" s="392"/>
      <c r="W743" s="392"/>
      <c r="X743" s="392"/>
      <c r="Y743" s="392"/>
      <c r="Z743" s="392"/>
      <c r="AA743" s="392"/>
      <c r="AB743" s="392"/>
      <c r="AC743" s="392"/>
      <c r="AD743" s="392"/>
      <c r="AE743" s="392"/>
      <c r="AF743" s="392"/>
    </row>
    <row r="744" ht="15.75" customHeight="1">
      <c r="A744" s="216"/>
      <c r="B744" s="156"/>
      <c r="C744" s="156"/>
      <c r="D744" s="156"/>
      <c r="E744" s="392"/>
      <c r="F744" s="392"/>
      <c r="G744" s="392"/>
      <c r="H744" s="392"/>
      <c r="I744" s="392"/>
      <c r="J744" s="145"/>
      <c r="K744" s="392"/>
      <c r="L744" s="392"/>
      <c r="M744" s="392"/>
      <c r="N744" s="392"/>
      <c r="O744" s="392"/>
      <c r="P744" s="392"/>
      <c r="Q744" s="392"/>
      <c r="R744" s="392"/>
      <c r="S744" s="392"/>
      <c r="T744" s="392"/>
      <c r="U744" s="392"/>
      <c r="V744" s="392"/>
      <c r="W744" s="392"/>
      <c r="X744" s="392"/>
      <c r="Y744" s="392"/>
      <c r="Z744" s="392"/>
      <c r="AA744" s="392"/>
      <c r="AB744" s="392"/>
      <c r="AC744" s="392"/>
      <c r="AD744" s="392"/>
      <c r="AE744" s="392"/>
      <c r="AF744" s="392"/>
    </row>
    <row r="745" ht="15.75" customHeight="1">
      <c r="A745" s="216"/>
      <c r="B745" s="156"/>
      <c r="C745" s="156"/>
      <c r="D745" s="156"/>
      <c r="E745" s="392"/>
      <c r="F745" s="392"/>
      <c r="G745" s="392"/>
      <c r="H745" s="392"/>
      <c r="I745" s="392"/>
      <c r="J745" s="145"/>
      <c r="K745" s="392"/>
      <c r="L745" s="392"/>
      <c r="M745" s="392"/>
      <c r="N745" s="392"/>
      <c r="O745" s="392"/>
      <c r="P745" s="392"/>
      <c r="Q745" s="392"/>
      <c r="R745" s="392"/>
      <c r="S745" s="392"/>
      <c r="T745" s="392"/>
      <c r="U745" s="392"/>
      <c r="V745" s="392"/>
      <c r="W745" s="392"/>
      <c r="X745" s="392"/>
      <c r="Y745" s="392"/>
      <c r="Z745" s="392"/>
      <c r="AA745" s="392"/>
      <c r="AB745" s="392"/>
      <c r="AC745" s="392"/>
      <c r="AD745" s="392"/>
      <c r="AE745" s="392"/>
      <c r="AF745" s="392"/>
    </row>
    <row r="746" ht="15.75" customHeight="1">
      <c r="A746" s="216"/>
      <c r="B746" s="156"/>
      <c r="C746" s="156"/>
      <c r="D746" s="156"/>
      <c r="E746" s="392"/>
      <c r="F746" s="392"/>
      <c r="G746" s="392"/>
      <c r="H746" s="392"/>
      <c r="I746" s="392"/>
      <c r="J746" s="145"/>
      <c r="K746" s="392"/>
      <c r="L746" s="392"/>
      <c r="M746" s="392"/>
      <c r="N746" s="392"/>
      <c r="O746" s="392"/>
      <c r="P746" s="392"/>
      <c r="Q746" s="392"/>
      <c r="R746" s="392"/>
      <c r="S746" s="392"/>
      <c r="T746" s="392"/>
      <c r="U746" s="392"/>
      <c r="V746" s="392"/>
      <c r="W746" s="392"/>
      <c r="X746" s="392"/>
      <c r="Y746" s="392"/>
      <c r="Z746" s="392"/>
      <c r="AA746" s="392"/>
      <c r="AB746" s="392"/>
      <c r="AC746" s="392"/>
      <c r="AD746" s="392"/>
      <c r="AE746" s="392"/>
      <c r="AF746" s="392"/>
    </row>
    <row r="747" ht="15.75" customHeight="1">
      <c r="A747" s="216"/>
      <c r="B747" s="156"/>
      <c r="C747" s="156"/>
      <c r="D747" s="156"/>
      <c r="E747" s="392"/>
      <c r="F747" s="392"/>
      <c r="G747" s="392"/>
      <c r="H747" s="392"/>
      <c r="I747" s="392"/>
      <c r="J747" s="145"/>
      <c r="K747" s="392"/>
      <c r="L747" s="392"/>
      <c r="M747" s="392"/>
      <c r="N747" s="392"/>
      <c r="O747" s="392"/>
      <c r="P747" s="392"/>
      <c r="Q747" s="392"/>
      <c r="R747" s="392"/>
      <c r="S747" s="392"/>
      <c r="T747" s="392"/>
      <c r="U747" s="392"/>
      <c r="V747" s="392"/>
      <c r="W747" s="392"/>
      <c r="X747" s="392"/>
      <c r="Y747" s="392"/>
      <c r="Z747" s="392"/>
      <c r="AA747" s="392"/>
      <c r="AB747" s="392"/>
      <c r="AC747" s="392"/>
      <c r="AD747" s="392"/>
      <c r="AE747" s="392"/>
      <c r="AF747" s="392"/>
    </row>
    <row r="748" ht="15.75" customHeight="1">
      <c r="A748" s="216"/>
      <c r="B748" s="156"/>
      <c r="C748" s="156"/>
      <c r="D748" s="156"/>
      <c r="E748" s="392"/>
      <c r="F748" s="392"/>
      <c r="G748" s="392"/>
      <c r="H748" s="392"/>
      <c r="I748" s="392"/>
      <c r="J748" s="145"/>
      <c r="K748" s="392"/>
      <c r="L748" s="392"/>
      <c r="M748" s="392"/>
      <c r="N748" s="392"/>
      <c r="O748" s="392"/>
      <c r="P748" s="392"/>
      <c r="Q748" s="392"/>
      <c r="R748" s="392"/>
      <c r="S748" s="392"/>
      <c r="T748" s="392"/>
      <c r="U748" s="392"/>
      <c r="V748" s="392"/>
      <c r="W748" s="392"/>
      <c r="X748" s="392"/>
      <c r="Y748" s="392"/>
      <c r="Z748" s="392"/>
      <c r="AA748" s="392"/>
      <c r="AB748" s="392"/>
      <c r="AC748" s="392"/>
      <c r="AD748" s="392"/>
      <c r="AE748" s="392"/>
      <c r="AF748" s="392"/>
    </row>
    <row r="749" ht="15.75" customHeight="1">
      <c r="A749" s="216"/>
      <c r="B749" s="156"/>
      <c r="C749" s="156"/>
      <c r="D749" s="156"/>
      <c r="E749" s="392"/>
      <c r="F749" s="392"/>
      <c r="G749" s="392"/>
      <c r="H749" s="392"/>
      <c r="I749" s="392"/>
      <c r="J749" s="145"/>
      <c r="K749" s="392"/>
      <c r="L749" s="392"/>
      <c r="M749" s="392"/>
      <c r="N749" s="392"/>
      <c r="O749" s="392"/>
      <c r="P749" s="392"/>
      <c r="Q749" s="392"/>
      <c r="R749" s="392"/>
      <c r="S749" s="392"/>
      <c r="T749" s="392"/>
      <c r="U749" s="392"/>
      <c r="V749" s="392"/>
      <c r="W749" s="392"/>
      <c r="X749" s="392"/>
      <c r="Y749" s="392"/>
      <c r="Z749" s="392"/>
      <c r="AA749" s="392"/>
      <c r="AB749" s="392"/>
      <c r="AC749" s="392"/>
      <c r="AD749" s="392"/>
      <c r="AE749" s="392"/>
      <c r="AF749" s="392"/>
    </row>
    <row r="750" ht="15.75" customHeight="1">
      <c r="A750" s="216"/>
      <c r="B750" s="156"/>
      <c r="C750" s="156"/>
      <c r="D750" s="156"/>
      <c r="E750" s="392"/>
      <c r="F750" s="392"/>
      <c r="G750" s="392"/>
      <c r="H750" s="392"/>
      <c r="I750" s="392"/>
      <c r="J750" s="145"/>
      <c r="K750" s="392"/>
      <c r="L750" s="392"/>
      <c r="M750" s="392"/>
      <c r="N750" s="392"/>
      <c r="O750" s="392"/>
      <c r="P750" s="392"/>
      <c r="Q750" s="392"/>
      <c r="R750" s="392"/>
      <c r="S750" s="392"/>
      <c r="T750" s="392"/>
      <c r="U750" s="392"/>
      <c r="V750" s="392"/>
      <c r="W750" s="392"/>
      <c r="X750" s="392"/>
      <c r="Y750" s="392"/>
      <c r="Z750" s="392"/>
      <c r="AA750" s="392"/>
      <c r="AB750" s="392"/>
      <c r="AC750" s="392"/>
      <c r="AD750" s="392"/>
      <c r="AE750" s="392"/>
      <c r="AF750" s="392"/>
    </row>
    <row r="751" ht="15.75" customHeight="1">
      <c r="A751" s="216"/>
      <c r="B751" s="156"/>
      <c r="C751" s="156"/>
      <c r="D751" s="156"/>
      <c r="E751" s="392"/>
      <c r="F751" s="392"/>
      <c r="G751" s="392"/>
      <c r="H751" s="392"/>
      <c r="I751" s="392"/>
      <c r="J751" s="145"/>
      <c r="K751" s="392"/>
      <c r="L751" s="392"/>
      <c r="M751" s="392"/>
      <c r="N751" s="392"/>
      <c r="O751" s="392"/>
      <c r="P751" s="392"/>
      <c r="Q751" s="392"/>
      <c r="R751" s="392"/>
      <c r="S751" s="392"/>
      <c r="T751" s="392"/>
      <c r="U751" s="392"/>
      <c r="V751" s="392"/>
      <c r="W751" s="392"/>
      <c r="X751" s="392"/>
      <c r="Y751" s="392"/>
      <c r="Z751" s="392"/>
      <c r="AA751" s="392"/>
      <c r="AB751" s="392"/>
      <c r="AC751" s="392"/>
      <c r="AD751" s="392"/>
      <c r="AE751" s="392"/>
      <c r="AF751" s="392"/>
    </row>
    <row r="752" ht="15.75" customHeight="1">
      <c r="A752" s="216"/>
      <c r="B752" s="156"/>
      <c r="C752" s="156"/>
      <c r="D752" s="156"/>
      <c r="E752" s="392"/>
      <c r="F752" s="392"/>
      <c r="G752" s="392"/>
      <c r="H752" s="392"/>
      <c r="I752" s="392"/>
      <c r="J752" s="145"/>
      <c r="K752" s="392"/>
      <c r="L752" s="392"/>
      <c r="M752" s="392"/>
      <c r="N752" s="392"/>
      <c r="O752" s="392"/>
      <c r="P752" s="392"/>
      <c r="Q752" s="392"/>
      <c r="R752" s="392"/>
      <c r="S752" s="392"/>
      <c r="T752" s="392"/>
      <c r="U752" s="392"/>
      <c r="V752" s="392"/>
      <c r="W752" s="392"/>
      <c r="X752" s="392"/>
      <c r="Y752" s="392"/>
      <c r="Z752" s="392"/>
      <c r="AA752" s="392"/>
      <c r="AB752" s="392"/>
      <c r="AC752" s="392"/>
      <c r="AD752" s="392"/>
      <c r="AE752" s="392"/>
      <c r="AF752" s="392"/>
    </row>
    <row r="753" ht="15.75" customHeight="1">
      <c r="A753" s="216"/>
      <c r="B753" s="156"/>
      <c r="C753" s="156"/>
      <c r="D753" s="156"/>
      <c r="E753" s="392"/>
      <c r="F753" s="392"/>
      <c r="G753" s="392"/>
      <c r="H753" s="392"/>
      <c r="I753" s="392"/>
      <c r="J753" s="145"/>
      <c r="K753" s="392"/>
      <c r="L753" s="392"/>
      <c r="M753" s="392"/>
      <c r="N753" s="392"/>
      <c r="O753" s="392"/>
      <c r="P753" s="392"/>
      <c r="Q753" s="392"/>
      <c r="R753" s="392"/>
      <c r="S753" s="392"/>
      <c r="T753" s="392"/>
      <c r="U753" s="392"/>
      <c r="V753" s="392"/>
      <c r="W753" s="392"/>
      <c r="X753" s="392"/>
      <c r="Y753" s="392"/>
      <c r="Z753" s="392"/>
      <c r="AA753" s="392"/>
      <c r="AB753" s="392"/>
      <c r="AC753" s="392"/>
      <c r="AD753" s="392"/>
      <c r="AE753" s="392"/>
      <c r="AF753" s="392"/>
    </row>
    <row r="754" ht="15.75" customHeight="1">
      <c r="A754" s="216"/>
      <c r="B754" s="156"/>
      <c r="C754" s="156"/>
      <c r="D754" s="156"/>
      <c r="E754" s="392"/>
      <c r="F754" s="392"/>
      <c r="G754" s="392"/>
      <c r="H754" s="392"/>
      <c r="I754" s="392"/>
      <c r="J754" s="145"/>
      <c r="K754" s="392"/>
      <c r="L754" s="392"/>
      <c r="M754" s="392"/>
      <c r="N754" s="392"/>
      <c r="O754" s="392"/>
      <c r="P754" s="392"/>
      <c r="Q754" s="392"/>
      <c r="R754" s="392"/>
      <c r="S754" s="392"/>
      <c r="T754" s="392"/>
      <c r="U754" s="392"/>
      <c r="V754" s="392"/>
      <c r="W754" s="392"/>
      <c r="X754" s="392"/>
      <c r="Y754" s="392"/>
      <c r="Z754" s="392"/>
      <c r="AA754" s="392"/>
      <c r="AB754" s="392"/>
      <c r="AC754" s="392"/>
      <c r="AD754" s="392"/>
      <c r="AE754" s="392"/>
      <c r="AF754" s="392"/>
    </row>
    <row r="755" ht="15.75" customHeight="1">
      <c r="A755" s="216"/>
      <c r="B755" s="156"/>
      <c r="C755" s="156"/>
      <c r="D755" s="156"/>
      <c r="E755" s="392"/>
      <c r="F755" s="392"/>
      <c r="G755" s="392"/>
      <c r="H755" s="392"/>
      <c r="I755" s="392"/>
      <c r="J755" s="145"/>
      <c r="K755" s="392"/>
      <c r="L755" s="392"/>
      <c r="M755" s="392"/>
      <c r="N755" s="392"/>
      <c r="O755" s="392"/>
      <c r="P755" s="392"/>
      <c r="Q755" s="392"/>
      <c r="R755" s="392"/>
      <c r="S755" s="392"/>
      <c r="T755" s="392"/>
      <c r="U755" s="392"/>
      <c r="V755" s="392"/>
      <c r="W755" s="392"/>
      <c r="X755" s="392"/>
      <c r="Y755" s="392"/>
      <c r="Z755" s="392"/>
      <c r="AA755" s="392"/>
      <c r="AB755" s="392"/>
      <c r="AC755" s="392"/>
      <c r="AD755" s="392"/>
      <c r="AE755" s="392"/>
      <c r="AF755" s="392"/>
    </row>
    <row r="756" ht="15.75" customHeight="1">
      <c r="A756" s="216"/>
      <c r="B756" s="156"/>
      <c r="C756" s="156"/>
      <c r="D756" s="156"/>
      <c r="E756" s="392"/>
      <c r="F756" s="392"/>
      <c r="G756" s="392"/>
      <c r="H756" s="392"/>
      <c r="I756" s="392"/>
      <c r="J756" s="145"/>
      <c r="K756" s="392"/>
      <c r="L756" s="392"/>
      <c r="M756" s="392"/>
      <c r="N756" s="392"/>
      <c r="O756" s="392"/>
      <c r="P756" s="392"/>
      <c r="Q756" s="392"/>
      <c r="R756" s="392"/>
      <c r="S756" s="392"/>
      <c r="T756" s="392"/>
      <c r="U756" s="392"/>
      <c r="V756" s="392"/>
      <c r="W756" s="392"/>
      <c r="X756" s="392"/>
      <c r="Y756" s="392"/>
      <c r="Z756" s="392"/>
      <c r="AA756" s="392"/>
      <c r="AB756" s="392"/>
      <c r="AC756" s="392"/>
      <c r="AD756" s="392"/>
      <c r="AE756" s="392"/>
      <c r="AF756" s="392"/>
    </row>
    <row r="757" ht="15.75" customHeight="1">
      <c r="A757" s="216"/>
      <c r="B757" s="156"/>
      <c r="C757" s="156"/>
      <c r="D757" s="156"/>
      <c r="E757" s="392"/>
      <c r="F757" s="392"/>
      <c r="G757" s="392"/>
      <c r="H757" s="392"/>
      <c r="I757" s="392"/>
      <c r="J757" s="145"/>
      <c r="K757" s="392"/>
      <c r="L757" s="392"/>
      <c r="M757" s="392"/>
      <c r="N757" s="392"/>
      <c r="O757" s="392"/>
      <c r="P757" s="392"/>
      <c r="Q757" s="392"/>
      <c r="R757" s="392"/>
      <c r="S757" s="392"/>
      <c r="T757" s="392"/>
      <c r="U757" s="392"/>
      <c r="V757" s="392"/>
      <c r="W757" s="392"/>
      <c r="X757" s="392"/>
      <c r="Y757" s="392"/>
      <c r="Z757" s="392"/>
      <c r="AA757" s="392"/>
      <c r="AB757" s="392"/>
      <c r="AC757" s="392"/>
      <c r="AD757" s="392"/>
      <c r="AE757" s="392"/>
      <c r="AF757" s="392"/>
    </row>
    <row r="758" ht="15.75" customHeight="1">
      <c r="A758" s="216"/>
      <c r="B758" s="156"/>
      <c r="C758" s="156"/>
      <c r="D758" s="156"/>
      <c r="E758" s="392"/>
      <c r="F758" s="392"/>
      <c r="G758" s="392"/>
      <c r="H758" s="392"/>
      <c r="I758" s="392"/>
      <c r="J758" s="145"/>
      <c r="K758" s="392"/>
      <c r="L758" s="392"/>
      <c r="M758" s="392"/>
      <c r="N758" s="392"/>
      <c r="O758" s="392"/>
      <c r="P758" s="392"/>
      <c r="Q758" s="392"/>
      <c r="R758" s="392"/>
      <c r="S758" s="392"/>
      <c r="T758" s="392"/>
      <c r="U758" s="392"/>
      <c r="V758" s="392"/>
      <c r="W758" s="392"/>
      <c r="X758" s="392"/>
      <c r="Y758" s="392"/>
      <c r="Z758" s="392"/>
      <c r="AA758" s="392"/>
      <c r="AB758" s="392"/>
      <c r="AC758" s="392"/>
      <c r="AD758" s="392"/>
      <c r="AE758" s="392"/>
      <c r="AF758" s="392"/>
    </row>
    <row r="759" ht="15.75" customHeight="1">
      <c r="A759" s="216"/>
      <c r="B759" s="156"/>
      <c r="C759" s="156"/>
      <c r="D759" s="156"/>
      <c r="E759" s="392"/>
      <c r="F759" s="392"/>
      <c r="G759" s="392"/>
      <c r="H759" s="392"/>
      <c r="I759" s="392"/>
      <c r="J759" s="145"/>
      <c r="K759" s="392"/>
      <c r="L759" s="392"/>
      <c r="M759" s="392"/>
      <c r="N759" s="392"/>
      <c r="O759" s="392"/>
      <c r="P759" s="392"/>
      <c r="Q759" s="392"/>
      <c r="R759" s="392"/>
      <c r="S759" s="392"/>
      <c r="T759" s="392"/>
      <c r="U759" s="392"/>
      <c r="V759" s="392"/>
      <c r="W759" s="392"/>
      <c r="X759" s="392"/>
      <c r="Y759" s="392"/>
      <c r="Z759" s="392"/>
      <c r="AA759" s="392"/>
      <c r="AB759" s="392"/>
      <c r="AC759" s="392"/>
      <c r="AD759" s="392"/>
      <c r="AE759" s="392"/>
      <c r="AF759" s="392"/>
    </row>
    <row r="760" ht="15.75" customHeight="1">
      <c r="A760" s="216"/>
      <c r="B760" s="156"/>
      <c r="C760" s="156"/>
      <c r="D760" s="156"/>
      <c r="E760" s="392"/>
      <c r="F760" s="392"/>
      <c r="G760" s="392"/>
      <c r="H760" s="392"/>
      <c r="I760" s="392"/>
      <c r="J760" s="145"/>
      <c r="K760" s="392"/>
      <c r="L760" s="392"/>
      <c r="M760" s="392"/>
      <c r="N760" s="392"/>
      <c r="O760" s="392"/>
      <c r="P760" s="392"/>
      <c r="Q760" s="392"/>
      <c r="R760" s="392"/>
      <c r="S760" s="392"/>
      <c r="T760" s="392"/>
      <c r="U760" s="392"/>
      <c r="V760" s="392"/>
      <c r="W760" s="392"/>
      <c r="X760" s="392"/>
      <c r="Y760" s="392"/>
      <c r="Z760" s="392"/>
      <c r="AA760" s="392"/>
      <c r="AB760" s="392"/>
      <c r="AC760" s="392"/>
      <c r="AD760" s="392"/>
      <c r="AE760" s="392"/>
      <c r="AF760" s="392"/>
    </row>
    <row r="761" ht="15.75" customHeight="1">
      <c r="A761" s="216"/>
      <c r="B761" s="156"/>
      <c r="C761" s="156"/>
      <c r="D761" s="156"/>
      <c r="E761" s="392"/>
      <c r="F761" s="392"/>
      <c r="G761" s="392"/>
      <c r="H761" s="392"/>
      <c r="I761" s="392"/>
      <c r="J761" s="145"/>
      <c r="K761" s="392"/>
      <c r="L761" s="392"/>
      <c r="M761" s="392"/>
      <c r="N761" s="392"/>
      <c r="O761" s="392"/>
      <c r="P761" s="392"/>
      <c r="Q761" s="392"/>
      <c r="R761" s="392"/>
      <c r="S761" s="392"/>
      <c r="T761" s="392"/>
      <c r="U761" s="392"/>
      <c r="V761" s="392"/>
      <c r="W761" s="392"/>
      <c r="X761" s="392"/>
      <c r="Y761" s="392"/>
      <c r="Z761" s="392"/>
      <c r="AA761" s="392"/>
      <c r="AB761" s="392"/>
      <c r="AC761" s="392"/>
      <c r="AD761" s="392"/>
      <c r="AE761" s="392"/>
      <c r="AF761" s="392"/>
    </row>
    <row r="762" ht="15.75" customHeight="1">
      <c r="A762" s="216"/>
      <c r="B762" s="156"/>
      <c r="C762" s="156"/>
      <c r="D762" s="156"/>
      <c r="E762" s="392"/>
      <c r="F762" s="392"/>
      <c r="G762" s="392"/>
      <c r="H762" s="392"/>
      <c r="I762" s="392"/>
      <c r="J762" s="145"/>
      <c r="K762" s="392"/>
      <c r="L762" s="392"/>
      <c r="M762" s="392"/>
      <c r="N762" s="392"/>
      <c r="O762" s="392"/>
      <c r="P762" s="392"/>
      <c r="Q762" s="392"/>
      <c r="R762" s="392"/>
      <c r="S762" s="392"/>
      <c r="T762" s="392"/>
      <c r="U762" s="392"/>
      <c r="V762" s="392"/>
      <c r="W762" s="392"/>
      <c r="X762" s="392"/>
      <c r="Y762" s="392"/>
      <c r="Z762" s="392"/>
      <c r="AA762" s="392"/>
      <c r="AB762" s="392"/>
      <c r="AC762" s="392"/>
      <c r="AD762" s="392"/>
      <c r="AE762" s="392"/>
      <c r="AF762" s="392"/>
    </row>
    <row r="763" ht="15.75" customHeight="1">
      <c r="A763" s="216"/>
      <c r="B763" s="156"/>
      <c r="C763" s="156"/>
      <c r="D763" s="156"/>
      <c r="E763" s="392"/>
      <c r="F763" s="392"/>
      <c r="G763" s="392"/>
      <c r="H763" s="392"/>
      <c r="I763" s="392"/>
      <c r="J763" s="145"/>
      <c r="K763" s="392"/>
      <c r="L763" s="392"/>
      <c r="M763" s="392"/>
      <c r="N763" s="392"/>
      <c r="O763" s="392"/>
      <c r="P763" s="392"/>
      <c r="Q763" s="392"/>
      <c r="R763" s="392"/>
      <c r="S763" s="392"/>
      <c r="T763" s="392"/>
      <c r="U763" s="392"/>
      <c r="V763" s="392"/>
      <c r="W763" s="392"/>
      <c r="X763" s="392"/>
      <c r="Y763" s="392"/>
      <c r="Z763" s="392"/>
      <c r="AA763" s="392"/>
      <c r="AB763" s="392"/>
      <c r="AC763" s="392"/>
      <c r="AD763" s="392"/>
      <c r="AE763" s="392"/>
      <c r="AF763" s="392"/>
    </row>
    <row r="764" ht="15.75" customHeight="1">
      <c r="A764" s="216"/>
      <c r="B764" s="156"/>
      <c r="C764" s="156"/>
      <c r="D764" s="156"/>
      <c r="E764" s="392"/>
      <c r="F764" s="392"/>
      <c r="G764" s="392"/>
      <c r="H764" s="392"/>
      <c r="I764" s="392"/>
      <c r="J764" s="145"/>
      <c r="K764" s="392"/>
      <c r="L764" s="392"/>
      <c r="M764" s="392"/>
      <c r="N764" s="392"/>
      <c r="O764" s="392"/>
      <c r="P764" s="392"/>
      <c r="Q764" s="392"/>
      <c r="R764" s="392"/>
      <c r="S764" s="392"/>
      <c r="T764" s="392"/>
      <c r="U764" s="392"/>
      <c r="V764" s="392"/>
      <c r="W764" s="392"/>
      <c r="X764" s="392"/>
      <c r="Y764" s="392"/>
      <c r="Z764" s="392"/>
      <c r="AA764" s="392"/>
      <c r="AB764" s="392"/>
      <c r="AC764" s="392"/>
      <c r="AD764" s="392"/>
      <c r="AE764" s="392"/>
      <c r="AF764" s="392"/>
    </row>
    <row r="765" ht="15.75" customHeight="1">
      <c r="A765" s="216"/>
      <c r="B765" s="156"/>
      <c r="C765" s="156"/>
      <c r="D765" s="156"/>
      <c r="E765" s="392"/>
      <c r="F765" s="392"/>
      <c r="G765" s="392"/>
      <c r="H765" s="392"/>
      <c r="I765" s="392"/>
      <c r="J765" s="145"/>
      <c r="K765" s="392"/>
      <c r="L765" s="392"/>
      <c r="M765" s="392"/>
      <c r="N765" s="392"/>
      <c r="O765" s="392"/>
      <c r="P765" s="392"/>
      <c r="Q765" s="392"/>
      <c r="R765" s="392"/>
      <c r="S765" s="392"/>
      <c r="T765" s="392"/>
      <c r="U765" s="392"/>
      <c r="V765" s="392"/>
      <c r="W765" s="392"/>
      <c r="X765" s="392"/>
      <c r="Y765" s="392"/>
      <c r="Z765" s="392"/>
      <c r="AA765" s="392"/>
      <c r="AB765" s="392"/>
      <c r="AC765" s="392"/>
      <c r="AD765" s="392"/>
      <c r="AE765" s="392"/>
      <c r="AF765" s="392"/>
    </row>
    <row r="766" ht="15.75" customHeight="1">
      <c r="A766" s="216"/>
      <c r="B766" s="156"/>
      <c r="C766" s="156"/>
      <c r="D766" s="156"/>
      <c r="E766" s="392"/>
      <c r="F766" s="392"/>
      <c r="G766" s="392"/>
      <c r="H766" s="392"/>
      <c r="I766" s="392"/>
      <c r="J766" s="145"/>
      <c r="K766" s="392"/>
      <c r="L766" s="392"/>
      <c r="M766" s="392"/>
      <c r="N766" s="392"/>
      <c r="O766" s="392"/>
      <c r="P766" s="392"/>
      <c r="Q766" s="392"/>
      <c r="R766" s="392"/>
      <c r="S766" s="392"/>
      <c r="T766" s="392"/>
      <c r="U766" s="392"/>
      <c r="V766" s="392"/>
      <c r="W766" s="392"/>
      <c r="X766" s="392"/>
      <c r="Y766" s="392"/>
      <c r="Z766" s="392"/>
      <c r="AA766" s="392"/>
      <c r="AB766" s="392"/>
      <c r="AC766" s="392"/>
      <c r="AD766" s="392"/>
      <c r="AE766" s="392"/>
      <c r="AF766" s="392"/>
    </row>
    <row r="767" ht="15.75" customHeight="1">
      <c r="A767" s="216"/>
      <c r="B767" s="156"/>
      <c r="C767" s="156"/>
      <c r="D767" s="156"/>
      <c r="E767" s="392"/>
      <c r="F767" s="392"/>
      <c r="G767" s="392"/>
      <c r="H767" s="392"/>
      <c r="I767" s="392"/>
      <c r="J767" s="145"/>
      <c r="K767" s="392"/>
      <c r="L767" s="392"/>
      <c r="M767" s="392"/>
      <c r="N767" s="392"/>
      <c r="O767" s="392"/>
      <c r="P767" s="392"/>
      <c r="Q767" s="392"/>
      <c r="R767" s="392"/>
      <c r="S767" s="392"/>
      <c r="T767" s="392"/>
      <c r="U767" s="392"/>
      <c r="V767" s="392"/>
      <c r="W767" s="392"/>
      <c r="X767" s="392"/>
      <c r="Y767" s="392"/>
      <c r="Z767" s="392"/>
      <c r="AA767" s="392"/>
      <c r="AB767" s="392"/>
      <c r="AC767" s="392"/>
      <c r="AD767" s="392"/>
      <c r="AE767" s="392"/>
      <c r="AF767" s="392"/>
    </row>
    <row r="768" ht="15.75" customHeight="1">
      <c r="A768" s="216"/>
      <c r="B768" s="156"/>
      <c r="C768" s="156"/>
      <c r="D768" s="156"/>
      <c r="E768" s="392"/>
      <c r="F768" s="392"/>
      <c r="G768" s="392"/>
      <c r="H768" s="392"/>
      <c r="I768" s="392"/>
      <c r="J768" s="145"/>
      <c r="K768" s="392"/>
      <c r="L768" s="392"/>
      <c r="M768" s="392"/>
      <c r="N768" s="392"/>
      <c r="O768" s="392"/>
      <c r="P768" s="392"/>
      <c r="Q768" s="392"/>
      <c r="R768" s="392"/>
      <c r="S768" s="392"/>
      <c r="T768" s="392"/>
      <c r="U768" s="392"/>
      <c r="V768" s="392"/>
      <c r="W768" s="392"/>
      <c r="X768" s="392"/>
      <c r="Y768" s="392"/>
      <c r="Z768" s="392"/>
      <c r="AA768" s="392"/>
      <c r="AB768" s="392"/>
      <c r="AC768" s="392"/>
      <c r="AD768" s="392"/>
      <c r="AE768" s="392"/>
      <c r="AF768" s="392"/>
    </row>
    <row r="769" ht="15.75" customHeight="1">
      <c r="A769" s="216"/>
      <c r="B769" s="156"/>
      <c r="C769" s="156"/>
      <c r="D769" s="156"/>
      <c r="E769" s="392"/>
      <c r="F769" s="392"/>
      <c r="G769" s="392"/>
      <c r="H769" s="392"/>
      <c r="I769" s="392"/>
      <c r="J769" s="145"/>
      <c r="K769" s="392"/>
      <c r="L769" s="392"/>
      <c r="M769" s="392"/>
      <c r="N769" s="392"/>
      <c r="O769" s="392"/>
      <c r="P769" s="392"/>
      <c r="Q769" s="392"/>
      <c r="R769" s="392"/>
      <c r="S769" s="392"/>
      <c r="T769" s="392"/>
      <c r="U769" s="392"/>
      <c r="V769" s="392"/>
      <c r="W769" s="392"/>
      <c r="X769" s="392"/>
      <c r="Y769" s="392"/>
      <c r="Z769" s="392"/>
      <c r="AA769" s="392"/>
      <c r="AB769" s="392"/>
      <c r="AC769" s="392"/>
      <c r="AD769" s="392"/>
      <c r="AE769" s="392"/>
      <c r="AF769" s="392"/>
    </row>
    <row r="770" ht="15.75" customHeight="1">
      <c r="A770" s="216"/>
      <c r="B770" s="156"/>
      <c r="C770" s="156"/>
      <c r="D770" s="156"/>
      <c r="E770" s="392"/>
      <c r="F770" s="392"/>
      <c r="G770" s="392"/>
      <c r="H770" s="392"/>
      <c r="I770" s="392"/>
      <c r="J770" s="145"/>
      <c r="K770" s="392"/>
      <c r="L770" s="392"/>
      <c r="M770" s="392"/>
      <c r="N770" s="392"/>
      <c r="O770" s="392"/>
      <c r="P770" s="392"/>
      <c r="Q770" s="392"/>
      <c r="R770" s="392"/>
      <c r="S770" s="392"/>
      <c r="T770" s="392"/>
      <c r="U770" s="392"/>
      <c r="V770" s="392"/>
      <c r="W770" s="392"/>
      <c r="X770" s="392"/>
      <c r="Y770" s="392"/>
      <c r="Z770" s="392"/>
      <c r="AA770" s="392"/>
      <c r="AB770" s="392"/>
      <c r="AC770" s="392"/>
      <c r="AD770" s="392"/>
      <c r="AE770" s="392"/>
      <c r="AF770" s="392"/>
    </row>
    <row r="771" ht="15.75" customHeight="1">
      <c r="A771" s="216"/>
      <c r="B771" s="156"/>
      <c r="C771" s="156"/>
      <c r="D771" s="156"/>
      <c r="E771" s="392"/>
      <c r="F771" s="392"/>
      <c r="G771" s="392"/>
      <c r="H771" s="392"/>
      <c r="I771" s="392"/>
      <c r="J771" s="145"/>
      <c r="K771" s="392"/>
      <c r="L771" s="392"/>
      <c r="M771" s="392"/>
      <c r="N771" s="392"/>
      <c r="O771" s="392"/>
      <c r="P771" s="392"/>
      <c r="Q771" s="392"/>
      <c r="R771" s="392"/>
      <c r="S771" s="392"/>
      <c r="T771" s="392"/>
      <c r="U771" s="392"/>
      <c r="V771" s="392"/>
      <c r="W771" s="392"/>
      <c r="X771" s="392"/>
      <c r="Y771" s="392"/>
      <c r="Z771" s="392"/>
      <c r="AA771" s="392"/>
      <c r="AB771" s="392"/>
      <c r="AC771" s="392"/>
      <c r="AD771" s="392"/>
      <c r="AE771" s="392"/>
      <c r="AF771" s="392"/>
    </row>
    <row r="772" ht="15.75" customHeight="1">
      <c r="A772" s="216"/>
      <c r="B772" s="156"/>
      <c r="C772" s="156"/>
      <c r="D772" s="156"/>
      <c r="E772" s="392"/>
      <c r="F772" s="392"/>
      <c r="G772" s="392"/>
      <c r="H772" s="392"/>
      <c r="I772" s="392"/>
      <c r="J772" s="145"/>
      <c r="K772" s="392"/>
      <c r="L772" s="392"/>
      <c r="M772" s="392"/>
      <c r="N772" s="392"/>
      <c r="O772" s="392"/>
      <c r="P772" s="392"/>
      <c r="Q772" s="392"/>
      <c r="R772" s="392"/>
      <c r="S772" s="392"/>
      <c r="T772" s="392"/>
      <c r="U772" s="392"/>
      <c r="V772" s="392"/>
      <c r="W772" s="392"/>
      <c r="X772" s="392"/>
      <c r="Y772" s="392"/>
      <c r="Z772" s="392"/>
      <c r="AA772" s="392"/>
      <c r="AB772" s="392"/>
      <c r="AC772" s="392"/>
      <c r="AD772" s="392"/>
      <c r="AE772" s="392"/>
      <c r="AF772" s="392"/>
    </row>
    <row r="773" ht="15.75" customHeight="1">
      <c r="A773" s="216"/>
      <c r="B773" s="156"/>
      <c r="C773" s="156"/>
      <c r="D773" s="156"/>
      <c r="E773" s="392"/>
      <c r="F773" s="392"/>
      <c r="G773" s="392"/>
      <c r="H773" s="392"/>
      <c r="I773" s="392"/>
      <c r="J773" s="145"/>
      <c r="K773" s="392"/>
      <c r="L773" s="392"/>
      <c r="M773" s="392"/>
      <c r="N773" s="392"/>
      <c r="O773" s="392"/>
      <c r="P773" s="392"/>
      <c r="Q773" s="392"/>
      <c r="R773" s="392"/>
      <c r="S773" s="392"/>
      <c r="T773" s="392"/>
      <c r="U773" s="392"/>
      <c r="V773" s="392"/>
      <c r="W773" s="392"/>
      <c r="X773" s="392"/>
      <c r="Y773" s="392"/>
      <c r="Z773" s="392"/>
      <c r="AA773" s="392"/>
      <c r="AB773" s="392"/>
      <c r="AC773" s="392"/>
      <c r="AD773" s="392"/>
      <c r="AE773" s="392"/>
      <c r="AF773" s="392"/>
    </row>
    <row r="774" ht="15.75" customHeight="1">
      <c r="A774" s="216"/>
      <c r="B774" s="156"/>
      <c r="C774" s="156"/>
      <c r="D774" s="156"/>
      <c r="E774" s="392"/>
      <c r="F774" s="392"/>
      <c r="G774" s="392"/>
      <c r="H774" s="392"/>
      <c r="I774" s="392"/>
      <c r="J774" s="145"/>
      <c r="K774" s="392"/>
      <c r="L774" s="392"/>
      <c r="M774" s="392"/>
      <c r="N774" s="392"/>
      <c r="O774" s="392"/>
      <c r="P774" s="392"/>
      <c r="Q774" s="392"/>
      <c r="R774" s="392"/>
      <c r="S774" s="392"/>
      <c r="T774" s="392"/>
      <c r="U774" s="392"/>
      <c r="V774" s="392"/>
      <c r="W774" s="392"/>
      <c r="X774" s="392"/>
      <c r="Y774" s="392"/>
      <c r="Z774" s="392"/>
      <c r="AA774" s="392"/>
      <c r="AB774" s="392"/>
      <c r="AC774" s="392"/>
      <c r="AD774" s="392"/>
      <c r="AE774" s="392"/>
      <c r="AF774" s="392"/>
    </row>
    <row r="775" ht="15.75" customHeight="1">
      <c r="A775" s="216"/>
      <c r="B775" s="156"/>
      <c r="C775" s="156"/>
      <c r="D775" s="156"/>
      <c r="E775" s="392"/>
      <c r="F775" s="392"/>
      <c r="G775" s="392"/>
      <c r="H775" s="392"/>
      <c r="I775" s="392"/>
      <c r="J775" s="145"/>
      <c r="K775" s="392"/>
      <c r="L775" s="392"/>
      <c r="M775" s="392"/>
      <c r="N775" s="392"/>
      <c r="O775" s="392"/>
      <c r="P775" s="392"/>
      <c r="Q775" s="392"/>
      <c r="R775" s="392"/>
      <c r="S775" s="392"/>
      <c r="T775" s="392"/>
      <c r="U775" s="392"/>
      <c r="V775" s="392"/>
      <c r="W775" s="392"/>
      <c r="X775" s="392"/>
      <c r="Y775" s="392"/>
      <c r="Z775" s="392"/>
      <c r="AA775" s="392"/>
      <c r="AB775" s="392"/>
      <c r="AC775" s="392"/>
      <c r="AD775" s="392"/>
      <c r="AE775" s="392"/>
      <c r="AF775" s="392"/>
    </row>
    <row r="776" ht="15.75" customHeight="1">
      <c r="A776" s="216"/>
      <c r="B776" s="156"/>
      <c r="C776" s="156"/>
      <c r="D776" s="156"/>
      <c r="E776" s="392"/>
      <c r="F776" s="392"/>
      <c r="G776" s="392"/>
      <c r="H776" s="392"/>
      <c r="I776" s="392"/>
      <c r="J776" s="145"/>
      <c r="K776" s="392"/>
      <c r="L776" s="392"/>
      <c r="M776" s="392"/>
      <c r="N776" s="392"/>
      <c r="O776" s="392"/>
      <c r="P776" s="392"/>
      <c r="Q776" s="392"/>
      <c r="R776" s="392"/>
      <c r="S776" s="392"/>
      <c r="T776" s="392"/>
      <c r="U776" s="392"/>
      <c r="V776" s="392"/>
      <c r="W776" s="392"/>
      <c r="X776" s="392"/>
      <c r="Y776" s="392"/>
      <c r="Z776" s="392"/>
      <c r="AA776" s="392"/>
      <c r="AB776" s="392"/>
      <c r="AC776" s="392"/>
      <c r="AD776" s="392"/>
      <c r="AE776" s="392"/>
      <c r="AF776" s="392"/>
    </row>
    <row r="777" ht="15.75" customHeight="1">
      <c r="A777" s="216"/>
      <c r="B777" s="156"/>
      <c r="C777" s="156"/>
      <c r="D777" s="156"/>
      <c r="E777" s="392"/>
      <c r="F777" s="392"/>
      <c r="G777" s="392"/>
      <c r="H777" s="392"/>
      <c r="I777" s="392"/>
      <c r="J777" s="145"/>
      <c r="K777" s="392"/>
      <c r="L777" s="392"/>
      <c r="M777" s="392"/>
      <c r="N777" s="392"/>
      <c r="O777" s="392"/>
      <c r="P777" s="392"/>
      <c r="Q777" s="392"/>
      <c r="R777" s="392"/>
      <c r="S777" s="392"/>
      <c r="T777" s="392"/>
      <c r="U777" s="392"/>
      <c r="V777" s="392"/>
      <c r="W777" s="392"/>
      <c r="X777" s="392"/>
      <c r="Y777" s="392"/>
      <c r="Z777" s="392"/>
      <c r="AA777" s="392"/>
      <c r="AB777" s="392"/>
      <c r="AC777" s="392"/>
      <c r="AD777" s="392"/>
      <c r="AE777" s="392"/>
      <c r="AF777" s="392"/>
    </row>
    <row r="778" ht="15.75" customHeight="1">
      <c r="A778" s="216"/>
      <c r="B778" s="156"/>
      <c r="C778" s="156"/>
      <c r="D778" s="156"/>
      <c r="E778" s="392"/>
      <c r="F778" s="392"/>
      <c r="G778" s="392"/>
      <c r="H778" s="392"/>
      <c r="I778" s="392"/>
      <c r="J778" s="145"/>
      <c r="K778" s="392"/>
      <c r="L778" s="392"/>
      <c r="M778" s="392"/>
      <c r="N778" s="392"/>
      <c r="O778" s="392"/>
      <c r="P778" s="392"/>
      <c r="Q778" s="392"/>
      <c r="R778" s="392"/>
      <c r="S778" s="392"/>
      <c r="T778" s="392"/>
      <c r="U778" s="392"/>
      <c r="V778" s="392"/>
      <c r="W778" s="392"/>
      <c r="X778" s="392"/>
      <c r="Y778" s="392"/>
      <c r="Z778" s="392"/>
      <c r="AA778" s="392"/>
      <c r="AB778" s="392"/>
      <c r="AC778" s="392"/>
      <c r="AD778" s="392"/>
      <c r="AE778" s="392"/>
      <c r="AF778" s="392"/>
    </row>
    <row r="779" ht="15.75" customHeight="1">
      <c r="A779" s="216"/>
      <c r="B779" s="156"/>
      <c r="C779" s="156"/>
      <c r="D779" s="156"/>
      <c r="E779" s="392"/>
      <c r="F779" s="392"/>
      <c r="G779" s="392"/>
      <c r="H779" s="392"/>
      <c r="I779" s="392"/>
      <c r="J779" s="145"/>
      <c r="K779" s="392"/>
      <c r="L779" s="392"/>
      <c r="M779" s="392"/>
      <c r="N779" s="392"/>
      <c r="O779" s="392"/>
      <c r="P779" s="392"/>
      <c r="Q779" s="392"/>
      <c r="R779" s="392"/>
      <c r="S779" s="392"/>
      <c r="T779" s="392"/>
      <c r="U779" s="392"/>
      <c r="V779" s="392"/>
      <c r="W779" s="392"/>
      <c r="X779" s="392"/>
      <c r="Y779" s="392"/>
      <c r="Z779" s="392"/>
      <c r="AA779" s="392"/>
      <c r="AB779" s="392"/>
      <c r="AC779" s="392"/>
      <c r="AD779" s="392"/>
      <c r="AE779" s="392"/>
      <c r="AF779" s="392"/>
    </row>
    <row r="780" ht="15.75" customHeight="1">
      <c r="A780" s="216"/>
      <c r="B780" s="156"/>
      <c r="C780" s="156"/>
      <c r="D780" s="156"/>
      <c r="E780" s="392"/>
      <c r="F780" s="392"/>
      <c r="G780" s="392"/>
      <c r="H780" s="392"/>
      <c r="I780" s="392"/>
      <c r="J780" s="145"/>
      <c r="K780" s="392"/>
      <c r="L780" s="392"/>
      <c r="M780" s="392"/>
      <c r="N780" s="392"/>
      <c r="O780" s="392"/>
      <c r="P780" s="392"/>
      <c r="Q780" s="392"/>
      <c r="R780" s="392"/>
      <c r="S780" s="392"/>
      <c r="T780" s="392"/>
      <c r="U780" s="392"/>
      <c r="V780" s="392"/>
      <c r="W780" s="392"/>
      <c r="X780" s="392"/>
      <c r="Y780" s="392"/>
      <c r="Z780" s="392"/>
      <c r="AA780" s="392"/>
      <c r="AB780" s="392"/>
      <c r="AC780" s="392"/>
      <c r="AD780" s="392"/>
      <c r="AE780" s="392"/>
      <c r="AF780" s="392"/>
    </row>
    <row r="781" ht="15.75" customHeight="1">
      <c r="A781" s="216"/>
      <c r="B781" s="156"/>
      <c r="C781" s="156"/>
      <c r="D781" s="156"/>
      <c r="E781" s="392"/>
      <c r="F781" s="392"/>
      <c r="G781" s="392"/>
      <c r="H781" s="392"/>
      <c r="I781" s="392"/>
      <c r="J781" s="145"/>
      <c r="K781" s="392"/>
      <c r="L781" s="392"/>
      <c r="M781" s="392"/>
      <c r="N781" s="392"/>
      <c r="O781" s="392"/>
      <c r="P781" s="392"/>
      <c r="Q781" s="392"/>
      <c r="R781" s="392"/>
      <c r="S781" s="392"/>
      <c r="T781" s="392"/>
      <c r="U781" s="392"/>
      <c r="V781" s="392"/>
      <c r="W781" s="392"/>
      <c r="X781" s="392"/>
      <c r="Y781" s="392"/>
      <c r="Z781" s="392"/>
      <c r="AA781" s="392"/>
      <c r="AB781" s="392"/>
      <c r="AC781" s="392"/>
      <c r="AD781" s="392"/>
      <c r="AE781" s="392"/>
      <c r="AF781" s="392"/>
    </row>
    <row r="782" ht="15.75" customHeight="1">
      <c r="A782" s="216"/>
      <c r="B782" s="156"/>
      <c r="C782" s="156"/>
      <c r="D782" s="156"/>
      <c r="E782" s="392"/>
      <c r="F782" s="392"/>
      <c r="G782" s="392"/>
      <c r="H782" s="392"/>
      <c r="I782" s="392"/>
      <c r="J782" s="145"/>
      <c r="K782" s="392"/>
      <c r="L782" s="392"/>
      <c r="M782" s="392"/>
      <c r="N782" s="392"/>
      <c r="O782" s="392"/>
      <c r="P782" s="392"/>
      <c r="Q782" s="392"/>
      <c r="R782" s="392"/>
      <c r="S782" s="392"/>
      <c r="T782" s="392"/>
      <c r="U782" s="392"/>
      <c r="V782" s="392"/>
      <c r="W782" s="392"/>
      <c r="X782" s="392"/>
      <c r="Y782" s="392"/>
      <c r="Z782" s="392"/>
      <c r="AA782" s="392"/>
      <c r="AB782" s="392"/>
      <c r="AC782" s="392"/>
      <c r="AD782" s="392"/>
      <c r="AE782" s="392"/>
      <c r="AF782" s="392"/>
    </row>
    <row r="783" ht="15.75" customHeight="1">
      <c r="A783" s="216"/>
      <c r="B783" s="156"/>
      <c r="C783" s="156"/>
      <c r="D783" s="156"/>
      <c r="E783" s="392"/>
      <c r="F783" s="392"/>
      <c r="G783" s="392"/>
      <c r="H783" s="392"/>
      <c r="I783" s="392"/>
      <c r="J783" s="145"/>
      <c r="K783" s="392"/>
      <c r="L783" s="392"/>
      <c r="M783" s="392"/>
      <c r="N783" s="392"/>
      <c r="O783" s="392"/>
      <c r="P783" s="392"/>
      <c r="Q783" s="392"/>
      <c r="R783" s="392"/>
      <c r="S783" s="392"/>
      <c r="T783" s="392"/>
      <c r="U783" s="392"/>
      <c r="V783" s="392"/>
      <c r="W783" s="392"/>
      <c r="X783" s="392"/>
      <c r="Y783" s="392"/>
      <c r="Z783" s="392"/>
      <c r="AA783" s="392"/>
      <c r="AB783" s="392"/>
      <c r="AC783" s="392"/>
      <c r="AD783" s="392"/>
      <c r="AE783" s="392"/>
      <c r="AF783" s="392"/>
    </row>
    <row r="784" ht="15.75" customHeight="1">
      <c r="A784" s="216"/>
      <c r="B784" s="156"/>
      <c r="C784" s="156"/>
      <c r="D784" s="156"/>
      <c r="E784" s="392"/>
      <c r="F784" s="392"/>
      <c r="G784" s="392"/>
      <c r="H784" s="392"/>
      <c r="I784" s="392"/>
      <c r="J784" s="145"/>
      <c r="K784" s="392"/>
      <c r="L784" s="392"/>
      <c r="M784" s="392"/>
      <c r="N784" s="392"/>
      <c r="O784" s="392"/>
      <c r="P784" s="392"/>
      <c r="Q784" s="392"/>
      <c r="R784" s="392"/>
      <c r="S784" s="392"/>
      <c r="T784" s="392"/>
      <c r="U784" s="392"/>
      <c r="V784" s="392"/>
      <c r="W784" s="392"/>
      <c r="X784" s="392"/>
      <c r="Y784" s="392"/>
      <c r="Z784" s="392"/>
      <c r="AA784" s="392"/>
      <c r="AB784" s="392"/>
      <c r="AC784" s="392"/>
      <c r="AD784" s="392"/>
      <c r="AE784" s="392"/>
      <c r="AF784" s="392"/>
    </row>
    <row r="785" ht="15.75" customHeight="1">
      <c r="A785" s="216"/>
      <c r="B785" s="156"/>
      <c r="C785" s="156"/>
      <c r="D785" s="156"/>
      <c r="E785" s="392"/>
      <c r="F785" s="392"/>
      <c r="G785" s="392"/>
      <c r="H785" s="392"/>
      <c r="I785" s="392"/>
      <c r="J785" s="145"/>
      <c r="K785" s="392"/>
      <c r="L785" s="392"/>
      <c r="M785" s="392"/>
      <c r="N785" s="392"/>
      <c r="O785" s="392"/>
      <c r="P785" s="392"/>
      <c r="Q785" s="392"/>
      <c r="R785" s="392"/>
      <c r="S785" s="392"/>
      <c r="T785" s="392"/>
      <c r="U785" s="392"/>
      <c r="V785" s="392"/>
      <c r="W785" s="392"/>
      <c r="X785" s="392"/>
      <c r="Y785" s="392"/>
      <c r="Z785" s="392"/>
      <c r="AA785" s="392"/>
      <c r="AB785" s="392"/>
      <c r="AC785" s="392"/>
      <c r="AD785" s="392"/>
      <c r="AE785" s="392"/>
      <c r="AF785" s="392"/>
    </row>
    <row r="786" ht="15.75" customHeight="1">
      <c r="A786" s="216"/>
      <c r="B786" s="156"/>
      <c r="C786" s="156"/>
      <c r="D786" s="156"/>
      <c r="E786" s="392"/>
      <c r="F786" s="392"/>
      <c r="G786" s="392"/>
      <c r="H786" s="392"/>
      <c r="I786" s="392"/>
      <c r="J786" s="145"/>
      <c r="K786" s="392"/>
      <c r="L786" s="392"/>
      <c r="M786" s="392"/>
      <c r="N786" s="392"/>
      <c r="O786" s="392"/>
      <c r="P786" s="392"/>
      <c r="Q786" s="392"/>
      <c r="R786" s="392"/>
      <c r="S786" s="392"/>
      <c r="T786" s="392"/>
      <c r="U786" s="392"/>
      <c r="V786" s="392"/>
      <c r="W786" s="392"/>
      <c r="X786" s="392"/>
      <c r="Y786" s="392"/>
      <c r="Z786" s="392"/>
      <c r="AA786" s="392"/>
      <c r="AB786" s="392"/>
      <c r="AC786" s="392"/>
      <c r="AD786" s="392"/>
      <c r="AE786" s="392"/>
      <c r="AF786" s="392"/>
    </row>
    <row r="787" ht="15.75" customHeight="1">
      <c r="A787" s="216"/>
      <c r="B787" s="156"/>
      <c r="C787" s="156"/>
      <c r="D787" s="156"/>
      <c r="E787" s="392"/>
      <c r="F787" s="392"/>
      <c r="G787" s="392"/>
      <c r="H787" s="392"/>
      <c r="I787" s="392"/>
      <c r="J787" s="145"/>
      <c r="K787" s="392"/>
      <c r="L787" s="392"/>
      <c r="M787" s="392"/>
      <c r="N787" s="392"/>
      <c r="O787" s="392"/>
      <c r="P787" s="392"/>
      <c r="Q787" s="392"/>
      <c r="R787" s="392"/>
      <c r="S787" s="392"/>
      <c r="T787" s="392"/>
      <c r="U787" s="392"/>
      <c r="V787" s="392"/>
      <c r="W787" s="392"/>
      <c r="X787" s="392"/>
      <c r="Y787" s="392"/>
      <c r="Z787" s="392"/>
      <c r="AA787" s="392"/>
      <c r="AB787" s="392"/>
      <c r="AC787" s="392"/>
      <c r="AD787" s="392"/>
      <c r="AE787" s="392"/>
      <c r="AF787" s="392"/>
    </row>
    <row r="788" ht="15.75" customHeight="1">
      <c r="A788" s="216"/>
      <c r="B788" s="156"/>
      <c r="C788" s="156"/>
      <c r="D788" s="156"/>
      <c r="E788" s="392"/>
      <c r="F788" s="392"/>
      <c r="G788" s="392"/>
      <c r="H788" s="392"/>
      <c r="I788" s="392"/>
      <c r="J788" s="145"/>
      <c r="K788" s="392"/>
      <c r="L788" s="392"/>
      <c r="M788" s="392"/>
      <c r="N788" s="392"/>
      <c r="O788" s="392"/>
      <c r="P788" s="392"/>
      <c r="Q788" s="392"/>
      <c r="R788" s="392"/>
      <c r="S788" s="392"/>
      <c r="T788" s="392"/>
      <c r="U788" s="392"/>
      <c r="V788" s="392"/>
      <c r="W788" s="392"/>
      <c r="X788" s="392"/>
      <c r="Y788" s="392"/>
      <c r="Z788" s="392"/>
      <c r="AA788" s="392"/>
      <c r="AB788" s="392"/>
      <c r="AC788" s="392"/>
      <c r="AD788" s="392"/>
      <c r="AE788" s="392"/>
      <c r="AF788" s="392"/>
    </row>
    <row r="789" ht="15.75" customHeight="1">
      <c r="A789" s="216"/>
      <c r="B789" s="156"/>
      <c r="C789" s="156"/>
      <c r="D789" s="156"/>
      <c r="E789" s="392"/>
      <c r="F789" s="392"/>
      <c r="G789" s="392"/>
      <c r="H789" s="392"/>
      <c r="I789" s="392"/>
      <c r="J789" s="145"/>
      <c r="K789" s="392"/>
      <c r="L789" s="392"/>
      <c r="M789" s="392"/>
      <c r="N789" s="392"/>
      <c r="O789" s="392"/>
      <c r="P789" s="392"/>
      <c r="Q789" s="392"/>
      <c r="R789" s="392"/>
      <c r="S789" s="392"/>
      <c r="T789" s="392"/>
      <c r="U789" s="392"/>
      <c r="V789" s="392"/>
      <c r="W789" s="392"/>
      <c r="X789" s="392"/>
      <c r="Y789" s="392"/>
      <c r="Z789" s="392"/>
      <c r="AA789" s="392"/>
      <c r="AB789" s="392"/>
      <c r="AC789" s="392"/>
      <c r="AD789" s="392"/>
      <c r="AE789" s="392"/>
      <c r="AF789" s="392"/>
    </row>
    <row r="790" ht="15.75" customHeight="1">
      <c r="A790" s="216"/>
      <c r="B790" s="156"/>
      <c r="C790" s="156"/>
      <c r="D790" s="156"/>
      <c r="E790" s="392"/>
      <c r="F790" s="392"/>
      <c r="G790" s="392"/>
      <c r="H790" s="392"/>
      <c r="I790" s="392"/>
      <c r="J790" s="145"/>
      <c r="K790" s="392"/>
      <c r="L790" s="392"/>
      <c r="M790" s="392"/>
      <c r="N790" s="392"/>
      <c r="O790" s="392"/>
      <c r="P790" s="392"/>
      <c r="Q790" s="392"/>
      <c r="R790" s="392"/>
      <c r="S790" s="392"/>
      <c r="T790" s="392"/>
      <c r="U790" s="392"/>
      <c r="V790" s="392"/>
      <c r="W790" s="392"/>
      <c r="X790" s="392"/>
      <c r="Y790" s="392"/>
      <c r="Z790" s="392"/>
      <c r="AA790" s="392"/>
      <c r="AB790" s="392"/>
      <c r="AC790" s="392"/>
      <c r="AD790" s="392"/>
      <c r="AE790" s="392"/>
      <c r="AF790" s="392"/>
    </row>
    <row r="791" ht="15.75" customHeight="1">
      <c r="A791" s="216"/>
      <c r="B791" s="156"/>
      <c r="C791" s="156"/>
      <c r="D791" s="156"/>
      <c r="E791" s="392"/>
      <c r="F791" s="392"/>
      <c r="G791" s="392"/>
      <c r="H791" s="392"/>
      <c r="I791" s="392"/>
      <c r="J791" s="145"/>
      <c r="K791" s="392"/>
      <c r="L791" s="392"/>
      <c r="M791" s="392"/>
      <c r="N791" s="392"/>
      <c r="O791" s="392"/>
      <c r="P791" s="392"/>
      <c r="Q791" s="392"/>
      <c r="R791" s="392"/>
      <c r="S791" s="392"/>
      <c r="T791" s="392"/>
      <c r="U791" s="392"/>
      <c r="V791" s="392"/>
      <c r="W791" s="392"/>
      <c r="X791" s="392"/>
      <c r="Y791" s="392"/>
      <c r="Z791" s="392"/>
      <c r="AA791" s="392"/>
      <c r="AB791" s="392"/>
      <c r="AC791" s="392"/>
      <c r="AD791" s="392"/>
      <c r="AE791" s="392"/>
      <c r="AF791" s="392"/>
    </row>
    <row r="792" ht="15.75" customHeight="1">
      <c r="A792" s="216"/>
      <c r="B792" s="156"/>
      <c r="C792" s="156"/>
      <c r="D792" s="156"/>
      <c r="E792" s="392"/>
      <c r="F792" s="392"/>
      <c r="G792" s="392"/>
      <c r="H792" s="392"/>
      <c r="I792" s="392"/>
      <c r="J792" s="145"/>
      <c r="K792" s="392"/>
      <c r="L792" s="392"/>
      <c r="M792" s="392"/>
      <c r="N792" s="392"/>
      <c r="O792" s="392"/>
      <c r="P792" s="392"/>
      <c r="Q792" s="392"/>
      <c r="R792" s="392"/>
      <c r="S792" s="392"/>
      <c r="T792" s="392"/>
      <c r="U792" s="392"/>
      <c r="V792" s="392"/>
      <c r="W792" s="392"/>
      <c r="X792" s="392"/>
      <c r="Y792" s="392"/>
      <c r="Z792" s="392"/>
      <c r="AA792" s="392"/>
      <c r="AB792" s="392"/>
      <c r="AC792" s="392"/>
      <c r="AD792" s="392"/>
      <c r="AE792" s="392"/>
      <c r="AF792" s="392"/>
    </row>
    <row r="793" ht="15.75" customHeight="1">
      <c r="A793" s="216"/>
      <c r="B793" s="156"/>
      <c r="C793" s="156"/>
      <c r="D793" s="156"/>
      <c r="E793" s="392"/>
      <c r="F793" s="392"/>
      <c r="G793" s="392"/>
      <c r="H793" s="392"/>
      <c r="I793" s="392"/>
      <c r="J793" s="145"/>
      <c r="K793" s="392"/>
      <c r="L793" s="392"/>
      <c r="M793" s="392"/>
      <c r="N793" s="392"/>
      <c r="O793" s="392"/>
      <c r="P793" s="392"/>
      <c r="Q793" s="392"/>
      <c r="R793" s="392"/>
      <c r="S793" s="392"/>
      <c r="T793" s="392"/>
      <c r="U793" s="392"/>
      <c r="V793" s="392"/>
      <c r="W793" s="392"/>
      <c r="X793" s="392"/>
      <c r="Y793" s="392"/>
      <c r="Z793" s="392"/>
      <c r="AA793" s="392"/>
      <c r="AB793" s="392"/>
      <c r="AC793" s="392"/>
      <c r="AD793" s="392"/>
      <c r="AE793" s="392"/>
      <c r="AF793" s="392"/>
    </row>
    <row r="794" ht="15.75" customHeight="1">
      <c r="A794" s="216"/>
      <c r="B794" s="156"/>
      <c r="C794" s="156"/>
      <c r="D794" s="156"/>
      <c r="E794" s="392"/>
      <c r="F794" s="392"/>
      <c r="G794" s="392"/>
      <c r="H794" s="392"/>
      <c r="I794" s="392"/>
      <c r="J794" s="145"/>
      <c r="K794" s="392"/>
      <c r="L794" s="392"/>
      <c r="M794" s="392"/>
      <c r="N794" s="392"/>
      <c r="O794" s="392"/>
      <c r="P794" s="392"/>
      <c r="Q794" s="392"/>
      <c r="R794" s="392"/>
      <c r="S794" s="392"/>
      <c r="T794" s="392"/>
      <c r="U794" s="392"/>
      <c r="V794" s="392"/>
      <c r="W794" s="392"/>
      <c r="X794" s="392"/>
      <c r="Y794" s="392"/>
      <c r="Z794" s="392"/>
      <c r="AA794" s="392"/>
      <c r="AB794" s="392"/>
      <c r="AC794" s="392"/>
      <c r="AD794" s="392"/>
      <c r="AE794" s="392"/>
      <c r="AF794" s="392"/>
    </row>
    <row r="795" ht="15.75" customHeight="1">
      <c r="A795" s="216"/>
      <c r="B795" s="156"/>
      <c r="C795" s="156"/>
      <c r="D795" s="156"/>
      <c r="E795" s="392"/>
      <c r="F795" s="392"/>
      <c r="G795" s="392"/>
      <c r="H795" s="392"/>
      <c r="I795" s="392"/>
      <c r="J795" s="145"/>
      <c r="K795" s="392"/>
      <c r="L795" s="392"/>
      <c r="M795" s="392"/>
      <c r="N795" s="392"/>
      <c r="O795" s="392"/>
      <c r="P795" s="392"/>
      <c r="Q795" s="392"/>
      <c r="R795" s="392"/>
      <c r="S795" s="392"/>
      <c r="T795" s="392"/>
      <c r="U795" s="392"/>
      <c r="V795" s="392"/>
      <c r="W795" s="392"/>
      <c r="X795" s="392"/>
      <c r="Y795" s="392"/>
      <c r="Z795" s="392"/>
      <c r="AA795" s="392"/>
      <c r="AB795" s="392"/>
      <c r="AC795" s="392"/>
      <c r="AD795" s="392"/>
      <c r="AE795" s="392"/>
      <c r="AF795" s="392"/>
    </row>
    <row r="796" ht="15.75" customHeight="1">
      <c r="A796" s="216"/>
      <c r="B796" s="156"/>
      <c r="C796" s="156"/>
      <c r="D796" s="156"/>
      <c r="E796" s="392"/>
      <c r="F796" s="392"/>
      <c r="G796" s="392"/>
      <c r="H796" s="392"/>
      <c r="I796" s="392"/>
      <c r="J796" s="145"/>
      <c r="K796" s="392"/>
      <c r="L796" s="392"/>
      <c r="M796" s="392"/>
      <c r="N796" s="392"/>
      <c r="O796" s="392"/>
      <c r="P796" s="392"/>
      <c r="Q796" s="392"/>
      <c r="R796" s="392"/>
      <c r="S796" s="392"/>
      <c r="T796" s="392"/>
      <c r="U796" s="392"/>
      <c r="V796" s="392"/>
      <c r="W796" s="392"/>
      <c r="X796" s="392"/>
      <c r="Y796" s="392"/>
      <c r="Z796" s="392"/>
      <c r="AA796" s="392"/>
      <c r="AB796" s="392"/>
      <c r="AC796" s="392"/>
      <c r="AD796" s="392"/>
      <c r="AE796" s="392"/>
      <c r="AF796" s="392"/>
    </row>
    <row r="797" ht="15.75" customHeight="1">
      <c r="A797" s="216"/>
      <c r="B797" s="156"/>
      <c r="C797" s="156"/>
      <c r="D797" s="156"/>
      <c r="E797" s="392"/>
      <c r="F797" s="392"/>
      <c r="G797" s="392"/>
      <c r="H797" s="392"/>
      <c r="I797" s="392"/>
      <c r="J797" s="145"/>
      <c r="K797" s="392"/>
      <c r="L797" s="392"/>
      <c r="M797" s="392"/>
      <c r="N797" s="392"/>
      <c r="O797" s="392"/>
      <c r="P797" s="392"/>
      <c r="Q797" s="392"/>
      <c r="R797" s="392"/>
      <c r="S797" s="392"/>
      <c r="T797" s="392"/>
      <c r="U797" s="392"/>
      <c r="V797" s="392"/>
      <c r="W797" s="392"/>
      <c r="X797" s="392"/>
      <c r="Y797" s="392"/>
      <c r="Z797" s="392"/>
      <c r="AA797" s="392"/>
      <c r="AB797" s="392"/>
      <c r="AC797" s="392"/>
      <c r="AD797" s="392"/>
      <c r="AE797" s="392"/>
      <c r="AF797" s="392"/>
    </row>
    <row r="798" ht="15.75" customHeight="1">
      <c r="A798" s="216"/>
      <c r="B798" s="156"/>
      <c r="C798" s="156"/>
      <c r="D798" s="156"/>
      <c r="E798" s="392"/>
      <c r="F798" s="392"/>
      <c r="G798" s="392"/>
      <c r="H798" s="392"/>
      <c r="I798" s="392"/>
      <c r="J798" s="145"/>
      <c r="K798" s="392"/>
      <c r="L798" s="392"/>
      <c r="M798" s="392"/>
      <c r="N798" s="392"/>
      <c r="O798" s="392"/>
      <c r="P798" s="392"/>
      <c r="Q798" s="392"/>
      <c r="R798" s="392"/>
      <c r="S798" s="392"/>
      <c r="T798" s="392"/>
      <c r="U798" s="392"/>
      <c r="V798" s="392"/>
      <c r="W798" s="392"/>
      <c r="X798" s="392"/>
      <c r="Y798" s="392"/>
      <c r="Z798" s="392"/>
      <c r="AA798" s="392"/>
      <c r="AB798" s="392"/>
      <c r="AC798" s="392"/>
      <c r="AD798" s="392"/>
      <c r="AE798" s="392"/>
      <c r="AF798" s="392"/>
    </row>
    <row r="799" ht="15.75" customHeight="1">
      <c r="A799" s="216"/>
      <c r="B799" s="156"/>
      <c r="C799" s="156"/>
      <c r="D799" s="156"/>
      <c r="E799" s="392"/>
      <c r="F799" s="392"/>
      <c r="G799" s="392"/>
      <c r="H799" s="392"/>
      <c r="I799" s="392"/>
      <c r="J799" s="145"/>
      <c r="K799" s="392"/>
      <c r="L799" s="392"/>
      <c r="M799" s="392"/>
      <c r="N799" s="392"/>
      <c r="O799" s="392"/>
      <c r="P799" s="392"/>
      <c r="Q799" s="392"/>
      <c r="R799" s="392"/>
      <c r="S799" s="392"/>
      <c r="T799" s="392"/>
      <c r="U799" s="392"/>
      <c r="V799" s="392"/>
      <c r="W799" s="392"/>
      <c r="X799" s="392"/>
      <c r="Y799" s="392"/>
      <c r="Z799" s="392"/>
      <c r="AA799" s="392"/>
      <c r="AB799" s="392"/>
      <c r="AC799" s="392"/>
      <c r="AD799" s="392"/>
      <c r="AE799" s="392"/>
      <c r="AF799" s="392"/>
    </row>
    <row r="800" ht="15.75" customHeight="1">
      <c r="A800" s="216"/>
      <c r="B800" s="156"/>
      <c r="C800" s="156"/>
      <c r="D800" s="156"/>
      <c r="E800" s="392"/>
      <c r="F800" s="392"/>
      <c r="G800" s="392"/>
      <c r="H800" s="392"/>
      <c r="I800" s="392"/>
      <c r="J800" s="145"/>
      <c r="K800" s="392"/>
      <c r="L800" s="392"/>
      <c r="M800" s="392"/>
      <c r="N800" s="392"/>
      <c r="O800" s="392"/>
      <c r="P800" s="392"/>
      <c r="Q800" s="392"/>
      <c r="R800" s="392"/>
      <c r="S800" s="392"/>
      <c r="T800" s="392"/>
      <c r="U800" s="392"/>
      <c r="V800" s="392"/>
      <c r="W800" s="392"/>
      <c r="X800" s="392"/>
      <c r="Y800" s="392"/>
      <c r="Z800" s="392"/>
      <c r="AA800" s="392"/>
      <c r="AB800" s="392"/>
      <c r="AC800" s="392"/>
      <c r="AD800" s="392"/>
      <c r="AE800" s="392"/>
      <c r="AF800" s="392"/>
    </row>
    <row r="801" ht="15.75" customHeight="1">
      <c r="A801" s="216"/>
      <c r="B801" s="156"/>
      <c r="C801" s="156"/>
      <c r="D801" s="156"/>
      <c r="E801" s="392"/>
      <c r="F801" s="392"/>
      <c r="G801" s="392"/>
      <c r="H801" s="392"/>
      <c r="I801" s="392"/>
      <c r="J801" s="145"/>
      <c r="K801" s="392"/>
      <c r="L801" s="392"/>
      <c r="M801" s="392"/>
      <c r="N801" s="392"/>
      <c r="O801" s="392"/>
      <c r="P801" s="392"/>
      <c r="Q801" s="392"/>
      <c r="R801" s="392"/>
      <c r="S801" s="392"/>
      <c r="T801" s="392"/>
      <c r="U801" s="392"/>
      <c r="V801" s="392"/>
      <c r="W801" s="392"/>
      <c r="X801" s="392"/>
      <c r="Y801" s="392"/>
      <c r="Z801" s="392"/>
      <c r="AA801" s="392"/>
      <c r="AB801" s="392"/>
      <c r="AC801" s="392"/>
      <c r="AD801" s="392"/>
      <c r="AE801" s="392"/>
      <c r="AF801" s="392"/>
    </row>
    <row r="802" ht="15.75" customHeight="1">
      <c r="A802" s="216"/>
      <c r="B802" s="156"/>
      <c r="C802" s="156"/>
      <c r="D802" s="156"/>
      <c r="E802" s="392"/>
      <c r="F802" s="392"/>
      <c r="G802" s="392"/>
      <c r="H802" s="392"/>
      <c r="I802" s="392"/>
      <c r="J802" s="145"/>
      <c r="K802" s="392"/>
      <c r="L802" s="392"/>
      <c r="M802" s="392"/>
      <c r="N802" s="392"/>
      <c r="O802" s="392"/>
      <c r="P802" s="392"/>
      <c r="Q802" s="392"/>
      <c r="R802" s="392"/>
      <c r="S802" s="392"/>
      <c r="T802" s="392"/>
      <c r="U802" s="392"/>
      <c r="V802" s="392"/>
      <c r="W802" s="392"/>
      <c r="X802" s="392"/>
      <c r="Y802" s="392"/>
      <c r="Z802" s="392"/>
      <c r="AA802" s="392"/>
      <c r="AB802" s="392"/>
      <c r="AC802" s="392"/>
      <c r="AD802" s="392"/>
      <c r="AE802" s="392"/>
      <c r="AF802" s="392"/>
    </row>
    <row r="803" ht="15.75" customHeight="1">
      <c r="A803" s="216"/>
      <c r="B803" s="156"/>
      <c r="C803" s="156"/>
      <c r="D803" s="156"/>
      <c r="E803" s="392"/>
      <c r="F803" s="392"/>
      <c r="G803" s="392"/>
      <c r="H803" s="392"/>
      <c r="I803" s="392"/>
      <c r="J803" s="145"/>
      <c r="K803" s="392"/>
      <c r="L803" s="392"/>
      <c r="M803" s="392"/>
      <c r="N803" s="392"/>
      <c r="O803" s="392"/>
      <c r="P803" s="392"/>
      <c r="Q803" s="392"/>
      <c r="R803" s="392"/>
      <c r="S803" s="392"/>
      <c r="T803" s="392"/>
      <c r="U803" s="392"/>
      <c r="V803" s="392"/>
      <c r="W803" s="392"/>
      <c r="X803" s="392"/>
      <c r="Y803" s="392"/>
      <c r="Z803" s="392"/>
      <c r="AA803" s="392"/>
      <c r="AB803" s="392"/>
      <c r="AC803" s="392"/>
      <c r="AD803" s="392"/>
      <c r="AE803" s="392"/>
      <c r="AF803" s="392"/>
    </row>
    <row r="804" ht="15.75" customHeight="1">
      <c r="A804" s="216"/>
      <c r="B804" s="156"/>
      <c r="C804" s="156"/>
      <c r="D804" s="156"/>
      <c r="E804" s="392"/>
      <c r="F804" s="392"/>
      <c r="G804" s="392"/>
      <c r="H804" s="392"/>
      <c r="I804" s="392"/>
      <c r="J804" s="145"/>
      <c r="K804" s="392"/>
      <c r="L804" s="392"/>
      <c r="M804" s="392"/>
      <c r="N804" s="392"/>
      <c r="O804" s="392"/>
      <c r="P804" s="392"/>
      <c r="Q804" s="392"/>
      <c r="R804" s="392"/>
      <c r="S804" s="392"/>
      <c r="T804" s="392"/>
      <c r="U804" s="392"/>
      <c r="V804" s="392"/>
      <c r="W804" s="392"/>
      <c r="X804" s="392"/>
      <c r="Y804" s="392"/>
      <c r="Z804" s="392"/>
      <c r="AA804" s="392"/>
      <c r="AB804" s="392"/>
      <c r="AC804" s="392"/>
      <c r="AD804" s="392"/>
      <c r="AE804" s="392"/>
      <c r="AF804" s="392"/>
    </row>
    <row r="805" ht="15.75" customHeight="1">
      <c r="A805" s="216"/>
      <c r="B805" s="156"/>
      <c r="C805" s="156"/>
      <c r="D805" s="156"/>
      <c r="E805" s="392"/>
      <c r="F805" s="392"/>
      <c r="G805" s="392"/>
      <c r="H805" s="392"/>
      <c r="I805" s="392"/>
      <c r="J805" s="145"/>
      <c r="K805" s="392"/>
      <c r="L805" s="392"/>
      <c r="M805" s="392"/>
      <c r="N805" s="392"/>
      <c r="O805" s="392"/>
      <c r="P805" s="392"/>
      <c r="Q805" s="392"/>
      <c r="R805" s="392"/>
      <c r="S805" s="392"/>
      <c r="T805" s="392"/>
      <c r="U805" s="392"/>
      <c r="V805" s="392"/>
      <c r="W805" s="392"/>
      <c r="X805" s="392"/>
      <c r="Y805" s="392"/>
      <c r="Z805" s="392"/>
      <c r="AA805" s="392"/>
      <c r="AB805" s="392"/>
      <c r="AC805" s="392"/>
      <c r="AD805" s="392"/>
      <c r="AE805" s="392"/>
      <c r="AF805" s="392"/>
    </row>
    <row r="806" ht="15.75" customHeight="1">
      <c r="A806" s="216"/>
      <c r="B806" s="156"/>
      <c r="C806" s="156"/>
      <c r="D806" s="156"/>
      <c r="E806" s="392"/>
      <c r="F806" s="392"/>
      <c r="G806" s="392"/>
      <c r="H806" s="392"/>
      <c r="I806" s="392"/>
      <c r="J806" s="145"/>
      <c r="K806" s="392"/>
      <c r="L806" s="392"/>
      <c r="M806" s="392"/>
      <c r="N806" s="392"/>
      <c r="O806" s="392"/>
      <c r="P806" s="392"/>
      <c r="Q806" s="392"/>
      <c r="R806" s="392"/>
      <c r="S806" s="392"/>
      <c r="T806" s="392"/>
      <c r="U806" s="392"/>
      <c r="V806" s="392"/>
      <c r="W806" s="392"/>
      <c r="X806" s="392"/>
      <c r="Y806" s="392"/>
      <c r="Z806" s="392"/>
      <c r="AA806" s="392"/>
      <c r="AB806" s="392"/>
      <c r="AC806" s="392"/>
      <c r="AD806" s="392"/>
      <c r="AE806" s="392"/>
      <c r="AF806" s="392"/>
    </row>
    <row r="807" ht="15.75" customHeight="1">
      <c r="A807" s="216"/>
      <c r="B807" s="156"/>
      <c r="C807" s="156"/>
      <c r="D807" s="156"/>
      <c r="E807" s="392"/>
      <c r="F807" s="392"/>
      <c r="G807" s="392"/>
      <c r="H807" s="392"/>
      <c r="I807" s="392"/>
      <c r="J807" s="145"/>
      <c r="K807" s="392"/>
      <c r="L807" s="392"/>
      <c r="M807" s="392"/>
      <c r="N807" s="392"/>
      <c r="O807" s="392"/>
      <c r="P807" s="392"/>
      <c r="Q807" s="392"/>
      <c r="R807" s="392"/>
      <c r="S807" s="392"/>
      <c r="T807" s="392"/>
      <c r="U807" s="392"/>
      <c r="V807" s="392"/>
      <c r="W807" s="392"/>
      <c r="X807" s="392"/>
      <c r="Y807" s="392"/>
      <c r="Z807" s="392"/>
      <c r="AA807" s="392"/>
      <c r="AB807" s="392"/>
      <c r="AC807" s="392"/>
      <c r="AD807" s="392"/>
      <c r="AE807" s="392"/>
      <c r="AF807" s="392"/>
    </row>
    <row r="808" ht="15.75" customHeight="1">
      <c r="A808" s="216"/>
      <c r="B808" s="156"/>
      <c r="C808" s="156"/>
      <c r="D808" s="156"/>
      <c r="E808" s="392"/>
      <c r="F808" s="392"/>
      <c r="G808" s="392"/>
      <c r="H808" s="392"/>
      <c r="I808" s="392"/>
      <c r="J808" s="145"/>
      <c r="K808" s="392"/>
      <c r="L808" s="392"/>
      <c r="M808" s="392"/>
      <c r="N808" s="392"/>
      <c r="O808" s="392"/>
      <c r="P808" s="392"/>
      <c r="Q808" s="392"/>
      <c r="R808" s="392"/>
      <c r="S808" s="392"/>
      <c r="T808" s="392"/>
      <c r="U808" s="392"/>
      <c r="V808" s="392"/>
      <c r="W808" s="392"/>
      <c r="X808" s="392"/>
      <c r="Y808" s="392"/>
      <c r="Z808" s="392"/>
      <c r="AA808" s="392"/>
      <c r="AB808" s="392"/>
      <c r="AC808" s="392"/>
      <c r="AD808" s="392"/>
      <c r="AE808" s="392"/>
      <c r="AF808" s="392"/>
    </row>
    <row r="809" ht="15.75" customHeight="1">
      <c r="A809" s="216"/>
      <c r="B809" s="156"/>
      <c r="C809" s="156"/>
      <c r="D809" s="156"/>
      <c r="E809" s="392"/>
      <c r="F809" s="392"/>
      <c r="G809" s="392"/>
      <c r="H809" s="392"/>
      <c r="I809" s="392"/>
      <c r="J809" s="145"/>
      <c r="K809" s="392"/>
      <c r="L809" s="392"/>
      <c r="M809" s="392"/>
      <c r="N809" s="392"/>
      <c r="O809" s="392"/>
      <c r="P809" s="392"/>
      <c r="Q809" s="392"/>
      <c r="R809" s="392"/>
      <c r="S809" s="392"/>
      <c r="T809" s="392"/>
      <c r="U809" s="392"/>
      <c r="V809" s="392"/>
      <c r="W809" s="392"/>
      <c r="X809" s="392"/>
      <c r="Y809" s="392"/>
      <c r="Z809" s="392"/>
      <c r="AA809" s="392"/>
      <c r="AB809" s="392"/>
      <c r="AC809" s="392"/>
      <c r="AD809" s="392"/>
      <c r="AE809" s="392"/>
      <c r="AF809" s="392"/>
    </row>
    <row r="810" ht="15.75" customHeight="1">
      <c r="A810" s="216"/>
      <c r="B810" s="156"/>
      <c r="C810" s="156"/>
      <c r="D810" s="156"/>
      <c r="E810" s="392"/>
      <c r="F810" s="392"/>
      <c r="G810" s="392"/>
      <c r="H810" s="392"/>
      <c r="I810" s="392"/>
      <c r="J810" s="145"/>
      <c r="K810" s="392"/>
      <c r="L810" s="392"/>
      <c r="M810" s="392"/>
      <c r="N810" s="392"/>
      <c r="O810" s="392"/>
      <c r="P810" s="392"/>
      <c r="Q810" s="392"/>
      <c r="R810" s="392"/>
      <c r="S810" s="392"/>
      <c r="T810" s="392"/>
      <c r="U810" s="392"/>
      <c r="V810" s="392"/>
      <c r="W810" s="392"/>
      <c r="X810" s="392"/>
      <c r="Y810" s="392"/>
      <c r="Z810" s="392"/>
      <c r="AA810" s="392"/>
      <c r="AB810" s="392"/>
      <c r="AC810" s="392"/>
      <c r="AD810" s="392"/>
      <c r="AE810" s="392"/>
      <c r="AF810" s="392"/>
    </row>
    <row r="811" ht="15.75" customHeight="1">
      <c r="A811" s="216"/>
      <c r="B811" s="156"/>
      <c r="C811" s="156"/>
      <c r="D811" s="156"/>
      <c r="E811" s="392"/>
      <c r="F811" s="392"/>
      <c r="G811" s="392"/>
      <c r="H811" s="392"/>
      <c r="I811" s="392"/>
      <c r="J811" s="145"/>
      <c r="K811" s="392"/>
      <c r="L811" s="392"/>
      <c r="M811" s="392"/>
      <c r="N811" s="392"/>
      <c r="O811" s="392"/>
      <c r="P811" s="392"/>
      <c r="Q811" s="392"/>
      <c r="R811" s="392"/>
      <c r="S811" s="392"/>
      <c r="T811" s="392"/>
      <c r="U811" s="392"/>
      <c r="V811" s="392"/>
      <c r="W811" s="392"/>
      <c r="X811" s="392"/>
      <c r="Y811" s="392"/>
      <c r="Z811" s="392"/>
      <c r="AA811" s="392"/>
      <c r="AB811" s="392"/>
      <c r="AC811" s="392"/>
      <c r="AD811" s="392"/>
      <c r="AE811" s="392"/>
      <c r="AF811" s="392"/>
    </row>
    <row r="812" ht="15.75" customHeight="1">
      <c r="A812" s="216"/>
      <c r="B812" s="156"/>
      <c r="C812" s="156"/>
      <c r="D812" s="156"/>
      <c r="E812" s="392"/>
      <c r="F812" s="392"/>
      <c r="G812" s="392"/>
      <c r="H812" s="392"/>
      <c r="I812" s="392"/>
      <c r="J812" s="145"/>
      <c r="K812" s="392"/>
      <c r="L812" s="392"/>
      <c r="M812" s="392"/>
      <c r="N812" s="392"/>
      <c r="O812" s="392"/>
      <c r="P812" s="392"/>
      <c r="Q812" s="392"/>
      <c r="R812" s="392"/>
      <c r="S812" s="392"/>
      <c r="T812" s="392"/>
      <c r="U812" s="392"/>
      <c r="V812" s="392"/>
      <c r="W812" s="392"/>
      <c r="X812" s="392"/>
      <c r="Y812" s="392"/>
      <c r="Z812" s="392"/>
      <c r="AA812" s="392"/>
      <c r="AB812" s="392"/>
      <c r="AC812" s="392"/>
      <c r="AD812" s="392"/>
      <c r="AE812" s="392"/>
      <c r="AF812" s="392"/>
    </row>
    <row r="813" ht="15.75" customHeight="1">
      <c r="A813" s="216"/>
      <c r="B813" s="156"/>
      <c r="C813" s="156"/>
      <c r="D813" s="156"/>
      <c r="E813" s="392"/>
      <c r="F813" s="392"/>
      <c r="G813" s="392"/>
      <c r="H813" s="392"/>
      <c r="I813" s="392"/>
      <c r="J813" s="145"/>
      <c r="K813" s="392"/>
      <c r="L813" s="392"/>
      <c r="M813" s="392"/>
      <c r="N813" s="392"/>
      <c r="O813" s="392"/>
      <c r="P813" s="392"/>
      <c r="Q813" s="392"/>
      <c r="R813" s="392"/>
      <c r="S813" s="392"/>
      <c r="T813" s="392"/>
      <c r="U813" s="392"/>
      <c r="V813" s="392"/>
      <c r="W813" s="392"/>
      <c r="X813" s="392"/>
      <c r="Y813" s="392"/>
      <c r="Z813" s="392"/>
      <c r="AA813" s="392"/>
      <c r="AB813" s="392"/>
      <c r="AC813" s="392"/>
      <c r="AD813" s="392"/>
      <c r="AE813" s="392"/>
      <c r="AF813" s="392"/>
    </row>
    <row r="814" ht="15.75" customHeight="1">
      <c r="A814" s="216"/>
      <c r="B814" s="156"/>
      <c r="C814" s="156"/>
      <c r="D814" s="156"/>
      <c r="E814" s="392"/>
      <c r="F814" s="392"/>
      <c r="G814" s="392"/>
      <c r="H814" s="392"/>
      <c r="I814" s="392"/>
      <c r="J814" s="145"/>
      <c r="K814" s="392"/>
      <c r="L814" s="392"/>
      <c r="M814" s="392"/>
      <c r="N814" s="392"/>
      <c r="O814" s="392"/>
      <c r="P814" s="392"/>
      <c r="Q814" s="392"/>
      <c r="R814" s="392"/>
      <c r="S814" s="392"/>
      <c r="T814" s="392"/>
      <c r="U814" s="392"/>
      <c r="V814" s="392"/>
      <c r="W814" s="392"/>
      <c r="X814" s="392"/>
      <c r="Y814" s="392"/>
      <c r="Z814" s="392"/>
      <c r="AA814" s="392"/>
      <c r="AB814" s="392"/>
      <c r="AC814" s="392"/>
      <c r="AD814" s="392"/>
      <c r="AE814" s="392"/>
      <c r="AF814" s="392"/>
    </row>
    <row r="815" ht="15.75" customHeight="1">
      <c r="A815" s="216"/>
      <c r="B815" s="156"/>
      <c r="C815" s="156"/>
      <c r="D815" s="156"/>
      <c r="E815" s="392"/>
      <c r="F815" s="392"/>
      <c r="G815" s="392"/>
      <c r="H815" s="392"/>
      <c r="I815" s="392"/>
      <c r="J815" s="145"/>
      <c r="K815" s="392"/>
      <c r="L815" s="392"/>
      <c r="M815" s="392"/>
      <c r="N815" s="392"/>
      <c r="O815" s="392"/>
      <c r="P815" s="392"/>
      <c r="Q815" s="392"/>
      <c r="R815" s="392"/>
      <c r="S815" s="392"/>
      <c r="T815" s="392"/>
      <c r="U815" s="392"/>
      <c r="V815" s="392"/>
      <c r="W815" s="392"/>
      <c r="X815" s="392"/>
      <c r="Y815" s="392"/>
      <c r="Z815" s="392"/>
      <c r="AA815" s="392"/>
      <c r="AB815" s="392"/>
      <c r="AC815" s="392"/>
      <c r="AD815" s="392"/>
      <c r="AE815" s="392"/>
      <c r="AF815" s="392"/>
    </row>
    <row r="816" ht="15.75" customHeight="1">
      <c r="A816" s="216"/>
      <c r="B816" s="156"/>
      <c r="C816" s="156"/>
      <c r="D816" s="156"/>
      <c r="E816" s="392"/>
      <c r="F816" s="392"/>
      <c r="G816" s="392"/>
      <c r="H816" s="392"/>
      <c r="I816" s="392"/>
      <c r="J816" s="145"/>
      <c r="K816" s="392"/>
      <c r="L816" s="392"/>
      <c r="M816" s="392"/>
      <c r="N816" s="392"/>
      <c r="O816" s="392"/>
      <c r="P816" s="392"/>
      <c r="Q816" s="392"/>
      <c r="R816" s="392"/>
      <c r="S816" s="392"/>
      <c r="T816" s="392"/>
      <c r="U816" s="392"/>
      <c r="V816" s="392"/>
      <c r="W816" s="392"/>
      <c r="X816" s="392"/>
      <c r="Y816" s="392"/>
      <c r="Z816" s="392"/>
      <c r="AA816" s="392"/>
      <c r="AB816" s="392"/>
      <c r="AC816" s="392"/>
      <c r="AD816" s="392"/>
      <c r="AE816" s="392"/>
      <c r="AF816" s="392"/>
    </row>
    <row r="817" ht="15.75" customHeight="1">
      <c r="A817" s="216"/>
      <c r="B817" s="156"/>
      <c r="C817" s="156"/>
      <c r="D817" s="156"/>
      <c r="E817" s="392"/>
      <c r="F817" s="392"/>
      <c r="G817" s="392"/>
      <c r="H817" s="392"/>
      <c r="I817" s="392"/>
      <c r="J817" s="145"/>
      <c r="K817" s="392"/>
      <c r="L817" s="392"/>
      <c r="M817" s="392"/>
      <c r="N817" s="392"/>
      <c r="O817" s="392"/>
      <c r="P817" s="392"/>
      <c r="Q817" s="392"/>
      <c r="R817" s="392"/>
      <c r="S817" s="392"/>
      <c r="T817" s="392"/>
      <c r="U817" s="392"/>
      <c r="V817" s="392"/>
      <c r="W817" s="392"/>
      <c r="X817" s="392"/>
      <c r="Y817" s="392"/>
      <c r="Z817" s="392"/>
      <c r="AA817" s="392"/>
      <c r="AB817" s="392"/>
      <c r="AC817" s="392"/>
      <c r="AD817" s="392"/>
      <c r="AE817" s="392"/>
      <c r="AF817" s="392"/>
    </row>
    <row r="818" ht="15.75" customHeight="1">
      <c r="A818" s="216"/>
      <c r="B818" s="156"/>
      <c r="C818" s="156"/>
      <c r="D818" s="156"/>
      <c r="E818" s="392"/>
      <c r="F818" s="392"/>
      <c r="G818" s="392"/>
      <c r="H818" s="392"/>
      <c r="I818" s="392"/>
      <c r="J818" s="145"/>
      <c r="K818" s="392"/>
      <c r="L818" s="392"/>
      <c r="M818" s="392"/>
      <c r="N818" s="392"/>
      <c r="O818" s="392"/>
      <c r="P818" s="392"/>
      <c r="Q818" s="392"/>
      <c r="R818" s="392"/>
      <c r="S818" s="392"/>
      <c r="T818" s="392"/>
      <c r="U818" s="392"/>
      <c r="V818" s="392"/>
      <c r="W818" s="392"/>
      <c r="X818" s="392"/>
      <c r="Y818" s="392"/>
      <c r="Z818" s="392"/>
      <c r="AA818" s="392"/>
      <c r="AB818" s="392"/>
      <c r="AC818" s="392"/>
      <c r="AD818" s="392"/>
      <c r="AE818" s="392"/>
      <c r="AF818" s="392"/>
    </row>
    <row r="819" ht="15.75" customHeight="1">
      <c r="A819" s="216"/>
      <c r="B819" s="156"/>
      <c r="C819" s="156"/>
      <c r="D819" s="156"/>
      <c r="E819" s="392"/>
      <c r="F819" s="392"/>
      <c r="G819" s="392"/>
      <c r="H819" s="392"/>
      <c r="I819" s="392"/>
      <c r="J819" s="145"/>
      <c r="K819" s="392"/>
      <c r="L819" s="392"/>
      <c r="M819" s="392"/>
      <c r="N819" s="392"/>
      <c r="O819" s="392"/>
      <c r="P819" s="392"/>
      <c r="Q819" s="392"/>
      <c r="R819" s="392"/>
      <c r="S819" s="392"/>
      <c r="T819" s="392"/>
      <c r="U819" s="392"/>
      <c r="V819" s="392"/>
      <c r="W819" s="392"/>
      <c r="X819" s="392"/>
      <c r="Y819" s="392"/>
      <c r="Z819" s="392"/>
      <c r="AA819" s="392"/>
      <c r="AB819" s="392"/>
      <c r="AC819" s="392"/>
      <c r="AD819" s="392"/>
      <c r="AE819" s="392"/>
      <c r="AF819" s="392"/>
    </row>
    <row r="820" ht="15.75" customHeight="1">
      <c r="A820" s="216"/>
      <c r="B820" s="156"/>
      <c r="C820" s="156"/>
      <c r="D820" s="156"/>
      <c r="E820" s="392"/>
      <c r="F820" s="392"/>
      <c r="G820" s="392"/>
      <c r="H820" s="392"/>
      <c r="I820" s="392"/>
      <c r="J820" s="145"/>
      <c r="K820" s="392"/>
      <c r="L820" s="392"/>
      <c r="M820" s="392"/>
      <c r="N820" s="392"/>
      <c r="O820" s="392"/>
      <c r="P820" s="392"/>
      <c r="Q820" s="392"/>
      <c r="R820" s="392"/>
      <c r="S820" s="392"/>
      <c r="T820" s="392"/>
      <c r="U820" s="392"/>
      <c r="V820" s="392"/>
      <c r="W820" s="392"/>
      <c r="X820" s="392"/>
      <c r="Y820" s="392"/>
      <c r="Z820" s="392"/>
      <c r="AA820" s="392"/>
      <c r="AB820" s="392"/>
      <c r="AC820" s="392"/>
      <c r="AD820" s="392"/>
      <c r="AE820" s="392"/>
      <c r="AF820" s="392"/>
    </row>
    <row r="821" ht="15.75" customHeight="1">
      <c r="A821" s="216"/>
      <c r="B821" s="156"/>
      <c r="C821" s="156"/>
      <c r="D821" s="156"/>
      <c r="E821" s="392"/>
      <c r="F821" s="392"/>
      <c r="G821" s="392"/>
      <c r="H821" s="392"/>
      <c r="I821" s="392"/>
      <c r="J821" s="145"/>
      <c r="K821" s="392"/>
      <c r="L821" s="392"/>
      <c r="M821" s="392"/>
      <c r="N821" s="392"/>
      <c r="O821" s="392"/>
      <c r="P821" s="392"/>
      <c r="Q821" s="392"/>
      <c r="R821" s="392"/>
      <c r="S821" s="392"/>
      <c r="T821" s="392"/>
      <c r="U821" s="392"/>
      <c r="V821" s="392"/>
      <c r="W821" s="392"/>
      <c r="X821" s="392"/>
      <c r="Y821" s="392"/>
      <c r="Z821" s="392"/>
      <c r="AA821" s="392"/>
      <c r="AB821" s="392"/>
      <c r="AC821" s="392"/>
      <c r="AD821" s="392"/>
      <c r="AE821" s="392"/>
      <c r="AF821" s="392"/>
    </row>
    <row r="822" ht="15.75" customHeight="1">
      <c r="A822" s="216"/>
      <c r="B822" s="156"/>
      <c r="C822" s="156"/>
      <c r="D822" s="156"/>
      <c r="E822" s="392"/>
      <c r="F822" s="392"/>
      <c r="G822" s="392"/>
      <c r="H822" s="392"/>
      <c r="I822" s="392"/>
      <c r="J822" s="145"/>
      <c r="K822" s="392"/>
      <c r="L822" s="392"/>
      <c r="M822" s="392"/>
      <c r="N822" s="392"/>
      <c r="O822" s="392"/>
      <c r="P822" s="392"/>
      <c r="Q822" s="392"/>
      <c r="R822" s="392"/>
      <c r="S822" s="392"/>
      <c r="T822" s="392"/>
      <c r="U822" s="392"/>
      <c r="V822" s="392"/>
      <c r="W822" s="392"/>
      <c r="X822" s="392"/>
      <c r="Y822" s="392"/>
      <c r="Z822" s="392"/>
      <c r="AA822" s="392"/>
      <c r="AB822" s="392"/>
      <c r="AC822" s="392"/>
      <c r="AD822" s="392"/>
      <c r="AE822" s="392"/>
      <c r="AF822" s="392"/>
    </row>
    <row r="823" ht="15.75" customHeight="1">
      <c r="A823" s="216"/>
      <c r="B823" s="156"/>
      <c r="C823" s="156"/>
      <c r="D823" s="156"/>
      <c r="E823" s="392"/>
      <c r="F823" s="392"/>
      <c r="G823" s="392"/>
      <c r="H823" s="392"/>
      <c r="I823" s="392"/>
      <c r="J823" s="145"/>
      <c r="K823" s="392"/>
      <c r="L823" s="392"/>
      <c r="M823" s="392"/>
      <c r="N823" s="392"/>
      <c r="O823" s="392"/>
      <c r="P823" s="392"/>
      <c r="Q823" s="392"/>
      <c r="R823" s="392"/>
      <c r="S823" s="392"/>
      <c r="T823" s="392"/>
      <c r="U823" s="392"/>
      <c r="V823" s="392"/>
      <c r="W823" s="392"/>
      <c r="X823" s="392"/>
      <c r="Y823" s="392"/>
      <c r="Z823" s="392"/>
      <c r="AA823" s="392"/>
      <c r="AB823" s="392"/>
      <c r="AC823" s="392"/>
      <c r="AD823" s="392"/>
      <c r="AE823" s="392"/>
      <c r="AF823" s="392"/>
    </row>
    <row r="824" ht="15.75" customHeight="1">
      <c r="A824" s="216"/>
      <c r="B824" s="156"/>
      <c r="C824" s="156"/>
      <c r="D824" s="156"/>
      <c r="E824" s="392"/>
      <c r="F824" s="392"/>
      <c r="G824" s="392"/>
      <c r="H824" s="392"/>
      <c r="I824" s="392"/>
      <c r="J824" s="145"/>
      <c r="K824" s="392"/>
      <c r="L824" s="392"/>
      <c r="M824" s="392"/>
      <c r="N824" s="392"/>
      <c r="O824" s="392"/>
      <c r="P824" s="392"/>
      <c r="Q824" s="392"/>
      <c r="R824" s="392"/>
      <c r="S824" s="392"/>
      <c r="T824" s="392"/>
      <c r="U824" s="392"/>
      <c r="V824" s="392"/>
      <c r="W824" s="392"/>
      <c r="X824" s="392"/>
      <c r="Y824" s="392"/>
      <c r="Z824" s="392"/>
      <c r="AA824" s="392"/>
      <c r="AB824" s="392"/>
      <c r="AC824" s="392"/>
      <c r="AD824" s="392"/>
      <c r="AE824" s="392"/>
      <c r="AF824" s="392"/>
    </row>
    <row r="825" ht="15.75" customHeight="1">
      <c r="A825" s="216"/>
      <c r="B825" s="156"/>
      <c r="C825" s="156"/>
      <c r="D825" s="156"/>
      <c r="E825" s="392"/>
      <c r="F825" s="392"/>
      <c r="G825" s="392"/>
      <c r="H825" s="392"/>
      <c r="I825" s="392"/>
      <c r="J825" s="145"/>
      <c r="K825" s="392"/>
      <c r="L825" s="392"/>
      <c r="M825" s="392"/>
      <c r="N825" s="392"/>
      <c r="O825" s="392"/>
      <c r="P825" s="392"/>
      <c r="Q825" s="392"/>
      <c r="R825" s="392"/>
      <c r="S825" s="392"/>
      <c r="T825" s="392"/>
      <c r="U825" s="392"/>
      <c r="V825" s="392"/>
      <c r="W825" s="392"/>
      <c r="X825" s="392"/>
      <c r="Y825" s="392"/>
      <c r="Z825" s="392"/>
      <c r="AA825" s="392"/>
      <c r="AB825" s="392"/>
      <c r="AC825" s="392"/>
      <c r="AD825" s="392"/>
      <c r="AE825" s="392"/>
      <c r="AF825" s="392"/>
    </row>
    <row r="826" ht="15.75" customHeight="1">
      <c r="A826" s="216"/>
      <c r="B826" s="156"/>
      <c r="C826" s="156"/>
      <c r="D826" s="156"/>
      <c r="E826" s="392"/>
      <c r="F826" s="392"/>
      <c r="G826" s="392"/>
      <c r="H826" s="392"/>
      <c r="I826" s="392"/>
      <c r="J826" s="145"/>
      <c r="K826" s="392"/>
      <c r="L826" s="392"/>
      <c r="M826" s="392"/>
      <c r="N826" s="392"/>
      <c r="O826" s="392"/>
      <c r="P826" s="392"/>
      <c r="Q826" s="392"/>
      <c r="R826" s="392"/>
      <c r="S826" s="392"/>
      <c r="T826" s="392"/>
      <c r="U826" s="392"/>
      <c r="V826" s="392"/>
      <c r="W826" s="392"/>
      <c r="X826" s="392"/>
      <c r="Y826" s="392"/>
      <c r="Z826" s="392"/>
      <c r="AA826" s="392"/>
      <c r="AB826" s="392"/>
      <c r="AC826" s="392"/>
      <c r="AD826" s="392"/>
      <c r="AE826" s="392"/>
      <c r="AF826" s="392"/>
    </row>
    <row r="827" ht="15.75" customHeight="1">
      <c r="A827" s="216"/>
      <c r="B827" s="156"/>
      <c r="C827" s="156"/>
      <c r="D827" s="156"/>
      <c r="E827" s="392"/>
      <c r="F827" s="392"/>
      <c r="G827" s="392"/>
      <c r="H827" s="392"/>
      <c r="I827" s="392"/>
      <c r="J827" s="145"/>
      <c r="K827" s="392"/>
      <c r="L827" s="392"/>
      <c r="M827" s="392"/>
      <c r="N827" s="392"/>
      <c r="O827" s="392"/>
      <c r="P827" s="392"/>
      <c r="Q827" s="392"/>
      <c r="R827" s="392"/>
      <c r="S827" s="392"/>
      <c r="T827" s="392"/>
      <c r="U827" s="392"/>
      <c r="V827" s="392"/>
      <c r="W827" s="392"/>
      <c r="X827" s="392"/>
      <c r="Y827" s="392"/>
      <c r="Z827" s="392"/>
      <c r="AA827" s="392"/>
      <c r="AB827" s="392"/>
      <c r="AC827" s="392"/>
      <c r="AD827" s="392"/>
      <c r="AE827" s="392"/>
      <c r="AF827" s="392"/>
    </row>
    <row r="828" ht="15.75" customHeight="1">
      <c r="A828" s="216"/>
      <c r="B828" s="156"/>
      <c r="C828" s="156"/>
      <c r="D828" s="156"/>
      <c r="E828" s="392"/>
      <c r="F828" s="392"/>
      <c r="G828" s="392"/>
      <c r="H828" s="392"/>
      <c r="I828" s="392"/>
      <c r="J828" s="145"/>
      <c r="K828" s="392"/>
      <c r="L828" s="392"/>
      <c r="M828" s="392"/>
      <c r="N828" s="392"/>
      <c r="O828" s="392"/>
      <c r="P828" s="392"/>
      <c r="Q828" s="392"/>
      <c r="R828" s="392"/>
      <c r="S828" s="392"/>
      <c r="T828" s="392"/>
      <c r="U828" s="392"/>
      <c r="V828" s="392"/>
      <c r="W828" s="392"/>
      <c r="X828" s="392"/>
      <c r="Y828" s="392"/>
      <c r="Z828" s="392"/>
      <c r="AA828" s="392"/>
      <c r="AB828" s="392"/>
      <c r="AC828" s="392"/>
      <c r="AD828" s="392"/>
      <c r="AE828" s="392"/>
      <c r="AF828" s="392"/>
    </row>
    <row r="829" ht="15.75" customHeight="1">
      <c r="A829" s="216"/>
      <c r="B829" s="156"/>
      <c r="C829" s="156"/>
      <c r="D829" s="156"/>
      <c r="E829" s="392"/>
      <c r="F829" s="392"/>
      <c r="G829" s="392"/>
      <c r="H829" s="392"/>
      <c r="I829" s="392"/>
      <c r="J829" s="145"/>
      <c r="K829" s="392"/>
      <c r="L829" s="392"/>
      <c r="M829" s="392"/>
      <c r="N829" s="392"/>
      <c r="O829" s="392"/>
      <c r="P829" s="392"/>
      <c r="Q829" s="392"/>
      <c r="R829" s="392"/>
      <c r="S829" s="392"/>
      <c r="T829" s="392"/>
      <c r="U829" s="392"/>
      <c r="V829" s="392"/>
      <c r="W829" s="392"/>
      <c r="X829" s="392"/>
      <c r="Y829" s="392"/>
      <c r="Z829" s="392"/>
      <c r="AA829" s="392"/>
      <c r="AB829" s="392"/>
      <c r="AC829" s="392"/>
      <c r="AD829" s="392"/>
      <c r="AE829" s="392"/>
      <c r="AF829" s="392"/>
    </row>
    <row r="830" ht="15.75" customHeight="1">
      <c r="A830" s="216"/>
      <c r="B830" s="156"/>
      <c r="C830" s="156"/>
      <c r="D830" s="156"/>
      <c r="E830" s="392"/>
      <c r="F830" s="392"/>
      <c r="G830" s="392"/>
      <c r="H830" s="392"/>
      <c r="I830" s="392"/>
      <c r="J830" s="145"/>
      <c r="K830" s="392"/>
      <c r="L830" s="392"/>
      <c r="M830" s="392"/>
      <c r="N830" s="392"/>
      <c r="O830" s="392"/>
      <c r="P830" s="392"/>
      <c r="Q830" s="392"/>
      <c r="R830" s="392"/>
      <c r="S830" s="392"/>
      <c r="T830" s="392"/>
      <c r="U830" s="392"/>
      <c r="V830" s="392"/>
      <c r="W830" s="392"/>
      <c r="X830" s="392"/>
      <c r="Y830" s="392"/>
      <c r="Z830" s="392"/>
      <c r="AA830" s="392"/>
      <c r="AB830" s="392"/>
      <c r="AC830" s="392"/>
      <c r="AD830" s="392"/>
      <c r="AE830" s="392"/>
      <c r="AF830" s="392"/>
    </row>
    <row r="831" ht="15.75" customHeight="1">
      <c r="A831" s="216"/>
      <c r="B831" s="156"/>
      <c r="C831" s="156"/>
      <c r="D831" s="156"/>
      <c r="E831" s="392"/>
      <c r="F831" s="392"/>
      <c r="G831" s="392"/>
      <c r="H831" s="392"/>
      <c r="I831" s="392"/>
      <c r="J831" s="145"/>
      <c r="K831" s="392"/>
      <c r="L831" s="392"/>
      <c r="M831" s="392"/>
      <c r="N831" s="392"/>
      <c r="O831" s="392"/>
      <c r="P831" s="392"/>
      <c r="Q831" s="392"/>
      <c r="R831" s="392"/>
      <c r="S831" s="392"/>
      <c r="T831" s="392"/>
      <c r="U831" s="392"/>
      <c r="V831" s="392"/>
      <c r="W831" s="392"/>
      <c r="X831" s="392"/>
      <c r="Y831" s="392"/>
      <c r="Z831" s="392"/>
      <c r="AA831" s="392"/>
      <c r="AB831" s="392"/>
      <c r="AC831" s="392"/>
      <c r="AD831" s="392"/>
      <c r="AE831" s="392"/>
      <c r="AF831" s="392"/>
    </row>
    <row r="832" ht="15.75" customHeight="1">
      <c r="A832" s="216"/>
      <c r="B832" s="156"/>
      <c r="C832" s="156"/>
      <c r="D832" s="156"/>
      <c r="E832" s="392"/>
      <c r="F832" s="392"/>
      <c r="G832" s="392"/>
      <c r="H832" s="392"/>
      <c r="I832" s="392"/>
      <c r="J832" s="145"/>
      <c r="K832" s="392"/>
      <c r="L832" s="392"/>
      <c r="M832" s="392"/>
      <c r="N832" s="392"/>
      <c r="O832" s="392"/>
      <c r="P832" s="392"/>
      <c r="Q832" s="392"/>
      <c r="R832" s="392"/>
      <c r="S832" s="392"/>
      <c r="T832" s="392"/>
      <c r="U832" s="392"/>
      <c r="V832" s="392"/>
      <c r="W832" s="392"/>
      <c r="X832" s="392"/>
      <c r="Y832" s="392"/>
      <c r="Z832" s="392"/>
      <c r="AA832" s="392"/>
      <c r="AB832" s="392"/>
      <c r="AC832" s="392"/>
      <c r="AD832" s="392"/>
      <c r="AE832" s="392"/>
      <c r="AF832" s="392"/>
    </row>
    <row r="833" ht="15.75" customHeight="1">
      <c r="A833" s="216"/>
      <c r="B833" s="156"/>
      <c r="C833" s="156"/>
      <c r="D833" s="156"/>
      <c r="E833" s="392"/>
      <c r="F833" s="392"/>
      <c r="G833" s="392"/>
      <c r="H833" s="392"/>
      <c r="I833" s="392"/>
      <c r="J833" s="145"/>
      <c r="K833" s="392"/>
      <c r="L833" s="392"/>
      <c r="M833" s="392"/>
      <c r="N833" s="392"/>
      <c r="O833" s="392"/>
      <c r="P833" s="392"/>
      <c r="Q833" s="392"/>
      <c r="R833" s="392"/>
      <c r="S833" s="392"/>
      <c r="T833" s="392"/>
      <c r="U833" s="392"/>
      <c r="V833" s="392"/>
      <c r="W833" s="392"/>
      <c r="X833" s="392"/>
      <c r="Y833" s="392"/>
      <c r="Z833" s="392"/>
      <c r="AA833" s="392"/>
      <c r="AB833" s="392"/>
      <c r="AC833" s="392"/>
      <c r="AD833" s="392"/>
      <c r="AE833" s="392"/>
      <c r="AF833" s="392"/>
    </row>
    <row r="834" ht="15.75" customHeight="1">
      <c r="A834" s="216"/>
      <c r="B834" s="156"/>
      <c r="C834" s="156"/>
      <c r="D834" s="156"/>
      <c r="E834" s="392"/>
      <c r="F834" s="392"/>
      <c r="G834" s="392"/>
      <c r="H834" s="392"/>
      <c r="I834" s="392"/>
      <c r="J834" s="145"/>
      <c r="K834" s="392"/>
      <c r="L834" s="392"/>
      <c r="M834" s="392"/>
      <c r="N834" s="392"/>
      <c r="O834" s="392"/>
      <c r="P834" s="392"/>
      <c r="Q834" s="392"/>
      <c r="R834" s="392"/>
      <c r="S834" s="392"/>
      <c r="T834" s="392"/>
      <c r="U834" s="392"/>
      <c r="V834" s="392"/>
      <c r="W834" s="392"/>
      <c r="X834" s="392"/>
      <c r="Y834" s="392"/>
      <c r="Z834" s="392"/>
      <c r="AA834" s="392"/>
      <c r="AB834" s="392"/>
      <c r="AC834" s="392"/>
      <c r="AD834" s="392"/>
      <c r="AE834" s="392"/>
      <c r="AF834" s="392"/>
    </row>
    <row r="835" ht="15.75" customHeight="1">
      <c r="A835" s="216"/>
      <c r="B835" s="156"/>
      <c r="C835" s="156"/>
      <c r="D835" s="156"/>
      <c r="E835" s="392"/>
      <c r="F835" s="392"/>
      <c r="G835" s="392"/>
      <c r="H835" s="392"/>
      <c r="I835" s="392"/>
      <c r="J835" s="145"/>
      <c r="K835" s="392"/>
      <c r="L835" s="392"/>
      <c r="M835" s="392"/>
      <c r="N835" s="392"/>
      <c r="O835" s="392"/>
      <c r="P835" s="392"/>
      <c r="Q835" s="392"/>
      <c r="R835" s="392"/>
      <c r="S835" s="392"/>
      <c r="T835" s="392"/>
      <c r="U835" s="392"/>
      <c r="V835" s="392"/>
      <c r="W835" s="392"/>
      <c r="X835" s="392"/>
      <c r="Y835" s="392"/>
      <c r="Z835" s="392"/>
      <c r="AA835" s="392"/>
      <c r="AB835" s="392"/>
      <c r="AC835" s="392"/>
      <c r="AD835" s="392"/>
      <c r="AE835" s="392"/>
      <c r="AF835" s="392"/>
    </row>
    <row r="836" ht="15.75" customHeight="1">
      <c r="A836" s="216"/>
      <c r="B836" s="156"/>
      <c r="C836" s="156"/>
      <c r="D836" s="156"/>
      <c r="E836" s="392"/>
      <c r="F836" s="392"/>
      <c r="G836" s="392"/>
      <c r="H836" s="392"/>
      <c r="I836" s="392"/>
      <c r="J836" s="145"/>
      <c r="K836" s="392"/>
      <c r="L836" s="392"/>
      <c r="M836" s="392"/>
      <c r="N836" s="392"/>
      <c r="O836" s="392"/>
      <c r="P836" s="392"/>
      <c r="Q836" s="392"/>
      <c r="R836" s="392"/>
      <c r="S836" s="392"/>
      <c r="T836" s="392"/>
      <c r="U836" s="392"/>
      <c r="V836" s="392"/>
      <c r="W836" s="392"/>
      <c r="X836" s="392"/>
      <c r="Y836" s="392"/>
      <c r="Z836" s="392"/>
      <c r="AA836" s="392"/>
      <c r="AB836" s="392"/>
      <c r="AC836" s="392"/>
      <c r="AD836" s="392"/>
      <c r="AE836" s="392"/>
      <c r="AF836" s="392"/>
    </row>
    <row r="837" ht="15.75" customHeight="1">
      <c r="A837" s="216"/>
      <c r="B837" s="156"/>
      <c r="C837" s="156"/>
      <c r="D837" s="156"/>
      <c r="E837" s="392"/>
      <c r="F837" s="392"/>
      <c r="G837" s="392"/>
      <c r="H837" s="392"/>
      <c r="I837" s="392"/>
      <c r="J837" s="145"/>
      <c r="K837" s="392"/>
      <c r="L837" s="392"/>
      <c r="M837" s="392"/>
      <c r="N837" s="392"/>
      <c r="O837" s="392"/>
      <c r="P837" s="392"/>
      <c r="Q837" s="392"/>
      <c r="R837" s="392"/>
      <c r="S837" s="392"/>
      <c r="T837" s="392"/>
      <c r="U837" s="392"/>
      <c r="V837" s="392"/>
      <c r="W837" s="392"/>
      <c r="X837" s="392"/>
      <c r="Y837" s="392"/>
      <c r="Z837" s="392"/>
      <c r="AA837" s="392"/>
      <c r="AB837" s="392"/>
      <c r="AC837" s="392"/>
      <c r="AD837" s="392"/>
      <c r="AE837" s="392"/>
      <c r="AF837" s="392"/>
    </row>
    <row r="838" ht="15.75" customHeight="1">
      <c r="A838" s="216"/>
      <c r="B838" s="156"/>
      <c r="C838" s="156"/>
      <c r="D838" s="156"/>
      <c r="E838" s="392"/>
      <c r="F838" s="392"/>
      <c r="G838" s="392"/>
      <c r="H838" s="392"/>
      <c r="I838" s="392"/>
      <c r="J838" s="145"/>
      <c r="K838" s="392"/>
      <c r="L838" s="392"/>
      <c r="M838" s="392"/>
      <c r="N838" s="392"/>
      <c r="O838" s="392"/>
      <c r="P838" s="392"/>
      <c r="Q838" s="392"/>
      <c r="R838" s="392"/>
      <c r="S838" s="392"/>
      <c r="T838" s="392"/>
      <c r="U838" s="392"/>
      <c r="V838" s="392"/>
      <c r="W838" s="392"/>
      <c r="X838" s="392"/>
      <c r="Y838" s="392"/>
      <c r="Z838" s="392"/>
      <c r="AA838" s="392"/>
      <c r="AB838" s="392"/>
      <c r="AC838" s="392"/>
      <c r="AD838" s="392"/>
      <c r="AE838" s="392"/>
      <c r="AF838" s="392"/>
    </row>
    <row r="839" ht="15.75" customHeight="1">
      <c r="A839" s="216"/>
      <c r="B839" s="156"/>
      <c r="C839" s="156"/>
      <c r="D839" s="156"/>
      <c r="E839" s="392"/>
      <c r="F839" s="392"/>
      <c r="G839" s="392"/>
      <c r="H839" s="392"/>
      <c r="I839" s="392"/>
      <c r="J839" s="145"/>
      <c r="K839" s="392"/>
      <c r="L839" s="392"/>
      <c r="M839" s="392"/>
      <c r="N839" s="392"/>
      <c r="O839" s="392"/>
      <c r="P839" s="392"/>
      <c r="Q839" s="392"/>
      <c r="R839" s="392"/>
      <c r="S839" s="392"/>
      <c r="T839" s="392"/>
      <c r="U839" s="392"/>
      <c r="V839" s="392"/>
      <c r="W839" s="392"/>
      <c r="X839" s="392"/>
      <c r="Y839" s="392"/>
      <c r="Z839" s="392"/>
      <c r="AA839" s="392"/>
      <c r="AB839" s="392"/>
      <c r="AC839" s="392"/>
      <c r="AD839" s="392"/>
      <c r="AE839" s="392"/>
      <c r="AF839" s="392"/>
    </row>
    <row r="840" ht="15.75" customHeight="1">
      <c r="A840" s="216"/>
      <c r="B840" s="156"/>
      <c r="C840" s="156"/>
      <c r="D840" s="156"/>
      <c r="E840" s="392"/>
      <c r="F840" s="392"/>
      <c r="G840" s="392"/>
      <c r="H840" s="392"/>
      <c r="I840" s="392"/>
      <c r="J840" s="145"/>
      <c r="K840" s="392"/>
      <c r="L840" s="392"/>
      <c r="M840" s="392"/>
      <c r="N840" s="392"/>
      <c r="O840" s="392"/>
      <c r="P840" s="392"/>
      <c r="Q840" s="392"/>
      <c r="R840" s="392"/>
      <c r="S840" s="392"/>
      <c r="T840" s="392"/>
      <c r="U840" s="392"/>
      <c r="V840" s="392"/>
      <c r="W840" s="392"/>
      <c r="X840" s="392"/>
      <c r="Y840" s="392"/>
      <c r="Z840" s="392"/>
      <c r="AA840" s="392"/>
      <c r="AB840" s="392"/>
      <c r="AC840" s="392"/>
      <c r="AD840" s="392"/>
      <c r="AE840" s="392"/>
      <c r="AF840" s="392"/>
    </row>
    <row r="841" ht="15.75" customHeight="1">
      <c r="A841" s="216"/>
      <c r="B841" s="156"/>
      <c r="C841" s="156"/>
      <c r="D841" s="156"/>
      <c r="E841" s="392"/>
      <c r="F841" s="392"/>
      <c r="G841" s="392"/>
      <c r="H841" s="392"/>
      <c r="I841" s="392"/>
      <c r="J841" s="145"/>
      <c r="K841" s="392"/>
      <c r="L841" s="392"/>
      <c r="M841" s="392"/>
      <c r="N841" s="392"/>
      <c r="O841" s="392"/>
      <c r="P841" s="392"/>
      <c r="Q841" s="392"/>
      <c r="R841" s="392"/>
      <c r="S841" s="392"/>
      <c r="T841" s="392"/>
      <c r="U841" s="392"/>
      <c r="V841" s="392"/>
      <c r="W841" s="392"/>
      <c r="X841" s="392"/>
      <c r="Y841" s="392"/>
      <c r="Z841" s="392"/>
      <c r="AA841" s="392"/>
      <c r="AB841" s="392"/>
      <c r="AC841" s="392"/>
      <c r="AD841" s="392"/>
      <c r="AE841" s="392"/>
      <c r="AF841" s="392"/>
    </row>
    <row r="842" ht="15.75" customHeight="1">
      <c r="A842" s="216"/>
      <c r="B842" s="156"/>
      <c r="C842" s="156"/>
      <c r="D842" s="156"/>
      <c r="E842" s="392"/>
      <c r="F842" s="392"/>
      <c r="G842" s="392"/>
      <c r="H842" s="392"/>
      <c r="I842" s="392"/>
      <c r="J842" s="145"/>
      <c r="K842" s="392"/>
      <c r="L842" s="392"/>
      <c r="M842" s="392"/>
      <c r="N842" s="392"/>
      <c r="O842" s="392"/>
      <c r="P842" s="392"/>
      <c r="Q842" s="392"/>
      <c r="R842" s="392"/>
      <c r="S842" s="392"/>
      <c r="T842" s="392"/>
      <c r="U842" s="392"/>
      <c r="V842" s="392"/>
      <c r="W842" s="392"/>
      <c r="X842" s="392"/>
      <c r="Y842" s="392"/>
      <c r="Z842" s="392"/>
      <c r="AA842" s="392"/>
      <c r="AB842" s="392"/>
      <c r="AC842" s="392"/>
      <c r="AD842" s="392"/>
      <c r="AE842" s="392"/>
      <c r="AF842" s="392"/>
    </row>
    <row r="843" ht="15.75" customHeight="1">
      <c r="A843" s="216"/>
      <c r="B843" s="156"/>
      <c r="C843" s="156"/>
      <c r="D843" s="156"/>
      <c r="E843" s="392"/>
      <c r="F843" s="392"/>
      <c r="G843" s="392"/>
      <c r="H843" s="392"/>
      <c r="I843" s="392"/>
      <c r="J843" s="145"/>
      <c r="K843" s="392"/>
      <c r="L843" s="392"/>
      <c r="M843" s="392"/>
      <c r="N843" s="392"/>
      <c r="O843" s="392"/>
      <c r="P843" s="392"/>
      <c r="Q843" s="392"/>
      <c r="R843" s="392"/>
      <c r="S843" s="392"/>
      <c r="T843" s="392"/>
      <c r="U843" s="392"/>
      <c r="V843" s="392"/>
      <c r="W843" s="392"/>
      <c r="X843" s="392"/>
      <c r="Y843" s="392"/>
      <c r="Z843" s="392"/>
      <c r="AA843" s="392"/>
      <c r="AB843" s="392"/>
      <c r="AC843" s="392"/>
      <c r="AD843" s="392"/>
      <c r="AE843" s="392"/>
      <c r="AF843" s="392"/>
    </row>
    <row r="844" ht="15.75" customHeight="1">
      <c r="A844" s="216"/>
      <c r="B844" s="156"/>
      <c r="C844" s="156"/>
      <c r="D844" s="156"/>
      <c r="E844" s="392"/>
      <c r="F844" s="392"/>
      <c r="G844" s="392"/>
      <c r="H844" s="392"/>
      <c r="I844" s="392"/>
      <c r="J844" s="145"/>
      <c r="K844" s="392"/>
      <c r="L844" s="392"/>
      <c r="M844" s="392"/>
      <c r="N844" s="392"/>
      <c r="O844" s="392"/>
      <c r="P844" s="392"/>
      <c r="Q844" s="392"/>
      <c r="R844" s="392"/>
      <c r="S844" s="392"/>
      <c r="T844" s="392"/>
      <c r="U844" s="392"/>
      <c r="V844" s="392"/>
      <c r="W844" s="392"/>
      <c r="X844" s="392"/>
      <c r="Y844" s="392"/>
      <c r="Z844" s="392"/>
      <c r="AA844" s="392"/>
      <c r="AB844" s="392"/>
      <c r="AC844" s="392"/>
      <c r="AD844" s="392"/>
      <c r="AE844" s="392"/>
      <c r="AF844" s="392"/>
    </row>
    <row r="845" ht="15.75" customHeight="1">
      <c r="A845" s="216"/>
      <c r="B845" s="156"/>
      <c r="C845" s="156"/>
      <c r="D845" s="156"/>
      <c r="E845" s="392"/>
      <c r="F845" s="392"/>
      <c r="G845" s="392"/>
      <c r="H845" s="392"/>
      <c r="I845" s="392"/>
      <c r="J845" s="145"/>
      <c r="K845" s="392"/>
      <c r="L845" s="392"/>
      <c r="M845" s="392"/>
      <c r="N845" s="392"/>
      <c r="O845" s="392"/>
      <c r="P845" s="392"/>
      <c r="Q845" s="392"/>
      <c r="R845" s="392"/>
      <c r="S845" s="392"/>
      <c r="T845" s="392"/>
      <c r="U845" s="392"/>
      <c r="V845" s="392"/>
      <c r="W845" s="392"/>
      <c r="X845" s="392"/>
      <c r="Y845" s="392"/>
      <c r="Z845" s="392"/>
      <c r="AA845" s="392"/>
      <c r="AB845" s="392"/>
      <c r="AC845" s="392"/>
      <c r="AD845" s="392"/>
      <c r="AE845" s="392"/>
      <c r="AF845" s="392"/>
    </row>
    <row r="846" ht="15.75" customHeight="1">
      <c r="A846" s="216"/>
      <c r="B846" s="156"/>
      <c r="C846" s="156"/>
      <c r="D846" s="156"/>
      <c r="E846" s="392"/>
      <c r="F846" s="392"/>
      <c r="G846" s="392"/>
      <c r="H846" s="392"/>
      <c r="I846" s="392"/>
      <c r="J846" s="145"/>
      <c r="K846" s="392"/>
      <c r="L846" s="392"/>
      <c r="M846" s="392"/>
      <c r="N846" s="392"/>
      <c r="O846" s="392"/>
      <c r="P846" s="392"/>
      <c r="Q846" s="392"/>
      <c r="R846" s="392"/>
      <c r="S846" s="392"/>
      <c r="T846" s="392"/>
      <c r="U846" s="392"/>
      <c r="V846" s="392"/>
      <c r="W846" s="392"/>
      <c r="X846" s="392"/>
      <c r="Y846" s="392"/>
      <c r="Z846" s="392"/>
      <c r="AA846" s="392"/>
      <c r="AB846" s="392"/>
      <c r="AC846" s="392"/>
      <c r="AD846" s="392"/>
      <c r="AE846" s="392"/>
      <c r="AF846" s="392"/>
    </row>
    <row r="847" ht="15.75" customHeight="1">
      <c r="A847" s="216"/>
      <c r="B847" s="156"/>
      <c r="C847" s="156"/>
      <c r="D847" s="156"/>
      <c r="E847" s="392"/>
      <c r="F847" s="392"/>
      <c r="G847" s="392"/>
      <c r="H847" s="392"/>
      <c r="I847" s="392"/>
      <c r="J847" s="145"/>
      <c r="K847" s="392"/>
      <c r="L847" s="392"/>
      <c r="M847" s="392"/>
      <c r="N847" s="392"/>
      <c r="O847" s="392"/>
      <c r="P847" s="392"/>
      <c r="Q847" s="392"/>
      <c r="R847" s="392"/>
      <c r="S847" s="392"/>
      <c r="T847" s="392"/>
      <c r="U847" s="392"/>
      <c r="V847" s="392"/>
      <c r="W847" s="392"/>
      <c r="X847" s="392"/>
      <c r="Y847" s="392"/>
      <c r="Z847" s="392"/>
      <c r="AA847" s="392"/>
      <c r="AB847" s="392"/>
      <c r="AC847" s="392"/>
      <c r="AD847" s="392"/>
      <c r="AE847" s="392"/>
      <c r="AF847" s="392"/>
    </row>
    <row r="848" ht="15.75" customHeight="1">
      <c r="A848" s="216"/>
      <c r="B848" s="156"/>
      <c r="C848" s="156"/>
      <c r="D848" s="156"/>
      <c r="E848" s="392"/>
      <c r="F848" s="392"/>
      <c r="G848" s="392"/>
      <c r="H848" s="392"/>
      <c r="I848" s="392"/>
      <c r="J848" s="145"/>
      <c r="K848" s="392"/>
      <c r="L848" s="392"/>
      <c r="M848" s="392"/>
      <c r="N848" s="392"/>
      <c r="O848" s="392"/>
      <c r="P848" s="392"/>
      <c r="Q848" s="392"/>
      <c r="R848" s="392"/>
      <c r="S848" s="392"/>
      <c r="T848" s="392"/>
      <c r="U848" s="392"/>
      <c r="V848" s="392"/>
      <c r="W848" s="392"/>
      <c r="X848" s="392"/>
      <c r="Y848" s="392"/>
      <c r="Z848" s="392"/>
      <c r="AA848" s="392"/>
      <c r="AB848" s="392"/>
      <c r="AC848" s="392"/>
      <c r="AD848" s="392"/>
      <c r="AE848" s="392"/>
      <c r="AF848" s="392"/>
    </row>
    <row r="849" ht="15.75" customHeight="1">
      <c r="A849" s="216"/>
      <c r="B849" s="156"/>
      <c r="C849" s="156"/>
      <c r="D849" s="156"/>
      <c r="E849" s="392"/>
      <c r="F849" s="392"/>
      <c r="G849" s="392"/>
      <c r="H849" s="392"/>
      <c r="I849" s="392"/>
      <c r="J849" s="145"/>
      <c r="K849" s="392"/>
      <c r="L849" s="392"/>
      <c r="M849" s="392"/>
      <c r="N849" s="392"/>
      <c r="O849" s="392"/>
      <c r="P849" s="392"/>
      <c r="Q849" s="392"/>
      <c r="R849" s="392"/>
      <c r="S849" s="392"/>
      <c r="T849" s="392"/>
      <c r="U849" s="392"/>
      <c r="V849" s="392"/>
      <c r="W849" s="392"/>
      <c r="X849" s="392"/>
      <c r="Y849" s="392"/>
      <c r="Z849" s="392"/>
      <c r="AA849" s="392"/>
      <c r="AB849" s="392"/>
      <c r="AC849" s="392"/>
      <c r="AD849" s="392"/>
      <c r="AE849" s="392"/>
      <c r="AF849" s="392"/>
    </row>
    <row r="850" ht="15.75" customHeight="1">
      <c r="A850" s="216"/>
      <c r="B850" s="156"/>
      <c r="C850" s="156"/>
      <c r="D850" s="156"/>
      <c r="E850" s="392"/>
      <c r="F850" s="392"/>
      <c r="G850" s="392"/>
      <c r="H850" s="392"/>
      <c r="I850" s="392"/>
      <c r="J850" s="145"/>
      <c r="K850" s="392"/>
      <c r="L850" s="392"/>
      <c r="M850" s="392"/>
      <c r="N850" s="392"/>
      <c r="O850" s="392"/>
      <c r="P850" s="392"/>
      <c r="Q850" s="392"/>
      <c r="R850" s="392"/>
      <c r="S850" s="392"/>
      <c r="T850" s="392"/>
      <c r="U850" s="392"/>
      <c r="V850" s="392"/>
      <c r="W850" s="392"/>
      <c r="X850" s="392"/>
      <c r="Y850" s="392"/>
      <c r="Z850" s="392"/>
      <c r="AA850" s="392"/>
      <c r="AB850" s="392"/>
      <c r="AC850" s="392"/>
      <c r="AD850" s="392"/>
      <c r="AE850" s="392"/>
      <c r="AF850" s="392"/>
    </row>
    <row r="851" ht="15.75" customHeight="1">
      <c r="A851" s="216"/>
      <c r="B851" s="156"/>
      <c r="C851" s="156"/>
      <c r="D851" s="156"/>
      <c r="E851" s="392"/>
      <c r="F851" s="392"/>
      <c r="G851" s="392"/>
      <c r="H851" s="392"/>
      <c r="I851" s="392"/>
      <c r="J851" s="145"/>
      <c r="K851" s="392"/>
      <c r="L851" s="392"/>
      <c r="M851" s="392"/>
      <c r="N851" s="392"/>
      <c r="O851" s="392"/>
      <c r="P851" s="392"/>
      <c r="Q851" s="392"/>
      <c r="R851" s="392"/>
      <c r="S851" s="392"/>
      <c r="T851" s="392"/>
      <c r="U851" s="392"/>
      <c r="V851" s="392"/>
      <c r="W851" s="392"/>
      <c r="X851" s="392"/>
      <c r="Y851" s="392"/>
      <c r="Z851" s="392"/>
      <c r="AA851" s="392"/>
      <c r="AB851" s="392"/>
      <c r="AC851" s="392"/>
      <c r="AD851" s="392"/>
      <c r="AE851" s="392"/>
      <c r="AF851" s="392"/>
    </row>
    <row r="852" ht="15.75" customHeight="1">
      <c r="A852" s="216"/>
      <c r="B852" s="156"/>
      <c r="C852" s="156"/>
      <c r="D852" s="156"/>
      <c r="E852" s="392"/>
      <c r="F852" s="392"/>
      <c r="G852" s="392"/>
      <c r="H852" s="392"/>
      <c r="I852" s="392"/>
      <c r="J852" s="145"/>
      <c r="K852" s="392"/>
      <c r="L852" s="392"/>
      <c r="M852" s="392"/>
      <c r="N852" s="392"/>
      <c r="O852" s="392"/>
      <c r="P852" s="392"/>
      <c r="Q852" s="392"/>
      <c r="R852" s="392"/>
      <c r="S852" s="392"/>
      <c r="T852" s="392"/>
      <c r="U852" s="392"/>
      <c r="V852" s="392"/>
      <c r="W852" s="392"/>
      <c r="X852" s="392"/>
      <c r="Y852" s="392"/>
      <c r="Z852" s="392"/>
      <c r="AA852" s="392"/>
      <c r="AB852" s="392"/>
      <c r="AC852" s="392"/>
      <c r="AD852" s="392"/>
      <c r="AE852" s="392"/>
      <c r="AF852" s="392"/>
    </row>
    <row r="853" ht="15.75" customHeight="1">
      <c r="A853" s="216"/>
      <c r="B853" s="156"/>
      <c r="C853" s="156"/>
      <c r="D853" s="156"/>
      <c r="E853" s="392"/>
      <c r="F853" s="392"/>
      <c r="G853" s="392"/>
      <c r="H853" s="392"/>
      <c r="I853" s="392"/>
      <c r="J853" s="145"/>
      <c r="K853" s="392"/>
      <c r="L853" s="392"/>
      <c r="M853" s="392"/>
      <c r="N853" s="392"/>
      <c r="O853" s="392"/>
      <c r="P853" s="392"/>
      <c r="Q853" s="392"/>
      <c r="R853" s="392"/>
      <c r="S853" s="392"/>
      <c r="T853" s="392"/>
      <c r="U853" s="392"/>
      <c r="V853" s="392"/>
      <c r="W853" s="392"/>
      <c r="X853" s="392"/>
      <c r="Y853" s="392"/>
      <c r="Z853" s="392"/>
      <c r="AA853" s="392"/>
      <c r="AB853" s="392"/>
      <c r="AC853" s="392"/>
      <c r="AD853" s="392"/>
      <c r="AE853" s="392"/>
      <c r="AF853" s="392"/>
    </row>
    <row r="854" ht="15.75" customHeight="1">
      <c r="A854" s="216"/>
      <c r="B854" s="156"/>
      <c r="C854" s="156"/>
      <c r="D854" s="156"/>
      <c r="E854" s="392"/>
      <c r="F854" s="392"/>
      <c r="G854" s="392"/>
      <c r="H854" s="392"/>
      <c r="I854" s="392"/>
      <c r="J854" s="145"/>
      <c r="K854" s="392"/>
      <c r="L854" s="392"/>
      <c r="M854" s="392"/>
      <c r="N854" s="392"/>
      <c r="O854" s="392"/>
      <c r="P854" s="392"/>
      <c r="Q854" s="392"/>
      <c r="R854" s="392"/>
      <c r="S854" s="392"/>
      <c r="T854" s="392"/>
      <c r="U854" s="392"/>
      <c r="V854" s="392"/>
      <c r="W854" s="392"/>
      <c r="X854" s="392"/>
      <c r="Y854" s="392"/>
      <c r="Z854" s="392"/>
      <c r="AA854" s="392"/>
      <c r="AB854" s="392"/>
      <c r="AC854" s="392"/>
      <c r="AD854" s="392"/>
      <c r="AE854" s="392"/>
      <c r="AF854" s="392"/>
    </row>
    <row r="855" ht="15.75" customHeight="1">
      <c r="A855" s="216"/>
      <c r="B855" s="156"/>
      <c r="C855" s="156"/>
      <c r="D855" s="156"/>
      <c r="E855" s="392"/>
      <c r="F855" s="392"/>
      <c r="G855" s="392"/>
      <c r="H855" s="392"/>
      <c r="I855" s="392"/>
      <c r="J855" s="145"/>
      <c r="K855" s="392"/>
      <c r="L855" s="392"/>
      <c r="M855" s="392"/>
      <c r="N855" s="392"/>
      <c r="O855" s="392"/>
      <c r="P855" s="392"/>
      <c r="Q855" s="392"/>
      <c r="R855" s="392"/>
      <c r="S855" s="392"/>
      <c r="T855" s="392"/>
      <c r="U855" s="392"/>
      <c r="V855" s="392"/>
      <c r="W855" s="392"/>
      <c r="X855" s="392"/>
      <c r="Y855" s="392"/>
      <c r="Z855" s="392"/>
      <c r="AA855" s="392"/>
      <c r="AB855" s="392"/>
      <c r="AC855" s="392"/>
      <c r="AD855" s="392"/>
      <c r="AE855" s="392"/>
      <c r="AF855" s="392"/>
    </row>
    <row r="856" ht="15.75" customHeight="1">
      <c r="A856" s="216"/>
      <c r="B856" s="156"/>
      <c r="C856" s="156"/>
      <c r="D856" s="156"/>
      <c r="E856" s="392"/>
      <c r="F856" s="392"/>
      <c r="G856" s="392"/>
      <c r="H856" s="392"/>
      <c r="I856" s="392"/>
      <c r="J856" s="145"/>
      <c r="K856" s="392"/>
      <c r="L856" s="392"/>
      <c r="M856" s="392"/>
      <c r="N856" s="392"/>
      <c r="O856" s="392"/>
      <c r="P856" s="392"/>
      <c r="Q856" s="392"/>
      <c r="R856" s="392"/>
      <c r="S856" s="392"/>
      <c r="T856" s="392"/>
      <c r="U856" s="392"/>
      <c r="V856" s="392"/>
      <c r="W856" s="392"/>
      <c r="X856" s="392"/>
      <c r="Y856" s="392"/>
      <c r="Z856" s="392"/>
      <c r="AA856" s="392"/>
      <c r="AB856" s="392"/>
      <c r="AC856" s="392"/>
      <c r="AD856" s="392"/>
      <c r="AE856" s="392"/>
      <c r="AF856" s="392"/>
    </row>
    <row r="857" ht="15.75" customHeight="1">
      <c r="A857" s="216"/>
      <c r="B857" s="156"/>
      <c r="C857" s="156"/>
      <c r="D857" s="156"/>
      <c r="E857" s="392"/>
      <c r="F857" s="392"/>
      <c r="G857" s="392"/>
      <c r="H857" s="392"/>
      <c r="I857" s="392"/>
      <c r="J857" s="145"/>
      <c r="K857" s="392"/>
      <c r="L857" s="392"/>
      <c r="M857" s="392"/>
      <c r="N857" s="392"/>
      <c r="O857" s="392"/>
      <c r="P857" s="392"/>
      <c r="Q857" s="392"/>
      <c r="R857" s="392"/>
      <c r="S857" s="392"/>
      <c r="T857" s="392"/>
      <c r="U857" s="392"/>
      <c r="V857" s="392"/>
      <c r="W857" s="392"/>
      <c r="X857" s="392"/>
      <c r="Y857" s="392"/>
      <c r="Z857" s="392"/>
      <c r="AA857" s="392"/>
      <c r="AB857" s="392"/>
      <c r="AC857" s="392"/>
      <c r="AD857" s="392"/>
      <c r="AE857" s="392"/>
      <c r="AF857" s="392"/>
    </row>
    <row r="858" ht="15.75" customHeight="1">
      <c r="A858" s="216"/>
      <c r="B858" s="156"/>
      <c r="C858" s="156"/>
      <c r="D858" s="156"/>
      <c r="E858" s="392"/>
      <c r="F858" s="392"/>
      <c r="G858" s="392"/>
      <c r="H858" s="392"/>
      <c r="I858" s="392"/>
      <c r="J858" s="145"/>
      <c r="K858" s="392"/>
      <c r="L858" s="392"/>
      <c r="M858" s="392"/>
      <c r="N858" s="392"/>
      <c r="O858" s="392"/>
      <c r="P858" s="392"/>
      <c r="Q858" s="392"/>
      <c r="R858" s="392"/>
      <c r="S858" s="392"/>
      <c r="T858" s="392"/>
      <c r="U858" s="392"/>
      <c r="V858" s="392"/>
      <c r="W858" s="392"/>
      <c r="X858" s="392"/>
      <c r="Y858" s="392"/>
      <c r="Z858" s="392"/>
      <c r="AA858" s="392"/>
      <c r="AB858" s="392"/>
      <c r="AC858" s="392"/>
      <c r="AD858" s="392"/>
      <c r="AE858" s="392"/>
      <c r="AF858" s="392"/>
    </row>
    <row r="859" ht="15.75" customHeight="1">
      <c r="A859" s="216"/>
      <c r="B859" s="156"/>
      <c r="C859" s="156"/>
      <c r="D859" s="156"/>
      <c r="E859" s="392"/>
      <c r="F859" s="392"/>
      <c r="G859" s="392"/>
      <c r="H859" s="392"/>
      <c r="I859" s="392"/>
      <c r="J859" s="145"/>
      <c r="K859" s="392"/>
      <c r="L859" s="392"/>
      <c r="M859" s="392"/>
      <c r="N859" s="392"/>
      <c r="O859" s="392"/>
      <c r="P859" s="392"/>
      <c r="Q859" s="392"/>
      <c r="R859" s="392"/>
      <c r="S859" s="392"/>
      <c r="T859" s="392"/>
      <c r="U859" s="392"/>
      <c r="V859" s="392"/>
      <c r="W859" s="392"/>
      <c r="X859" s="392"/>
      <c r="Y859" s="392"/>
      <c r="Z859" s="392"/>
      <c r="AA859" s="392"/>
      <c r="AB859" s="392"/>
      <c r="AC859" s="392"/>
      <c r="AD859" s="392"/>
      <c r="AE859" s="392"/>
      <c r="AF859" s="392"/>
    </row>
    <row r="860" ht="15.75" customHeight="1">
      <c r="A860" s="216"/>
      <c r="B860" s="156"/>
      <c r="C860" s="156"/>
      <c r="D860" s="156"/>
      <c r="E860" s="392"/>
      <c r="F860" s="392"/>
      <c r="G860" s="392"/>
      <c r="H860" s="392"/>
      <c r="I860" s="392"/>
      <c r="J860" s="145"/>
      <c r="K860" s="392"/>
      <c r="L860" s="392"/>
      <c r="M860" s="392"/>
      <c r="N860" s="392"/>
      <c r="O860" s="392"/>
      <c r="P860" s="392"/>
      <c r="Q860" s="392"/>
      <c r="R860" s="392"/>
      <c r="S860" s="392"/>
      <c r="T860" s="392"/>
      <c r="U860" s="392"/>
      <c r="V860" s="392"/>
      <c r="W860" s="392"/>
      <c r="X860" s="392"/>
      <c r="Y860" s="392"/>
      <c r="Z860" s="392"/>
      <c r="AA860" s="392"/>
      <c r="AB860" s="392"/>
      <c r="AC860" s="392"/>
      <c r="AD860" s="392"/>
      <c r="AE860" s="392"/>
      <c r="AF860" s="392"/>
    </row>
    <row r="861" ht="15.75" customHeight="1">
      <c r="A861" s="216"/>
      <c r="B861" s="156"/>
      <c r="C861" s="156"/>
      <c r="D861" s="156"/>
      <c r="E861" s="392"/>
      <c r="F861" s="392"/>
      <c r="G861" s="392"/>
      <c r="H861" s="392"/>
      <c r="I861" s="392"/>
      <c r="J861" s="145"/>
      <c r="K861" s="392"/>
      <c r="L861" s="392"/>
      <c r="M861" s="392"/>
      <c r="N861" s="392"/>
      <c r="O861" s="392"/>
      <c r="P861" s="392"/>
      <c r="Q861" s="392"/>
      <c r="R861" s="392"/>
      <c r="S861" s="392"/>
      <c r="T861" s="392"/>
      <c r="U861" s="392"/>
      <c r="V861" s="392"/>
      <c r="W861" s="392"/>
      <c r="X861" s="392"/>
      <c r="Y861" s="392"/>
      <c r="Z861" s="392"/>
      <c r="AA861" s="392"/>
      <c r="AB861" s="392"/>
      <c r="AC861" s="392"/>
      <c r="AD861" s="392"/>
      <c r="AE861" s="392"/>
      <c r="AF861" s="392"/>
    </row>
    <row r="862" ht="15.75" customHeight="1">
      <c r="A862" s="216"/>
      <c r="B862" s="156"/>
      <c r="C862" s="156"/>
      <c r="D862" s="156"/>
      <c r="E862" s="392"/>
      <c r="F862" s="392"/>
      <c r="G862" s="392"/>
      <c r="H862" s="392"/>
      <c r="I862" s="392"/>
      <c r="J862" s="145"/>
      <c r="K862" s="392"/>
      <c r="L862" s="392"/>
      <c r="M862" s="392"/>
      <c r="N862" s="392"/>
      <c r="O862" s="392"/>
      <c r="P862" s="392"/>
      <c r="Q862" s="392"/>
      <c r="R862" s="392"/>
      <c r="S862" s="392"/>
      <c r="T862" s="392"/>
      <c r="U862" s="392"/>
      <c r="V862" s="392"/>
      <c r="W862" s="392"/>
      <c r="X862" s="392"/>
      <c r="Y862" s="392"/>
      <c r="Z862" s="392"/>
      <c r="AA862" s="392"/>
      <c r="AB862" s="392"/>
      <c r="AC862" s="392"/>
      <c r="AD862" s="392"/>
      <c r="AE862" s="392"/>
      <c r="AF862" s="392"/>
    </row>
    <row r="863" ht="15.75" customHeight="1">
      <c r="A863" s="216"/>
      <c r="B863" s="156"/>
      <c r="C863" s="156"/>
      <c r="D863" s="156"/>
      <c r="E863" s="392"/>
      <c r="F863" s="392"/>
      <c r="G863" s="392"/>
      <c r="H863" s="392"/>
      <c r="I863" s="392"/>
      <c r="J863" s="145"/>
      <c r="K863" s="392"/>
      <c r="L863" s="392"/>
      <c r="M863" s="392"/>
      <c r="N863" s="392"/>
      <c r="O863" s="392"/>
      <c r="P863" s="392"/>
      <c r="Q863" s="392"/>
      <c r="R863" s="392"/>
      <c r="S863" s="392"/>
      <c r="T863" s="392"/>
      <c r="U863" s="392"/>
      <c r="V863" s="392"/>
      <c r="W863" s="392"/>
      <c r="X863" s="392"/>
      <c r="Y863" s="392"/>
      <c r="Z863" s="392"/>
      <c r="AA863" s="392"/>
      <c r="AB863" s="392"/>
      <c r="AC863" s="392"/>
      <c r="AD863" s="392"/>
      <c r="AE863" s="392"/>
      <c r="AF863" s="392"/>
    </row>
    <row r="864" ht="15.75" customHeight="1">
      <c r="A864" s="216"/>
      <c r="B864" s="156"/>
      <c r="C864" s="156"/>
      <c r="D864" s="156"/>
      <c r="E864" s="392"/>
      <c r="F864" s="392"/>
      <c r="G864" s="392"/>
      <c r="H864" s="392"/>
      <c r="I864" s="392"/>
      <c r="J864" s="145"/>
      <c r="K864" s="392"/>
      <c r="L864" s="392"/>
      <c r="M864" s="392"/>
      <c r="N864" s="392"/>
      <c r="O864" s="392"/>
      <c r="P864" s="392"/>
      <c r="Q864" s="392"/>
      <c r="R864" s="392"/>
      <c r="S864" s="392"/>
      <c r="T864" s="392"/>
      <c r="U864" s="392"/>
      <c r="V864" s="392"/>
      <c r="W864" s="392"/>
      <c r="X864" s="392"/>
      <c r="Y864" s="392"/>
      <c r="Z864" s="392"/>
      <c r="AA864" s="392"/>
      <c r="AB864" s="392"/>
      <c r="AC864" s="392"/>
      <c r="AD864" s="392"/>
      <c r="AE864" s="392"/>
      <c r="AF864" s="392"/>
    </row>
    <row r="865" ht="15.75" customHeight="1">
      <c r="A865" s="216"/>
      <c r="B865" s="156"/>
      <c r="C865" s="156"/>
      <c r="D865" s="156"/>
      <c r="E865" s="392"/>
      <c r="F865" s="392"/>
      <c r="G865" s="392"/>
      <c r="H865" s="392"/>
      <c r="I865" s="392"/>
      <c r="J865" s="145"/>
      <c r="K865" s="392"/>
      <c r="L865" s="392"/>
      <c r="M865" s="392"/>
      <c r="N865" s="392"/>
      <c r="O865" s="392"/>
      <c r="P865" s="392"/>
      <c r="Q865" s="392"/>
      <c r="R865" s="392"/>
      <c r="S865" s="392"/>
      <c r="T865" s="392"/>
      <c r="U865" s="392"/>
      <c r="V865" s="392"/>
      <c r="W865" s="392"/>
      <c r="X865" s="392"/>
      <c r="Y865" s="392"/>
      <c r="Z865" s="392"/>
      <c r="AA865" s="392"/>
      <c r="AB865" s="392"/>
      <c r="AC865" s="392"/>
      <c r="AD865" s="392"/>
      <c r="AE865" s="392"/>
      <c r="AF865" s="392"/>
    </row>
    <row r="866" ht="15.75" customHeight="1">
      <c r="A866" s="216"/>
      <c r="B866" s="156"/>
      <c r="C866" s="156"/>
      <c r="D866" s="156"/>
      <c r="E866" s="392"/>
      <c r="F866" s="392"/>
      <c r="G866" s="392"/>
      <c r="H866" s="392"/>
      <c r="I866" s="392"/>
      <c r="J866" s="145"/>
      <c r="K866" s="392"/>
      <c r="L866" s="392"/>
      <c r="M866" s="392"/>
      <c r="N866" s="392"/>
      <c r="O866" s="392"/>
      <c r="P866" s="392"/>
      <c r="Q866" s="392"/>
      <c r="R866" s="392"/>
      <c r="S866" s="392"/>
      <c r="T866" s="392"/>
      <c r="U866" s="392"/>
      <c r="V866" s="392"/>
      <c r="W866" s="392"/>
      <c r="X866" s="392"/>
      <c r="Y866" s="392"/>
      <c r="Z866" s="392"/>
      <c r="AA866" s="392"/>
      <c r="AB866" s="392"/>
      <c r="AC866" s="392"/>
      <c r="AD866" s="392"/>
      <c r="AE866" s="392"/>
      <c r="AF866" s="392"/>
    </row>
    <row r="867" ht="15.75" customHeight="1">
      <c r="A867" s="216"/>
      <c r="B867" s="156"/>
      <c r="C867" s="156"/>
      <c r="D867" s="156"/>
      <c r="E867" s="392"/>
      <c r="F867" s="392"/>
      <c r="G867" s="392"/>
      <c r="H867" s="392"/>
      <c r="I867" s="392"/>
      <c r="J867" s="145"/>
      <c r="K867" s="392"/>
      <c r="L867" s="392"/>
      <c r="M867" s="392"/>
      <c r="N867" s="392"/>
      <c r="O867" s="392"/>
      <c r="P867" s="392"/>
      <c r="Q867" s="392"/>
      <c r="R867" s="392"/>
      <c r="S867" s="392"/>
      <c r="T867" s="392"/>
      <c r="U867" s="392"/>
      <c r="V867" s="392"/>
      <c r="W867" s="392"/>
      <c r="X867" s="392"/>
      <c r="Y867" s="392"/>
      <c r="Z867" s="392"/>
      <c r="AA867" s="392"/>
      <c r="AB867" s="392"/>
      <c r="AC867" s="392"/>
      <c r="AD867" s="392"/>
      <c r="AE867" s="392"/>
      <c r="AF867" s="392"/>
    </row>
    <row r="868" ht="15.75" customHeight="1">
      <c r="A868" s="216"/>
      <c r="B868" s="156"/>
      <c r="C868" s="156"/>
      <c r="D868" s="156"/>
      <c r="E868" s="392"/>
      <c r="F868" s="392"/>
      <c r="G868" s="392"/>
      <c r="H868" s="392"/>
      <c r="I868" s="392"/>
      <c r="J868" s="145"/>
      <c r="K868" s="392"/>
      <c r="L868" s="392"/>
      <c r="M868" s="392"/>
      <c r="N868" s="392"/>
      <c r="O868" s="392"/>
      <c r="P868" s="392"/>
      <c r="Q868" s="392"/>
      <c r="R868" s="392"/>
      <c r="S868" s="392"/>
      <c r="T868" s="392"/>
      <c r="U868" s="392"/>
      <c r="V868" s="392"/>
      <c r="W868" s="392"/>
      <c r="X868" s="392"/>
      <c r="Y868" s="392"/>
      <c r="Z868" s="392"/>
      <c r="AA868" s="392"/>
      <c r="AB868" s="392"/>
      <c r="AC868" s="392"/>
      <c r="AD868" s="392"/>
      <c r="AE868" s="392"/>
      <c r="AF868" s="392"/>
    </row>
    <row r="869" ht="15.75" customHeight="1">
      <c r="A869" s="216"/>
      <c r="B869" s="156"/>
      <c r="C869" s="156"/>
      <c r="D869" s="156"/>
      <c r="E869" s="392"/>
      <c r="F869" s="392"/>
      <c r="G869" s="392"/>
      <c r="H869" s="392"/>
      <c r="I869" s="392"/>
      <c r="J869" s="145"/>
      <c r="K869" s="392"/>
      <c r="L869" s="392"/>
      <c r="M869" s="392"/>
      <c r="N869" s="392"/>
      <c r="O869" s="392"/>
      <c r="P869" s="392"/>
      <c r="Q869" s="392"/>
      <c r="R869" s="392"/>
      <c r="S869" s="392"/>
      <c r="T869" s="392"/>
      <c r="U869" s="392"/>
      <c r="V869" s="392"/>
      <c r="W869" s="392"/>
      <c r="X869" s="392"/>
      <c r="Y869" s="392"/>
      <c r="Z869" s="392"/>
      <c r="AA869" s="392"/>
      <c r="AB869" s="392"/>
      <c r="AC869" s="392"/>
      <c r="AD869" s="392"/>
      <c r="AE869" s="392"/>
      <c r="AF869" s="392"/>
    </row>
    <row r="870" ht="15.75" customHeight="1">
      <c r="A870" s="216"/>
      <c r="B870" s="156"/>
      <c r="C870" s="156"/>
      <c r="D870" s="156"/>
      <c r="E870" s="392"/>
      <c r="F870" s="392"/>
      <c r="G870" s="392"/>
      <c r="H870" s="392"/>
      <c r="I870" s="392"/>
      <c r="J870" s="145"/>
      <c r="K870" s="392"/>
      <c r="L870" s="392"/>
      <c r="M870" s="392"/>
      <c r="N870" s="392"/>
      <c r="O870" s="392"/>
      <c r="P870" s="392"/>
      <c r="Q870" s="392"/>
      <c r="R870" s="392"/>
      <c r="S870" s="392"/>
      <c r="T870" s="392"/>
      <c r="U870" s="392"/>
      <c r="V870" s="392"/>
      <c r="W870" s="392"/>
      <c r="X870" s="392"/>
      <c r="Y870" s="392"/>
      <c r="Z870" s="392"/>
      <c r="AA870" s="392"/>
      <c r="AB870" s="392"/>
      <c r="AC870" s="392"/>
      <c r="AD870" s="392"/>
      <c r="AE870" s="392"/>
      <c r="AF870" s="392"/>
    </row>
    <row r="871" ht="15.75" customHeight="1">
      <c r="A871" s="216"/>
      <c r="B871" s="156"/>
      <c r="C871" s="156"/>
      <c r="D871" s="156"/>
      <c r="E871" s="392"/>
      <c r="F871" s="392"/>
      <c r="G871" s="392"/>
      <c r="H871" s="392"/>
      <c r="I871" s="392"/>
      <c r="J871" s="145"/>
      <c r="K871" s="392"/>
      <c r="L871" s="392"/>
      <c r="M871" s="392"/>
      <c r="N871" s="392"/>
      <c r="O871" s="392"/>
      <c r="P871" s="392"/>
      <c r="Q871" s="392"/>
      <c r="R871" s="392"/>
      <c r="S871" s="392"/>
      <c r="T871" s="392"/>
      <c r="U871" s="392"/>
      <c r="V871" s="392"/>
      <c r="W871" s="392"/>
      <c r="X871" s="392"/>
      <c r="Y871" s="392"/>
      <c r="Z871" s="392"/>
      <c r="AA871" s="392"/>
      <c r="AB871" s="392"/>
      <c r="AC871" s="392"/>
      <c r="AD871" s="392"/>
      <c r="AE871" s="392"/>
      <c r="AF871" s="392"/>
    </row>
    <row r="872" ht="15.75" customHeight="1">
      <c r="A872" s="216"/>
      <c r="B872" s="156"/>
      <c r="C872" s="156"/>
      <c r="D872" s="156"/>
      <c r="E872" s="392"/>
      <c r="F872" s="392"/>
      <c r="G872" s="392"/>
      <c r="H872" s="392"/>
      <c r="I872" s="392"/>
      <c r="J872" s="145"/>
      <c r="K872" s="392"/>
      <c r="L872" s="392"/>
      <c r="M872" s="392"/>
      <c r="N872" s="392"/>
      <c r="O872" s="392"/>
      <c r="P872" s="392"/>
      <c r="Q872" s="392"/>
      <c r="R872" s="392"/>
      <c r="S872" s="392"/>
      <c r="T872" s="392"/>
      <c r="U872" s="392"/>
      <c r="V872" s="392"/>
      <c r="W872" s="392"/>
      <c r="X872" s="392"/>
      <c r="Y872" s="392"/>
      <c r="Z872" s="392"/>
      <c r="AA872" s="392"/>
      <c r="AB872" s="392"/>
      <c r="AC872" s="392"/>
      <c r="AD872" s="392"/>
      <c r="AE872" s="392"/>
      <c r="AF872" s="392"/>
    </row>
    <row r="873" ht="15.75" customHeight="1">
      <c r="A873" s="216"/>
      <c r="B873" s="156"/>
      <c r="C873" s="156"/>
      <c r="D873" s="156"/>
      <c r="E873" s="392"/>
      <c r="F873" s="392"/>
      <c r="G873" s="392"/>
      <c r="H873" s="392"/>
      <c r="I873" s="392"/>
      <c r="J873" s="145"/>
      <c r="K873" s="392"/>
      <c r="L873" s="392"/>
      <c r="M873" s="392"/>
      <c r="N873" s="392"/>
      <c r="O873" s="392"/>
      <c r="P873" s="392"/>
      <c r="Q873" s="392"/>
      <c r="R873" s="392"/>
      <c r="S873" s="392"/>
      <c r="T873" s="392"/>
      <c r="U873" s="392"/>
      <c r="V873" s="392"/>
      <c r="W873" s="392"/>
      <c r="X873" s="392"/>
      <c r="Y873" s="392"/>
      <c r="Z873" s="392"/>
      <c r="AA873" s="392"/>
      <c r="AB873" s="392"/>
      <c r="AC873" s="392"/>
      <c r="AD873" s="392"/>
      <c r="AE873" s="392"/>
      <c r="AF873" s="392"/>
    </row>
    <row r="874" ht="15.75" customHeight="1">
      <c r="A874" s="216"/>
      <c r="B874" s="156"/>
      <c r="C874" s="156"/>
      <c r="D874" s="156"/>
      <c r="E874" s="392"/>
      <c r="F874" s="392"/>
      <c r="G874" s="392"/>
      <c r="H874" s="392"/>
      <c r="I874" s="392"/>
      <c r="J874" s="145"/>
      <c r="K874" s="392"/>
      <c r="L874" s="392"/>
      <c r="M874" s="392"/>
      <c r="N874" s="392"/>
      <c r="O874" s="392"/>
      <c r="P874" s="392"/>
      <c r="Q874" s="392"/>
      <c r="R874" s="392"/>
      <c r="S874" s="392"/>
      <c r="T874" s="392"/>
      <c r="U874" s="392"/>
      <c r="V874" s="392"/>
      <c r="W874" s="392"/>
      <c r="X874" s="392"/>
      <c r="Y874" s="392"/>
      <c r="Z874" s="392"/>
      <c r="AA874" s="392"/>
      <c r="AB874" s="392"/>
      <c r="AC874" s="392"/>
      <c r="AD874" s="392"/>
      <c r="AE874" s="392"/>
      <c r="AF874" s="392"/>
    </row>
    <row r="875" ht="15.75" customHeight="1">
      <c r="A875" s="216"/>
      <c r="B875" s="156"/>
      <c r="C875" s="156"/>
      <c r="D875" s="156"/>
      <c r="E875" s="392"/>
      <c r="F875" s="392"/>
      <c r="G875" s="392"/>
      <c r="H875" s="392"/>
      <c r="I875" s="392"/>
      <c r="J875" s="145"/>
      <c r="K875" s="392"/>
      <c r="L875" s="392"/>
      <c r="M875" s="392"/>
      <c r="N875" s="392"/>
      <c r="O875" s="392"/>
      <c r="P875" s="392"/>
      <c r="Q875" s="392"/>
      <c r="R875" s="392"/>
      <c r="S875" s="392"/>
      <c r="T875" s="392"/>
      <c r="U875" s="392"/>
      <c r="V875" s="392"/>
      <c r="W875" s="392"/>
      <c r="X875" s="392"/>
      <c r="Y875" s="392"/>
      <c r="Z875" s="392"/>
      <c r="AA875" s="392"/>
      <c r="AB875" s="392"/>
      <c r="AC875" s="392"/>
      <c r="AD875" s="392"/>
      <c r="AE875" s="392"/>
      <c r="AF875" s="392"/>
    </row>
    <row r="876" ht="15.75" customHeight="1">
      <c r="A876" s="216"/>
      <c r="B876" s="156"/>
      <c r="C876" s="156"/>
      <c r="D876" s="156"/>
      <c r="E876" s="392"/>
      <c r="F876" s="392"/>
      <c r="G876" s="392"/>
      <c r="H876" s="392"/>
      <c r="I876" s="392"/>
      <c r="J876" s="145"/>
      <c r="K876" s="392"/>
      <c r="L876" s="392"/>
      <c r="M876" s="392"/>
      <c r="N876" s="392"/>
      <c r="O876" s="392"/>
      <c r="P876" s="392"/>
      <c r="Q876" s="392"/>
      <c r="R876" s="392"/>
      <c r="S876" s="392"/>
      <c r="T876" s="392"/>
      <c r="U876" s="392"/>
      <c r="V876" s="392"/>
      <c r="W876" s="392"/>
      <c r="X876" s="392"/>
      <c r="Y876" s="392"/>
      <c r="Z876" s="392"/>
      <c r="AA876" s="392"/>
      <c r="AB876" s="392"/>
      <c r="AC876" s="392"/>
      <c r="AD876" s="392"/>
      <c r="AE876" s="392"/>
      <c r="AF876" s="392"/>
    </row>
    <row r="877" ht="15.75" customHeight="1">
      <c r="A877" s="216"/>
      <c r="B877" s="156"/>
      <c r="C877" s="156"/>
      <c r="D877" s="156"/>
      <c r="E877" s="392"/>
      <c r="F877" s="392"/>
      <c r="G877" s="392"/>
      <c r="H877" s="392"/>
      <c r="I877" s="392"/>
      <c r="J877" s="145"/>
      <c r="K877" s="392"/>
      <c r="L877" s="392"/>
      <c r="M877" s="392"/>
      <c r="N877" s="392"/>
      <c r="O877" s="392"/>
      <c r="P877" s="392"/>
      <c r="Q877" s="392"/>
      <c r="R877" s="392"/>
      <c r="S877" s="392"/>
      <c r="T877" s="392"/>
      <c r="U877" s="392"/>
      <c r="V877" s="392"/>
      <c r="W877" s="392"/>
      <c r="X877" s="392"/>
      <c r="Y877" s="392"/>
      <c r="Z877" s="392"/>
      <c r="AA877" s="392"/>
      <c r="AB877" s="392"/>
      <c r="AC877" s="392"/>
      <c r="AD877" s="392"/>
      <c r="AE877" s="392"/>
      <c r="AF877" s="392"/>
    </row>
    <row r="878" ht="15.75" customHeight="1">
      <c r="A878" s="216"/>
      <c r="B878" s="156"/>
      <c r="C878" s="156"/>
      <c r="D878" s="156"/>
      <c r="E878" s="392"/>
      <c r="F878" s="392"/>
      <c r="G878" s="392"/>
      <c r="H878" s="392"/>
      <c r="I878" s="392"/>
      <c r="J878" s="145"/>
      <c r="K878" s="392"/>
      <c r="L878" s="392"/>
      <c r="M878" s="392"/>
      <c r="N878" s="392"/>
      <c r="O878" s="392"/>
      <c r="P878" s="392"/>
      <c r="Q878" s="392"/>
      <c r="R878" s="392"/>
      <c r="S878" s="392"/>
      <c r="T878" s="392"/>
      <c r="U878" s="392"/>
      <c r="V878" s="392"/>
      <c r="W878" s="392"/>
      <c r="X878" s="392"/>
      <c r="Y878" s="392"/>
      <c r="Z878" s="392"/>
      <c r="AA878" s="392"/>
      <c r="AB878" s="392"/>
      <c r="AC878" s="392"/>
      <c r="AD878" s="392"/>
      <c r="AE878" s="392"/>
      <c r="AF878" s="392"/>
    </row>
    <row r="879" ht="15.75" customHeight="1">
      <c r="A879" s="216"/>
      <c r="B879" s="156"/>
      <c r="C879" s="156"/>
      <c r="D879" s="156"/>
      <c r="E879" s="392"/>
      <c r="F879" s="392"/>
      <c r="G879" s="392"/>
      <c r="H879" s="392"/>
      <c r="I879" s="392"/>
      <c r="J879" s="145"/>
      <c r="K879" s="392"/>
      <c r="L879" s="392"/>
      <c r="M879" s="392"/>
      <c r="N879" s="392"/>
      <c r="O879" s="392"/>
      <c r="P879" s="392"/>
      <c r="Q879" s="392"/>
      <c r="R879" s="392"/>
      <c r="S879" s="392"/>
      <c r="T879" s="392"/>
      <c r="U879" s="392"/>
      <c r="V879" s="392"/>
      <c r="W879" s="392"/>
      <c r="X879" s="392"/>
      <c r="Y879" s="392"/>
      <c r="Z879" s="392"/>
      <c r="AA879" s="392"/>
      <c r="AB879" s="392"/>
      <c r="AC879" s="392"/>
      <c r="AD879" s="392"/>
      <c r="AE879" s="392"/>
      <c r="AF879" s="392"/>
    </row>
    <row r="880" ht="15.75" customHeight="1">
      <c r="A880" s="216"/>
      <c r="B880" s="156"/>
      <c r="C880" s="156"/>
      <c r="D880" s="156"/>
      <c r="E880" s="392"/>
      <c r="F880" s="392"/>
      <c r="G880" s="392"/>
      <c r="H880" s="392"/>
      <c r="I880" s="392"/>
      <c r="J880" s="145"/>
      <c r="K880" s="392"/>
      <c r="L880" s="392"/>
      <c r="M880" s="392"/>
      <c r="N880" s="392"/>
      <c r="O880" s="392"/>
      <c r="P880" s="392"/>
      <c r="Q880" s="392"/>
      <c r="R880" s="392"/>
      <c r="S880" s="392"/>
      <c r="T880" s="392"/>
      <c r="U880" s="392"/>
      <c r="V880" s="392"/>
      <c r="W880" s="392"/>
      <c r="X880" s="392"/>
      <c r="Y880" s="392"/>
      <c r="Z880" s="392"/>
      <c r="AA880" s="392"/>
      <c r="AB880" s="392"/>
      <c r="AC880" s="392"/>
      <c r="AD880" s="392"/>
      <c r="AE880" s="392"/>
      <c r="AF880" s="392"/>
    </row>
    <row r="881" ht="15.75" customHeight="1">
      <c r="A881" s="216"/>
      <c r="B881" s="156"/>
      <c r="C881" s="156"/>
      <c r="D881" s="156"/>
      <c r="E881" s="392"/>
      <c r="F881" s="392"/>
      <c r="G881" s="392"/>
      <c r="H881" s="392"/>
      <c r="I881" s="392"/>
      <c r="J881" s="145"/>
      <c r="K881" s="392"/>
      <c r="L881" s="392"/>
      <c r="M881" s="392"/>
      <c r="N881" s="392"/>
      <c r="O881" s="392"/>
      <c r="P881" s="392"/>
      <c r="Q881" s="392"/>
      <c r="R881" s="392"/>
      <c r="S881" s="392"/>
      <c r="T881" s="392"/>
      <c r="U881" s="392"/>
      <c r="V881" s="392"/>
      <c r="W881" s="392"/>
      <c r="X881" s="392"/>
      <c r="Y881" s="392"/>
      <c r="Z881" s="392"/>
      <c r="AA881" s="392"/>
      <c r="AB881" s="392"/>
      <c r="AC881" s="392"/>
      <c r="AD881" s="392"/>
      <c r="AE881" s="392"/>
      <c r="AF881" s="392"/>
    </row>
    <row r="882" ht="15.75" customHeight="1">
      <c r="A882" s="216"/>
      <c r="B882" s="156"/>
      <c r="C882" s="156"/>
      <c r="D882" s="156"/>
      <c r="E882" s="392"/>
      <c r="F882" s="392"/>
      <c r="G882" s="392"/>
      <c r="H882" s="392"/>
      <c r="I882" s="392"/>
      <c r="J882" s="145"/>
      <c r="K882" s="392"/>
      <c r="L882" s="392"/>
      <c r="M882" s="392"/>
      <c r="N882" s="392"/>
      <c r="O882" s="392"/>
      <c r="P882" s="392"/>
      <c r="Q882" s="392"/>
      <c r="R882" s="392"/>
      <c r="S882" s="392"/>
      <c r="T882" s="392"/>
      <c r="U882" s="392"/>
      <c r="V882" s="392"/>
      <c r="W882" s="392"/>
      <c r="X882" s="392"/>
      <c r="Y882" s="392"/>
      <c r="Z882" s="392"/>
      <c r="AA882" s="392"/>
      <c r="AB882" s="392"/>
      <c r="AC882" s="392"/>
      <c r="AD882" s="392"/>
      <c r="AE882" s="392"/>
      <c r="AF882" s="392"/>
    </row>
    <row r="883" ht="15.75" customHeight="1">
      <c r="A883" s="216"/>
      <c r="B883" s="156"/>
      <c r="C883" s="156"/>
      <c r="D883" s="156"/>
      <c r="E883" s="392"/>
      <c r="F883" s="392"/>
      <c r="G883" s="392"/>
      <c r="H883" s="392"/>
      <c r="I883" s="392"/>
      <c r="J883" s="145"/>
      <c r="K883" s="392"/>
      <c r="L883" s="392"/>
      <c r="M883" s="392"/>
      <c r="N883" s="392"/>
      <c r="O883" s="392"/>
      <c r="P883" s="392"/>
      <c r="Q883" s="392"/>
      <c r="R883" s="392"/>
      <c r="S883" s="392"/>
      <c r="T883" s="392"/>
      <c r="U883" s="392"/>
      <c r="V883" s="392"/>
      <c r="W883" s="392"/>
      <c r="X883" s="392"/>
      <c r="Y883" s="392"/>
      <c r="Z883" s="392"/>
      <c r="AA883" s="392"/>
      <c r="AB883" s="392"/>
      <c r="AC883" s="392"/>
      <c r="AD883" s="392"/>
      <c r="AE883" s="392"/>
      <c r="AF883" s="392"/>
    </row>
    <row r="884" ht="15.75" customHeight="1">
      <c r="A884" s="216"/>
      <c r="B884" s="156"/>
      <c r="C884" s="156"/>
      <c r="D884" s="156"/>
      <c r="E884" s="392"/>
      <c r="F884" s="392"/>
      <c r="G884" s="392"/>
      <c r="H884" s="392"/>
      <c r="I884" s="392"/>
      <c r="J884" s="145"/>
      <c r="K884" s="392"/>
      <c r="L884" s="392"/>
      <c r="M884" s="392"/>
      <c r="N884" s="392"/>
      <c r="O884" s="392"/>
      <c r="P884" s="392"/>
      <c r="Q884" s="392"/>
      <c r="R884" s="392"/>
      <c r="S884" s="392"/>
      <c r="T884" s="392"/>
      <c r="U884" s="392"/>
      <c r="V884" s="392"/>
      <c r="W884" s="392"/>
      <c r="X884" s="392"/>
      <c r="Y884" s="392"/>
      <c r="Z884" s="392"/>
      <c r="AA884" s="392"/>
      <c r="AB884" s="392"/>
      <c r="AC884" s="392"/>
      <c r="AD884" s="392"/>
      <c r="AE884" s="392"/>
      <c r="AF884" s="392"/>
    </row>
    <row r="885" ht="15.75" customHeight="1">
      <c r="A885" s="216"/>
      <c r="B885" s="156"/>
      <c r="C885" s="156"/>
      <c r="D885" s="156"/>
      <c r="E885" s="392"/>
      <c r="F885" s="392"/>
      <c r="G885" s="392"/>
      <c r="H885" s="392"/>
      <c r="I885" s="392"/>
      <c r="J885" s="145"/>
      <c r="K885" s="392"/>
      <c r="L885" s="392"/>
      <c r="M885" s="392"/>
      <c r="N885" s="392"/>
      <c r="O885" s="392"/>
      <c r="P885" s="392"/>
      <c r="Q885" s="392"/>
      <c r="R885" s="392"/>
      <c r="S885" s="392"/>
      <c r="T885" s="392"/>
      <c r="U885" s="392"/>
      <c r="V885" s="392"/>
      <c r="W885" s="392"/>
      <c r="X885" s="392"/>
      <c r="Y885" s="392"/>
      <c r="Z885" s="392"/>
      <c r="AA885" s="392"/>
      <c r="AB885" s="392"/>
      <c r="AC885" s="392"/>
      <c r="AD885" s="392"/>
      <c r="AE885" s="392"/>
      <c r="AF885" s="392"/>
    </row>
    <row r="886" ht="15.75" customHeight="1">
      <c r="A886" s="216"/>
      <c r="B886" s="156"/>
      <c r="C886" s="156"/>
      <c r="D886" s="156"/>
      <c r="E886" s="392"/>
      <c r="F886" s="392"/>
      <c r="G886" s="392"/>
      <c r="H886" s="392"/>
      <c r="I886" s="392"/>
      <c r="J886" s="145"/>
      <c r="K886" s="392"/>
      <c r="L886" s="392"/>
      <c r="M886" s="392"/>
      <c r="N886" s="392"/>
      <c r="O886" s="392"/>
      <c r="P886" s="392"/>
      <c r="Q886" s="392"/>
      <c r="R886" s="392"/>
      <c r="S886" s="392"/>
      <c r="T886" s="392"/>
      <c r="U886" s="392"/>
      <c r="V886" s="392"/>
      <c r="W886" s="392"/>
      <c r="X886" s="392"/>
      <c r="Y886" s="392"/>
      <c r="Z886" s="392"/>
      <c r="AA886" s="392"/>
      <c r="AB886" s="392"/>
      <c r="AC886" s="392"/>
      <c r="AD886" s="392"/>
      <c r="AE886" s="392"/>
      <c r="AF886" s="392"/>
    </row>
    <row r="887" ht="15.75" customHeight="1">
      <c r="A887" s="216"/>
      <c r="B887" s="156"/>
      <c r="C887" s="156"/>
      <c r="D887" s="156"/>
      <c r="E887" s="392"/>
      <c r="F887" s="392"/>
      <c r="G887" s="392"/>
      <c r="H887" s="392"/>
      <c r="I887" s="392"/>
      <c r="J887" s="145"/>
      <c r="K887" s="392"/>
      <c r="L887" s="392"/>
      <c r="M887" s="392"/>
      <c r="N887" s="392"/>
      <c r="O887" s="392"/>
      <c r="P887" s="392"/>
      <c r="Q887" s="392"/>
      <c r="R887" s="392"/>
      <c r="S887" s="392"/>
      <c r="T887" s="392"/>
      <c r="U887" s="392"/>
      <c r="V887" s="392"/>
      <c r="W887" s="392"/>
      <c r="X887" s="392"/>
      <c r="Y887" s="392"/>
      <c r="Z887" s="392"/>
      <c r="AA887" s="392"/>
      <c r="AB887" s="392"/>
      <c r="AC887" s="392"/>
      <c r="AD887" s="392"/>
      <c r="AE887" s="392"/>
      <c r="AF887" s="392"/>
    </row>
    <row r="888" ht="15.75" customHeight="1">
      <c r="A888" s="216"/>
      <c r="B888" s="156"/>
      <c r="C888" s="156"/>
      <c r="D888" s="156"/>
      <c r="E888" s="392"/>
      <c r="F888" s="392"/>
      <c r="G888" s="392"/>
      <c r="H888" s="392"/>
      <c r="I888" s="392"/>
      <c r="J888" s="145"/>
      <c r="K888" s="392"/>
      <c r="L888" s="392"/>
      <c r="M888" s="392"/>
      <c r="N888" s="392"/>
      <c r="O888" s="392"/>
      <c r="P888" s="392"/>
      <c r="Q888" s="392"/>
      <c r="R888" s="392"/>
      <c r="S888" s="392"/>
      <c r="T888" s="392"/>
      <c r="U888" s="392"/>
      <c r="V888" s="392"/>
      <c r="W888" s="392"/>
      <c r="X888" s="392"/>
      <c r="Y888" s="392"/>
      <c r="Z888" s="392"/>
      <c r="AA888" s="392"/>
      <c r="AB888" s="392"/>
      <c r="AC888" s="392"/>
      <c r="AD888" s="392"/>
      <c r="AE888" s="392"/>
      <c r="AF888" s="392"/>
    </row>
    <row r="889" ht="15.75" customHeight="1">
      <c r="A889" s="216"/>
      <c r="B889" s="156"/>
      <c r="C889" s="156"/>
      <c r="D889" s="156"/>
      <c r="E889" s="392"/>
      <c r="F889" s="392"/>
      <c r="G889" s="392"/>
      <c r="H889" s="392"/>
      <c r="I889" s="392"/>
      <c r="J889" s="145"/>
      <c r="K889" s="392"/>
      <c r="L889" s="392"/>
      <c r="M889" s="392"/>
      <c r="N889" s="392"/>
      <c r="O889" s="392"/>
      <c r="P889" s="392"/>
      <c r="Q889" s="392"/>
      <c r="R889" s="392"/>
      <c r="S889" s="392"/>
      <c r="T889" s="392"/>
      <c r="U889" s="392"/>
      <c r="V889" s="392"/>
      <c r="W889" s="392"/>
      <c r="X889" s="392"/>
      <c r="Y889" s="392"/>
      <c r="Z889" s="392"/>
      <c r="AA889" s="392"/>
      <c r="AB889" s="392"/>
      <c r="AC889" s="392"/>
      <c r="AD889" s="392"/>
      <c r="AE889" s="392"/>
      <c r="AF889" s="392"/>
    </row>
    <row r="890" ht="15.75" customHeight="1">
      <c r="A890" s="216"/>
      <c r="B890" s="156"/>
      <c r="C890" s="156"/>
      <c r="D890" s="156"/>
      <c r="E890" s="392"/>
      <c r="F890" s="392"/>
      <c r="G890" s="392"/>
      <c r="H890" s="392"/>
      <c r="I890" s="392"/>
      <c r="J890" s="145"/>
      <c r="K890" s="392"/>
      <c r="L890" s="392"/>
      <c r="M890" s="392"/>
      <c r="N890" s="392"/>
      <c r="O890" s="392"/>
      <c r="P890" s="392"/>
      <c r="Q890" s="392"/>
      <c r="R890" s="392"/>
      <c r="S890" s="392"/>
      <c r="T890" s="392"/>
      <c r="U890" s="392"/>
      <c r="V890" s="392"/>
      <c r="W890" s="392"/>
      <c r="X890" s="392"/>
      <c r="Y890" s="392"/>
      <c r="Z890" s="392"/>
      <c r="AA890" s="392"/>
      <c r="AB890" s="392"/>
      <c r="AC890" s="392"/>
      <c r="AD890" s="392"/>
      <c r="AE890" s="392"/>
      <c r="AF890" s="392"/>
    </row>
    <row r="891" ht="15.75" customHeight="1">
      <c r="A891" s="216"/>
      <c r="B891" s="156"/>
      <c r="C891" s="156"/>
      <c r="D891" s="156"/>
      <c r="E891" s="392"/>
      <c r="F891" s="392"/>
      <c r="G891" s="392"/>
      <c r="H891" s="392"/>
      <c r="I891" s="392"/>
      <c r="J891" s="145"/>
      <c r="K891" s="392"/>
      <c r="L891" s="392"/>
      <c r="M891" s="392"/>
      <c r="N891" s="392"/>
      <c r="O891" s="392"/>
      <c r="P891" s="392"/>
      <c r="Q891" s="392"/>
      <c r="R891" s="392"/>
      <c r="S891" s="392"/>
      <c r="T891" s="392"/>
      <c r="U891" s="392"/>
      <c r="V891" s="392"/>
      <c r="W891" s="392"/>
      <c r="X891" s="392"/>
      <c r="Y891" s="392"/>
      <c r="Z891" s="392"/>
      <c r="AA891" s="392"/>
      <c r="AB891" s="392"/>
      <c r="AC891" s="392"/>
      <c r="AD891" s="392"/>
      <c r="AE891" s="392"/>
      <c r="AF891" s="392"/>
    </row>
    <row r="892" ht="15.75" customHeight="1">
      <c r="A892" s="216"/>
      <c r="B892" s="156"/>
      <c r="C892" s="156"/>
      <c r="D892" s="156"/>
      <c r="E892" s="392"/>
      <c r="F892" s="392"/>
      <c r="G892" s="392"/>
      <c r="H892" s="392"/>
      <c r="I892" s="392"/>
      <c r="J892" s="145"/>
      <c r="K892" s="392"/>
      <c r="L892" s="392"/>
      <c r="M892" s="392"/>
      <c r="N892" s="392"/>
      <c r="O892" s="392"/>
      <c r="P892" s="392"/>
      <c r="Q892" s="392"/>
      <c r="R892" s="392"/>
      <c r="S892" s="392"/>
      <c r="T892" s="392"/>
      <c r="U892" s="392"/>
      <c r="V892" s="392"/>
      <c r="W892" s="392"/>
      <c r="X892" s="392"/>
      <c r="Y892" s="392"/>
      <c r="Z892" s="392"/>
      <c r="AA892" s="392"/>
      <c r="AB892" s="392"/>
      <c r="AC892" s="392"/>
      <c r="AD892" s="392"/>
      <c r="AE892" s="392"/>
      <c r="AF892" s="392"/>
    </row>
    <row r="893" ht="15.75" customHeight="1">
      <c r="A893" s="216"/>
      <c r="B893" s="156"/>
      <c r="C893" s="156"/>
      <c r="D893" s="156"/>
      <c r="E893" s="392"/>
      <c r="F893" s="392"/>
      <c r="G893" s="392"/>
      <c r="H893" s="392"/>
      <c r="I893" s="392"/>
      <c r="J893" s="145"/>
      <c r="K893" s="392"/>
      <c r="L893" s="392"/>
      <c r="M893" s="392"/>
      <c r="N893" s="392"/>
      <c r="O893" s="392"/>
      <c r="P893" s="392"/>
      <c r="Q893" s="392"/>
      <c r="R893" s="392"/>
      <c r="S893" s="392"/>
      <c r="T893" s="392"/>
      <c r="U893" s="392"/>
      <c r="V893" s="392"/>
      <c r="W893" s="392"/>
      <c r="X893" s="392"/>
      <c r="Y893" s="392"/>
      <c r="Z893" s="392"/>
      <c r="AA893" s="392"/>
      <c r="AB893" s="392"/>
      <c r="AC893" s="392"/>
      <c r="AD893" s="392"/>
      <c r="AE893" s="392"/>
      <c r="AF893" s="392"/>
    </row>
    <row r="894" ht="15.75" customHeight="1">
      <c r="A894" s="216"/>
      <c r="B894" s="156"/>
      <c r="C894" s="156"/>
      <c r="D894" s="156"/>
      <c r="E894" s="392"/>
      <c r="F894" s="392"/>
      <c r="G894" s="392"/>
      <c r="H894" s="392"/>
      <c r="I894" s="392"/>
      <c r="J894" s="145"/>
      <c r="K894" s="392"/>
      <c r="L894" s="392"/>
      <c r="M894" s="392"/>
      <c r="N894" s="392"/>
      <c r="O894" s="392"/>
      <c r="P894" s="392"/>
      <c r="Q894" s="392"/>
      <c r="R894" s="392"/>
      <c r="S894" s="392"/>
      <c r="T894" s="392"/>
      <c r="U894" s="392"/>
      <c r="V894" s="392"/>
      <c r="W894" s="392"/>
      <c r="X894" s="392"/>
      <c r="Y894" s="392"/>
      <c r="Z894" s="392"/>
      <c r="AA894" s="392"/>
      <c r="AB894" s="392"/>
      <c r="AC894" s="392"/>
      <c r="AD894" s="392"/>
      <c r="AE894" s="392"/>
      <c r="AF894" s="392"/>
    </row>
    <row r="895" ht="15.75" customHeight="1">
      <c r="A895" s="216"/>
      <c r="B895" s="156"/>
      <c r="C895" s="156"/>
      <c r="D895" s="156"/>
      <c r="E895" s="392"/>
      <c r="F895" s="392"/>
      <c r="G895" s="392"/>
      <c r="H895" s="392"/>
      <c r="I895" s="392"/>
      <c r="J895" s="145"/>
      <c r="K895" s="392"/>
      <c r="L895" s="392"/>
      <c r="M895" s="392"/>
      <c r="N895" s="392"/>
      <c r="O895" s="392"/>
      <c r="P895" s="392"/>
      <c r="Q895" s="392"/>
      <c r="R895" s="392"/>
      <c r="S895" s="392"/>
      <c r="T895" s="392"/>
      <c r="U895" s="392"/>
      <c r="V895" s="392"/>
      <c r="W895" s="392"/>
      <c r="X895" s="392"/>
      <c r="Y895" s="392"/>
      <c r="Z895" s="392"/>
      <c r="AA895" s="392"/>
      <c r="AB895" s="392"/>
      <c r="AC895" s="392"/>
      <c r="AD895" s="392"/>
      <c r="AE895" s="392"/>
      <c r="AF895" s="392"/>
    </row>
    <row r="896" ht="15.75" customHeight="1">
      <c r="A896" s="216"/>
      <c r="B896" s="156"/>
      <c r="C896" s="156"/>
      <c r="D896" s="156"/>
      <c r="E896" s="392"/>
      <c r="F896" s="392"/>
      <c r="G896" s="392"/>
      <c r="H896" s="392"/>
      <c r="I896" s="392"/>
      <c r="J896" s="145"/>
      <c r="K896" s="392"/>
      <c r="L896" s="392"/>
      <c r="M896" s="392"/>
      <c r="N896" s="392"/>
      <c r="O896" s="392"/>
      <c r="P896" s="392"/>
      <c r="Q896" s="392"/>
      <c r="R896" s="392"/>
      <c r="S896" s="392"/>
      <c r="T896" s="392"/>
      <c r="U896" s="392"/>
      <c r="V896" s="392"/>
      <c r="W896" s="392"/>
      <c r="X896" s="392"/>
      <c r="Y896" s="392"/>
      <c r="Z896" s="392"/>
      <c r="AA896" s="392"/>
      <c r="AB896" s="392"/>
      <c r="AC896" s="392"/>
      <c r="AD896" s="392"/>
      <c r="AE896" s="392"/>
      <c r="AF896" s="392"/>
    </row>
    <row r="897" ht="15.75" customHeight="1">
      <c r="A897" s="216"/>
      <c r="B897" s="156"/>
      <c r="C897" s="156"/>
      <c r="D897" s="156"/>
      <c r="E897" s="392"/>
      <c r="F897" s="392"/>
      <c r="G897" s="392"/>
      <c r="H897" s="392"/>
      <c r="I897" s="392"/>
      <c r="J897" s="145"/>
      <c r="K897" s="392"/>
      <c r="L897" s="392"/>
      <c r="M897" s="392"/>
      <c r="N897" s="392"/>
      <c r="O897" s="392"/>
      <c r="P897" s="392"/>
      <c r="Q897" s="392"/>
      <c r="R897" s="392"/>
      <c r="S897" s="392"/>
      <c r="T897" s="392"/>
      <c r="U897" s="392"/>
      <c r="V897" s="392"/>
      <c r="W897" s="392"/>
      <c r="X897" s="392"/>
      <c r="Y897" s="392"/>
      <c r="Z897" s="392"/>
      <c r="AA897" s="392"/>
      <c r="AB897" s="392"/>
      <c r="AC897" s="392"/>
      <c r="AD897" s="392"/>
      <c r="AE897" s="392"/>
      <c r="AF897" s="392"/>
    </row>
    <row r="898" ht="15.75" customHeight="1">
      <c r="A898" s="216"/>
      <c r="B898" s="156"/>
      <c r="C898" s="156"/>
      <c r="D898" s="156"/>
      <c r="E898" s="392"/>
      <c r="F898" s="392"/>
      <c r="G898" s="392"/>
      <c r="H898" s="392"/>
      <c r="I898" s="392"/>
      <c r="J898" s="145"/>
      <c r="K898" s="392"/>
      <c r="L898" s="392"/>
      <c r="M898" s="392"/>
      <c r="N898" s="392"/>
      <c r="O898" s="392"/>
      <c r="P898" s="392"/>
      <c r="Q898" s="392"/>
      <c r="R898" s="392"/>
      <c r="S898" s="392"/>
      <c r="T898" s="392"/>
      <c r="U898" s="392"/>
      <c r="V898" s="392"/>
      <c r="W898" s="392"/>
      <c r="X898" s="392"/>
      <c r="Y898" s="392"/>
      <c r="Z898" s="392"/>
      <c r="AA898" s="392"/>
      <c r="AB898" s="392"/>
      <c r="AC898" s="392"/>
      <c r="AD898" s="392"/>
      <c r="AE898" s="392"/>
      <c r="AF898" s="392"/>
    </row>
    <row r="899" ht="15.75" customHeight="1">
      <c r="A899" s="216"/>
      <c r="B899" s="156"/>
      <c r="C899" s="156"/>
      <c r="D899" s="156"/>
      <c r="E899" s="392"/>
      <c r="F899" s="392"/>
      <c r="G899" s="392"/>
      <c r="H899" s="392"/>
      <c r="I899" s="392"/>
      <c r="J899" s="145"/>
      <c r="K899" s="392"/>
      <c r="L899" s="392"/>
      <c r="M899" s="392"/>
      <c r="N899" s="392"/>
      <c r="O899" s="392"/>
      <c r="P899" s="392"/>
      <c r="Q899" s="392"/>
      <c r="R899" s="392"/>
      <c r="S899" s="392"/>
      <c r="T899" s="392"/>
      <c r="U899" s="392"/>
      <c r="V899" s="392"/>
      <c r="W899" s="392"/>
      <c r="X899" s="392"/>
      <c r="Y899" s="392"/>
      <c r="Z899" s="392"/>
      <c r="AA899" s="392"/>
      <c r="AB899" s="392"/>
      <c r="AC899" s="392"/>
      <c r="AD899" s="392"/>
      <c r="AE899" s="392"/>
      <c r="AF899" s="392"/>
    </row>
    <row r="900" ht="15.75" customHeight="1">
      <c r="A900" s="216"/>
      <c r="B900" s="156"/>
      <c r="C900" s="156"/>
      <c r="D900" s="156"/>
      <c r="E900" s="392"/>
      <c r="F900" s="392"/>
      <c r="G900" s="392"/>
      <c r="H900" s="392"/>
      <c r="I900" s="392"/>
      <c r="J900" s="145"/>
      <c r="K900" s="392"/>
      <c r="L900" s="392"/>
      <c r="M900" s="392"/>
      <c r="N900" s="392"/>
      <c r="O900" s="392"/>
      <c r="P900" s="392"/>
      <c r="Q900" s="392"/>
      <c r="R900" s="392"/>
      <c r="S900" s="392"/>
      <c r="T900" s="392"/>
      <c r="U900" s="392"/>
      <c r="V900" s="392"/>
      <c r="W900" s="392"/>
      <c r="X900" s="392"/>
      <c r="Y900" s="392"/>
      <c r="Z900" s="392"/>
      <c r="AA900" s="392"/>
      <c r="AB900" s="392"/>
      <c r="AC900" s="392"/>
      <c r="AD900" s="392"/>
      <c r="AE900" s="392"/>
      <c r="AF900" s="392"/>
    </row>
    <row r="901" ht="15.75" customHeight="1">
      <c r="A901" s="216"/>
      <c r="B901" s="156"/>
      <c r="C901" s="156"/>
      <c r="D901" s="156"/>
      <c r="E901" s="392"/>
      <c r="F901" s="392"/>
      <c r="G901" s="392"/>
      <c r="H901" s="392"/>
      <c r="I901" s="392"/>
      <c r="J901" s="145"/>
      <c r="K901" s="392"/>
      <c r="L901" s="392"/>
      <c r="M901" s="392"/>
      <c r="N901" s="392"/>
      <c r="O901" s="392"/>
      <c r="P901" s="392"/>
      <c r="Q901" s="392"/>
      <c r="R901" s="392"/>
      <c r="S901" s="392"/>
      <c r="T901" s="392"/>
      <c r="U901" s="392"/>
      <c r="V901" s="392"/>
      <c r="W901" s="392"/>
      <c r="X901" s="392"/>
      <c r="Y901" s="392"/>
      <c r="Z901" s="392"/>
      <c r="AA901" s="392"/>
      <c r="AB901" s="392"/>
      <c r="AC901" s="392"/>
      <c r="AD901" s="392"/>
      <c r="AE901" s="392"/>
      <c r="AF901" s="392"/>
    </row>
    <row r="902" ht="15.75" customHeight="1">
      <c r="A902" s="216"/>
      <c r="B902" s="156"/>
      <c r="C902" s="156"/>
      <c r="D902" s="156"/>
      <c r="E902" s="392"/>
      <c r="F902" s="392"/>
      <c r="G902" s="392"/>
      <c r="H902" s="392"/>
      <c r="I902" s="392"/>
      <c r="J902" s="145"/>
      <c r="K902" s="392"/>
      <c r="L902" s="392"/>
      <c r="M902" s="392"/>
      <c r="N902" s="392"/>
      <c r="O902" s="392"/>
      <c r="P902" s="392"/>
      <c r="Q902" s="392"/>
      <c r="R902" s="392"/>
      <c r="S902" s="392"/>
      <c r="T902" s="392"/>
      <c r="U902" s="392"/>
      <c r="V902" s="392"/>
      <c r="W902" s="392"/>
      <c r="X902" s="392"/>
      <c r="Y902" s="392"/>
      <c r="Z902" s="392"/>
      <c r="AA902" s="392"/>
      <c r="AB902" s="392"/>
      <c r="AC902" s="392"/>
      <c r="AD902" s="392"/>
      <c r="AE902" s="392"/>
      <c r="AF902" s="392"/>
    </row>
    <row r="903" ht="15.75" customHeight="1">
      <c r="A903" s="216"/>
      <c r="B903" s="156"/>
      <c r="C903" s="156"/>
      <c r="D903" s="156"/>
      <c r="E903" s="392"/>
      <c r="F903" s="392"/>
      <c r="G903" s="392"/>
      <c r="H903" s="392"/>
      <c r="I903" s="392"/>
      <c r="J903" s="145"/>
      <c r="K903" s="392"/>
      <c r="L903" s="392"/>
      <c r="M903" s="392"/>
      <c r="N903" s="392"/>
      <c r="O903" s="392"/>
      <c r="P903" s="392"/>
      <c r="Q903" s="392"/>
      <c r="R903" s="392"/>
      <c r="S903" s="392"/>
      <c r="T903" s="392"/>
      <c r="U903" s="392"/>
      <c r="V903" s="392"/>
      <c r="W903" s="392"/>
      <c r="X903" s="392"/>
      <c r="Y903" s="392"/>
      <c r="Z903" s="392"/>
      <c r="AA903" s="392"/>
      <c r="AB903" s="392"/>
      <c r="AC903" s="392"/>
      <c r="AD903" s="392"/>
      <c r="AE903" s="392"/>
      <c r="AF903" s="392"/>
    </row>
    <row r="904" ht="15.75" customHeight="1">
      <c r="A904" s="216"/>
      <c r="B904" s="156"/>
      <c r="C904" s="156"/>
      <c r="D904" s="156"/>
      <c r="E904" s="392"/>
      <c r="F904" s="392"/>
      <c r="G904" s="392"/>
      <c r="H904" s="392"/>
      <c r="I904" s="392"/>
      <c r="J904" s="145"/>
      <c r="K904" s="392"/>
      <c r="L904" s="392"/>
      <c r="M904" s="392"/>
      <c r="N904" s="392"/>
      <c r="O904" s="392"/>
      <c r="P904" s="392"/>
      <c r="Q904" s="392"/>
      <c r="R904" s="392"/>
      <c r="S904" s="392"/>
      <c r="T904" s="392"/>
      <c r="U904" s="392"/>
      <c r="V904" s="392"/>
      <c r="W904" s="392"/>
      <c r="X904" s="392"/>
      <c r="Y904" s="392"/>
      <c r="Z904" s="392"/>
      <c r="AA904" s="392"/>
      <c r="AB904" s="392"/>
      <c r="AC904" s="392"/>
      <c r="AD904" s="392"/>
      <c r="AE904" s="392"/>
      <c r="AF904" s="392"/>
    </row>
    <row r="905" ht="15.75" customHeight="1">
      <c r="A905" s="216"/>
      <c r="B905" s="156"/>
      <c r="C905" s="156"/>
      <c r="D905" s="156"/>
      <c r="E905" s="392"/>
      <c r="F905" s="392"/>
      <c r="G905" s="392"/>
      <c r="H905" s="392"/>
      <c r="I905" s="392"/>
      <c r="J905" s="145"/>
      <c r="K905" s="392"/>
      <c r="L905" s="392"/>
      <c r="M905" s="392"/>
      <c r="N905" s="392"/>
      <c r="O905" s="392"/>
      <c r="P905" s="392"/>
      <c r="Q905" s="392"/>
      <c r="R905" s="392"/>
      <c r="S905" s="392"/>
      <c r="T905" s="392"/>
      <c r="U905" s="392"/>
      <c r="V905" s="392"/>
      <c r="W905" s="392"/>
      <c r="X905" s="392"/>
      <c r="Y905" s="392"/>
      <c r="Z905" s="392"/>
      <c r="AA905" s="392"/>
      <c r="AB905" s="392"/>
      <c r="AC905" s="392"/>
      <c r="AD905" s="392"/>
      <c r="AE905" s="392"/>
      <c r="AF905" s="392"/>
    </row>
    <row r="906" ht="15.75" customHeight="1">
      <c r="A906" s="216"/>
      <c r="B906" s="156"/>
      <c r="C906" s="156"/>
      <c r="D906" s="156"/>
      <c r="E906" s="392"/>
      <c r="F906" s="392"/>
      <c r="G906" s="392"/>
      <c r="H906" s="392"/>
      <c r="I906" s="392"/>
      <c r="J906" s="145"/>
      <c r="K906" s="392"/>
      <c r="L906" s="392"/>
      <c r="M906" s="392"/>
      <c r="N906" s="392"/>
      <c r="O906" s="392"/>
      <c r="P906" s="392"/>
      <c r="Q906" s="392"/>
      <c r="R906" s="392"/>
      <c r="S906" s="392"/>
      <c r="T906" s="392"/>
      <c r="U906" s="392"/>
      <c r="V906" s="392"/>
      <c r="W906" s="392"/>
      <c r="X906" s="392"/>
      <c r="Y906" s="392"/>
      <c r="Z906" s="392"/>
      <c r="AA906" s="392"/>
      <c r="AB906" s="392"/>
      <c r="AC906" s="392"/>
      <c r="AD906" s="392"/>
      <c r="AE906" s="392"/>
      <c r="AF906" s="392"/>
    </row>
    <row r="907" ht="15.75" customHeight="1">
      <c r="A907" s="216"/>
      <c r="B907" s="156"/>
      <c r="C907" s="156"/>
      <c r="D907" s="156"/>
      <c r="E907" s="392"/>
      <c r="F907" s="392"/>
      <c r="G907" s="392"/>
      <c r="H907" s="392"/>
      <c r="I907" s="392"/>
      <c r="J907" s="145"/>
      <c r="K907" s="392"/>
      <c r="L907" s="392"/>
      <c r="M907" s="392"/>
      <c r="N907" s="392"/>
      <c r="O907" s="392"/>
      <c r="P907" s="392"/>
      <c r="Q907" s="392"/>
      <c r="R907" s="392"/>
      <c r="S907" s="392"/>
      <c r="T907" s="392"/>
      <c r="U907" s="392"/>
      <c r="V907" s="392"/>
      <c r="W907" s="392"/>
      <c r="X907" s="392"/>
      <c r="Y907" s="392"/>
      <c r="Z907" s="392"/>
      <c r="AA907" s="392"/>
      <c r="AB907" s="392"/>
      <c r="AC907" s="392"/>
      <c r="AD907" s="392"/>
      <c r="AE907" s="392"/>
      <c r="AF907" s="392"/>
    </row>
    <row r="908" ht="15.75" customHeight="1">
      <c r="A908" s="216"/>
      <c r="B908" s="156"/>
      <c r="C908" s="156"/>
      <c r="D908" s="156"/>
      <c r="E908" s="392"/>
      <c r="F908" s="392"/>
      <c r="G908" s="392"/>
      <c r="H908" s="392"/>
      <c r="I908" s="392"/>
      <c r="J908" s="145"/>
      <c r="K908" s="392"/>
      <c r="L908" s="392"/>
      <c r="M908" s="392"/>
      <c r="N908" s="392"/>
      <c r="O908" s="392"/>
      <c r="P908" s="392"/>
      <c r="Q908" s="392"/>
      <c r="R908" s="392"/>
      <c r="S908" s="392"/>
      <c r="T908" s="392"/>
      <c r="U908" s="392"/>
      <c r="V908" s="392"/>
      <c r="W908" s="392"/>
      <c r="X908" s="392"/>
      <c r="Y908" s="392"/>
      <c r="Z908" s="392"/>
      <c r="AA908" s="392"/>
      <c r="AB908" s="392"/>
      <c r="AC908" s="392"/>
      <c r="AD908" s="392"/>
      <c r="AE908" s="392"/>
      <c r="AF908" s="392"/>
    </row>
    <row r="909" ht="15.75" customHeight="1">
      <c r="A909" s="216"/>
      <c r="B909" s="156"/>
      <c r="C909" s="156"/>
      <c r="D909" s="156"/>
      <c r="E909" s="392"/>
      <c r="F909" s="392"/>
      <c r="G909" s="392"/>
      <c r="H909" s="392"/>
      <c r="I909" s="392"/>
      <c r="J909" s="145"/>
      <c r="K909" s="392"/>
      <c r="L909" s="392"/>
      <c r="M909" s="392"/>
      <c r="N909" s="392"/>
      <c r="O909" s="392"/>
      <c r="P909" s="392"/>
      <c r="Q909" s="392"/>
      <c r="R909" s="392"/>
      <c r="S909" s="392"/>
      <c r="T909" s="392"/>
      <c r="U909" s="392"/>
      <c r="V909" s="392"/>
      <c r="W909" s="392"/>
      <c r="X909" s="392"/>
      <c r="Y909" s="392"/>
      <c r="Z909" s="392"/>
      <c r="AA909" s="392"/>
      <c r="AB909" s="392"/>
      <c r="AC909" s="392"/>
      <c r="AD909" s="392"/>
      <c r="AE909" s="392"/>
      <c r="AF909" s="392"/>
    </row>
    <row r="910" ht="15.75" customHeight="1">
      <c r="A910" s="216"/>
      <c r="B910" s="156"/>
      <c r="C910" s="156"/>
      <c r="D910" s="156"/>
      <c r="E910" s="392"/>
      <c r="F910" s="392"/>
      <c r="G910" s="392"/>
      <c r="H910" s="392"/>
      <c r="I910" s="392"/>
      <c r="J910" s="145"/>
      <c r="K910" s="392"/>
      <c r="L910" s="392"/>
      <c r="M910" s="392"/>
      <c r="N910" s="392"/>
      <c r="O910" s="392"/>
      <c r="P910" s="392"/>
      <c r="Q910" s="392"/>
      <c r="R910" s="392"/>
      <c r="S910" s="392"/>
      <c r="T910" s="392"/>
      <c r="U910" s="392"/>
      <c r="V910" s="392"/>
      <c r="W910" s="392"/>
      <c r="X910" s="392"/>
      <c r="Y910" s="392"/>
      <c r="Z910" s="392"/>
      <c r="AA910" s="392"/>
      <c r="AB910" s="392"/>
      <c r="AC910" s="392"/>
      <c r="AD910" s="392"/>
      <c r="AE910" s="392"/>
      <c r="AF910" s="392"/>
    </row>
    <row r="911" ht="15.75" customHeight="1">
      <c r="A911" s="216"/>
      <c r="B911" s="156"/>
      <c r="C911" s="156"/>
      <c r="D911" s="156"/>
      <c r="E911" s="392"/>
      <c r="F911" s="392"/>
      <c r="G911" s="392"/>
      <c r="H911" s="392"/>
      <c r="I911" s="392"/>
      <c r="J911" s="145"/>
      <c r="K911" s="392"/>
      <c r="L911" s="392"/>
      <c r="M911" s="392"/>
      <c r="N911" s="392"/>
      <c r="O911" s="392"/>
      <c r="P911" s="392"/>
      <c r="Q911" s="392"/>
      <c r="R911" s="392"/>
      <c r="S911" s="392"/>
      <c r="T911" s="392"/>
      <c r="U911" s="392"/>
      <c r="V911" s="392"/>
      <c r="W911" s="392"/>
      <c r="X911" s="392"/>
      <c r="Y911" s="392"/>
      <c r="Z911" s="392"/>
      <c r="AA911" s="392"/>
      <c r="AB911" s="392"/>
      <c r="AC911" s="392"/>
      <c r="AD911" s="392"/>
      <c r="AE911" s="392"/>
      <c r="AF911" s="392"/>
    </row>
    <row r="912" ht="15.75" customHeight="1">
      <c r="A912" s="216"/>
      <c r="B912" s="156"/>
      <c r="C912" s="156"/>
      <c r="D912" s="156"/>
      <c r="E912" s="392"/>
      <c r="F912" s="392"/>
      <c r="G912" s="392"/>
      <c r="H912" s="392"/>
      <c r="I912" s="392"/>
      <c r="J912" s="145"/>
      <c r="K912" s="392"/>
      <c r="L912" s="392"/>
      <c r="M912" s="392"/>
      <c r="N912" s="392"/>
      <c r="O912" s="392"/>
      <c r="P912" s="392"/>
      <c r="Q912" s="392"/>
      <c r="R912" s="392"/>
      <c r="S912" s="392"/>
      <c r="T912" s="392"/>
      <c r="U912" s="392"/>
      <c r="V912" s="392"/>
      <c r="W912" s="392"/>
      <c r="X912" s="392"/>
      <c r="Y912" s="392"/>
      <c r="Z912" s="392"/>
      <c r="AA912" s="392"/>
      <c r="AB912" s="392"/>
      <c r="AC912" s="392"/>
      <c r="AD912" s="392"/>
      <c r="AE912" s="392"/>
      <c r="AF912" s="392"/>
    </row>
    <row r="913" ht="15.75" customHeight="1">
      <c r="A913" s="216"/>
      <c r="B913" s="156"/>
      <c r="C913" s="156"/>
      <c r="D913" s="156"/>
      <c r="E913" s="392"/>
      <c r="F913" s="392"/>
      <c r="G913" s="392"/>
      <c r="H913" s="392"/>
      <c r="I913" s="392"/>
      <c r="J913" s="145"/>
      <c r="K913" s="392"/>
      <c r="L913" s="392"/>
      <c r="M913" s="392"/>
      <c r="N913" s="392"/>
      <c r="O913" s="392"/>
      <c r="P913" s="392"/>
      <c r="Q913" s="392"/>
      <c r="R913" s="392"/>
      <c r="S913" s="392"/>
      <c r="T913" s="392"/>
      <c r="U913" s="392"/>
      <c r="V913" s="392"/>
      <c r="W913" s="392"/>
      <c r="X913" s="392"/>
      <c r="Y913" s="392"/>
      <c r="Z913" s="392"/>
      <c r="AA913" s="392"/>
      <c r="AB913" s="392"/>
      <c r="AC913" s="392"/>
      <c r="AD913" s="392"/>
      <c r="AE913" s="392"/>
      <c r="AF913" s="392"/>
    </row>
    <row r="914" ht="15.75" customHeight="1">
      <c r="A914" s="216"/>
      <c r="B914" s="156"/>
      <c r="C914" s="156"/>
      <c r="D914" s="156"/>
      <c r="E914" s="392"/>
      <c r="F914" s="392"/>
      <c r="G914" s="392"/>
      <c r="H914" s="392"/>
      <c r="I914" s="392"/>
      <c r="J914" s="145"/>
      <c r="K914" s="392"/>
      <c r="L914" s="392"/>
      <c r="M914" s="392"/>
      <c r="N914" s="392"/>
      <c r="O914" s="392"/>
      <c r="P914" s="392"/>
      <c r="Q914" s="392"/>
      <c r="R914" s="392"/>
      <c r="S914" s="392"/>
      <c r="T914" s="392"/>
      <c r="U914" s="392"/>
      <c r="V914" s="392"/>
      <c r="W914" s="392"/>
      <c r="X914" s="392"/>
      <c r="Y914" s="392"/>
      <c r="Z914" s="392"/>
      <c r="AA914" s="392"/>
      <c r="AB914" s="392"/>
      <c r="AC914" s="392"/>
      <c r="AD914" s="392"/>
      <c r="AE914" s="392"/>
      <c r="AF914" s="392"/>
    </row>
    <row r="915" ht="15.75" customHeight="1">
      <c r="A915" s="216"/>
      <c r="B915" s="156"/>
      <c r="C915" s="156"/>
      <c r="D915" s="156"/>
      <c r="E915" s="392"/>
      <c r="F915" s="392"/>
      <c r="G915" s="392"/>
      <c r="H915" s="392"/>
      <c r="I915" s="392"/>
      <c r="J915" s="145"/>
      <c r="K915" s="392"/>
      <c r="L915" s="392"/>
      <c r="M915" s="392"/>
      <c r="N915" s="392"/>
      <c r="O915" s="392"/>
      <c r="P915" s="392"/>
      <c r="Q915" s="392"/>
      <c r="R915" s="392"/>
      <c r="S915" s="392"/>
      <c r="T915" s="392"/>
      <c r="U915" s="392"/>
      <c r="V915" s="392"/>
      <c r="W915" s="392"/>
      <c r="X915" s="392"/>
      <c r="Y915" s="392"/>
      <c r="Z915" s="392"/>
      <c r="AA915" s="392"/>
      <c r="AB915" s="392"/>
      <c r="AC915" s="392"/>
      <c r="AD915" s="392"/>
      <c r="AE915" s="392"/>
      <c r="AF915" s="392"/>
    </row>
    <row r="916" ht="15.75" customHeight="1">
      <c r="A916" s="216"/>
      <c r="B916" s="156"/>
      <c r="C916" s="156"/>
      <c r="D916" s="156"/>
      <c r="E916" s="392"/>
      <c r="F916" s="392"/>
      <c r="G916" s="392"/>
      <c r="H916" s="392"/>
      <c r="I916" s="392"/>
      <c r="J916" s="145"/>
      <c r="K916" s="392"/>
      <c r="L916" s="392"/>
      <c r="M916" s="392"/>
      <c r="N916" s="392"/>
      <c r="O916" s="392"/>
      <c r="P916" s="392"/>
      <c r="Q916" s="392"/>
      <c r="R916" s="392"/>
      <c r="S916" s="392"/>
      <c r="T916" s="392"/>
      <c r="U916" s="392"/>
      <c r="V916" s="392"/>
      <c r="W916" s="392"/>
      <c r="X916" s="392"/>
      <c r="Y916" s="392"/>
      <c r="Z916" s="392"/>
      <c r="AA916" s="392"/>
      <c r="AB916" s="392"/>
      <c r="AC916" s="392"/>
      <c r="AD916" s="392"/>
      <c r="AE916" s="392"/>
      <c r="AF916" s="392"/>
    </row>
    <row r="917" ht="15.75" customHeight="1">
      <c r="A917" s="216"/>
      <c r="B917" s="156"/>
      <c r="C917" s="156"/>
      <c r="D917" s="156"/>
      <c r="E917" s="392"/>
      <c r="F917" s="392"/>
      <c r="G917" s="392"/>
      <c r="H917" s="392"/>
      <c r="I917" s="392"/>
      <c r="J917" s="145"/>
      <c r="K917" s="392"/>
      <c r="L917" s="392"/>
      <c r="M917" s="392"/>
      <c r="N917" s="392"/>
      <c r="O917" s="392"/>
      <c r="P917" s="392"/>
      <c r="Q917" s="392"/>
      <c r="R917" s="392"/>
      <c r="S917" s="392"/>
      <c r="T917" s="392"/>
      <c r="U917" s="392"/>
      <c r="V917" s="392"/>
      <c r="W917" s="392"/>
      <c r="X917" s="392"/>
      <c r="Y917" s="392"/>
      <c r="Z917" s="392"/>
      <c r="AA917" s="392"/>
      <c r="AB917" s="392"/>
      <c r="AC917" s="392"/>
      <c r="AD917" s="392"/>
      <c r="AE917" s="392"/>
      <c r="AF917" s="392"/>
    </row>
    <row r="918" ht="15.75" customHeight="1">
      <c r="A918" s="216"/>
      <c r="B918" s="156"/>
      <c r="C918" s="156"/>
      <c r="D918" s="156"/>
      <c r="E918" s="392"/>
      <c r="F918" s="392"/>
      <c r="G918" s="392"/>
      <c r="H918" s="392"/>
      <c r="I918" s="392"/>
      <c r="J918" s="145"/>
      <c r="K918" s="392"/>
      <c r="L918" s="392"/>
      <c r="M918" s="392"/>
      <c r="N918" s="392"/>
      <c r="O918" s="392"/>
      <c r="P918" s="392"/>
      <c r="Q918" s="392"/>
      <c r="R918" s="392"/>
      <c r="S918" s="392"/>
      <c r="T918" s="392"/>
      <c r="U918" s="392"/>
      <c r="V918" s="392"/>
      <c r="W918" s="392"/>
      <c r="X918" s="392"/>
      <c r="Y918" s="392"/>
      <c r="Z918" s="392"/>
      <c r="AA918" s="392"/>
      <c r="AB918" s="392"/>
      <c r="AC918" s="392"/>
      <c r="AD918" s="392"/>
      <c r="AE918" s="392"/>
      <c r="AF918" s="392"/>
    </row>
    <row r="919" ht="15.75" customHeight="1">
      <c r="A919" s="216"/>
      <c r="B919" s="156"/>
      <c r="C919" s="156"/>
      <c r="D919" s="156"/>
      <c r="E919" s="392"/>
      <c r="F919" s="392"/>
      <c r="G919" s="392"/>
      <c r="H919" s="392"/>
      <c r="I919" s="392"/>
      <c r="J919" s="145"/>
      <c r="K919" s="392"/>
      <c r="L919" s="392"/>
      <c r="M919" s="392"/>
      <c r="N919" s="392"/>
      <c r="O919" s="392"/>
      <c r="P919" s="392"/>
      <c r="Q919" s="392"/>
      <c r="R919" s="392"/>
      <c r="S919" s="392"/>
      <c r="T919" s="392"/>
      <c r="U919" s="392"/>
      <c r="V919" s="392"/>
      <c r="W919" s="392"/>
      <c r="X919" s="392"/>
      <c r="Y919" s="392"/>
      <c r="Z919" s="392"/>
      <c r="AA919" s="392"/>
      <c r="AB919" s="392"/>
      <c r="AC919" s="392"/>
      <c r="AD919" s="392"/>
      <c r="AE919" s="392"/>
      <c r="AF919" s="392"/>
    </row>
    <row r="920" ht="15.75" customHeight="1">
      <c r="A920" s="216"/>
      <c r="B920" s="156"/>
      <c r="C920" s="156"/>
      <c r="D920" s="156"/>
      <c r="E920" s="392"/>
      <c r="F920" s="392"/>
      <c r="G920" s="392"/>
      <c r="H920" s="392"/>
      <c r="I920" s="392"/>
      <c r="J920" s="145"/>
      <c r="K920" s="392"/>
      <c r="L920" s="392"/>
      <c r="M920" s="392"/>
      <c r="N920" s="392"/>
      <c r="O920" s="392"/>
      <c r="P920" s="392"/>
      <c r="Q920" s="392"/>
      <c r="R920" s="392"/>
      <c r="S920" s="392"/>
      <c r="T920" s="392"/>
      <c r="U920" s="392"/>
      <c r="V920" s="392"/>
      <c r="W920" s="392"/>
      <c r="X920" s="392"/>
      <c r="Y920" s="392"/>
      <c r="Z920" s="392"/>
      <c r="AA920" s="392"/>
      <c r="AB920" s="392"/>
      <c r="AC920" s="392"/>
      <c r="AD920" s="392"/>
      <c r="AE920" s="392"/>
      <c r="AF920" s="392"/>
    </row>
    <row r="921" ht="15.75" customHeight="1">
      <c r="A921" s="216"/>
      <c r="B921" s="156"/>
      <c r="C921" s="156"/>
      <c r="D921" s="156"/>
      <c r="E921" s="392"/>
      <c r="F921" s="392"/>
      <c r="G921" s="392"/>
      <c r="H921" s="392"/>
      <c r="I921" s="392"/>
      <c r="J921" s="145"/>
      <c r="K921" s="392"/>
      <c r="L921" s="392"/>
      <c r="M921" s="392"/>
      <c r="N921" s="392"/>
      <c r="O921" s="392"/>
      <c r="P921" s="392"/>
      <c r="Q921" s="392"/>
      <c r="R921" s="392"/>
      <c r="S921" s="392"/>
      <c r="T921" s="392"/>
      <c r="U921" s="392"/>
      <c r="V921" s="392"/>
      <c r="W921" s="392"/>
      <c r="X921" s="392"/>
      <c r="Y921" s="392"/>
      <c r="Z921" s="392"/>
      <c r="AA921" s="392"/>
      <c r="AB921" s="392"/>
      <c r="AC921" s="392"/>
      <c r="AD921" s="392"/>
      <c r="AE921" s="392"/>
      <c r="AF921" s="392"/>
    </row>
    <row r="922" ht="15.75" customHeight="1">
      <c r="A922" s="216"/>
      <c r="B922" s="156"/>
      <c r="C922" s="156"/>
      <c r="D922" s="156"/>
      <c r="E922" s="392"/>
      <c r="F922" s="392"/>
      <c r="G922" s="392"/>
      <c r="H922" s="392"/>
      <c r="I922" s="392"/>
      <c r="J922" s="145"/>
      <c r="K922" s="392"/>
      <c r="L922" s="392"/>
      <c r="M922" s="392"/>
      <c r="N922" s="392"/>
      <c r="O922" s="392"/>
      <c r="P922" s="392"/>
      <c r="Q922" s="392"/>
      <c r="R922" s="392"/>
      <c r="S922" s="392"/>
      <c r="T922" s="392"/>
      <c r="U922" s="392"/>
      <c r="V922" s="392"/>
      <c r="W922" s="392"/>
      <c r="X922" s="392"/>
      <c r="Y922" s="392"/>
      <c r="Z922" s="392"/>
      <c r="AA922" s="392"/>
      <c r="AB922" s="392"/>
      <c r="AC922" s="392"/>
      <c r="AD922" s="392"/>
      <c r="AE922" s="392"/>
      <c r="AF922" s="392"/>
    </row>
    <row r="923" ht="15.75" customHeight="1">
      <c r="A923" s="216"/>
      <c r="B923" s="156"/>
      <c r="C923" s="156"/>
      <c r="D923" s="156"/>
      <c r="E923" s="392"/>
      <c r="F923" s="392"/>
      <c r="G923" s="392"/>
      <c r="H923" s="392"/>
      <c r="I923" s="392"/>
      <c r="J923" s="145"/>
      <c r="K923" s="392"/>
      <c r="L923" s="392"/>
      <c r="M923" s="392"/>
      <c r="N923" s="392"/>
      <c r="O923" s="392"/>
      <c r="P923" s="392"/>
      <c r="Q923" s="392"/>
      <c r="R923" s="392"/>
      <c r="S923" s="392"/>
      <c r="T923" s="392"/>
      <c r="U923" s="392"/>
      <c r="V923" s="392"/>
      <c r="W923" s="392"/>
      <c r="X923" s="392"/>
      <c r="Y923" s="392"/>
      <c r="Z923" s="392"/>
      <c r="AA923" s="392"/>
      <c r="AB923" s="392"/>
      <c r="AC923" s="392"/>
      <c r="AD923" s="392"/>
      <c r="AE923" s="392"/>
      <c r="AF923" s="392"/>
    </row>
    <row r="924" ht="15.75" customHeight="1">
      <c r="A924" s="216"/>
      <c r="B924" s="156"/>
      <c r="C924" s="156"/>
      <c r="D924" s="156"/>
      <c r="E924" s="392"/>
      <c r="F924" s="392"/>
      <c r="G924" s="392"/>
      <c r="H924" s="392"/>
      <c r="I924" s="392"/>
      <c r="J924" s="145"/>
      <c r="K924" s="392"/>
      <c r="L924" s="392"/>
      <c r="M924" s="392"/>
      <c r="N924" s="392"/>
      <c r="O924" s="392"/>
      <c r="P924" s="392"/>
      <c r="Q924" s="392"/>
      <c r="R924" s="392"/>
      <c r="S924" s="392"/>
      <c r="T924" s="392"/>
      <c r="U924" s="392"/>
      <c r="V924" s="392"/>
      <c r="W924" s="392"/>
      <c r="X924" s="392"/>
      <c r="Y924" s="392"/>
      <c r="Z924" s="392"/>
      <c r="AA924" s="392"/>
      <c r="AB924" s="392"/>
      <c r="AC924" s="392"/>
      <c r="AD924" s="392"/>
      <c r="AE924" s="392"/>
      <c r="AF924" s="392"/>
    </row>
    <row r="925" ht="15.75" customHeight="1">
      <c r="A925" s="216"/>
      <c r="B925" s="156"/>
      <c r="C925" s="156"/>
      <c r="D925" s="156"/>
      <c r="E925" s="392"/>
      <c r="F925" s="392"/>
      <c r="G925" s="392"/>
      <c r="H925" s="392"/>
      <c r="I925" s="392"/>
      <c r="J925" s="145"/>
      <c r="K925" s="392"/>
      <c r="L925" s="392"/>
      <c r="M925" s="392"/>
      <c r="N925" s="392"/>
      <c r="O925" s="392"/>
      <c r="P925" s="392"/>
      <c r="Q925" s="392"/>
      <c r="R925" s="392"/>
      <c r="S925" s="392"/>
      <c r="T925" s="392"/>
      <c r="U925" s="392"/>
      <c r="V925" s="392"/>
      <c r="W925" s="392"/>
      <c r="X925" s="392"/>
      <c r="Y925" s="392"/>
      <c r="Z925" s="392"/>
      <c r="AA925" s="392"/>
      <c r="AB925" s="392"/>
      <c r="AC925" s="392"/>
      <c r="AD925" s="392"/>
      <c r="AE925" s="392"/>
      <c r="AF925" s="392"/>
    </row>
    <row r="926" ht="15.75" customHeight="1">
      <c r="A926" s="216"/>
      <c r="B926" s="156"/>
      <c r="C926" s="156"/>
      <c r="D926" s="156"/>
      <c r="E926" s="392"/>
      <c r="F926" s="392"/>
      <c r="G926" s="392"/>
      <c r="H926" s="392"/>
      <c r="I926" s="392"/>
      <c r="J926" s="145"/>
      <c r="K926" s="392"/>
      <c r="L926" s="392"/>
      <c r="M926" s="392"/>
      <c r="N926" s="392"/>
      <c r="O926" s="392"/>
      <c r="P926" s="392"/>
      <c r="Q926" s="392"/>
      <c r="R926" s="392"/>
      <c r="S926" s="392"/>
      <c r="T926" s="392"/>
      <c r="U926" s="392"/>
      <c r="V926" s="392"/>
      <c r="W926" s="392"/>
      <c r="X926" s="392"/>
      <c r="Y926" s="392"/>
      <c r="Z926" s="392"/>
      <c r="AA926" s="392"/>
      <c r="AB926" s="392"/>
      <c r="AC926" s="392"/>
      <c r="AD926" s="392"/>
      <c r="AE926" s="392"/>
      <c r="AF926" s="392"/>
    </row>
    <row r="927" ht="15.75" customHeight="1">
      <c r="A927" s="216"/>
      <c r="B927" s="156"/>
      <c r="C927" s="156"/>
      <c r="D927" s="156"/>
      <c r="E927" s="392"/>
      <c r="F927" s="392"/>
      <c r="G927" s="392"/>
      <c r="H927" s="392"/>
      <c r="I927" s="392"/>
      <c r="J927" s="145"/>
      <c r="K927" s="392"/>
      <c r="L927" s="392"/>
      <c r="M927" s="392"/>
      <c r="N927" s="392"/>
      <c r="O927" s="392"/>
      <c r="P927" s="392"/>
      <c r="Q927" s="392"/>
      <c r="R927" s="392"/>
      <c r="S927" s="392"/>
      <c r="T927" s="392"/>
      <c r="U927" s="392"/>
      <c r="V927" s="392"/>
      <c r="W927" s="392"/>
      <c r="X927" s="392"/>
      <c r="Y927" s="392"/>
      <c r="Z927" s="392"/>
      <c r="AA927" s="392"/>
      <c r="AB927" s="392"/>
      <c r="AC927" s="392"/>
      <c r="AD927" s="392"/>
      <c r="AE927" s="392"/>
      <c r="AF927" s="392"/>
    </row>
    <row r="928" ht="15.75" customHeight="1">
      <c r="A928" s="216"/>
      <c r="B928" s="156"/>
      <c r="C928" s="156"/>
      <c r="D928" s="156"/>
      <c r="E928" s="392"/>
      <c r="F928" s="392"/>
      <c r="G928" s="392"/>
      <c r="H928" s="392"/>
      <c r="I928" s="392"/>
      <c r="J928" s="145"/>
      <c r="K928" s="392"/>
      <c r="L928" s="392"/>
      <c r="M928" s="392"/>
      <c r="N928" s="392"/>
      <c r="O928" s="392"/>
      <c r="P928" s="392"/>
      <c r="Q928" s="392"/>
      <c r="R928" s="392"/>
      <c r="S928" s="392"/>
      <c r="T928" s="392"/>
      <c r="U928" s="392"/>
      <c r="V928" s="392"/>
      <c r="W928" s="392"/>
      <c r="X928" s="392"/>
      <c r="Y928" s="392"/>
      <c r="Z928" s="392"/>
      <c r="AA928" s="392"/>
      <c r="AB928" s="392"/>
      <c r="AC928" s="392"/>
      <c r="AD928" s="392"/>
      <c r="AE928" s="392"/>
      <c r="AF928" s="392"/>
    </row>
    <row r="929" ht="15.75" customHeight="1">
      <c r="A929" s="216"/>
      <c r="B929" s="156"/>
      <c r="C929" s="156"/>
      <c r="D929" s="156"/>
      <c r="E929" s="392"/>
      <c r="F929" s="392"/>
      <c r="G929" s="392"/>
      <c r="H929" s="392"/>
      <c r="I929" s="392"/>
      <c r="J929" s="145"/>
      <c r="K929" s="392"/>
      <c r="L929" s="392"/>
      <c r="M929" s="392"/>
      <c r="N929" s="392"/>
      <c r="O929" s="392"/>
      <c r="P929" s="392"/>
      <c r="Q929" s="392"/>
      <c r="R929" s="392"/>
      <c r="S929" s="392"/>
      <c r="T929" s="392"/>
      <c r="U929" s="392"/>
      <c r="V929" s="392"/>
      <c r="W929" s="392"/>
      <c r="X929" s="392"/>
      <c r="Y929" s="392"/>
      <c r="Z929" s="392"/>
      <c r="AA929" s="392"/>
      <c r="AB929" s="392"/>
      <c r="AC929" s="392"/>
      <c r="AD929" s="392"/>
      <c r="AE929" s="392"/>
      <c r="AF929" s="392"/>
    </row>
    <row r="930" ht="15.75" customHeight="1">
      <c r="A930" s="216"/>
      <c r="B930" s="156"/>
      <c r="C930" s="156"/>
      <c r="D930" s="156"/>
      <c r="E930" s="392"/>
      <c r="F930" s="392"/>
      <c r="G930" s="392"/>
      <c r="H930" s="392"/>
      <c r="I930" s="392"/>
      <c r="J930" s="145"/>
      <c r="K930" s="392"/>
      <c r="L930" s="392"/>
      <c r="M930" s="392"/>
      <c r="N930" s="392"/>
      <c r="O930" s="392"/>
      <c r="P930" s="392"/>
      <c r="Q930" s="392"/>
      <c r="R930" s="392"/>
      <c r="S930" s="392"/>
      <c r="T930" s="392"/>
      <c r="U930" s="392"/>
      <c r="V930" s="392"/>
      <c r="W930" s="392"/>
      <c r="X930" s="392"/>
      <c r="Y930" s="392"/>
      <c r="Z930" s="392"/>
      <c r="AA930" s="392"/>
      <c r="AB930" s="392"/>
      <c r="AC930" s="392"/>
      <c r="AD930" s="392"/>
      <c r="AE930" s="392"/>
      <c r="AF930" s="392"/>
    </row>
    <row r="931" ht="15.75" customHeight="1">
      <c r="A931" s="216"/>
      <c r="B931" s="156"/>
      <c r="C931" s="156"/>
      <c r="D931" s="156"/>
      <c r="E931" s="392"/>
      <c r="F931" s="392"/>
      <c r="G931" s="392"/>
      <c r="H931" s="392"/>
      <c r="I931" s="392"/>
      <c r="J931" s="145"/>
      <c r="K931" s="392"/>
      <c r="L931" s="392"/>
      <c r="M931" s="392"/>
      <c r="N931" s="392"/>
      <c r="O931" s="392"/>
      <c r="P931" s="392"/>
      <c r="Q931" s="392"/>
      <c r="R931" s="392"/>
      <c r="S931" s="392"/>
      <c r="T931" s="392"/>
      <c r="U931" s="392"/>
      <c r="V931" s="392"/>
      <c r="W931" s="392"/>
      <c r="X931" s="392"/>
      <c r="Y931" s="392"/>
      <c r="Z931" s="392"/>
      <c r="AA931" s="392"/>
      <c r="AB931" s="392"/>
      <c r="AC931" s="392"/>
      <c r="AD931" s="392"/>
      <c r="AE931" s="392"/>
      <c r="AF931" s="392"/>
    </row>
    <row r="932" ht="15.75" customHeight="1">
      <c r="A932" s="216"/>
      <c r="B932" s="156"/>
      <c r="C932" s="156"/>
      <c r="D932" s="156"/>
      <c r="E932" s="392"/>
      <c r="F932" s="392"/>
      <c r="G932" s="392"/>
      <c r="H932" s="392"/>
      <c r="I932" s="392"/>
      <c r="J932" s="145"/>
      <c r="K932" s="392"/>
      <c r="L932" s="392"/>
      <c r="M932" s="392"/>
      <c r="N932" s="392"/>
      <c r="O932" s="392"/>
      <c r="P932" s="392"/>
      <c r="Q932" s="392"/>
      <c r="R932" s="392"/>
      <c r="S932" s="392"/>
      <c r="T932" s="392"/>
      <c r="U932" s="392"/>
      <c r="V932" s="392"/>
      <c r="W932" s="392"/>
      <c r="X932" s="392"/>
      <c r="Y932" s="392"/>
      <c r="Z932" s="392"/>
      <c r="AA932" s="392"/>
      <c r="AB932" s="392"/>
      <c r="AC932" s="392"/>
      <c r="AD932" s="392"/>
      <c r="AE932" s="392"/>
      <c r="AF932" s="392"/>
    </row>
    <row r="933" ht="15.75" customHeight="1">
      <c r="A933" s="216"/>
      <c r="B933" s="156"/>
      <c r="C933" s="156"/>
      <c r="D933" s="156"/>
      <c r="E933" s="392"/>
      <c r="F933" s="392"/>
      <c r="G933" s="392"/>
      <c r="H933" s="392"/>
      <c r="I933" s="392"/>
      <c r="J933" s="145"/>
      <c r="K933" s="392"/>
      <c r="L933" s="392"/>
      <c r="M933" s="392"/>
      <c r="N933" s="392"/>
      <c r="O933" s="392"/>
      <c r="P933" s="392"/>
      <c r="Q933" s="392"/>
      <c r="R933" s="392"/>
      <c r="S933" s="392"/>
      <c r="T933" s="392"/>
      <c r="U933" s="392"/>
      <c r="V933" s="392"/>
      <c r="W933" s="392"/>
      <c r="X933" s="392"/>
      <c r="Y933" s="392"/>
      <c r="Z933" s="392"/>
      <c r="AA933" s="392"/>
      <c r="AB933" s="392"/>
      <c r="AC933" s="392"/>
      <c r="AD933" s="392"/>
      <c r="AE933" s="392"/>
      <c r="AF933" s="392"/>
    </row>
    <row r="934" ht="15.75" customHeight="1">
      <c r="A934" s="216"/>
      <c r="B934" s="156"/>
      <c r="C934" s="156"/>
      <c r="D934" s="156"/>
      <c r="E934" s="392"/>
      <c r="F934" s="392"/>
      <c r="G934" s="392"/>
      <c r="H934" s="392"/>
      <c r="I934" s="392"/>
      <c r="J934" s="145"/>
      <c r="K934" s="392"/>
      <c r="L934" s="392"/>
      <c r="M934" s="392"/>
      <c r="N934" s="392"/>
      <c r="O934" s="392"/>
      <c r="P934" s="392"/>
      <c r="Q934" s="392"/>
      <c r="R934" s="392"/>
      <c r="S934" s="392"/>
      <c r="T934" s="392"/>
      <c r="U934" s="392"/>
      <c r="V934" s="392"/>
      <c r="W934" s="392"/>
      <c r="X934" s="392"/>
      <c r="Y934" s="392"/>
      <c r="Z934" s="392"/>
      <c r="AA934" s="392"/>
      <c r="AB934" s="392"/>
      <c r="AC934" s="392"/>
      <c r="AD934" s="392"/>
      <c r="AE934" s="392"/>
      <c r="AF934" s="392"/>
    </row>
    <row r="935" ht="15.75" customHeight="1">
      <c r="A935" s="216"/>
      <c r="B935" s="156"/>
      <c r="C935" s="156"/>
      <c r="D935" s="156"/>
      <c r="E935" s="392"/>
      <c r="F935" s="392"/>
      <c r="G935" s="392"/>
      <c r="H935" s="392"/>
      <c r="I935" s="392"/>
      <c r="J935" s="145"/>
      <c r="K935" s="392"/>
      <c r="L935" s="392"/>
      <c r="M935" s="392"/>
      <c r="N935" s="392"/>
      <c r="O935" s="392"/>
      <c r="P935" s="392"/>
      <c r="Q935" s="392"/>
      <c r="R935" s="392"/>
      <c r="S935" s="392"/>
      <c r="T935" s="392"/>
      <c r="U935" s="392"/>
      <c r="V935" s="392"/>
      <c r="W935" s="392"/>
      <c r="X935" s="392"/>
      <c r="Y935" s="392"/>
      <c r="Z935" s="392"/>
      <c r="AA935" s="392"/>
      <c r="AB935" s="392"/>
      <c r="AC935" s="392"/>
      <c r="AD935" s="392"/>
      <c r="AE935" s="392"/>
      <c r="AF935" s="392"/>
    </row>
    <row r="936" ht="15.75" customHeight="1">
      <c r="A936" s="216"/>
      <c r="B936" s="156"/>
      <c r="C936" s="156"/>
      <c r="D936" s="156"/>
      <c r="E936" s="392"/>
      <c r="F936" s="392"/>
      <c r="G936" s="392"/>
      <c r="H936" s="392"/>
      <c r="I936" s="392"/>
      <c r="J936" s="145"/>
      <c r="K936" s="392"/>
      <c r="L936" s="392"/>
      <c r="M936" s="392"/>
      <c r="N936" s="392"/>
      <c r="O936" s="392"/>
      <c r="P936" s="392"/>
      <c r="Q936" s="392"/>
      <c r="R936" s="392"/>
      <c r="S936" s="392"/>
      <c r="T936" s="392"/>
      <c r="U936" s="392"/>
      <c r="V936" s="392"/>
      <c r="W936" s="392"/>
      <c r="X936" s="392"/>
      <c r="Y936" s="392"/>
      <c r="Z936" s="392"/>
      <c r="AA936" s="392"/>
      <c r="AB936" s="392"/>
      <c r="AC936" s="392"/>
      <c r="AD936" s="392"/>
      <c r="AE936" s="392"/>
      <c r="AF936" s="392"/>
    </row>
    <row r="937" ht="15.75" customHeight="1">
      <c r="A937" s="216"/>
      <c r="B937" s="156"/>
      <c r="C937" s="156"/>
      <c r="D937" s="156"/>
      <c r="E937" s="392"/>
      <c r="F937" s="392"/>
      <c r="G937" s="392"/>
      <c r="H937" s="392"/>
      <c r="I937" s="392"/>
      <c r="J937" s="145"/>
      <c r="K937" s="392"/>
      <c r="L937" s="392"/>
      <c r="M937" s="392"/>
      <c r="N937" s="392"/>
      <c r="O937" s="392"/>
      <c r="P937" s="392"/>
      <c r="Q937" s="392"/>
      <c r="R937" s="392"/>
      <c r="S937" s="392"/>
      <c r="T937" s="392"/>
      <c r="U937" s="392"/>
      <c r="V937" s="392"/>
      <c r="W937" s="392"/>
      <c r="X937" s="392"/>
      <c r="Y937" s="392"/>
      <c r="Z937" s="392"/>
      <c r="AA937" s="392"/>
      <c r="AB937" s="392"/>
      <c r="AC937" s="392"/>
      <c r="AD937" s="392"/>
      <c r="AE937" s="392"/>
      <c r="AF937" s="392"/>
    </row>
    <row r="938" ht="15.75" customHeight="1">
      <c r="A938" s="216"/>
      <c r="B938" s="156"/>
      <c r="C938" s="156"/>
      <c r="D938" s="156"/>
      <c r="E938" s="392"/>
      <c r="F938" s="392"/>
      <c r="G938" s="392"/>
      <c r="H938" s="392"/>
      <c r="I938" s="392"/>
      <c r="J938" s="145"/>
      <c r="K938" s="392"/>
      <c r="L938" s="392"/>
      <c r="M938" s="392"/>
      <c r="N938" s="392"/>
      <c r="O938" s="392"/>
      <c r="P938" s="392"/>
      <c r="Q938" s="392"/>
      <c r="R938" s="392"/>
      <c r="S938" s="392"/>
      <c r="T938" s="392"/>
      <c r="U938" s="392"/>
      <c r="V938" s="392"/>
      <c r="W938" s="392"/>
      <c r="X938" s="392"/>
      <c r="Y938" s="392"/>
      <c r="Z938" s="392"/>
      <c r="AA938" s="392"/>
      <c r="AB938" s="392"/>
      <c r="AC938" s="392"/>
      <c r="AD938" s="392"/>
      <c r="AE938" s="392"/>
      <c r="AF938" s="392"/>
    </row>
    <row r="939" ht="15.75" customHeight="1">
      <c r="A939" s="216"/>
      <c r="B939" s="156"/>
      <c r="C939" s="156"/>
      <c r="D939" s="156"/>
      <c r="E939" s="392"/>
      <c r="F939" s="392"/>
      <c r="G939" s="392"/>
      <c r="H939" s="392"/>
      <c r="I939" s="392"/>
      <c r="J939" s="145"/>
      <c r="K939" s="392"/>
      <c r="L939" s="392"/>
      <c r="M939" s="392"/>
      <c r="N939" s="392"/>
      <c r="O939" s="392"/>
      <c r="P939" s="392"/>
      <c r="Q939" s="392"/>
      <c r="R939" s="392"/>
      <c r="S939" s="392"/>
      <c r="T939" s="392"/>
      <c r="U939" s="392"/>
      <c r="V939" s="392"/>
      <c r="W939" s="392"/>
      <c r="X939" s="392"/>
      <c r="Y939" s="392"/>
      <c r="Z939" s="392"/>
      <c r="AA939" s="392"/>
      <c r="AB939" s="392"/>
      <c r="AC939" s="392"/>
      <c r="AD939" s="392"/>
      <c r="AE939" s="392"/>
      <c r="AF939" s="392"/>
    </row>
    <row r="940" ht="15.75" customHeight="1">
      <c r="A940" s="216"/>
      <c r="B940" s="156"/>
      <c r="C940" s="156"/>
      <c r="D940" s="156"/>
      <c r="E940" s="392"/>
      <c r="F940" s="392"/>
      <c r="G940" s="392"/>
      <c r="H940" s="392"/>
      <c r="I940" s="392"/>
      <c r="J940" s="145"/>
      <c r="K940" s="392"/>
      <c r="L940" s="392"/>
      <c r="M940" s="392"/>
      <c r="N940" s="392"/>
      <c r="O940" s="392"/>
      <c r="P940" s="392"/>
      <c r="Q940" s="392"/>
      <c r="R940" s="392"/>
      <c r="S940" s="392"/>
      <c r="T940" s="392"/>
      <c r="U940" s="392"/>
      <c r="V940" s="392"/>
      <c r="W940" s="392"/>
      <c r="X940" s="392"/>
      <c r="Y940" s="392"/>
      <c r="Z940" s="392"/>
      <c r="AA940" s="392"/>
      <c r="AB940" s="392"/>
      <c r="AC940" s="392"/>
      <c r="AD940" s="392"/>
      <c r="AE940" s="392"/>
      <c r="AF940" s="392"/>
    </row>
    <row r="941" ht="15.75" customHeight="1">
      <c r="A941" s="216"/>
      <c r="B941" s="156"/>
      <c r="C941" s="156"/>
      <c r="D941" s="156"/>
      <c r="E941" s="392"/>
      <c r="F941" s="392"/>
      <c r="G941" s="392"/>
      <c r="H941" s="392"/>
      <c r="I941" s="392"/>
      <c r="J941" s="145"/>
      <c r="K941" s="392"/>
      <c r="L941" s="392"/>
      <c r="M941" s="392"/>
      <c r="N941" s="392"/>
      <c r="O941" s="392"/>
      <c r="P941" s="392"/>
      <c r="Q941" s="392"/>
      <c r="R941" s="392"/>
      <c r="S941" s="392"/>
      <c r="T941" s="392"/>
      <c r="U941" s="392"/>
      <c r="V941" s="392"/>
      <c r="W941" s="392"/>
      <c r="X941" s="392"/>
      <c r="Y941" s="392"/>
      <c r="Z941" s="392"/>
      <c r="AA941" s="392"/>
      <c r="AB941" s="392"/>
      <c r="AC941" s="392"/>
      <c r="AD941" s="392"/>
      <c r="AE941" s="392"/>
      <c r="AF941" s="392"/>
    </row>
    <row r="942" ht="15.75" customHeight="1">
      <c r="A942" s="216"/>
      <c r="B942" s="156"/>
      <c r="C942" s="156"/>
      <c r="D942" s="156"/>
      <c r="E942" s="392"/>
      <c r="F942" s="392"/>
      <c r="G942" s="392"/>
      <c r="H942" s="392"/>
      <c r="I942" s="392"/>
      <c r="J942" s="145"/>
      <c r="K942" s="392"/>
      <c r="L942" s="392"/>
      <c r="M942" s="392"/>
      <c r="N942" s="392"/>
      <c r="O942" s="392"/>
      <c r="P942" s="392"/>
      <c r="Q942" s="392"/>
      <c r="R942" s="392"/>
      <c r="S942" s="392"/>
      <c r="T942" s="392"/>
      <c r="U942" s="392"/>
      <c r="V942" s="392"/>
      <c r="W942" s="392"/>
      <c r="X942" s="392"/>
      <c r="Y942" s="392"/>
      <c r="Z942" s="392"/>
      <c r="AA942" s="392"/>
      <c r="AB942" s="392"/>
      <c r="AC942" s="392"/>
      <c r="AD942" s="392"/>
      <c r="AE942" s="392"/>
      <c r="AF942" s="392"/>
    </row>
    <row r="943" ht="15.75" customHeight="1">
      <c r="A943" s="216"/>
      <c r="B943" s="156"/>
      <c r="C943" s="156"/>
      <c r="D943" s="156"/>
      <c r="E943" s="392"/>
      <c r="F943" s="392"/>
      <c r="G943" s="392"/>
      <c r="H943" s="392"/>
      <c r="I943" s="392"/>
      <c r="J943" s="145"/>
      <c r="K943" s="392"/>
      <c r="L943" s="392"/>
      <c r="M943" s="392"/>
      <c r="N943" s="392"/>
      <c r="O943" s="392"/>
      <c r="P943" s="392"/>
      <c r="Q943" s="392"/>
      <c r="R943" s="392"/>
      <c r="S943" s="392"/>
      <c r="T943" s="392"/>
      <c r="U943" s="392"/>
      <c r="V943" s="392"/>
      <c r="W943" s="392"/>
      <c r="X943" s="392"/>
      <c r="Y943" s="392"/>
      <c r="Z943" s="392"/>
      <c r="AA943" s="392"/>
      <c r="AB943" s="392"/>
      <c r="AC943" s="392"/>
      <c r="AD943" s="392"/>
      <c r="AE943" s="392"/>
      <c r="AF943" s="392"/>
    </row>
    <row r="944" ht="15.75" customHeight="1">
      <c r="A944" s="216"/>
      <c r="B944" s="156"/>
      <c r="C944" s="156"/>
      <c r="D944" s="156"/>
      <c r="E944" s="392"/>
      <c r="F944" s="392"/>
      <c r="G944" s="392"/>
      <c r="H944" s="392"/>
      <c r="I944" s="392"/>
      <c r="J944" s="145"/>
      <c r="K944" s="392"/>
      <c r="L944" s="392"/>
      <c r="M944" s="392"/>
      <c r="N944" s="392"/>
      <c r="O944" s="392"/>
      <c r="P944" s="392"/>
      <c r="Q944" s="392"/>
      <c r="R944" s="392"/>
      <c r="S944" s="392"/>
      <c r="T944" s="392"/>
      <c r="U944" s="392"/>
      <c r="V944" s="392"/>
      <c r="W944" s="392"/>
      <c r="X944" s="392"/>
      <c r="Y944" s="392"/>
      <c r="Z944" s="392"/>
      <c r="AA944" s="392"/>
      <c r="AB944" s="392"/>
      <c r="AC944" s="392"/>
      <c r="AD944" s="392"/>
      <c r="AE944" s="392"/>
      <c r="AF944" s="392"/>
    </row>
    <row r="945" ht="15.75" customHeight="1">
      <c r="A945" s="216"/>
      <c r="B945" s="156"/>
      <c r="C945" s="156"/>
      <c r="D945" s="156"/>
      <c r="E945" s="392"/>
      <c r="F945" s="392"/>
      <c r="G945" s="392"/>
      <c r="H945" s="392"/>
      <c r="I945" s="392"/>
      <c r="J945" s="145"/>
      <c r="K945" s="392"/>
      <c r="L945" s="392"/>
      <c r="M945" s="392"/>
      <c r="N945" s="392"/>
      <c r="O945" s="392"/>
      <c r="P945" s="392"/>
      <c r="Q945" s="392"/>
      <c r="R945" s="392"/>
      <c r="S945" s="392"/>
      <c r="T945" s="392"/>
      <c r="U945" s="392"/>
      <c r="V945" s="392"/>
      <c r="W945" s="392"/>
      <c r="X945" s="392"/>
      <c r="Y945" s="392"/>
      <c r="Z945" s="392"/>
      <c r="AA945" s="392"/>
      <c r="AB945" s="392"/>
      <c r="AC945" s="392"/>
      <c r="AD945" s="392"/>
      <c r="AE945" s="392"/>
      <c r="AF945" s="392"/>
    </row>
    <row r="946" ht="15.75" customHeight="1">
      <c r="A946" s="216"/>
      <c r="B946" s="156"/>
      <c r="C946" s="156"/>
      <c r="D946" s="156"/>
      <c r="E946" s="392"/>
      <c r="F946" s="392"/>
      <c r="G946" s="392"/>
      <c r="H946" s="392"/>
      <c r="I946" s="392"/>
      <c r="J946" s="145"/>
      <c r="K946" s="392"/>
      <c r="L946" s="392"/>
      <c r="M946" s="392"/>
      <c r="N946" s="392"/>
      <c r="O946" s="392"/>
      <c r="P946" s="392"/>
      <c r="Q946" s="392"/>
      <c r="R946" s="392"/>
      <c r="S946" s="392"/>
      <c r="T946" s="392"/>
      <c r="U946" s="392"/>
      <c r="V946" s="392"/>
      <c r="W946" s="392"/>
      <c r="X946" s="392"/>
      <c r="Y946" s="392"/>
      <c r="Z946" s="392"/>
      <c r="AA946" s="392"/>
      <c r="AB946" s="392"/>
      <c r="AC946" s="392"/>
      <c r="AD946" s="392"/>
      <c r="AE946" s="392"/>
      <c r="AF946" s="392"/>
    </row>
    <row r="947" ht="15.75" customHeight="1">
      <c r="A947" s="216"/>
      <c r="B947" s="156"/>
      <c r="C947" s="156"/>
      <c r="D947" s="156"/>
      <c r="E947" s="392"/>
      <c r="F947" s="392"/>
      <c r="G947" s="392"/>
      <c r="H947" s="392"/>
      <c r="I947" s="392"/>
      <c r="J947" s="145"/>
      <c r="K947" s="392"/>
      <c r="L947" s="392"/>
      <c r="M947" s="392"/>
      <c r="N947" s="392"/>
      <c r="O947" s="392"/>
      <c r="P947" s="392"/>
      <c r="Q947" s="392"/>
      <c r="R947" s="392"/>
      <c r="S947" s="392"/>
      <c r="T947" s="392"/>
      <c r="U947" s="392"/>
      <c r="V947" s="392"/>
      <c r="W947" s="392"/>
      <c r="X947" s="392"/>
      <c r="Y947" s="392"/>
      <c r="Z947" s="392"/>
      <c r="AA947" s="392"/>
      <c r="AB947" s="392"/>
      <c r="AC947" s="392"/>
      <c r="AD947" s="392"/>
      <c r="AE947" s="392"/>
      <c r="AF947" s="392"/>
    </row>
    <row r="948" ht="15.75" customHeight="1">
      <c r="A948" s="216"/>
      <c r="B948" s="156"/>
      <c r="C948" s="156"/>
      <c r="D948" s="156"/>
      <c r="E948" s="392"/>
      <c r="F948" s="392"/>
      <c r="G948" s="392"/>
      <c r="H948" s="392"/>
      <c r="I948" s="392"/>
      <c r="J948" s="145"/>
      <c r="K948" s="392"/>
      <c r="L948" s="392"/>
      <c r="M948" s="392"/>
      <c r="N948" s="392"/>
      <c r="O948" s="392"/>
      <c r="P948" s="392"/>
      <c r="Q948" s="392"/>
      <c r="R948" s="392"/>
      <c r="S948" s="392"/>
      <c r="T948" s="392"/>
      <c r="U948" s="392"/>
      <c r="V948" s="392"/>
      <c r="W948" s="392"/>
      <c r="X948" s="392"/>
      <c r="Y948" s="392"/>
      <c r="Z948" s="392"/>
      <c r="AA948" s="392"/>
      <c r="AB948" s="392"/>
      <c r="AC948" s="392"/>
      <c r="AD948" s="392"/>
      <c r="AE948" s="392"/>
      <c r="AF948" s="392"/>
    </row>
    <row r="949" ht="15.75" customHeight="1">
      <c r="A949" s="216"/>
      <c r="B949" s="156"/>
      <c r="C949" s="156"/>
      <c r="D949" s="156"/>
      <c r="E949" s="392"/>
      <c r="F949" s="392"/>
      <c r="G949" s="392"/>
      <c r="H949" s="392"/>
      <c r="I949" s="392"/>
      <c r="J949" s="145"/>
      <c r="K949" s="392"/>
      <c r="L949" s="392"/>
      <c r="M949" s="392"/>
      <c r="N949" s="392"/>
      <c r="O949" s="392"/>
      <c r="P949" s="392"/>
      <c r="Q949" s="392"/>
      <c r="R949" s="392"/>
      <c r="S949" s="392"/>
      <c r="T949" s="392"/>
      <c r="U949" s="392"/>
      <c r="V949" s="392"/>
      <c r="W949" s="392"/>
      <c r="X949" s="392"/>
      <c r="Y949" s="392"/>
      <c r="Z949" s="392"/>
      <c r="AA949" s="392"/>
      <c r="AB949" s="392"/>
      <c r="AC949" s="392"/>
      <c r="AD949" s="392"/>
      <c r="AE949" s="392"/>
      <c r="AF949" s="392"/>
    </row>
    <row r="950" ht="15.75" customHeight="1">
      <c r="A950" s="216"/>
      <c r="B950" s="156"/>
      <c r="C950" s="156"/>
      <c r="D950" s="156"/>
      <c r="E950" s="392"/>
      <c r="F950" s="392"/>
      <c r="G950" s="392"/>
      <c r="H950" s="392"/>
      <c r="I950" s="392"/>
      <c r="J950" s="145"/>
      <c r="K950" s="392"/>
      <c r="L950" s="392"/>
      <c r="M950" s="392"/>
      <c r="N950" s="392"/>
      <c r="O950" s="392"/>
      <c r="P950" s="392"/>
      <c r="Q950" s="392"/>
      <c r="R950" s="392"/>
      <c r="S950" s="392"/>
      <c r="T950" s="392"/>
      <c r="U950" s="392"/>
      <c r="V950" s="392"/>
      <c r="W950" s="392"/>
      <c r="X950" s="392"/>
      <c r="Y950" s="392"/>
      <c r="Z950" s="392"/>
      <c r="AA950" s="392"/>
      <c r="AB950" s="392"/>
      <c r="AC950" s="392"/>
      <c r="AD950" s="392"/>
      <c r="AE950" s="392"/>
      <c r="AF950" s="392"/>
    </row>
    <row r="951" ht="15.75" customHeight="1">
      <c r="A951" s="216"/>
      <c r="B951" s="156"/>
      <c r="C951" s="156"/>
      <c r="D951" s="156"/>
      <c r="E951" s="392"/>
      <c r="F951" s="392"/>
      <c r="G951" s="392"/>
      <c r="H951" s="392"/>
      <c r="I951" s="392"/>
      <c r="J951" s="145"/>
      <c r="K951" s="392"/>
      <c r="L951" s="392"/>
      <c r="M951" s="392"/>
      <c r="N951" s="392"/>
      <c r="O951" s="392"/>
      <c r="P951" s="392"/>
      <c r="Q951" s="392"/>
      <c r="R951" s="392"/>
      <c r="S951" s="392"/>
      <c r="T951" s="392"/>
      <c r="U951" s="392"/>
      <c r="V951" s="392"/>
      <c r="W951" s="392"/>
      <c r="X951" s="392"/>
      <c r="Y951" s="392"/>
      <c r="Z951" s="392"/>
      <c r="AA951" s="392"/>
      <c r="AB951" s="392"/>
      <c r="AC951" s="392"/>
      <c r="AD951" s="392"/>
      <c r="AE951" s="392"/>
      <c r="AF951" s="392"/>
    </row>
    <row r="952" ht="15.75" customHeight="1">
      <c r="A952" s="216"/>
      <c r="B952" s="156"/>
      <c r="C952" s="156"/>
      <c r="D952" s="156"/>
      <c r="E952" s="392"/>
      <c r="F952" s="392"/>
      <c r="G952" s="392"/>
      <c r="H952" s="392"/>
      <c r="I952" s="392"/>
      <c r="J952" s="145"/>
      <c r="K952" s="392"/>
      <c r="L952" s="392"/>
      <c r="M952" s="392"/>
      <c r="N952" s="392"/>
      <c r="O952" s="392"/>
      <c r="P952" s="392"/>
      <c r="Q952" s="392"/>
      <c r="R952" s="392"/>
      <c r="S952" s="392"/>
      <c r="T952" s="392"/>
      <c r="U952" s="392"/>
      <c r="V952" s="392"/>
      <c r="W952" s="392"/>
      <c r="X952" s="392"/>
      <c r="Y952" s="392"/>
      <c r="Z952" s="392"/>
      <c r="AA952" s="392"/>
      <c r="AB952" s="392"/>
      <c r="AC952" s="392"/>
      <c r="AD952" s="392"/>
      <c r="AE952" s="392"/>
      <c r="AF952" s="392"/>
    </row>
    <row r="953" ht="15.75" customHeight="1">
      <c r="A953" s="216"/>
      <c r="B953" s="156"/>
      <c r="C953" s="156"/>
      <c r="D953" s="156"/>
      <c r="E953" s="392"/>
      <c r="F953" s="392"/>
      <c r="G953" s="392"/>
      <c r="H953" s="392"/>
      <c r="I953" s="392"/>
      <c r="J953" s="145"/>
      <c r="K953" s="392"/>
      <c r="L953" s="392"/>
      <c r="M953" s="392"/>
      <c r="N953" s="392"/>
      <c r="O953" s="392"/>
      <c r="P953" s="392"/>
      <c r="Q953" s="392"/>
      <c r="R953" s="392"/>
      <c r="S953" s="392"/>
      <c r="T953" s="392"/>
      <c r="U953" s="392"/>
      <c r="V953" s="392"/>
      <c r="W953" s="392"/>
      <c r="X953" s="392"/>
      <c r="Y953" s="392"/>
      <c r="Z953" s="392"/>
      <c r="AA953" s="392"/>
      <c r="AB953" s="392"/>
      <c r="AC953" s="392"/>
      <c r="AD953" s="392"/>
      <c r="AE953" s="392"/>
      <c r="AF953" s="392"/>
    </row>
    <row r="954" ht="15.75" customHeight="1">
      <c r="A954" s="216"/>
      <c r="B954" s="156"/>
      <c r="C954" s="156"/>
      <c r="D954" s="156"/>
      <c r="E954" s="392"/>
      <c r="F954" s="392"/>
      <c r="G954" s="392"/>
      <c r="H954" s="392"/>
      <c r="I954" s="392"/>
      <c r="J954" s="145"/>
      <c r="K954" s="392"/>
      <c r="L954" s="392"/>
      <c r="M954" s="392"/>
      <c r="N954" s="392"/>
      <c r="O954" s="392"/>
      <c r="P954" s="392"/>
      <c r="Q954" s="392"/>
      <c r="R954" s="392"/>
      <c r="S954" s="392"/>
      <c r="T954" s="392"/>
      <c r="U954" s="392"/>
      <c r="V954" s="392"/>
      <c r="W954" s="392"/>
      <c r="X954" s="392"/>
      <c r="Y954" s="392"/>
      <c r="Z954" s="392"/>
      <c r="AA954" s="392"/>
      <c r="AB954" s="392"/>
      <c r="AC954" s="392"/>
      <c r="AD954" s="392"/>
      <c r="AE954" s="392"/>
      <c r="AF954" s="392"/>
    </row>
    <row r="955" ht="15.75" customHeight="1">
      <c r="A955" s="216"/>
      <c r="B955" s="156"/>
      <c r="C955" s="156"/>
      <c r="D955" s="156"/>
      <c r="E955" s="392"/>
      <c r="F955" s="392"/>
      <c r="G955" s="392"/>
      <c r="H955" s="392"/>
      <c r="I955" s="392"/>
      <c r="J955" s="145"/>
      <c r="K955" s="392"/>
      <c r="L955" s="392"/>
      <c r="M955" s="392"/>
      <c r="N955" s="392"/>
      <c r="O955" s="392"/>
      <c r="P955" s="392"/>
      <c r="Q955" s="392"/>
      <c r="R955" s="392"/>
      <c r="S955" s="392"/>
      <c r="T955" s="392"/>
      <c r="U955" s="392"/>
      <c r="V955" s="392"/>
      <c r="W955" s="392"/>
      <c r="X955" s="392"/>
      <c r="Y955" s="392"/>
      <c r="Z955" s="392"/>
      <c r="AA955" s="392"/>
      <c r="AB955" s="392"/>
      <c r="AC955" s="392"/>
      <c r="AD955" s="392"/>
      <c r="AE955" s="392"/>
      <c r="AF955" s="392"/>
    </row>
    <row r="956" ht="15.75" customHeight="1">
      <c r="A956" s="216"/>
      <c r="B956" s="156"/>
      <c r="C956" s="156"/>
      <c r="D956" s="156"/>
      <c r="E956" s="392"/>
      <c r="F956" s="392"/>
      <c r="G956" s="392"/>
      <c r="H956" s="392"/>
      <c r="I956" s="392"/>
      <c r="J956" s="145"/>
      <c r="K956" s="392"/>
      <c r="L956" s="392"/>
      <c r="M956" s="392"/>
      <c r="N956" s="392"/>
      <c r="O956" s="392"/>
      <c r="P956" s="392"/>
      <c r="Q956" s="392"/>
      <c r="R956" s="392"/>
      <c r="S956" s="392"/>
      <c r="T956" s="392"/>
      <c r="U956" s="392"/>
      <c r="V956" s="392"/>
      <c r="W956" s="392"/>
      <c r="X956" s="392"/>
      <c r="Y956" s="392"/>
      <c r="Z956" s="392"/>
      <c r="AA956" s="392"/>
      <c r="AB956" s="392"/>
      <c r="AC956" s="392"/>
      <c r="AD956" s="392"/>
      <c r="AE956" s="392"/>
      <c r="AF956" s="392"/>
    </row>
    <row r="957" ht="15.75" customHeight="1">
      <c r="A957" s="216"/>
      <c r="B957" s="156"/>
      <c r="C957" s="156"/>
      <c r="D957" s="156"/>
      <c r="E957" s="392"/>
      <c r="F957" s="392"/>
      <c r="G957" s="392"/>
      <c r="H957" s="392"/>
      <c r="I957" s="392"/>
      <c r="J957" s="145"/>
      <c r="K957" s="392"/>
      <c r="L957" s="392"/>
      <c r="M957" s="392"/>
      <c r="N957" s="392"/>
      <c r="O957" s="392"/>
      <c r="P957" s="392"/>
      <c r="Q957" s="392"/>
      <c r="R957" s="392"/>
      <c r="S957" s="392"/>
      <c r="T957" s="392"/>
      <c r="U957" s="392"/>
      <c r="V957" s="392"/>
      <c r="W957" s="392"/>
      <c r="X957" s="392"/>
      <c r="Y957" s="392"/>
      <c r="Z957" s="392"/>
      <c r="AA957" s="392"/>
      <c r="AB957" s="392"/>
      <c r="AC957" s="392"/>
      <c r="AD957" s="392"/>
      <c r="AE957" s="392"/>
      <c r="AF957" s="392"/>
    </row>
    <row r="958" ht="15.75" customHeight="1">
      <c r="A958" s="216"/>
      <c r="B958" s="156"/>
      <c r="C958" s="156"/>
      <c r="D958" s="156"/>
      <c r="E958" s="392"/>
      <c r="F958" s="392"/>
      <c r="G958" s="392"/>
      <c r="H958" s="392"/>
      <c r="I958" s="392"/>
      <c r="J958" s="145"/>
      <c r="K958" s="392"/>
      <c r="L958" s="392"/>
      <c r="M958" s="392"/>
      <c r="N958" s="392"/>
      <c r="O958" s="392"/>
      <c r="P958" s="392"/>
      <c r="Q958" s="392"/>
      <c r="R958" s="392"/>
      <c r="S958" s="392"/>
      <c r="T958" s="392"/>
      <c r="U958" s="392"/>
      <c r="V958" s="392"/>
      <c r="W958" s="392"/>
      <c r="X958" s="392"/>
      <c r="Y958" s="392"/>
      <c r="Z958" s="392"/>
      <c r="AA958" s="392"/>
      <c r="AB958" s="392"/>
      <c r="AC958" s="392"/>
      <c r="AD958" s="392"/>
      <c r="AE958" s="392"/>
      <c r="AF958" s="392"/>
    </row>
    <row r="959" ht="15.75" customHeight="1">
      <c r="A959" s="216"/>
      <c r="B959" s="156"/>
      <c r="C959" s="156"/>
      <c r="D959" s="156"/>
      <c r="E959" s="392"/>
      <c r="F959" s="392"/>
      <c r="G959" s="392"/>
      <c r="H959" s="392"/>
      <c r="I959" s="392"/>
      <c r="J959" s="145"/>
      <c r="K959" s="392"/>
      <c r="L959" s="392"/>
      <c r="M959" s="392"/>
      <c r="N959" s="392"/>
      <c r="O959" s="392"/>
      <c r="P959" s="392"/>
      <c r="Q959" s="392"/>
      <c r="R959" s="392"/>
      <c r="S959" s="392"/>
      <c r="T959" s="392"/>
      <c r="U959" s="392"/>
      <c r="V959" s="392"/>
      <c r="W959" s="392"/>
      <c r="X959" s="392"/>
      <c r="Y959" s="392"/>
      <c r="Z959" s="392"/>
      <c r="AA959" s="392"/>
      <c r="AB959" s="392"/>
      <c r="AC959" s="392"/>
      <c r="AD959" s="392"/>
      <c r="AE959" s="392"/>
      <c r="AF959" s="392"/>
    </row>
    <row r="960" ht="15.75" customHeight="1">
      <c r="A960" s="216"/>
      <c r="B960" s="156"/>
      <c r="C960" s="156"/>
      <c r="D960" s="156"/>
      <c r="E960" s="392"/>
      <c r="F960" s="392"/>
      <c r="G960" s="392"/>
      <c r="H960" s="392"/>
      <c r="I960" s="392"/>
      <c r="J960" s="145"/>
      <c r="K960" s="392"/>
      <c r="L960" s="392"/>
      <c r="M960" s="392"/>
      <c r="N960" s="392"/>
      <c r="O960" s="392"/>
      <c r="P960" s="392"/>
      <c r="Q960" s="392"/>
      <c r="R960" s="392"/>
      <c r="S960" s="392"/>
      <c r="T960" s="392"/>
      <c r="U960" s="392"/>
      <c r="V960" s="392"/>
      <c r="W960" s="392"/>
      <c r="X960" s="392"/>
      <c r="Y960" s="392"/>
      <c r="Z960" s="392"/>
      <c r="AA960" s="392"/>
      <c r="AB960" s="392"/>
      <c r="AC960" s="392"/>
      <c r="AD960" s="392"/>
      <c r="AE960" s="392"/>
      <c r="AF960" s="392"/>
    </row>
    <row r="961" ht="15.75" customHeight="1">
      <c r="A961" s="216"/>
      <c r="B961" s="156"/>
      <c r="C961" s="156"/>
      <c r="D961" s="156"/>
      <c r="E961" s="392"/>
      <c r="F961" s="392"/>
      <c r="G961" s="392"/>
      <c r="H961" s="392"/>
      <c r="I961" s="392"/>
      <c r="J961" s="145"/>
      <c r="K961" s="392"/>
      <c r="L961" s="392"/>
      <c r="M961" s="392"/>
      <c r="N961" s="392"/>
      <c r="O961" s="392"/>
      <c r="P961" s="392"/>
      <c r="Q961" s="392"/>
      <c r="R961" s="392"/>
      <c r="S961" s="392"/>
      <c r="T961" s="392"/>
      <c r="U961" s="392"/>
      <c r="V961" s="392"/>
      <c r="W961" s="392"/>
      <c r="X961" s="392"/>
      <c r="Y961" s="392"/>
      <c r="Z961" s="392"/>
      <c r="AA961" s="392"/>
      <c r="AB961" s="392"/>
      <c r="AC961" s="392"/>
      <c r="AD961" s="392"/>
      <c r="AE961" s="392"/>
      <c r="AF961" s="392"/>
    </row>
    <row r="962" ht="15.75" customHeight="1">
      <c r="A962" s="216"/>
      <c r="B962" s="156"/>
      <c r="C962" s="156"/>
      <c r="D962" s="156"/>
      <c r="E962" s="392"/>
      <c r="F962" s="392"/>
      <c r="G962" s="392"/>
      <c r="H962" s="392"/>
      <c r="I962" s="392"/>
      <c r="J962" s="145"/>
      <c r="K962" s="392"/>
      <c r="L962" s="392"/>
      <c r="M962" s="392"/>
      <c r="N962" s="392"/>
      <c r="O962" s="392"/>
      <c r="P962" s="392"/>
      <c r="Q962" s="392"/>
      <c r="R962" s="392"/>
      <c r="S962" s="392"/>
      <c r="T962" s="392"/>
      <c r="U962" s="392"/>
      <c r="V962" s="392"/>
      <c r="W962" s="392"/>
      <c r="X962" s="392"/>
      <c r="Y962" s="392"/>
      <c r="Z962" s="392"/>
      <c r="AA962" s="392"/>
      <c r="AB962" s="392"/>
      <c r="AC962" s="392"/>
      <c r="AD962" s="392"/>
      <c r="AE962" s="392"/>
      <c r="AF962" s="392"/>
    </row>
    <row r="963" ht="15.75" customHeight="1">
      <c r="A963" s="216"/>
      <c r="B963" s="156"/>
      <c r="C963" s="156"/>
      <c r="D963" s="156"/>
      <c r="E963" s="392"/>
      <c r="F963" s="392"/>
      <c r="G963" s="392"/>
      <c r="H963" s="392"/>
      <c r="I963" s="392"/>
      <c r="J963" s="145"/>
      <c r="K963" s="392"/>
      <c r="L963" s="392"/>
      <c r="M963" s="392"/>
      <c r="N963" s="392"/>
      <c r="O963" s="392"/>
      <c r="P963" s="392"/>
      <c r="Q963" s="392"/>
      <c r="R963" s="392"/>
      <c r="S963" s="392"/>
      <c r="T963" s="392"/>
      <c r="U963" s="392"/>
      <c r="V963" s="392"/>
      <c r="W963" s="392"/>
      <c r="X963" s="392"/>
      <c r="Y963" s="392"/>
      <c r="Z963" s="392"/>
      <c r="AA963" s="392"/>
      <c r="AB963" s="392"/>
      <c r="AC963" s="392"/>
      <c r="AD963" s="392"/>
      <c r="AE963" s="392"/>
      <c r="AF963" s="392"/>
    </row>
    <row r="964" ht="15.75" customHeight="1">
      <c r="A964" s="216"/>
      <c r="B964" s="156"/>
      <c r="C964" s="156"/>
      <c r="D964" s="156"/>
      <c r="E964" s="392"/>
      <c r="F964" s="392"/>
      <c r="G964" s="392"/>
      <c r="H964" s="392"/>
      <c r="I964" s="392"/>
      <c r="J964" s="145"/>
      <c r="K964" s="392"/>
      <c r="L964" s="392"/>
      <c r="M964" s="392"/>
      <c r="N964" s="392"/>
      <c r="O964" s="392"/>
      <c r="P964" s="392"/>
      <c r="Q964" s="392"/>
      <c r="R964" s="392"/>
      <c r="S964" s="392"/>
      <c r="T964" s="392"/>
      <c r="U964" s="392"/>
      <c r="V964" s="392"/>
      <c r="W964" s="392"/>
      <c r="X964" s="392"/>
      <c r="Y964" s="392"/>
      <c r="Z964" s="392"/>
      <c r="AA964" s="392"/>
      <c r="AB964" s="392"/>
      <c r="AC964" s="392"/>
      <c r="AD964" s="392"/>
      <c r="AE964" s="392"/>
      <c r="AF964" s="392"/>
    </row>
    <row r="965" ht="15.75" customHeight="1">
      <c r="A965" s="216"/>
      <c r="B965" s="156"/>
      <c r="C965" s="156"/>
      <c r="D965" s="156"/>
      <c r="E965" s="392"/>
      <c r="F965" s="392"/>
      <c r="G965" s="392"/>
      <c r="H965" s="392"/>
      <c r="I965" s="392"/>
      <c r="J965" s="145"/>
      <c r="K965" s="392"/>
      <c r="L965" s="392"/>
      <c r="M965" s="392"/>
      <c r="N965" s="392"/>
      <c r="O965" s="392"/>
      <c r="P965" s="392"/>
      <c r="Q965" s="392"/>
      <c r="R965" s="392"/>
      <c r="S965" s="392"/>
      <c r="T965" s="392"/>
      <c r="U965" s="392"/>
      <c r="V965" s="392"/>
      <c r="W965" s="392"/>
      <c r="X965" s="392"/>
      <c r="Y965" s="392"/>
      <c r="Z965" s="392"/>
      <c r="AA965" s="392"/>
      <c r="AB965" s="392"/>
      <c r="AC965" s="392"/>
      <c r="AD965" s="392"/>
      <c r="AE965" s="392"/>
      <c r="AF965" s="392"/>
    </row>
    <row r="966" ht="15.75" customHeight="1">
      <c r="A966" s="216"/>
      <c r="B966" s="156"/>
      <c r="C966" s="156"/>
      <c r="D966" s="156"/>
      <c r="E966" s="392"/>
      <c r="F966" s="392"/>
      <c r="G966" s="392"/>
      <c r="H966" s="392"/>
      <c r="I966" s="392"/>
      <c r="J966" s="145"/>
      <c r="K966" s="392"/>
      <c r="L966" s="392"/>
      <c r="M966" s="392"/>
      <c r="N966" s="392"/>
      <c r="O966" s="392"/>
      <c r="P966" s="392"/>
      <c r="Q966" s="392"/>
      <c r="R966" s="392"/>
      <c r="S966" s="392"/>
      <c r="T966" s="392"/>
      <c r="U966" s="392"/>
      <c r="V966" s="392"/>
      <c r="W966" s="392"/>
      <c r="X966" s="392"/>
      <c r="Y966" s="392"/>
      <c r="Z966" s="392"/>
      <c r="AA966" s="392"/>
      <c r="AB966" s="392"/>
      <c r="AC966" s="392"/>
      <c r="AD966" s="392"/>
      <c r="AE966" s="392"/>
      <c r="AF966" s="392"/>
    </row>
    <row r="967" ht="15.75" customHeight="1">
      <c r="A967" s="216"/>
      <c r="B967" s="156"/>
      <c r="C967" s="156"/>
      <c r="D967" s="156"/>
      <c r="E967" s="392"/>
      <c r="F967" s="392"/>
      <c r="G967" s="392"/>
      <c r="H967" s="392"/>
      <c r="I967" s="392"/>
      <c r="J967" s="145"/>
      <c r="K967" s="392"/>
      <c r="L967" s="392"/>
      <c r="M967" s="392"/>
      <c r="N967" s="392"/>
      <c r="O967" s="392"/>
      <c r="P967" s="392"/>
      <c r="Q967" s="392"/>
      <c r="R967" s="392"/>
      <c r="S967" s="392"/>
      <c r="T967" s="392"/>
      <c r="U967" s="392"/>
      <c r="V967" s="392"/>
      <c r="W967" s="392"/>
      <c r="X967" s="392"/>
      <c r="Y967" s="392"/>
      <c r="Z967" s="392"/>
      <c r="AA967" s="392"/>
      <c r="AB967" s="392"/>
      <c r="AC967" s="392"/>
      <c r="AD967" s="392"/>
      <c r="AE967" s="392"/>
      <c r="AF967" s="392"/>
    </row>
    <row r="968" ht="15.75" customHeight="1">
      <c r="A968" s="216"/>
      <c r="B968" s="156"/>
      <c r="C968" s="156"/>
      <c r="D968" s="156"/>
      <c r="E968" s="392"/>
      <c r="F968" s="392"/>
      <c r="G968" s="392"/>
      <c r="H968" s="392"/>
      <c r="I968" s="392"/>
      <c r="J968" s="145"/>
      <c r="K968" s="392"/>
      <c r="L968" s="392"/>
      <c r="M968" s="392"/>
      <c r="N968" s="392"/>
      <c r="O968" s="392"/>
      <c r="P968" s="392"/>
      <c r="Q968" s="392"/>
      <c r="R968" s="392"/>
      <c r="S968" s="392"/>
      <c r="T968" s="392"/>
      <c r="U968" s="392"/>
      <c r="V968" s="392"/>
      <c r="W968" s="392"/>
      <c r="X968" s="392"/>
      <c r="Y968" s="392"/>
      <c r="Z968" s="392"/>
      <c r="AA968" s="392"/>
      <c r="AB968" s="392"/>
      <c r="AC968" s="392"/>
      <c r="AD968" s="392"/>
      <c r="AE968" s="392"/>
      <c r="AF968" s="392"/>
    </row>
    <row r="969" ht="15.75" customHeight="1">
      <c r="A969" s="216"/>
      <c r="B969" s="156"/>
      <c r="C969" s="156"/>
      <c r="D969" s="156"/>
      <c r="E969" s="392"/>
      <c r="F969" s="392"/>
      <c r="G969" s="392"/>
      <c r="H969" s="392"/>
      <c r="I969" s="392"/>
      <c r="J969" s="145"/>
      <c r="K969" s="392"/>
      <c r="L969" s="392"/>
      <c r="M969" s="392"/>
      <c r="N969" s="392"/>
      <c r="O969" s="392"/>
      <c r="P969" s="392"/>
      <c r="Q969" s="392"/>
      <c r="R969" s="392"/>
      <c r="S969" s="392"/>
      <c r="T969" s="392"/>
      <c r="U969" s="392"/>
      <c r="V969" s="392"/>
      <c r="W969" s="392"/>
      <c r="X969" s="392"/>
      <c r="Y969" s="392"/>
      <c r="Z969" s="392"/>
      <c r="AA969" s="392"/>
      <c r="AB969" s="392"/>
      <c r="AC969" s="392"/>
      <c r="AD969" s="392"/>
      <c r="AE969" s="392"/>
      <c r="AF969" s="392"/>
    </row>
    <row r="970" ht="15.75" customHeight="1">
      <c r="A970" s="216"/>
      <c r="B970" s="156"/>
      <c r="C970" s="156"/>
      <c r="D970" s="156"/>
      <c r="E970" s="392"/>
      <c r="F970" s="392"/>
      <c r="G970" s="392"/>
      <c r="H970" s="392"/>
      <c r="I970" s="392"/>
      <c r="J970" s="145"/>
      <c r="K970" s="392"/>
      <c r="L970" s="392"/>
      <c r="M970" s="392"/>
      <c r="N970" s="392"/>
      <c r="O970" s="392"/>
      <c r="P970" s="392"/>
      <c r="Q970" s="392"/>
      <c r="R970" s="392"/>
      <c r="S970" s="392"/>
      <c r="T970" s="392"/>
      <c r="U970" s="392"/>
      <c r="V970" s="392"/>
      <c r="W970" s="392"/>
      <c r="X970" s="392"/>
      <c r="Y970" s="392"/>
      <c r="Z970" s="392"/>
      <c r="AA970" s="392"/>
      <c r="AB970" s="392"/>
      <c r="AC970" s="392"/>
      <c r="AD970" s="392"/>
      <c r="AE970" s="392"/>
      <c r="AF970" s="392"/>
    </row>
    <row r="971" ht="15.75" customHeight="1">
      <c r="A971" s="216"/>
      <c r="B971" s="156"/>
      <c r="C971" s="156"/>
      <c r="D971" s="156"/>
      <c r="E971" s="392"/>
      <c r="F971" s="392"/>
      <c r="G971" s="392"/>
      <c r="H971" s="392"/>
      <c r="I971" s="392"/>
      <c r="J971" s="145"/>
      <c r="K971" s="392"/>
      <c r="L971" s="392"/>
      <c r="M971" s="392"/>
      <c r="N971" s="392"/>
      <c r="O971" s="392"/>
      <c r="P971" s="392"/>
      <c r="Q971" s="392"/>
      <c r="R971" s="392"/>
      <c r="S971" s="392"/>
      <c r="T971" s="392"/>
      <c r="U971" s="392"/>
      <c r="V971" s="392"/>
      <c r="W971" s="392"/>
      <c r="X971" s="392"/>
      <c r="Y971" s="392"/>
      <c r="Z971" s="392"/>
      <c r="AA971" s="392"/>
      <c r="AB971" s="392"/>
      <c r="AC971" s="392"/>
      <c r="AD971" s="392"/>
      <c r="AE971" s="392"/>
      <c r="AF971" s="392"/>
    </row>
    <row r="972" ht="15.75" customHeight="1">
      <c r="A972" s="216"/>
      <c r="B972" s="156"/>
      <c r="C972" s="156"/>
      <c r="D972" s="156"/>
      <c r="E972" s="392"/>
      <c r="F972" s="392"/>
      <c r="G972" s="392"/>
      <c r="H972" s="392"/>
      <c r="I972" s="392"/>
      <c r="J972" s="145"/>
      <c r="K972" s="392"/>
      <c r="L972" s="392"/>
      <c r="M972" s="392"/>
      <c r="N972" s="392"/>
      <c r="O972" s="392"/>
      <c r="P972" s="392"/>
      <c r="Q972" s="392"/>
      <c r="R972" s="392"/>
      <c r="S972" s="392"/>
      <c r="T972" s="392"/>
      <c r="U972" s="392"/>
      <c r="V972" s="392"/>
      <c r="W972" s="392"/>
      <c r="X972" s="392"/>
      <c r="Y972" s="392"/>
      <c r="Z972" s="392"/>
      <c r="AA972" s="392"/>
      <c r="AB972" s="392"/>
      <c r="AC972" s="392"/>
      <c r="AD972" s="392"/>
      <c r="AE972" s="392"/>
      <c r="AF972" s="392"/>
    </row>
    <row r="973" ht="15.75" customHeight="1">
      <c r="A973" s="216"/>
      <c r="B973" s="156"/>
      <c r="C973" s="156"/>
      <c r="D973" s="156"/>
      <c r="E973" s="392"/>
      <c r="F973" s="392"/>
      <c r="G973" s="392"/>
      <c r="H973" s="392"/>
      <c r="I973" s="392"/>
      <c r="J973" s="145"/>
      <c r="K973" s="392"/>
      <c r="L973" s="392"/>
      <c r="M973" s="392"/>
      <c r="N973" s="392"/>
      <c r="O973" s="392"/>
      <c r="P973" s="392"/>
      <c r="Q973" s="392"/>
      <c r="R973" s="392"/>
      <c r="S973" s="392"/>
      <c r="T973" s="392"/>
      <c r="U973" s="392"/>
      <c r="V973" s="392"/>
      <c r="W973" s="392"/>
      <c r="X973" s="392"/>
      <c r="Y973" s="392"/>
      <c r="Z973" s="392"/>
      <c r="AA973" s="392"/>
      <c r="AB973" s="392"/>
      <c r="AC973" s="392"/>
      <c r="AD973" s="392"/>
      <c r="AE973" s="392"/>
      <c r="AF973" s="392"/>
    </row>
    <row r="974" ht="15.75" customHeight="1">
      <c r="A974" s="216"/>
      <c r="B974" s="156"/>
      <c r="C974" s="156"/>
      <c r="D974" s="156"/>
      <c r="E974" s="392"/>
      <c r="F974" s="392"/>
      <c r="G974" s="392"/>
      <c r="H974" s="392"/>
      <c r="I974" s="392"/>
      <c r="J974" s="145"/>
      <c r="K974" s="392"/>
      <c r="L974" s="392"/>
      <c r="M974" s="392"/>
      <c r="N974" s="392"/>
      <c r="O974" s="392"/>
      <c r="P974" s="392"/>
      <c r="Q974" s="392"/>
      <c r="R974" s="392"/>
      <c r="S974" s="392"/>
      <c r="T974" s="392"/>
      <c r="U974" s="392"/>
      <c r="V974" s="392"/>
      <c r="W974" s="392"/>
      <c r="X974" s="392"/>
      <c r="Y974" s="392"/>
      <c r="Z974" s="392"/>
      <c r="AA974" s="392"/>
      <c r="AB974" s="392"/>
      <c r="AC974" s="392"/>
      <c r="AD974" s="392"/>
      <c r="AE974" s="392"/>
      <c r="AF974" s="392"/>
    </row>
    <row r="975" ht="15.75" customHeight="1">
      <c r="A975" s="216"/>
      <c r="B975" s="156"/>
      <c r="C975" s="156"/>
      <c r="D975" s="156"/>
      <c r="E975" s="392"/>
      <c r="F975" s="392"/>
      <c r="G975" s="392"/>
      <c r="H975" s="392"/>
      <c r="I975" s="392"/>
      <c r="J975" s="145"/>
      <c r="K975" s="392"/>
      <c r="L975" s="392"/>
      <c r="M975" s="392"/>
      <c r="N975" s="392"/>
      <c r="O975" s="392"/>
      <c r="P975" s="392"/>
      <c r="Q975" s="392"/>
      <c r="R975" s="392"/>
      <c r="S975" s="392"/>
      <c r="T975" s="392"/>
      <c r="U975" s="392"/>
      <c r="V975" s="392"/>
      <c r="W975" s="392"/>
      <c r="X975" s="392"/>
      <c r="Y975" s="392"/>
      <c r="Z975" s="392"/>
      <c r="AA975" s="392"/>
      <c r="AB975" s="392"/>
      <c r="AC975" s="392"/>
      <c r="AD975" s="392"/>
      <c r="AE975" s="392"/>
      <c r="AF975" s="392"/>
    </row>
    <row r="976" ht="15.75" customHeight="1">
      <c r="A976" s="216"/>
      <c r="B976" s="156"/>
      <c r="C976" s="156"/>
      <c r="D976" s="156"/>
      <c r="E976" s="392"/>
      <c r="F976" s="392"/>
      <c r="G976" s="392"/>
      <c r="H976" s="392"/>
      <c r="I976" s="392"/>
      <c r="J976" s="145"/>
      <c r="K976" s="392"/>
      <c r="L976" s="392"/>
      <c r="M976" s="392"/>
      <c r="N976" s="392"/>
      <c r="O976" s="392"/>
      <c r="P976" s="392"/>
      <c r="Q976" s="392"/>
      <c r="R976" s="392"/>
      <c r="S976" s="392"/>
      <c r="T976" s="392"/>
      <c r="U976" s="392"/>
      <c r="V976" s="392"/>
      <c r="W976" s="392"/>
      <c r="X976" s="392"/>
      <c r="Y976" s="392"/>
      <c r="Z976" s="392"/>
      <c r="AA976" s="392"/>
      <c r="AB976" s="392"/>
      <c r="AC976" s="392"/>
      <c r="AD976" s="392"/>
      <c r="AE976" s="392"/>
      <c r="AF976" s="392"/>
    </row>
    <row r="977" ht="15.75" customHeight="1">
      <c r="A977" s="216"/>
      <c r="B977" s="156"/>
      <c r="C977" s="156"/>
      <c r="D977" s="156"/>
      <c r="E977" s="392"/>
      <c r="F977" s="392"/>
      <c r="G977" s="392"/>
      <c r="H977" s="392"/>
      <c r="I977" s="392"/>
      <c r="J977" s="145"/>
      <c r="K977" s="392"/>
      <c r="L977" s="392"/>
      <c r="M977" s="392"/>
      <c r="N977" s="392"/>
      <c r="O977" s="392"/>
      <c r="P977" s="392"/>
      <c r="Q977" s="392"/>
      <c r="R977" s="392"/>
      <c r="S977" s="392"/>
      <c r="T977" s="392"/>
      <c r="U977" s="392"/>
      <c r="V977" s="392"/>
      <c r="W977" s="392"/>
      <c r="X977" s="392"/>
      <c r="Y977" s="392"/>
      <c r="Z977" s="392"/>
      <c r="AA977" s="392"/>
      <c r="AB977" s="392"/>
      <c r="AC977" s="392"/>
      <c r="AD977" s="392"/>
      <c r="AE977" s="392"/>
      <c r="AF977" s="392"/>
    </row>
    <row r="978" ht="15.75" customHeight="1">
      <c r="A978" s="216"/>
      <c r="B978" s="156"/>
      <c r="C978" s="156"/>
      <c r="D978" s="156"/>
      <c r="E978" s="392"/>
      <c r="F978" s="392"/>
      <c r="G978" s="392"/>
      <c r="H978" s="392"/>
      <c r="I978" s="392"/>
      <c r="J978" s="145"/>
      <c r="K978" s="392"/>
      <c r="L978" s="392"/>
      <c r="M978" s="392"/>
      <c r="N978" s="392"/>
      <c r="O978" s="392"/>
      <c r="P978" s="392"/>
      <c r="Q978" s="392"/>
      <c r="R978" s="392"/>
      <c r="S978" s="392"/>
      <c r="T978" s="392"/>
      <c r="U978" s="392"/>
      <c r="V978" s="392"/>
      <c r="W978" s="392"/>
      <c r="X978" s="392"/>
      <c r="Y978" s="392"/>
      <c r="Z978" s="392"/>
      <c r="AA978" s="392"/>
      <c r="AB978" s="392"/>
      <c r="AC978" s="392"/>
      <c r="AD978" s="392"/>
      <c r="AE978" s="392"/>
      <c r="AF978" s="392"/>
    </row>
    <row r="979" ht="15.75" customHeight="1">
      <c r="A979" s="216"/>
      <c r="B979" s="156"/>
      <c r="C979" s="156"/>
      <c r="D979" s="156"/>
      <c r="E979" s="392"/>
      <c r="F979" s="392"/>
      <c r="G979" s="392"/>
      <c r="H979" s="392"/>
      <c r="I979" s="392"/>
      <c r="J979" s="145"/>
      <c r="K979" s="392"/>
      <c r="L979" s="392"/>
      <c r="M979" s="392"/>
      <c r="N979" s="392"/>
      <c r="O979" s="392"/>
      <c r="P979" s="392"/>
      <c r="Q979" s="392"/>
      <c r="R979" s="392"/>
      <c r="S979" s="392"/>
      <c r="T979" s="392"/>
      <c r="U979" s="392"/>
      <c r="V979" s="392"/>
      <c r="W979" s="392"/>
      <c r="X979" s="392"/>
      <c r="Y979" s="392"/>
      <c r="Z979" s="392"/>
      <c r="AA979" s="392"/>
      <c r="AB979" s="392"/>
      <c r="AC979" s="392"/>
      <c r="AD979" s="392"/>
      <c r="AE979" s="392"/>
      <c r="AF979" s="392"/>
    </row>
    <row r="980" ht="15.75" customHeight="1">
      <c r="A980" s="216"/>
      <c r="B980" s="156"/>
      <c r="C980" s="156"/>
      <c r="D980" s="156"/>
      <c r="E980" s="392"/>
      <c r="F980" s="392"/>
      <c r="G980" s="392"/>
      <c r="H980" s="392"/>
      <c r="I980" s="392"/>
      <c r="J980" s="145"/>
      <c r="K980" s="392"/>
      <c r="L980" s="392"/>
      <c r="M980" s="392"/>
      <c r="N980" s="392"/>
      <c r="O980" s="392"/>
      <c r="P980" s="392"/>
      <c r="Q980" s="392"/>
      <c r="R980" s="392"/>
      <c r="S980" s="392"/>
      <c r="T980" s="392"/>
      <c r="U980" s="392"/>
      <c r="V980" s="392"/>
      <c r="W980" s="392"/>
      <c r="X980" s="392"/>
      <c r="Y980" s="392"/>
      <c r="Z980" s="392"/>
      <c r="AA980" s="392"/>
      <c r="AB980" s="392"/>
      <c r="AC980" s="392"/>
      <c r="AD980" s="392"/>
      <c r="AE980" s="392"/>
      <c r="AF980" s="392"/>
    </row>
    <row r="981" ht="15.75" customHeight="1">
      <c r="A981" s="216"/>
      <c r="B981" s="156"/>
      <c r="C981" s="156"/>
      <c r="D981" s="156"/>
      <c r="E981" s="392"/>
      <c r="F981" s="392"/>
      <c r="G981" s="392"/>
      <c r="H981" s="392"/>
      <c r="I981" s="392"/>
      <c r="J981" s="145"/>
      <c r="K981" s="392"/>
      <c r="L981" s="392"/>
      <c r="M981" s="392"/>
      <c r="N981" s="392"/>
      <c r="O981" s="392"/>
      <c r="P981" s="392"/>
      <c r="Q981" s="392"/>
      <c r="R981" s="392"/>
      <c r="S981" s="392"/>
      <c r="T981" s="392"/>
      <c r="U981" s="392"/>
      <c r="V981" s="392"/>
      <c r="W981" s="392"/>
      <c r="X981" s="392"/>
      <c r="Y981" s="392"/>
      <c r="Z981" s="392"/>
      <c r="AA981" s="392"/>
      <c r="AB981" s="392"/>
      <c r="AC981" s="392"/>
      <c r="AD981" s="392"/>
      <c r="AE981" s="392"/>
      <c r="AF981" s="392"/>
    </row>
    <row r="982" ht="15.75" customHeight="1">
      <c r="A982" s="216"/>
      <c r="B982" s="156"/>
      <c r="C982" s="156"/>
      <c r="D982" s="156"/>
      <c r="E982" s="392"/>
      <c r="F982" s="392"/>
      <c r="G982" s="392"/>
      <c r="H982" s="392"/>
      <c r="I982" s="392"/>
      <c r="J982" s="145"/>
      <c r="K982" s="392"/>
      <c r="L982" s="392"/>
      <c r="M982" s="392"/>
      <c r="N982" s="392"/>
      <c r="O982" s="392"/>
      <c r="P982" s="392"/>
      <c r="Q982" s="392"/>
      <c r="R982" s="392"/>
      <c r="S982" s="392"/>
      <c r="T982" s="392"/>
      <c r="U982" s="392"/>
      <c r="V982" s="392"/>
      <c r="W982" s="392"/>
      <c r="X982" s="392"/>
      <c r="Y982" s="392"/>
      <c r="Z982" s="392"/>
      <c r="AA982" s="392"/>
      <c r="AB982" s="392"/>
      <c r="AC982" s="392"/>
      <c r="AD982" s="392"/>
      <c r="AE982" s="392"/>
      <c r="AF982" s="392"/>
    </row>
    <row r="983" ht="15.75" customHeight="1">
      <c r="A983" s="216"/>
      <c r="B983" s="156"/>
      <c r="C983" s="156"/>
      <c r="D983" s="156"/>
      <c r="E983" s="392"/>
      <c r="F983" s="392"/>
      <c r="G983" s="392"/>
      <c r="H983" s="392"/>
      <c r="I983" s="392"/>
      <c r="J983" s="145"/>
      <c r="K983" s="392"/>
      <c r="L983" s="392"/>
      <c r="M983" s="392"/>
      <c r="N983" s="392"/>
      <c r="O983" s="392"/>
      <c r="P983" s="392"/>
      <c r="Q983" s="392"/>
      <c r="R983" s="392"/>
      <c r="S983" s="392"/>
      <c r="T983" s="392"/>
      <c r="U983" s="392"/>
      <c r="V983" s="392"/>
      <c r="W983" s="392"/>
      <c r="X983" s="392"/>
      <c r="Y983" s="392"/>
      <c r="Z983" s="392"/>
      <c r="AA983" s="392"/>
      <c r="AB983" s="392"/>
      <c r="AC983" s="392"/>
      <c r="AD983" s="392"/>
      <c r="AE983" s="392"/>
      <c r="AF983" s="392"/>
    </row>
    <row r="984" ht="15.75" customHeight="1">
      <c r="A984" s="216"/>
      <c r="B984" s="156"/>
      <c r="C984" s="156"/>
      <c r="D984" s="156"/>
      <c r="E984" s="392"/>
      <c r="F984" s="392"/>
      <c r="G984" s="392"/>
      <c r="H984" s="392"/>
      <c r="I984" s="392"/>
      <c r="J984" s="145"/>
      <c r="K984" s="392"/>
      <c r="L984" s="392"/>
      <c r="M984" s="392"/>
      <c r="N984" s="392"/>
      <c r="O984" s="392"/>
      <c r="P984" s="392"/>
      <c r="Q984" s="392"/>
      <c r="R984" s="392"/>
      <c r="S984" s="392"/>
      <c r="T984" s="392"/>
      <c r="U984" s="392"/>
      <c r="V984" s="392"/>
      <c r="W984" s="392"/>
      <c r="X984" s="392"/>
      <c r="Y984" s="392"/>
      <c r="Z984" s="392"/>
      <c r="AA984" s="392"/>
      <c r="AB984" s="392"/>
      <c r="AC984" s="392"/>
      <c r="AD984" s="392"/>
      <c r="AE984" s="392"/>
      <c r="AF984" s="392"/>
    </row>
    <row r="985" ht="15.75" customHeight="1">
      <c r="A985" s="216"/>
      <c r="B985" s="156"/>
      <c r="C985" s="156"/>
      <c r="D985" s="156"/>
      <c r="E985" s="392"/>
      <c r="F985" s="392"/>
      <c r="G985" s="392"/>
      <c r="H985" s="392"/>
      <c r="I985" s="392"/>
      <c r="J985" s="145"/>
      <c r="K985" s="392"/>
      <c r="L985" s="392"/>
      <c r="M985" s="392"/>
      <c r="N985" s="392"/>
      <c r="O985" s="392"/>
      <c r="P985" s="392"/>
      <c r="Q985" s="392"/>
      <c r="R985" s="392"/>
      <c r="S985" s="392"/>
      <c r="T985" s="392"/>
      <c r="U985" s="392"/>
      <c r="V985" s="392"/>
      <c r="W985" s="392"/>
      <c r="X985" s="392"/>
      <c r="Y985" s="392"/>
      <c r="Z985" s="392"/>
      <c r="AA985" s="392"/>
      <c r="AB985" s="392"/>
      <c r="AC985" s="392"/>
      <c r="AD985" s="392"/>
      <c r="AE985" s="392"/>
      <c r="AF985" s="392"/>
    </row>
    <row r="986" ht="15.75" customHeight="1">
      <c r="A986" s="216"/>
      <c r="B986" s="156"/>
      <c r="C986" s="156"/>
      <c r="D986" s="156"/>
      <c r="E986" s="392"/>
      <c r="F986" s="392"/>
      <c r="G986" s="392"/>
      <c r="H986" s="392"/>
      <c r="I986" s="392"/>
      <c r="J986" s="145"/>
      <c r="K986" s="392"/>
      <c r="L986" s="392"/>
      <c r="M986" s="392"/>
      <c r="N986" s="392"/>
      <c r="O986" s="392"/>
      <c r="P986" s="392"/>
      <c r="Q986" s="392"/>
      <c r="R986" s="392"/>
      <c r="S986" s="392"/>
      <c r="T986" s="392"/>
      <c r="U986" s="392"/>
      <c r="V986" s="392"/>
      <c r="W986" s="392"/>
      <c r="X986" s="392"/>
      <c r="Y986" s="392"/>
      <c r="Z986" s="392"/>
      <c r="AA986" s="392"/>
      <c r="AB986" s="392"/>
      <c r="AC986" s="392"/>
      <c r="AD986" s="392"/>
      <c r="AE986" s="392"/>
      <c r="AF986" s="392"/>
    </row>
    <row r="987" ht="15.75" customHeight="1">
      <c r="A987" s="216"/>
      <c r="B987" s="156"/>
      <c r="C987" s="156"/>
      <c r="D987" s="156"/>
      <c r="E987" s="392"/>
      <c r="F987" s="392"/>
      <c r="G987" s="392"/>
      <c r="H987" s="392"/>
      <c r="I987" s="392"/>
      <c r="J987" s="145"/>
      <c r="K987" s="392"/>
      <c r="L987" s="392"/>
      <c r="M987" s="392"/>
      <c r="N987" s="392"/>
      <c r="O987" s="392"/>
      <c r="P987" s="392"/>
      <c r="Q987" s="392"/>
      <c r="R987" s="392"/>
      <c r="S987" s="392"/>
      <c r="T987" s="392"/>
      <c r="U987" s="392"/>
      <c r="V987" s="392"/>
      <c r="W987" s="392"/>
      <c r="X987" s="392"/>
      <c r="Y987" s="392"/>
      <c r="Z987" s="392"/>
      <c r="AA987" s="392"/>
      <c r="AB987" s="392"/>
      <c r="AC987" s="392"/>
      <c r="AD987" s="392"/>
      <c r="AE987" s="392"/>
      <c r="AF987" s="392"/>
    </row>
    <row r="988" ht="15.75" customHeight="1">
      <c r="A988" s="216"/>
      <c r="B988" s="156"/>
      <c r="C988" s="156"/>
      <c r="D988" s="156"/>
      <c r="E988" s="392"/>
      <c r="F988" s="392"/>
      <c r="G988" s="392"/>
      <c r="H988" s="392"/>
      <c r="I988" s="392"/>
      <c r="J988" s="145"/>
      <c r="K988" s="392"/>
      <c r="L988" s="392"/>
      <c r="M988" s="392"/>
      <c r="N988" s="392"/>
      <c r="O988" s="392"/>
      <c r="P988" s="392"/>
      <c r="Q988" s="392"/>
      <c r="R988" s="392"/>
      <c r="S988" s="392"/>
      <c r="T988" s="392"/>
      <c r="U988" s="392"/>
      <c r="V988" s="392"/>
      <c r="W988" s="392"/>
      <c r="X988" s="392"/>
      <c r="Y988" s="392"/>
      <c r="Z988" s="392"/>
      <c r="AA988" s="392"/>
      <c r="AB988" s="392"/>
      <c r="AC988" s="392"/>
      <c r="AD988" s="392"/>
      <c r="AE988" s="392"/>
      <c r="AF988" s="392"/>
    </row>
    <row r="989" ht="15.75" customHeight="1">
      <c r="A989" s="216"/>
      <c r="B989" s="156"/>
      <c r="C989" s="156"/>
      <c r="D989" s="156"/>
      <c r="E989" s="392"/>
      <c r="F989" s="392"/>
      <c r="G989" s="392"/>
      <c r="H989" s="392"/>
      <c r="I989" s="392"/>
      <c r="J989" s="145"/>
      <c r="K989" s="392"/>
      <c r="L989" s="392"/>
      <c r="M989" s="392"/>
      <c r="N989" s="392"/>
      <c r="O989" s="392"/>
      <c r="P989" s="392"/>
      <c r="Q989" s="392"/>
      <c r="R989" s="392"/>
      <c r="S989" s="392"/>
      <c r="T989" s="392"/>
      <c r="U989" s="392"/>
      <c r="V989" s="392"/>
      <c r="W989" s="392"/>
      <c r="X989" s="392"/>
      <c r="Y989" s="392"/>
      <c r="Z989" s="392"/>
      <c r="AA989" s="392"/>
      <c r="AB989" s="392"/>
      <c r="AC989" s="392"/>
      <c r="AD989" s="392"/>
      <c r="AE989" s="392"/>
      <c r="AF989" s="392"/>
    </row>
    <row r="990" ht="15.75" customHeight="1">
      <c r="A990" s="216"/>
      <c r="B990" s="156"/>
      <c r="C990" s="156"/>
      <c r="D990" s="156"/>
      <c r="E990" s="392"/>
      <c r="F990" s="392"/>
      <c r="G990" s="392"/>
      <c r="H990" s="392"/>
      <c r="I990" s="392"/>
      <c r="J990" s="145"/>
      <c r="K990" s="392"/>
      <c r="L990" s="392"/>
      <c r="M990" s="392"/>
      <c r="N990" s="392"/>
      <c r="O990" s="392"/>
      <c r="P990" s="392"/>
      <c r="Q990" s="392"/>
      <c r="R990" s="392"/>
      <c r="S990" s="392"/>
      <c r="T990" s="392"/>
      <c r="U990" s="392"/>
      <c r="V990" s="392"/>
      <c r="W990" s="392"/>
      <c r="X990" s="392"/>
      <c r="Y990" s="392"/>
      <c r="Z990" s="392"/>
      <c r="AA990" s="392"/>
      <c r="AB990" s="392"/>
      <c r="AC990" s="392"/>
      <c r="AD990" s="392"/>
      <c r="AE990" s="392"/>
      <c r="AF990" s="392"/>
    </row>
    <row r="991" ht="15.75" customHeight="1">
      <c r="A991" s="216"/>
      <c r="B991" s="156"/>
      <c r="C991" s="156"/>
      <c r="D991" s="156"/>
      <c r="E991" s="392"/>
      <c r="F991" s="392"/>
      <c r="G991" s="392"/>
      <c r="H991" s="392"/>
      <c r="I991" s="392"/>
      <c r="J991" s="145"/>
      <c r="K991" s="392"/>
      <c r="L991" s="392"/>
      <c r="M991" s="392"/>
      <c r="N991" s="392"/>
      <c r="O991" s="392"/>
      <c r="P991" s="392"/>
      <c r="Q991" s="392"/>
      <c r="R991" s="392"/>
      <c r="S991" s="392"/>
      <c r="T991" s="392"/>
      <c r="U991" s="392"/>
      <c r="V991" s="392"/>
      <c r="W991" s="392"/>
      <c r="X991" s="392"/>
      <c r="Y991" s="392"/>
      <c r="Z991" s="392"/>
      <c r="AA991" s="392"/>
      <c r="AB991" s="392"/>
      <c r="AC991" s="392"/>
      <c r="AD991" s="392"/>
      <c r="AE991" s="392"/>
      <c r="AF991" s="392"/>
    </row>
    <row r="992" ht="15.75" customHeight="1">
      <c r="A992" s="216"/>
      <c r="B992" s="156"/>
      <c r="C992" s="156"/>
      <c r="D992" s="156"/>
      <c r="E992" s="392"/>
      <c r="F992" s="392"/>
      <c r="G992" s="392"/>
      <c r="H992" s="392"/>
      <c r="I992" s="392"/>
      <c r="J992" s="145"/>
      <c r="K992" s="392"/>
      <c r="L992" s="392"/>
      <c r="M992" s="392"/>
      <c r="N992" s="392"/>
      <c r="O992" s="392"/>
      <c r="P992" s="392"/>
      <c r="Q992" s="392"/>
      <c r="R992" s="392"/>
      <c r="S992" s="392"/>
      <c r="T992" s="392"/>
      <c r="U992" s="392"/>
      <c r="V992" s="392"/>
      <c r="W992" s="392"/>
      <c r="X992" s="392"/>
      <c r="Y992" s="392"/>
      <c r="Z992" s="392"/>
      <c r="AA992" s="392"/>
      <c r="AB992" s="392"/>
      <c r="AC992" s="392"/>
      <c r="AD992" s="392"/>
      <c r="AE992" s="392"/>
      <c r="AF992" s="392"/>
    </row>
    <row r="993" ht="15.75" customHeight="1">
      <c r="A993" s="216"/>
      <c r="B993" s="156"/>
      <c r="C993" s="156"/>
      <c r="D993" s="156"/>
      <c r="E993" s="392"/>
      <c r="F993" s="392"/>
      <c r="G993" s="392"/>
      <c r="H993" s="392"/>
      <c r="I993" s="392"/>
      <c r="J993" s="145"/>
      <c r="K993" s="392"/>
      <c r="L993" s="392"/>
      <c r="M993" s="392"/>
      <c r="N993" s="392"/>
      <c r="O993" s="392"/>
      <c r="P993" s="392"/>
      <c r="Q993" s="392"/>
      <c r="R993" s="392"/>
      <c r="S993" s="392"/>
      <c r="T993" s="392"/>
      <c r="U993" s="392"/>
      <c r="V993" s="392"/>
      <c r="W993" s="392"/>
      <c r="X993" s="392"/>
      <c r="Y993" s="392"/>
      <c r="Z993" s="392"/>
      <c r="AA993" s="392"/>
      <c r="AB993" s="392"/>
      <c r="AC993" s="392"/>
      <c r="AD993" s="392"/>
      <c r="AE993" s="392"/>
      <c r="AF993" s="392"/>
    </row>
    <row r="994" ht="15.75" customHeight="1">
      <c r="A994" s="216"/>
      <c r="B994" s="156"/>
      <c r="C994" s="156"/>
      <c r="D994" s="156"/>
      <c r="E994" s="392"/>
      <c r="F994" s="392"/>
      <c r="G994" s="392"/>
      <c r="H994" s="392"/>
      <c r="I994" s="392"/>
      <c r="J994" s="145"/>
      <c r="K994" s="392"/>
      <c r="L994" s="392"/>
      <c r="M994" s="392"/>
      <c r="N994" s="392"/>
      <c r="O994" s="392"/>
      <c r="P994" s="392"/>
      <c r="Q994" s="392"/>
      <c r="R994" s="392"/>
      <c r="S994" s="392"/>
      <c r="T994" s="392"/>
      <c r="U994" s="392"/>
      <c r="V994" s="392"/>
      <c r="W994" s="392"/>
      <c r="X994" s="392"/>
      <c r="Y994" s="392"/>
      <c r="Z994" s="392"/>
      <c r="AA994" s="392"/>
      <c r="AB994" s="392"/>
      <c r="AC994" s="392"/>
      <c r="AD994" s="392"/>
      <c r="AE994" s="392"/>
      <c r="AF994" s="392"/>
    </row>
    <row r="995" ht="15.75" customHeight="1">
      <c r="A995" s="216"/>
      <c r="B995" s="156"/>
      <c r="C995" s="156"/>
      <c r="D995" s="156"/>
      <c r="E995" s="392"/>
      <c r="F995" s="392"/>
      <c r="G995" s="392"/>
      <c r="H995" s="392"/>
      <c r="I995" s="392"/>
      <c r="J995" s="145"/>
      <c r="K995" s="392"/>
      <c r="L995" s="392"/>
      <c r="M995" s="392"/>
      <c r="N995" s="392"/>
      <c r="O995" s="392"/>
      <c r="P995" s="392"/>
      <c r="Q995" s="392"/>
      <c r="R995" s="392"/>
      <c r="S995" s="392"/>
      <c r="T995" s="392"/>
      <c r="U995" s="392"/>
      <c r="V995" s="392"/>
      <c r="W995" s="392"/>
      <c r="X995" s="392"/>
      <c r="Y995" s="392"/>
      <c r="Z995" s="392"/>
      <c r="AA995" s="392"/>
      <c r="AB995" s="392"/>
      <c r="AC995" s="392"/>
      <c r="AD995" s="392"/>
      <c r="AE995" s="392"/>
      <c r="AF995" s="392"/>
    </row>
    <row r="996" ht="15.75" customHeight="1">
      <c r="A996" s="216"/>
      <c r="B996" s="156"/>
      <c r="C996" s="156"/>
      <c r="D996" s="156"/>
      <c r="E996" s="392"/>
      <c r="F996" s="392"/>
      <c r="G996" s="392"/>
      <c r="H996" s="392"/>
      <c r="I996" s="392"/>
      <c r="J996" s="145"/>
      <c r="K996" s="392"/>
      <c r="L996" s="392"/>
      <c r="M996" s="392"/>
      <c r="N996" s="392"/>
      <c r="O996" s="392"/>
      <c r="P996" s="392"/>
      <c r="Q996" s="392"/>
      <c r="R996" s="392"/>
      <c r="S996" s="392"/>
      <c r="T996" s="392"/>
      <c r="U996" s="392"/>
      <c r="V996" s="392"/>
      <c r="W996" s="392"/>
      <c r="X996" s="392"/>
      <c r="Y996" s="392"/>
      <c r="Z996" s="392"/>
      <c r="AA996" s="392"/>
      <c r="AB996" s="392"/>
      <c r="AC996" s="392"/>
      <c r="AD996" s="392"/>
      <c r="AE996" s="392"/>
      <c r="AF996" s="392"/>
    </row>
    <row r="997" ht="15.75" customHeight="1">
      <c r="A997" s="216"/>
      <c r="B997" s="156"/>
      <c r="C997" s="156"/>
      <c r="D997" s="156"/>
      <c r="E997" s="392"/>
      <c r="F997" s="392"/>
      <c r="G997" s="392"/>
      <c r="H997" s="392"/>
      <c r="I997" s="392"/>
      <c r="J997" s="145"/>
      <c r="K997" s="392"/>
      <c r="L997" s="392"/>
      <c r="M997" s="392"/>
      <c r="N997" s="392"/>
      <c r="O997" s="392"/>
      <c r="P997" s="392"/>
      <c r="Q997" s="392"/>
      <c r="R997" s="392"/>
      <c r="S997" s="392"/>
      <c r="T997" s="392"/>
      <c r="U997" s="392"/>
      <c r="V997" s="392"/>
      <c r="W997" s="392"/>
      <c r="X997" s="392"/>
      <c r="Y997" s="392"/>
      <c r="Z997" s="392"/>
      <c r="AA997" s="392"/>
      <c r="AB997" s="392"/>
      <c r="AC997" s="392"/>
      <c r="AD997" s="392"/>
      <c r="AE997" s="392"/>
      <c r="AF997" s="392"/>
    </row>
    <row r="998" ht="15.75" customHeight="1">
      <c r="A998" s="216"/>
      <c r="B998" s="156"/>
      <c r="C998" s="156"/>
      <c r="D998" s="156"/>
      <c r="E998" s="392"/>
      <c r="F998" s="392"/>
      <c r="G998" s="392"/>
      <c r="H998" s="392"/>
      <c r="I998" s="392"/>
      <c r="J998" s="145"/>
      <c r="K998" s="392"/>
      <c r="L998" s="392"/>
      <c r="M998" s="392"/>
      <c r="N998" s="392"/>
      <c r="O998" s="392"/>
      <c r="P998" s="392"/>
      <c r="Q998" s="392"/>
      <c r="R998" s="392"/>
      <c r="S998" s="392"/>
      <c r="T998" s="392"/>
      <c r="U998" s="392"/>
      <c r="V998" s="392"/>
      <c r="W998" s="392"/>
      <c r="X998" s="392"/>
      <c r="Y998" s="392"/>
      <c r="Z998" s="392"/>
      <c r="AA998" s="392"/>
      <c r="AB998" s="392"/>
      <c r="AC998" s="392"/>
      <c r="AD998" s="392"/>
      <c r="AE998" s="392"/>
      <c r="AF998" s="392"/>
    </row>
    <row r="999" ht="15.75" customHeight="1">
      <c r="A999" s="216"/>
      <c r="B999" s="156"/>
      <c r="C999" s="156"/>
      <c r="D999" s="156"/>
      <c r="E999" s="392"/>
      <c r="F999" s="392"/>
      <c r="G999" s="392"/>
      <c r="H999" s="392"/>
      <c r="I999" s="392"/>
      <c r="J999" s="145"/>
      <c r="K999" s="392"/>
      <c r="L999" s="392"/>
      <c r="M999" s="392"/>
      <c r="N999" s="392"/>
      <c r="O999" s="392"/>
      <c r="P999" s="392"/>
      <c r="Q999" s="392"/>
      <c r="R999" s="392"/>
      <c r="S999" s="392"/>
      <c r="T999" s="392"/>
      <c r="U999" s="392"/>
      <c r="V999" s="392"/>
      <c r="W999" s="392"/>
      <c r="X999" s="392"/>
      <c r="Y999" s="392"/>
      <c r="Z999" s="392"/>
      <c r="AA999" s="392"/>
      <c r="AB999" s="392"/>
      <c r="AC999" s="392"/>
      <c r="AD999" s="392"/>
      <c r="AE999" s="392"/>
      <c r="AF999" s="392"/>
    </row>
    <row r="1000" ht="15.75" customHeight="1">
      <c r="A1000" s="216"/>
      <c r="B1000" s="156"/>
      <c r="C1000" s="156"/>
      <c r="D1000" s="156"/>
      <c r="E1000" s="392"/>
      <c r="F1000" s="392"/>
      <c r="G1000" s="392"/>
      <c r="H1000" s="392"/>
      <c r="I1000" s="392"/>
      <c r="J1000" s="145"/>
      <c r="K1000" s="392"/>
      <c r="L1000" s="392"/>
      <c r="M1000" s="392"/>
      <c r="N1000" s="392"/>
      <c r="O1000" s="392"/>
      <c r="P1000" s="392"/>
      <c r="Q1000" s="392"/>
      <c r="R1000" s="392"/>
      <c r="S1000" s="392"/>
      <c r="T1000" s="392"/>
      <c r="U1000" s="392"/>
      <c r="V1000" s="392"/>
      <c r="W1000" s="392"/>
      <c r="X1000" s="392"/>
      <c r="Y1000" s="392"/>
      <c r="Z1000" s="392"/>
      <c r="AA1000" s="392"/>
      <c r="AB1000" s="392"/>
      <c r="AC1000" s="392"/>
      <c r="AD1000" s="392"/>
      <c r="AE1000" s="392"/>
      <c r="AF1000" s="392"/>
    </row>
    <row r="1001" ht="15.75" customHeight="1">
      <c r="A1001" s="216"/>
      <c r="B1001" s="156"/>
      <c r="C1001" s="156"/>
      <c r="D1001" s="156"/>
      <c r="E1001" s="392"/>
      <c r="F1001" s="392"/>
      <c r="G1001" s="392"/>
      <c r="H1001" s="392"/>
      <c r="I1001" s="392"/>
      <c r="J1001" s="145"/>
      <c r="K1001" s="392"/>
      <c r="L1001" s="392"/>
      <c r="M1001" s="392"/>
      <c r="N1001" s="392"/>
      <c r="O1001" s="392"/>
      <c r="P1001" s="392"/>
      <c r="Q1001" s="392"/>
      <c r="R1001" s="392"/>
      <c r="S1001" s="392"/>
      <c r="T1001" s="392"/>
      <c r="U1001" s="392"/>
      <c r="V1001" s="392"/>
      <c r="W1001" s="392"/>
      <c r="X1001" s="392"/>
      <c r="Y1001" s="392"/>
      <c r="Z1001" s="392"/>
      <c r="AA1001" s="392"/>
      <c r="AB1001" s="392"/>
      <c r="AC1001" s="392"/>
      <c r="AD1001" s="392"/>
      <c r="AE1001" s="392"/>
      <c r="AF1001" s="392"/>
    </row>
    <row r="1002" ht="15.75" customHeight="1">
      <c r="A1002" s="216"/>
      <c r="B1002" s="156"/>
      <c r="C1002" s="156"/>
      <c r="D1002" s="156"/>
      <c r="E1002" s="392"/>
      <c r="F1002" s="392"/>
      <c r="G1002" s="392"/>
      <c r="H1002" s="392"/>
      <c r="I1002" s="392"/>
      <c r="J1002" s="145"/>
      <c r="K1002" s="392"/>
      <c r="L1002" s="392"/>
      <c r="M1002" s="392"/>
      <c r="N1002" s="392"/>
      <c r="O1002" s="392"/>
      <c r="P1002" s="392"/>
      <c r="Q1002" s="392"/>
      <c r="R1002" s="392"/>
      <c r="S1002" s="392"/>
      <c r="T1002" s="392"/>
      <c r="U1002" s="392"/>
      <c r="V1002" s="392"/>
      <c r="W1002" s="392"/>
      <c r="X1002" s="392"/>
      <c r="Y1002" s="392"/>
      <c r="Z1002" s="392"/>
      <c r="AA1002" s="392"/>
      <c r="AB1002" s="392"/>
      <c r="AC1002" s="392"/>
      <c r="AD1002" s="392"/>
      <c r="AE1002" s="392"/>
      <c r="AF1002" s="392"/>
    </row>
    <row r="1003" ht="15.75" customHeight="1">
      <c r="A1003" s="216"/>
      <c r="B1003" s="156"/>
      <c r="C1003" s="156"/>
      <c r="D1003" s="156"/>
      <c r="E1003" s="392"/>
      <c r="F1003" s="392"/>
      <c r="G1003" s="392"/>
      <c r="H1003" s="392"/>
      <c r="I1003" s="392"/>
      <c r="J1003" s="145"/>
      <c r="K1003" s="392"/>
      <c r="L1003" s="392"/>
      <c r="M1003" s="392"/>
      <c r="N1003" s="392"/>
      <c r="O1003" s="392"/>
      <c r="P1003" s="392"/>
      <c r="Q1003" s="392"/>
      <c r="R1003" s="392"/>
      <c r="S1003" s="392"/>
      <c r="T1003" s="392"/>
      <c r="U1003" s="392"/>
      <c r="V1003" s="392"/>
      <c r="W1003" s="392"/>
      <c r="X1003" s="392"/>
      <c r="Y1003" s="392"/>
      <c r="Z1003" s="392"/>
      <c r="AA1003" s="392"/>
      <c r="AB1003" s="392"/>
      <c r="AC1003" s="392"/>
      <c r="AD1003" s="392"/>
      <c r="AE1003" s="392"/>
      <c r="AF1003" s="392"/>
    </row>
    <row r="1004" ht="15.75" customHeight="1">
      <c r="A1004" s="216"/>
      <c r="B1004" s="156"/>
      <c r="C1004" s="156"/>
      <c r="D1004" s="156"/>
      <c r="E1004" s="392"/>
      <c r="F1004" s="392"/>
      <c r="G1004" s="392"/>
      <c r="H1004" s="392"/>
      <c r="I1004" s="392"/>
      <c r="J1004" s="145"/>
      <c r="K1004" s="392"/>
      <c r="L1004" s="392"/>
      <c r="M1004" s="392"/>
      <c r="N1004" s="392"/>
      <c r="O1004" s="392"/>
      <c r="P1004" s="392"/>
      <c r="Q1004" s="392"/>
      <c r="R1004" s="392"/>
      <c r="S1004" s="392"/>
      <c r="T1004" s="392"/>
      <c r="U1004" s="392"/>
      <c r="V1004" s="392"/>
      <c r="W1004" s="392"/>
      <c r="X1004" s="392"/>
      <c r="Y1004" s="392"/>
      <c r="Z1004" s="392"/>
      <c r="AA1004" s="392"/>
      <c r="AB1004" s="392"/>
      <c r="AC1004" s="392"/>
      <c r="AD1004" s="392"/>
      <c r="AE1004" s="392"/>
      <c r="AF1004" s="392"/>
    </row>
  </sheetData>
  <mergeCells count="85">
    <mergeCell ref="D134:J134"/>
    <mergeCell ref="L135:O135"/>
    <mergeCell ref="N137:O137"/>
    <mergeCell ref="F139:K139"/>
    <mergeCell ref="J140:K140"/>
    <mergeCell ref="J141:K141"/>
    <mergeCell ref="J142:K142"/>
    <mergeCell ref="J143:K143"/>
    <mergeCell ref="J144:K144"/>
    <mergeCell ref="J145:K145"/>
    <mergeCell ref="J146:K146"/>
    <mergeCell ref="J147:K147"/>
    <mergeCell ref="J148:K148"/>
    <mergeCell ref="J149:K149"/>
    <mergeCell ref="J150:K150"/>
    <mergeCell ref="J151:K151"/>
    <mergeCell ref="J152:K152"/>
    <mergeCell ref="J153:K153"/>
    <mergeCell ref="J154:K154"/>
    <mergeCell ref="J155:K155"/>
    <mergeCell ref="J156:K156"/>
    <mergeCell ref="J164:K164"/>
    <mergeCell ref="J165:K165"/>
    <mergeCell ref="J166:K166"/>
    <mergeCell ref="J167:K167"/>
    <mergeCell ref="J168:K168"/>
    <mergeCell ref="J169:K169"/>
    <mergeCell ref="J170:K170"/>
    <mergeCell ref="J171:K171"/>
    <mergeCell ref="J157:K157"/>
    <mergeCell ref="J158:K158"/>
    <mergeCell ref="J159:K159"/>
    <mergeCell ref="J160:K160"/>
    <mergeCell ref="J161:K161"/>
    <mergeCell ref="J162:K162"/>
    <mergeCell ref="J163:K163"/>
    <mergeCell ref="P7:R7"/>
    <mergeCell ref="D8:J8"/>
    <mergeCell ref="P8:R8"/>
    <mergeCell ref="D10:J10"/>
    <mergeCell ref="D11:J11"/>
    <mergeCell ref="D12:J12"/>
    <mergeCell ref="D13:J13"/>
    <mergeCell ref="D14:J14"/>
    <mergeCell ref="D15:J15"/>
    <mergeCell ref="D16:J16"/>
    <mergeCell ref="D17:J17"/>
    <mergeCell ref="D18:J18"/>
    <mergeCell ref="F19:G19"/>
    <mergeCell ref="F20:G20"/>
    <mergeCell ref="F21:G21"/>
    <mergeCell ref="D22:J22"/>
    <mergeCell ref="D25:J25"/>
    <mergeCell ref="E27:F27"/>
    <mergeCell ref="E28:F28"/>
    <mergeCell ref="E29:F29"/>
    <mergeCell ref="D30:J30"/>
    <mergeCell ref="D42:J42"/>
    <mergeCell ref="E44:F44"/>
    <mergeCell ref="D45:J45"/>
    <mergeCell ref="D50:J50"/>
    <mergeCell ref="D55:J55"/>
    <mergeCell ref="E62:F62"/>
    <mergeCell ref="D64:J64"/>
    <mergeCell ref="E66:F66"/>
    <mergeCell ref="E67:F67"/>
    <mergeCell ref="E68:F68"/>
    <mergeCell ref="D69:J69"/>
    <mergeCell ref="D81:J81"/>
    <mergeCell ref="E83:F83"/>
    <mergeCell ref="D84:J84"/>
    <mergeCell ref="D89:J89"/>
    <mergeCell ref="D94:J94"/>
    <mergeCell ref="E101:F101"/>
    <mergeCell ref="D103:J103"/>
    <mergeCell ref="E105:F105"/>
    <mergeCell ref="E106:F106"/>
    <mergeCell ref="E107:F107"/>
    <mergeCell ref="D108:J108"/>
    <mergeCell ref="D120:J120"/>
    <mergeCell ref="E122:F122"/>
    <mergeCell ref="E123:F123"/>
    <mergeCell ref="D124:J124"/>
    <mergeCell ref="D129:J129"/>
    <mergeCell ref="L130:O130"/>
  </mergeCells>
  <conditionalFormatting sqref="D1:D6">
    <cfRule type="containsText" dxfId="2" priority="1" operator="containsText" text="squat">
      <formula>NOT(ISERROR(SEARCH(("squat"),(D1))))</formula>
    </cfRule>
  </conditionalFormatting>
  <conditionalFormatting sqref="D1:D6">
    <cfRule type="containsText" dxfId="3" priority="2" operator="containsText" text="bench press">
      <formula>NOT(ISERROR(SEARCH(("bench press"),(D1))))</formula>
    </cfRule>
  </conditionalFormatting>
  <conditionalFormatting sqref="D1:D6">
    <cfRule type="containsText" dxfId="4" priority="3" operator="containsText" text="deadlift">
      <formula>NOT(ISERROR(SEARCH(("deadlift"),(D1))))</formula>
    </cfRule>
  </conditionalFormatting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1.0"/>
    <col customWidth="1" min="2" max="2" width="2.38"/>
    <col customWidth="1" min="3" max="3" width="1.0"/>
    <col customWidth="1" min="4" max="4" width="7.75"/>
    <col customWidth="1" min="5" max="5" width="12.38"/>
    <col customWidth="1" min="6" max="6" width="8.75"/>
    <col customWidth="1" min="7" max="7" width="5.75"/>
    <col customWidth="1" min="8" max="8" width="8.63"/>
    <col customWidth="1" min="9" max="9" width="1.0"/>
    <col customWidth="1" min="12" max="12" width="1.0"/>
  </cols>
  <sheetData>
    <row r="1" ht="5.25" customHeight="1">
      <c r="A1" s="1"/>
      <c r="B1" s="2"/>
      <c r="C1" s="1"/>
      <c r="D1" s="1"/>
      <c r="E1" s="436"/>
      <c r="F1" s="1"/>
      <c r="G1" s="1"/>
      <c r="H1" s="1"/>
      <c r="I1" s="1"/>
      <c r="J1" s="1"/>
      <c r="K1" s="3"/>
      <c r="L1" s="3"/>
      <c r="M1" s="3"/>
      <c r="N1" s="3"/>
      <c r="O1" s="3"/>
      <c r="P1" s="4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</row>
    <row r="2" ht="13.5" customHeight="1">
      <c r="A2" s="381"/>
      <c r="B2" s="6"/>
      <c r="C2" s="7"/>
      <c r="D2" s="7"/>
      <c r="E2" s="437"/>
      <c r="F2" s="7"/>
      <c r="G2" s="7"/>
      <c r="H2" s="7"/>
      <c r="I2" s="7"/>
      <c r="J2" s="7"/>
      <c r="K2" s="8"/>
      <c r="L2" s="8"/>
      <c r="M2" s="8"/>
      <c r="N2" s="8"/>
      <c r="O2" s="8"/>
      <c r="P2" s="9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1"/>
      <c r="AE2" s="11"/>
      <c r="AF2" s="11"/>
    </row>
    <row r="3" ht="5.25" customHeight="1">
      <c r="A3" s="26"/>
      <c r="B3" s="13"/>
      <c r="C3" s="12"/>
      <c r="D3" s="12"/>
      <c r="E3" s="19"/>
      <c r="F3" s="12"/>
      <c r="G3" s="12"/>
      <c r="H3" s="12"/>
      <c r="I3" s="12"/>
      <c r="J3" s="12"/>
      <c r="K3" s="3"/>
      <c r="L3" s="3"/>
      <c r="M3" s="3"/>
      <c r="N3" s="3"/>
      <c r="O3" s="3"/>
      <c r="P3" s="4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</row>
    <row r="4" ht="18.75" customHeight="1">
      <c r="A4" s="26"/>
      <c r="B4" s="13"/>
      <c r="C4" s="12"/>
      <c r="D4" s="14"/>
      <c r="E4" s="353"/>
      <c r="F4" s="14"/>
      <c r="G4" s="14"/>
      <c r="H4" s="14"/>
      <c r="I4" s="14"/>
      <c r="J4" s="14"/>
      <c r="K4" s="15"/>
      <c r="L4" s="15"/>
      <c r="M4" s="15"/>
      <c r="N4" s="15"/>
      <c r="O4" s="15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8"/>
      <c r="AE4" s="18"/>
      <c r="AF4" s="18"/>
    </row>
    <row r="5" ht="3.75" customHeight="1">
      <c r="A5" s="26"/>
      <c r="B5" s="13"/>
      <c r="C5" s="12"/>
      <c r="D5" s="12"/>
      <c r="E5" s="19"/>
      <c r="F5" s="12"/>
      <c r="G5" s="12"/>
      <c r="H5" s="19"/>
      <c r="I5" s="12"/>
      <c r="J5" s="12"/>
      <c r="K5" s="3"/>
      <c r="L5" s="3"/>
      <c r="M5" s="3"/>
      <c r="N5" s="3"/>
      <c r="O5" s="3"/>
      <c r="P5" s="4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</row>
    <row r="6" ht="22.5" customHeight="1">
      <c r="A6" s="26"/>
      <c r="B6" s="13"/>
      <c r="C6" s="12"/>
      <c r="D6" s="20"/>
      <c r="E6" s="21"/>
      <c r="F6" s="20"/>
      <c r="G6" s="20"/>
      <c r="H6" s="21"/>
      <c r="I6" s="20"/>
      <c r="J6" s="20"/>
      <c r="K6" s="22"/>
      <c r="L6" s="22"/>
      <c r="M6" s="22"/>
      <c r="N6" s="22"/>
      <c r="O6" s="22"/>
      <c r="P6" s="23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5"/>
      <c r="AE6" s="25"/>
      <c r="AF6" s="25"/>
    </row>
    <row r="7" ht="5.25" customHeight="1">
      <c r="A7" s="580"/>
      <c r="B7" s="581"/>
      <c r="C7" s="580"/>
      <c r="D7" s="580"/>
      <c r="E7" s="582"/>
      <c r="F7" s="580"/>
      <c r="G7" s="580"/>
      <c r="H7" s="580"/>
      <c r="I7" s="583"/>
      <c r="J7" s="583"/>
      <c r="K7" s="583"/>
      <c r="L7" s="583"/>
      <c r="M7" s="583"/>
      <c r="N7" s="583"/>
      <c r="O7" s="583"/>
      <c r="P7" s="583"/>
      <c r="Q7" s="583"/>
      <c r="R7" s="583"/>
      <c r="S7" s="583"/>
      <c r="T7" s="583"/>
      <c r="U7" s="583"/>
      <c r="V7" s="583"/>
      <c r="W7" s="583"/>
      <c r="X7" s="583"/>
      <c r="Y7" s="583"/>
      <c r="Z7" s="583"/>
      <c r="AA7" s="583"/>
      <c r="AB7" s="583"/>
      <c r="AC7" s="583"/>
      <c r="AD7" s="583"/>
      <c r="AE7" s="583"/>
      <c r="AF7" s="583"/>
    </row>
    <row r="8" ht="13.5" customHeight="1">
      <c r="A8" s="580"/>
      <c r="B8" s="580"/>
      <c r="C8" s="580"/>
      <c r="D8" s="584"/>
      <c r="E8" s="44"/>
      <c r="F8" s="584"/>
      <c r="G8" s="584"/>
      <c r="H8" s="584"/>
      <c r="I8" s="583"/>
      <c r="J8" s="583"/>
      <c r="K8" s="583"/>
      <c r="L8" s="583"/>
      <c r="M8" s="583"/>
      <c r="N8" s="583"/>
      <c r="O8" s="583"/>
      <c r="P8" s="583"/>
      <c r="Q8" s="583"/>
      <c r="R8" s="583"/>
      <c r="S8" s="583"/>
      <c r="T8" s="583"/>
      <c r="U8" s="583"/>
      <c r="V8" s="583"/>
      <c r="W8" s="583"/>
      <c r="X8" s="583"/>
      <c r="Y8" s="583"/>
      <c r="Z8" s="583"/>
      <c r="AA8" s="583"/>
      <c r="AB8" s="583"/>
      <c r="AC8" s="583"/>
      <c r="AD8" s="583"/>
      <c r="AE8" s="583"/>
      <c r="AF8" s="583"/>
    </row>
    <row r="9" ht="13.5" customHeight="1">
      <c r="A9" s="580"/>
      <c r="B9" s="581"/>
      <c r="C9" s="581"/>
      <c r="D9" s="300" t="s">
        <v>2</v>
      </c>
      <c r="I9" s="585"/>
      <c r="J9" s="585"/>
      <c r="K9" s="585"/>
      <c r="L9" s="585"/>
      <c r="M9" s="585"/>
      <c r="N9" s="583"/>
      <c r="O9" s="583"/>
      <c r="P9" s="583"/>
      <c r="Q9" s="583"/>
      <c r="R9" s="583"/>
      <c r="S9" s="583"/>
      <c r="T9" s="583"/>
      <c r="U9" s="583"/>
      <c r="V9" s="583"/>
      <c r="W9" s="583"/>
      <c r="X9" s="583"/>
      <c r="Y9" s="583"/>
      <c r="Z9" s="583"/>
      <c r="AA9" s="583"/>
      <c r="AB9" s="583"/>
      <c r="AC9" s="583"/>
      <c r="AD9" s="583"/>
      <c r="AE9" s="583"/>
      <c r="AF9" s="583"/>
    </row>
    <row r="10" ht="5.25" customHeight="1">
      <c r="A10" s="586"/>
      <c r="B10" s="587"/>
      <c r="C10" s="586"/>
      <c r="D10" s="588"/>
      <c r="E10" s="589"/>
      <c r="F10" s="588"/>
      <c r="G10" s="588"/>
      <c r="H10" s="588"/>
      <c r="I10" s="583"/>
      <c r="J10" s="583"/>
      <c r="K10" s="583"/>
      <c r="L10" s="583"/>
      <c r="M10" s="583"/>
      <c r="N10" s="583"/>
      <c r="O10" s="583"/>
      <c r="P10" s="583"/>
      <c r="Q10" s="583"/>
      <c r="R10" s="583"/>
      <c r="S10" s="583"/>
      <c r="T10" s="583"/>
      <c r="U10" s="583"/>
      <c r="V10" s="583"/>
      <c r="W10" s="583"/>
      <c r="X10" s="583"/>
      <c r="Y10" s="583"/>
      <c r="Z10" s="583"/>
      <c r="AA10" s="583"/>
      <c r="AB10" s="583"/>
      <c r="AC10" s="583"/>
      <c r="AD10" s="583"/>
      <c r="AE10" s="583"/>
      <c r="AF10" s="583"/>
    </row>
    <row r="11" ht="15.75" customHeight="1">
      <c r="A11" s="586"/>
      <c r="B11" s="587"/>
      <c r="C11" s="586"/>
      <c r="D11" s="590" t="s">
        <v>203</v>
      </c>
      <c r="I11" s="591"/>
      <c r="J11" s="591"/>
      <c r="K11" s="591"/>
      <c r="L11" s="591"/>
      <c r="M11" s="591"/>
      <c r="N11" s="583"/>
      <c r="O11" s="583"/>
      <c r="P11" s="583"/>
      <c r="Q11" s="583"/>
      <c r="R11" s="583"/>
      <c r="S11" s="583"/>
      <c r="T11" s="583"/>
      <c r="U11" s="583"/>
      <c r="V11" s="583"/>
      <c r="W11" s="583"/>
      <c r="X11" s="583"/>
      <c r="Y11" s="583"/>
      <c r="Z11" s="583"/>
      <c r="AA11" s="583"/>
      <c r="AB11" s="583"/>
      <c r="AC11" s="583"/>
      <c r="AD11" s="583"/>
      <c r="AE11" s="583"/>
      <c r="AF11" s="583"/>
    </row>
    <row r="12" ht="19.5" customHeight="1">
      <c r="A12" s="592"/>
      <c r="B12" s="593"/>
      <c r="C12" s="592"/>
      <c r="D12" s="594" t="str">
        <f>trainingto1.18.25!I10</f>
        <v/>
      </c>
      <c r="E12" s="55"/>
      <c r="F12" s="595"/>
      <c r="G12" s="595"/>
      <c r="H12" s="595"/>
      <c r="I12" s="591"/>
      <c r="J12" s="591"/>
      <c r="K12" s="591"/>
      <c r="L12" s="591"/>
      <c r="M12" s="591"/>
      <c r="N12" s="583"/>
      <c r="O12" s="583"/>
      <c r="P12" s="583"/>
      <c r="Q12" s="583"/>
      <c r="R12" s="583"/>
      <c r="S12" s="583"/>
      <c r="T12" s="583"/>
      <c r="U12" s="583"/>
      <c r="V12" s="583"/>
      <c r="W12" s="583"/>
      <c r="X12" s="583"/>
      <c r="Y12" s="583"/>
      <c r="Z12" s="583"/>
      <c r="AA12" s="583"/>
      <c r="AB12" s="583"/>
      <c r="AC12" s="583"/>
      <c r="AD12" s="583"/>
      <c r="AE12" s="583"/>
      <c r="AF12" s="583"/>
    </row>
    <row r="13" ht="17.25" customHeight="1">
      <c r="A13" s="586"/>
      <c r="B13" s="587"/>
      <c r="C13" s="586"/>
      <c r="D13" s="590" t="s">
        <v>204</v>
      </c>
      <c r="I13" s="591"/>
      <c r="J13" s="591"/>
      <c r="K13" s="591"/>
      <c r="L13" s="591"/>
      <c r="M13" s="591"/>
      <c r="N13" s="583"/>
      <c r="O13" s="583"/>
      <c r="P13" s="583"/>
      <c r="Q13" s="583"/>
      <c r="R13" s="583"/>
      <c r="S13" s="583"/>
      <c r="T13" s="583"/>
      <c r="U13" s="583"/>
      <c r="V13" s="583"/>
      <c r="W13" s="583"/>
      <c r="X13" s="583"/>
      <c r="Y13" s="583"/>
      <c r="Z13" s="583"/>
      <c r="AA13" s="583"/>
      <c r="AB13" s="583"/>
      <c r="AC13" s="583"/>
      <c r="AD13" s="583"/>
      <c r="AE13" s="583"/>
      <c r="AF13" s="583"/>
    </row>
    <row r="14" ht="19.5" customHeight="1">
      <c r="A14" s="596"/>
      <c r="B14" s="597"/>
      <c r="C14" s="596"/>
      <c r="D14" s="598" t="str">
        <f>trainingto1.18.25!I11</f>
        <v/>
      </c>
      <c r="E14" s="55"/>
      <c r="F14" s="599"/>
      <c r="G14" s="599"/>
      <c r="H14" s="599"/>
      <c r="I14" s="591"/>
      <c r="J14" s="591"/>
      <c r="K14" s="591"/>
      <c r="L14" s="591"/>
      <c r="M14" s="591"/>
      <c r="N14" s="583"/>
      <c r="O14" s="583"/>
      <c r="P14" s="583"/>
      <c r="Q14" s="583"/>
      <c r="R14" s="583"/>
      <c r="S14" s="583"/>
      <c r="T14" s="583"/>
      <c r="U14" s="583"/>
      <c r="V14" s="583"/>
      <c r="W14" s="583"/>
      <c r="X14" s="583"/>
      <c r="Y14" s="583"/>
      <c r="Z14" s="583"/>
      <c r="AA14" s="583"/>
      <c r="AB14" s="583"/>
      <c r="AC14" s="583"/>
      <c r="AD14" s="583"/>
      <c r="AE14" s="583"/>
      <c r="AF14" s="583"/>
    </row>
    <row r="15" ht="9.75" customHeight="1">
      <c r="A15" s="600"/>
      <c r="B15" s="600"/>
      <c r="C15" s="600"/>
      <c r="D15" s="601"/>
      <c r="E15" s="602"/>
      <c r="F15" s="601"/>
      <c r="G15" s="601"/>
      <c r="H15" s="601"/>
      <c r="I15" s="583"/>
      <c r="J15" s="583"/>
      <c r="K15" s="583"/>
      <c r="L15" s="583"/>
      <c r="M15" s="583"/>
      <c r="N15" s="583"/>
      <c r="O15" s="583"/>
      <c r="P15" s="583"/>
      <c r="Q15" s="583"/>
      <c r="R15" s="583"/>
      <c r="S15" s="583"/>
      <c r="T15" s="583"/>
      <c r="U15" s="583"/>
      <c r="V15" s="583"/>
      <c r="W15" s="583"/>
      <c r="X15" s="583"/>
      <c r="Y15" s="583"/>
      <c r="Z15" s="583"/>
      <c r="AA15" s="583"/>
      <c r="AB15" s="583"/>
      <c r="AC15" s="583"/>
      <c r="AD15" s="583"/>
      <c r="AE15" s="583"/>
      <c r="AF15" s="583"/>
    </row>
    <row r="16" ht="13.5" customHeight="1">
      <c r="A16" s="600"/>
      <c r="B16" s="603"/>
      <c r="C16" s="603"/>
      <c r="D16" s="604" t="s">
        <v>205</v>
      </c>
      <c r="E16" s="605"/>
      <c r="F16" s="606"/>
      <c r="G16" s="606"/>
      <c r="H16" s="606"/>
      <c r="I16" s="585"/>
      <c r="J16" s="585"/>
      <c r="K16" s="585"/>
      <c r="L16" s="585"/>
      <c r="M16" s="585"/>
      <c r="N16" s="583"/>
      <c r="O16" s="583"/>
      <c r="P16" s="583"/>
      <c r="Q16" s="583"/>
      <c r="R16" s="583"/>
      <c r="S16" s="583"/>
      <c r="T16" s="583"/>
      <c r="U16" s="583"/>
      <c r="V16" s="583"/>
      <c r="W16" s="583"/>
      <c r="X16" s="583"/>
      <c r="Y16" s="583"/>
      <c r="Z16" s="583"/>
      <c r="AA16" s="583"/>
      <c r="AB16" s="583"/>
      <c r="AC16" s="583"/>
      <c r="AD16" s="583"/>
      <c r="AE16" s="583"/>
      <c r="AF16" s="583"/>
    </row>
    <row r="17" ht="5.25" customHeight="1">
      <c r="A17" s="600"/>
      <c r="B17" s="603"/>
      <c r="C17" s="600"/>
      <c r="D17" s="601"/>
      <c r="E17" s="602"/>
      <c r="F17" s="601"/>
      <c r="G17" s="601"/>
      <c r="H17" s="601"/>
      <c r="I17" s="583"/>
      <c r="J17" s="583"/>
      <c r="K17" s="583"/>
      <c r="L17" s="583"/>
      <c r="M17" s="583"/>
      <c r="N17" s="583"/>
      <c r="O17" s="583"/>
      <c r="P17" s="583"/>
      <c r="Q17" s="583"/>
      <c r="R17" s="583"/>
      <c r="S17" s="583"/>
      <c r="T17" s="583"/>
      <c r="U17" s="583"/>
      <c r="V17" s="583"/>
      <c r="W17" s="583"/>
      <c r="X17" s="583"/>
      <c r="Y17" s="583"/>
      <c r="Z17" s="583"/>
      <c r="AA17" s="583"/>
      <c r="AB17" s="583"/>
      <c r="AC17" s="583"/>
      <c r="AD17" s="583"/>
      <c r="AE17" s="583"/>
      <c r="AF17" s="583"/>
    </row>
    <row r="18" ht="19.5" customHeight="1">
      <c r="A18" s="600"/>
      <c r="B18" s="603"/>
      <c r="C18" s="600"/>
      <c r="D18" s="607" t="s">
        <v>206</v>
      </c>
      <c r="E18" s="608"/>
      <c r="F18" s="609"/>
      <c r="G18" s="609"/>
      <c r="H18" s="609"/>
      <c r="I18" s="591"/>
      <c r="J18" s="591"/>
      <c r="K18" s="591"/>
      <c r="L18" s="591"/>
      <c r="M18" s="591"/>
      <c r="N18" s="583"/>
      <c r="O18" s="583"/>
      <c r="P18" s="583"/>
      <c r="Q18" s="583"/>
      <c r="R18" s="583"/>
      <c r="S18" s="583"/>
      <c r="T18" s="583"/>
      <c r="U18" s="583"/>
      <c r="V18" s="583"/>
      <c r="W18" s="583"/>
      <c r="X18" s="583"/>
      <c r="Y18" s="583"/>
      <c r="Z18" s="583"/>
      <c r="AA18" s="583"/>
      <c r="AB18" s="583"/>
      <c r="AC18" s="583"/>
      <c r="AD18" s="583"/>
      <c r="AE18" s="583"/>
      <c r="AF18" s="583"/>
    </row>
    <row r="19" ht="19.5" customHeight="1">
      <c r="A19" s="600"/>
      <c r="B19" s="603"/>
      <c r="C19" s="600"/>
      <c r="D19" s="610">
        <v>3.0</v>
      </c>
      <c r="E19" s="608" t="s">
        <v>207</v>
      </c>
      <c r="F19" s="609"/>
      <c r="G19" s="609"/>
      <c r="H19" s="609"/>
      <c r="I19" s="591"/>
      <c r="J19" s="591"/>
      <c r="K19" s="591"/>
      <c r="L19" s="591"/>
      <c r="M19" s="591"/>
      <c r="N19" s="583"/>
      <c r="O19" s="583"/>
      <c r="P19" s="583"/>
      <c r="Q19" s="583"/>
      <c r="R19" s="583"/>
      <c r="S19" s="583"/>
      <c r="T19" s="583"/>
      <c r="U19" s="583"/>
      <c r="V19" s="583"/>
      <c r="W19" s="583"/>
      <c r="X19" s="583"/>
      <c r="Y19" s="583"/>
      <c r="Z19" s="583"/>
      <c r="AA19" s="583"/>
      <c r="AB19" s="583"/>
      <c r="AC19" s="583"/>
      <c r="AD19" s="583"/>
      <c r="AE19" s="583"/>
      <c r="AF19" s="583"/>
    </row>
    <row r="20" ht="19.5" customHeight="1">
      <c r="A20" s="600"/>
      <c r="B20" s="603"/>
      <c r="C20" s="600"/>
      <c r="D20" s="607" t="s">
        <v>208</v>
      </c>
      <c r="E20" s="608"/>
      <c r="F20" s="609"/>
      <c r="G20" s="609"/>
      <c r="H20" s="609"/>
      <c r="I20" s="591"/>
      <c r="J20" s="591"/>
      <c r="K20" s="591"/>
      <c r="L20" s="591"/>
      <c r="M20" s="591"/>
      <c r="N20" s="583"/>
      <c r="O20" s="583"/>
      <c r="P20" s="583"/>
      <c r="Q20" s="583"/>
      <c r="R20" s="583"/>
      <c r="S20" s="583"/>
      <c r="T20" s="583"/>
      <c r="U20" s="583"/>
      <c r="V20" s="583"/>
      <c r="W20" s="583"/>
      <c r="X20" s="583"/>
      <c r="Y20" s="583"/>
      <c r="Z20" s="583"/>
      <c r="AA20" s="583"/>
      <c r="AB20" s="583"/>
      <c r="AC20" s="583"/>
      <c r="AD20" s="583"/>
      <c r="AE20" s="583"/>
      <c r="AF20" s="583"/>
    </row>
    <row r="21" ht="19.5" customHeight="1">
      <c r="A21" s="600"/>
      <c r="B21" s="603"/>
      <c r="C21" s="600"/>
      <c r="D21" s="610">
        <v>2700.0</v>
      </c>
      <c r="E21" s="608" t="s">
        <v>209</v>
      </c>
      <c r="F21" s="609"/>
      <c r="G21" s="609"/>
      <c r="H21" s="609"/>
      <c r="I21" s="591"/>
      <c r="J21" s="591"/>
      <c r="K21" s="591"/>
      <c r="L21" s="591"/>
      <c r="M21" s="591"/>
      <c r="N21" s="583"/>
      <c r="O21" s="583"/>
      <c r="P21" s="583"/>
      <c r="Q21" s="583"/>
      <c r="R21" s="583"/>
      <c r="S21" s="583"/>
      <c r="T21" s="583"/>
      <c r="U21" s="583"/>
      <c r="V21" s="583"/>
      <c r="W21" s="583"/>
      <c r="X21" s="583"/>
      <c r="Y21" s="583"/>
      <c r="Z21" s="583"/>
      <c r="AA21" s="583"/>
      <c r="AB21" s="583"/>
      <c r="AC21" s="583"/>
      <c r="AD21" s="583"/>
      <c r="AE21" s="583"/>
      <c r="AF21" s="583"/>
    </row>
    <row r="22" ht="19.5" customHeight="1">
      <c r="A22" s="600"/>
      <c r="B22" s="600"/>
      <c r="C22" s="600"/>
      <c r="D22" s="611"/>
      <c r="E22" s="600"/>
      <c r="F22" s="611"/>
      <c r="G22" s="611"/>
      <c r="H22" s="600"/>
      <c r="I22" s="583"/>
      <c r="J22" s="583"/>
      <c r="K22" s="583"/>
      <c r="L22" s="583"/>
      <c r="M22" s="583"/>
      <c r="N22" s="583"/>
      <c r="O22" s="583"/>
      <c r="P22" s="583"/>
      <c r="Q22" s="583"/>
      <c r="R22" s="583"/>
      <c r="S22" s="583"/>
      <c r="T22" s="583"/>
      <c r="U22" s="583"/>
      <c r="V22" s="583"/>
      <c r="W22" s="583"/>
      <c r="X22" s="583"/>
      <c r="Y22" s="583"/>
      <c r="Z22" s="583"/>
      <c r="AA22" s="583"/>
      <c r="AB22" s="583"/>
      <c r="AC22" s="583"/>
      <c r="AD22" s="583"/>
      <c r="AE22" s="583"/>
      <c r="AF22" s="583"/>
    </row>
    <row r="23" ht="13.5" customHeight="1">
      <c r="A23" s="600"/>
      <c r="B23" s="603"/>
      <c r="C23" s="603"/>
      <c r="D23" s="612"/>
      <c r="E23" s="603"/>
      <c r="F23" s="612"/>
      <c r="G23" s="612"/>
      <c r="H23" s="603"/>
      <c r="I23" s="585"/>
      <c r="J23" s="585"/>
      <c r="K23" s="585"/>
      <c r="L23" s="585"/>
      <c r="M23" s="585"/>
      <c r="N23" s="583"/>
      <c r="O23" s="583"/>
      <c r="P23" s="583"/>
      <c r="Q23" s="583"/>
      <c r="R23" s="583"/>
      <c r="S23" s="583"/>
      <c r="T23" s="583"/>
      <c r="U23" s="583"/>
      <c r="V23" s="583"/>
      <c r="W23" s="583"/>
      <c r="X23" s="583"/>
      <c r="Y23" s="583"/>
      <c r="Z23" s="583"/>
      <c r="AA23" s="583"/>
      <c r="AB23" s="583"/>
      <c r="AC23" s="583"/>
      <c r="AD23" s="583"/>
      <c r="AE23" s="583"/>
      <c r="AF23" s="583"/>
    </row>
    <row r="24" ht="5.25" customHeight="1">
      <c r="A24" s="600"/>
      <c r="B24" s="603"/>
      <c r="C24" s="600"/>
      <c r="D24" s="611"/>
      <c r="E24" s="600"/>
      <c r="F24" s="611"/>
      <c r="G24" s="611"/>
      <c r="H24" s="600"/>
      <c r="I24" s="583"/>
      <c r="J24" s="583"/>
      <c r="K24" s="583"/>
      <c r="L24" s="583"/>
      <c r="M24" s="583"/>
      <c r="N24" s="583"/>
      <c r="O24" s="583"/>
      <c r="P24" s="583"/>
      <c r="Q24" s="583"/>
      <c r="R24" s="583"/>
      <c r="S24" s="583"/>
      <c r="T24" s="583"/>
      <c r="U24" s="583"/>
      <c r="V24" s="583"/>
      <c r="W24" s="583"/>
      <c r="X24" s="583"/>
      <c r="Y24" s="583"/>
      <c r="Z24" s="583"/>
      <c r="AA24" s="583"/>
      <c r="AB24" s="583"/>
      <c r="AC24" s="583"/>
      <c r="AD24" s="583"/>
      <c r="AE24" s="583"/>
      <c r="AF24" s="583"/>
    </row>
    <row r="25" ht="5.25" customHeight="1">
      <c r="A25" s="613"/>
      <c r="B25" s="614"/>
      <c r="C25" s="613"/>
      <c r="D25" s="615"/>
      <c r="E25" s="616"/>
      <c r="F25" s="615"/>
      <c r="G25" s="617"/>
      <c r="H25" s="617"/>
      <c r="I25" s="583"/>
      <c r="J25" s="585"/>
      <c r="K25" s="585"/>
      <c r="L25" s="585"/>
      <c r="M25" s="585"/>
      <c r="N25" s="583"/>
      <c r="O25" s="583"/>
      <c r="P25" s="583"/>
      <c r="Q25" s="583"/>
      <c r="R25" s="583"/>
      <c r="S25" s="583"/>
      <c r="T25" s="583"/>
      <c r="U25" s="583"/>
      <c r="V25" s="583"/>
      <c r="W25" s="583"/>
      <c r="X25" s="583"/>
      <c r="Y25" s="583"/>
      <c r="Z25" s="583"/>
      <c r="AA25" s="583"/>
      <c r="AB25" s="583"/>
      <c r="AC25" s="583"/>
      <c r="AD25" s="583"/>
      <c r="AE25" s="583"/>
      <c r="AF25" s="583"/>
    </row>
    <row r="26" ht="19.5" customHeight="1">
      <c r="A26" s="613"/>
      <c r="B26" s="614"/>
      <c r="C26" s="613"/>
      <c r="D26" s="615" t="s">
        <v>210</v>
      </c>
      <c r="E26" s="616"/>
      <c r="F26" s="618" t="s">
        <v>211</v>
      </c>
      <c r="G26" s="619">
        <f>D19</f>
        <v>3</v>
      </c>
      <c r="H26" s="619" t="s">
        <v>207</v>
      </c>
      <c r="I26" s="583"/>
      <c r="J26" s="585"/>
      <c r="K26" s="585"/>
      <c r="L26" s="585"/>
      <c r="M26" s="585"/>
      <c r="N26" s="583"/>
      <c r="O26" s="583"/>
      <c r="P26" s="583"/>
      <c r="Q26" s="583"/>
      <c r="R26" s="583"/>
      <c r="S26" s="583"/>
      <c r="T26" s="583"/>
      <c r="U26" s="583"/>
      <c r="V26" s="583"/>
      <c r="W26" s="583"/>
      <c r="X26" s="583"/>
      <c r="Y26" s="583"/>
      <c r="Z26" s="583"/>
      <c r="AA26" s="583"/>
      <c r="AB26" s="583"/>
      <c r="AC26" s="583"/>
      <c r="AD26" s="583"/>
      <c r="AE26" s="583"/>
      <c r="AF26" s="583"/>
    </row>
    <row r="27" ht="19.5" customHeight="1">
      <c r="A27" s="613"/>
      <c r="B27" s="614"/>
      <c r="C27" s="613"/>
      <c r="D27" s="620" t="s">
        <v>212</v>
      </c>
      <c r="E27" s="602"/>
      <c r="F27" s="621" t="s">
        <v>208</v>
      </c>
      <c r="G27" s="622" t="s">
        <v>213</v>
      </c>
      <c r="H27" s="623"/>
      <c r="I27" s="583"/>
      <c r="J27" s="585"/>
      <c r="K27" s="585"/>
      <c r="L27" s="585"/>
      <c r="M27" s="585"/>
      <c r="N27" s="583"/>
      <c r="O27" s="583"/>
      <c r="P27" s="583"/>
      <c r="Q27" s="583"/>
      <c r="R27" s="583"/>
      <c r="S27" s="583"/>
      <c r="T27" s="583"/>
      <c r="U27" s="583"/>
      <c r="V27" s="583"/>
      <c r="W27" s="583"/>
      <c r="X27" s="583"/>
      <c r="Y27" s="583"/>
      <c r="Z27" s="583"/>
      <c r="AA27" s="583"/>
      <c r="AB27" s="583"/>
      <c r="AC27" s="583"/>
      <c r="AD27" s="583"/>
      <c r="AE27" s="583"/>
      <c r="AF27" s="583"/>
    </row>
    <row r="28" ht="19.5" customHeight="1">
      <c r="A28" s="600"/>
      <c r="B28" s="603"/>
      <c r="C28" s="600"/>
      <c r="D28" s="624"/>
      <c r="E28" s="600"/>
      <c r="F28" s="625" t="s">
        <v>214</v>
      </c>
      <c r="G28" s="626" t="s">
        <v>213</v>
      </c>
      <c r="H28" s="626"/>
      <c r="I28" s="583"/>
      <c r="J28" s="585"/>
      <c r="K28" s="585"/>
      <c r="L28" s="585"/>
      <c r="M28" s="585"/>
      <c r="N28" s="583"/>
      <c r="O28" s="583"/>
      <c r="P28" s="583"/>
      <c r="Q28" s="583"/>
      <c r="R28" s="583"/>
      <c r="S28" s="583"/>
      <c r="T28" s="583"/>
      <c r="U28" s="583"/>
      <c r="V28" s="583"/>
      <c r="W28" s="583"/>
      <c r="X28" s="583"/>
      <c r="Y28" s="583"/>
      <c r="Z28" s="583"/>
      <c r="AA28" s="583"/>
      <c r="AB28" s="583"/>
      <c r="AC28" s="583"/>
      <c r="AD28" s="583"/>
      <c r="AE28" s="583"/>
      <c r="AF28" s="583"/>
    </row>
    <row r="29" ht="19.5" customHeight="1">
      <c r="A29" s="613"/>
      <c r="B29" s="614"/>
      <c r="C29" s="613"/>
      <c r="D29" s="620" t="s">
        <v>215</v>
      </c>
      <c r="E29" s="600"/>
      <c r="F29" s="627" t="s">
        <v>216</v>
      </c>
      <c r="G29" s="628" t="s">
        <v>213</v>
      </c>
      <c r="H29" s="628"/>
      <c r="I29" s="583"/>
      <c r="J29" s="585"/>
      <c r="K29" s="585"/>
      <c r="L29" s="585"/>
      <c r="M29" s="585"/>
      <c r="N29" s="583"/>
      <c r="O29" s="583"/>
      <c r="P29" s="583"/>
      <c r="Q29" s="583"/>
      <c r="R29" s="583"/>
      <c r="S29" s="583"/>
      <c r="T29" s="583"/>
      <c r="U29" s="583"/>
      <c r="V29" s="583"/>
      <c r="W29" s="583"/>
      <c r="X29" s="583"/>
      <c r="Y29" s="583"/>
      <c r="Z29" s="583"/>
      <c r="AA29" s="583"/>
      <c r="AB29" s="583"/>
      <c r="AC29" s="583"/>
      <c r="AD29" s="583"/>
      <c r="AE29" s="583"/>
      <c r="AF29" s="583"/>
    </row>
    <row r="30" ht="19.5" customHeight="1">
      <c r="A30" s="600"/>
      <c r="B30" s="603"/>
      <c r="C30" s="600"/>
      <c r="D30" s="624"/>
      <c r="E30" s="600"/>
      <c r="F30" s="629"/>
      <c r="G30" s="611"/>
      <c r="H30" s="611"/>
      <c r="I30" s="583"/>
      <c r="J30" s="585"/>
      <c r="K30" s="585"/>
      <c r="L30" s="585"/>
      <c r="M30" s="585"/>
      <c r="N30" s="583"/>
      <c r="O30" s="583"/>
      <c r="P30" s="583"/>
      <c r="Q30" s="583"/>
      <c r="R30" s="583"/>
      <c r="S30" s="583"/>
      <c r="T30" s="583"/>
      <c r="U30" s="583"/>
      <c r="V30" s="583"/>
      <c r="W30" s="583"/>
      <c r="X30" s="583"/>
      <c r="Y30" s="583"/>
      <c r="Z30" s="583"/>
      <c r="AA30" s="583"/>
      <c r="AB30" s="583"/>
      <c r="AC30" s="583"/>
      <c r="AD30" s="583"/>
      <c r="AE30" s="583"/>
      <c r="AF30" s="583"/>
    </row>
    <row r="31" ht="7.5" customHeight="1">
      <c r="A31" s="613"/>
      <c r="B31" s="614"/>
      <c r="C31" s="613"/>
      <c r="D31" s="615"/>
      <c r="E31" s="616"/>
      <c r="F31" s="615"/>
      <c r="G31" s="617"/>
      <c r="H31" s="617"/>
      <c r="I31" s="583"/>
      <c r="J31" s="585"/>
      <c r="K31" s="585"/>
      <c r="L31" s="585"/>
      <c r="M31" s="585"/>
      <c r="N31" s="583"/>
      <c r="O31" s="583"/>
      <c r="P31" s="583"/>
      <c r="Q31" s="583"/>
      <c r="R31" s="583"/>
      <c r="S31" s="583"/>
      <c r="T31" s="583"/>
      <c r="U31" s="583"/>
      <c r="V31" s="583"/>
      <c r="W31" s="583"/>
      <c r="X31" s="583"/>
      <c r="Y31" s="583"/>
      <c r="Z31" s="583"/>
      <c r="AA31" s="583"/>
      <c r="AB31" s="583"/>
      <c r="AC31" s="583"/>
      <c r="AD31" s="583"/>
      <c r="AE31" s="583"/>
      <c r="AF31" s="583"/>
    </row>
    <row r="32" ht="19.5" customHeight="1">
      <c r="A32" s="613"/>
      <c r="B32" s="614"/>
      <c r="C32" s="613"/>
      <c r="D32" s="615" t="s">
        <v>217</v>
      </c>
      <c r="E32" s="616"/>
      <c r="F32" s="618" t="s">
        <v>211</v>
      </c>
      <c r="G32" s="619">
        <f>D19</f>
        <v>3</v>
      </c>
      <c r="H32" s="619" t="s">
        <v>207</v>
      </c>
      <c r="I32" s="583"/>
      <c r="J32" s="585"/>
      <c r="K32" s="585"/>
      <c r="L32" s="585"/>
      <c r="M32" s="585"/>
      <c r="N32" s="583"/>
      <c r="O32" s="583"/>
      <c r="P32" s="583"/>
      <c r="Q32" s="583"/>
      <c r="R32" s="583"/>
      <c r="S32" s="583"/>
      <c r="T32" s="583"/>
      <c r="U32" s="583"/>
      <c r="V32" s="583"/>
      <c r="W32" s="583"/>
      <c r="X32" s="583"/>
      <c r="Y32" s="583"/>
      <c r="Z32" s="583"/>
      <c r="AA32" s="583"/>
      <c r="AB32" s="583"/>
      <c r="AC32" s="583"/>
      <c r="AD32" s="583"/>
      <c r="AE32" s="583"/>
      <c r="AF32" s="583"/>
    </row>
    <row r="33" ht="19.5" customHeight="1">
      <c r="A33" s="613"/>
      <c r="B33" s="614"/>
      <c r="C33" s="613"/>
      <c r="D33" s="620" t="s">
        <v>212</v>
      </c>
      <c r="E33" s="630" t="s">
        <v>218</v>
      </c>
      <c r="F33" s="621" t="s">
        <v>208</v>
      </c>
      <c r="G33" s="623" t="s">
        <v>213</v>
      </c>
      <c r="H33" s="623"/>
      <c r="I33" s="583"/>
      <c r="J33" s="585"/>
      <c r="K33" s="585"/>
      <c r="L33" s="585"/>
      <c r="M33" s="585"/>
      <c r="N33" s="583"/>
      <c r="O33" s="583"/>
      <c r="P33" s="583"/>
      <c r="Q33" s="583"/>
      <c r="R33" s="583"/>
      <c r="S33" s="583"/>
      <c r="T33" s="583"/>
      <c r="U33" s="583"/>
      <c r="V33" s="583"/>
      <c r="W33" s="583"/>
      <c r="X33" s="583"/>
      <c r="Y33" s="583"/>
      <c r="Z33" s="583"/>
      <c r="AA33" s="583"/>
      <c r="AB33" s="583"/>
      <c r="AC33" s="583"/>
      <c r="AD33" s="583"/>
      <c r="AE33" s="583"/>
      <c r="AF33" s="583"/>
    </row>
    <row r="34" ht="19.5" customHeight="1">
      <c r="A34" s="600"/>
      <c r="B34" s="603"/>
      <c r="C34" s="600"/>
      <c r="D34" s="631"/>
      <c r="E34" s="632">
        <f>D34-D30</f>
        <v>0</v>
      </c>
      <c r="F34" s="625" t="s">
        <v>214</v>
      </c>
      <c r="G34" s="626" t="s">
        <v>213</v>
      </c>
      <c r="H34" s="626"/>
      <c r="I34" s="583"/>
      <c r="J34" s="585"/>
      <c r="K34" s="585"/>
      <c r="L34" s="585"/>
      <c r="M34" s="585"/>
      <c r="N34" s="583"/>
      <c r="O34" s="583"/>
      <c r="P34" s="583"/>
      <c r="Q34" s="583"/>
      <c r="R34" s="583"/>
      <c r="S34" s="583"/>
      <c r="T34" s="583"/>
      <c r="U34" s="583"/>
      <c r="V34" s="583"/>
      <c r="W34" s="583"/>
      <c r="X34" s="583"/>
      <c r="Y34" s="583"/>
      <c r="Z34" s="583"/>
      <c r="AA34" s="583"/>
      <c r="AB34" s="583"/>
      <c r="AC34" s="583"/>
      <c r="AD34" s="583"/>
      <c r="AE34" s="583"/>
      <c r="AF34" s="583"/>
    </row>
    <row r="35" ht="19.5" customHeight="1">
      <c r="A35" s="613"/>
      <c r="B35" s="614"/>
      <c r="C35" s="613"/>
      <c r="D35" s="620" t="s">
        <v>215</v>
      </c>
      <c r="E35" s="600"/>
      <c r="F35" s="627" t="s">
        <v>216</v>
      </c>
      <c r="G35" s="628" t="s">
        <v>213</v>
      </c>
      <c r="H35" s="628"/>
      <c r="I35" s="583"/>
      <c r="J35" s="585"/>
      <c r="K35" s="585"/>
      <c r="L35" s="585"/>
      <c r="M35" s="585"/>
      <c r="N35" s="583"/>
      <c r="O35" s="583"/>
      <c r="P35" s="583"/>
      <c r="Q35" s="583"/>
      <c r="R35" s="583"/>
      <c r="S35" s="583"/>
      <c r="T35" s="583"/>
      <c r="U35" s="583"/>
      <c r="V35" s="583"/>
      <c r="W35" s="583"/>
      <c r="X35" s="583"/>
      <c r="Y35" s="583"/>
      <c r="Z35" s="583"/>
      <c r="AA35" s="583"/>
      <c r="AB35" s="583"/>
      <c r="AC35" s="583"/>
      <c r="AD35" s="583"/>
      <c r="AE35" s="583"/>
      <c r="AF35" s="583"/>
    </row>
    <row r="36" ht="19.5" customHeight="1">
      <c r="A36" s="600"/>
      <c r="B36" s="603"/>
      <c r="C36" s="600"/>
      <c r="D36" s="624"/>
      <c r="E36" s="600"/>
      <c r="F36" s="629"/>
      <c r="G36" s="611"/>
      <c r="H36" s="611"/>
      <c r="I36" s="583"/>
      <c r="J36" s="585"/>
      <c r="K36" s="585"/>
      <c r="L36" s="585"/>
      <c r="M36" s="585"/>
      <c r="N36" s="583"/>
      <c r="O36" s="583"/>
      <c r="P36" s="583"/>
      <c r="Q36" s="583"/>
      <c r="R36" s="583"/>
      <c r="S36" s="583"/>
      <c r="T36" s="583"/>
      <c r="U36" s="583"/>
      <c r="V36" s="583"/>
      <c r="W36" s="583"/>
      <c r="X36" s="583"/>
      <c r="Y36" s="583"/>
      <c r="Z36" s="583"/>
      <c r="AA36" s="583"/>
      <c r="AB36" s="583"/>
      <c r="AC36" s="583"/>
      <c r="AD36" s="583"/>
      <c r="AE36" s="583"/>
      <c r="AF36" s="583"/>
    </row>
    <row r="37" ht="7.5" customHeight="1">
      <c r="A37" s="613"/>
      <c r="B37" s="614"/>
      <c r="C37" s="613"/>
      <c r="D37" s="615"/>
      <c r="E37" s="616"/>
      <c r="F37" s="615"/>
      <c r="G37" s="617"/>
      <c r="H37" s="617"/>
      <c r="I37" s="583"/>
      <c r="J37" s="585"/>
      <c r="K37" s="585"/>
      <c r="L37" s="585"/>
      <c r="M37" s="585"/>
      <c r="N37" s="583"/>
      <c r="O37" s="583"/>
      <c r="P37" s="583"/>
      <c r="Q37" s="583"/>
      <c r="R37" s="583"/>
      <c r="S37" s="583"/>
      <c r="T37" s="583"/>
      <c r="U37" s="583"/>
      <c r="V37" s="583"/>
      <c r="W37" s="583"/>
      <c r="X37" s="583"/>
      <c r="Y37" s="583"/>
      <c r="Z37" s="583"/>
      <c r="AA37" s="583"/>
      <c r="AB37" s="583"/>
      <c r="AC37" s="583"/>
      <c r="AD37" s="583"/>
      <c r="AE37" s="583"/>
      <c r="AF37" s="583"/>
    </row>
    <row r="38" ht="19.5" customHeight="1">
      <c r="A38" s="613"/>
      <c r="B38" s="614"/>
      <c r="C38" s="613"/>
      <c r="D38" s="615" t="s">
        <v>219</v>
      </c>
      <c r="E38" s="616"/>
      <c r="F38" s="618" t="s">
        <v>211</v>
      </c>
      <c r="G38" s="619">
        <f>D19*1.25</f>
        <v>3.75</v>
      </c>
      <c r="H38" s="619" t="s">
        <v>207</v>
      </c>
      <c r="I38" s="583"/>
      <c r="J38" s="585"/>
      <c r="K38" s="585"/>
      <c r="L38" s="585"/>
      <c r="M38" s="585"/>
      <c r="N38" s="583"/>
      <c r="O38" s="583"/>
      <c r="P38" s="583"/>
      <c r="Q38" s="583"/>
      <c r="R38" s="583"/>
      <c r="S38" s="583"/>
      <c r="T38" s="583"/>
      <c r="U38" s="583"/>
      <c r="V38" s="583"/>
      <c r="W38" s="583"/>
      <c r="X38" s="583"/>
      <c r="Y38" s="583"/>
      <c r="Z38" s="583"/>
      <c r="AA38" s="583"/>
      <c r="AB38" s="583"/>
      <c r="AC38" s="583"/>
      <c r="AD38" s="583"/>
      <c r="AE38" s="583"/>
      <c r="AF38" s="583"/>
    </row>
    <row r="39" ht="19.5" customHeight="1">
      <c r="A39" s="613"/>
      <c r="B39" s="614"/>
      <c r="C39" s="613"/>
      <c r="D39" s="620" t="s">
        <v>212</v>
      </c>
      <c r="E39" s="630" t="s">
        <v>218</v>
      </c>
      <c r="F39" s="621" t="s">
        <v>208</v>
      </c>
      <c r="G39" s="622" t="s">
        <v>213</v>
      </c>
      <c r="H39" s="623"/>
      <c r="I39" s="583"/>
      <c r="J39" s="585"/>
      <c r="K39" s="585"/>
      <c r="L39" s="585"/>
      <c r="M39" s="585"/>
      <c r="N39" s="583"/>
      <c r="O39" s="583"/>
      <c r="P39" s="583"/>
      <c r="Q39" s="583"/>
      <c r="R39" s="583"/>
      <c r="S39" s="583"/>
      <c r="T39" s="583"/>
      <c r="U39" s="583"/>
      <c r="V39" s="583"/>
      <c r="W39" s="583"/>
      <c r="X39" s="583"/>
      <c r="Y39" s="583"/>
      <c r="Z39" s="583"/>
      <c r="AA39" s="583"/>
      <c r="AB39" s="583"/>
      <c r="AC39" s="583"/>
      <c r="AD39" s="583"/>
      <c r="AE39" s="583"/>
      <c r="AF39" s="583"/>
    </row>
    <row r="40" ht="19.5" customHeight="1">
      <c r="A40" s="600"/>
      <c r="B40" s="603"/>
      <c r="C40" s="600"/>
      <c r="D40" s="633"/>
      <c r="E40" s="632">
        <f>D40-D36</f>
        <v>0</v>
      </c>
      <c r="F40" s="625" t="s">
        <v>214</v>
      </c>
      <c r="G40" s="626" t="s">
        <v>213</v>
      </c>
      <c r="H40" s="626"/>
      <c r="I40" s="583"/>
      <c r="J40" s="585"/>
      <c r="K40" s="585"/>
      <c r="L40" s="585"/>
      <c r="M40" s="585"/>
      <c r="N40" s="583"/>
      <c r="O40" s="583"/>
      <c r="P40" s="583"/>
      <c r="Q40" s="583"/>
      <c r="R40" s="583"/>
      <c r="S40" s="583"/>
      <c r="T40" s="583"/>
      <c r="U40" s="583"/>
      <c r="V40" s="583"/>
      <c r="W40" s="583"/>
      <c r="X40" s="583"/>
      <c r="Y40" s="583"/>
      <c r="Z40" s="583"/>
      <c r="AA40" s="583"/>
      <c r="AB40" s="583"/>
      <c r="AC40" s="583"/>
      <c r="AD40" s="583"/>
      <c r="AE40" s="583"/>
      <c r="AF40" s="583"/>
    </row>
    <row r="41" ht="19.5" customHeight="1">
      <c r="A41" s="613"/>
      <c r="B41" s="614"/>
      <c r="C41" s="613"/>
      <c r="D41" s="620" t="s">
        <v>215</v>
      </c>
      <c r="E41" s="600"/>
      <c r="F41" s="627" t="s">
        <v>216</v>
      </c>
      <c r="G41" s="628" t="s">
        <v>213</v>
      </c>
      <c r="H41" s="628"/>
      <c r="I41" s="583"/>
      <c r="J41" s="585"/>
      <c r="K41" s="585"/>
      <c r="L41" s="585"/>
      <c r="M41" s="585"/>
      <c r="N41" s="583"/>
      <c r="O41" s="583"/>
      <c r="P41" s="583"/>
      <c r="Q41" s="583"/>
      <c r="R41" s="583"/>
      <c r="S41" s="583"/>
      <c r="T41" s="583"/>
      <c r="U41" s="583"/>
      <c r="V41" s="583"/>
      <c r="W41" s="583"/>
      <c r="X41" s="583"/>
      <c r="Y41" s="583"/>
      <c r="Z41" s="583"/>
      <c r="AA41" s="583"/>
      <c r="AB41" s="583"/>
      <c r="AC41" s="583"/>
      <c r="AD41" s="583"/>
      <c r="AE41" s="583"/>
      <c r="AF41" s="583"/>
    </row>
    <row r="42" ht="19.5" customHeight="1">
      <c r="A42" s="600"/>
      <c r="B42" s="603"/>
      <c r="C42" s="600"/>
      <c r="D42" s="624"/>
      <c r="E42" s="600"/>
      <c r="F42" s="629"/>
      <c r="G42" s="611"/>
      <c r="H42" s="611"/>
      <c r="I42" s="583"/>
      <c r="J42" s="585"/>
      <c r="K42" s="585"/>
      <c r="L42" s="585"/>
      <c r="M42" s="585"/>
      <c r="N42" s="583"/>
      <c r="O42" s="583"/>
      <c r="P42" s="583"/>
      <c r="Q42" s="583"/>
      <c r="R42" s="583"/>
      <c r="S42" s="583"/>
      <c r="T42" s="583"/>
      <c r="U42" s="583"/>
      <c r="V42" s="583"/>
      <c r="W42" s="583"/>
      <c r="X42" s="583"/>
      <c r="Y42" s="583"/>
      <c r="Z42" s="583"/>
      <c r="AA42" s="583"/>
      <c r="AB42" s="583"/>
      <c r="AC42" s="583"/>
      <c r="AD42" s="583"/>
      <c r="AE42" s="583"/>
      <c r="AF42" s="583"/>
    </row>
    <row r="43" ht="5.25" customHeight="1">
      <c r="A43" s="613"/>
      <c r="B43" s="614"/>
      <c r="C43" s="613"/>
      <c r="D43" s="629"/>
      <c r="E43" s="600"/>
      <c r="F43" s="629"/>
      <c r="G43" s="611"/>
      <c r="H43" s="611"/>
      <c r="I43" s="583"/>
      <c r="J43" s="583"/>
      <c r="K43" s="583"/>
      <c r="L43" s="583"/>
      <c r="M43" s="585"/>
      <c r="N43" s="583"/>
      <c r="O43" s="583"/>
      <c r="P43" s="583"/>
      <c r="Q43" s="583"/>
      <c r="R43" s="583"/>
      <c r="S43" s="583"/>
      <c r="T43" s="583"/>
      <c r="U43" s="583"/>
      <c r="V43" s="583"/>
      <c r="W43" s="583"/>
      <c r="X43" s="583"/>
      <c r="Y43" s="583"/>
      <c r="Z43" s="583"/>
      <c r="AA43" s="583"/>
      <c r="AB43" s="583"/>
      <c r="AC43" s="583"/>
      <c r="AD43" s="583"/>
      <c r="AE43" s="583"/>
      <c r="AF43" s="583"/>
    </row>
    <row r="44" ht="7.5" customHeight="1">
      <c r="A44" s="613"/>
      <c r="B44" s="614"/>
      <c r="C44" s="613"/>
      <c r="D44" s="634"/>
      <c r="E44" s="635"/>
      <c r="F44" s="634"/>
      <c r="G44" s="636"/>
      <c r="H44" s="636"/>
      <c r="I44" s="637"/>
      <c r="J44" s="637"/>
      <c r="K44" s="637"/>
      <c r="L44" s="583"/>
      <c r="M44" s="585"/>
      <c r="N44" s="583"/>
      <c r="O44" s="583"/>
      <c r="P44" s="583"/>
      <c r="Q44" s="583"/>
      <c r="R44" s="583"/>
      <c r="S44" s="583"/>
      <c r="T44" s="583"/>
      <c r="U44" s="583"/>
      <c r="V44" s="583"/>
      <c r="W44" s="583"/>
      <c r="X44" s="583"/>
      <c r="Y44" s="583"/>
      <c r="Z44" s="583"/>
      <c r="AA44" s="583"/>
      <c r="AB44" s="583"/>
      <c r="AC44" s="583"/>
      <c r="AD44" s="583"/>
      <c r="AE44" s="583"/>
      <c r="AF44" s="583"/>
    </row>
    <row r="45" ht="19.5" customHeight="1">
      <c r="A45" s="613"/>
      <c r="B45" s="614"/>
      <c r="C45" s="613"/>
      <c r="D45" s="634" t="s">
        <v>220</v>
      </c>
      <c r="E45" s="635"/>
      <c r="F45" s="618" t="s">
        <v>211</v>
      </c>
      <c r="G45" s="619">
        <f>D19*1.5</f>
        <v>4.5</v>
      </c>
      <c r="H45" s="619" t="s">
        <v>207</v>
      </c>
      <c r="I45" s="638"/>
      <c r="J45" s="638"/>
      <c r="K45" s="638"/>
      <c r="L45" s="583"/>
      <c r="M45" s="585"/>
      <c r="N45" s="583"/>
      <c r="O45" s="583"/>
      <c r="P45" s="583"/>
      <c r="Q45" s="583"/>
      <c r="R45" s="583"/>
      <c r="S45" s="583"/>
      <c r="T45" s="583"/>
      <c r="U45" s="583"/>
      <c r="V45" s="583"/>
      <c r="W45" s="583"/>
      <c r="X45" s="583"/>
      <c r="Y45" s="583"/>
      <c r="Z45" s="583"/>
      <c r="AA45" s="583"/>
      <c r="AB45" s="583"/>
      <c r="AC45" s="583"/>
      <c r="AD45" s="583"/>
      <c r="AE45" s="583"/>
      <c r="AF45" s="583"/>
    </row>
    <row r="46" ht="19.5" customHeight="1">
      <c r="A46" s="613"/>
      <c r="B46" s="614"/>
      <c r="C46" s="613"/>
      <c r="D46" s="620" t="s">
        <v>212</v>
      </c>
      <c r="E46" s="630" t="s">
        <v>218</v>
      </c>
      <c r="F46" s="621" t="s">
        <v>208</v>
      </c>
      <c r="G46" s="622">
        <f>D21*0.3</f>
        <v>810</v>
      </c>
      <c r="H46" s="622" t="s">
        <v>221</v>
      </c>
      <c r="L46" s="583"/>
      <c r="M46" s="585"/>
      <c r="N46" s="583"/>
      <c r="O46" s="583"/>
      <c r="P46" s="583"/>
      <c r="Q46" s="583"/>
      <c r="R46" s="583"/>
      <c r="S46" s="583"/>
      <c r="T46" s="583"/>
      <c r="U46" s="583"/>
      <c r="V46" s="583"/>
      <c r="W46" s="583"/>
      <c r="X46" s="583"/>
      <c r="Y46" s="583"/>
      <c r="Z46" s="583"/>
      <c r="AA46" s="583"/>
      <c r="AB46" s="583"/>
      <c r="AC46" s="583"/>
      <c r="AD46" s="583"/>
      <c r="AE46" s="583"/>
      <c r="AF46" s="583"/>
    </row>
    <row r="47" ht="19.5" customHeight="1">
      <c r="A47" s="600"/>
      <c r="B47" s="603"/>
      <c r="C47" s="600"/>
      <c r="D47" s="633"/>
      <c r="E47" s="632">
        <f>D47-D42</f>
        <v>0</v>
      </c>
      <c r="F47" s="621"/>
      <c r="G47" s="622">
        <f>D21*0.4</f>
        <v>1080</v>
      </c>
      <c r="H47" s="622" t="s">
        <v>222</v>
      </c>
      <c r="L47" s="583"/>
      <c r="M47" s="585"/>
      <c r="N47" s="583"/>
      <c r="O47" s="583"/>
      <c r="P47" s="583"/>
      <c r="Q47" s="583"/>
      <c r="R47" s="583"/>
      <c r="S47" s="583"/>
      <c r="T47" s="583"/>
      <c r="U47" s="583"/>
      <c r="V47" s="583"/>
      <c r="W47" s="583"/>
      <c r="X47" s="583"/>
      <c r="Y47" s="583"/>
      <c r="Z47" s="583"/>
      <c r="AA47" s="583"/>
      <c r="AB47" s="583"/>
      <c r="AC47" s="583"/>
      <c r="AD47" s="583"/>
      <c r="AE47" s="583"/>
      <c r="AF47" s="583"/>
    </row>
    <row r="48" ht="19.5" customHeight="1">
      <c r="A48" s="613"/>
      <c r="B48" s="614"/>
      <c r="C48" s="613"/>
      <c r="D48" s="620" t="s">
        <v>215</v>
      </c>
      <c r="E48" s="600"/>
      <c r="F48" s="621"/>
      <c r="G48" s="622">
        <f>D21*0.3</f>
        <v>810</v>
      </c>
      <c r="H48" s="622" t="s">
        <v>223</v>
      </c>
      <c r="L48" s="583"/>
      <c r="M48" s="585"/>
      <c r="N48" s="583"/>
      <c r="O48" s="583"/>
      <c r="P48" s="583"/>
      <c r="Q48" s="583"/>
      <c r="R48" s="583"/>
      <c r="S48" s="583"/>
      <c r="T48" s="583"/>
      <c r="U48" s="583"/>
      <c r="V48" s="583"/>
      <c r="W48" s="583"/>
      <c r="X48" s="583"/>
      <c r="Y48" s="583"/>
      <c r="Z48" s="583"/>
      <c r="AA48" s="583"/>
      <c r="AB48" s="583"/>
      <c r="AC48" s="583"/>
      <c r="AD48" s="583"/>
      <c r="AE48" s="583"/>
      <c r="AF48" s="583"/>
    </row>
    <row r="49" ht="19.5" customHeight="1">
      <c r="A49" s="600"/>
      <c r="B49" s="603"/>
      <c r="C49" s="600"/>
      <c r="D49" s="624"/>
      <c r="E49" s="600"/>
      <c r="F49" s="625" t="s">
        <v>214</v>
      </c>
      <c r="G49" s="626" t="s">
        <v>224</v>
      </c>
      <c r="K49" s="639"/>
      <c r="L49" s="583"/>
      <c r="M49" s="585"/>
      <c r="N49" s="583"/>
      <c r="O49" s="583"/>
      <c r="P49" s="583"/>
      <c r="Q49" s="583"/>
      <c r="R49" s="583"/>
      <c r="S49" s="583"/>
      <c r="T49" s="583"/>
      <c r="U49" s="583"/>
      <c r="V49" s="583"/>
      <c r="W49" s="583"/>
      <c r="X49" s="583"/>
      <c r="Y49" s="583"/>
      <c r="Z49" s="583"/>
      <c r="AA49" s="583"/>
      <c r="AB49" s="583"/>
      <c r="AC49" s="583"/>
      <c r="AD49" s="583"/>
      <c r="AE49" s="583"/>
      <c r="AF49" s="583"/>
    </row>
    <row r="50" ht="19.5" customHeight="1">
      <c r="A50" s="600"/>
      <c r="B50" s="603"/>
      <c r="C50" s="600"/>
      <c r="D50" s="611"/>
      <c r="E50" s="600"/>
      <c r="F50" s="627" t="s">
        <v>216</v>
      </c>
      <c r="G50" s="628" t="s">
        <v>225</v>
      </c>
      <c r="K50" s="640"/>
      <c r="L50" s="583"/>
      <c r="M50" s="585"/>
      <c r="N50" s="583"/>
      <c r="O50" s="583"/>
      <c r="P50" s="583"/>
      <c r="Q50" s="583"/>
      <c r="R50" s="583"/>
      <c r="S50" s="583"/>
      <c r="T50" s="583"/>
      <c r="U50" s="583"/>
      <c r="V50" s="583"/>
      <c r="W50" s="583"/>
      <c r="X50" s="583"/>
      <c r="Y50" s="583"/>
      <c r="Z50" s="583"/>
      <c r="AA50" s="583"/>
      <c r="AB50" s="583"/>
      <c r="AC50" s="583"/>
      <c r="AD50" s="583"/>
      <c r="AE50" s="583"/>
      <c r="AF50" s="583"/>
    </row>
    <row r="51" ht="7.5" customHeight="1">
      <c r="A51" s="613"/>
      <c r="B51" s="614"/>
      <c r="C51" s="613"/>
      <c r="D51" s="634"/>
      <c r="E51" s="635"/>
      <c r="F51" s="634"/>
      <c r="G51" s="636"/>
      <c r="H51" s="636"/>
      <c r="I51" s="637"/>
      <c r="J51" s="637"/>
      <c r="K51" s="637"/>
      <c r="L51" s="583"/>
      <c r="M51" s="585"/>
      <c r="N51" s="583"/>
      <c r="O51" s="583"/>
      <c r="P51" s="583"/>
      <c r="Q51" s="583"/>
      <c r="R51" s="583"/>
      <c r="S51" s="583"/>
      <c r="T51" s="583"/>
      <c r="U51" s="583"/>
      <c r="V51" s="583"/>
      <c r="W51" s="583"/>
      <c r="X51" s="583"/>
      <c r="Y51" s="583"/>
      <c r="Z51" s="583"/>
      <c r="AA51" s="583"/>
      <c r="AB51" s="583"/>
      <c r="AC51" s="583"/>
      <c r="AD51" s="583"/>
      <c r="AE51" s="583"/>
      <c r="AF51" s="583"/>
    </row>
    <row r="52" ht="19.5" customHeight="1">
      <c r="A52" s="613"/>
      <c r="B52" s="614"/>
      <c r="C52" s="613"/>
      <c r="D52" s="634" t="s">
        <v>226</v>
      </c>
      <c r="E52" s="635"/>
      <c r="F52" s="618" t="s">
        <v>211</v>
      </c>
      <c r="G52" s="619">
        <f>D19*1.7</f>
        <v>5.1</v>
      </c>
      <c r="H52" s="619" t="s">
        <v>207</v>
      </c>
      <c r="I52" s="638"/>
      <c r="J52" s="638"/>
      <c r="K52" s="638"/>
      <c r="L52" s="583"/>
      <c r="M52" s="585"/>
      <c r="N52" s="583"/>
      <c r="O52" s="583"/>
      <c r="P52" s="583"/>
      <c r="Q52" s="583"/>
      <c r="R52" s="583"/>
      <c r="S52" s="583"/>
      <c r="T52" s="583"/>
      <c r="U52" s="583"/>
      <c r="V52" s="583"/>
      <c r="W52" s="583"/>
      <c r="X52" s="583"/>
      <c r="Y52" s="583"/>
      <c r="Z52" s="583"/>
      <c r="AA52" s="583"/>
      <c r="AB52" s="583"/>
      <c r="AC52" s="583"/>
      <c r="AD52" s="583"/>
      <c r="AE52" s="583"/>
      <c r="AF52" s="583"/>
    </row>
    <row r="53" ht="19.5" customHeight="1">
      <c r="A53" s="613"/>
      <c r="B53" s="614"/>
      <c r="C53" s="613"/>
      <c r="D53" s="620" t="s">
        <v>212</v>
      </c>
      <c r="E53" s="630" t="s">
        <v>218</v>
      </c>
      <c r="F53" s="621" t="s">
        <v>208</v>
      </c>
      <c r="G53" s="622">
        <f>D21*0.3</f>
        <v>810</v>
      </c>
      <c r="H53" s="622" t="s">
        <v>221</v>
      </c>
      <c r="L53" s="583"/>
      <c r="M53" s="585"/>
      <c r="N53" s="583"/>
      <c r="O53" s="583"/>
      <c r="P53" s="583"/>
      <c r="Q53" s="583"/>
      <c r="R53" s="583"/>
      <c r="S53" s="583"/>
      <c r="T53" s="583"/>
      <c r="U53" s="583"/>
      <c r="V53" s="583"/>
      <c r="W53" s="583"/>
      <c r="X53" s="583"/>
      <c r="Y53" s="583"/>
      <c r="Z53" s="583"/>
      <c r="AA53" s="583"/>
      <c r="AB53" s="583"/>
      <c r="AC53" s="583"/>
      <c r="AD53" s="583"/>
      <c r="AE53" s="583"/>
      <c r="AF53" s="583"/>
    </row>
    <row r="54" ht="19.5" customHeight="1">
      <c r="A54" s="600"/>
      <c r="B54" s="603"/>
      <c r="C54" s="600"/>
      <c r="D54" s="633"/>
      <c r="E54" s="632">
        <f>D54-D49</f>
        <v>0</v>
      </c>
      <c r="F54" s="621"/>
      <c r="G54" s="622">
        <f>D21*0.4</f>
        <v>1080</v>
      </c>
      <c r="H54" s="622" t="s">
        <v>222</v>
      </c>
      <c r="L54" s="583"/>
      <c r="M54" s="585"/>
      <c r="N54" s="583"/>
      <c r="O54" s="583"/>
      <c r="P54" s="583"/>
      <c r="Q54" s="583"/>
      <c r="R54" s="583"/>
      <c r="S54" s="583"/>
      <c r="T54" s="583"/>
      <c r="U54" s="583"/>
      <c r="V54" s="583"/>
      <c r="W54" s="583"/>
      <c r="X54" s="583"/>
      <c r="Y54" s="583"/>
      <c r="Z54" s="583"/>
      <c r="AA54" s="583"/>
      <c r="AB54" s="583"/>
      <c r="AC54" s="583"/>
      <c r="AD54" s="583"/>
      <c r="AE54" s="583"/>
      <c r="AF54" s="583"/>
    </row>
    <row r="55" ht="19.5" customHeight="1">
      <c r="A55" s="613"/>
      <c r="B55" s="614"/>
      <c r="C55" s="613"/>
      <c r="D55" s="620" t="s">
        <v>215</v>
      </c>
      <c r="E55" s="600"/>
      <c r="F55" s="621"/>
      <c r="G55" s="622">
        <f>D21*0.3</f>
        <v>810</v>
      </c>
      <c r="H55" s="622" t="s">
        <v>223</v>
      </c>
      <c r="L55" s="583"/>
      <c r="M55" s="585"/>
      <c r="N55" s="583"/>
      <c r="O55" s="583"/>
      <c r="P55" s="583"/>
      <c r="Q55" s="583"/>
      <c r="R55" s="583"/>
      <c r="S55" s="583"/>
      <c r="T55" s="583"/>
      <c r="U55" s="583"/>
      <c r="V55" s="583"/>
      <c r="W55" s="583"/>
      <c r="X55" s="583"/>
      <c r="Y55" s="583"/>
      <c r="Z55" s="583"/>
      <c r="AA55" s="583"/>
      <c r="AB55" s="583"/>
      <c r="AC55" s="583"/>
      <c r="AD55" s="583"/>
      <c r="AE55" s="583"/>
      <c r="AF55" s="583"/>
    </row>
    <row r="56" ht="19.5" customHeight="1">
      <c r="A56" s="600"/>
      <c r="B56" s="603"/>
      <c r="C56" s="600"/>
      <c r="D56" s="624"/>
      <c r="E56" s="600"/>
      <c r="F56" s="625" t="s">
        <v>214</v>
      </c>
      <c r="G56" s="626" t="s">
        <v>224</v>
      </c>
      <c r="K56" s="639"/>
      <c r="L56" s="583"/>
      <c r="M56" s="585"/>
      <c r="N56" s="583"/>
      <c r="O56" s="583"/>
      <c r="P56" s="583"/>
      <c r="Q56" s="583"/>
      <c r="R56" s="583"/>
      <c r="S56" s="583"/>
      <c r="T56" s="583"/>
      <c r="U56" s="583"/>
      <c r="V56" s="583"/>
      <c r="W56" s="583"/>
      <c r="X56" s="583"/>
      <c r="Y56" s="583"/>
      <c r="Z56" s="583"/>
      <c r="AA56" s="583"/>
      <c r="AB56" s="583"/>
      <c r="AC56" s="583"/>
      <c r="AD56" s="583"/>
      <c r="AE56" s="583"/>
      <c r="AF56" s="583"/>
    </row>
    <row r="57" ht="19.5" customHeight="1">
      <c r="A57" s="600"/>
      <c r="B57" s="603"/>
      <c r="C57" s="600"/>
      <c r="D57" s="611"/>
      <c r="E57" s="600"/>
      <c r="F57" s="627" t="s">
        <v>216</v>
      </c>
      <c r="G57" s="628" t="s">
        <v>225</v>
      </c>
      <c r="K57" s="640"/>
      <c r="L57" s="583"/>
      <c r="M57" s="585"/>
      <c r="N57" s="583"/>
      <c r="O57" s="583"/>
      <c r="P57" s="583"/>
      <c r="Q57" s="583"/>
      <c r="R57" s="583"/>
      <c r="S57" s="583"/>
      <c r="T57" s="583"/>
      <c r="U57" s="583"/>
      <c r="V57" s="583"/>
      <c r="W57" s="583"/>
      <c r="X57" s="583"/>
      <c r="Y57" s="583"/>
      <c r="Z57" s="583"/>
      <c r="AA57" s="583"/>
      <c r="AB57" s="583"/>
      <c r="AC57" s="583"/>
      <c r="AD57" s="583"/>
      <c r="AE57" s="583"/>
      <c r="AF57" s="583"/>
    </row>
    <row r="58" ht="7.5" customHeight="1">
      <c r="A58" s="613"/>
      <c r="B58" s="614"/>
      <c r="C58" s="613"/>
      <c r="D58" s="634"/>
      <c r="E58" s="635"/>
      <c r="F58" s="634"/>
      <c r="G58" s="636"/>
      <c r="H58" s="636"/>
      <c r="I58" s="637"/>
      <c r="J58" s="637"/>
      <c r="K58" s="637"/>
      <c r="L58" s="583"/>
      <c r="M58" s="585"/>
      <c r="N58" s="583"/>
      <c r="O58" s="583"/>
      <c r="P58" s="583"/>
      <c r="Q58" s="583"/>
      <c r="R58" s="583"/>
      <c r="S58" s="583"/>
      <c r="T58" s="583"/>
      <c r="U58" s="583"/>
      <c r="V58" s="583"/>
      <c r="W58" s="583"/>
      <c r="X58" s="583"/>
      <c r="Y58" s="583"/>
      <c r="Z58" s="583"/>
      <c r="AA58" s="583"/>
      <c r="AB58" s="583"/>
      <c r="AC58" s="583"/>
      <c r="AD58" s="583"/>
      <c r="AE58" s="583"/>
      <c r="AF58" s="583"/>
    </row>
    <row r="59" ht="19.5" customHeight="1">
      <c r="A59" s="613"/>
      <c r="B59" s="614"/>
      <c r="C59" s="613"/>
      <c r="D59" s="634" t="s">
        <v>227</v>
      </c>
      <c r="E59" s="635"/>
      <c r="F59" s="618" t="s">
        <v>211</v>
      </c>
      <c r="G59" s="619">
        <f>D19/2</f>
        <v>1.5</v>
      </c>
      <c r="H59" s="619" t="s">
        <v>207</v>
      </c>
      <c r="I59" s="638"/>
      <c r="J59" s="638"/>
      <c r="K59" s="638"/>
      <c r="L59" s="583"/>
      <c r="M59" s="585"/>
      <c r="N59" s="583"/>
      <c r="O59" s="583"/>
      <c r="P59" s="583"/>
      <c r="Q59" s="583"/>
      <c r="R59" s="583"/>
      <c r="S59" s="583"/>
      <c r="T59" s="583"/>
      <c r="U59" s="583"/>
      <c r="V59" s="583"/>
      <c r="W59" s="583"/>
      <c r="X59" s="583"/>
      <c r="Y59" s="583"/>
      <c r="Z59" s="583"/>
      <c r="AA59" s="583"/>
      <c r="AB59" s="583"/>
      <c r="AC59" s="583"/>
      <c r="AD59" s="583"/>
      <c r="AE59" s="583"/>
      <c r="AF59" s="583"/>
    </row>
    <row r="60" ht="19.5" customHeight="1">
      <c r="A60" s="613"/>
      <c r="B60" s="614"/>
      <c r="C60" s="613"/>
      <c r="D60" s="620" t="s">
        <v>228</v>
      </c>
      <c r="E60" s="630" t="s">
        <v>218</v>
      </c>
      <c r="F60" s="621" t="s">
        <v>208</v>
      </c>
      <c r="G60" s="622">
        <f>D21*0.3</f>
        <v>810</v>
      </c>
      <c r="H60" s="622" t="s">
        <v>221</v>
      </c>
      <c r="L60" s="583"/>
      <c r="M60" s="585"/>
      <c r="N60" s="583"/>
      <c r="O60" s="583"/>
      <c r="P60" s="583"/>
      <c r="Q60" s="583"/>
      <c r="R60" s="583"/>
      <c r="S60" s="583"/>
      <c r="T60" s="583"/>
      <c r="U60" s="583"/>
      <c r="V60" s="583"/>
      <c r="W60" s="583"/>
      <c r="X60" s="583"/>
      <c r="Y60" s="583"/>
      <c r="Z60" s="583"/>
      <c r="AA60" s="583"/>
      <c r="AB60" s="583"/>
      <c r="AC60" s="583"/>
      <c r="AD60" s="583"/>
      <c r="AE60" s="583"/>
      <c r="AF60" s="583"/>
    </row>
    <row r="61" ht="19.5" customHeight="1">
      <c r="A61" s="600"/>
      <c r="B61" s="603"/>
      <c r="C61" s="600"/>
      <c r="D61" s="633"/>
      <c r="E61" s="632">
        <f>D61-D56</f>
        <v>0</v>
      </c>
      <c r="F61" s="621"/>
      <c r="G61" s="622">
        <f>D21*0.4</f>
        <v>1080</v>
      </c>
      <c r="H61" s="622" t="s">
        <v>222</v>
      </c>
      <c r="L61" s="583"/>
      <c r="M61" s="585"/>
      <c r="N61" s="583"/>
      <c r="O61" s="583"/>
      <c r="P61" s="583"/>
      <c r="Q61" s="583"/>
      <c r="R61" s="583"/>
      <c r="S61" s="583"/>
      <c r="T61" s="583"/>
      <c r="U61" s="583"/>
      <c r="V61" s="583"/>
      <c r="W61" s="583"/>
      <c r="X61" s="583"/>
      <c r="Y61" s="583"/>
      <c r="Z61" s="583"/>
      <c r="AA61" s="583"/>
      <c r="AB61" s="583"/>
      <c r="AC61" s="583"/>
      <c r="AD61" s="583"/>
      <c r="AE61" s="583"/>
      <c r="AF61" s="583"/>
    </row>
    <row r="62" ht="19.5" customHeight="1">
      <c r="A62" s="613"/>
      <c r="B62" s="614"/>
      <c r="C62" s="613"/>
      <c r="D62" s="620" t="s">
        <v>229</v>
      </c>
      <c r="E62" s="600"/>
      <c r="F62" s="621"/>
      <c r="G62" s="622">
        <f>D21*0.3</f>
        <v>810</v>
      </c>
      <c r="H62" s="622" t="s">
        <v>223</v>
      </c>
      <c r="L62" s="583"/>
      <c r="M62" s="585"/>
      <c r="N62" s="583"/>
      <c r="O62" s="583"/>
      <c r="P62" s="583"/>
      <c r="Q62" s="583"/>
      <c r="R62" s="583"/>
      <c r="S62" s="583"/>
      <c r="T62" s="583"/>
      <c r="U62" s="583"/>
      <c r="V62" s="583"/>
      <c r="W62" s="583"/>
      <c r="X62" s="583"/>
      <c r="Y62" s="583"/>
      <c r="Z62" s="583"/>
      <c r="AA62" s="583"/>
      <c r="AB62" s="583"/>
      <c r="AC62" s="583"/>
      <c r="AD62" s="583"/>
      <c r="AE62" s="583"/>
      <c r="AF62" s="583"/>
    </row>
    <row r="63" ht="19.5" customHeight="1">
      <c r="A63" s="600"/>
      <c r="B63" s="603"/>
      <c r="C63" s="600"/>
      <c r="D63" s="624"/>
      <c r="E63" s="600"/>
      <c r="F63" s="625" t="s">
        <v>214</v>
      </c>
      <c r="G63" s="626" t="s">
        <v>224</v>
      </c>
      <c r="K63" s="639"/>
      <c r="L63" s="583"/>
      <c r="M63" s="585"/>
      <c r="N63" s="583"/>
      <c r="O63" s="583"/>
      <c r="P63" s="583"/>
      <c r="Q63" s="583"/>
      <c r="R63" s="583"/>
      <c r="S63" s="583"/>
      <c r="T63" s="583"/>
      <c r="U63" s="583"/>
      <c r="V63" s="583"/>
      <c r="W63" s="583"/>
      <c r="X63" s="583"/>
      <c r="Y63" s="583"/>
      <c r="Z63" s="583"/>
      <c r="AA63" s="583"/>
      <c r="AB63" s="583"/>
      <c r="AC63" s="583"/>
      <c r="AD63" s="583"/>
      <c r="AE63" s="583"/>
      <c r="AF63" s="583"/>
    </row>
    <row r="64" ht="19.5" customHeight="1">
      <c r="A64" s="600"/>
      <c r="B64" s="603"/>
      <c r="C64" s="600"/>
      <c r="D64" s="611"/>
      <c r="E64" s="600"/>
      <c r="F64" s="627" t="s">
        <v>216</v>
      </c>
      <c r="G64" s="628" t="s">
        <v>225</v>
      </c>
      <c r="K64" s="640"/>
      <c r="L64" s="583"/>
      <c r="M64" s="585"/>
      <c r="N64" s="583"/>
      <c r="O64" s="583"/>
      <c r="P64" s="583"/>
      <c r="Q64" s="583"/>
      <c r="R64" s="583"/>
      <c r="S64" s="583"/>
      <c r="T64" s="583"/>
      <c r="U64" s="583"/>
      <c r="V64" s="583"/>
      <c r="W64" s="583"/>
      <c r="X64" s="583"/>
      <c r="Y64" s="583"/>
      <c r="Z64" s="583"/>
      <c r="AA64" s="583"/>
      <c r="AB64" s="583"/>
      <c r="AC64" s="583"/>
      <c r="AD64" s="583"/>
      <c r="AE64" s="583"/>
      <c r="AF64" s="583"/>
    </row>
    <row r="65" ht="7.5" customHeight="1">
      <c r="A65" s="613"/>
      <c r="B65" s="614"/>
      <c r="C65" s="613"/>
      <c r="D65" s="641"/>
      <c r="E65" s="642"/>
      <c r="F65" s="643"/>
      <c r="G65" s="643"/>
      <c r="H65" s="642"/>
      <c r="I65" s="644"/>
      <c r="J65" s="644"/>
      <c r="K65" s="644"/>
      <c r="L65" s="583"/>
      <c r="M65" s="585"/>
      <c r="N65" s="583"/>
      <c r="O65" s="583"/>
      <c r="P65" s="583"/>
      <c r="Q65" s="583"/>
      <c r="R65" s="583"/>
      <c r="S65" s="583"/>
      <c r="T65" s="583"/>
      <c r="U65" s="583"/>
      <c r="V65" s="583"/>
      <c r="W65" s="583"/>
      <c r="X65" s="583"/>
      <c r="Y65" s="583"/>
      <c r="Z65" s="583"/>
      <c r="AA65" s="583"/>
      <c r="AB65" s="583"/>
      <c r="AC65" s="583"/>
      <c r="AD65" s="583"/>
      <c r="AE65" s="583"/>
      <c r="AF65" s="583"/>
    </row>
    <row r="66" ht="19.5" customHeight="1">
      <c r="A66" s="613"/>
      <c r="B66" s="614"/>
      <c r="C66" s="613"/>
      <c r="D66" s="641" t="s">
        <v>230</v>
      </c>
      <c r="E66" s="642"/>
      <c r="F66" s="620" t="s">
        <v>231</v>
      </c>
      <c r="L66" s="583"/>
      <c r="M66" s="585"/>
      <c r="N66" s="583"/>
      <c r="O66" s="583"/>
      <c r="P66" s="583"/>
      <c r="Q66" s="583"/>
      <c r="R66" s="583"/>
      <c r="S66" s="583"/>
      <c r="T66" s="583"/>
      <c r="U66" s="583"/>
      <c r="V66" s="583"/>
      <c r="W66" s="583"/>
      <c r="X66" s="583"/>
      <c r="Y66" s="583"/>
      <c r="Z66" s="583"/>
      <c r="AA66" s="583"/>
      <c r="AB66" s="583"/>
      <c r="AC66" s="583"/>
      <c r="AD66" s="583"/>
      <c r="AE66" s="583"/>
      <c r="AF66" s="583"/>
    </row>
    <row r="67" ht="19.5" customHeight="1">
      <c r="A67" s="613"/>
      <c r="B67" s="614"/>
      <c r="C67" s="613"/>
      <c r="D67" s="620" t="s">
        <v>212</v>
      </c>
      <c r="E67" s="630" t="s">
        <v>218</v>
      </c>
      <c r="F67" s="623"/>
      <c r="L67" s="583"/>
      <c r="M67" s="585"/>
      <c r="N67" s="583"/>
      <c r="O67" s="583"/>
      <c r="P67" s="583"/>
      <c r="Q67" s="583"/>
      <c r="R67" s="583"/>
      <c r="S67" s="583"/>
      <c r="T67" s="583"/>
      <c r="U67" s="583"/>
      <c r="V67" s="583"/>
      <c r="W67" s="583"/>
      <c r="X67" s="583"/>
      <c r="Y67" s="583"/>
      <c r="Z67" s="583"/>
      <c r="AA67" s="583"/>
      <c r="AB67" s="583"/>
      <c r="AC67" s="583"/>
      <c r="AD67" s="583"/>
      <c r="AE67" s="583"/>
      <c r="AF67" s="583"/>
    </row>
    <row r="68" ht="19.5" customHeight="1">
      <c r="A68" s="600"/>
      <c r="B68" s="603"/>
      <c r="C68" s="600"/>
      <c r="D68" s="633">
        <v>164.6</v>
      </c>
      <c r="E68" s="645">
        <f>D68-D63</f>
        <v>164.6</v>
      </c>
      <c r="L68" s="583"/>
      <c r="M68" s="585"/>
      <c r="N68" s="583"/>
      <c r="O68" s="583"/>
      <c r="P68" s="583"/>
      <c r="Q68" s="583"/>
      <c r="R68" s="583"/>
      <c r="S68" s="583"/>
      <c r="T68" s="583"/>
      <c r="U68" s="583"/>
      <c r="V68" s="583"/>
      <c r="W68" s="583"/>
      <c r="X68" s="583"/>
      <c r="Y68" s="583"/>
      <c r="Z68" s="583"/>
      <c r="AA68" s="583"/>
      <c r="AB68" s="583"/>
      <c r="AC68" s="583"/>
      <c r="AD68" s="583"/>
      <c r="AE68" s="583"/>
      <c r="AF68" s="583"/>
    </row>
    <row r="69" ht="19.5" customHeight="1">
      <c r="A69" s="600"/>
      <c r="B69" s="603"/>
      <c r="C69" s="600"/>
      <c r="D69" s="611"/>
      <c r="E69" s="646" t="s">
        <v>232</v>
      </c>
      <c r="F69" s="611"/>
      <c r="G69" s="611"/>
      <c r="H69" s="600"/>
      <c r="I69" s="583"/>
      <c r="J69" s="583"/>
      <c r="K69" s="583"/>
      <c r="L69" s="583"/>
      <c r="M69" s="585"/>
      <c r="N69" s="583"/>
      <c r="O69" s="583"/>
      <c r="P69" s="583"/>
      <c r="Q69" s="583"/>
      <c r="R69" s="583"/>
      <c r="S69" s="583"/>
      <c r="T69" s="583"/>
      <c r="U69" s="583"/>
      <c r="V69" s="583"/>
      <c r="W69" s="583"/>
      <c r="X69" s="583"/>
      <c r="Y69" s="583"/>
      <c r="Z69" s="583"/>
      <c r="AA69" s="583"/>
      <c r="AB69" s="583"/>
      <c r="AC69" s="583"/>
      <c r="AD69" s="583"/>
      <c r="AE69" s="583"/>
      <c r="AF69" s="583"/>
    </row>
    <row r="70" ht="19.5" customHeight="1">
      <c r="A70" s="647"/>
      <c r="B70" s="648"/>
      <c r="C70" s="647"/>
      <c r="D70" s="649"/>
      <c r="E70" s="650"/>
      <c r="F70" s="649"/>
      <c r="G70" s="649"/>
      <c r="H70" s="647"/>
      <c r="I70" s="583"/>
      <c r="J70" s="583"/>
      <c r="K70" s="583"/>
      <c r="L70" s="583"/>
      <c r="M70" s="585"/>
      <c r="N70" s="583"/>
      <c r="O70" s="583"/>
      <c r="P70" s="583"/>
      <c r="Q70" s="583"/>
      <c r="R70" s="583"/>
      <c r="S70" s="583"/>
      <c r="T70" s="583"/>
      <c r="U70" s="583"/>
      <c r="V70" s="583"/>
      <c r="W70" s="583"/>
      <c r="X70" s="583"/>
      <c r="Y70" s="583"/>
      <c r="Z70" s="583"/>
      <c r="AA70" s="583"/>
      <c r="AB70" s="583"/>
      <c r="AC70" s="583"/>
      <c r="AD70" s="583"/>
      <c r="AE70" s="583"/>
      <c r="AF70" s="583"/>
    </row>
    <row r="71" ht="19.5" customHeight="1">
      <c r="A71" s="647"/>
      <c r="B71" s="647"/>
      <c r="C71" s="647"/>
      <c r="D71" s="649"/>
      <c r="E71" s="647"/>
      <c r="F71" s="649"/>
      <c r="G71" s="649"/>
      <c r="H71" s="647"/>
      <c r="I71" s="583"/>
      <c r="J71" s="583"/>
      <c r="K71" s="583"/>
      <c r="L71" s="583"/>
      <c r="M71" s="583"/>
      <c r="N71" s="583"/>
      <c r="O71" s="583"/>
      <c r="P71" s="583"/>
      <c r="Q71" s="583"/>
      <c r="R71" s="583"/>
      <c r="S71" s="583"/>
      <c r="T71" s="583"/>
      <c r="U71" s="583"/>
      <c r="V71" s="583"/>
      <c r="W71" s="583"/>
      <c r="X71" s="583"/>
      <c r="Y71" s="583"/>
      <c r="Z71" s="583"/>
      <c r="AA71" s="583"/>
      <c r="AB71" s="583"/>
      <c r="AC71" s="583"/>
      <c r="AD71" s="583"/>
      <c r="AE71" s="583"/>
      <c r="AF71" s="583"/>
    </row>
    <row r="72" ht="19.5" customHeight="1">
      <c r="A72" s="647"/>
      <c r="B72" s="647"/>
      <c r="C72" s="647"/>
      <c r="D72" s="649"/>
      <c r="E72" s="647"/>
      <c r="F72" s="649"/>
      <c r="G72" s="649"/>
      <c r="H72" s="647"/>
      <c r="I72" s="583"/>
      <c r="J72" s="583"/>
      <c r="K72" s="583"/>
      <c r="L72" s="583"/>
      <c r="M72" s="583"/>
      <c r="N72" s="583"/>
      <c r="O72" s="583"/>
      <c r="P72" s="583"/>
      <c r="Q72" s="583"/>
      <c r="R72" s="583"/>
      <c r="S72" s="583"/>
      <c r="T72" s="583"/>
      <c r="U72" s="583"/>
      <c r="V72" s="583"/>
      <c r="W72" s="583"/>
      <c r="X72" s="583"/>
      <c r="Y72" s="583"/>
      <c r="Z72" s="583"/>
      <c r="AA72" s="583"/>
      <c r="AB72" s="583"/>
      <c r="AC72" s="583"/>
      <c r="AD72" s="583"/>
      <c r="AE72" s="583"/>
      <c r="AF72" s="583"/>
    </row>
    <row r="73" ht="19.5" customHeight="1">
      <c r="A73" s="647"/>
      <c r="B73" s="647"/>
      <c r="C73" s="647"/>
      <c r="D73" s="649"/>
      <c r="E73" s="647"/>
      <c r="F73" s="649"/>
      <c r="G73" s="649"/>
      <c r="H73" s="647"/>
      <c r="I73" s="583"/>
      <c r="J73" s="583"/>
      <c r="K73" s="583"/>
      <c r="L73" s="583"/>
      <c r="M73" s="583"/>
      <c r="N73" s="583"/>
      <c r="O73" s="583"/>
      <c r="P73" s="583"/>
      <c r="Q73" s="583"/>
      <c r="R73" s="583"/>
      <c r="S73" s="583"/>
      <c r="T73" s="583"/>
      <c r="U73" s="583"/>
      <c r="V73" s="583"/>
      <c r="W73" s="583"/>
      <c r="X73" s="583"/>
      <c r="Y73" s="583"/>
      <c r="Z73" s="583"/>
      <c r="AA73" s="583"/>
      <c r="AB73" s="583"/>
      <c r="AC73" s="583"/>
      <c r="AD73" s="583"/>
      <c r="AE73" s="583"/>
      <c r="AF73" s="583"/>
    </row>
    <row r="74" ht="19.5" customHeight="1">
      <c r="A74" s="647"/>
      <c r="B74" s="647"/>
      <c r="C74" s="647"/>
      <c r="D74" s="649"/>
      <c r="E74" s="647"/>
      <c r="F74" s="649"/>
      <c r="G74" s="649"/>
      <c r="H74" s="647"/>
      <c r="I74" s="583"/>
      <c r="J74" s="583"/>
      <c r="K74" s="583"/>
      <c r="L74" s="583"/>
      <c r="M74" s="583"/>
      <c r="N74" s="583"/>
      <c r="O74" s="583"/>
      <c r="P74" s="583"/>
      <c r="Q74" s="583"/>
      <c r="R74" s="583"/>
      <c r="S74" s="583"/>
      <c r="T74" s="583"/>
      <c r="U74" s="583"/>
      <c r="V74" s="583"/>
      <c r="W74" s="583"/>
      <c r="X74" s="583"/>
      <c r="Y74" s="583"/>
      <c r="Z74" s="583"/>
      <c r="AA74" s="583"/>
      <c r="AB74" s="583"/>
      <c r="AC74" s="583"/>
      <c r="AD74" s="583"/>
      <c r="AE74" s="583"/>
      <c r="AF74" s="583"/>
    </row>
    <row r="75" ht="19.5" customHeight="1">
      <c r="A75" s="647"/>
      <c r="B75" s="647"/>
      <c r="C75" s="647"/>
      <c r="D75" s="649"/>
      <c r="E75" s="647"/>
      <c r="F75" s="649"/>
      <c r="G75" s="649"/>
      <c r="H75" s="647"/>
      <c r="I75" s="583"/>
      <c r="J75" s="583"/>
      <c r="K75" s="583"/>
      <c r="L75" s="583"/>
      <c r="M75" s="583"/>
      <c r="N75" s="583"/>
      <c r="O75" s="583"/>
      <c r="P75" s="583"/>
      <c r="Q75" s="583"/>
      <c r="R75" s="583"/>
      <c r="S75" s="583"/>
      <c r="T75" s="583"/>
      <c r="U75" s="583"/>
      <c r="V75" s="583"/>
      <c r="W75" s="583"/>
      <c r="X75" s="583"/>
      <c r="Y75" s="583"/>
      <c r="Z75" s="583"/>
      <c r="AA75" s="583"/>
      <c r="AB75" s="583"/>
      <c r="AC75" s="583"/>
      <c r="AD75" s="583"/>
      <c r="AE75" s="583"/>
      <c r="AF75" s="583"/>
    </row>
    <row r="76" ht="19.5" customHeight="1">
      <c r="A76" s="647"/>
      <c r="B76" s="647"/>
      <c r="C76" s="647"/>
      <c r="D76" s="649"/>
      <c r="E76" s="647"/>
      <c r="F76" s="649"/>
      <c r="G76" s="649"/>
      <c r="H76" s="647"/>
      <c r="I76" s="583"/>
      <c r="J76" s="583"/>
      <c r="K76" s="583"/>
      <c r="L76" s="583"/>
      <c r="M76" s="583"/>
      <c r="N76" s="583"/>
      <c r="O76" s="583"/>
      <c r="P76" s="583"/>
      <c r="Q76" s="583"/>
      <c r="R76" s="583"/>
      <c r="S76" s="583"/>
      <c r="T76" s="583"/>
      <c r="U76" s="583"/>
      <c r="V76" s="583"/>
      <c r="W76" s="583"/>
      <c r="X76" s="583"/>
      <c r="Y76" s="583"/>
      <c r="Z76" s="583"/>
      <c r="AA76" s="583"/>
      <c r="AB76" s="583"/>
      <c r="AC76" s="583"/>
      <c r="AD76" s="583"/>
      <c r="AE76" s="583"/>
      <c r="AF76" s="583"/>
    </row>
    <row r="77" ht="19.5" customHeight="1">
      <c r="A77" s="647"/>
      <c r="B77" s="647"/>
      <c r="C77" s="647"/>
      <c r="D77" s="649"/>
      <c r="E77" s="647"/>
      <c r="F77" s="649"/>
      <c r="G77" s="649"/>
      <c r="H77" s="647"/>
      <c r="I77" s="583"/>
      <c r="J77" s="583"/>
      <c r="K77" s="583"/>
      <c r="L77" s="583"/>
      <c r="M77" s="583"/>
      <c r="N77" s="583"/>
      <c r="O77" s="583"/>
      <c r="P77" s="583"/>
      <c r="Q77" s="583"/>
      <c r="R77" s="583"/>
      <c r="S77" s="583"/>
      <c r="T77" s="583"/>
      <c r="U77" s="583"/>
      <c r="V77" s="583"/>
      <c r="W77" s="583"/>
      <c r="X77" s="583"/>
      <c r="Y77" s="583"/>
      <c r="Z77" s="583"/>
      <c r="AA77" s="583"/>
      <c r="AB77" s="583"/>
      <c r="AC77" s="583"/>
      <c r="AD77" s="583"/>
      <c r="AE77" s="583"/>
      <c r="AF77" s="583"/>
    </row>
    <row r="78" ht="19.5" customHeight="1">
      <c r="A78" s="647"/>
      <c r="B78" s="647"/>
      <c r="C78" s="647"/>
      <c r="D78" s="649"/>
      <c r="E78" s="647"/>
      <c r="F78" s="649"/>
      <c r="G78" s="649"/>
      <c r="H78" s="647"/>
      <c r="I78" s="583"/>
      <c r="J78" s="583"/>
      <c r="K78" s="583"/>
      <c r="L78" s="583"/>
      <c r="M78" s="583"/>
      <c r="N78" s="583"/>
      <c r="O78" s="583"/>
      <c r="P78" s="583"/>
      <c r="Q78" s="583"/>
      <c r="R78" s="583"/>
      <c r="S78" s="583"/>
      <c r="T78" s="583"/>
      <c r="U78" s="583"/>
      <c r="V78" s="583"/>
      <c r="W78" s="583"/>
      <c r="X78" s="583"/>
      <c r="Y78" s="583"/>
      <c r="Z78" s="583"/>
      <c r="AA78" s="583"/>
      <c r="AB78" s="583"/>
      <c r="AC78" s="583"/>
      <c r="AD78" s="583"/>
      <c r="AE78" s="583"/>
      <c r="AF78" s="583"/>
    </row>
    <row r="79" ht="19.5" customHeight="1">
      <c r="A79" s="647"/>
      <c r="B79" s="647"/>
      <c r="C79" s="647"/>
      <c r="D79" s="649"/>
      <c r="E79" s="647"/>
      <c r="F79" s="649"/>
      <c r="G79" s="649"/>
      <c r="H79" s="647"/>
      <c r="I79" s="583"/>
      <c r="J79" s="583"/>
      <c r="K79" s="583"/>
      <c r="L79" s="583"/>
      <c r="M79" s="583"/>
      <c r="N79" s="583"/>
      <c r="O79" s="583"/>
      <c r="P79" s="583"/>
      <c r="Q79" s="583"/>
      <c r="R79" s="583"/>
      <c r="S79" s="583"/>
      <c r="T79" s="583"/>
      <c r="U79" s="583"/>
      <c r="V79" s="583"/>
      <c r="W79" s="583"/>
      <c r="X79" s="583"/>
      <c r="Y79" s="583"/>
      <c r="Z79" s="583"/>
      <c r="AA79" s="583"/>
      <c r="AB79" s="583"/>
      <c r="AC79" s="583"/>
      <c r="AD79" s="583"/>
      <c r="AE79" s="583"/>
      <c r="AF79" s="583"/>
    </row>
    <row r="80" ht="19.5" customHeight="1">
      <c r="A80" s="647"/>
      <c r="B80" s="647"/>
      <c r="C80" s="647"/>
      <c r="D80" s="649"/>
      <c r="E80" s="647"/>
      <c r="F80" s="649"/>
      <c r="G80" s="649"/>
      <c r="H80" s="647"/>
      <c r="I80" s="583"/>
      <c r="J80" s="583"/>
      <c r="K80" s="583"/>
      <c r="L80" s="583"/>
      <c r="M80" s="583"/>
      <c r="N80" s="583"/>
      <c r="O80" s="583"/>
      <c r="P80" s="583"/>
      <c r="Q80" s="583"/>
      <c r="R80" s="583"/>
      <c r="S80" s="583"/>
      <c r="T80" s="583"/>
      <c r="U80" s="583"/>
      <c r="V80" s="583"/>
      <c r="W80" s="583"/>
      <c r="X80" s="583"/>
      <c r="Y80" s="583"/>
      <c r="Z80" s="583"/>
      <c r="AA80" s="583"/>
      <c r="AB80" s="583"/>
      <c r="AC80" s="583"/>
      <c r="AD80" s="583"/>
      <c r="AE80" s="583"/>
      <c r="AF80" s="583"/>
    </row>
    <row r="81" ht="19.5" customHeight="1">
      <c r="A81" s="647"/>
      <c r="B81" s="647"/>
      <c r="C81" s="647"/>
      <c r="D81" s="649"/>
      <c r="E81" s="647"/>
      <c r="F81" s="649"/>
      <c r="G81" s="649"/>
      <c r="H81" s="647"/>
      <c r="I81" s="583"/>
      <c r="J81" s="583"/>
      <c r="K81" s="583"/>
      <c r="L81" s="583"/>
      <c r="M81" s="583"/>
      <c r="N81" s="583"/>
      <c r="O81" s="583"/>
      <c r="P81" s="583"/>
      <c r="Q81" s="583"/>
      <c r="R81" s="583"/>
      <c r="S81" s="583"/>
      <c r="T81" s="583"/>
      <c r="U81" s="583"/>
      <c r="V81" s="583"/>
      <c r="W81" s="583"/>
      <c r="X81" s="583"/>
      <c r="Y81" s="583"/>
      <c r="Z81" s="583"/>
      <c r="AA81" s="583"/>
      <c r="AB81" s="583"/>
      <c r="AC81" s="583"/>
      <c r="AD81" s="583"/>
      <c r="AE81" s="583"/>
      <c r="AF81" s="583"/>
    </row>
    <row r="82" ht="19.5" customHeight="1">
      <c r="A82" s="647"/>
      <c r="B82" s="647"/>
      <c r="C82" s="647"/>
      <c r="D82" s="649"/>
      <c r="E82" s="647"/>
      <c r="F82" s="649"/>
      <c r="G82" s="649"/>
      <c r="H82" s="647"/>
      <c r="I82" s="583"/>
      <c r="J82" s="583"/>
      <c r="K82" s="583"/>
      <c r="L82" s="583"/>
      <c r="M82" s="583"/>
      <c r="N82" s="583"/>
      <c r="O82" s="583"/>
      <c r="P82" s="583"/>
      <c r="Q82" s="583"/>
      <c r="R82" s="583"/>
      <c r="S82" s="583"/>
      <c r="T82" s="583"/>
      <c r="U82" s="583"/>
      <c r="V82" s="583"/>
      <c r="W82" s="583"/>
      <c r="X82" s="583"/>
      <c r="Y82" s="583"/>
      <c r="Z82" s="583"/>
      <c r="AA82" s="583"/>
      <c r="AB82" s="583"/>
      <c r="AC82" s="583"/>
      <c r="AD82" s="583"/>
      <c r="AE82" s="583"/>
      <c r="AF82" s="583"/>
    </row>
    <row r="83" ht="19.5" customHeight="1">
      <c r="A83" s="647"/>
      <c r="B83" s="647"/>
      <c r="C83" s="647"/>
      <c r="D83" s="649"/>
      <c r="E83" s="647"/>
      <c r="F83" s="649"/>
      <c r="G83" s="649"/>
      <c r="H83" s="647"/>
      <c r="I83" s="583"/>
      <c r="J83" s="583"/>
      <c r="K83" s="583"/>
      <c r="L83" s="583"/>
      <c r="M83" s="583"/>
      <c r="N83" s="583"/>
      <c r="O83" s="583"/>
      <c r="P83" s="583"/>
      <c r="Q83" s="583"/>
      <c r="R83" s="583"/>
      <c r="S83" s="583"/>
      <c r="T83" s="583"/>
      <c r="U83" s="583"/>
      <c r="V83" s="583"/>
      <c r="W83" s="583"/>
      <c r="X83" s="583"/>
      <c r="Y83" s="583"/>
      <c r="Z83" s="583"/>
      <c r="AA83" s="583"/>
      <c r="AB83" s="583"/>
      <c r="AC83" s="583"/>
      <c r="AD83" s="583"/>
      <c r="AE83" s="583"/>
      <c r="AF83" s="583"/>
    </row>
    <row r="84" ht="19.5" customHeight="1">
      <c r="A84" s="647"/>
      <c r="B84" s="647"/>
      <c r="C84" s="647"/>
      <c r="D84" s="649"/>
      <c r="E84" s="647"/>
      <c r="F84" s="649"/>
      <c r="G84" s="649"/>
      <c r="H84" s="647"/>
      <c r="I84" s="583"/>
      <c r="J84" s="583"/>
      <c r="K84" s="583"/>
      <c r="L84" s="583"/>
      <c r="M84" s="583"/>
      <c r="N84" s="583"/>
      <c r="O84" s="583"/>
      <c r="P84" s="583"/>
      <c r="Q84" s="583"/>
      <c r="R84" s="583"/>
      <c r="S84" s="583"/>
      <c r="T84" s="583"/>
      <c r="U84" s="583"/>
      <c r="V84" s="583"/>
      <c r="W84" s="583"/>
      <c r="X84" s="583"/>
      <c r="Y84" s="583"/>
      <c r="Z84" s="583"/>
      <c r="AA84" s="583"/>
      <c r="AB84" s="583"/>
      <c r="AC84" s="583"/>
      <c r="AD84" s="583"/>
      <c r="AE84" s="583"/>
      <c r="AF84" s="583"/>
    </row>
    <row r="85" ht="19.5" customHeight="1">
      <c r="A85" s="647"/>
      <c r="B85" s="647"/>
      <c r="C85" s="647"/>
      <c r="D85" s="649"/>
      <c r="E85" s="647"/>
      <c r="F85" s="649"/>
      <c r="G85" s="649"/>
      <c r="H85" s="647"/>
      <c r="I85" s="583"/>
      <c r="J85" s="583"/>
      <c r="K85" s="583"/>
      <c r="L85" s="583"/>
      <c r="M85" s="583"/>
      <c r="N85" s="583"/>
      <c r="O85" s="583"/>
      <c r="P85" s="583"/>
      <c r="Q85" s="583"/>
      <c r="R85" s="583"/>
      <c r="S85" s="583"/>
      <c r="T85" s="583"/>
      <c r="U85" s="583"/>
      <c r="V85" s="583"/>
      <c r="W85" s="583"/>
      <c r="X85" s="583"/>
      <c r="Y85" s="583"/>
      <c r="Z85" s="583"/>
      <c r="AA85" s="583"/>
      <c r="AB85" s="583"/>
      <c r="AC85" s="583"/>
      <c r="AD85" s="583"/>
      <c r="AE85" s="583"/>
      <c r="AF85" s="583"/>
    </row>
    <row r="86" ht="19.5" customHeight="1">
      <c r="A86" s="647"/>
      <c r="B86" s="647"/>
      <c r="C86" s="647"/>
      <c r="D86" s="649"/>
      <c r="E86" s="647"/>
      <c r="F86" s="649"/>
      <c r="G86" s="649"/>
      <c r="H86" s="647"/>
      <c r="I86" s="583"/>
      <c r="J86" s="583"/>
      <c r="K86" s="583"/>
      <c r="L86" s="583"/>
      <c r="M86" s="583"/>
      <c r="N86" s="583"/>
      <c r="O86" s="583"/>
      <c r="P86" s="583"/>
      <c r="Q86" s="583"/>
      <c r="R86" s="583"/>
      <c r="S86" s="583"/>
      <c r="T86" s="583"/>
      <c r="U86" s="583"/>
      <c r="V86" s="583"/>
      <c r="W86" s="583"/>
      <c r="X86" s="583"/>
      <c r="Y86" s="583"/>
      <c r="Z86" s="583"/>
      <c r="AA86" s="583"/>
      <c r="AB86" s="583"/>
      <c r="AC86" s="583"/>
      <c r="AD86" s="583"/>
      <c r="AE86" s="583"/>
      <c r="AF86" s="583"/>
    </row>
    <row r="87" ht="19.5" customHeight="1">
      <c r="A87" s="647"/>
      <c r="B87" s="647"/>
      <c r="C87" s="647"/>
      <c r="D87" s="649"/>
      <c r="E87" s="647"/>
      <c r="F87" s="649"/>
      <c r="G87" s="649"/>
      <c r="H87" s="647"/>
      <c r="I87" s="583"/>
      <c r="J87" s="583"/>
      <c r="K87" s="583"/>
      <c r="L87" s="583"/>
      <c r="M87" s="583"/>
      <c r="N87" s="583"/>
      <c r="O87" s="583"/>
      <c r="P87" s="583"/>
      <c r="Q87" s="583"/>
      <c r="R87" s="583"/>
      <c r="S87" s="583"/>
      <c r="T87" s="583"/>
      <c r="U87" s="583"/>
      <c r="V87" s="583"/>
      <c r="W87" s="583"/>
      <c r="X87" s="583"/>
      <c r="Y87" s="583"/>
      <c r="Z87" s="583"/>
      <c r="AA87" s="583"/>
      <c r="AB87" s="583"/>
      <c r="AC87" s="583"/>
      <c r="AD87" s="583"/>
      <c r="AE87" s="583"/>
      <c r="AF87" s="583"/>
    </row>
    <row r="88" ht="19.5" customHeight="1">
      <c r="A88" s="647"/>
      <c r="B88" s="647"/>
      <c r="C88" s="647"/>
      <c r="D88" s="649"/>
      <c r="E88" s="647"/>
      <c r="F88" s="649"/>
      <c r="G88" s="649"/>
      <c r="H88" s="647"/>
      <c r="I88" s="583"/>
      <c r="J88" s="583"/>
      <c r="K88" s="583"/>
      <c r="L88" s="583"/>
      <c r="M88" s="583"/>
      <c r="N88" s="583"/>
      <c r="O88" s="583"/>
      <c r="P88" s="583"/>
      <c r="Q88" s="583"/>
      <c r="R88" s="583"/>
      <c r="S88" s="583"/>
      <c r="T88" s="583"/>
      <c r="U88" s="583"/>
      <c r="V88" s="583"/>
      <c r="W88" s="583"/>
      <c r="X88" s="583"/>
      <c r="Y88" s="583"/>
      <c r="Z88" s="583"/>
      <c r="AA88" s="583"/>
      <c r="AB88" s="583"/>
      <c r="AC88" s="583"/>
      <c r="AD88" s="583"/>
      <c r="AE88" s="583"/>
      <c r="AF88" s="583"/>
    </row>
    <row r="89" ht="19.5" customHeight="1">
      <c r="A89" s="647"/>
      <c r="B89" s="647"/>
      <c r="C89" s="647"/>
      <c r="D89" s="649"/>
      <c r="E89" s="647"/>
      <c r="F89" s="649"/>
      <c r="G89" s="649"/>
      <c r="H89" s="647"/>
      <c r="I89" s="583"/>
      <c r="J89" s="583"/>
      <c r="K89" s="583"/>
      <c r="L89" s="583"/>
      <c r="M89" s="583"/>
      <c r="N89" s="583"/>
      <c r="O89" s="583"/>
      <c r="P89" s="583"/>
      <c r="Q89" s="583"/>
      <c r="R89" s="583"/>
      <c r="S89" s="583"/>
      <c r="T89" s="583"/>
      <c r="U89" s="583"/>
      <c r="V89" s="583"/>
      <c r="W89" s="583"/>
      <c r="X89" s="583"/>
      <c r="Y89" s="583"/>
      <c r="Z89" s="583"/>
      <c r="AA89" s="583"/>
      <c r="AB89" s="583"/>
      <c r="AC89" s="583"/>
      <c r="AD89" s="583"/>
      <c r="AE89" s="583"/>
      <c r="AF89" s="583"/>
    </row>
    <row r="90" ht="19.5" customHeight="1">
      <c r="A90" s="647"/>
      <c r="B90" s="647"/>
      <c r="C90" s="647"/>
      <c r="D90" s="649"/>
      <c r="E90" s="647"/>
      <c r="F90" s="649"/>
      <c r="G90" s="649"/>
      <c r="H90" s="647"/>
      <c r="I90" s="583"/>
      <c r="J90" s="583"/>
      <c r="K90" s="583"/>
      <c r="L90" s="583"/>
      <c r="M90" s="583"/>
      <c r="N90" s="583"/>
      <c r="O90" s="583"/>
      <c r="P90" s="583"/>
      <c r="Q90" s="583"/>
      <c r="R90" s="583"/>
      <c r="S90" s="583"/>
      <c r="T90" s="583"/>
      <c r="U90" s="583"/>
      <c r="V90" s="583"/>
      <c r="W90" s="583"/>
      <c r="X90" s="583"/>
      <c r="Y90" s="583"/>
      <c r="Z90" s="583"/>
      <c r="AA90" s="583"/>
      <c r="AB90" s="583"/>
      <c r="AC90" s="583"/>
      <c r="AD90" s="583"/>
      <c r="AE90" s="583"/>
      <c r="AF90" s="583"/>
    </row>
    <row r="91" ht="19.5" customHeight="1">
      <c r="A91" s="647"/>
      <c r="B91" s="647"/>
      <c r="C91" s="647"/>
      <c r="D91" s="649"/>
      <c r="E91" s="647"/>
      <c r="F91" s="649"/>
      <c r="G91" s="649"/>
      <c r="H91" s="647"/>
      <c r="I91" s="583"/>
      <c r="J91" s="583"/>
      <c r="K91" s="583"/>
      <c r="L91" s="583"/>
      <c r="M91" s="583"/>
      <c r="N91" s="583"/>
      <c r="O91" s="583"/>
      <c r="P91" s="583"/>
      <c r="Q91" s="583"/>
      <c r="R91" s="583"/>
      <c r="S91" s="583"/>
      <c r="T91" s="583"/>
      <c r="U91" s="583"/>
      <c r="V91" s="583"/>
      <c r="W91" s="583"/>
      <c r="X91" s="583"/>
      <c r="Y91" s="583"/>
      <c r="Z91" s="583"/>
      <c r="AA91" s="583"/>
      <c r="AB91" s="583"/>
      <c r="AC91" s="583"/>
      <c r="AD91" s="583"/>
      <c r="AE91" s="583"/>
      <c r="AF91" s="583"/>
    </row>
    <row r="92" ht="19.5" customHeight="1">
      <c r="A92" s="647"/>
      <c r="B92" s="647"/>
      <c r="C92" s="647"/>
      <c r="D92" s="649"/>
      <c r="E92" s="647"/>
      <c r="F92" s="649"/>
      <c r="G92" s="649"/>
      <c r="H92" s="647"/>
      <c r="I92" s="583"/>
      <c r="J92" s="583"/>
      <c r="K92" s="583"/>
      <c r="L92" s="583"/>
      <c r="M92" s="583"/>
      <c r="N92" s="583"/>
      <c r="O92" s="583"/>
      <c r="P92" s="583"/>
      <c r="Q92" s="583"/>
      <c r="R92" s="583"/>
      <c r="S92" s="583"/>
      <c r="T92" s="583"/>
      <c r="U92" s="583"/>
      <c r="V92" s="583"/>
      <c r="W92" s="583"/>
      <c r="X92" s="583"/>
      <c r="Y92" s="583"/>
      <c r="Z92" s="583"/>
      <c r="AA92" s="583"/>
      <c r="AB92" s="583"/>
      <c r="AC92" s="583"/>
      <c r="AD92" s="583"/>
      <c r="AE92" s="583"/>
      <c r="AF92" s="583"/>
    </row>
    <row r="93" ht="19.5" customHeight="1">
      <c r="A93" s="647"/>
      <c r="B93" s="647"/>
      <c r="C93" s="647"/>
      <c r="D93" s="649"/>
      <c r="E93" s="647"/>
      <c r="F93" s="649"/>
      <c r="G93" s="649"/>
      <c r="H93" s="647"/>
      <c r="I93" s="583"/>
      <c r="J93" s="583"/>
      <c r="K93" s="583"/>
      <c r="L93" s="583"/>
      <c r="M93" s="583"/>
      <c r="N93" s="583"/>
      <c r="O93" s="583"/>
      <c r="P93" s="583"/>
      <c r="Q93" s="583"/>
      <c r="R93" s="583"/>
      <c r="S93" s="583"/>
      <c r="T93" s="583"/>
      <c r="U93" s="583"/>
      <c r="V93" s="583"/>
      <c r="W93" s="583"/>
      <c r="X93" s="583"/>
      <c r="Y93" s="583"/>
      <c r="Z93" s="583"/>
      <c r="AA93" s="583"/>
      <c r="AB93" s="583"/>
      <c r="AC93" s="583"/>
      <c r="AD93" s="583"/>
      <c r="AE93" s="583"/>
      <c r="AF93" s="583"/>
    </row>
    <row r="94" ht="19.5" customHeight="1">
      <c r="A94" s="647"/>
      <c r="B94" s="647"/>
      <c r="C94" s="647"/>
      <c r="D94" s="649"/>
      <c r="E94" s="647"/>
      <c r="F94" s="649"/>
      <c r="G94" s="649"/>
      <c r="H94" s="647"/>
      <c r="I94" s="583"/>
      <c r="J94" s="583"/>
      <c r="K94" s="583"/>
      <c r="L94" s="583"/>
      <c r="M94" s="583"/>
      <c r="N94" s="583"/>
      <c r="O94" s="583"/>
      <c r="P94" s="583"/>
      <c r="Q94" s="583"/>
      <c r="R94" s="583"/>
      <c r="S94" s="583"/>
      <c r="T94" s="583"/>
      <c r="U94" s="583"/>
      <c r="V94" s="583"/>
      <c r="W94" s="583"/>
      <c r="X94" s="583"/>
      <c r="Y94" s="583"/>
      <c r="Z94" s="583"/>
      <c r="AA94" s="583"/>
      <c r="AB94" s="583"/>
      <c r="AC94" s="583"/>
      <c r="AD94" s="583"/>
      <c r="AE94" s="583"/>
      <c r="AF94" s="583"/>
    </row>
    <row r="95" ht="19.5" customHeight="1">
      <c r="A95" s="647"/>
      <c r="B95" s="647"/>
      <c r="C95" s="647"/>
      <c r="D95" s="649"/>
      <c r="E95" s="647"/>
      <c r="F95" s="649"/>
      <c r="G95" s="649"/>
      <c r="H95" s="647"/>
      <c r="I95" s="583"/>
      <c r="J95" s="583"/>
      <c r="K95" s="583"/>
      <c r="L95" s="583"/>
      <c r="M95" s="583"/>
      <c r="N95" s="583"/>
      <c r="O95" s="583"/>
      <c r="P95" s="583"/>
      <c r="Q95" s="583"/>
      <c r="R95" s="583"/>
      <c r="S95" s="583"/>
      <c r="T95" s="583"/>
      <c r="U95" s="583"/>
      <c r="V95" s="583"/>
      <c r="W95" s="583"/>
      <c r="X95" s="583"/>
      <c r="Y95" s="583"/>
      <c r="Z95" s="583"/>
      <c r="AA95" s="583"/>
      <c r="AB95" s="583"/>
      <c r="AC95" s="583"/>
      <c r="AD95" s="583"/>
      <c r="AE95" s="583"/>
      <c r="AF95" s="583"/>
    </row>
    <row r="96" ht="19.5" customHeight="1">
      <c r="A96" s="647"/>
      <c r="B96" s="647"/>
      <c r="C96" s="647"/>
      <c r="D96" s="649"/>
      <c r="E96" s="647"/>
      <c r="F96" s="649"/>
      <c r="G96" s="649"/>
      <c r="H96" s="647"/>
      <c r="I96" s="583"/>
      <c r="J96" s="583"/>
      <c r="K96" s="583"/>
      <c r="L96" s="583"/>
      <c r="M96" s="583"/>
      <c r="N96" s="583"/>
      <c r="O96" s="583"/>
      <c r="P96" s="583"/>
      <c r="Q96" s="583"/>
      <c r="R96" s="583"/>
      <c r="S96" s="583"/>
      <c r="T96" s="583"/>
      <c r="U96" s="583"/>
      <c r="V96" s="583"/>
      <c r="W96" s="583"/>
      <c r="X96" s="583"/>
      <c r="Y96" s="583"/>
      <c r="Z96" s="583"/>
      <c r="AA96" s="583"/>
      <c r="AB96" s="583"/>
      <c r="AC96" s="583"/>
      <c r="AD96" s="583"/>
      <c r="AE96" s="583"/>
      <c r="AF96" s="583"/>
    </row>
    <row r="97" ht="19.5" customHeight="1">
      <c r="A97" s="647"/>
      <c r="B97" s="647"/>
      <c r="C97" s="647"/>
      <c r="D97" s="649"/>
      <c r="E97" s="647"/>
      <c r="F97" s="649"/>
      <c r="G97" s="649"/>
      <c r="H97" s="647"/>
      <c r="I97" s="583"/>
      <c r="J97" s="583"/>
      <c r="K97" s="583"/>
      <c r="L97" s="583"/>
      <c r="M97" s="583"/>
      <c r="N97" s="583"/>
      <c r="O97" s="583"/>
      <c r="P97" s="583"/>
      <c r="Q97" s="583"/>
      <c r="R97" s="583"/>
      <c r="S97" s="583"/>
      <c r="T97" s="583"/>
      <c r="U97" s="583"/>
      <c r="V97" s="583"/>
      <c r="W97" s="583"/>
      <c r="X97" s="583"/>
      <c r="Y97" s="583"/>
      <c r="Z97" s="583"/>
      <c r="AA97" s="583"/>
      <c r="AB97" s="583"/>
      <c r="AC97" s="583"/>
      <c r="AD97" s="583"/>
      <c r="AE97" s="583"/>
      <c r="AF97" s="583"/>
    </row>
    <row r="98" ht="19.5" customHeight="1">
      <c r="A98" s="647"/>
      <c r="B98" s="647"/>
      <c r="C98" s="647"/>
      <c r="D98" s="649"/>
      <c r="E98" s="647"/>
      <c r="F98" s="649"/>
      <c r="G98" s="649"/>
      <c r="H98" s="647"/>
      <c r="I98" s="583"/>
      <c r="J98" s="583"/>
      <c r="K98" s="583"/>
      <c r="L98" s="583"/>
      <c r="M98" s="583"/>
      <c r="N98" s="583"/>
      <c r="O98" s="583"/>
      <c r="P98" s="583"/>
      <c r="Q98" s="583"/>
      <c r="R98" s="583"/>
      <c r="S98" s="583"/>
      <c r="T98" s="583"/>
      <c r="U98" s="583"/>
      <c r="V98" s="583"/>
      <c r="W98" s="583"/>
      <c r="X98" s="583"/>
      <c r="Y98" s="583"/>
      <c r="Z98" s="583"/>
      <c r="AA98" s="583"/>
      <c r="AB98" s="583"/>
      <c r="AC98" s="583"/>
      <c r="AD98" s="583"/>
      <c r="AE98" s="583"/>
      <c r="AF98" s="583"/>
    </row>
    <row r="99" ht="19.5" customHeight="1">
      <c r="A99" s="647"/>
      <c r="B99" s="647"/>
      <c r="C99" s="647"/>
      <c r="D99" s="649"/>
      <c r="E99" s="647"/>
      <c r="F99" s="649"/>
      <c r="G99" s="649"/>
      <c r="H99" s="647"/>
      <c r="I99" s="583"/>
      <c r="J99" s="583"/>
      <c r="K99" s="583"/>
      <c r="L99" s="583"/>
      <c r="M99" s="583"/>
      <c r="N99" s="583"/>
      <c r="O99" s="583"/>
      <c r="P99" s="583"/>
      <c r="Q99" s="583"/>
      <c r="R99" s="583"/>
      <c r="S99" s="583"/>
      <c r="T99" s="583"/>
      <c r="U99" s="583"/>
      <c r="V99" s="583"/>
      <c r="W99" s="583"/>
      <c r="X99" s="583"/>
      <c r="Y99" s="583"/>
      <c r="Z99" s="583"/>
      <c r="AA99" s="583"/>
      <c r="AB99" s="583"/>
      <c r="AC99" s="583"/>
      <c r="AD99" s="583"/>
      <c r="AE99" s="583"/>
      <c r="AF99" s="583"/>
    </row>
    <row r="100" ht="19.5" customHeight="1">
      <c r="A100" s="647"/>
      <c r="B100" s="647"/>
      <c r="C100" s="647"/>
      <c r="D100" s="649"/>
      <c r="E100" s="647"/>
      <c r="F100" s="649"/>
      <c r="G100" s="649"/>
      <c r="H100" s="647"/>
      <c r="I100" s="583"/>
      <c r="J100" s="583"/>
      <c r="K100" s="583"/>
      <c r="L100" s="583"/>
      <c r="M100" s="583"/>
      <c r="N100" s="583"/>
      <c r="O100" s="583"/>
      <c r="P100" s="583"/>
      <c r="Q100" s="583"/>
      <c r="R100" s="583"/>
      <c r="S100" s="583"/>
      <c r="T100" s="583"/>
      <c r="U100" s="583"/>
      <c r="V100" s="583"/>
      <c r="W100" s="583"/>
      <c r="X100" s="583"/>
      <c r="Y100" s="583"/>
      <c r="Z100" s="583"/>
      <c r="AA100" s="583"/>
      <c r="AB100" s="583"/>
      <c r="AC100" s="583"/>
      <c r="AD100" s="583"/>
      <c r="AE100" s="583"/>
      <c r="AF100" s="583"/>
    </row>
    <row r="101" ht="19.5" customHeight="1">
      <c r="A101" s="647"/>
      <c r="B101" s="647"/>
      <c r="C101" s="647"/>
      <c r="D101" s="649"/>
      <c r="E101" s="647"/>
      <c r="F101" s="649"/>
      <c r="G101" s="649"/>
      <c r="H101" s="647"/>
      <c r="I101" s="583"/>
      <c r="J101" s="583"/>
      <c r="K101" s="583"/>
      <c r="L101" s="583"/>
      <c r="M101" s="583"/>
      <c r="N101" s="583"/>
      <c r="O101" s="583"/>
      <c r="P101" s="583"/>
      <c r="Q101" s="583"/>
      <c r="R101" s="583"/>
      <c r="S101" s="583"/>
      <c r="T101" s="583"/>
      <c r="U101" s="583"/>
      <c r="V101" s="583"/>
      <c r="W101" s="583"/>
      <c r="X101" s="583"/>
      <c r="Y101" s="583"/>
      <c r="Z101" s="583"/>
      <c r="AA101" s="583"/>
      <c r="AB101" s="583"/>
      <c r="AC101" s="583"/>
      <c r="AD101" s="583"/>
      <c r="AE101" s="583"/>
      <c r="AF101" s="583"/>
    </row>
    <row r="102" ht="19.5" customHeight="1">
      <c r="A102" s="647"/>
      <c r="B102" s="647"/>
      <c r="C102" s="647"/>
      <c r="D102" s="649"/>
      <c r="E102" s="647"/>
      <c r="F102" s="649"/>
      <c r="G102" s="649"/>
      <c r="H102" s="647"/>
      <c r="I102" s="583"/>
      <c r="J102" s="583"/>
      <c r="K102" s="583"/>
      <c r="L102" s="583"/>
      <c r="M102" s="583"/>
      <c r="N102" s="583"/>
      <c r="O102" s="583"/>
      <c r="P102" s="583"/>
      <c r="Q102" s="583"/>
      <c r="R102" s="583"/>
      <c r="S102" s="583"/>
      <c r="T102" s="583"/>
      <c r="U102" s="583"/>
      <c r="V102" s="583"/>
      <c r="W102" s="583"/>
      <c r="X102" s="583"/>
      <c r="Y102" s="583"/>
      <c r="Z102" s="583"/>
      <c r="AA102" s="583"/>
      <c r="AB102" s="583"/>
      <c r="AC102" s="583"/>
      <c r="AD102" s="583"/>
      <c r="AE102" s="583"/>
      <c r="AF102" s="583"/>
    </row>
    <row r="103" ht="19.5" customHeight="1">
      <c r="A103" s="647"/>
      <c r="B103" s="647"/>
      <c r="C103" s="647"/>
      <c r="D103" s="649"/>
      <c r="E103" s="647"/>
      <c r="F103" s="649"/>
      <c r="G103" s="649"/>
      <c r="H103" s="647"/>
      <c r="I103" s="583"/>
      <c r="J103" s="583"/>
      <c r="K103" s="583"/>
      <c r="L103" s="583"/>
      <c r="M103" s="583"/>
      <c r="N103" s="583"/>
      <c r="O103" s="583"/>
      <c r="P103" s="583"/>
      <c r="Q103" s="583"/>
      <c r="R103" s="583"/>
      <c r="S103" s="583"/>
      <c r="T103" s="583"/>
      <c r="U103" s="583"/>
      <c r="V103" s="583"/>
      <c r="W103" s="583"/>
      <c r="X103" s="583"/>
      <c r="Y103" s="583"/>
      <c r="Z103" s="583"/>
      <c r="AA103" s="583"/>
      <c r="AB103" s="583"/>
      <c r="AC103" s="583"/>
      <c r="AD103" s="583"/>
      <c r="AE103" s="583"/>
      <c r="AF103" s="583"/>
    </row>
    <row r="104" ht="19.5" customHeight="1">
      <c r="A104" s="647"/>
      <c r="B104" s="647"/>
      <c r="C104" s="647"/>
      <c r="D104" s="649"/>
      <c r="E104" s="647"/>
      <c r="F104" s="649"/>
      <c r="G104" s="649"/>
      <c r="H104" s="647"/>
      <c r="I104" s="583"/>
      <c r="J104" s="583"/>
      <c r="K104" s="583"/>
      <c r="L104" s="583"/>
      <c r="M104" s="583"/>
      <c r="N104" s="583"/>
      <c r="O104" s="583"/>
      <c r="P104" s="583"/>
      <c r="Q104" s="583"/>
      <c r="R104" s="583"/>
      <c r="S104" s="583"/>
      <c r="T104" s="583"/>
      <c r="U104" s="583"/>
      <c r="V104" s="583"/>
      <c r="W104" s="583"/>
      <c r="X104" s="583"/>
      <c r="Y104" s="583"/>
      <c r="Z104" s="583"/>
      <c r="AA104" s="583"/>
      <c r="AB104" s="583"/>
      <c r="AC104" s="583"/>
      <c r="AD104" s="583"/>
      <c r="AE104" s="583"/>
      <c r="AF104" s="583"/>
    </row>
    <row r="105" ht="19.5" customHeight="1">
      <c r="A105" s="647"/>
      <c r="B105" s="647"/>
      <c r="C105" s="647"/>
      <c r="D105" s="649"/>
      <c r="E105" s="647"/>
      <c r="F105" s="649"/>
      <c r="G105" s="649"/>
      <c r="H105" s="647"/>
      <c r="I105" s="583"/>
      <c r="J105" s="583"/>
      <c r="K105" s="583"/>
      <c r="L105" s="583"/>
      <c r="M105" s="583"/>
      <c r="N105" s="583"/>
      <c r="O105" s="583"/>
      <c r="P105" s="583"/>
      <c r="Q105" s="583"/>
      <c r="R105" s="583"/>
      <c r="S105" s="583"/>
      <c r="T105" s="583"/>
      <c r="U105" s="583"/>
      <c r="V105" s="583"/>
      <c r="W105" s="583"/>
      <c r="X105" s="583"/>
      <c r="Y105" s="583"/>
      <c r="Z105" s="583"/>
      <c r="AA105" s="583"/>
      <c r="AB105" s="583"/>
      <c r="AC105" s="583"/>
      <c r="AD105" s="583"/>
      <c r="AE105" s="583"/>
      <c r="AF105" s="583"/>
    </row>
    <row r="106" ht="19.5" customHeight="1">
      <c r="A106" s="647"/>
      <c r="B106" s="647"/>
      <c r="C106" s="647"/>
      <c r="D106" s="649"/>
      <c r="E106" s="647"/>
      <c r="F106" s="649"/>
      <c r="G106" s="649"/>
      <c r="H106" s="647"/>
      <c r="I106" s="583"/>
      <c r="J106" s="583"/>
      <c r="K106" s="583"/>
      <c r="L106" s="583"/>
      <c r="M106" s="583"/>
      <c r="N106" s="583"/>
      <c r="O106" s="583"/>
      <c r="P106" s="583"/>
      <c r="Q106" s="583"/>
      <c r="R106" s="583"/>
      <c r="S106" s="583"/>
      <c r="T106" s="583"/>
      <c r="U106" s="583"/>
      <c r="V106" s="583"/>
      <c r="W106" s="583"/>
      <c r="X106" s="583"/>
      <c r="Y106" s="583"/>
      <c r="Z106" s="583"/>
      <c r="AA106" s="583"/>
      <c r="AB106" s="583"/>
      <c r="AC106" s="583"/>
      <c r="AD106" s="583"/>
      <c r="AE106" s="583"/>
      <c r="AF106" s="583"/>
    </row>
    <row r="107" ht="19.5" customHeight="1">
      <c r="A107" s="647"/>
      <c r="B107" s="647"/>
      <c r="C107" s="647"/>
      <c r="D107" s="649"/>
      <c r="E107" s="647"/>
      <c r="F107" s="649"/>
      <c r="G107" s="649"/>
      <c r="H107" s="647"/>
      <c r="I107" s="583"/>
      <c r="J107" s="583"/>
      <c r="K107" s="583"/>
      <c r="L107" s="583"/>
      <c r="M107" s="583"/>
      <c r="N107" s="583"/>
      <c r="O107" s="583"/>
      <c r="P107" s="583"/>
      <c r="Q107" s="583"/>
      <c r="R107" s="583"/>
      <c r="S107" s="583"/>
      <c r="T107" s="583"/>
      <c r="U107" s="583"/>
      <c r="V107" s="583"/>
      <c r="W107" s="583"/>
      <c r="X107" s="583"/>
      <c r="Y107" s="583"/>
      <c r="Z107" s="583"/>
      <c r="AA107" s="583"/>
      <c r="AB107" s="583"/>
      <c r="AC107" s="583"/>
      <c r="AD107" s="583"/>
      <c r="AE107" s="583"/>
      <c r="AF107" s="583"/>
    </row>
    <row r="108" ht="19.5" customHeight="1">
      <c r="A108" s="647"/>
      <c r="B108" s="647"/>
      <c r="C108" s="647"/>
      <c r="D108" s="649"/>
      <c r="E108" s="647"/>
      <c r="F108" s="649"/>
      <c r="G108" s="649"/>
      <c r="H108" s="647"/>
      <c r="I108" s="583"/>
      <c r="J108" s="583"/>
      <c r="K108" s="583"/>
      <c r="L108" s="583"/>
      <c r="M108" s="583"/>
      <c r="N108" s="583"/>
      <c r="O108" s="583"/>
      <c r="P108" s="583"/>
      <c r="Q108" s="583"/>
      <c r="R108" s="583"/>
      <c r="S108" s="583"/>
      <c r="T108" s="583"/>
      <c r="U108" s="583"/>
      <c r="V108" s="583"/>
      <c r="W108" s="583"/>
      <c r="X108" s="583"/>
      <c r="Y108" s="583"/>
      <c r="Z108" s="583"/>
      <c r="AA108" s="583"/>
      <c r="AB108" s="583"/>
      <c r="AC108" s="583"/>
      <c r="AD108" s="583"/>
      <c r="AE108" s="583"/>
      <c r="AF108" s="583"/>
    </row>
    <row r="109" ht="19.5" customHeight="1">
      <c r="A109" s="647"/>
      <c r="B109" s="647"/>
      <c r="C109" s="647"/>
      <c r="D109" s="649"/>
      <c r="E109" s="647"/>
      <c r="F109" s="649"/>
      <c r="G109" s="649"/>
      <c r="H109" s="647"/>
      <c r="I109" s="583"/>
      <c r="J109" s="583"/>
      <c r="K109" s="583"/>
      <c r="L109" s="583"/>
      <c r="M109" s="583"/>
      <c r="N109" s="583"/>
      <c r="O109" s="583"/>
      <c r="P109" s="583"/>
      <c r="Q109" s="583"/>
      <c r="R109" s="583"/>
      <c r="S109" s="583"/>
      <c r="T109" s="583"/>
      <c r="U109" s="583"/>
      <c r="V109" s="583"/>
      <c r="W109" s="583"/>
      <c r="X109" s="583"/>
      <c r="Y109" s="583"/>
      <c r="Z109" s="583"/>
      <c r="AA109" s="583"/>
      <c r="AB109" s="583"/>
      <c r="AC109" s="583"/>
      <c r="AD109" s="583"/>
      <c r="AE109" s="583"/>
      <c r="AF109" s="583"/>
    </row>
    <row r="110" ht="19.5" customHeight="1">
      <c r="A110" s="647"/>
      <c r="B110" s="647"/>
      <c r="C110" s="647"/>
      <c r="D110" s="649"/>
      <c r="E110" s="647"/>
      <c r="F110" s="649"/>
      <c r="G110" s="649"/>
      <c r="H110" s="647"/>
      <c r="I110" s="583"/>
      <c r="J110" s="583"/>
      <c r="K110" s="583"/>
      <c r="L110" s="583"/>
      <c r="M110" s="583"/>
      <c r="N110" s="583"/>
      <c r="O110" s="583"/>
      <c r="P110" s="583"/>
      <c r="Q110" s="583"/>
      <c r="R110" s="583"/>
      <c r="S110" s="583"/>
      <c r="T110" s="583"/>
      <c r="U110" s="583"/>
      <c r="V110" s="583"/>
      <c r="W110" s="583"/>
      <c r="X110" s="583"/>
      <c r="Y110" s="583"/>
      <c r="Z110" s="583"/>
      <c r="AA110" s="583"/>
      <c r="AB110" s="583"/>
      <c r="AC110" s="583"/>
      <c r="AD110" s="583"/>
      <c r="AE110" s="583"/>
      <c r="AF110" s="583"/>
    </row>
    <row r="111" ht="19.5" customHeight="1">
      <c r="A111" s="647"/>
      <c r="B111" s="647"/>
      <c r="C111" s="647"/>
      <c r="D111" s="649"/>
      <c r="E111" s="647"/>
      <c r="F111" s="649"/>
      <c r="G111" s="649"/>
      <c r="H111" s="647"/>
      <c r="I111" s="583"/>
      <c r="J111" s="583"/>
      <c r="K111" s="583"/>
      <c r="L111" s="583"/>
      <c r="M111" s="583"/>
      <c r="N111" s="583"/>
      <c r="O111" s="583"/>
      <c r="P111" s="583"/>
      <c r="Q111" s="583"/>
      <c r="R111" s="583"/>
      <c r="S111" s="583"/>
      <c r="T111" s="583"/>
      <c r="U111" s="583"/>
      <c r="V111" s="583"/>
      <c r="W111" s="583"/>
      <c r="X111" s="583"/>
      <c r="Y111" s="583"/>
      <c r="Z111" s="583"/>
      <c r="AA111" s="583"/>
      <c r="AB111" s="583"/>
      <c r="AC111" s="583"/>
      <c r="AD111" s="583"/>
      <c r="AE111" s="583"/>
      <c r="AF111" s="583"/>
    </row>
    <row r="112" ht="19.5" customHeight="1">
      <c r="A112" s="647"/>
      <c r="B112" s="647"/>
      <c r="C112" s="647"/>
      <c r="D112" s="649"/>
      <c r="E112" s="647"/>
      <c r="F112" s="649"/>
      <c r="G112" s="649"/>
      <c r="H112" s="647"/>
      <c r="I112" s="583"/>
      <c r="J112" s="583"/>
      <c r="K112" s="583"/>
      <c r="L112" s="583"/>
      <c r="M112" s="583"/>
      <c r="N112" s="583"/>
      <c r="O112" s="583"/>
      <c r="P112" s="583"/>
      <c r="Q112" s="583"/>
      <c r="R112" s="583"/>
      <c r="S112" s="583"/>
      <c r="T112" s="583"/>
      <c r="U112" s="583"/>
      <c r="V112" s="583"/>
      <c r="W112" s="583"/>
      <c r="X112" s="583"/>
      <c r="Y112" s="583"/>
      <c r="Z112" s="583"/>
      <c r="AA112" s="583"/>
      <c r="AB112" s="583"/>
      <c r="AC112" s="583"/>
      <c r="AD112" s="583"/>
      <c r="AE112" s="583"/>
      <c r="AF112" s="583"/>
    </row>
    <row r="113" ht="19.5" customHeight="1">
      <c r="A113" s="647"/>
      <c r="B113" s="647"/>
      <c r="C113" s="647"/>
      <c r="D113" s="649"/>
      <c r="E113" s="647"/>
      <c r="F113" s="649"/>
      <c r="G113" s="649"/>
      <c r="H113" s="647"/>
      <c r="I113" s="583"/>
      <c r="J113" s="583"/>
      <c r="K113" s="583"/>
      <c r="L113" s="583"/>
      <c r="M113" s="583"/>
      <c r="N113" s="583"/>
      <c r="O113" s="583"/>
      <c r="P113" s="583"/>
      <c r="Q113" s="583"/>
      <c r="R113" s="583"/>
      <c r="S113" s="583"/>
      <c r="T113" s="583"/>
      <c r="U113" s="583"/>
      <c r="V113" s="583"/>
      <c r="W113" s="583"/>
      <c r="X113" s="583"/>
      <c r="Y113" s="583"/>
      <c r="Z113" s="583"/>
      <c r="AA113" s="583"/>
      <c r="AB113" s="583"/>
      <c r="AC113" s="583"/>
      <c r="AD113" s="583"/>
      <c r="AE113" s="583"/>
      <c r="AF113" s="583"/>
    </row>
    <row r="114" ht="19.5" customHeight="1">
      <c r="A114" s="647"/>
      <c r="B114" s="647"/>
      <c r="C114" s="647"/>
      <c r="D114" s="649"/>
      <c r="E114" s="647"/>
      <c r="F114" s="649"/>
      <c r="G114" s="649"/>
      <c r="H114" s="647"/>
      <c r="I114" s="583"/>
      <c r="J114" s="583"/>
      <c r="K114" s="583"/>
      <c r="L114" s="583"/>
      <c r="M114" s="583"/>
      <c r="N114" s="583"/>
      <c r="O114" s="583"/>
      <c r="P114" s="583"/>
      <c r="Q114" s="583"/>
      <c r="R114" s="583"/>
      <c r="S114" s="583"/>
      <c r="T114" s="583"/>
      <c r="U114" s="583"/>
      <c r="V114" s="583"/>
      <c r="W114" s="583"/>
      <c r="X114" s="583"/>
      <c r="Y114" s="583"/>
      <c r="Z114" s="583"/>
      <c r="AA114" s="583"/>
      <c r="AB114" s="583"/>
      <c r="AC114" s="583"/>
      <c r="AD114" s="583"/>
      <c r="AE114" s="583"/>
      <c r="AF114" s="583"/>
    </row>
    <row r="115" ht="19.5" customHeight="1">
      <c r="A115" s="647"/>
      <c r="B115" s="647"/>
      <c r="C115" s="647"/>
      <c r="D115" s="649"/>
      <c r="E115" s="647"/>
      <c r="F115" s="649"/>
      <c r="G115" s="649"/>
      <c r="H115" s="647"/>
      <c r="I115" s="583"/>
      <c r="J115" s="583"/>
      <c r="K115" s="583"/>
      <c r="L115" s="583"/>
      <c r="M115" s="583"/>
      <c r="N115" s="583"/>
      <c r="O115" s="583"/>
      <c r="P115" s="583"/>
      <c r="Q115" s="583"/>
      <c r="R115" s="583"/>
      <c r="S115" s="583"/>
      <c r="T115" s="583"/>
      <c r="U115" s="583"/>
      <c r="V115" s="583"/>
      <c r="W115" s="583"/>
      <c r="X115" s="583"/>
      <c r="Y115" s="583"/>
      <c r="Z115" s="583"/>
      <c r="AA115" s="583"/>
      <c r="AB115" s="583"/>
      <c r="AC115" s="583"/>
      <c r="AD115" s="583"/>
      <c r="AE115" s="583"/>
      <c r="AF115" s="583"/>
    </row>
    <row r="116" ht="19.5" customHeight="1">
      <c r="A116" s="647"/>
      <c r="B116" s="647"/>
      <c r="C116" s="647"/>
      <c r="D116" s="649"/>
      <c r="E116" s="647"/>
      <c r="F116" s="649"/>
      <c r="G116" s="649"/>
      <c r="H116" s="647"/>
      <c r="I116" s="583"/>
      <c r="J116" s="583"/>
      <c r="K116" s="583"/>
      <c r="L116" s="583"/>
      <c r="M116" s="583"/>
      <c r="N116" s="583"/>
      <c r="O116" s="583"/>
      <c r="P116" s="583"/>
      <c r="Q116" s="583"/>
      <c r="R116" s="583"/>
      <c r="S116" s="583"/>
      <c r="T116" s="583"/>
      <c r="U116" s="583"/>
      <c r="V116" s="583"/>
      <c r="W116" s="583"/>
      <c r="X116" s="583"/>
      <c r="Y116" s="583"/>
      <c r="Z116" s="583"/>
      <c r="AA116" s="583"/>
      <c r="AB116" s="583"/>
      <c r="AC116" s="583"/>
      <c r="AD116" s="583"/>
      <c r="AE116" s="583"/>
      <c r="AF116" s="583"/>
    </row>
    <row r="117" ht="19.5" customHeight="1">
      <c r="A117" s="647"/>
      <c r="B117" s="647"/>
      <c r="C117" s="647"/>
      <c r="D117" s="649"/>
      <c r="E117" s="647"/>
      <c r="F117" s="649"/>
      <c r="G117" s="649"/>
      <c r="H117" s="647"/>
      <c r="I117" s="583"/>
      <c r="J117" s="583"/>
      <c r="K117" s="583"/>
      <c r="L117" s="583"/>
      <c r="M117" s="583"/>
      <c r="N117" s="583"/>
      <c r="O117" s="583"/>
      <c r="P117" s="583"/>
      <c r="Q117" s="583"/>
      <c r="R117" s="583"/>
      <c r="S117" s="583"/>
      <c r="T117" s="583"/>
      <c r="U117" s="583"/>
      <c r="V117" s="583"/>
      <c r="W117" s="583"/>
      <c r="X117" s="583"/>
      <c r="Y117" s="583"/>
      <c r="Z117" s="583"/>
      <c r="AA117" s="583"/>
      <c r="AB117" s="583"/>
      <c r="AC117" s="583"/>
      <c r="AD117" s="583"/>
      <c r="AE117" s="583"/>
      <c r="AF117" s="583"/>
    </row>
    <row r="118" ht="19.5" customHeight="1">
      <c r="A118" s="647"/>
      <c r="B118" s="647"/>
      <c r="C118" s="647"/>
      <c r="D118" s="649"/>
      <c r="E118" s="647"/>
      <c r="F118" s="649"/>
      <c r="G118" s="649"/>
      <c r="H118" s="647"/>
      <c r="I118" s="583"/>
      <c r="J118" s="583"/>
      <c r="K118" s="583"/>
      <c r="L118" s="583"/>
      <c r="M118" s="583"/>
      <c r="N118" s="583"/>
      <c r="O118" s="583"/>
      <c r="P118" s="583"/>
      <c r="Q118" s="583"/>
      <c r="R118" s="583"/>
      <c r="S118" s="583"/>
      <c r="T118" s="583"/>
      <c r="U118" s="583"/>
      <c r="V118" s="583"/>
      <c r="W118" s="583"/>
      <c r="X118" s="583"/>
      <c r="Y118" s="583"/>
      <c r="Z118" s="583"/>
      <c r="AA118" s="583"/>
      <c r="AB118" s="583"/>
      <c r="AC118" s="583"/>
      <c r="AD118" s="583"/>
      <c r="AE118" s="583"/>
      <c r="AF118" s="583"/>
    </row>
    <row r="119" ht="19.5" customHeight="1">
      <c r="A119" s="647"/>
      <c r="B119" s="647"/>
      <c r="C119" s="647"/>
      <c r="D119" s="649"/>
      <c r="E119" s="647"/>
      <c r="F119" s="649"/>
      <c r="G119" s="649"/>
      <c r="H119" s="647"/>
      <c r="I119" s="583"/>
      <c r="J119" s="583"/>
      <c r="K119" s="583"/>
      <c r="L119" s="583"/>
      <c r="M119" s="583"/>
      <c r="N119" s="583"/>
      <c r="O119" s="583"/>
      <c r="P119" s="583"/>
      <c r="Q119" s="583"/>
      <c r="R119" s="583"/>
      <c r="S119" s="583"/>
      <c r="T119" s="583"/>
      <c r="U119" s="583"/>
      <c r="V119" s="583"/>
      <c r="W119" s="583"/>
      <c r="X119" s="583"/>
      <c r="Y119" s="583"/>
      <c r="Z119" s="583"/>
      <c r="AA119" s="583"/>
      <c r="AB119" s="583"/>
      <c r="AC119" s="583"/>
      <c r="AD119" s="583"/>
      <c r="AE119" s="583"/>
      <c r="AF119" s="583"/>
    </row>
    <row r="120" ht="19.5" customHeight="1">
      <c r="A120" s="647"/>
      <c r="B120" s="647"/>
      <c r="C120" s="647"/>
      <c r="D120" s="649"/>
      <c r="E120" s="647"/>
      <c r="F120" s="649"/>
      <c r="G120" s="649"/>
      <c r="H120" s="647"/>
      <c r="I120" s="583"/>
      <c r="J120" s="583"/>
      <c r="K120" s="583"/>
      <c r="L120" s="583"/>
      <c r="M120" s="583"/>
      <c r="N120" s="583"/>
      <c r="O120" s="583"/>
      <c r="P120" s="583"/>
      <c r="Q120" s="583"/>
      <c r="R120" s="583"/>
      <c r="S120" s="583"/>
      <c r="T120" s="583"/>
      <c r="U120" s="583"/>
      <c r="V120" s="583"/>
      <c r="W120" s="583"/>
      <c r="X120" s="583"/>
      <c r="Y120" s="583"/>
      <c r="Z120" s="583"/>
      <c r="AA120" s="583"/>
      <c r="AB120" s="583"/>
      <c r="AC120" s="583"/>
      <c r="AD120" s="583"/>
      <c r="AE120" s="583"/>
      <c r="AF120" s="583"/>
    </row>
    <row r="121" ht="19.5" customHeight="1">
      <c r="A121" s="647"/>
      <c r="B121" s="647"/>
      <c r="C121" s="647"/>
      <c r="D121" s="649"/>
      <c r="E121" s="647"/>
      <c r="F121" s="649"/>
      <c r="G121" s="649"/>
      <c r="H121" s="647"/>
      <c r="I121" s="583"/>
      <c r="J121" s="583"/>
      <c r="K121" s="583"/>
      <c r="L121" s="583"/>
      <c r="M121" s="583"/>
      <c r="N121" s="583"/>
      <c r="O121" s="583"/>
      <c r="P121" s="583"/>
      <c r="Q121" s="583"/>
      <c r="R121" s="583"/>
      <c r="S121" s="583"/>
      <c r="T121" s="583"/>
      <c r="U121" s="583"/>
      <c r="V121" s="583"/>
      <c r="W121" s="583"/>
      <c r="X121" s="583"/>
      <c r="Y121" s="583"/>
      <c r="Z121" s="583"/>
      <c r="AA121" s="583"/>
      <c r="AB121" s="583"/>
      <c r="AC121" s="583"/>
      <c r="AD121" s="583"/>
      <c r="AE121" s="583"/>
      <c r="AF121" s="583"/>
    </row>
    <row r="122" ht="19.5" customHeight="1">
      <c r="A122" s="647"/>
      <c r="B122" s="647"/>
      <c r="C122" s="647"/>
      <c r="D122" s="649"/>
      <c r="E122" s="647"/>
      <c r="F122" s="649"/>
      <c r="G122" s="649"/>
      <c r="H122" s="647"/>
      <c r="I122" s="583"/>
      <c r="J122" s="583"/>
      <c r="K122" s="583"/>
      <c r="L122" s="583"/>
      <c r="M122" s="583"/>
      <c r="N122" s="583"/>
      <c r="O122" s="583"/>
      <c r="P122" s="583"/>
      <c r="Q122" s="583"/>
      <c r="R122" s="583"/>
      <c r="S122" s="583"/>
      <c r="T122" s="583"/>
      <c r="U122" s="583"/>
      <c r="V122" s="583"/>
      <c r="W122" s="583"/>
      <c r="X122" s="583"/>
      <c r="Y122" s="583"/>
      <c r="Z122" s="583"/>
      <c r="AA122" s="583"/>
      <c r="AB122" s="583"/>
      <c r="AC122" s="583"/>
      <c r="AD122" s="583"/>
      <c r="AE122" s="583"/>
      <c r="AF122" s="583"/>
    </row>
    <row r="123" ht="19.5" customHeight="1">
      <c r="A123" s="647"/>
      <c r="B123" s="647"/>
      <c r="C123" s="647"/>
      <c r="D123" s="649"/>
      <c r="E123" s="647"/>
      <c r="F123" s="649"/>
      <c r="G123" s="649"/>
      <c r="H123" s="647"/>
      <c r="I123" s="583"/>
      <c r="J123" s="583"/>
      <c r="K123" s="583"/>
      <c r="L123" s="583"/>
      <c r="M123" s="583"/>
      <c r="N123" s="583"/>
      <c r="O123" s="583"/>
      <c r="P123" s="583"/>
      <c r="Q123" s="583"/>
      <c r="R123" s="583"/>
      <c r="S123" s="583"/>
      <c r="T123" s="583"/>
      <c r="U123" s="583"/>
      <c r="V123" s="583"/>
      <c r="W123" s="583"/>
      <c r="X123" s="583"/>
      <c r="Y123" s="583"/>
      <c r="Z123" s="583"/>
      <c r="AA123" s="583"/>
      <c r="AB123" s="583"/>
      <c r="AC123" s="583"/>
      <c r="AD123" s="583"/>
      <c r="AE123" s="583"/>
      <c r="AF123" s="583"/>
    </row>
    <row r="124" ht="19.5" customHeight="1">
      <c r="A124" s="647"/>
      <c r="B124" s="647"/>
      <c r="C124" s="647"/>
      <c r="D124" s="649"/>
      <c r="E124" s="647"/>
      <c r="F124" s="649"/>
      <c r="G124" s="649"/>
      <c r="H124" s="647"/>
      <c r="I124" s="583"/>
      <c r="J124" s="583"/>
      <c r="K124" s="583"/>
      <c r="L124" s="583"/>
      <c r="M124" s="583"/>
      <c r="N124" s="583"/>
      <c r="O124" s="583"/>
      <c r="P124" s="583"/>
      <c r="Q124" s="583"/>
      <c r="R124" s="583"/>
      <c r="S124" s="583"/>
      <c r="T124" s="583"/>
      <c r="U124" s="583"/>
      <c r="V124" s="583"/>
      <c r="W124" s="583"/>
      <c r="X124" s="583"/>
      <c r="Y124" s="583"/>
      <c r="Z124" s="583"/>
      <c r="AA124" s="583"/>
      <c r="AB124" s="583"/>
      <c r="AC124" s="583"/>
      <c r="AD124" s="583"/>
      <c r="AE124" s="583"/>
      <c r="AF124" s="583"/>
    </row>
    <row r="125" ht="19.5" customHeight="1">
      <c r="A125" s="647"/>
      <c r="B125" s="647"/>
      <c r="C125" s="647"/>
      <c r="D125" s="649"/>
      <c r="E125" s="647"/>
      <c r="F125" s="649"/>
      <c r="G125" s="649"/>
      <c r="H125" s="647"/>
      <c r="I125" s="583"/>
      <c r="J125" s="583"/>
      <c r="K125" s="583"/>
      <c r="L125" s="583"/>
      <c r="M125" s="583"/>
      <c r="N125" s="583"/>
      <c r="O125" s="583"/>
      <c r="P125" s="583"/>
      <c r="Q125" s="583"/>
      <c r="R125" s="583"/>
      <c r="S125" s="583"/>
      <c r="T125" s="583"/>
      <c r="U125" s="583"/>
      <c r="V125" s="583"/>
      <c r="W125" s="583"/>
      <c r="X125" s="583"/>
      <c r="Y125" s="583"/>
      <c r="Z125" s="583"/>
      <c r="AA125" s="583"/>
      <c r="AB125" s="583"/>
      <c r="AC125" s="583"/>
      <c r="AD125" s="583"/>
      <c r="AE125" s="583"/>
      <c r="AF125" s="583"/>
    </row>
    <row r="126" ht="19.5" customHeight="1">
      <c r="A126" s="647"/>
      <c r="B126" s="647"/>
      <c r="C126" s="647"/>
      <c r="D126" s="649"/>
      <c r="E126" s="647"/>
      <c r="F126" s="649"/>
      <c r="G126" s="649"/>
      <c r="H126" s="647"/>
      <c r="I126" s="583"/>
      <c r="J126" s="583"/>
      <c r="K126" s="583"/>
      <c r="L126" s="583"/>
      <c r="M126" s="583"/>
      <c r="N126" s="583"/>
      <c r="O126" s="583"/>
      <c r="P126" s="583"/>
      <c r="Q126" s="583"/>
      <c r="R126" s="583"/>
      <c r="S126" s="583"/>
      <c r="T126" s="583"/>
      <c r="U126" s="583"/>
      <c r="V126" s="583"/>
      <c r="W126" s="583"/>
      <c r="X126" s="583"/>
      <c r="Y126" s="583"/>
      <c r="Z126" s="583"/>
      <c r="AA126" s="583"/>
      <c r="AB126" s="583"/>
      <c r="AC126" s="583"/>
      <c r="AD126" s="583"/>
      <c r="AE126" s="583"/>
      <c r="AF126" s="583"/>
    </row>
    <row r="127" ht="19.5" customHeight="1">
      <c r="A127" s="647"/>
      <c r="B127" s="647"/>
      <c r="C127" s="647"/>
      <c r="D127" s="649"/>
      <c r="E127" s="647"/>
      <c r="F127" s="649"/>
      <c r="G127" s="649"/>
      <c r="H127" s="647"/>
      <c r="I127" s="583"/>
      <c r="J127" s="583"/>
      <c r="K127" s="583"/>
      <c r="L127" s="583"/>
      <c r="M127" s="583"/>
      <c r="N127" s="583"/>
      <c r="O127" s="583"/>
      <c r="P127" s="583"/>
      <c r="Q127" s="583"/>
      <c r="R127" s="583"/>
      <c r="S127" s="583"/>
      <c r="T127" s="583"/>
      <c r="U127" s="583"/>
      <c r="V127" s="583"/>
      <c r="W127" s="583"/>
      <c r="X127" s="583"/>
      <c r="Y127" s="583"/>
      <c r="Z127" s="583"/>
      <c r="AA127" s="583"/>
      <c r="AB127" s="583"/>
      <c r="AC127" s="583"/>
      <c r="AD127" s="583"/>
      <c r="AE127" s="583"/>
      <c r="AF127" s="583"/>
    </row>
    <row r="128" ht="19.5" customHeight="1">
      <c r="A128" s="647"/>
      <c r="B128" s="647"/>
      <c r="C128" s="647"/>
      <c r="D128" s="649"/>
      <c r="E128" s="647"/>
      <c r="F128" s="649"/>
      <c r="G128" s="649"/>
      <c r="H128" s="647"/>
      <c r="I128" s="583"/>
      <c r="J128" s="583"/>
      <c r="K128" s="583"/>
      <c r="L128" s="583"/>
      <c r="M128" s="583"/>
      <c r="N128" s="583"/>
      <c r="O128" s="583"/>
      <c r="P128" s="583"/>
      <c r="Q128" s="583"/>
      <c r="R128" s="583"/>
      <c r="S128" s="583"/>
      <c r="T128" s="583"/>
      <c r="U128" s="583"/>
      <c r="V128" s="583"/>
      <c r="W128" s="583"/>
      <c r="X128" s="583"/>
      <c r="Y128" s="583"/>
      <c r="Z128" s="583"/>
      <c r="AA128" s="583"/>
      <c r="AB128" s="583"/>
      <c r="AC128" s="583"/>
      <c r="AD128" s="583"/>
      <c r="AE128" s="583"/>
      <c r="AF128" s="583"/>
    </row>
    <row r="129" ht="19.5" customHeight="1">
      <c r="A129" s="647"/>
      <c r="B129" s="647"/>
      <c r="C129" s="647"/>
      <c r="D129" s="649"/>
      <c r="E129" s="647"/>
      <c r="F129" s="649"/>
      <c r="G129" s="649"/>
      <c r="H129" s="647"/>
      <c r="I129" s="583"/>
      <c r="J129" s="583"/>
      <c r="K129" s="583"/>
      <c r="L129" s="583"/>
      <c r="M129" s="583"/>
      <c r="N129" s="583"/>
      <c r="O129" s="583"/>
      <c r="P129" s="583"/>
      <c r="Q129" s="583"/>
      <c r="R129" s="583"/>
      <c r="S129" s="583"/>
      <c r="T129" s="583"/>
      <c r="U129" s="583"/>
      <c r="V129" s="583"/>
      <c r="W129" s="583"/>
      <c r="X129" s="583"/>
      <c r="Y129" s="583"/>
      <c r="Z129" s="583"/>
      <c r="AA129" s="583"/>
      <c r="AB129" s="583"/>
      <c r="AC129" s="583"/>
      <c r="AD129" s="583"/>
      <c r="AE129" s="583"/>
      <c r="AF129" s="583"/>
    </row>
    <row r="130" ht="19.5" customHeight="1">
      <c r="A130" s="647"/>
      <c r="B130" s="647"/>
      <c r="C130" s="647"/>
      <c r="D130" s="649"/>
      <c r="E130" s="647"/>
      <c r="F130" s="649"/>
      <c r="G130" s="649"/>
      <c r="H130" s="647"/>
      <c r="I130" s="583"/>
      <c r="J130" s="583"/>
      <c r="K130" s="583"/>
      <c r="L130" s="583"/>
      <c r="M130" s="583"/>
      <c r="N130" s="583"/>
      <c r="O130" s="583"/>
      <c r="P130" s="583"/>
      <c r="Q130" s="583"/>
      <c r="R130" s="583"/>
      <c r="S130" s="583"/>
      <c r="T130" s="583"/>
      <c r="U130" s="583"/>
      <c r="V130" s="583"/>
      <c r="W130" s="583"/>
      <c r="X130" s="583"/>
      <c r="Y130" s="583"/>
      <c r="Z130" s="583"/>
      <c r="AA130" s="583"/>
      <c r="AB130" s="583"/>
      <c r="AC130" s="583"/>
      <c r="AD130" s="583"/>
      <c r="AE130" s="583"/>
      <c r="AF130" s="583"/>
    </row>
    <row r="131" ht="19.5" customHeight="1">
      <c r="A131" s="647"/>
      <c r="B131" s="647"/>
      <c r="C131" s="647"/>
      <c r="D131" s="649"/>
      <c r="E131" s="647"/>
      <c r="F131" s="649"/>
      <c r="G131" s="649"/>
      <c r="H131" s="647"/>
      <c r="I131" s="583"/>
      <c r="J131" s="583"/>
      <c r="K131" s="583"/>
      <c r="L131" s="583"/>
      <c r="M131" s="583"/>
      <c r="N131" s="583"/>
      <c r="O131" s="583"/>
      <c r="P131" s="583"/>
      <c r="Q131" s="583"/>
      <c r="R131" s="583"/>
      <c r="S131" s="583"/>
      <c r="T131" s="583"/>
      <c r="U131" s="583"/>
      <c r="V131" s="583"/>
      <c r="W131" s="583"/>
      <c r="X131" s="583"/>
      <c r="Y131" s="583"/>
      <c r="Z131" s="583"/>
      <c r="AA131" s="583"/>
      <c r="AB131" s="583"/>
      <c r="AC131" s="583"/>
      <c r="AD131" s="583"/>
      <c r="AE131" s="583"/>
      <c r="AF131" s="583"/>
    </row>
    <row r="132" ht="19.5" customHeight="1">
      <c r="A132" s="647"/>
      <c r="B132" s="647"/>
      <c r="C132" s="647"/>
      <c r="D132" s="649"/>
      <c r="E132" s="647"/>
      <c r="F132" s="649"/>
      <c r="G132" s="649"/>
      <c r="H132" s="647"/>
      <c r="I132" s="583"/>
      <c r="J132" s="583"/>
      <c r="K132" s="583"/>
      <c r="L132" s="583"/>
      <c r="M132" s="583"/>
      <c r="N132" s="583"/>
      <c r="O132" s="583"/>
      <c r="P132" s="583"/>
      <c r="Q132" s="583"/>
      <c r="R132" s="583"/>
      <c r="S132" s="583"/>
      <c r="T132" s="583"/>
      <c r="U132" s="583"/>
      <c r="V132" s="583"/>
      <c r="W132" s="583"/>
      <c r="X132" s="583"/>
      <c r="Y132" s="583"/>
      <c r="Z132" s="583"/>
      <c r="AA132" s="583"/>
      <c r="AB132" s="583"/>
      <c r="AC132" s="583"/>
      <c r="AD132" s="583"/>
      <c r="AE132" s="583"/>
      <c r="AF132" s="583"/>
    </row>
    <row r="133" ht="19.5" customHeight="1">
      <c r="A133" s="647"/>
      <c r="B133" s="647"/>
      <c r="C133" s="647"/>
      <c r="D133" s="649"/>
      <c r="E133" s="647"/>
      <c r="F133" s="649"/>
      <c r="G133" s="649"/>
      <c r="H133" s="647"/>
      <c r="I133" s="583"/>
      <c r="J133" s="583"/>
      <c r="K133" s="583"/>
      <c r="L133" s="583"/>
      <c r="M133" s="583"/>
      <c r="N133" s="583"/>
      <c r="O133" s="583"/>
      <c r="P133" s="583"/>
      <c r="Q133" s="583"/>
      <c r="R133" s="583"/>
      <c r="S133" s="583"/>
      <c r="T133" s="583"/>
      <c r="U133" s="583"/>
      <c r="V133" s="583"/>
      <c r="W133" s="583"/>
      <c r="X133" s="583"/>
      <c r="Y133" s="583"/>
      <c r="Z133" s="583"/>
      <c r="AA133" s="583"/>
      <c r="AB133" s="583"/>
      <c r="AC133" s="583"/>
      <c r="AD133" s="583"/>
      <c r="AE133" s="583"/>
      <c r="AF133" s="583"/>
    </row>
    <row r="134" ht="19.5" customHeight="1">
      <c r="A134" s="647"/>
      <c r="B134" s="647"/>
      <c r="C134" s="647"/>
      <c r="D134" s="649"/>
      <c r="E134" s="647"/>
      <c r="F134" s="649"/>
      <c r="G134" s="649"/>
      <c r="H134" s="647"/>
      <c r="I134" s="583"/>
      <c r="J134" s="583"/>
      <c r="K134" s="583"/>
      <c r="L134" s="583"/>
      <c r="M134" s="583"/>
      <c r="N134" s="583"/>
      <c r="O134" s="583"/>
      <c r="P134" s="583"/>
      <c r="Q134" s="583"/>
      <c r="R134" s="583"/>
      <c r="S134" s="583"/>
      <c r="T134" s="583"/>
      <c r="U134" s="583"/>
      <c r="V134" s="583"/>
      <c r="W134" s="583"/>
      <c r="X134" s="583"/>
      <c r="Y134" s="583"/>
      <c r="Z134" s="583"/>
      <c r="AA134" s="583"/>
      <c r="AB134" s="583"/>
      <c r="AC134" s="583"/>
      <c r="AD134" s="583"/>
      <c r="AE134" s="583"/>
      <c r="AF134" s="583"/>
    </row>
    <row r="135" ht="19.5" customHeight="1">
      <c r="A135" s="647"/>
      <c r="B135" s="647"/>
      <c r="C135" s="647"/>
      <c r="D135" s="649"/>
      <c r="E135" s="647"/>
      <c r="F135" s="649"/>
      <c r="G135" s="649"/>
      <c r="H135" s="647"/>
      <c r="I135" s="583"/>
      <c r="J135" s="583"/>
      <c r="K135" s="583"/>
      <c r="L135" s="583"/>
      <c r="M135" s="583"/>
      <c r="N135" s="583"/>
      <c r="O135" s="583"/>
      <c r="P135" s="583"/>
      <c r="Q135" s="583"/>
      <c r="R135" s="583"/>
      <c r="S135" s="583"/>
      <c r="T135" s="583"/>
      <c r="U135" s="583"/>
      <c r="V135" s="583"/>
      <c r="W135" s="583"/>
      <c r="X135" s="583"/>
      <c r="Y135" s="583"/>
      <c r="Z135" s="583"/>
      <c r="AA135" s="583"/>
      <c r="AB135" s="583"/>
      <c r="AC135" s="583"/>
      <c r="AD135" s="583"/>
      <c r="AE135" s="583"/>
      <c r="AF135" s="583"/>
    </row>
    <row r="136" ht="19.5" customHeight="1">
      <c r="A136" s="647"/>
      <c r="B136" s="647"/>
      <c r="C136" s="647"/>
      <c r="D136" s="649"/>
      <c r="E136" s="647"/>
      <c r="F136" s="649"/>
      <c r="G136" s="649"/>
      <c r="H136" s="647"/>
      <c r="I136" s="583"/>
      <c r="J136" s="583"/>
      <c r="K136" s="583"/>
      <c r="L136" s="583"/>
      <c r="M136" s="583"/>
      <c r="N136" s="583"/>
      <c r="O136" s="583"/>
      <c r="P136" s="583"/>
      <c r="Q136" s="583"/>
      <c r="R136" s="583"/>
      <c r="S136" s="583"/>
      <c r="T136" s="583"/>
      <c r="U136" s="583"/>
      <c r="V136" s="583"/>
      <c r="W136" s="583"/>
      <c r="X136" s="583"/>
      <c r="Y136" s="583"/>
      <c r="Z136" s="583"/>
      <c r="AA136" s="583"/>
      <c r="AB136" s="583"/>
      <c r="AC136" s="583"/>
      <c r="AD136" s="583"/>
      <c r="AE136" s="583"/>
      <c r="AF136" s="583"/>
    </row>
    <row r="137" ht="19.5" customHeight="1">
      <c r="A137" s="647"/>
      <c r="B137" s="647"/>
      <c r="C137" s="647"/>
      <c r="D137" s="649"/>
      <c r="E137" s="647"/>
      <c r="F137" s="649"/>
      <c r="G137" s="649"/>
      <c r="H137" s="647"/>
      <c r="I137" s="583"/>
      <c r="J137" s="583"/>
      <c r="K137" s="583"/>
      <c r="L137" s="583"/>
      <c r="M137" s="583"/>
      <c r="N137" s="583"/>
      <c r="O137" s="583"/>
      <c r="P137" s="583"/>
      <c r="Q137" s="583"/>
      <c r="R137" s="583"/>
      <c r="S137" s="583"/>
      <c r="T137" s="583"/>
      <c r="U137" s="583"/>
      <c r="V137" s="583"/>
      <c r="W137" s="583"/>
      <c r="X137" s="583"/>
      <c r="Y137" s="583"/>
      <c r="Z137" s="583"/>
      <c r="AA137" s="583"/>
      <c r="AB137" s="583"/>
      <c r="AC137" s="583"/>
      <c r="AD137" s="583"/>
      <c r="AE137" s="583"/>
      <c r="AF137" s="583"/>
    </row>
    <row r="138" ht="19.5" customHeight="1">
      <c r="A138" s="647"/>
      <c r="B138" s="647"/>
      <c r="C138" s="647"/>
      <c r="D138" s="649"/>
      <c r="E138" s="647"/>
      <c r="F138" s="649"/>
      <c r="G138" s="649"/>
      <c r="H138" s="647"/>
      <c r="I138" s="583"/>
      <c r="J138" s="583"/>
      <c r="K138" s="583"/>
      <c r="L138" s="583"/>
      <c r="M138" s="583"/>
      <c r="N138" s="583"/>
      <c r="O138" s="583"/>
      <c r="P138" s="583"/>
      <c r="Q138" s="583"/>
      <c r="R138" s="583"/>
      <c r="S138" s="583"/>
      <c r="T138" s="583"/>
      <c r="U138" s="583"/>
      <c r="V138" s="583"/>
      <c r="W138" s="583"/>
      <c r="X138" s="583"/>
      <c r="Y138" s="583"/>
      <c r="Z138" s="583"/>
      <c r="AA138" s="583"/>
      <c r="AB138" s="583"/>
      <c r="AC138" s="583"/>
      <c r="AD138" s="583"/>
      <c r="AE138" s="583"/>
      <c r="AF138" s="583"/>
    </row>
    <row r="139" ht="19.5" customHeight="1">
      <c r="A139" s="647"/>
      <c r="B139" s="647"/>
      <c r="C139" s="647"/>
      <c r="D139" s="649"/>
      <c r="E139" s="647"/>
      <c r="F139" s="649"/>
      <c r="G139" s="649"/>
      <c r="H139" s="647"/>
      <c r="I139" s="583"/>
      <c r="J139" s="583"/>
      <c r="K139" s="583"/>
      <c r="L139" s="583"/>
      <c r="M139" s="583"/>
      <c r="N139" s="583"/>
      <c r="O139" s="583"/>
      <c r="P139" s="583"/>
      <c r="Q139" s="583"/>
      <c r="R139" s="583"/>
      <c r="S139" s="583"/>
      <c r="T139" s="583"/>
      <c r="U139" s="583"/>
      <c r="V139" s="583"/>
      <c r="W139" s="583"/>
      <c r="X139" s="583"/>
      <c r="Y139" s="583"/>
      <c r="Z139" s="583"/>
      <c r="AA139" s="583"/>
      <c r="AB139" s="583"/>
      <c r="AC139" s="583"/>
      <c r="AD139" s="583"/>
      <c r="AE139" s="583"/>
      <c r="AF139" s="583"/>
    </row>
    <row r="140" ht="19.5" customHeight="1">
      <c r="A140" s="647"/>
      <c r="B140" s="647"/>
      <c r="C140" s="647"/>
      <c r="D140" s="649"/>
      <c r="E140" s="647"/>
      <c r="F140" s="649"/>
      <c r="G140" s="649"/>
      <c r="H140" s="647"/>
      <c r="I140" s="583"/>
      <c r="J140" s="583"/>
      <c r="K140" s="583"/>
      <c r="L140" s="583"/>
      <c r="M140" s="583"/>
      <c r="N140" s="583"/>
      <c r="O140" s="583"/>
      <c r="P140" s="583"/>
      <c r="Q140" s="583"/>
      <c r="R140" s="583"/>
      <c r="S140" s="583"/>
      <c r="T140" s="583"/>
      <c r="U140" s="583"/>
      <c r="V140" s="583"/>
      <c r="W140" s="583"/>
      <c r="X140" s="583"/>
      <c r="Y140" s="583"/>
      <c r="Z140" s="583"/>
      <c r="AA140" s="583"/>
      <c r="AB140" s="583"/>
      <c r="AC140" s="583"/>
      <c r="AD140" s="583"/>
      <c r="AE140" s="583"/>
      <c r="AF140" s="583"/>
    </row>
    <row r="141" ht="19.5" customHeight="1">
      <c r="A141" s="647"/>
      <c r="B141" s="647"/>
      <c r="C141" s="647"/>
      <c r="D141" s="649"/>
      <c r="E141" s="647"/>
      <c r="F141" s="649"/>
      <c r="G141" s="649"/>
      <c r="H141" s="647"/>
      <c r="I141" s="583"/>
      <c r="J141" s="583"/>
      <c r="K141" s="583"/>
      <c r="L141" s="583"/>
      <c r="M141" s="583"/>
      <c r="N141" s="583"/>
      <c r="O141" s="583"/>
      <c r="P141" s="583"/>
      <c r="Q141" s="583"/>
      <c r="R141" s="583"/>
      <c r="S141" s="583"/>
      <c r="T141" s="583"/>
      <c r="U141" s="583"/>
      <c r="V141" s="583"/>
      <c r="W141" s="583"/>
      <c r="X141" s="583"/>
      <c r="Y141" s="583"/>
      <c r="Z141" s="583"/>
      <c r="AA141" s="583"/>
      <c r="AB141" s="583"/>
      <c r="AC141" s="583"/>
      <c r="AD141" s="583"/>
      <c r="AE141" s="583"/>
      <c r="AF141" s="583"/>
    </row>
    <row r="142" ht="19.5" customHeight="1">
      <c r="A142" s="647"/>
      <c r="B142" s="647"/>
      <c r="C142" s="647"/>
      <c r="D142" s="649"/>
      <c r="E142" s="647"/>
      <c r="F142" s="649"/>
      <c r="G142" s="649"/>
      <c r="H142" s="647"/>
      <c r="I142" s="583"/>
      <c r="J142" s="583"/>
      <c r="K142" s="583"/>
      <c r="L142" s="583"/>
      <c r="M142" s="583"/>
      <c r="N142" s="583"/>
      <c r="O142" s="583"/>
      <c r="P142" s="583"/>
      <c r="Q142" s="583"/>
      <c r="R142" s="583"/>
      <c r="S142" s="583"/>
      <c r="T142" s="583"/>
      <c r="U142" s="583"/>
      <c r="V142" s="583"/>
      <c r="W142" s="583"/>
      <c r="X142" s="583"/>
      <c r="Y142" s="583"/>
      <c r="Z142" s="583"/>
      <c r="AA142" s="583"/>
      <c r="AB142" s="583"/>
      <c r="AC142" s="583"/>
      <c r="AD142" s="583"/>
      <c r="AE142" s="583"/>
      <c r="AF142" s="583"/>
    </row>
    <row r="143" ht="19.5" customHeight="1">
      <c r="A143" s="647"/>
      <c r="B143" s="647"/>
      <c r="C143" s="647"/>
      <c r="D143" s="649"/>
      <c r="E143" s="647"/>
      <c r="F143" s="649"/>
      <c r="G143" s="649"/>
      <c r="H143" s="647"/>
      <c r="I143" s="583"/>
      <c r="J143" s="583"/>
      <c r="K143" s="583"/>
      <c r="L143" s="583"/>
      <c r="M143" s="583"/>
      <c r="N143" s="583"/>
      <c r="O143" s="583"/>
      <c r="P143" s="583"/>
      <c r="Q143" s="583"/>
      <c r="R143" s="583"/>
      <c r="S143" s="583"/>
      <c r="T143" s="583"/>
      <c r="U143" s="583"/>
      <c r="V143" s="583"/>
      <c r="W143" s="583"/>
      <c r="X143" s="583"/>
      <c r="Y143" s="583"/>
      <c r="Z143" s="583"/>
      <c r="AA143" s="583"/>
      <c r="AB143" s="583"/>
      <c r="AC143" s="583"/>
      <c r="AD143" s="583"/>
      <c r="AE143" s="583"/>
      <c r="AF143" s="583"/>
    </row>
    <row r="144" ht="19.5" customHeight="1">
      <c r="A144" s="647"/>
      <c r="B144" s="647"/>
      <c r="C144" s="647"/>
      <c r="D144" s="649"/>
      <c r="E144" s="647"/>
      <c r="F144" s="649"/>
      <c r="G144" s="649"/>
      <c r="H144" s="647"/>
      <c r="I144" s="583"/>
      <c r="J144" s="583"/>
      <c r="K144" s="583"/>
      <c r="L144" s="583"/>
      <c r="M144" s="583"/>
      <c r="N144" s="583"/>
      <c r="O144" s="583"/>
      <c r="P144" s="583"/>
      <c r="Q144" s="583"/>
      <c r="R144" s="583"/>
      <c r="S144" s="583"/>
      <c r="T144" s="583"/>
      <c r="U144" s="583"/>
      <c r="V144" s="583"/>
      <c r="W144" s="583"/>
      <c r="X144" s="583"/>
      <c r="Y144" s="583"/>
      <c r="Z144" s="583"/>
      <c r="AA144" s="583"/>
      <c r="AB144" s="583"/>
      <c r="AC144" s="583"/>
      <c r="AD144" s="583"/>
      <c r="AE144" s="583"/>
      <c r="AF144" s="583"/>
    </row>
    <row r="145" ht="19.5" customHeight="1">
      <c r="A145" s="647"/>
      <c r="B145" s="647"/>
      <c r="C145" s="647"/>
      <c r="D145" s="649"/>
      <c r="E145" s="647"/>
      <c r="F145" s="649"/>
      <c r="G145" s="649"/>
      <c r="H145" s="647"/>
      <c r="I145" s="583"/>
      <c r="J145" s="583"/>
      <c r="K145" s="583"/>
      <c r="L145" s="583"/>
      <c r="M145" s="583"/>
      <c r="N145" s="583"/>
      <c r="O145" s="583"/>
      <c r="P145" s="583"/>
      <c r="Q145" s="583"/>
      <c r="R145" s="583"/>
      <c r="S145" s="583"/>
      <c r="T145" s="583"/>
      <c r="U145" s="583"/>
      <c r="V145" s="583"/>
      <c r="W145" s="583"/>
      <c r="X145" s="583"/>
      <c r="Y145" s="583"/>
      <c r="Z145" s="583"/>
      <c r="AA145" s="583"/>
      <c r="AB145" s="583"/>
      <c r="AC145" s="583"/>
      <c r="AD145" s="583"/>
      <c r="AE145" s="583"/>
      <c r="AF145" s="583"/>
    </row>
    <row r="146" ht="19.5" customHeight="1">
      <c r="A146" s="647"/>
      <c r="B146" s="647"/>
      <c r="C146" s="647"/>
      <c r="D146" s="649"/>
      <c r="E146" s="647"/>
      <c r="F146" s="649"/>
      <c r="G146" s="649"/>
      <c r="H146" s="647"/>
      <c r="I146" s="583"/>
      <c r="J146" s="583"/>
      <c r="K146" s="583"/>
      <c r="L146" s="583"/>
      <c r="M146" s="583"/>
      <c r="N146" s="583"/>
      <c r="O146" s="583"/>
      <c r="P146" s="583"/>
      <c r="Q146" s="583"/>
      <c r="R146" s="583"/>
      <c r="S146" s="583"/>
      <c r="T146" s="583"/>
      <c r="U146" s="583"/>
      <c r="V146" s="583"/>
      <c r="W146" s="583"/>
      <c r="X146" s="583"/>
      <c r="Y146" s="583"/>
      <c r="Z146" s="583"/>
      <c r="AA146" s="583"/>
      <c r="AB146" s="583"/>
      <c r="AC146" s="583"/>
      <c r="AD146" s="583"/>
      <c r="AE146" s="583"/>
      <c r="AF146" s="583"/>
    </row>
    <row r="147" ht="19.5" customHeight="1">
      <c r="A147" s="647"/>
      <c r="B147" s="647"/>
      <c r="C147" s="647"/>
      <c r="D147" s="649"/>
      <c r="E147" s="647"/>
      <c r="F147" s="649"/>
      <c r="G147" s="649"/>
      <c r="H147" s="647"/>
      <c r="I147" s="583"/>
      <c r="J147" s="583"/>
      <c r="K147" s="583"/>
      <c r="L147" s="583"/>
      <c r="M147" s="583"/>
      <c r="N147" s="583"/>
      <c r="O147" s="583"/>
      <c r="P147" s="583"/>
      <c r="Q147" s="583"/>
      <c r="R147" s="583"/>
      <c r="S147" s="583"/>
      <c r="T147" s="583"/>
      <c r="U147" s="583"/>
      <c r="V147" s="583"/>
      <c r="W147" s="583"/>
      <c r="X147" s="583"/>
      <c r="Y147" s="583"/>
      <c r="Z147" s="583"/>
      <c r="AA147" s="583"/>
      <c r="AB147" s="583"/>
      <c r="AC147" s="583"/>
      <c r="AD147" s="583"/>
      <c r="AE147" s="583"/>
      <c r="AF147" s="583"/>
    </row>
    <row r="148" ht="19.5" customHeight="1">
      <c r="A148" s="647"/>
      <c r="B148" s="647"/>
      <c r="C148" s="647"/>
      <c r="D148" s="649"/>
      <c r="E148" s="647"/>
      <c r="F148" s="649"/>
      <c r="G148" s="649"/>
      <c r="H148" s="647"/>
      <c r="I148" s="583"/>
      <c r="J148" s="583"/>
      <c r="K148" s="583"/>
      <c r="L148" s="583"/>
      <c r="M148" s="583"/>
      <c r="N148" s="583"/>
      <c r="O148" s="583"/>
      <c r="P148" s="583"/>
      <c r="Q148" s="583"/>
      <c r="R148" s="583"/>
      <c r="S148" s="583"/>
      <c r="T148" s="583"/>
      <c r="U148" s="583"/>
      <c r="V148" s="583"/>
      <c r="W148" s="583"/>
      <c r="X148" s="583"/>
      <c r="Y148" s="583"/>
      <c r="Z148" s="583"/>
      <c r="AA148" s="583"/>
      <c r="AB148" s="583"/>
      <c r="AC148" s="583"/>
      <c r="AD148" s="583"/>
      <c r="AE148" s="583"/>
      <c r="AF148" s="583"/>
    </row>
    <row r="149" ht="19.5" customHeight="1">
      <c r="A149" s="647"/>
      <c r="B149" s="647"/>
      <c r="C149" s="647"/>
      <c r="D149" s="649"/>
      <c r="E149" s="647"/>
      <c r="F149" s="649"/>
      <c r="G149" s="649"/>
      <c r="H149" s="647"/>
      <c r="I149" s="583"/>
      <c r="J149" s="583"/>
      <c r="K149" s="583"/>
      <c r="L149" s="583"/>
      <c r="M149" s="583"/>
      <c r="N149" s="583"/>
      <c r="O149" s="583"/>
      <c r="P149" s="583"/>
      <c r="Q149" s="583"/>
      <c r="R149" s="583"/>
      <c r="S149" s="583"/>
      <c r="T149" s="583"/>
      <c r="U149" s="583"/>
      <c r="V149" s="583"/>
      <c r="W149" s="583"/>
      <c r="X149" s="583"/>
      <c r="Y149" s="583"/>
      <c r="Z149" s="583"/>
      <c r="AA149" s="583"/>
      <c r="AB149" s="583"/>
      <c r="AC149" s="583"/>
      <c r="AD149" s="583"/>
      <c r="AE149" s="583"/>
      <c r="AF149" s="583"/>
    </row>
    <row r="150" ht="19.5" customHeight="1">
      <c r="A150" s="647"/>
      <c r="B150" s="647"/>
      <c r="C150" s="647"/>
      <c r="D150" s="649"/>
      <c r="E150" s="647"/>
      <c r="F150" s="649"/>
      <c r="G150" s="649"/>
      <c r="H150" s="647"/>
      <c r="I150" s="583"/>
      <c r="J150" s="583"/>
      <c r="K150" s="583"/>
      <c r="L150" s="583"/>
      <c r="M150" s="583"/>
      <c r="N150" s="583"/>
      <c r="O150" s="583"/>
      <c r="P150" s="583"/>
      <c r="Q150" s="583"/>
      <c r="R150" s="583"/>
      <c r="S150" s="583"/>
      <c r="T150" s="583"/>
      <c r="U150" s="583"/>
      <c r="V150" s="583"/>
      <c r="W150" s="583"/>
      <c r="X150" s="583"/>
      <c r="Y150" s="583"/>
      <c r="Z150" s="583"/>
      <c r="AA150" s="583"/>
      <c r="AB150" s="583"/>
      <c r="AC150" s="583"/>
      <c r="AD150" s="583"/>
      <c r="AE150" s="583"/>
      <c r="AF150" s="583"/>
    </row>
    <row r="151" ht="19.5" customHeight="1">
      <c r="A151" s="647"/>
      <c r="B151" s="647"/>
      <c r="C151" s="647"/>
      <c r="D151" s="649"/>
      <c r="E151" s="647"/>
      <c r="F151" s="649"/>
      <c r="G151" s="649"/>
      <c r="H151" s="647"/>
      <c r="I151" s="583"/>
      <c r="J151" s="583"/>
      <c r="K151" s="583"/>
      <c r="L151" s="583"/>
      <c r="M151" s="583"/>
      <c r="N151" s="583"/>
      <c r="O151" s="583"/>
      <c r="P151" s="583"/>
      <c r="Q151" s="583"/>
      <c r="R151" s="583"/>
      <c r="S151" s="583"/>
      <c r="T151" s="583"/>
      <c r="U151" s="583"/>
      <c r="V151" s="583"/>
      <c r="W151" s="583"/>
      <c r="X151" s="583"/>
      <c r="Y151" s="583"/>
      <c r="Z151" s="583"/>
      <c r="AA151" s="583"/>
      <c r="AB151" s="583"/>
      <c r="AC151" s="583"/>
      <c r="AD151" s="583"/>
      <c r="AE151" s="583"/>
      <c r="AF151" s="583"/>
    </row>
    <row r="152" ht="19.5" customHeight="1">
      <c r="A152" s="647"/>
      <c r="B152" s="647"/>
      <c r="C152" s="647"/>
      <c r="D152" s="649"/>
      <c r="E152" s="647"/>
      <c r="F152" s="649"/>
      <c r="G152" s="649"/>
      <c r="H152" s="647"/>
      <c r="I152" s="583"/>
      <c r="J152" s="583"/>
      <c r="K152" s="583"/>
      <c r="L152" s="583"/>
      <c r="M152" s="583"/>
      <c r="N152" s="583"/>
      <c r="O152" s="583"/>
      <c r="P152" s="583"/>
      <c r="Q152" s="583"/>
      <c r="R152" s="583"/>
      <c r="S152" s="583"/>
      <c r="T152" s="583"/>
      <c r="U152" s="583"/>
      <c r="V152" s="583"/>
      <c r="W152" s="583"/>
      <c r="X152" s="583"/>
      <c r="Y152" s="583"/>
      <c r="Z152" s="583"/>
      <c r="AA152" s="583"/>
      <c r="AB152" s="583"/>
      <c r="AC152" s="583"/>
      <c r="AD152" s="583"/>
      <c r="AE152" s="583"/>
      <c r="AF152" s="583"/>
    </row>
    <row r="153" ht="19.5" customHeight="1">
      <c r="A153" s="647"/>
      <c r="B153" s="647"/>
      <c r="C153" s="647"/>
      <c r="D153" s="649"/>
      <c r="E153" s="647"/>
      <c r="F153" s="649"/>
      <c r="G153" s="649"/>
      <c r="H153" s="647"/>
      <c r="I153" s="583"/>
      <c r="J153" s="583"/>
      <c r="K153" s="583"/>
      <c r="L153" s="583"/>
      <c r="M153" s="583"/>
      <c r="N153" s="583"/>
      <c r="O153" s="583"/>
      <c r="P153" s="583"/>
      <c r="Q153" s="583"/>
      <c r="R153" s="583"/>
      <c r="S153" s="583"/>
      <c r="T153" s="583"/>
      <c r="U153" s="583"/>
      <c r="V153" s="583"/>
      <c r="W153" s="583"/>
      <c r="X153" s="583"/>
      <c r="Y153" s="583"/>
      <c r="Z153" s="583"/>
      <c r="AA153" s="583"/>
      <c r="AB153" s="583"/>
      <c r="AC153" s="583"/>
      <c r="AD153" s="583"/>
      <c r="AE153" s="583"/>
      <c r="AF153" s="583"/>
    </row>
    <row r="154" ht="19.5" customHeight="1">
      <c r="A154" s="647"/>
      <c r="B154" s="647"/>
      <c r="C154" s="647"/>
      <c r="D154" s="649"/>
      <c r="E154" s="647"/>
      <c r="F154" s="649"/>
      <c r="G154" s="649"/>
      <c r="H154" s="647"/>
      <c r="I154" s="583"/>
      <c r="J154" s="583"/>
      <c r="K154" s="583"/>
      <c r="L154" s="583"/>
      <c r="M154" s="583"/>
      <c r="N154" s="583"/>
      <c r="O154" s="583"/>
      <c r="P154" s="583"/>
      <c r="Q154" s="583"/>
      <c r="R154" s="583"/>
      <c r="S154" s="583"/>
      <c r="T154" s="583"/>
      <c r="U154" s="583"/>
      <c r="V154" s="583"/>
      <c r="W154" s="583"/>
      <c r="X154" s="583"/>
      <c r="Y154" s="583"/>
      <c r="Z154" s="583"/>
      <c r="AA154" s="583"/>
      <c r="AB154" s="583"/>
      <c r="AC154" s="583"/>
      <c r="AD154" s="583"/>
      <c r="AE154" s="583"/>
      <c r="AF154" s="583"/>
    </row>
    <row r="155" ht="19.5" customHeight="1">
      <c r="A155" s="647"/>
      <c r="B155" s="647"/>
      <c r="C155" s="647"/>
      <c r="D155" s="649"/>
      <c r="E155" s="647"/>
      <c r="F155" s="649"/>
      <c r="G155" s="649"/>
      <c r="H155" s="647"/>
      <c r="I155" s="583"/>
      <c r="J155" s="583"/>
      <c r="K155" s="583"/>
      <c r="L155" s="583"/>
      <c r="M155" s="583"/>
      <c r="N155" s="583"/>
      <c r="O155" s="583"/>
      <c r="P155" s="583"/>
      <c r="Q155" s="583"/>
      <c r="R155" s="583"/>
      <c r="S155" s="583"/>
      <c r="T155" s="583"/>
      <c r="U155" s="583"/>
      <c r="V155" s="583"/>
      <c r="W155" s="583"/>
      <c r="X155" s="583"/>
      <c r="Y155" s="583"/>
      <c r="Z155" s="583"/>
      <c r="AA155" s="583"/>
      <c r="AB155" s="583"/>
      <c r="AC155" s="583"/>
      <c r="AD155" s="583"/>
      <c r="AE155" s="583"/>
      <c r="AF155" s="583"/>
    </row>
    <row r="156" ht="19.5" customHeight="1">
      <c r="A156" s="647"/>
      <c r="B156" s="647"/>
      <c r="C156" s="647"/>
      <c r="D156" s="649"/>
      <c r="E156" s="647"/>
      <c r="F156" s="649"/>
      <c r="G156" s="649"/>
      <c r="H156" s="647"/>
      <c r="I156" s="583"/>
      <c r="J156" s="583"/>
      <c r="K156" s="583"/>
      <c r="L156" s="583"/>
      <c r="M156" s="583"/>
      <c r="N156" s="583"/>
      <c r="O156" s="583"/>
      <c r="P156" s="583"/>
      <c r="Q156" s="583"/>
      <c r="R156" s="583"/>
      <c r="S156" s="583"/>
      <c r="T156" s="583"/>
      <c r="U156" s="583"/>
      <c r="V156" s="583"/>
      <c r="W156" s="583"/>
      <c r="X156" s="583"/>
      <c r="Y156" s="583"/>
      <c r="Z156" s="583"/>
      <c r="AA156" s="583"/>
      <c r="AB156" s="583"/>
      <c r="AC156" s="583"/>
      <c r="AD156" s="583"/>
      <c r="AE156" s="583"/>
      <c r="AF156" s="583"/>
    </row>
    <row r="157" ht="19.5" customHeight="1">
      <c r="A157" s="647"/>
      <c r="B157" s="647"/>
      <c r="C157" s="647"/>
      <c r="D157" s="649"/>
      <c r="E157" s="647"/>
      <c r="F157" s="649"/>
      <c r="G157" s="649"/>
      <c r="H157" s="647"/>
      <c r="I157" s="583"/>
      <c r="J157" s="583"/>
      <c r="K157" s="583"/>
      <c r="L157" s="583"/>
      <c r="M157" s="583"/>
      <c r="N157" s="583"/>
      <c r="O157" s="583"/>
      <c r="P157" s="583"/>
      <c r="Q157" s="583"/>
      <c r="R157" s="583"/>
      <c r="S157" s="583"/>
      <c r="T157" s="583"/>
      <c r="U157" s="583"/>
      <c r="V157" s="583"/>
      <c r="W157" s="583"/>
      <c r="X157" s="583"/>
      <c r="Y157" s="583"/>
      <c r="Z157" s="583"/>
      <c r="AA157" s="583"/>
      <c r="AB157" s="583"/>
      <c r="AC157" s="583"/>
      <c r="AD157" s="583"/>
      <c r="AE157" s="583"/>
      <c r="AF157" s="583"/>
    </row>
    <row r="158" ht="19.5" customHeight="1">
      <c r="A158" s="647"/>
      <c r="B158" s="647"/>
      <c r="C158" s="647"/>
      <c r="D158" s="649"/>
      <c r="E158" s="647"/>
      <c r="F158" s="649"/>
      <c r="G158" s="649"/>
      <c r="H158" s="647"/>
      <c r="I158" s="583"/>
      <c r="J158" s="583"/>
      <c r="K158" s="583"/>
      <c r="L158" s="583"/>
      <c r="M158" s="583"/>
      <c r="N158" s="583"/>
      <c r="O158" s="583"/>
      <c r="P158" s="583"/>
      <c r="Q158" s="583"/>
      <c r="R158" s="583"/>
      <c r="S158" s="583"/>
      <c r="T158" s="583"/>
      <c r="U158" s="583"/>
      <c r="V158" s="583"/>
      <c r="W158" s="583"/>
      <c r="X158" s="583"/>
      <c r="Y158" s="583"/>
      <c r="Z158" s="583"/>
      <c r="AA158" s="583"/>
      <c r="AB158" s="583"/>
      <c r="AC158" s="583"/>
      <c r="AD158" s="583"/>
      <c r="AE158" s="583"/>
      <c r="AF158" s="583"/>
    </row>
    <row r="159" ht="19.5" customHeight="1">
      <c r="A159" s="647"/>
      <c r="B159" s="647"/>
      <c r="C159" s="647"/>
      <c r="D159" s="649"/>
      <c r="E159" s="647"/>
      <c r="F159" s="649"/>
      <c r="G159" s="649"/>
      <c r="H159" s="647"/>
      <c r="I159" s="583"/>
      <c r="J159" s="583"/>
      <c r="K159" s="583"/>
      <c r="L159" s="583"/>
      <c r="M159" s="583"/>
      <c r="N159" s="583"/>
      <c r="O159" s="583"/>
      <c r="P159" s="583"/>
      <c r="Q159" s="583"/>
      <c r="R159" s="583"/>
      <c r="S159" s="583"/>
      <c r="T159" s="583"/>
      <c r="U159" s="583"/>
      <c r="V159" s="583"/>
      <c r="W159" s="583"/>
      <c r="X159" s="583"/>
      <c r="Y159" s="583"/>
      <c r="Z159" s="583"/>
      <c r="AA159" s="583"/>
      <c r="AB159" s="583"/>
      <c r="AC159" s="583"/>
      <c r="AD159" s="583"/>
      <c r="AE159" s="583"/>
      <c r="AF159" s="583"/>
    </row>
    <row r="160" ht="19.5" customHeight="1">
      <c r="A160" s="647"/>
      <c r="B160" s="647"/>
      <c r="C160" s="647"/>
      <c r="D160" s="649"/>
      <c r="E160" s="647"/>
      <c r="F160" s="649"/>
      <c r="G160" s="649"/>
      <c r="H160" s="647"/>
      <c r="I160" s="583"/>
      <c r="J160" s="583"/>
      <c r="K160" s="583"/>
      <c r="L160" s="583"/>
      <c r="M160" s="583"/>
      <c r="N160" s="583"/>
      <c r="O160" s="583"/>
      <c r="P160" s="583"/>
      <c r="Q160" s="583"/>
      <c r="R160" s="583"/>
      <c r="S160" s="583"/>
      <c r="T160" s="583"/>
      <c r="U160" s="583"/>
      <c r="V160" s="583"/>
      <c r="W160" s="583"/>
      <c r="X160" s="583"/>
      <c r="Y160" s="583"/>
      <c r="Z160" s="583"/>
      <c r="AA160" s="583"/>
      <c r="AB160" s="583"/>
      <c r="AC160" s="583"/>
      <c r="AD160" s="583"/>
      <c r="AE160" s="583"/>
      <c r="AF160" s="583"/>
    </row>
    <row r="161" ht="19.5" customHeight="1">
      <c r="A161" s="647"/>
      <c r="B161" s="647"/>
      <c r="C161" s="647"/>
      <c r="D161" s="649"/>
      <c r="E161" s="647"/>
      <c r="F161" s="649"/>
      <c r="G161" s="649"/>
      <c r="H161" s="647"/>
      <c r="I161" s="583"/>
      <c r="J161" s="583"/>
      <c r="K161" s="583"/>
      <c r="L161" s="583"/>
      <c r="M161" s="583"/>
      <c r="N161" s="583"/>
      <c r="O161" s="583"/>
      <c r="P161" s="583"/>
      <c r="Q161" s="583"/>
      <c r="R161" s="583"/>
      <c r="S161" s="583"/>
      <c r="T161" s="583"/>
      <c r="U161" s="583"/>
      <c r="V161" s="583"/>
      <c r="W161" s="583"/>
      <c r="X161" s="583"/>
      <c r="Y161" s="583"/>
      <c r="Z161" s="583"/>
      <c r="AA161" s="583"/>
      <c r="AB161" s="583"/>
      <c r="AC161" s="583"/>
      <c r="AD161" s="583"/>
      <c r="AE161" s="583"/>
      <c r="AF161" s="583"/>
    </row>
    <row r="162" ht="19.5" customHeight="1">
      <c r="A162" s="647"/>
      <c r="B162" s="647"/>
      <c r="C162" s="647"/>
      <c r="D162" s="649"/>
      <c r="E162" s="647"/>
      <c r="F162" s="649"/>
      <c r="G162" s="649"/>
      <c r="H162" s="647"/>
      <c r="I162" s="583"/>
      <c r="J162" s="583"/>
      <c r="K162" s="583"/>
      <c r="L162" s="583"/>
      <c r="M162" s="583"/>
      <c r="N162" s="583"/>
      <c r="O162" s="583"/>
      <c r="P162" s="583"/>
      <c r="Q162" s="583"/>
      <c r="R162" s="583"/>
      <c r="S162" s="583"/>
      <c r="T162" s="583"/>
      <c r="U162" s="583"/>
      <c r="V162" s="583"/>
      <c r="W162" s="583"/>
      <c r="X162" s="583"/>
      <c r="Y162" s="583"/>
      <c r="Z162" s="583"/>
      <c r="AA162" s="583"/>
      <c r="AB162" s="583"/>
      <c r="AC162" s="583"/>
      <c r="AD162" s="583"/>
      <c r="AE162" s="583"/>
      <c r="AF162" s="583"/>
    </row>
    <row r="163" ht="19.5" customHeight="1">
      <c r="A163" s="647"/>
      <c r="B163" s="647"/>
      <c r="C163" s="647"/>
      <c r="D163" s="649"/>
      <c r="E163" s="647"/>
      <c r="F163" s="649"/>
      <c r="G163" s="649"/>
      <c r="H163" s="647"/>
      <c r="I163" s="583"/>
      <c r="J163" s="583"/>
      <c r="K163" s="583"/>
      <c r="L163" s="583"/>
      <c r="M163" s="583"/>
      <c r="N163" s="583"/>
      <c r="O163" s="583"/>
      <c r="P163" s="583"/>
      <c r="Q163" s="583"/>
      <c r="R163" s="583"/>
      <c r="S163" s="583"/>
      <c r="T163" s="583"/>
      <c r="U163" s="583"/>
      <c r="V163" s="583"/>
      <c r="W163" s="583"/>
      <c r="X163" s="583"/>
      <c r="Y163" s="583"/>
      <c r="Z163" s="583"/>
      <c r="AA163" s="583"/>
      <c r="AB163" s="583"/>
      <c r="AC163" s="583"/>
      <c r="AD163" s="583"/>
      <c r="AE163" s="583"/>
      <c r="AF163" s="583"/>
    </row>
    <row r="164" ht="19.5" customHeight="1">
      <c r="A164" s="647"/>
      <c r="B164" s="647"/>
      <c r="C164" s="647"/>
      <c r="D164" s="649"/>
      <c r="E164" s="647"/>
      <c r="F164" s="649"/>
      <c r="G164" s="649"/>
      <c r="H164" s="647"/>
      <c r="I164" s="583"/>
      <c r="J164" s="583"/>
      <c r="K164" s="583"/>
      <c r="L164" s="583"/>
      <c r="M164" s="583"/>
      <c r="N164" s="583"/>
      <c r="O164" s="583"/>
      <c r="P164" s="583"/>
      <c r="Q164" s="583"/>
      <c r="R164" s="583"/>
      <c r="S164" s="583"/>
      <c r="T164" s="583"/>
      <c r="U164" s="583"/>
      <c r="V164" s="583"/>
      <c r="W164" s="583"/>
      <c r="X164" s="583"/>
      <c r="Y164" s="583"/>
      <c r="Z164" s="583"/>
      <c r="AA164" s="583"/>
      <c r="AB164" s="583"/>
      <c r="AC164" s="583"/>
      <c r="AD164" s="583"/>
      <c r="AE164" s="583"/>
      <c r="AF164" s="583"/>
    </row>
    <row r="165" ht="19.5" customHeight="1">
      <c r="A165" s="647"/>
      <c r="B165" s="647"/>
      <c r="C165" s="647"/>
      <c r="D165" s="649"/>
      <c r="E165" s="647"/>
      <c r="F165" s="649"/>
      <c r="G165" s="649"/>
      <c r="H165" s="647"/>
      <c r="I165" s="583"/>
      <c r="J165" s="583"/>
      <c r="K165" s="583"/>
      <c r="L165" s="583"/>
      <c r="M165" s="583"/>
      <c r="N165" s="583"/>
      <c r="O165" s="583"/>
      <c r="P165" s="583"/>
      <c r="Q165" s="583"/>
      <c r="R165" s="583"/>
      <c r="S165" s="583"/>
      <c r="T165" s="583"/>
      <c r="U165" s="583"/>
      <c r="V165" s="583"/>
      <c r="W165" s="583"/>
      <c r="X165" s="583"/>
      <c r="Y165" s="583"/>
      <c r="Z165" s="583"/>
      <c r="AA165" s="583"/>
      <c r="AB165" s="583"/>
      <c r="AC165" s="583"/>
      <c r="AD165" s="583"/>
      <c r="AE165" s="583"/>
      <c r="AF165" s="583"/>
    </row>
    <row r="166" ht="19.5" customHeight="1">
      <c r="A166" s="647"/>
      <c r="B166" s="647"/>
      <c r="C166" s="647"/>
      <c r="D166" s="649"/>
      <c r="E166" s="647"/>
      <c r="F166" s="649"/>
      <c r="G166" s="649"/>
      <c r="H166" s="647"/>
      <c r="I166" s="583"/>
      <c r="J166" s="583"/>
      <c r="K166" s="583"/>
      <c r="L166" s="583"/>
      <c r="M166" s="583"/>
      <c r="N166" s="583"/>
      <c r="O166" s="583"/>
      <c r="P166" s="583"/>
      <c r="Q166" s="583"/>
      <c r="R166" s="583"/>
      <c r="S166" s="583"/>
      <c r="T166" s="583"/>
      <c r="U166" s="583"/>
      <c r="V166" s="583"/>
      <c r="W166" s="583"/>
      <c r="X166" s="583"/>
      <c r="Y166" s="583"/>
      <c r="Z166" s="583"/>
      <c r="AA166" s="583"/>
      <c r="AB166" s="583"/>
      <c r="AC166" s="583"/>
      <c r="AD166" s="583"/>
      <c r="AE166" s="583"/>
      <c r="AF166" s="583"/>
    </row>
    <row r="167" ht="19.5" customHeight="1">
      <c r="A167" s="647"/>
      <c r="B167" s="647"/>
      <c r="C167" s="647"/>
      <c r="D167" s="649"/>
      <c r="E167" s="647"/>
      <c r="F167" s="649"/>
      <c r="G167" s="649"/>
      <c r="H167" s="647"/>
      <c r="I167" s="583"/>
      <c r="J167" s="583"/>
      <c r="K167" s="583"/>
      <c r="L167" s="583"/>
      <c r="M167" s="583"/>
      <c r="N167" s="583"/>
      <c r="O167" s="583"/>
      <c r="P167" s="583"/>
      <c r="Q167" s="583"/>
      <c r="R167" s="583"/>
      <c r="S167" s="583"/>
      <c r="T167" s="583"/>
      <c r="U167" s="583"/>
      <c r="V167" s="583"/>
      <c r="W167" s="583"/>
      <c r="X167" s="583"/>
      <c r="Y167" s="583"/>
      <c r="Z167" s="583"/>
      <c r="AA167" s="583"/>
      <c r="AB167" s="583"/>
      <c r="AC167" s="583"/>
      <c r="AD167" s="583"/>
      <c r="AE167" s="583"/>
      <c r="AF167" s="583"/>
    </row>
    <row r="168" ht="19.5" customHeight="1">
      <c r="A168" s="647"/>
      <c r="B168" s="647"/>
      <c r="C168" s="647"/>
      <c r="D168" s="649"/>
      <c r="E168" s="647"/>
      <c r="F168" s="649"/>
      <c r="G168" s="649"/>
      <c r="H168" s="647"/>
      <c r="I168" s="583"/>
      <c r="J168" s="583"/>
      <c r="K168" s="583"/>
      <c r="L168" s="583"/>
      <c r="M168" s="583"/>
      <c r="N168" s="583"/>
      <c r="O168" s="583"/>
      <c r="P168" s="583"/>
      <c r="Q168" s="583"/>
      <c r="R168" s="583"/>
      <c r="S168" s="583"/>
      <c r="T168" s="583"/>
      <c r="U168" s="583"/>
      <c r="V168" s="583"/>
      <c r="W168" s="583"/>
      <c r="X168" s="583"/>
      <c r="Y168" s="583"/>
      <c r="Z168" s="583"/>
      <c r="AA168" s="583"/>
      <c r="AB168" s="583"/>
      <c r="AC168" s="583"/>
      <c r="AD168" s="583"/>
      <c r="AE168" s="583"/>
      <c r="AF168" s="583"/>
    </row>
    <row r="169" ht="19.5" customHeight="1">
      <c r="A169" s="647"/>
      <c r="B169" s="647"/>
      <c r="C169" s="647"/>
      <c r="D169" s="649"/>
      <c r="E169" s="647"/>
      <c r="F169" s="649"/>
      <c r="G169" s="649"/>
      <c r="H169" s="647"/>
      <c r="I169" s="583"/>
      <c r="J169" s="583"/>
      <c r="K169" s="583"/>
      <c r="L169" s="583"/>
      <c r="M169" s="583"/>
      <c r="N169" s="583"/>
      <c r="O169" s="583"/>
      <c r="P169" s="583"/>
      <c r="Q169" s="583"/>
      <c r="R169" s="583"/>
      <c r="S169" s="583"/>
      <c r="T169" s="583"/>
      <c r="U169" s="583"/>
      <c r="V169" s="583"/>
      <c r="W169" s="583"/>
      <c r="X169" s="583"/>
      <c r="Y169" s="583"/>
      <c r="Z169" s="583"/>
      <c r="AA169" s="583"/>
      <c r="AB169" s="583"/>
      <c r="AC169" s="583"/>
      <c r="AD169" s="583"/>
      <c r="AE169" s="583"/>
      <c r="AF169" s="583"/>
    </row>
    <row r="170" ht="19.5" customHeight="1">
      <c r="A170" s="647"/>
      <c r="B170" s="647"/>
      <c r="C170" s="647"/>
      <c r="D170" s="649"/>
      <c r="E170" s="647"/>
      <c r="F170" s="649"/>
      <c r="G170" s="649"/>
      <c r="H170" s="647"/>
      <c r="I170" s="583"/>
      <c r="J170" s="583"/>
      <c r="K170" s="583"/>
      <c r="L170" s="583"/>
      <c r="M170" s="583"/>
      <c r="N170" s="583"/>
      <c r="O170" s="583"/>
      <c r="P170" s="583"/>
      <c r="Q170" s="583"/>
      <c r="R170" s="583"/>
      <c r="S170" s="583"/>
      <c r="T170" s="583"/>
      <c r="U170" s="583"/>
      <c r="V170" s="583"/>
      <c r="W170" s="583"/>
      <c r="X170" s="583"/>
      <c r="Y170" s="583"/>
      <c r="Z170" s="583"/>
      <c r="AA170" s="583"/>
      <c r="AB170" s="583"/>
      <c r="AC170" s="583"/>
      <c r="AD170" s="583"/>
      <c r="AE170" s="583"/>
      <c r="AF170" s="583"/>
    </row>
    <row r="171" ht="19.5" customHeight="1">
      <c r="A171" s="647"/>
      <c r="B171" s="647"/>
      <c r="C171" s="647"/>
      <c r="D171" s="649"/>
      <c r="E171" s="647"/>
      <c r="F171" s="649"/>
      <c r="G171" s="649"/>
      <c r="H171" s="647"/>
      <c r="I171" s="583"/>
      <c r="J171" s="583"/>
      <c r="K171" s="583"/>
      <c r="L171" s="583"/>
      <c r="M171" s="583"/>
      <c r="N171" s="583"/>
      <c r="O171" s="583"/>
      <c r="P171" s="583"/>
      <c r="Q171" s="583"/>
      <c r="R171" s="583"/>
      <c r="S171" s="583"/>
      <c r="T171" s="583"/>
      <c r="U171" s="583"/>
      <c r="V171" s="583"/>
      <c r="W171" s="583"/>
      <c r="X171" s="583"/>
      <c r="Y171" s="583"/>
      <c r="Z171" s="583"/>
      <c r="AA171" s="583"/>
      <c r="AB171" s="583"/>
      <c r="AC171" s="583"/>
      <c r="AD171" s="583"/>
      <c r="AE171" s="583"/>
      <c r="AF171" s="583"/>
    </row>
    <row r="172" ht="19.5" customHeight="1">
      <c r="A172" s="647"/>
      <c r="B172" s="647"/>
      <c r="C172" s="647"/>
      <c r="D172" s="649"/>
      <c r="E172" s="647"/>
      <c r="F172" s="649"/>
      <c r="G172" s="649"/>
      <c r="H172" s="647"/>
      <c r="I172" s="583"/>
      <c r="J172" s="583"/>
      <c r="K172" s="583"/>
      <c r="L172" s="583"/>
      <c r="M172" s="583"/>
      <c r="N172" s="583"/>
      <c r="O172" s="583"/>
      <c r="P172" s="583"/>
      <c r="Q172" s="583"/>
      <c r="R172" s="583"/>
      <c r="S172" s="583"/>
      <c r="T172" s="583"/>
      <c r="U172" s="583"/>
      <c r="V172" s="583"/>
      <c r="W172" s="583"/>
      <c r="X172" s="583"/>
      <c r="Y172" s="583"/>
      <c r="Z172" s="583"/>
      <c r="AA172" s="583"/>
      <c r="AB172" s="583"/>
      <c r="AC172" s="583"/>
      <c r="AD172" s="583"/>
      <c r="AE172" s="583"/>
      <c r="AF172" s="583"/>
    </row>
    <row r="173" ht="19.5" customHeight="1">
      <c r="A173" s="647"/>
      <c r="B173" s="647"/>
      <c r="C173" s="647"/>
      <c r="D173" s="649"/>
      <c r="E173" s="647"/>
      <c r="F173" s="649"/>
      <c r="G173" s="649"/>
      <c r="H173" s="647"/>
      <c r="I173" s="583"/>
      <c r="J173" s="583"/>
      <c r="K173" s="583"/>
      <c r="L173" s="583"/>
      <c r="M173" s="583"/>
      <c r="N173" s="583"/>
      <c r="O173" s="583"/>
      <c r="P173" s="583"/>
      <c r="Q173" s="583"/>
      <c r="R173" s="583"/>
      <c r="S173" s="583"/>
      <c r="T173" s="583"/>
      <c r="U173" s="583"/>
      <c r="V173" s="583"/>
      <c r="W173" s="583"/>
      <c r="X173" s="583"/>
      <c r="Y173" s="583"/>
      <c r="Z173" s="583"/>
      <c r="AA173" s="583"/>
      <c r="AB173" s="583"/>
      <c r="AC173" s="583"/>
      <c r="AD173" s="583"/>
      <c r="AE173" s="583"/>
      <c r="AF173" s="583"/>
    </row>
    <row r="174" ht="19.5" customHeight="1">
      <c r="A174" s="647"/>
      <c r="B174" s="647"/>
      <c r="C174" s="647"/>
      <c r="D174" s="649"/>
      <c r="E174" s="647"/>
      <c r="F174" s="649"/>
      <c r="G174" s="649"/>
      <c r="H174" s="647"/>
      <c r="I174" s="583"/>
      <c r="J174" s="583"/>
      <c r="K174" s="583"/>
      <c r="L174" s="583"/>
      <c r="M174" s="583"/>
      <c r="N174" s="583"/>
      <c r="O174" s="583"/>
      <c r="P174" s="583"/>
      <c r="Q174" s="583"/>
      <c r="R174" s="583"/>
      <c r="S174" s="583"/>
      <c r="T174" s="583"/>
      <c r="U174" s="583"/>
      <c r="V174" s="583"/>
      <c r="W174" s="583"/>
      <c r="X174" s="583"/>
      <c r="Y174" s="583"/>
      <c r="Z174" s="583"/>
      <c r="AA174" s="583"/>
      <c r="AB174" s="583"/>
      <c r="AC174" s="583"/>
      <c r="AD174" s="583"/>
      <c r="AE174" s="583"/>
      <c r="AF174" s="583"/>
    </row>
    <row r="175" ht="19.5" customHeight="1">
      <c r="A175" s="647"/>
      <c r="B175" s="647"/>
      <c r="C175" s="647"/>
      <c r="D175" s="649"/>
      <c r="E175" s="647"/>
      <c r="F175" s="649"/>
      <c r="G175" s="649"/>
      <c r="H175" s="647"/>
      <c r="I175" s="583"/>
      <c r="J175" s="583"/>
      <c r="K175" s="583"/>
      <c r="L175" s="583"/>
      <c r="M175" s="583"/>
      <c r="N175" s="583"/>
      <c r="O175" s="583"/>
      <c r="P175" s="583"/>
      <c r="Q175" s="583"/>
      <c r="R175" s="583"/>
      <c r="S175" s="583"/>
      <c r="T175" s="583"/>
      <c r="U175" s="583"/>
      <c r="V175" s="583"/>
      <c r="W175" s="583"/>
      <c r="X175" s="583"/>
      <c r="Y175" s="583"/>
      <c r="Z175" s="583"/>
      <c r="AA175" s="583"/>
      <c r="AB175" s="583"/>
      <c r="AC175" s="583"/>
      <c r="AD175" s="583"/>
      <c r="AE175" s="583"/>
      <c r="AF175" s="583"/>
    </row>
    <row r="176" ht="19.5" customHeight="1">
      <c r="A176" s="647"/>
      <c r="B176" s="647"/>
      <c r="C176" s="647"/>
      <c r="D176" s="649"/>
      <c r="E176" s="647"/>
      <c r="F176" s="649"/>
      <c r="G176" s="649"/>
      <c r="H176" s="647"/>
      <c r="I176" s="583"/>
      <c r="J176" s="583"/>
      <c r="K176" s="583"/>
      <c r="L176" s="583"/>
      <c r="M176" s="583"/>
      <c r="N176" s="583"/>
      <c r="O176" s="583"/>
      <c r="P176" s="583"/>
      <c r="Q176" s="583"/>
      <c r="R176" s="583"/>
      <c r="S176" s="583"/>
      <c r="T176" s="583"/>
      <c r="U176" s="583"/>
      <c r="V176" s="583"/>
      <c r="W176" s="583"/>
      <c r="X176" s="583"/>
      <c r="Y176" s="583"/>
      <c r="Z176" s="583"/>
      <c r="AA176" s="583"/>
      <c r="AB176" s="583"/>
      <c r="AC176" s="583"/>
      <c r="AD176" s="583"/>
      <c r="AE176" s="583"/>
      <c r="AF176" s="583"/>
    </row>
    <row r="177" ht="19.5" customHeight="1">
      <c r="A177" s="647"/>
      <c r="B177" s="647"/>
      <c r="C177" s="647"/>
      <c r="D177" s="649"/>
      <c r="E177" s="647"/>
      <c r="F177" s="649"/>
      <c r="G177" s="649"/>
      <c r="H177" s="647"/>
      <c r="I177" s="583"/>
      <c r="J177" s="583"/>
      <c r="K177" s="583"/>
      <c r="L177" s="583"/>
      <c r="M177" s="583"/>
      <c r="N177" s="583"/>
      <c r="O177" s="583"/>
      <c r="P177" s="583"/>
      <c r="Q177" s="583"/>
      <c r="R177" s="583"/>
      <c r="S177" s="583"/>
      <c r="T177" s="583"/>
      <c r="U177" s="583"/>
      <c r="V177" s="583"/>
      <c r="W177" s="583"/>
      <c r="X177" s="583"/>
      <c r="Y177" s="583"/>
      <c r="Z177" s="583"/>
      <c r="AA177" s="583"/>
      <c r="AB177" s="583"/>
      <c r="AC177" s="583"/>
      <c r="AD177" s="583"/>
      <c r="AE177" s="583"/>
      <c r="AF177" s="583"/>
    </row>
    <row r="178" ht="19.5" customHeight="1">
      <c r="A178" s="647"/>
      <c r="B178" s="647"/>
      <c r="C178" s="647"/>
      <c r="D178" s="649"/>
      <c r="E178" s="647"/>
      <c r="F178" s="649"/>
      <c r="G178" s="649"/>
      <c r="H178" s="647"/>
      <c r="I178" s="583"/>
      <c r="J178" s="583"/>
      <c r="K178" s="583"/>
      <c r="L178" s="583"/>
      <c r="M178" s="583"/>
      <c r="N178" s="583"/>
      <c r="O178" s="583"/>
      <c r="P178" s="583"/>
      <c r="Q178" s="583"/>
      <c r="R178" s="583"/>
      <c r="S178" s="583"/>
      <c r="T178" s="583"/>
      <c r="U178" s="583"/>
      <c r="V178" s="583"/>
      <c r="W178" s="583"/>
      <c r="X178" s="583"/>
      <c r="Y178" s="583"/>
      <c r="Z178" s="583"/>
      <c r="AA178" s="583"/>
      <c r="AB178" s="583"/>
      <c r="AC178" s="583"/>
      <c r="AD178" s="583"/>
      <c r="AE178" s="583"/>
      <c r="AF178" s="583"/>
    </row>
    <row r="179" ht="19.5" customHeight="1">
      <c r="A179" s="647"/>
      <c r="B179" s="647"/>
      <c r="C179" s="647"/>
      <c r="D179" s="649"/>
      <c r="E179" s="647"/>
      <c r="F179" s="649"/>
      <c r="G179" s="649"/>
      <c r="H179" s="647"/>
      <c r="I179" s="583"/>
      <c r="J179" s="583"/>
      <c r="K179" s="583"/>
      <c r="L179" s="583"/>
      <c r="M179" s="583"/>
      <c r="N179" s="583"/>
      <c r="O179" s="583"/>
      <c r="P179" s="583"/>
      <c r="Q179" s="583"/>
      <c r="R179" s="583"/>
      <c r="S179" s="583"/>
      <c r="T179" s="583"/>
      <c r="U179" s="583"/>
      <c r="V179" s="583"/>
      <c r="W179" s="583"/>
      <c r="X179" s="583"/>
      <c r="Y179" s="583"/>
      <c r="Z179" s="583"/>
      <c r="AA179" s="583"/>
      <c r="AB179" s="583"/>
      <c r="AC179" s="583"/>
      <c r="AD179" s="583"/>
      <c r="AE179" s="583"/>
      <c r="AF179" s="583"/>
    </row>
    <row r="180" ht="19.5" customHeight="1">
      <c r="A180" s="647"/>
      <c r="B180" s="647"/>
      <c r="C180" s="647"/>
      <c r="D180" s="649"/>
      <c r="E180" s="647"/>
      <c r="F180" s="649"/>
      <c r="G180" s="649"/>
      <c r="H180" s="647"/>
      <c r="I180" s="583"/>
      <c r="J180" s="583"/>
      <c r="K180" s="583"/>
      <c r="L180" s="583"/>
      <c r="M180" s="583"/>
      <c r="N180" s="583"/>
      <c r="O180" s="583"/>
      <c r="P180" s="583"/>
      <c r="Q180" s="583"/>
      <c r="R180" s="583"/>
      <c r="S180" s="583"/>
      <c r="T180" s="583"/>
      <c r="U180" s="583"/>
      <c r="V180" s="583"/>
      <c r="W180" s="583"/>
      <c r="X180" s="583"/>
      <c r="Y180" s="583"/>
      <c r="Z180" s="583"/>
      <c r="AA180" s="583"/>
      <c r="AB180" s="583"/>
      <c r="AC180" s="583"/>
      <c r="AD180" s="583"/>
      <c r="AE180" s="583"/>
      <c r="AF180" s="583"/>
    </row>
    <row r="181" ht="19.5" customHeight="1">
      <c r="A181" s="647"/>
      <c r="B181" s="647"/>
      <c r="C181" s="647"/>
      <c r="D181" s="649"/>
      <c r="E181" s="647"/>
      <c r="F181" s="649"/>
      <c r="G181" s="649"/>
      <c r="H181" s="647"/>
      <c r="I181" s="583"/>
      <c r="J181" s="583"/>
      <c r="K181" s="583"/>
      <c r="L181" s="583"/>
      <c r="M181" s="583"/>
      <c r="N181" s="583"/>
      <c r="O181" s="583"/>
      <c r="P181" s="583"/>
      <c r="Q181" s="583"/>
      <c r="R181" s="583"/>
      <c r="S181" s="583"/>
      <c r="T181" s="583"/>
      <c r="U181" s="583"/>
      <c r="V181" s="583"/>
      <c r="W181" s="583"/>
      <c r="X181" s="583"/>
      <c r="Y181" s="583"/>
      <c r="Z181" s="583"/>
      <c r="AA181" s="583"/>
      <c r="AB181" s="583"/>
      <c r="AC181" s="583"/>
      <c r="AD181" s="583"/>
      <c r="AE181" s="583"/>
      <c r="AF181" s="583"/>
    </row>
    <row r="182" ht="19.5" customHeight="1">
      <c r="A182" s="647"/>
      <c r="B182" s="647"/>
      <c r="C182" s="647"/>
      <c r="D182" s="649"/>
      <c r="E182" s="647"/>
      <c r="F182" s="649"/>
      <c r="G182" s="649"/>
      <c r="H182" s="647"/>
      <c r="I182" s="583"/>
      <c r="J182" s="583"/>
      <c r="K182" s="583"/>
      <c r="L182" s="583"/>
      <c r="M182" s="583"/>
      <c r="N182" s="583"/>
      <c r="O182" s="583"/>
      <c r="P182" s="583"/>
      <c r="Q182" s="583"/>
      <c r="R182" s="583"/>
      <c r="S182" s="583"/>
      <c r="T182" s="583"/>
      <c r="U182" s="583"/>
      <c r="V182" s="583"/>
      <c r="W182" s="583"/>
      <c r="X182" s="583"/>
      <c r="Y182" s="583"/>
      <c r="Z182" s="583"/>
      <c r="AA182" s="583"/>
      <c r="AB182" s="583"/>
      <c r="AC182" s="583"/>
      <c r="AD182" s="583"/>
      <c r="AE182" s="583"/>
      <c r="AF182" s="583"/>
    </row>
    <row r="183" ht="19.5" customHeight="1">
      <c r="A183" s="647"/>
      <c r="B183" s="647"/>
      <c r="C183" s="647"/>
      <c r="D183" s="649"/>
      <c r="E183" s="647"/>
      <c r="F183" s="649"/>
      <c r="G183" s="649"/>
      <c r="H183" s="647"/>
      <c r="I183" s="583"/>
      <c r="J183" s="583"/>
      <c r="K183" s="583"/>
      <c r="L183" s="583"/>
      <c r="M183" s="583"/>
      <c r="N183" s="583"/>
      <c r="O183" s="583"/>
      <c r="P183" s="583"/>
      <c r="Q183" s="583"/>
      <c r="R183" s="583"/>
      <c r="S183" s="583"/>
      <c r="T183" s="583"/>
      <c r="U183" s="583"/>
      <c r="V183" s="583"/>
      <c r="W183" s="583"/>
      <c r="X183" s="583"/>
      <c r="Y183" s="583"/>
      <c r="Z183" s="583"/>
      <c r="AA183" s="583"/>
      <c r="AB183" s="583"/>
      <c r="AC183" s="583"/>
      <c r="AD183" s="583"/>
      <c r="AE183" s="583"/>
      <c r="AF183" s="583"/>
    </row>
    <row r="184" ht="19.5" customHeight="1">
      <c r="A184" s="647"/>
      <c r="B184" s="647"/>
      <c r="C184" s="647"/>
      <c r="D184" s="649"/>
      <c r="E184" s="647"/>
      <c r="F184" s="649"/>
      <c r="G184" s="649"/>
      <c r="H184" s="647"/>
      <c r="I184" s="583"/>
      <c r="J184" s="583"/>
      <c r="K184" s="583"/>
      <c r="L184" s="583"/>
      <c r="M184" s="583"/>
      <c r="N184" s="583"/>
      <c r="O184" s="583"/>
      <c r="P184" s="583"/>
      <c r="Q184" s="583"/>
      <c r="R184" s="583"/>
      <c r="S184" s="583"/>
      <c r="T184" s="583"/>
      <c r="U184" s="583"/>
      <c r="V184" s="583"/>
      <c r="W184" s="583"/>
      <c r="X184" s="583"/>
      <c r="Y184" s="583"/>
      <c r="Z184" s="583"/>
      <c r="AA184" s="583"/>
      <c r="AB184" s="583"/>
      <c r="AC184" s="583"/>
      <c r="AD184" s="583"/>
      <c r="AE184" s="583"/>
      <c r="AF184" s="583"/>
    </row>
    <row r="185" ht="19.5" customHeight="1">
      <c r="A185" s="647"/>
      <c r="B185" s="647"/>
      <c r="C185" s="647"/>
      <c r="D185" s="649"/>
      <c r="E185" s="647"/>
      <c r="F185" s="649"/>
      <c r="G185" s="649"/>
      <c r="H185" s="647"/>
      <c r="I185" s="583"/>
      <c r="J185" s="583"/>
      <c r="K185" s="583"/>
      <c r="L185" s="583"/>
      <c r="M185" s="583"/>
      <c r="N185" s="583"/>
      <c r="O185" s="583"/>
      <c r="P185" s="583"/>
      <c r="Q185" s="583"/>
      <c r="R185" s="583"/>
      <c r="S185" s="583"/>
      <c r="T185" s="583"/>
      <c r="U185" s="583"/>
      <c r="V185" s="583"/>
      <c r="W185" s="583"/>
      <c r="X185" s="583"/>
      <c r="Y185" s="583"/>
      <c r="Z185" s="583"/>
      <c r="AA185" s="583"/>
      <c r="AB185" s="583"/>
      <c r="AC185" s="583"/>
      <c r="AD185" s="583"/>
      <c r="AE185" s="583"/>
      <c r="AF185" s="583"/>
    </row>
    <row r="186" ht="19.5" customHeight="1">
      <c r="A186" s="647"/>
      <c r="B186" s="647"/>
      <c r="C186" s="647"/>
      <c r="D186" s="649"/>
      <c r="E186" s="647"/>
      <c r="F186" s="649"/>
      <c r="G186" s="649"/>
      <c r="H186" s="647"/>
      <c r="I186" s="583"/>
      <c r="J186" s="583"/>
      <c r="K186" s="583"/>
      <c r="L186" s="583"/>
      <c r="M186" s="583"/>
      <c r="N186" s="583"/>
      <c r="O186" s="583"/>
      <c r="P186" s="583"/>
      <c r="Q186" s="583"/>
      <c r="R186" s="583"/>
      <c r="S186" s="583"/>
      <c r="T186" s="583"/>
      <c r="U186" s="583"/>
      <c r="V186" s="583"/>
      <c r="W186" s="583"/>
      <c r="X186" s="583"/>
      <c r="Y186" s="583"/>
      <c r="Z186" s="583"/>
      <c r="AA186" s="583"/>
      <c r="AB186" s="583"/>
      <c r="AC186" s="583"/>
      <c r="AD186" s="583"/>
      <c r="AE186" s="583"/>
      <c r="AF186" s="583"/>
    </row>
    <row r="187" ht="19.5" customHeight="1">
      <c r="A187" s="647"/>
      <c r="B187" s="647"/>
      <c r="C187" s="647"/>
      <c r="D187" s="649"/>
      <c r="E187" s="647"/>
      <c r="F187" s="649"/>
      <c r="G187" s="649"/>
      <c r="H187" s="647"/>
      <c r="I187" s="583"/>
      <c r="J187" s="583"/>
      <c r="K187" s="583"/>
      <c r="L187" s="583"/>
      <c r="M187" s="583"/>
      <c r="N187" s="583"/>
      <c r="O187" s="583"/>
      <c r="P187" s="583"/>
      <c r="Q187" s="583"/>
      <c r="R187" s="583"/>
      <c r="S187" s="583"/>
      <c r="T187" s="583"/>
      <c r="U187" s="583"/>
      <c r="V187" s="583"/>
      <c r="W187" s="583"/>
      <c r="X187" s="583"/>
      <c r="Y187" s="583"/>
      <c r="Z187" s="583"/>
      <c r="AA187" s="583"/>
      <c r="AB187" s="583"/>
      <c r="AC187" s="583"/>
      <c r="AD187" s="583"/>
      <c r="AE187" s="583"/>
      <c r="AF187" s="583"/>
    </row>
    <row r="188" ht="19.5" customHeight="1">
      <c r="A188" s="647"/>
      <c r="B188" s="647"/>
      <c r="C188" s="647"/>
      <c r="D188" s="649"/>
      <c r="E188" s="647"/>
      <c r="F188" s="649"/>
      <c r="G188" s="649"/>
      <c r="H188" s="647"/>
      <c r="I188" s="583"/>
      <c r="J188" s="583"/>
      <c r="K188" s="583"/>
      <c r="L188" s="583"/>
      <c r="M188" s="583"/>
      <c r="N188" s="583"/>
      <c r="O188" s="583"/>
      <c r="P188" s="583"/>
      <c r="Q188" s="583"/>
      <c r="R188" s="583"/>
      <c r="S188" s="583"/>
      <c r="T188" s="583"/>
      <c r="U188" s="583"/>
      <c r="V188" s="583"/>
      <c r="W188" s="583"/>
      <c r="X188" s="583"/>
      <c r="Y188" s="583"/>
      <c r="Z188" s="583"/>
      <c r="AA188" s="583"/>
      <c r="AB188" s="583"/>
      <c r="AC188" s="583"/>
      <c r="AD188" s="583"/>
      <c r="AE188" s="583"/>
      <c r="AF188" s="583"/>
    </row>
    <row r="189" ht="19.5" customHeight="1">
      <c r="A189" s="647"/>
      <c r="B189" s="647"/>
      <c r="C189" s="647"/>
      <c r="D189" s="649"/>
      <c r="E189" s="647"/>
      <c r="F189" s="649"/>
      <c r="G189" s="649"/>
      <c r="H189" s="647"/>
      <c r="I189" s="583"/>
      <c r="J189" s="583"/>
      <c r="K189" s="583"/>
      <c r="L189" s="583"/>
      <c r="M189" s="583"/>
      <c r="N189" s="583"/>
      <c r="O189" s="583"/>
      <c r="P189" s="583"/>
      <c r="Q189" s="583"/>
      <c r="R189" s="583"/>
      <c r="S189" s="583"/>
      <c r="T189" s="583"/>
      <c r="U189" s="583"/>
      <c r="V189" s="583"/>
      <c r="W189" s="583"/>
      <c r="X189" s="583"/>
      <c r="Y189" s="583"/>
      <c r="Z189" s="583"/>
      <c r="AA189" s="583"/>
      <c r="AB189" s="583"/>
      <c r="AC189" s="583"/>
      <c r="AD189" s="583"/>
      <c r="AE189" s="583"/>
      <c r="AF189" s="583"/>
    </row>
    <row r="190" ht="19.5" customHeight="1">
      <c r="A190" s="647"/>
      <c r="B190" s="647"/>
      <c r="C190" s="647"/>
      <c r="D190" s="649"/>
      <c r="E190" s="647"/>
      <c r="F190" s="649"/>
      <c r="G190" s="649"/>
      <c r="H190" s="647"/>
      <c r="I190" s="583"/>
      <c r="J190" s="583"/>
      <c r="K190" s="583"/>
      <c r="L190" s="583"/>
      <c r="M190" s="583"/>
      <c r="N190" s="583"/>
      <c r="O190" s="583"/>
      <c r="P190" s="583"/>
      <c r="Q190" s="583"/>
      <c r="R190" s="583"/>
      <c r="S190" s="583"/>
      <c r="T190" s="583"/>
      <c r="U190" s="583"/>
      <c r="V190" s="583"/>
      <c r="W190" s="583"/>
      <c r="X190" s="583"/>
      <c r="Y190" s="583"/>
      <c r="Z190" s="583"/>
      <c r="AA190" s="583"/>
      <c r="AB190" s="583"/>
      <c r="AC190" s="583"/>
      <c r="AD190" s="583"/>
      <c r="AE190" s="583"/>
      <c r="AF190" s="583"/>
    </row>
    <row r="191" ht="19.5" customHeight="1">
      <c r="A191" s="647"/>
      <c r="B191" s="647"/>
      <c r="C191" s="647"/>
      <c r="D191" s="649"/>
      <c r="E191" s="647"/>
      <c r="F191" s="649"/>
      <c r="G191" s="649"/>
      <c r="H191" s="647"/>
      <c r="I191" s="583"/>
      <c r="J191" s="583"/>
      <c r="K191" s="583"/>
      <c r="L191" s="583"/>
      <c r="M191" s="583"/>
      <c r="N191" s="583"/>
      <c r="O191" s="583"/>
      <c r="P191" s="583"/>
      <c r="Q191" s="583"/>
      <c r="R191" s="583"/>
      <c r="S191" s="583"/>
      <c r="T191" s="583"/>
      <c r="U191" s="583"/>
      <c r="V191" s="583"/>
      <c r="W191" s="583"/>
      <c r="X191" s="583"/>
      <c r="Y191" s="583"/>
      <c r="Z191" s="583"/>
      <c r="AA191" s="583"/>
      <c r="AB191" s="583"/>
      <c r="AC191" s="583"/>
      <c r="AD191" s="583"/>
      <c r="AE191" s="583"/>
      <c r="AF191" s="583"/>
    </row>
    <row r="192" ht="19.5" customHeight="1">
      <c r="A192" s="647"/>
      <c r="B192" s="647"/>
      <c r="C192" s="647"/>
      <c r="D192" s="649"/>
      <c r="E192" s="647"/>
      <c r="F192" s="649"/>
      <c r="G192" s="649"/>
      <c r="H192" s="647"/>
      <c r="I192" s="583"/>
      <c r="J192" s="583"/>
      <c r="K192" s="583"/>
      <c r="L192" s="583"/>
      <c r="M192" s="583"/>
      <c r="N192" s="583"/>
      <c r="O192" s="583"/>
      <c r="P192" s="583"/>
      <c r="Q192" s="583"/>
      <c r="R192" s="583"/>
      <c r="S192" s="583"/>
      <c r="T192" s="583"/>
      <c r="U192" s="583"/>
      <c r="V192" s="583"/>
      <c r="W192" s="583"/>
      <c r="X192" s="583"/>
      <c r="Y192" s="583"/>
      <c r="Z192" s="583"/>
      <c r="AA192" s="583"/>
      <c r="AB192" s="583"/>
      <c r="AC192" s="583"/>
      <c r="AD192" s="583"/>
      <c r="AE192" s="583"/>
      <c r="AF192" s="583"/>
    </row>
    <row r="193" ht="19.5" customHeight="1">
      <c r="A193" s="647"/>
      <c r="B193" s="647"/>
      <c r="C193" s="647"/>
      <c r="D193" s="649"/>
      <c r="E193" s="647"/>
      <c r="F193" s="649"/>
      <c r="G193" s="649"/>
      <c r="H193" s="647"/>
      <c r="I193" s="583"/>
      <c r="J193" s="583"/>
      <c r="K193" s="583"/>
      <c r="L193" s="583"/>
      <c r="M193" s="583"/>
      <c r="N193" s="583"/>
      <c r="O193" s="583"/>
      <c r="P193" s="583"/>
      <c r="Q193" s="583"/>
      <c r="R193" s="583"/>
      <c r="S193" s="583"/>
      <c r="T193" s="583"/>
      <c r="U193" s="583"/>
      <c r="V193" s="583"/>
      <c r="W193" s="583"/>
      <c r="X193" s="583"/>
      <c r="Y193" s="583"/>
      <c r="Z193" s="583"/>
      <c r="AA193" s="583"/>
      <c r="AB193" s="583"/>
      <c r="AC193" s="583"/>
      <c r="AD193" s="583"/>
      <c r="AE193" s="583"/>
      <c r="AF193" s="583"/>
    </row>
    <row r="194" ht="19.5" customHeight="1">
      <c r="A194" s="647"/>
      <c r="B194" s="647"/>
      <c r="C194" s="647"/>
      <c r="D194" s="649"/>
      <c r="E194" s="647"/>
      <c r="F194" s="649"/>
      <c r="G194" s="649"/>
      <c r="H194" s="647"/>
      <c r="I194" s="583"/>
      <c r="J194" s="583"/>
      <c r="K194" s="583"/>
      <c r="L194" s="583"/>
      <c r="M194" s="583"/>
      <c r="N194" s="583"/>
      <c r="O194" s="583"/>
      <c r="P194" s="583"/>
      <c r="Q194" s="583"/>
      <c r="R194" s="583"/>
      <c r="S194" s="583"/>
      <c r="T194" s="583"/>
      <c r="U194" s="583"/>
      <c r="V194" s="583"/>
      <c r="W194" s="583"/>
      <c r="X194" s="583"/>
      <c r="Y194" s="583"/>
      <c r="Z194" s="583"/>
      <c r="AA194" s="583"/>
      <c r="AB194" s="583"/>
      <c r="AC194" s="583"/>
      <c r="AD194" s="583"/>
      <c r="AE194" s="583"/>
      <c r="AF194" s="583"/>
    </row>
    <row r="195" ht="19.5" customHeight="1">
      <c r="A195" s="647"/>
      <c r="B195" s="647"/>
      <c r="C195" s="647"/>
      <c r="D195" s="649"/>
      <c r="E195" s="647"/>
      <c r="F195" s="649"/>
      <c r="G195" s="649"/>
      <c r="H195" s="647"/>
      <c r="I195" s="583"/>
      <c r="J195" s="583"/>
      <c r="K195" s="583"/>
      <c r="L195" s="583"/>
      <c r="M195" s="583"/>
      <c r="N195" s="583"/>
      <c r="O195" s="583"/>
      <c r="P195" s="583"/>
      <c r="Q195" s="583"/>
      <c r="R195" s="583"/>
      <c r="S195" s="583"/>
      <c r="T195" s="583"/>
      <c r="U195" s="583"/>
      <c r="V195" s="583"/>
      <c r="W195" s="583"/>
      <c r="X195" s="583"/>
      <c r="Y195" s="583"/>
      <c r="Z195" s="583"/>
      <c r="AA195" s="583"/>
      <c r="AB195" s="583"/>
      <c r="AC195" s="583"/>
      <c r="AD195" s="583"/>
      <c r="AE195" s="583"/>
      <c r="AF195" s="583"/>
    </row>
    <row r="196" ht="19.5" customHeight="1">
      <c r="A196" s="647"/>
      <c r="B196" s="647"/>
      <c r="C196" s="647"/>
      <c r="D196" s="649"/>
      <c r="E196" s="647"/>
      <c r="F196" s="649"/>
      <c r="G196" s="649"/>
      <c r="H196" s="647"/>
      <c r="I196" s="583"/>
      <c r="J196" s="583"/>
      <c r="K196" s="583"/>
      <c r="L196" s="583"/>
      <c r="M196" s="583"/>
      <c r="N196" s="583"/>
      <c r="O196" s="583"/>
      <c r="P196" s="583"/>
      <c r="Q196" s="583"/>
      <c r="R196" s="583"/>
      <c r="S196" s="583"/>
      <c r="T196" s="583"/>
      <c r="U196" s="583"/>
      <c r="V196" s="583"/>
      <c r="W196" s="583"/>
      <c r="X196" s="583"/>
      <c r="Y196" s="583"/>
      <c r="Z196" s="583"/>
      <c r="AA196" s="583"/>
      <c r="AB196" s="583"/>
      <c r="AC196" s="583"/>
      <c r="AD196" s="583"/>
      <c r="AE196" s="583"/>
      <c r="AF196" s="583"/>
    </row>
    <row r="197" ht="19.5" customHeight="1">
      <c r="A197" s="647"/>
      <c r="B197" s="647"/>
      <c r="C197" s="647"/>
      <c r="D197" s="649"/>
      <c r="E197" s="647"/>
      <c r="F197" s="649"/>
      <c r="G197" s="649"/>
      <c r="H197" s="647"/>
      <c r="I197" s="583"/>
      <c r="J197" s="583"/>
      <c r="K197" s="583"/>
      <c r="L197" s="583"/>
      <c r="M197" s="583"/>
      <c r="N197" s="583"/>
      <c r="O197" s="583"/>
      <c r="P197" s="583"/>
      <c r="Q197" s="583"/>
      <c r="R197" s="583"/>
      <c r="S197" s="583"/>
      <c r="T197" s="583"/>
      <c r="U197" s="583"/>
      <c r="V197" s="583"/>
      <c r="W197" s="583"/>
      <c r="X197" s="583"/>
      <c r="Y197" s="583"/>
      <c r="Z197" s="583"/>
      <c r="AA197" s="583"/>
      <c r="AB197" s="583"/>
      <c r="AC197" s="583"/>
      <c r="AD197" s="583"/>
      <c r="AE197" s="583"/>
      <c r="AF197" s="583"/>
    </row>
    <row r="198" ht="19.5" customHeight="1">
      <c r="A198" s="647"/>
      <c r="B198" s="647"/>
      <c r="C198" s="647"/>
      <c r="D198" s="649"/>
      <c r="E198" s="647"/>
      <c r="F198" s="649"/>
      <c r="G198" s="649"/>
      <c r="H198" s="647"/>
      <c r="I198" s="583"/>
      <c r="J198" s="583"/>
      <c r="K198" s="583"/>
      <c r="L198" s="583"/>
      <c r="M198" s="583"/>
      <c r="N198" s="583"/>
      <c r="O198" s="583"/>
      <c r="P198" s="583"/>
      <c r="Q198" s="583"/>
      <c r="R198" s="583"/>
      <c r="S198" s="583"/>
      <c r="T198" s="583"/>
      <c r="U198" s="583"/>
      <c r="V198" s="583"/>
      <c r="W198" s="583"/>
      <c r="X198" s="583"/>
      <c r="Y198" s="583"/>
      <c r="Z198" s="583"/>
      <c r="AA198" s="583"/>
      <c r="AB198" s="583"/>
      <c r="AC198" s="583"/>
      <c r="AD198" s="583"/>
      <c r="AE198" s="583"/>
      <c r="AF198" s="583"/>
    </row>
    <row r="199" ht="19.5" customHeight="1">
      <c r="A199" s="647"/>
      <c r="B199" s="647"/>
      <c r="C199" s="647"/>
      <c r="D199" s="649"/>
      <c r="E199" s="647"/>
      <c r="F199" s="649"/>
      <c r="G199" s="649"/>
      <c r="H199" s="647"/>
      <c r="I199" s="583"/>
      <c r="J199" s="583"/>
      <c r="K199" s="583"/>
      <c r="L199" s="583"/>
      <c r="M199" s="583"/>
      <c r="N199" s="583"/>
      <c r="O199" s="583"/>
      <c r="P199" s="583"/>
      <c r="Q199" s="583"/>
      <c r="R199" s="583"/>
      <c r="S199" s="583"/>
      <c r="T199" s="583"/>
      <c r="U199" s="583"/>
      <c r="V199" s="583"/>
      <c r="W199" s="583"/>
      <c r="X199" s="583"/>
      <c r="Y199" s="583"/>
      <c r="Z199" s="583"/>
      <c r="AA199" s="583"/>
      <c r="AB199" s="583"/>
      <c r="AC199" s="583"/>
      <c r="AD199" s="583"/>
      <c r="AE199" s="583"/>
      <c r="AF199" s="583"/>
    </row>
    <row r="200" ht="19.5" customHeight="1">
      <c r="A200" s="647"/>
      <c r="B200" s="647"/>
      <c r="C200" s="647"/>
      <c r="D200" s="649"/>
      <c r="E200" s="647"/>
      <c r="F200" s="649"/>
      <c r="G200" s="649"/>
      <c r="H200" s="647"/>
      <c r="I200" s="583"/>
      <c r="J200" s="583"/>
      <c r="K200" s="583"/>
      <c r="L200" s="583"/>
      <c r="M200" s="583"/>
      <c r="N200" s="583"/>
      <c r="O200" s="583"/>
      <c r="P200" s="583"/>
      <c r="Q200" s="583"/>
      <c r="R200" s="583"/>
      <c r="S200" s="583"/>
      <c r="T200" s="583"/>
      <c r="U200" s="583"/>
      <c r="V200" s="583"/>
      <c r="W200" s="583"/>
      <c r="X200" s="583"/>
      <c r="Y200" s="583"/>
      <c r="Z200" s="583"/>
      <c r="AA200" s="583"/>
      <c r="AB200" s="583"/>
      <c r="AC200" s="583"/>
      <c r="AD200" s="583"/>
      <c r="AE200" s="583"/>
      <c r="AF200" s="583"/>
    </row>
    <row r="201" ht="19.5" customHeight="1">
      <c r="A201" s="647"/>
      <c r="B201" s="647"/>
      <c r="C201" s="647"/>
      <c r="D201" s="649"/>
      <c r="E201" s="647"/>
      <c r="F201" s="649"/>
      <c r="G201" s="649"/>
      <c r="H201" s="647"/>
      <c r="I201" s="583"/>
      <c r="J201" s="583"/>
      <c r="K201" s="583"/>
      <c r="L201" s="583"/>
      <c r="M201" s="583"/>
      <c r="N201" s="583"/>
      <c r="O201" s="583"/>
      <c r="P201" s="583"/>
      <c r="Q201" s="583"/>
      <c r="R201" s="583"/>
      <c r="S201" s="583"/>
      <c r="T201" s="583"/>
      <c r="U201" s="583"/>
      <c r="V201" s="583"/>
      <c r="W201" s="583"/>
      <c r="X201" s="583"/>
      <c r="Y201" s="583"/>
      <c r="Z201" s="583"/>
      <c r="AA201" s="583"/>
      <c r="AB201" s="583"/>
      <c r="AC201" s="583"/>
      <c r="AD201" s="583"/>
      <c r="AE201" s="583"/>
      <c r="AF201" s="583"/>
    </row>
    <row r="202" ht="19.5" customHeight="1">
      <c r="A202" s="647"/>
      <c r="B202" s="647"/>
      <c r="C202" s="647"/>
      <c r="D202" s="649"/>
      <c r="E202" s="647"/>
      <c r="F202" s="649"/>
      <c r="G202" s="649"/>
      <c r="H202" s="647"/>
      <c r="I202" s="583"/>
      <c r="J202" s="583"/>
      <c r="K202" s="583"/>
      <c r="L202" s="583"/>
      <c r="M202" s="583"/>
      <c r="N202" s="583"/>
      <c r="O202" s="583"/>
      <c r="P202" s="583"/>
      <c r="Q202" s="583"/>
      <c r="R202" s="583"/>
      <c r="S202" s="583"/>
      <c r="T202" s="583"/>
      <c r="U202" s="583"/>
      <c r="V202" s="583"/>
      <c r="W202" s="583"/>
      <c r="X202" s="583"/>
      <c r="Y202" s="583"/>
      <c r="Z202" s="583"/>
      <c r="AA202" s="583"/>
      <c r="AB202" s="583"/>
      <c r="AC202" s="583"/>
      <c r="AD202" s="583"/>
      <c r="AE202" s="583"/>
      <c r="AF202" s="583"/>
    </row>
    <row r="203" ht="19.5" customHeight="1">
      <c r="A203" s="647"/>
      <c r="B203" s="647"/>
      <c r="C203" s="647"/>
      <c r="D203" s="649"/>
      <c r="E203" s="647"/>
      <c r="F203" s="649"/>
      <c r="G203" s="649"/>
      <c r="H203" s="647"/>
      <c r="I203" s="583"/>
      <c r="J203" s="583"/>
      <c r="K203" s="583"/>
      <c r="L203" s="583"/>
      <c r="M203" s="583"/>
      <c r="N203" s="583"/>
      <c r="O203" s="583"/>
      <c r="P203" s="583"/>
      <c r="Q203" s="583"/>
      <c r="R203" s="583"/>
      <c r="S203" s="583"/>
      <c r="T203" s="583"/>
      <c r="U203" s="583"/>
      <c r="V203" s="583"/>
      <c r="W203" s="583"/>
      <c r="X203" s="583"/>
      <c r="Y203" s="583"/>
      <c r="Z203" s="583"/>
      <c r="AA203" s="583"/>
      <c r="AB203" s="583"/>
      <c r="AC203" s="583"/>
      <c r="AD203" s="583"/>
      <c r="AE203" s="583"/>
      <c r="AF203" s="583"/>
    </row>
    <row r="204" ht="19.5" customHeight="1">
      <c r="A204" s="647"/>
      <c r="B204" s="647"/>
      <c r="C204" s="647"/>
      <c r="D204" s="649"/>
      <c r="E204" s="647"/>
      <c r="F204" s="649"/>
      <c r="G204" s="649"/>
      <c r="H204" s="647"/>
      <c r="I204" s="583"/>
      <c r="J204" s="583"/>
      <c r="K204" s="583"/>
      <c r="L204" s="583"/>
      <c r="M204" s="583"/>
      <c r="N204" s="583"/>
      <c r="O204" s="583"/>
      <c r="P204" s="583"/>
      <c r="Q204" s="583"/>
      <c r="R204" s="583"/>
      <c r="S204" s="583"/>
      <c r="T204" s="583"/>
      <c r="U204" s="583"/>
      <c r="V204" s="583"/>
      <c r="W204" s="583"/>
      <c r="X204" s="583"/>
      <c r="Y204" s="583"/>
      <c r="Z204" s="583"/>
      <c r="AA204" s="583"/>
      <c r="AB204" s="583"/>
      <c r="AC204" s="583"/>
      <c r="AD204" s="583"/>
      <c r="AE204" s="583"/>
      <c r="AF204" s="583"/>
    </row>
    <row r="205" ht="19.5" customHeight="1">
      <c r="A205" s="647"/>
      <c r="B205" s="647"/>
      <c r="C205" s="647"/>
      <c r="D205" s="649"/>
      <c r="E205" s="647"/>
      <c r="F205" s="649"/>
      <c r="G205" s="649"/>
      <c r="H205" s="647"/>
      <c r="I205" s="583"/>
      <c r="J205" s="583"/>
      <c r="K205" s="583"/>
      <c r="L205" s="583"/>
      <c r="M205" s="583"/>
      <c r="N205" s="583"/>
      <c r="O205" s="583"/>
      <c r="P205" s="583"/>
      <c r="Q205" s="583"/>
      <c r="R205" s="583"/>
      <c r="S205" s="583"/>
      <c r="T205" s="583"/>
      <c r="U205" s="583"/>
      <c r="V205" s="583"/>
      <c r="W205" s="583"/>
      <c r="X205" s="583"/>
      <c r="Y205" s="583"/>
      <c r="Z205" s="583"/>
      <c r="AA205" s="583"/>
      <c r="AB205" s="583"/>
      <c r="AC205" s="583"/>
      <c r="AD205" s="583"/>
      <c r="AE205" s="583"/>
      <c r="AF205" s="583"/>
    </row>
    <row r="206" ht="19.5" customHeight="1">
      <c r="A206" s="647"/>
      <c r="B206" s="647"/>
      <c r="C206" s="647"/>
      <c r="D206" s="649"/>
      <c r="E206" s="647"/>
      <c r="F206" s="649"/>
      <c r="G206" s="649"/>
      <c r="H206" s="647"/>
      <c r="I206" s="583"/>
      <c r="J206" s="583"/>
      <c r="K206" s="583"/>
      <c r="L206" s="583"/>
      <c r="M206" s="583"/>
      <c r="N206" s="583"/>
      <c r="O206" s="583"/>
      <c r="P206" s="583"/>
      <c r="Q206" s="583"/>
      <c r="R206" s="583"/>
      <c r="S206" s="583"/>
      <c r="T206" s="583"/>
      <c r="U206" s="583"/>
      <c r="V206" s="583"/>
      <c r="W206" s="583"/>
      <c r="X206" s="583"/>
      <c r="Y206" s="583"/>
      <c r="Z206" s="583"/>
      <c r="AA206" s="583"/>
      <c r="AB206" s="583"/>
      <c r="AC206" s="583"/>
      <c r="AD206" s="583"/>
      <c r="AE206" s="583"/>
      <c r="AF206" s="583"/>
    </row>
    <row r="207" ht="19.5" customHeight="1">
      <c r="A207" s="647"/>
      <c r="B207" s="647"/>
      <c r="C207" s="647"/>
      <c r="D207" s="649"/>
      <c r="E207" s="647"/>
      <c r="F207" s="649"/>
      <c r="G207" s="649"/>
      <c r="H207" s="647"/>
      <c r="I207" s="583"/>
      <c r="J207" s="583"/>
      <c r="K207" s="583"/>
      <c r="L207" s="583"/>
      <c r="M207" s="583"/>
      <c r="N207" s="583"/>
      <c r="O207" s="583"/>
      <c r="P207" s="583"/>
      <c r="Q207" s="583"/>
      <c r="R207" s="583"/>
      <c r="S207" s="583"/>
      <c r="T207" s="583"/>
      <c r="U207" s="583"/>
      <c r="V207" s="583"/>
      <c r="W207" s="583"/>
      <c r="X207" s="583"/>
      <c r="Y207" s="583"/>
      <c r="Z207" s="583"/>
      <c r="AA207" s="583"/>
      <c r="AB207" s="583"/>
      <c r="AC207" s="583"/>
      <c r="AD207" s="583"/>
      <c r="AE207" s="583"/>
      <c r="AF207" s="583"/>
    </row>
    <row r="208" ht="19.5" customHeight="1">
      <c r="A208" s="647"/>
      <c r="B208" s="647"/>
      <c r="C208" s="647"/>
      <c r="D208" s="649"/>
      <c r="E208" s="647"/>
      <c r="F208" s="649"/>
      <c r="G208" s="649"/>
      <c r="H208" s="647"/>
      <c r="I208" s="583"/>
      <c r="J208" s="583"/>
      <c r="K208" s="583"/>
      <c r="L208" s="583"/>
      <c r="M208" s="583"/>
      <c r="N208" s="583"/>
      <c r="O208" s="583"/>
      <c r="P208" s="583"/>
      <c r="Q208" s="583"/>
      <c r="R208" s="583"/>
      <c r="S208" s="583"/>
      <c r="T208" s="583"/>
      <c r="U208" s="583"/>
      <c r="V208" s="583"/>
      <c r="W208" s="583"/>
      <c r="X208" s="583"/>
      <c r="Y208" s="583"/>
      <c r="Z208" s="583"/>
      <c r="AA208" s="583"/>
      <c r="AB208" s="583"/>
      <c r="AC208" s="583"/>
      <c r="AD208" s="583"/>
      <c r="AE208" s="583"/>
      <c r="AF208" s="583"/>
    </row>
    <row r="209" ht="19.5" customHeight="1">
      <c r="A209" s="647"/>
      <c r="B209" s="647"/>
      <c r="C209" s="647"/>
      <c r="D209" s="649"/>
      <c r="E209" s="647"/>
      <c r="F209" s="649"/>
      <c r="G209" s="649"/>
      <c r="H209" s="647"/>
      <c r="I209" s="583"/>
      <c r="J209" s="583"/>
      <c r="K209" s="583"/>
      <c r="L209" s="583"/>
      <c r="M209" s="583"/>
      <c r="N209" s="583"/>
      <c r="O209" s="583"/>
      <c r="P209" s="583"/>
      <c r="Q209" s="583"/>
      <c r="R209" s="583"/>
      <c r="S209" s="583"/>
      <c r="T209" s="583"/>
      <c r="U209" s="583"/>
      <c r="V209" s="583"/>
      <c r="W209" s="583"/>
      <c r="X209" s="583"/>
      <c r="Y209" s="583"/>
      <c r="Z209" s="583"/>
      <c r="AA209" s="583"/>
      <c r="AB209" s="583"/>
      <c r="AC209" s="583"/>
      <c r="AD209" s="583"/>
      <c r="AE209" s="583"/>
      <c r="AF209" s="583"/>
    </row>
    <row r="210" ht="19.5" customHeight="1">
      <c r="A210" s="647"/>
      <c r="B210" s="647"/>
      <c r="C210" s="647"/>
      <c r="D210" s="649"/>
      <c r="E210" s="647"/>
      <c r="F210" s="649"/>
      <c r="G210" s="649"/>
      <c r="H210" s="647"/>
      <c r="I210" s="583"/>
      <c r="J210" s="583"/>
      <c r="K210" s="583"/>
      <c r="L210" s="583"/>
      <c r="M210" s="583"/>
      <c r="N210" s="583"/>
      <c r="O210" s="583"/>
      <c r="P210" s="583"/>
      <c r="Q210" s="583"/>
      <c r="R210" s="583"/>
      <c r="S210" s="583"/>
      <c r="T210" s="583"/>
      <c r="U210" s="583"/>
      <c r="V210" s="583"/>
      <c r="W210" s="583"/>
      <c r="X210" s="583"/>
      <c r="Y210" s="583"/>
      <c r="Z210" s="583"/>
      <c r="AA210" s="583"/>
      <c r="AB210" s="583"/>
      <c r="AC210" s="583"/>
      <c r="AD210" s="583"/>
      <c r="AE210" s="583"/>
      <c r="AF210" s="583"/>
    </row>
    <row r="211" ht="19.5" customHeight="1">
      <c r="A211" s="647"/>
      <c r="B211" s="647"/>
      <c r="C211" s="647"/>
      <c r="D211" s="649"/>
      <c r="E211" s="647"/>
      <c r="F211" s="649"/>
      <c r="G211" s="649"/>
      <c r="H211" s="647"/>
      <c r="I211" s="583"/>
      <c r="J211" s="583"/>
      <c r="K211" s="583"/>
      <c r="L211" s="583"/>
      <c r="M211" s="583"/>
      <c r="N211" s="583"/>
      <c r="O211" s="583"/>
      <c r="P211" s="583"/>
      <c r="Q211" s="583"/>
      <c r="R211" s="583"/>
      <c r="S211" s="583"/>
      <c r="T211" s="583"/>
      <c r="U211" s="583"/>
      <c r="V211" s="583"/>
      <c r="W211" s="583"/>
      <c r="X211" s="583"/>
      <c r="Y211" s="583"/>
      <c r="Z211" s="583"/>
      <c r="AA211" s="583"/>
      <c r="AB211" s="583"/>
      <c r="AC211" s="583"/>
      <c r="AD211" s="583"/>
      <c r="AE211" s="583"/>
      <c r="AF211" s="583"/>
    </row>
    <row r="212" ht="19.5" customHeight="1">
      <c r="A212" s="647"/>
      <c r="B212" s="647"/>
      <c r="C212" s="647"/>
      <c r="D212" s="649"/>
      <c r="E212" s="647"/>
      <c r="F212" s="649"/>
      <c r="G212" s="649"/>
      <c r="H212" s="647"/>
      <c r="I212" s="583"/>
      <c r="J212" s="583"/>
      <c r="K212" s="583"/>
      <c r="L212" s="583"/>
      <c r="M212" s="583"/>
      <c r="N212" s="583"/>
      <c r="O212" s="583"/>
      <c r="P212" s="583"/>
      <c r="Q212" s="583"/>
      <c r="R212" s="583"/>
      <c r="S212" s="583"/>
      <c r="T212" s="583"/>
      <c r="U212" s="583"/>
      <c r="V212" s="583"/>
      <c r="W212" s="583"/>
      <c r="X212" s="583"/>
      <c r="Y212" s="583"/>
      <c r="Z212" s="583"/>
      <c r="AA212" s="583"/>
      <c r="AB212" s="583"/>
      <c r="AC212" s="583"/>
      <c r="AD212" s="583"/>
      <c r="AE212" s="583"/>
      <c r="AF212" s="583"/>
    </row>
    <row r="213" ht="19.5" customHeight="1">
      <c r="A213" s="647"/>
      <c r="B213" s="647"/>
      <c r="C213" s="647"/>
      <c r="D213" s="649"/>
      <c r="E213" s="647"/>
      <c r="F213" s="649"/>
      <c r="G213" s="649"/>
      <c r="H213" s="647"/>
      <c r="I213" s="583"/>
      <c r="J213" s="583"/>
      <c r="K213" s="583"/>
      <c r="L213" s="583"/>
      <c r="M213" s="583"/>
      <c r="N213" s="583"/>
      <c r="O213" s="583"/>
      <c r="P213" s="583"/>
      <c r="Q213" s="583"/>
      <c r="R213" s="583"/>
      <c r="S213" s="583"/>
      <c r="T213" s="583"/>
      <c r="U213" s="583"/>
      <c r="V213" s="583"/>
      <c r="W213" s="583"/>
      <c r="X213" s="583"/>
      <c r="Y213" s="583"/>
      <c r="Z213" s="583"/>
      <c r="AA213" s="583"/>
      <c r="AB213" s="583"/>
      <c r="AC213" s="583"/>
      <c r="AD213" s="583"/>
      <c r="AE213" s="583"/>
      <c r="AF213" s="583"/>
    </row>
    <row r="214" ht="19.5" customHeight="1">
      <c r="A214" s="647"/>
      <c r="B214" s="647"/>
      <c r="C214" s="647"/>
      <c r="D214" s="649"/>
      <c r="E214" s="647"/>
      <c r="F214" s="649"/>
      <c r="G214" s="649"/>
      <c r="H214" s="647"/>
      <c r="I214" s="583"/>
      <c r="J214" s="583"/>
      <c r="K214" s="583"/>
      <c r="L214" s="583"/>
      <c r="M214" s="583"/>
      <c r="N214" s="583"/>
      <c r="O214" s="583"/>
      <c r="P214" s="583"/>
      <c r="Q214" s="583"/>
      <c r="R214" s="583"/>
      <c r="S214" s="583"/>
      <c r="T214" s="583"/>
      <c r="U214" s="583"/>
      <c r="V214" s="583"/>
      <c r="W214" s="583"/>
      <c r="X214" s="583"/>
      <c r="Y214" s="583"/>
      <c r="Z214" s="583"/>
      <c r="AA214" s="583"/>
      <c r="AB214" s="583"/>
      <c r="AC214" s="583"/>
      <c r="AD214" s="583"/>
      <c r="AE214" s="583"/>
      <c r="AF214" s="583"/>
    </row>
    <row r="215" ht="19.5" customHeight="1">
      <c r="A215" s="647"/>
      <c r="B215" s="647"/>
      <c r="C215" s="647"/>
      <c r="D215" s="649"/>
      <c r="E215" s="647"/>
      <c r="F215" s="649"/>
      <c r="G215" s="649"/>
      <c r="H215" s="647"/>
      <c r="I215" s="583"/>
      <c r="J215" s="583"/>
      <c r="K215" s="583"/>
      <c r="L215" s="583"/>
      <c r="M215" s="583"/>
      <c r="N215" s="583"/>
      <c r="O215" s="583"/>
      <c r="P215" s="583"/>
      <c r="Q215" s="583"/>
      <c r="R215" s="583"/>
      <c r="S215" s="583"/>
      <c r="T215" s="583"/>
      <c r="U215" s="583"/>
      <c r="V215" s="583"/>
      <c r="W215" s="583"/>
      <c r="X215" s="583"/>
      <c r="Y215" s="583"/>
      <c r="Z215" s="583"/>
      <c r="AA215" s="583"/>
      <c r="AB215" s="583"/>
      <c r="AC215" s="583"/>
      <c r="AD215" s="583"/>
      <c r="AE215" s="583"/>
      <c r="AF215" s="583"/>
    </row>
    <row r="216" ht="19.5" customHeight="1">
      <c r="A216" s="647"/>
      <c r="B216" s="647"/>
      <c r="C216" s="647"/>
      <c r="D216" s="649"/>
      <c r="E216" s="647"/>
      <c r="F216" s="649"/>
      <c r="G216" s="649"/>
      <c r="H216" s="647"/>
      <c r="I216" s="583"/>
      <c r="J216" s="583"/>
      <c r="K216" s="583"/>
      <c r="L216" s="583"/>
      <c r="M216" s="583"/>
      <c r="N216" s="583"/>
      <c r="O216" s="583"/>
      <c r="P216" s="583"/>
      <c r="Q216" s="583"/>
      <c r="R216" s="583"/>
      <c r="S216" s="583"/>
      <c r="T216" s="583"/>
      <c r="U216" s="583"/>
      <c r="V216" s="583"/>
      <c r="W216" s="583"/>
      <c r="X216" s="583"/>
      <c r="Y216" s="583"/>
      <c r="Z216" s="583"/>
      <c r="AA216" s="583"/>
      <c r="AB216" s="583"/>
      <c r="AC216" s="583"/>
      <c r="AD216" s="583"/>
      <c r="AE216" s="583"/>
      <c r="AF216" s="583"/>
    </row>
    <row r="217" ht="19.5" customHeight="1">
      <c r="A217" s="647"/>
      <c r="B217" s="647"/>
      <c r="C217" s="647"/>
      <c r="D217" s="649"/>
      <c r="E217" s="647"/>
      <c r="F217" s="649"/>
      <c r="G217" s="649"/>
      <c r="H217" s="647"/>
      <c r="I217" s="583"/>
      <c r="J217" s="583"/>
      <c r="K217" s="583"/>
      <c r="L217" s="583"/>
      <c r="M217" s="583"/>
      <c r="N217" s="583"/>
      <c r="O217" s="583"/>
      <c r="P217" s="583"/>
      <c r="Q217" s="583"/>
      <c r="R217" s="583"/>
      <c r="S217" s="583"/>
      <c r="T217" s="583"/>
      <c r="U217" s="583"/>
      <c r="V217" s="583"/>
      <c r="W217" s="583"/>
      <c r="X217" s="583"/>
      <c r="Y217" s="583"/>
      <c r="Z217" s="583"/>
      <c r="AA217" s="583"/>
      <c r="AB217" s="583"/>
      <c r="AC217" s="583"/>
      <c r="AD217" s="583"/>
      <c r="AE217" s="583"/>
      <c r="AF217" s="583"/>
    </row>
    <row r="218" ht="19.5" customHeight="1">
      <c r="A218" s="647"/>
      <c r="B218" s="647"/>
      <c r="C218" s="647"/>
      <c r="D218" s="649"/>
      <c r="E218" s="647"/>
      <c r="F218" s="649"/>
      <c r="G218" s="649"/>
      <c r="H218" s="647"/>
      <c r="I218" s="583"/>
      <c r="J218" s="583"/>
      <c r="K218" s="583"/>
      <c r="L218" s="583"/>
      <c r="M218" s="583"/>
      <c r="N218" s="583"/>
      <c r="O218" s="583"/>
      <c r="P218" s="583"/>
      <c r="Q218" s="583"/>
      <c r="R218" s="583"/>
      <c r="S218" s="583"/>
      <c r="T218" s="583"/>
      <c r="U218" s="583"/>
      <c r="V218" s="583"/>
      <c r="W218" s="583"/>
      <c r="X218" s="583"/>
      <c r="Y218" s="583"/>
      <c r="Z218" s="583"/>
      <c r="AA218" s="583"/>
      <c r="AB218" s="583"/>
      <c r="AC218" s="583"/>
      <c r="AD218" s="583"/>
      <c r="AE218" s="583"/>
      <c r="AF218" s="583"/>
    </row>
    <row r="219" ht="19.5" customHeight="1">
      <c r="A219" s="647"/>
      <c r="B219" s="647"/>
      <c r="C219" s="647"/>
      <c r="D219" s="649"/>
      <c r="E219" s="647"/>
      <c r="F219" s="649"/>
      <c r="G219" s="649"/>
      <c r="H219" s="647"/>
      <c r="I219" s="583"/>
      <c r="J219" s="583"/>
      <c r="K219" s="583"/>
      <c r="L219" s="583"/>
      <c r="M219" s="583"/>
      <c r="N219" s="583"/>
      <c r="O219" s="583"/>
      <c r="P219" s="583"/>
      <c r="Q219" s="583"/>
      <c r="R219" s="583"/>
      <c r="S219" s="583"/>
      <c r="T219" s="583"/>
      <c r="U219" s="583"/>
      <c r="V219" s="583"/>
      <c r="W219" s="583"/>
      <c r="X219" s="583"/>
      <c r="Y219" s="583"/>
      <c r="Z219" s="583"/>
      <c r="AA219" s="583"/>
      <c r="AB219" s="583"/>
      <c r="AC219" s="583"/>
      <c r="AD219" s="583"/>
      <c r="AE219" s="583"/>
      <c r="AF219" s="583"/>
    </row>
    <row r="220" ht="19.5" customHeight="1">
      <c r="A220" s="647"/>
      <c r="B220" s="647"/>
      <c r="C220" s="647"/>
      <c r="D220" s="649"/>
      <c r="E220" s="647"/>
      <c r="F220" s="649"/>
      <c r="G220" s="649"/>
      <c r="H220" s="647"/>
      <c r="I220" s="583"/>
      <c r="J220" s="583"/>
      <c r="K220" s="583"/>
      <c r="L220" s="583"/>
      <c r="M220" s="583"/>
      <c r="N220" s="583"/>
      <c r="O220" s="583"/>
      <c r="P220" s="583"/>
      <c r="Q220" s="583"/>
      <c r="R220" s="583"/>
      <c r="S220" s="583"/>
      <c r="T220" s="583"/>
      <c r="U220" s="583"/>
      <c r="V220" s="583"/>
      <c r="W220" s="583"/>
      <c r="X220" s="583"/>
      <c r="Y220" s="583"/>
      <c r="Z220" s="583"/>
      <c r="AA220" s="583"/>
      <c r="AB220" s="583"/>
      <c r="AC220" s="583"/>
      <c r="AD220" s="583"/>
      <c r="AE220" s="583"/>
      <c r="AF220" s="583"/>
    </row>
    <row r="221" ht="19.5" customHeight="1">
      <c r="A221" s="647"/>
      <c r="B221" s="647"/>
      <c r="C221" s="647"/>
      <c r="D221" s="649"/>
      <c r="E221" s="647"/>
      <c r="F221" s="649"/>
      <c r="G221" s="649"/>
      <c r="H221" s="647"/>
      <c r="I221" s="583"/>
      <c r="J221" s="583"/>
      <c r="K221" s="583"/>
      <c r="L221" s="583"/>
      <c r="M221" s="583"/>
      <c r="N221" s="583"/>
      <c r="O221" s="583"/>
      <c r="P221" s="583"/>
      <c r="Q221" s="583"/>
      <c r="R221" s="583"/>
      <c r="S221" s="583"/>
      <c r="T221" s="583"/>
      <c r="U221" s="583"/>
      <c r="V221" s="583"/>
      <c r="W221" s="583"/>
      <c r="X221" s="583"/>
      <c r="Y221" s="583"/>
      <c r="Z221" s="583"/>
      <c r="AA221" s="583"/>
      <c r="AB221" s="583"/>
      <c r="AC221" s="583"/>
      <c r="AD221" s="583"/>
      <c r="AE221" s="583"/>
      <c r="AF221" s="583"/>
    </row>
    <row r="222" ht="19.5" customHeight="1">
      <c r="A222" s="647"/>
      <c r="B222" s="647"/>
      <c r="C222" s="647"/>
      <c r="D222" s="649"/>
      <c r="E222" s="647"/>
      <c r="F222" s="649"/>
      <c r="G222" s="649"/>
      <c r="H222" s="647"/>
      <c r="I222" s="583"/>
      <c r="J222" s="583"/>
      <c r="K222" s="583"/>
      <c r="L222" s="583"/>
      <c r="M222" s="583"/>
      <c r="N222" s="583"/>
      <c r="O222" s="583"/>
      <c r="P222" s="583"/>
      <c r="Q222" s="583"/>
      <c r="R222" s="583"/>
      <c r="S222" s="583"/>
      <c r="T222" s="583"/>
      <c r="U222" s="583"/>
      <c r="V222" s="583"/>
      <c r="W222" s="583"/>
      <c r="X222" s="583"/>
      <c r="Y222" s="583"/>
      <c r="Z222" s="583"/>
      <c r="AA222" s="583"/>
      <c r="AB222" s="583"/>
      <c r="AC222" s="583"/>
      <c r="AD222" s="583"/>
      <c r="AE222" s="583"/>
      <c r="AF222" s="583"/>
    </row>
    <row r="223" ht="19.5" customHeight="1">
      <c r="A223" s="647"/>
      <c r="B223" s="647"/>
      <c r="C223" s="647"/>
      <c r="D223" s="649"/>
      <c r="E223" s="647"/>
      <c r="F223" s="649"/>
      <c r="G223" s="649"/>
      <c r="H223" s="647"/>
      <c r="I223" s="583"/>
      <c r="J223" s="583"/>
      <c r="K223" s="583"/>
      <c r="L223" s="583"/>
      <c r="M223" s="583"/>
      <c r="N223" s="583"/>
      <c r="O223" s="583"/>
      <c r="P223" s="583"/>
      <c r="Q223" s="583"/>
      <c r="R223" s="583"/>
      <c r="S223" s="583"/>
      <c r="T223" s="583"/>
      <c r="U223" s="583"/>
      <c r="V223" s="583"/>
      <c r="W223" s="583"/>
      <c r="X223" s="583"/>
      <c r="Y223" s="583"/>
      <c r="Z223" s="583"/>
      <c r="AA223" s="583"/>
      <c r="AB223" s="583"/>
      <c r="AC223" s="583"/>
      <c r="AD223" s="583"/>
      <c r="AE223" s="583"/>
      <c r="AF223" s="583"/>
    </row>
    <row r="224" ht="19.5" customHeight="1">
      <c r="A224" s="647"/>
      <c r="B224" s="647"/>
      <c r="C224" s="647"/>
      <c r="D224" s="649"/>
      <c r="E224" s="647"/>
      <c r="F224" s="649"/>
      <c r="G224" s="649"/>
      <c r="H224" s="647"/>
      <c r="I224" s="583"/>
      <c r="J224" s="583"/>
      <c r="K224" s="583"/>
      <c r="L224" s="583"/>
      <c r="M224" s="583"/>
      <c r="N224" s="583"/>
      <c r="O224" s="583"/>
      <c r="P224" s="583"/>
      <c r="Q224" s="583"/>
      <c r="R224" s="583"/>
      <c r="S224" s="583"/>
      <c r="T224" s="583"/>
      <c r="U224" s="583"/>
      <c r="V224" s="583"/>
      <c r="W224" s="583"/>
      <c r="X224" s="583"/>
      <c r="Y224" s="583"/>
      <c r="Z224" s="583"/>
      <c r="AA224" s="583"/>
      <c r="AB224" s="583"/>
      <c r="AC224" s="583"/>
      <c r="AD224" s="583"/>
      <c r="AE224" s="583"/>
      <c r="AF224" s="583"/>
    </row>
    <row r="225" ht="19.5" customHeight="1">
      <c r="A225" s="647"/>
      <c r="B225" s="647"/>
      <c r="C225" s="647"/>
      <c r="D225" s="649"/>
      <c r="E225" s="647"/>
      <c r="F225" s="649"/>
      <c r="G225" s="649"/>
      <c r="H225" s="647"/>
      <c r="I225" s="583"/>
      <c r="J225" s="583"/>
      <c r="K225" s="583"/>
      <c r="L225" s="583"/>
      <c r="M225" s="583"/>
      <c r="N225" s="583"/>
      <c r="O225" s="583"/>
      <c r="P225" s="583"/>
      <c r="Q225" s="583"/>
      <c r="R225" s="583"/>
      <c r="S225" s="583"/>
      <c r="T225" s="583"/>
      <c r="U225" s="583"/>
      <c r="V225" s="583"/>
      <c r="W225" s="583"/>
      <c r="X225" s="583"/>
      <c r="Y225" s="583"/>
      <c r="Z225" s="583"/>
      <c r="AA225" s="583"/>
      <c r="AB225" s="583"/>
      <c r="AC225" s="583"/>
      <c r="AD225" s="583"/>
      <c r="AE225" s="583"/>
      <c r="AF225" s="583"/>
    </row>
    <row r="226" ht="19.5" customHeight="1">
      <c r="A226" s="647"/>
      <c r="B226" s="647"/>
      <c r="C226" s="647"/>
      <c r="D226" s="649"/>
      <c r="E226" s="647"/>
      <c r="F226" s="649"/>
      <c r="G226" s="649"/>
      <c r="H226" s="647"/>
      <c r="I226" s="583"/>
      <c r="J226" s="583"/>
      <c r="K226" s="583"/>
      <c r="L226" s="583"/>
      <c r="M226" s="583"/>
      <c r="N226" s="583"/>
      <c r="O226" s="583"/>
      <c r="P226" s="583"/>
      <c r="Q226" s="583"/>
      <c r="R226" s="583"/>
      <c r="S226" s="583"/>
      <c r="T226" s="583"/>
      <c r="U226" s="583"/>
      <c r="V226" s="583"/>
      <c r="W226" s="583"/>
      <c r="X226" s="583"/>
      <c r="Y226" s="583"/>
      <c r="Z226" s="583"/>
      <c r="AA226" s="583"/>
      <c r="AB226" s="583"/>
      <c r="AC226" s="583"/>
      <c r="AD226" s="583"/>
      <c r="AE226" s="583"/>
      <c r="AF226" s="583"/>
    </row>
    <row r="227" ht="19.5" customHeight="1">
      <c r="A227" s="647"/>
      <c r="B227" s="647"/>
      <c r="C227" s="647"/>
      <c r="D227" s="649"/>
      <c r="E227" s="647"/>
      <c r="F227" s="649"/>
      <c r="G227" s="649"/>
      <c r="H227" s="647"/>
      <c r="I227" s="583"/>
      <c r="J227" s="583"/>
      <c r="K227" s="583"/>
      <c r="L227" s="583"/>
      <c r="M227" s="583"/>
      <c r="N227" s="583"/>
      <c r="O227" s="583"/>
      <c r="P227" s="583"/>
      <c r="Q227" s="583"/>
      <c r="R227" s="583"/>
      <c r="S227" s="583"/>
      <c r="T227" s="583"/>
      <c r="U227" s="583"/>
      <c r="V227" s="583"/>
      <c r="W227" s="583"/>
      <c r="X227" s="583"/>
      <c r="Y227" s="583"/>
      <c r="Z227" s="583"/>
      <c r="AA227" s="583"/>
      <c r="AB227" s="583"/>
      <c r="AC227" s="583"/>
      <c r="AD227" s="583"/>
      <c r="AE227" s="583"/>
      <c r="AF227" s="583"/>
    </row>
    <row r="228" ht="19.5" customHeight="1">
      <c r="A228" s="647"/>
      <c r="B228" s="647"/>
      <c r="C228" s="647"/>
      <c r="D228" s="649"/>
      <c r="E228" s="647"/>
      <c r="F228" s="649"/>
      <c r="G228" s="649"/>
      <c r="H228" s="647"/>
      <c r="I228" s="583"/>
      <c r="J228" s="583"/>
      <c r="K228" s="583"/>
      <c r="L228" s="583"/>
      <c r="M228" s="583"/>
      <c r="N228" s="583"/>
      <c r="O228" s="583"/>
      <c r="P228" s="583"/>
      <c r="Q228" s="583"/>
      <c r="R228" s="583"/>
      <c r="S228" s="583"/>
      <c r="T228" s="583"/>
      <c r="U228" s="583"/>
      <c r="V228" s="583"/>
      <c r="W228" s="583"/>
      <c r="X228" s="583"/>
      <c r="Y228" s="583"/>
      <c r="Z228" s="583"/>
      <c r="AA228" s="583"/>
      <c r="AB228" s="583"/>
      <c r="AC228" s="583"/>
      <c r="AD228" s="583"/>
      <c r="AE228" s="583"/>
      <c r="AF228" s="583"/>
    </row>
    <row r="229" ht="19.5" customHeight="1">
      <c r="A229" s="647"/>
      <c r="B229" s="647"/>
      <c r="C229" s="647"/>
      <c r="D229" s="649"/>
      <c r="E229" s="647"/>
      <c r="F229" s="649"/>
      <c r="G229" s="649"/>
      <c r="H229" s="647"/>
      <c r="I229" s="583"/>
      <c r="J229" s="583"/>
      <c r="K229" s="583"/>
      <c r="L229" s="583"/>
      <c r="M229" s="583"/>
      <c r="N229" s="583"/>
      <c r="O229" s="583"/>
      <c r="P229" s="583"/>
      <c r="Q229" s="583"/>
      <c r="R229" s="583"/>
      <c r="S229" s="583"/>
      <c r="T229" s="583"/>
      <c r="U229" s="583"/>
      <c r="V229" s="583"/>
      <c r="W229" s="583"/>
      <c r="X229" s="583"/>
      <c r="Y229" s="583"/>
      <c r="Z229" s="583"/>
      <c r="AA229" s="583"/>
      <c r="AB229" s="583"/>
      <c r="AC229" s="583"/>
      <c r="AD229" s="583"/>
      <c r="AE229" s="583"/>
      <c r="AF229" s="583"/>
    </row>
    <row r="230" ht="19.5" customHeight="1">
      <c r="A230" s="647"/>
      <c r="B230" s="647"/>
      <c r="C230" s="647"/>
      <c r="D230" s="649"/>
      <c r="E230" s="647"/>
      <c r="F230" s="649"/>
      <c r="G230" s="649"/>
      <c r="H230" s="647"/>
      <c r="I230" s="583"/>
      <c r="J230" s="583"/>
      <c r="K230" s="583"/>
      <c r="L230" s="583"/>
      <c r="M230" s="583"/>
      <c r="N230" s="583"/>
      <c r="O230" s="583"/>
      <c r="P230" s="583"/>
      <c r="Q230" s="583"/>
      <c r="R230" s="583"/>
      <c r="S230" s="583"/>
      <c r="T230" s="583"/>
      <c r="U230" s="583"/>
      <c r="V230" s="583"/>
      <c r="W230" s="583"/>
      <c r="X230" s="583"/>
      <c r="Y230" s="583"/>
      <c r="Z230" s="583"/>
      <c r="AA230" s="583"/>
      <c r="AB230" s="583"/>
      <c r="AC230" s="583"/>
      <c r="AD230" s="583"/>
      <c r="AE230" s="583"/>
      <c r="AF230" s="583"/>
    </row>
    <row r="231" ht="19.5" customHeight="1">
      <c r="A231" s="647"/>
      <c r="B231" s="647"/>
      <c r="C231" s="647"/>
      <c r="D231" s="649"/>
      <c r="E231" s="647"/>
      <c r="F231" s="649"/>
      <c r="G231" s="649"/>
      <c r="H231" s="647"/>
      <c r="I231" s="583"/>
      <c r="J231" s="583"/>
      <c r="K231" s="583"/>
      <c r="L231" s="583"/>
      <c r="M231" s="583"/>
      <c r="N231" s="583"/>
      <c r="O231" s="583"/>
      <c r="P231" s="583"/>
      <c r="Q231" s="583"/>
      <c r="R231" s="583"/>
      <c r="S231" s="583"/>
      <c r="T231" s="583"/>
      <c r="U231" s="583"/>
      <c r="V231" s="583"/>
      <c r="W231" s="583"/>
      <c r="X231" s="583"/>
      <c r="Y231" s="583"/>
      <c r="Z231" s="583"/>
      <c r="AA231" s="583"/>
      <c r="AB231" s="583"/>
      <c r="AC231" s="583"/>
      <c r="AD231" s="583"/>
      <c r="AE231" s="583"/>
      <c r="AF231" s="583"/>
    </row>
    <row r="232" ht="19.5" customHeight="1">
      <c r="A232" s="647"/>
      <c r="B232" s="647"/>
      <c r="C232" s="647"/>
      <c r="D232" s="649"/>
      <c r="E232" s="647"/>
      <c r="F232" s="649"/>
      <c r="G232" s="649"/>
      <c r="H232" s="647"/>
      <c r="I232" s="583"/>
      <c r="J232" s="583"/>
      <c r="K232" s="583"/>
      <c r="L232" s="583"/>
      <c r="M232" s="583"/>
      <c r="N232" s="583"/>
      <c r="O232" s="583"/>
      <c r="P232" s="583"/>
      <c r="Q232" s="583"/>
      <c r="R232" s="583"/>
      <c r="S232" s="583"/>
      <c r="T232" s="583"/>
      <c r="U232" s="583"/>
      <c r="V232" s="583"/>
      <c r="W232" s="583"/>
      <c r="X232" s="583"/>
      <c r="Y232" s="583"/>
      <c r="Z232" s="583"/>
      <c r="AA232" s="583"/>
      <c r="AB232" s="583"/>
      <c r="AC232" s="583"/>
      <c r="AD232" s="583"/>
      <c r="AE232" s="583"/>
      <c r="AF232" s="583"/>
    </row>
    <row r="233" ht="19.5" customHeight="1">
      <c r="A233" s="647"/>
      <c r="B233" s="647"/>
      <c r="C233" s="647"/>
      <c r="D233" s="649"/>
      <c r="E233" s="647"/>
      <c r="F233" s="649"/>
      <c r="G233" s="649"/>
      <c r="H233" s="647"/>
      <c r="I233" s="583"/>
      <c r="J233" s="583"/>
      <c r="K233" s="583"/>
      <c r="L233" s="583"/>
      <c r="M233" s="583"/>
      <c r="N233" s="583"/>
      <c r="O233" s="583"/>
      <c r="P233" s="583"/>
      <c r="Q233" s="583"/>
      <c r="R233" s="583"/>
      <c r="S233" s="583"/>
      <c r="T233" s="583"/>
      <c r="U233" s="583"/>
      <c r="V233" s="583"/>
      <c r="W233" s="583"/>
      <c r="X233" s="583"/>
      <c r="Y233" s="583"/>
      <c r="Z233" s="583"/>
      <c r="AA233" s="583"/>
      <c r="AB233" s="583"/>
      <c r="AC233" s="583"/>
      <c r="AD233" s="583"/>
      <c r="AE233" s="583"/>
      <c r="AF233" s="583"/>
    </row>
    <row r="234" ht="19.5" customHeight="1">
      <c r="A234" s="647"/>
      <c r="B234" s="647"/>
      <c r="C234" s="647"/>
      <c r="D234" s="649"/>
      <c r="E234" s="647"/>
      <c r="F234" s="649"/>
      <c r="G234" s="649"/>
      <c r="H234" s="647"/>
      <c r="I234" s="583"/>
      <c r="J234" s="583"/>
      <c r="K234" s="583"/>
      <c r="L234" s="583"/>
      <c r="M234" s="583"/>
      <c r="N234" s="583"/>
      <c r="O234" s="583"/>
      <c r="P234" s="583"/>
      <c r="Q234" s="583"/>
      <c r="R234" s="583"/>
      <c r="S234" s="583"/>
      <c r="T234" s="583"/>
      <c r="U234" s="583"/>
      <c r="V234" s="583"/>
      <c r="W234" s="583"/>
      <c r="X234" s="583"/>
      <c r="Y234" s="583"/>
      <c r="Z234" s="583"/>
      <c r="AA234" s="583"/>
      <c r="AB234" s="583"/>
      <c r="AC234" s="583"/>
      <c r="AD234" s="583"/>
      <c r="AE234" s="583"/>
      <c r="AF234" s="583"/>
    </row>
    <row r="235" ht="19.5" customHeight="1">
      <c r="A235" s="647"/>
      <c r="B235" s="647"/>
      <c r="C235" s="647"/>
      <c r="D235" s="649"/>
      <c r="E235" s="647"/>
      <c r="F235" s="649"/>
      <c r="G235" s="649"/>
      <c r="H235" s="647"/>
      <c r="I235" s="583"/>
      <c r="J235" s="583"/>
      <c r="K235" s="583"/>
      <c r="L235" s="583"/>
      <c r="M235" s="583"/>
      <c r="N235" s="583"/>
      <c r="O235" s="583"/>
      <c r="P235" s="583"/>
      <c r="Q235" s="583"/>
      <c r="R235" s="583"/>
      <c r="S235" s="583"/>
      <c r="T235" s="583"/>
      <c r="U235" s="583"/>
      <c r="V235" s="583"/>
      <c r="W235" s="583"/>
      <c r="X235" s="583"/>
      <c r="Y235" s="583"/>
      <c r="Z235" s="583"/>
      <c r="AA235" s="583"/>
      <c r="AB235" s="583"/>
      <c r="AC235" s="583"/>
      <c r="AD235" s="583"/>
      <c r="AE235" s="583"/>
      <c r="AF235" s="583"/>
    </row>
    <row r="236" ht="19.5" customHeight="1">
      <c r="A236" s="647"/>
      <c r="B236" s="647"/>
      <c r="C236" s="647"/>
      <c r="D236" s="649"/>
      <c r="E236" s="647"/>
      <c r="F236" s="649"/>
      <c r="G236" s="649"/>
      <c r="H236" s="647"/>
      <c r="I236" s="583"/>
      <c r="J236" s="583"/>
      <c r="K236" s="583"/>
      <c r="L236" s="583"/>
      <c r="M236" s="583"/>
      <c r="N236" s="583"/>
      <c r="O236" s="583"/>
      <c r="P236" s="583"/>
      <c r="Q236" s="583"/>
      <c r="R236" s="583"/>
      <c r="S236" s="583"/>
      <c r="T236" s="583"/>
      <c r="U236" s="583"/>
      <c r="V236" s="583"/>
      <c r="W236" s="583"/>
      <c r="X236" s="583"/>
      <c r="Y236" s="583"/>
      <c r="Z236" s="583"/>
      <c r="AA236" s="583"/>
      <c r="AB236" s="583"/>
      <c r="AC236" s="583"/>
      <c r="AD236" s="583"/>
      <c r="AE236" s="583"/>
      <c r="AF236" s="583"/>
    </row>
    <row r="237" ht="19.5" customHeight="1">
      <c r="A237" s="647"/>
      <c r="B237" s="647"/>
      <c r="C237" s="647"/>
      <c r="D237" s="649"/>
      <c r="E237" s="647"/>
      <c r="F237" s="649"/>
      <c r="G237" s="649"/>
      <c r="H237" s="647"/>
      <c r="I237" s="583"/>
      <c r="J237" s="583"/>
      <c r="K237" s="583"/>
      <c r="L237" s="583"/>
      <c r="M237" s="583"/>
      <c r="N237" s="583"/>
      <c r="O237" s="583"/>
      <c r="P237" s="583"/>
      <c r="Q237" s="583"/>
      <c r="R237" s="583"/>
      <c r="S237" s="583"/>
      <c r="T237" s="583"/>
      <c r="U237" s="583"/>
      <c r="V237" s="583"/>
      <c r="W237" s="583"/>
      <c r="X237" s="583"/>
      <c r="Y237" s="583"/>
      <c r="Z237" s="583"/>
      <c r="AA237" s="583"/>
      <c r="AB237" s="583"/>
      <c r="AC237" s="583"/>
      <c r="AD237" s="583"/>
      <c r="AE237" s="583"/>
      <c r="AF237" s="583"/>
    </row>
    <row r="238" ht="19.5" customHeight="1">
      <c r="A238" s="647"/>
      <c r="B238" s="647"/>
      <c r="C238" s="647"/>
      <c r="D238" s="649"/>
      <c r="E238" s="647"/>
      <c r="F238" s="649"/>
      <c r="G238" s="649"/>
      <c r="H238" s="647"/>
      <c r="I238" s="583"/>
      <c r="J238" s="583"/>
      <c r="K238" s="583"/>
      <c r="L238" s="583"/>
      <c r="M238" s="583"/>
      <c r="N238" s="583"/>
      <c r="O238" s="583"/>
      <c r="P238" s="583"/>
      <c r="Q238" s="583"/>
      <c r="R238" s="583"/>
      <c r="S238" s="583"/>
      <c r="T238" s="583"/>
      <c r="U238" s="583"/>
      <c r="V238" s="583"/>
      <c r="W238" s="583"/>
      <c r="X238" s="583"/>
      <c r="Y238" s="583"/>
      <c r="Z238" s="583"/>
      <c r="AA238" s="583"/>
      <c r="AB238" s="583"/>
      <c r="AC238" s="583"/>
      <c r="AD238" s="583"/>
      <c r="AE238" s="583"/>
      <c r="AF238" s="583"/>
    </row>
    <row r="239" ht="19.5" customHeight="1">
      <c r="A239" s="647"/>
      <c r="B239" s="647"/>
      <c r="C239" s="647"/>
      <c r="D239" s="649"/>
      <c r="E239" s="647"/>
      <c r="F239" s="649"/>
      <c r="G239" s="649"/>
      <c r="H239" s="647"/>
      <c r="I239" s="583"/>
      <c r="J239" s="583"/>
      <c r="K239" s="583"/>
      <c r="L239" s="583"/>
      <c r="M239" s="583"/>
      <c r="N239" s="583"/>
      <c r="O239" s="583"/>
      <c r="P239" s="583"/>
      <c r="Q239" s="583"/>
      <c r="R239" s="583"/>
      <c r="S239" s="583"/>
      <c r="T239" s="583"/>
      <c r="U239" s="583"/>
      <c r="V239" s="583"/>
      <c r="W239" s="583"/>
      <c r="X239" s="583"/>
      <c r="Y239" s="583"/>
      <c r="Z239" s="583"/>
      <c r="AA239" s="583"/>
      <c r="AB239" s="583"/>
      <c r="AC239" s="583"/>
      <c r="AD239" s="583"/>
      <c r="AE239" s="583"/>
      <c r="AF239" s="583"/>
    </row>
    <row r="240" ht="19.5" customHeight="1">
      <c r="A240" s="647"/>
      <c r="B240" s="647"/>
      <c r="C240" s="647"/>
      <c r="D240" s="649"/>
      <c r="E240" s="647"/>
      <c r="F240" s="649"/>
      <c r="G240" s="649"/>
      <c r="H240" s="647"/>
      <c r="I240" s="583"/>
      <c r="J240" s="583"/>
      <c r="K240" s="583"/>
      <c r="L240" s="583"/>
      <c r="M240" s="583"/>
      <c r="N240" s="583"/>
      <c r="O240" s="583"/>
      <c r="P240" s="583"/>
      <c r="Q240" s="583"/>
      <c r="R240" s="583"/>
      <c r="S240" s="583"/>
      <c r="T240" s="583"/>
      <c r="U240" s="583"/>
      <c r="V240" s="583"/>
      <c r="W240" s="583"/>
      <c r="X240" s="583"/>
      <c r="Y240" s="583"/>
      <c r="Z240" s="583"/>
      <c r="AA240" s="583"/>
      <c r="AB240" s="583"/>
      <c r="AC240" s="583"/>
      <c r="AD240" s="583"/>
      <c r="AE240" s="583"/>
      <c r="AF240" s="583"/>
    </row>
    <row r="241" ht="19.5" customHeight="1">
      <c r="A241" s="647"/>
      <c r="B241" s="647"/>
      <c r="C241" s="647"/>
      <c r="D241" s="649"/>
      <c r="E241" s="647"/>
      <c r="F241" s="649"/>
      <c r="G241" s="649"/>
      <c r="H241" s="647"/>
      <c r="I241" s="583"/>
      <c r="J241" s="583"/>
      <c r="K241" s="583"/>
      <c r="L241" s="583"/>
      <c r="M241" s="583"/>
      <c r="N241" s="583"/>
      <c r="O241" s="583"/>
      <c r="P241" s="583"/>
      <c r="Q241" s="583"/>
      <c r="R241" s="583"/>
      <c r="S241" s="583"/>
      <c r="T241" s="583"/>
      <c r="U241" s="583"/>
      <c r="V241" s="583"/>
      <c r="W241" s="583"/>
      <c r="X241" s="583"/>
      <c r="Y241" s="583"/>
      <c r="Z241" s="583"/>
      <c r="AA241" s="583"/>
      <c r="AB241" s="583"/>
      <c r="AC241" s="583"/>
      <c r="AD241" s="583"/>
      <c r="AE241" s="583"/>
      <c r="AF241" s="583"/>
    </row>
    <row r="242" ht="19.5" customHeight="1">
      <c r="A242" s="647"/>
      <c r="B242" s="647"/>
      <c r="C242" s="647"/>
      <c r="D242" s="649"/>
      <c r="E242" s="647"/>
      <c r="F242" s="649"/>
      <c r="G242" s="649"/>
      <c r="H242" s="647"/>
      <c r="I242" s="583"/>
      <c r="J242" s="583"/>
      <c r="K242" s="583"/>
      <c r="L242" s="583"/>
      <c r="M242" s="583"/>
      <c r="N242" s="583"/>
      <c r="O242" s="583"/>
      <c r="P242" s="583"/>
      <c r="Q242" s="583"/>
      <c r="R242" s="583"/>
      <c r="S242" s="583"/>
      <c r="T242" s="583"/>
      <c r="U242" s="583"/>
      <c r="V242" s="583"/>
      <c r="W242" s="583"/>
      <c r="X242" s="583"/>
      <c r="Y242" s="583"/>
      <c r="Z242" s="583"/>
      <c r="AA242" s="583"/>
      <c r="AB242" s="583"/>
      <c r="AC242" s="583"/>
      <c r="AD242" s="583"/>
      <c r="AE242" s="583"/>
      <c r="AF242" s="583"/>
    </row>
    <row r="243" ht="19.5" customHeight="1">
      <c r="A243" s="647"/>
      <c r="B243" s="647"/>
      <c r="C243" s="647"/>
      <c r="D243" s="649"/>
      <c r="E243" s="647"/>
      <c r="F243" s="649"/>
      <c r="G243" s="649"/>
      <c r="H243" s="647"/>
      <c r="I243" s="583"/>
      <c r="J243" s="583"/>
      <c r="K243" s="583"/>
      <c r="L243" s="583"/>
      <c r="M243" s="583"/>
      <c r="N243" s="583"/>
      <c r="O243" s="583"/>
      <c r="P243" s="583"/>
      <c r="Q243" s="583"/>
      <c r="R243" s="583"/>
      <c r="S243" s="583"/>
      <c r="T243" s="583"/>
      <c r="U243" s="583"/>
      <c r="V243" s="583"/>
      <c r="W243" s="583"/>
      <c r="X243" s="583"/>
      <c r="Y243" s="583"/>
      <c r="Z243" s="583"/>
      <c r="AA243" s="583"/>
      <c r="AB243" s="583"/>
      <c r="AC243" s="583"/>
      <c r="AD243" s="583"/>
      <c r="AE243" s="583"/>
      <c r="AF243" s="583"/>
    </row>
    <row r="244" ht="19.5" customHeight="1">
      <c r="A244" s="647"/>
      <c r="B244" s="647"/>
      <c r="C244" s="647"/>
      <c r="D244" s="649"/>
      <c r="E244" s="647"/>
      <c r="F244" s="649"/>
      <c r="G244" s="649"/>
      <c r="H244" s="647"/>
      <c r="I244" s="583"/>
      <c r="J244" s="583"/>
      <c r="K244" s="583"/>
      <c r="L244" s="583"/>
      <c r="M244" s="583"/>
      <c r="N244" s="583"/>
      <c r="O244" s="583"/>
      <c r="P244" s="583"/>
      <c r="Q244" s="583"/>
      <c r="R244" s="583"/>
      <c r="S244" s="583"/>
      <c r="T244" s="583"/>
      <c r="U244" s="583"/>
      <c r="V244" s="583"/>
      <c r="W244" s="583"/>
      <c r="X244" s="583"/>
      <c r="Y244" s="583"/>
      <c r="Z244" s="583"/>
      <c r="AA244" s="583"/>
      <c r="AB244" s="583"/>
      <c r="AC244" s="583"/>
      <c r="AD244" s="583"/>
      <c r="AE244" s="583"/>
      <c r="AF244" s="583"/>
    </row>
    <row r="245" ht="19.5" customHeight="1">
      <c r="A245" s="647"/>
      <c r="B245" s="647"/>
      <c r="C245" s="647"/>
      <c r="D245" s="649"/>
      <c r="E245" s="647"/>
      <c r="F245" s="649"/>
      <c r="G245" s="649"/>
      <c r="H245" s="647"/>
      <c r="I245" s="583"/>
      <c r="J245" s="583"/>
      <c r="K245" s="583"/>
      <c r="L245" s="583"/>
      <c r="M245" s="583"/>
      <c r="N245" s="583"/>
      <c r="O245" s="583"/>
      <c r="P245" s="583"/>
      <c r="Q245" s="583"/>
      <c r="R245" s="583"/>
      <c r="S245" s="583"/>
      <c r="T245" s="583"/>
      <c r="U245" s="583"/>
      <c r="V245" s="583"/>
      <c r="W245" s="583"/>
      <c r="X245" s="583"/>
      <c r="Y245" s="583"/>
      <c r="Z245" s="583"/>
      <c r="AA245" s="583"/>
      <c r="AB245" s="583"/>
      <c r="AC245" s="583"/>
      <c r="AD245" s="583"/>
      <c r="AE245" s="583"/>
      <c r="AF245" s="583"/>
    </row>
    <row r="246" ht="19.5" customHeight="1">
      <c r="A246" s="647"/>
      <c r="B246" s="647"/>
      <c r="C246" s="647"/>
      <c r="D246" s="649"/>
      <c r="E246" s="647"/>
      <c r="F246" s="649"/>
      <c r="G246" s="649"/>
      <c r="H246" s="647"/>
      <c r="I246" s="583"/>
      <c r="J246" s="583"/>
      <c r="K246" s="583"/>
      <c r="L246" s="583"/>
      <c r="M246" s="583"/>
      <c r="N246" s="583"/>
      <c r="O246" s="583"/>
      <c r="P246" s="583"/>
      <c r="Q246" s="583"/>
      <c r="R246" s="583"/>
      <c r="S246" s="583"/>
      <c r="T246" s="583"/>
      <c r="U246" s="583"/>
      <c r="V246" s="583"/>
      <c r="W246" s="583"/>
      <c r="X246" s="583"/>
      <c r="Y246" s="583"/>
      <c r="Z246" s="583"/>
      <c r="AA246" s="583"/>
      <c r="AB246" s="583"/>
      <c r="AC246" s="583"/>
      <c r="AD246" s="583"/>
      <c r="AE246" s="583"/>
      <c r="AF246" s="583"/>
    </row>
    <row r="247" ht="19.5" customHeight="1">
      <c r="A247" s="647"/>
      <c r="B247" s="647"/>
      <c r="C247" s="647"/>
      <c r="D247" s="649"/>
      <c r="E247" s="647"/>
      <c r="F247" s="649"/>
      <c r="G247" s="649"/>
      <c r="H247" s="647"/>
      <c r="I247" s="583"/>
      <c r="J247" s="583"/>
      <c r="K247" s="583"/>
      <c r="L247" s="583"/>
      <c r="M247" s="583"/>
      <c r="N247" s="583"/>
      <c r="O247" s="583"/>
      <c r="P247" s="583"/>
      <c r="Q247" s="583"/>
      <c r="R247" s="583"/>
      <c r="S247" s="583"/>
      <c r="T247" s="583"/>
      <c r="U247" s="583"/>
      <c r="V247" s="583"/>
      <c r="W247" s="583"/>
      <c r="X247" s="583"/>
      <c r="Y247" s="583"/>
      <c r="Z247" s="583"/>
      <c r="AA247" s="583"/>
      <c r="AB247" s="583"/>
      <c r="AC247" s="583"/>
      <c r="AD247" s="583"/>
      <c r="AE247" s="583"/>
      <c r="AF247" s="583"/>
    </row>
    <row r="248" ht="19.5" customHeight="1">
      <c r="A248" s="647"/>
      <c r="B248" s="647"/>
      <c r="C248" s="647"/>
      <c r="D248" s="649"/>
      <c r="E248" s="647"/>
      <c r="F248" s="649"/>
      <c r="G248" s="649"/>
      <c r="H248" s="647"/>
      <c r="I248" s="583"/>
      <c r="J248" s="583"/>
      <c r="K248" s="583"/>
      <c r="L248" s="583"/>
      <c r="M248" s="583"/>
      <c r="N248" s="583"/>
      <c r="O248" s="583"/>
      <c r="P248" s="583"/>
      <c r="Q248" s="583"/>
      <c r="R248" s="583"/>
      <c r="S248" s="583"/>
      <c r="T248" s="583"/>
      <c r="U248" s="583"/>
      <c r="V248" s="583"/>
      <c r="W248" s="583"/>
      <c r="X248" s="583"/>
      <c r="Y248" s="583"/>
      <c r="Z248" s="583"/>
      <c r="AA248" s="583"/>
      <c r="AB248" s="583"/>
      <c r="AC248" s="583"/>
      <c r="AD248" s="583"/>
      <c r="AE248" s="583"/>
      <c r="AF248" s="583"/>
    </row>
    <row r="249" ht="19.5" customHeight="1">
      <c r="A249" s="647"/>
      <c r="B249" s="647"/>
      <c r="C249" s="647"/>
      <c r="D249" s="649"/>
      <c r="E249" s="647"/>
      <c r="F249" s="649"/>
      <c r="G249" s="649"/>
      <c r="H249" s="647"/>
      <c r="I249" s="583"/>
      <c r="J249" s="583"/>
      <c r="K249" s="583"/>
      <c r="L249" s="583"/>
      <c r="M249" s="583"/>
      <c r="N249" s="583"/>
      <c r="O249" s="583"/>
      <c r="P249" s="583"/>
      <c r="Q249" s="583"/>
      <c r="R249" s="583"/>
      <c r="S249" s="583"/>
      <c r="T249" s="583"/>
      <c r="U249" s="583"/>
      <c r="V249" s="583"/>
      <c r="W249" s="583"/>
      <c r="X249" s="583"/>
      <c r="Y249" s="583"/>
      <c r="Z249" s="583"/>
      <c r="AA249" s="583"/>
      <c r="AB249" s="583"/>
      <c r="AC249" s="583"/>
      <c r="AD249" s="583"/>
      <c r="AE249" s="583"/>
      <c r="AF249" s="583"/>
    </row>
    <row r="250" ht="19.5" customHeight="1">
      <c r="A250" s="647"/>
      <c r="B250" s="647"/>
      <c r="C250" s="647"/>
      <c r="D250" s="649"/>
      <c r="E250" s="647"/>
      <c r="F250" s="649"/>
      <c r="G250" s="649"/>
      <c r="H250" s="647"/>
      <c r="I250" s="583"/>
      <c r="J250" s="583"/>
      <c r="K250" s="583"/>
      <c r="L250" s="583"/>
      <c r="M250" s="583"/>
      <c r="N250" s="583"/>
      <c r="O250" s="583"/>
      <c r="P250" s="583"/>
      <c r="Q250" s="583"/>
      <c r="R250" s="583"/>
      <c r="S250" s="583"/>
      <c r="T250" s="583"/>
      <c r="U250" s="583"/>
      <c r="V250" s="583"/>
      <c r="W250" s="583"/>
      <c r="X250" s="583"/>
      <c r="Y250" s="583"/>
      <c r="Z250" s="583"/>
      <c r="AA250" s="583"/>
      <c r="AB250" s="583"/>
      <c r="AC250" s="583"/>
      <c r="AD250" s="583"/>
      <c r="AE250" s="583"/>
      <c r="AF250" s="583"/>
    </row>
    <row r="251" ht="19.5" customHeight="1">
      <c r="A251" s="647"/>
      <c r="B251" s="647"/>
      <c r="C251" s="647"/>
      <c r="D251" s="649"/>
      <c r="E251" s="647"/>
      <c r="F251" s="649"/>
      <c r="G251" s="649"/>
      <c r="H251" s="647"/>
      <c r="I251" s="583"/>
      <c r="J251" s="583"/>
      <c r="K251" s="583"/>
      <c r="L251" s="583"/>
      <c r="M251" s="583"/>
      <c r="N251" s="583"/>
      <c r="O251" s="583"/>
      <c r="P251" s="583"/>
      <c r="Q251" s="583"/>
      <c r="R251" s="583"/>
      <c r="S251" s="583"/>
      <c r="T251" s="583"/>
      <c r="U251" s="583"/>
      <c r="V251" s="583"/>
      <c r="W251" s="583"/>
      <c r="X251" s="583"/>
      <c r="Y251" s="583"/>
      <c r="Z251" s="583"/>
      <c r="AA251" s="583"/>
      <c r="AB251" s="583"/>
      <c r="AC251" s="583"/>
      <c r="AD251" s="583"/>
      <c r="AE251" s="583"/>
      <c r="AF251" s="583"/>
    </row>
    <row r="252" ht="19.5" customHeight="1">
      <c r="A252" s="647"/>
      <c r="B252" s="647"/>
      <c r="C252" s="647"/>
      <c r="D252" s="649"/>
      <c r="E252" s="647"/>
      <c r="F252" s="649"/>
      <c r="G252" s="649"/>
      <c r="H252" s="647"/>
      <c r="I252" s="583"/>
      <c r="J252" s="583"/>
      <c r="K252" s="583"/>
      <c r="L252" s="583"/>
      <c r="M252" s="583"/>
      <c r="N252" s="583"/>
      <c r="O252" s="583"/>
      <c r="P252" s="583"/>
      <c r="Q252" s="583"/>
      <c r="R252" s="583"/>
      <c r="S252" s="583"/>
      <c r="T252" s="583"/>
      <c r="U252" s="583"/>
      <c r="V252" s="583"/>
      <c r="W252" s="583"/>
      <c r="X252" s="583"/>
      <c r="Y252" s="583"/>
      <c r="Z252" s="583"/>
      <c r="AA252" s="583"/>
      <c r="AB252" s="583"/>
      <c r="AC252" s="583"/>
      <c r="AD252" s="583"/>
      <c r="AE252" s="583"/>
      <c r="AF252" s="583"/>
    </row>
    <row r="253" ht="19.5" customHeight="1">
      <c r="A253" s="647"/>
      <c r="B253" s="647"/>
      <c r="C253" s="647"/>
      <c r="D253" s="649"/>
      <c r="E253" s="647"/>
      <c r="F253" s="649"/>
      <c r="G253" s="649"/>
      <c r="H253" s="647"/>
      <c r="I253" s="583"/>
      <c r="J253" s="583"/>
      <c r="K253" s="583"/>
      <c r="L253" s="583"/>
      <c r="M253" s="583"/>
      <c r="N253" s="583"/>
      <c r="O253" s="583"/>
      <c r="P253" s="583"/>
      <c r="Q253" s="583"/>
      <c r="R253" s="583"/>
      <c r="S253" s="583"/>
      <c r="T253" s="583"/>
      <c r="U253" s="583"/>
      <c r="V253" s="583"/>
      <c r="W253" s="583"/>
      <c r="X253" s="583"/>
      <c r="Y253" s="583"/>
      <c r="Z253" s="583"/>
      <c r="AA253" s="583"/>
      <c r="AB253" s="583"/>
      <c r="AC253" s="583"/>
      <c r="AD253" s="583"/>
      <c r="AE253" s="583"/>
      <c r="AF253" s="583"/>
    </row>
    <row r="254" ht="19.5" customHeight="1">
      <c r="A254" s="647"/>
      <c r="B254" s="647"/>
      <c r="C254" s="647"/>
      <c r="D254" s="649"/>
      <c r="E254" s="647"/>
      <c r="F254" s="649"/>
      <c r="G254" s="649"/>
      <c r="H254" s="647"/>
      <c r="I254" s="583"/>
      <c r="J254" s="583"/>
      <c r="K254" s="583"/>
      <c r="L254" s="583"/>
      <c r="M254" s="583"/>
      <c r="N254" s="583"/>
      <c r="O254" s="583"/>
      <c r="P254" s="583"/>
      <c r="Q254" s="583"/>
      <c r="R254" s="583"/>
      <c r="S254" s="583"/>
      <c r="T254" s="583"/>
      <c r="U254" s="583"/>
      <c r="V254" s="583"/>
      <c r="W254" s="583"/>
      <c r="X254" s="583"/>
      <c r="Y254" s="583"/>
      <c r="Z254" s="583"/>
      <c r="AA254" s="583"/>
      <c r="AB254" s="583"/>
      <c r="AC254" s="583"/>
      <c r="AD254" s="583"/>
      <c r="AE254" s="583"/>
      <c r="AF254" s="583"/>
    </row>
    <row r="255" ht="19.5" customHeight="1">
      <c r="A255" s="647"/>
      <c r="B255" s="647"/>
      <c r="C255" s="647"/>
      <c r="D255" s="649"/>
      <c r="E255" s="647"/>
      <c r="F255" s="649"/>
      <c r="G255" s="649"/>
      <c r="H255" s="647"/>
      <c r="I255" s="583"/>
      <c r="J255" s="583"/>
      <c r="K255" s="583"/>
      <c r="L255" s="583"/>
      <c r="M255" s="583"/>
      <c r="N255" s="583"/>
      <c r="O255" s="583"/>
      <c r="P255" s="583"/>
      <c r="Q255" s="583"/>
      <c r="R255" s="583"/>
      <c r="S255" s="583"/>
      <c r="T255" s="583"/>
      <c r="U255" s="583"/>
      <c r="V255" s="583"/>
      <c r="W255" s="583"/>
      <c r="X255" s="583"/>
      <c r="Y255" s="583"/>
      <c r="Z255" s="583"/>
      <c r="AA255" s="583"/>
      <c r="AB255" s="583"/>
      <c r="AC255" s="583"/>
      <c r="AD255" s="583"/>
      <c r="AE255" s="583"/>
      <c r="AF255" s="583"/>
    </row>
    <row r="256" ht="19.5" customHeight="1">
      <c r="A256" s="647"/>
      <c r="B256" s="647"/>
      <c r="C256" s="647"/>
      <c r="D256" s="649"/>
      <c r="E256" s="647"/>
      <c r="F256" s="649"/>
      <c r="G256" s="649"/>
      <c r="H256" s="647"/>
      <c r="I256" s="583"/>
      <c r="J256" s="583"/>
      <c r="K256" s="583"/>
      <c r="L256" s="583"/>
      <c r="M256" s="583"/>
      <c r="N256" s="583"/>
      <c r="O256" s="583"/>
      <c r="P256" s="583"/>
      <c r="Q256" s="583"/>
      <c r="R256" s="583"/>
      <c r="S256" s="583"/>
      <c r="T256" s="583"/>
      <c r="U256" s="583"/>
      <c r="V256" s="583"/>
      <c r="W256" s="583"/>
      <c r="X256" s="583"/>
      <c r="Y256" s="583"/>
      <c r="Z256" s="583"/>
      <c r="AA256" s="583"/>
      <c r="AB256" s="583"/>
      <c r="AC256" s="583"/>
      <c r="AD256" s="583"/>
      <c r="AE256" s="583"/>
      <c r="AF256" s="583"/>
    </row>
    <row r="257" ht="19.5" customHeight="1">
      <c r="A257" s="647"/>
      <c r="B257" s="647"/>
      <c r="C257" s="647"/>
      <c r="D257" s="649"/>
      <c r="E257" s="647"/>
      <c r="F257" s="649"/>
      <c r="G257" s="649"/>
      <c r="H257" s="647"/>
      <c r="I257" s="583"/>
      <c r="J257" s="583"/>
      <c r="K257" s="583"/>
      <c r="L257" s="583"/>
      <c r="M257" s="583"/>
      <c r="N257" s="583"/>
      <c r="O257" s="583"/>
      <c r="P257" s="583"/>
      <c r="Q257" s="583"/>
      <c r="R257" s="583"/>
      <c r="S257" s="583"/>
      <c r="T257" s="583"/>
      <c r="U257" s="583"/>
      <c r="V257" s="583"/>
      <c r="W257" s="583"/>
      <c r="X257" s="583"/>
      <c r="Y257" s="583"/>
      <c r="Z257" s="583"/>
      <c r="AA257" s="583"/>
      <c r="AB257" s="583"/>
      <c r="AC257" s="583"/>
      <c r="AD257" s="583"/>
      <c r="AE257" s="583"/>
      <c r="AF257" s="583"/>
    </row>
    <row r="258" ht="19.5" customHeight="1">
      <c r="A258" s="647"/>
      <c r="B258" s="647"/>
      <c r="C258" s="647"/>
      <c r="D258" s="649"/>
      <c r="E258" s="647"/>
      <c r="F258" s="649"/>
      <c r="G258" s="649"/>
      <c r="H258" s="647"/>
      <c r="I258" s="583"/>
      <c r="J258" s="583"/>
      <c r="K258" s="583"/>
      <c r="L258" s="583"/>
      <c r="M258" s="583"/>
      <c r="N258" s="583"/>
      <c r="O258" s="583"/>
      <c r="P258" s="583"/>
      <c r="Q258" s="583"/>
      <c r="R258" s="583"/>
      <c r="S258" s="583"/>
      <c r="T258" s="583"/>
      <c r="U258" s="583"/>
      <c r="V258" s="583"/>
      <c r="W258" s="583"/>
      <c r="X258" s="583"/>
      <c r="Y258" s="583"/>
      <c r="Z258" s="583"/>
      <c r="AA258" s="583"/>
      <c r="AB258" s="583"/>
      <c r="AC258" s="583"/>
      <c r="AD258" s="583"/>
      <c r="AE258" s="583"/>
      <c r="AF258" s="583"/>
    </row>
    <row r="259" ht="19.5" customHeight="1">
      <c r="A259" s="647"/>
      <c r="B259" s="647"/>
      <c r="C259" s="647"/>
      <c r="D259" s="649"/>
      <c r="E259" s="647"/>
      <c r="F259" s="649"/>
      <c r="G259" s="649"/>
      <c r="H259" s="647"/>
      <c r="I259" s="583"/>
      <c r="J259" s="583"/>
      <c r="K259" s="583"/>
      <c r="L259" s="583"/>
      <c r="M259" s="583"/>
      <c r="N259" s="583"/>
      <c r="O259" s="583"/>
      <c r="P259" s="583"/>
      <c r="Q259" s="583"/>
      <c r="R259" s="583"/>
      <c r="S259" s="583"/>
      <c r="T259" s="583"/>
      <c r="U259" s="583"/>
      <c r="V259" s="583"/>
      <c r="W259" s="583"/>
      <c r="X259" s="583"/>
      <c r="Y259" s="583"/>
      <c r="Z259" s="583"/>
      <c r="AA259" s="583"/>
      <c r="AB259" s="583"/>
      <c r="AC259" s="583"/>
      <c r="AD259" s="583"/>
      <c r="AE259" s="583"/>
      <c r="AF259" s="583"/>
    </row>
    <row r="260" ht="19.5" customHeight="1">
      <c r="A260" s="647"/>
      <c r="B260" s="647"/>
      <c r="C260" s="647"/>
      <c r="D260" s="649"/>
      <c r="E260" s="647"/>
      <c r="F260" s="649"/>
      <c r="G260" s="649"/>
      <c r="H260" s="647"/>
      <c r="I260" s="583"/>
      <c r="J260" s="583"/>
      <c r="K260" s="583"/>
      <c r="L260" s="583"/>
      <c r="M260" s="583"/>
      <c r="N260" s="583"/>
      <c r="O260" s="583"/>
      <c r="P260" s="583"/>
      <c r="Q260" s="583"/>
      <c r="R260" s="583"/>
      <c r="S260" s="583"/>
      <c r="T260" s="583"/>
      <c r="U260" s="583"/>
      <c r="V260" s="583"/>
      <c r="W260" s="583"/>
      <c r="X260" s="583"/>
      <c r="Y260" s="583"/>
      <c r="Z260" s="583"/>
      <c r="AA260" s="583"/>
      <c r="AB260" s="583"/>
      <c r="AC260" s="583"/>
      <c r="AD260" s="583"/>
      <c r="AE260" s="583"/>
      <c r="AF260" s="583"/>
    </row>
    <row r="261" ht="19.5" customHeight="1">
      <c r="A261" s="647"/>
      <c r="B261" s="647"/>
      <c r="C261" s="647"/>
      <c r="D261" s="649"/>
      <c r="E261" s="647"/>
      <c r="F261" s="649"/>
      <c r="G261" s="649"/>
      <c r="H261" s="647"/>
      <c r="I261" s="583"/>
      <c r="J261" s="583"/>
      <c r="K261" s="583"/>
      <c r="L261" s="583"/>
      <c r="M261" s="583"/>
      <c r="N261" s="583"/>
      <c r="O261" s="583"/>
      <c r="P261" s="583"/>
      <c r="Q261" s="583"/>
      <c r="R261" s="583"/>
      <c r="S261" s="583"/>
      <c r="T261" s="583"/>
      <c r="U261" s="583"/>
      <c r="V261" s="583"/>
      <c r="W261" s="583"/>
      <c r="X261" s="583"/>
      <c r="Y261" s="583"/>
      <c r="Z261" s="583"/>
      <c r="AA261" s="583"/>
      <c r="AB261" s="583"/>
      <c r="AC261" s="583"/>
      <c r="AD261" s="583"/>
      <c r="AE261" s="583"/>
      <c r="AF261" s="583"/>
    </row>
    <row r="262" ht="19.5" customHeight="1">
      <c r="A262" s="647"/>
      <c r="B262" s="647"/>
      <c r="C262" s="647"/>
      <c r="D262" s="649"/>
      <c r="E262" s="647"/>
      <c r="F262" s="649"/>
      <c r="G262" s="649"/>
      <c r="H262" s="647"/>
      <c r="I262" s="583"/>
      <c r="J262" s="583"/>
      <c r="K262" s="583"/>
      <c r="L262" s="583"/>
      <c r="M262" s="583"/>
      <c r="N262" s="583"/>
      <c r="O262" s="583"/>
      <c r="P262" s="583"/>
      <c r="Q262" s="583"/>
      <c r="R262" s="583"/>
      <c r="S262" s="583"/>
      <c r="T262" s="583"/>
      <c r="U262" s="583"/>
      <c r="V262" s="583"/>
      <c r="W262" s="583"/>
      <c r="X262" s="583"/>
      <c r="Y262" s="583"/>
      <c r="Z262" s="583"/>
      <c r="AA262" s="583"/>
      <c r="AB262" s="583"/>
      <c r="AC262" s="583"/>
      <c r="AD262" s="583"/>
      <c r="AE262" s="583"/>
      <c r="AF262" s="583"/>
    </row>
    <row r="263" ht="19.5" customHeight="1">
      <c r="A263" s="647"/>
      <c r="B263" s="647"/>
      <c r="C263" s="647"/>
      <c r="D263" s="649"/>
      <c r="E263" s="647"/>
      <c r="F263" s="649"/>
      <c r="G263" s="649"/>
      <c r="H263" s="647"/>
      <c r="I263" s="583"/>
      <c r="J263" s="583"/>
      <c r="K263" s="583"/>
      <c r="L263" s="583"/>
      <c r="M263" s="583"/>
      <c r="N263" s="583"/>
      <c r="O263" s="583"/>
      <c r="P263" s="583"/>
      <c r="Q263" s="583"/>
      <c r="R263" s="583"/>
      <c r="S263" s="583"/>
      <c r="T263" s="583"/>
      <c r="U263" s="583"/>
      <c r="V263" s="583"/>
      <c r="W263" s="583"/>
      <c r="X263" s="583"/>
      <c r="Y263" s="583"/>
      <c r="Z263" s="583"/>
      <c r="AA263" s="583"/>
      <c r="AB263" s="583"/>
      <c r="AC263" s="583"/>
      <c r="AD263" s="583"/>
      <c r="AE263" s="583"/>
      <c r="AF263" s="583"/>
    </row>
    <row r="264" ht="19.5" customHeight="1">
      <c r="A264" s="647"/>
      <c r="B264" s="647"/>
      <c r="C264" s="647"/>
      <c r="D264" s="649"/>
      <c r="E264" s="647"/>
      <c r="F264" s="649"/>
      <c r="G264" s="649"/>
      <c r="H264" s="647"/>
      <c r="I264" s="583"/>
      <c r="J264" s="583"/>
      <c r="K264" s="583"/>
      <c r="L264" s="583"/>
      <c r="M264" s="583"/>
      <c r="N264" s="583"/>
      <c r="O264" s="583"/>
      <c r="P264" s="583"/>
      <c r="Q264" s="583"/>
      <c r="R264" s="583"/>
      <c r="S264" s="583"/>
      <c r="T264" s="583"/>
      <c r="U264" s="583"/>
      <c r="V264" s="583"/>
      <c r="W264" s="583"/>
      <c r="X264" s="583"/>
      <c r="Y264" s="583"/>
      <c r="Z264" s="583"/>
      <c r="AA264" s="583"/>
      <c r="AB264" s="583"/>
      <c r="AC264" s="583"/>
      <c r="AD264" s="583"/>
      <c r="AE264" s="583"/>
      <c r="AF264" s="583"/>
    </row>
    <row r="265" ht="19.5" customHeight="1">
      <c r="A265" s="647"/>
      <c r="B265" s="647"/>
      <c r="C265" s="647"/>
      <c r="D265" s="649"/>
      <c r="E265" s="647"/>
      <c r="F265" s="649"/>
      <c r="G265" s="649"/>
      <c r="H265" s="647"/>
      <c r="I265" s="583"/>
      <c r="J265" s="583"/>
      <c r="K265" s="583"/>
      <c r="L265" s="583"/>
      <c r="M265" s="583"/>
      <c r="N265" s="583"/>
      <c r="O265" s="583"/>
      <c r="P265" s="583"/>
      <c r="Q265" s="583"/>
      <c r="R265" s="583"/>
      <c r="S265" s="583"/>
      <c r="T265" s="583"/>
      <c r="U265" s="583"/>
      <c r="V265" s="583"/>
      <c r="W265" s="583"/>
      <c r="X265" s="583"/>
      <c r="Y265" s="583"/>
      <c r="Z265" s="583"/>
      <c r="AA265" s="583"/>
      <c r="AB265" s="583"/>
      <c r="AC265" s="583"/>
      <c r="AD265" s="583"/>
      <c r="AE265" s="583"/>
      <c r="AF265" s="583"/>
    </row>
    <row r="266" ht="19.5" customHeight="1">
      <c r="A266" s="647"/>
      <c r="B266" s="647"/>
      <c r="C266" s="647"/>
      <c r="D266" s="649"/>
      <c r="E266" s="647"/>
      <c r="F266" s="649"/>
      <c r="G266" s="649"/>
      <c r="H266" s="647"/>
      <c r="I266" s="583"/>
      <c r="J266" s="583"/>
      <c r="K266" s="583"/>
      <c r="L266" s="583"/>
      <c r="M266" s="583"/>
      <c r="N266" s="583"/>
      <c r="O266" s="583"/>
      <c r="P266" s="583"/>
      <c r="Q266" s="583"/>
      <c r="R266" s="583"/>
      <c r="S266" s="583"/>
      <c r="T266" s="583"/>
      <c r="U266" s="583"/>
      <c r="V266" s="583"/>
      <c r="W266" s="583"/>
      <c r="X266" s="583"/>
      <c r="Y266" s="583"/>
      <c r="Z266" s="583"/>
      <c r="AA266" s="583"/>
      <c r="AB266" s="583"/>
      <c r="AC266" s="583"/>
      <c r="AD266" s="583"/>
      <c r="AE266" s="583"/>
      <c r="AF266" s="583"/>
    </row>
    <row r="267" ht="19.5" customHeight="1">
      <c r="A267" s="647"/>
      <c r="B267" s="647"/>
      <c r="C267" s="647"/>
      <c r="D267" s="649"/>
      <c r="E267" s="647"/>
      <c r="F267" s="649"/>
      <c r="G267" s="649"/>
      <c r="H267" s="647"/>
      <c r="I267" s="583"/>
      <c r="J267" s="583"/>
      <c r="K267" s="583"/>
      <c r="L267" s="583"/>
      <c r="M267" s="583"/>
      <c r="N267" s="583"/>
      <c r="O267" s="583"/>
      <c r="P267" s="583"/>
      <c r="Q267" s="583"/>
      <c r="R267" s="583"/>
      <c r="S267" s="583"/>
      <c r="T267" s="583"/>
      <c r="U267" s="583"/>
      <c r="V267" s="583"/>
      <c r="W267" s="583"/>
      <c r="X267" s="583"/>
      <c r="Y267" s="583"/>
      <c r="Z267" s="583"/>
      <c r="AA267" s="583"/>
      <c r="AB267" s="583"/>
      <c r="AC267" s="583"/>
      <c r="AD267" s="583"/>
      <c r="AE267" s="583"/>
      <c r="AF267" s="583"/>
    </row>
    <row r="268" ht="19.5" customHeight="1">
      <c r="A268" s="647"/>
      <c r="B268" s="647"/>
      <c r="C268" s="647"/>
      <c r="D268" s="649"/>
      <c r="E268" s="647"/>
      <c r="F268" s="649"/>
      <c r="G268" s="649"/>
      <c r="H268" s="647"/>
      <c r="I268" s="583"/>
      <c r="J268" s="583"/>
      <c r="K268" s="583"/>
      <c r="L268" s="583"/>
      <c r="M268" s="583"/>
      <c r="N268" s="583"/>
      <c r="O268" s="583"/>
      <c r="P268" s="583"/>
      <c r="Q268" s="583"/>
      <c r="R268" s="583"/>
      <c r="S268" s="583"/>
      <c r="T268" s="583"/>
      <c r="U268" s="583"/>
      <c r="V268" s="583"/>
      <c r="W268" s="583"/>
      <c r="X268" s="583"/>
      <c r="Y268" s="583"/>
      <c r="Z268" s="583"/>
      <c r="AA268" s="583"/>
      <c r="AB268" s="583"/>
      <c r="AC268" s="583"/>
      <c r="AD268" s="583"/>
      <c r="AE268" s="583"/>
      <c r="AF268" s="583"/>
    </row>
    <row r="269" ht="19.5" customHeight="1">
      <c r="A269" s="647"/>
      <c r="B269" s="647"/>
      <c r="C269" s="647"/>
      <c r="D269" s="649"/>
      <c r="E269" s="647"/>
      <c r="F269" s="649"/>
      <c r="G269" s="649"/>
      <c r="H269" s="647"/>
      <c r="I269" s="583"/>
      <c r="J269" s="583"/>
      <c r="K269" s="583"/>
      <c r="L269" s="583"/>
      <c r="M269" s="583"/>
      <c r="N269" s="583"/>
      <c r="O269" s="583"/>
      <c r="P269" s="583"/>
      <c r="Q269" s="583"/>
      <c r="R269" s="583"/>
      <c r="S269" s="583"/>
      <c r="T269" s="583"/>
      <c r="U269" s="583"/>
      <c r="V269" s="583"/>
      <c r="W269" s="583"/>
      <c r="X269" s="583"/>
      <c r="Y269" s="583"/>
      <c r="Z269" s="583"/>
      <c r="AA269" s="583"/>
      <c r="AB269" s="583"/>
      <c r="AC269" s="583"/>
      <c r="AD269" s="583"/>
      <c r="AE269" s="583"/>
      <c r="AF269" s="583"/>
    </row>
    <row r="270" ht="19.5" customHeight="1">
      <c r="A270" s="647"/>
      <c r="B270" s="647"/>
      <c r="C270" s="647"/>
      <c r="D270" s="649"/>
      <c r="E270" s="647"/>
      <c r="F270" s="649"/>
      <c r="G270" s="649"/>
      <c r="H270" s="647"/>
      <c r="I270" s="583"/>
      <c r="J270" s="583"/>
      <c r="K270" s="583"/>
      <c r="L270" s="583"/>
      <c r="M270" s="583"/>
      <c r="N270" s="583"/>
      <c r="O270" s="583"/>
      <c r="P270" s="583"/>
      <c r="Q270" s="583"/>
      <c r="R270" s="583"/>
      <c r="S270" s="583"/>
      <c r="T270" s="583"/>
      <c r="U270" s="583"/>
      <c r="V270" s="583"/>
      <c r="W270" s="583"/>
      <c r="X270" s="583"/>
      <c r="Y270" s="583"/>
      <c r="Z270" s="583"/>
      <c r="AA270" s="583"/>
      <c r="AB270" s="583"/>
      <c r="AC270" s="583"/>
      <c r="AD270" s="583"/>
      <c r="AE270" s="583"/>
      <c r="AF270" s="583"/>
    </row>
    <row r="271" ht="19.5" customHeight="1">
      <c r="A271" s="647"/>
      <c r="B271" s="647"/>
      <c r="C271" s="647"/>
      <c r="D271" s="649"/>
      <c r="E271" s="647"/>
      <c r="F271" s="649"/>
      <c r="G271" s="649"/>
      <c r="H271" s="647"/>
      <c r="I271" s="583"/>
      <c r="J271" s="583"/>
      <c r="K271" s="583"/>
      <c r="L271" s="583"/>
      <c r="M271" s="583"/>
      <c r="N271" s="583"/>
      <c r="O271" s="583"/>
      <c r="P271" s="583"/>
      <c r="Q271" s="583"/>
      <c r="R271" s="583"/>
      <c r="S271" s="583"/>
      <c r="T271" s="583"/>
      <c r="U271" s="583"/>
      <c r="V271" s="583"/>
      <c r="W271" s="583"/>
      <c r="X271" s="583"/>
      <c r="Y271" s="583"/>
      <c r="Z271" s="583"/>
      <c r="AA271" s="583"/>
      <c r="AB271" s="583"/>
      <c r="AC271" s="583"/>
      <c r="AD271" s="583"/>
      <c r="AE271" s="583"/>
      <c r="AF271" s="583"/>
    </row>
    <row r="272" ht="19.5" customHeight="1">
      <c r="A272" s="647"/>
      <c r="B272" s="647"/>
      <c r="C272" s="647"/>
      <c r="D272" s="649"/>
      <c r="E272" s="647"/>
      <c r="F272" s="649"/>
      <c r="G272" s="649"/>
      <c r="H272" s="647"/>
      <c r="I272" s="583"/>
      <c r="J272" s="583"/>
      <c r="K272" s="583"/>
      <c r="L272" s="583"/>
      <c r="M272" s="583"/>
      <c r="N272" s="583"/>
      <c r="O272" s="583"/>
      <c r="P272" s="583"/>
      <c r="Q272" s="583"/>
      <c r="R272" s="583"/>
      <c r="S272" s="583"/>
      <c r="T272" s="583"/>
      <c r="U272" s="583"/>
      <c r="V272" s="583"/>
      <c r="W272" s="583"/>
      <c r="X272" s="583"/>
      <c r="Y272" s="583"/>
      <c r="Z272" s="583"/>
      <c r="AA272" s="583"/>
      <c r="AB272" s="583"/>
      <c r="AC272" s="583"/>
      <c r="AD272" s="583"/>
      <c r="AE272" s="583"/>
      <c r="AF272" s="583"/>
    </row>
    <row r="273" ht="19.5" customHeight="1">
      <c r="A273" s="647"/>
      <c r="B273" s="647"/>
      <c r="C273" s="647"/>
      <c r="D273" s="649"/>
      <c r="E273" s="647"/>
      <c r="F273" s="649"/>
      <c r="G273" s="649"/>
      <c r="H273" s="647"/>
      <c r="I273" s="583"/>
      <c r="J273" s="583"/>
      <c r="K273" s="583"/>
      <c r="L273" s="583"/>
      <c r="M273" s="583"/>
      <c r="N273" s="583"/>
      <c r="O273" s="583"/>
      <c r="P273" s="583"/>
      <c r="Q273" s="583"/>
      <c r="R273" s="583"/>
      <c r="S273" s="583"/>
      <c r="T273" s="583"/>
      <c r="U273" s="583"/>
      <c r="V273" s="583"/>
      <c r="W273" s="583"/>
      <c r="X273" s="583"/>
      <c r="Y273" s="583"/>
      <c r="Z273" s="583"/>
      <c r="AA273" s="583"/>
      <c r="AB273" s="583"/>
      <c r="AC273" s="583"/>
      <c r="AD273" s="583"/>
      <c r="AE273" s="583"/>
      <c r="AF273" s="583"/>
    </row>
    <row r="274" ht="19.5" customHeight="1">
      <c r="A274" s="647"/>
      <c r="B274" s="647"/>
      <c r="C274" s="647"/>
      <c r="D274" s="649"/>
      <c r="E274" s="647"/>
      <c r="F274" s="649"/>
      <c r="G274" s="649"/>
      <c r="H274" s="647"/>
      <c r="I274" s="583"/>
      <c r="J274" s="583"/>
      <c r="K274" s="583"/>
      <c r="L274" s="583"/>
      <c r="M274" s="583"/>
      <c r="N274" s="583"/>
      <c r="O274" s="583"/>
      <c r="P274" s="583"/>
      <c r="Q274" s="583"/>
      <c r="R274" s="583"/>
      <c r="S274" s="583"/>
      <c r="T274" s="583"/>
      <c r="U274" s="583"/>
      <c r="V274" s="583"/>
      <c r="W274" s="583"/>
      <c r="X274" s="583"/>
      <c r="Y274" s="583"/>
      <c r="Z274" s="583"/>
      <c r="AA274" s="583"/>
      <c r="AB274" s="583"/>
      <c r="AC274" s="583"/>
      <c r="AD274" s="583"/>
      <c r="AE274" s="583"/>
      <c r="AF274" s="583"/>
    </row>
    <row r="275" ht="19.5" customHeight="1">
      <c r="A275" s="647"/>
      <c r="B275" s="647"/>
      <c r="C275" s="647"/>
      <c r="D275" s="649"/>
      <c r="E275" s="647"/>
      <c r="F275" s="649"/>
      <c r="G275" s="649"/>
      <c r="H275" s="647"/>
      <c r="I275" s="583"/>
      <c r="J275" s="583"/>
      <c r="K275" s="583"/>
      <c r="L275" s="583"/>
      <c r="M275" s="583"/>
      <c r="N275" s="583"/>
      <c r="O275" s="583"/>
      <c r="P275" s="583"/>
      <c r="Q275" s="583"/>
      <c r="R275" s="583"/>
      <c r="S275" s="583"/>
      <c r="T275" s="583"/>
      <c r="U275" s="583"/>
      <c r="V275" s="583"/>
      <c r="W275" s="583"/>
      <c r="X275" s="583"/>
      <c r="Y275" s="583"/>
      <c r="Z275" s="583"/>
      <c r="AA275" s="583"/>
      <c r="AB275" s="583"/>
      <c r="AC275" s="583"/>
      <c r="AD275" s="583"/>
      <c r="AE275" s="583"/>
      <c r="AF275" s="583"/>
    </row>
    <row r="276" ht="19.5" customHeight="1">
      <c r="A276" s="647"/>
      <c r="B276" s="647"/>
      <c r="C276" s="647"/>
      <c r="D276" s="649"/>
      <c r="E276" s="647"/>
      <c r="F276" s="649"/>
      <c r="G276" s="649"/>
      <c r="H276" s="647"/>
      <c r="I276" s="583"/>
      <c r="J276" s="583"/>
      <c r="K276" s="583"/>
      <c r="L276" s="583"/>
      <c r="M276" s="583"/>
      <c r="N276" s="583"/>
      <c r="O276" s="583"/>
      <c r="P276" s="583"/>
      <c r="Q276" s="583"/>
      <c r="R276" s="583"/>
      <c r="S276" s="583"/>
      <c r="T276" s="583"/>
      <c r="U276" s="583"/>
      <c r="V276" s="583"/>
      <c r="W276" s="583"/>
      <c r="X276" s="583"/>
      <c r="Y276" s="583"/>
      <c r="Z276" s="583"/>
      <c r="AA276" s="583"/>
      <c r="AB276" s="583"/>
      <c r="AC276" s="583"/>
      <c r="AD276" s="583"/>
      <c r="AE276" s="583"/>
      <c r="AF276" s="583"/>
    </row>
    <row r="277" ht="19.5" customHeight="1">
      <c r="A277" s="647"/>
      <c r="B277" s="647"/>
      <c r="C277" s="647"/>
      <c r="D277" s="649"/>
      <c r="E277" s="647"/>
      <c r="F277" s="649"/>
      <c r="G277" s="649"/>
      <c r="H277" s="647"/>
      <c r="I277" s="583"/>
      <c r="J277" s="583"/>
      <c r="K277" s="583"/>
      <c r="L277" s="583"/>
      <c r="M277" s="583"/>
      <c r="N277" s="583"/>
      <c r="O277" s="583"/>
      <c r="P277" s="583"/>
      <c r="Q277" s="583"/>
      <c r="R277" s="583"/>
      <c r="S277" s="583"/>
      <c r="T277" s="583"/>
      <c r="U277" s="583"/>
      <c r="V277" s="583"/>
      <c r="W277" s="583"/>
      <c r="X277" s="583"/>
      <c r="Y277" s="583"/>
      <c r="Z277" s="583"/>
      <c r="AA277" s="583"/>
      <c r="AB277" s="583"/>
      <c r="AC277" s="583"/>
      <c r="AD277" s="583"/>
      <c r="AE277" s="583"/>
      <c r="AF277" s="583"/>
    </row>
    <row r="278" ht="19.5" customHeight="1">
      <c r="A278" s="647"/>
      <c r="B278" s="647"/>
      <c r="C278" s="647"/>
      <c r="D278" s="649"/>
      <c r="E278" s="647"/>
      <c r="F278" s="649"/>
      <c r="G278" s="649"/>
      <c r="H278" s="647"/>
      <c r="I278" s="583"/>
      <c r="J278" s="583"/>
      <c r="K278" s="583"/>
      <c r="L278" s="583"/>
      <c r="M278" s="583"/>
      <c r="N278" s="583"/>
      <c r="O278" s="583"/>
      <c r="P278" s="583"/>
      <c r="Q278" s="583"/>
      <c r="R278" s="583"/>
      <c r="S278" s="583"/>
      <c r="T278" s="583"/>
      <c r="U278" s="583"/>
      <c r="V278" s="583"/>
      <c r="W278" s="583"/>
      <c r="X278" s="583"/>
      <c r="Y278" s="583"/>
      <c r="Z278" s="583"/>
      <c r="AA278" s="583"/>
      <c r="AB278" s="583"/>
      <c r="AC278" s="583"/>
      <c r="AD278" s="583"/>
      <c r="AE278" s="583"/>
      <c r="AF278" s="583"/>
    </row>
    <row r="279" ht="19.5" customHeight="1">
      <c r="A279" s="647"/>
      <c r="B279" s="647"/>
      <c r="C279" s="647"/>
      <c r="D279" s="649"/>
      <c r="E279" s="647"/>
      <c r="F279" s="649"/>
      <c r="G279" s="649"/>
      <c r="H279" s="647"/>
      <c r="I279" s="583"/>
      <c r="J279" s="583"/>
      <c r="K279" s="583"/>
      <c r="L279" s="583"/>
      <c r="M279" s="583"/>
      <c r="N279" s="583"/>
      <c r="O279" s="583"/>
      <c r="P279" s="583"/>
      <c r="Q279" s="583"/>
      <c r="R279" s="583"/>
      <c r="S279" s="583"/>
      <c r="T279" s="583"/>
      <c r="U279" s="583"/>
      <c r="V279" s="583"/>
      <c r="W279" s="583"/>
      <c r="X279" s="583"/>
      <c r="Y279" s="583"/>
      <c r="Z279" s="583"/>
      <c r="AA279" s="583"/>
      <c r="AB279" s="583"/>
      <c r="AC279" s="583"/>
      <c r="AD279" s="583"/>
      <c r="AE279" s="583"/>
      <c r="AF279" s="583"/>
    </row>
    <row r="280" ht="19.5" customHeight="1">
      <c r="A280" s="647"/>
      <c r="B280" s="647"/>
      <c r="C280" s="647"/>
      <c r="D280" s="649"/>
      <c r="E280" s="647"/>
      <c r="F280" s="649"/>
      <c r="G280" s="649"/>
      <c r="H280" s="647"/>
      <c r="I280" s="583"/>
      <c r="J280" s="583"/>
      <c r="K280" s="583"/>
      <c r="L280" s="583"/>
      <c r="M280" s="583"/>
      <c r="N280" s="583"/>
      <c r="O280" s="583"/>
      <c r="P280" s="583"/>
      <c r="Q280" s="583"/>
      <c r="R280" s="583"/>
      <c r="S280" s="583"/>
      <c r="T280" s="583"/>
      <c r="U280" s="583"/>
      <c r="V280" s="583"/>
      <c r="W280" s="583"/>
      <c r="X280" s="583"/>
      <c r="Y280" s="583"/>
      <c r="Z280" s="583"/>
      <c r="AA280" s="583"/>
      <c r="AB280" s="583"/>
      <c r="AC280" s="583"/>
      <c r="AD280" s="583"/>
      <c r="AE280" s="583"/>
      <c r="AF280" s="583"/>
    </row>
    <row r="281" ht="19.5" customHeight="1">
      <c r="A281" s="647"/>
      <c r="B281" s="647"/>
      <c r="C281" s="647"/>
      <c r="D281" s="649"/>
      <c r="E281" s="647"/>
      <c r="F281" s="649"/>
      <c r="G281" s="649"/>
      <c r="H281" s="647"/>
      <c r="I281" s="583"/>
      <c r="J281" s="583"/>
      <c r="K281" s="583"/>
      <c r="L281" s="583"/>
      <c r="M281" s="583"/>
      <c r="N281" s="583"/>
      <c r="O281" s="583"/>
      <c r="P281" s="583"/>
      <c r="Q281" s="583"/>
      <c r="R281" s="583"/>
      <c r="S281" s="583"/>
      <c r="T281" s="583"/>
      <c r="U281" s="583"/>
      <c r="V281" s="583"/>
      <c r="W281" s="583"/>
      <c r="X281" s="583"/>
      <c r="Y281" s="583"/>
      <c r="Z281" s="583"/>
      <c r="AA281" s="583"/>
      <c r="AB281" s="583"/>
      <c r="AC281" s="583"/>
      <c r="AD281" s="583"/>
      <c r="AE281" s="583"/>
      <c r="AF281" s="583"/>
    </row>
    <row r="282" ht="19.5" customHeight="1">
      <c r="A282" s="647"/>
      <c r="B282" s="647"/>
      <c r="C282" s="647"/>
      <c r="D282" s="649"/>
      <c r="E282" s="647"/>
      <c r="F282" s="649"/>
      <c r="G282" s="649"/>
      <c r="H282" s="647"/>
      <c r="I282" s="583"/>
      <c r="J282" s="583"/>
      <c r="K282" s="583"/>
      <c r="L282" s="583"/>
      <c r="M282" s="583"/>
      <c r="N282" s="583"/>
      <c r="O282" s="583"/>
      <c r="P282" s="583"/>
      <c r="Q282" s="583"/>
      <c r="R282" s="583"/>
      <c r="S282" s="583"/>
      <c r="T282" s="583"/>
      <c r="U282" s="583"/>
      <c r="V282" s="583"/>
      <c r="W282" s="583"/>
      <c r="X282" s="583"/>
      <c r="Y282" s="583"/>
      <c r="Z282" s="583"/>
      <c r="AA282" s="583"/>
      <c r="AB282" s="583"/>
      <c r="AC282" s="583"/>
      <c r="AD282" s="583"/>
      <c r="AE282" s="583"/>
      <c r="AF282" s="583"/>
    </row>
    <row r="283" ht="19.5" customHeight="1">
      <c r="A283" s="647"/>
      <c r="B283" s="647"/>
      <c r="C283" s="647"/>
      <c r="D283" s="649"/>
      <c r="E283" s="647"/>
      <c r="F283" s="649"/>
      <c r="G283" s="649"/>
      <c r="H283" s="647"/>
      <c r="I283" s="583"/>
      <c r="J283" s="583"/>
      <c r="K283" s="583"/>
      <c r="L283" s="583"/>
      <c r="M283" s="583"/>
      <c r="N283" s="583"/>
      <c r="O283" s="583"/>
      <c r="P283" s="583"/>
      <c r="Q283" s="583"/>
      <c r="R283" s="583"/>
      <c r="S283" s="583"/>
      <c r="T283" s="583"/>
      <c r="U283" s="583"/>
      <c r="V283" s="583"/>
      <c r="W283" s="583"/>
      <c r="X283" s="583"/>
      <c r="Y283" s="583"/>
      <c r="Z283" s="583"/>
      <c r="AA283" s="583"/>
      <c r="AB283" s="583"/>
      <c r="AC283" s="583"/>
      <c r="AD283" s="583"/>
      <c r="AE283" s="583"/>
      <c r="AF283" s="583"/>
    </row>
    <row r="284" ht="19.5" customHeight="1">
      <c r="A284" s="647"/>
      <c r="B284" s="647"/>
      <c r="C284" s="647"/>
      <c r="D284" s="649"/>
      <c r="E284" s="647"/>
      <c r="F284" s="649"/>
      <c r="G284" s="649"/>
      <c r="H284" s="647"/>
      <c r="I284" s="583"/>
      <c r="J284" s="583"/>
      <c r="K284" s="583"/>
      <c r="L284" s="583"/>
      <c r="M284" s="583"/>
      <c r="N284" s="583"/>
      <c r="O284" s="583"/>
      <c r="P284" s="583"/>
      <c r="Q284" s="583"/>
      <c r="R284" s="583"/>
      <c r="S284" s="583"/>
      <c r="T284" s="583"/>
      <c r="U284" s="583"/>
      <c r="V284" s="583"/>
      <c r="W284" s="583"/>
      <c r="X284" s="583"/>
      <c r="Y284" s="583"/>
      <c r="Z284" s="583"/>
      <c r="AA284" s="583"/>
      <c r="AB284" s="583"/>
      <c r="AC284" s="583"/>
      <c r="AD284" s="583"/>
      <c r="AE284" s="583"/>
      <c r="AF284" s="583"/>
    </row>
    <row r="285" ht="19.5" customHeight="1">
      <c r="A285" s="647"/>
      <c r="B285" s="647"/>
      <c r="C285" s="647"/>
      <c r="D285" s="649"/>
      <c r="E285" s="647"/>
      <c r="F285" s="649"/>
      <c r="G285" s="649"/>
      <c r="H285" s="647"/>
      <c r="I285" s="583"/>
      <c r="J285" s="583"/>
      <c r="K285" s="583"/>
      <c r="L285" s="583"/>
      <c r="M285" s="583"/>
      <c r="N285" s="583"/>
      <c r="O285" s="583"/>
      <c r="P285" s="583"/>
      <c r="Q285" s="583"/>
      <c r="R285" s="583"/>
      <c r="S285" s="583"/>
      <c r="T285" s="583"/>
      <c r="U285" s="583"/>
      <c r="V285" s="583"/>
      <c r="W285" s="583"/>
      <c r="X285" s="583"/>
      <c r="Y285" s="583"/>
      <c r="Z285" s="583"/>
      <c r="AA285" s="583"/>
      <c r="AB285" s="583"/>
      <c r="AC285" s="583"/>
      <c r="AD285" s="583"/>
      <c r="AE285" s="583"/>
      <c r="AF285" s="583"/>
    </row>
    <row r="286" ht="19.5" customHeight="1">
      <c r="A286" s="647"/>
      <c r="B286" s="647"/>
      <c r="C286" s="647"/>
      <c r="D286" s="649"/>
      <c r="E286" s="647"/>
      <c r="F286" s="649"/>
      <c r="G286" s="649"/>
      <c r="H286" s="647"/>
      <c r="I286" s="583"/>
      <c r="J286" s="583"/>
      <c r="K286" s="583"/>
      <c r="L286" s="583"/>
      <c r="M286" s="583"/>
      <c r="N286" s="583"/>
      <c r="O286" s="583"/>
      <c r="P286" s="583"/>
      <c r="Q286" s="583"/>
      <c r="R286" s="583"/>
      <c r="S286" s="583"/>
      <c r="T286" s="583"/>
      <c r="U286" s="583"/>
      <c r="V286" s="583"/>
      <c r="W286" s="583"/>
      <c r="X286" s="583"/>
      <c r="Y286" s="583"/>
      <c r="Z286" s="583"/>
      <c r="AA286" s="583"/>
      <c r="AB286" s="583"/>
      <c r="AC286" s="583"/>
      <c r="AD286" s="583"/>
      <c r="AE286" s="583"/>
      <c r="AF286" s="583"/>
    </row>
    <row r="287" ht="19.5" customHeight="1">
      <c r="A287" s="647"/>
      <c r="B287" s="647"/>
      <c r="C287" s="647"/>
      <c r="D287" s="649"/>
      <c r="E287" s="647"/>
      <c r="F287" s="649"/>
      <c r="G287" s="649"/>
      <c r="H287" s="647"/>
      <c r="I287" s="583"/>
      <c r="J287" s="583"/>
      <c r="K287" s="583"/>
      <c r="L287" s="583"/>
      <c r="M287" s="583"/>
      <c r="N287" s="583"/>
      <c r="O287" s="583"/>
      <c r="P287" s="583"/>
      <c r="Q287" s="583"/>
      <c r="R287" s="583"/>
      <c r="S287" s="583"/>
      <c r="T287" s="583"/>
      <c r="U287" s="583"/>
      <c r="V287" s="583"/>
      <c r="W287" s="583"/>
      <c r="X287" s="583"/>
      <c r="Y287" s="583"/>
      <c r="Z287" s="583"/>
      <c r="AA287" s="583"/>
      <c r="AB287" s="583"/>
      <c r="AC287" s="583"/>
      <c r="AD287" s="583"/>
      <c r="AE287" s="583"/>
      <c r="AF287" s="583"/>
    </row>
    <row r="288" ht="19.5" customHeight="1">
      <c r="A288" s="647"/>
      <c r="B288" s="647"/>
      <c r="C288" s="647"/>
      <c r="D288" s="649"/>
      <c r="E288" s="647"/>
      <c r="F288" s="649"/>
      <c r="G288" s="649"/>
      <c r="H288" s="647"/>
      <c r="I288" s="583"/>
      <c r="J288" s="583"/>
      <c r="K288" s="583"/>
      <c r="L288" s="583"/>
      <c r="M288" s="583"/>
      <c r="N288" s="583"/>
      <c r="O288" s="583"/>
      <c r="P288" s="583"/>
      <c r="Q288" s="583"/>
      <c r="R288" s="583"/>
      <c r="S288" s="583"/>
      <c r="T288" s="583"/>
      <c r="U288" s="583"/>
      <c r="V288" s="583"/>
      <c r="W288" s="583"/>
      <c r="X288" s="583"/>
      <c r="Y288" s="583"/>
      <c r="Z288" s="583"/>
      <c r="AA288" s="583"/>
      <c r="AB288" s="583"/>
      <c r="AC288" s="583"/>
      <c r="AD288" s="583"/>
      <c r="AE288" s="583"/>
      <c r="AF288" s="583"/>
    </row>
    <row r="289" ht="19.5" customHeight="1">
      <c r="A289" s="647"/>
      <c r="B289" s="647"/>
      <c r="C289" s="647"/>
      <c r="D289" s="649"/>
      <c r="E289" s="647"/>
      <c r="F289" s="649"/>
      <c r="G289" s="649"/>
      <c r="H289" s="647"/>
      <c r="I289" s="583"/>
      <c r="J289" s="583"/>
      <c r="K289" s="583"/>
      <c r="L289" s="583"/>
      <c r="M289" s="583"/>
      <c r="N289" s="583"/>
      <c r="O289" s="583"/>
      <c r="P289" s="583"/>
      <c r="Q289" s="583"/>
      <c r="R289" s="583"/>
      <c r="S289" s="583"/>
      <c r="T289" s="583"/>
      <c r="U289" s="583"/>
      <c r="V289" s="583"/>
      <c r="W289" s="583"/>
      <c r="X289" s="583"/>
      <c r="Y289" s="583"/>
      <c r="Z289" s="583"/>
      <c r="AA289" s="583"/>
      <c r="AB289" s="583"/>
      <c r="AC289" s="583"/>
      <c r="AD289" s="583"/>
      <c r="AE289" s="583"/>
      <c r="AF289" s="583"/>
    </row>
    <row r="290" ht="19.5" customHeight="1">
      <c r="A290" s="647"/>
      <c r="B290" s="647"/>
      <c r="C290" s="647"/>
      <c r="D290" s="649"/>
      <c r="E290" s="647"/>
      <c r="F290" s="649"/>
      <c r="G290" s="649"/>
      <c r="H290" s="647"/>
      <c r="I290" s="583"/>
      <c r="J290" s="583"/>
      <c r="K290" s="583"/>
      <c r="L290" s="583"/>
      <c r="M290" s="583"/>
      <c r="N290" s="583"/>
      <c r="O290" s="583"/>
      <c r="P290" s="583"/>
      <c r="Q290" s="583"/>
      <c r="R290" s="583"/>
      <c r="S290" s="583"/>
      <c r="T290" s="583"/>
      <c r="U290" s="583"/>
      <c r="V290" s="583"/>
      <c r="W290" s="583"/>
      <c r="X290" s="583"/>
      <c r="Y290" s="583"/>
      <c r="Z290" s="583"/>
      <c r="AA290" s="583"/>
      <c r="AB290" s="583"/>
      <c r="AC290" s="583"/>
      <c r="AD290" s="583"/>
      <c r="AE290" s="583"/>
      <c r="AF290" s="583"/>
    </row>
    <row r="291" ht="19.5" customHeight="1">
      <c r="A291" s="647"/>
      <c r="B291" s="647"/>
      <c r="C291" s="647"/>
      <c r="D291" s="649"/>
      <c r="E291" s="647"/>
      <c r="F291" s="649"/>
      <c r="G291" s="649"/>
      <c r="H291" s="647"/>
      <c r="I291" s="583"/>
      <c r="J291" s="583"/>
      <c r="K291" s="583"/>
      <c r="L291" s="583"/>
      <c r="M291" s="583"/>
      <c r="N291" s="583"/>
      <c r="O291" s="583"/>
      <c r="P291" s="583"/>
      <c r="Q291" s="583"/>
      <c r="R291" s="583"/>
      <c r="S291" s="583"/>
      <c r="T291" s="583"/>
      <c r="U291" s="583"/>
      <c r="V291" s="583"/>
      <c r="W291" s="583"/>
      <c r="X291" s="583"/>
      <c r="Y291" s="583"/>
      <c r="Z291" s="583"/>
      <c r="AA291" s="583"/>
      <c r="AB291" s="583"/>
      <c r="AC291" s="583"/>
      <c r="AD291" s="583"/>
      <c r="AE291" s="583"/>
      <c r="AF291" s="583"/>
    </row>
    <row r="292" ht="19.5" customHeight="1">
      <c r="A292" s="647"/>
      <c r="B292" s="647"/>
      <c r="C292" s="647"/>
      <c r="D292" s="649"/>
      <c r="E292" s="647"/>
      <c r="F292" s="649"/>
      <c r="G292" s="649"/>
      <c r="H292" s="647"/>
      <c r="I292" s="583"/>
      <c r="J292" s="583"/>
      <c r="K292" s="583"/>
      <c r="L292" s="583"/>
      <c r="M292" s="583"/>
      <c r="N292" s="583"/>
      <c r="O292" s="583"/>
      <c r="P292" s="583"/>
      <c r="Q292" s="583"/>
      <c r="R292" s="583"/>
      <c r="S292" s="583"/>
      <c r="T292" s="583"/>
      <c r="U292" s="583"/>
      <c r="V292" s="583"/>
      <c r="W292" s="583"/>
      <c r="X292" s="583"/>
      <c r="Y292" s="583"/>
      <c r="Z292" s="583"/>
      <c r="AA292" s="583"/>
      <c r="AB292" s="583"/>
      <c r="AC292" s="583"/>
      <c r="AD292" s="583"/>
      <c r="AE292" s="583"/>
      <c r="AF292" s="583"/>
    </row>
    <row r="293" ht="19.5" customHeight="1">
      <c r="A293" s="647"/>
      <c r="B293" s="647"/>
      <c r="C293" s="647"/>
      <c r="D293" s="649"/>
      <c r="E293" s="647"/>
      <c r="F293" s="649"/>
      <c r="G293" s="649"/>
      <c r="H293" s="647"/>
      <c r="I293" s="583"/>
      <c r="J293" s="583"/>
      <c r="K293" s="583"/>
      <c r="L293" s="583"/>
      <c r="M293" s="583"/>
      <c r="N293" s="583"/>
      <c r="O293" s="583"/>
      <c r="P293" s="583"/>
      <c r="Q293" s="583"/>
      <c r="R293" s="583"/>
      <c r="S293" s="583"/>
      <c r="T293" s="583"/>
      <c r="U293" s="583"/>
      <c r="V293" s="583"/>
      <c r="W293" s="583"/>
      <c r="X293" s="583"/>
      <c r="Y293" s="583"/>
      <c r="Z293" s="583"/>
      <c r="AA293" s="583"/>
      <c r="AB293" s="583"/>
      <c r="AC293" s="583"/>
      <c r="AD293" s="583"/>
      <c r="AE293" s="583"/>
      <c r="AF293" s="583"/>
    </row>
    <row r="294" ht="19.5" customHeight="1">
      <c r="A294" s="647"/>
      <c r="B294" s="647"/>
      <c r="C294" s="647"/>
      <c r="D294" s="649"/>
      <c r="E294" s="647"/>
      <c r="F294" s="649"/>
      <c r="G294" s="649"/>
      <c r="H294" s="647"/>
      <c r="I294" s="583"/>
      <c r="J294" s="583"/>
      <c r="K294" s="583"/>
      <c r="L294" s="583"/>
      <c r="M294" s="583"/>
      <c r="N294" s="583"/>
      <c r="O294" s="583"/>
      <c r="P294" s="583"/>
      <c r="Q294" s="583"/>
      <c r="R294" s="583"/>
      <c r="S294" s="583"/>
      <c r="T294" s="583"/>
      <c r="U294" s="583"/>
      <c r="V294" s="583"/>
      <c r="W294" s="583"/>
      <c r="X294" s="583"/>
      <c r="Y294" s="583"/>
      <c r="Z294" s="583"/>
      <c r="AA294" s="583"/>
      <c r="AB294" s="583"/>
      <c r="AC294" s="583"/>
      <c r="AD294" s="583"/>
      <c r="AE294" s="583"/>
      <c r="AF294" s="583"/>
    </row>
    <row r="295" ht="19.5" customHeight="1">
      <c r="A295" s="647"/>
      <c r="B295" s="647"/>
      <c r="C295" s="647"/>
      <c r="D295" s="649"/>
      <c r="E295" s="647"/>
      <c r="F295" s="649"/>
      <c r="G295" s="649"/>
      <c r="H295" s="647"/>
      <c r="I295" s="583"/>
      <c r="J295" s="583"/>
      <c r="K295" s="583"/>
      <c r="L295" s="583"/>
      <c r="M295" s="583"/>
      <c r="N295" s="583"/>
      <c r="O295" s="583"/>
      <c r="P295" s="583"/>
      <c r="Q295" s="583"/>
      <c r="R295" s="583"/>
      <c r="S295" s="583"/>
      <c r="T295" s="583"/>
      <c r="U295" s="583"/>
      <c r="V295" s="583"/>
      <c r="W295" s="583"/>
      <c r="X295" s="583"/>
      <c r="Y295" s="583"/>
      <c r="Z295" s="583"/>
      <c r="AA295" s="583"/>
      <c r="AB295" s="583"/>
      <c r="AC295" s="583"/>
      <c r="AD295" s="583"/>
      <c r="AE295" s="583"/>
      <c r="AF295" s="583"/>
    </row>
    <row r="296" ht="19.5" customHeight="1">
      <c r="A296" s="647"/>
      <c r="B296" s="647"/>
      <c r="C296" s="647"/>
      <c r="D296" s="649"/>
      <c r="E296" s="647"/>
      <c r="F296" s="649"/>
      <c r="G296" s="649"/>
      <c r="H296" s="647"/>
      <c r="I296" s="583"/>
      <c r="J296" s="583"/>
      <c r="K296" s="583"/>
      <c r="L296" s="583"/>
      <c r="M296" s="583"/>
      <c r="N296" s="583"/>
      <c r="O296" s="583"/>
      <c r="P296" s="583"/>
      <c r="Q296" s="583"/>
      <c r="R296" s="583"/>
      <c r="S296" s="583"/>
      <c r="T296" s="583"/>
      <c r="U296" s="583"/>
      <c r="V296" s="583"/>
      <c r="W296" s="583"/>
      <c r="X296" s="583"/>
      <c r="Y296" s="583"/>
      <c r="Z296" s="583"/>
      <c r="AA296" s="583"/>
      <c r="AB296" s="583"/>
      <c r="AC296" s="583"/>
      <c r="AD296" s="583"/>
      <c r="AE296" s="583"/>
      <c r="AF296" s="583"/>
    </row>
    <row r="297" ht="19.5" customHeight="1">
      <c r="A297" s="647"/>
      <c r="B297" s="647"/>
      <c r="C297" s="647"/>
      <c r="D297" s="649"/>
      <c r="E297" s="647"/>
      <c r="F297" s="649"/>
      <c r="G297" s="649"/>
      <c r="H297" s="647"/>
      <c r="I297" s="583"/>
      <c r="J297" s="583"/>
      <c r="K297" s="583"/>
      <c r="L297" s="583"/>
      <c r="M297" s="583"/>
      <c r="N297" s="583"/>
      <c r="O297" s="583"/>
      <c r="P297" s="583"/>
      <c r="Q297" s="583"/>
      <c r="R297" s="583"/>
      <c r="S297" s="583"/>
      <c r="T297" s="583"/>
      <c r="U297" s="583"/>
      <c r="V297" s="583"/>
      <c r="W297" s="583"/>
      <c r="X297" s="583"/>
      <c r="Y297" s="583"/>
      <c r="Z297" s="583"/>
      <c r="AA297" s="583"/>
      <c r="AB297" s="583"/>
      <c r="AC297" s="583"/>
      <c r="AD297" s="583"/>
      <c r="AE297" s="583"/>
      <c r="AF297" s="583"/>
    </row>
    <row r="298" ht="19.5" customHeight="1">
      <c r="A298" s="647"/>
      <c r="B298" s="647"/>
      <c r="C298" s="647"/>
      <c r="D298" s="649"/>
      <c r="E298" s="647"/>
      <c r="F298" s="649"/>
      <c r="G298" s="649"/>
      <c r="H298" s="647"/>
      <c r="I298" s="583"/>
      <c r="J298" s="583"/>
      <c r="K298" s="583"/>
      <c r="L298" s="583"/>
      <c r="M298" s="583"/>
      <c r="N298" s="583"/>
      <c r="O298" s="583"/>
      <c r="P298" s="583"/>
      <c r="Q298" s="583"/>
      <c r="R298" s="583"/>
      <c r="S298" s="583"/>
      <c r="T298" s="583"/>
      <c r="U298" s="583"/>
      <c r="V298" s="583"/>
      <c r="W298" s="583"/>
      <c r="X298" s="583"/>
      <c r="Y298" s="583"/>
      <c r="Z298" s="583"/>
      <c r="AA298" s="583"/>
      <c r="AB298" s="583"/>
      <c r="AC298" s="583"/>
      <c r="AD298" s="583"/>
      <c r="AE298" s="583"/>
      <c r="AF298" s="583"/>
    </row>
    <row r="299" ht="19.5" customHeight="1">
      <c r="A299" s="647"/>
      <c r="B299" s="647"/>
      <c r="C299" s="647"/>
      <c r="D299" s="649"/>
      <c r="E299" s="647"/>
      <c r="F299" s="649"/>
      <c r="G299" s="649"/>
      <c r="H299" s="647"/>
      <c r="I299" s="583"/>
      <c r="J299" s="583"/>
      <c r="K299" s="583"/>
      <c r="L299" s="583"/>
      <c r="M299" s="583"/>
      <c r="N299" s="583"/>
      <c r="O299" s="583"/>
      <c r="P299" s="583"/>
      <c r="Q299" s="583"/>
      <c r="R299" s="583"/>
      <c r="S299" s="583"/>
      <c r="T299" s="583"/>
      <c r="U299" s="583"/>
      <c r="V299" s="583"/>
      <c r="W299" s="583"/>
      <c r="X299" s="583"/>
      <c r="Y299" s="583"/>
      <c r="Z299" s="583"/>
      <c r="AA299" s="583"/>
      <c r="AB299" s="583"/>
      <c r="AC299" s="583"/>
      <c r="AD299" s="583"/>
      <c r="AE299" s="583"/>
      <c r="AF299" s="583"/>
    </row>
    <row r="300" ht="19.5" customHeight="1">
      <c r="A300" s="647"/>
      <c r="B300" s="647"/>
      <c r="C300" s="647"/>
      <c r="D300" s="649"/>
      <c r="E300" s="647"/>
      <c r="F300" s="649"/>
      <c r="G300" s="649"/>
      <c r="H300" s="647"/>
      <c r="I300" s="583"/>
      <c r="J300" s="583"/>
      <c r="K300" s="583"/>
      <c r="L300" s="583"/>
      <c r="M300" s="583"/>
      <c r="N300" s="583"/>
      <c r="O300" s="583"/>
      <c r="P300" s="583"/>
      <c r="Q300" s="583"/>
      <c r="R300" s="583"/>
      <c r="S300" s="583"/>
      <c r="T300" s="583"/>
      <c r="U300" s="583"/>
      <c r="V300" s="583"/>
      <c r="W300" s="583"/>
      <c r="X300" s="583"/>
      <c r="Y300" s="583"/>
      <c r="Z300" s="583"/>
      <c r="AA300" s="583"/>
      <c r="AB300" s="583"/>
      <c r="AC300" s="583"/>
      <c r="AD300" s="583"/>
      <c r="AE300" s="583"/>
      <c r="AF300" s="583"/>
    </row>
    <row r="301" ht="19.5" customHeight="1">
      <c r="A301" s="647"/>
      <c r="B301" s="647"/>
      <c r="C301" s="647"/>
      <c r="D301" s="649"/>
      <c r="E301" s="647"/>
      <c r="F301" s="649"/>
      <c r="G301" s="649"/>
      <c r="H301" s="647"/>
      <c r="I301" s="583"/>
      <c r="J301" s="583"/>
      <c r="K301" s="583"/>
      <c r="L301" s="583"/>
      <c r="M301" s="583"/>
      <c r="N301" s="583"/>
      <c r="O301" s="583"/>
      <c r="P301" s="583"/>
      <c r="Q301" s="583"/>
      <c r="R301" s="583"/>
      <c r="S301" s="583"/>
      <c r="T301" s="583"/>
      <c r="U301" s="583"/>
      <c r="V301" s="583"/>
      <c r="W301" s="583"/>
      <c r="X301" s="583"/>
      <c r="Y301" s="583"/>
      <c r="Z301" s="583"/>
      <c r="AA301" s="583"/>
      <c r="AB301" s="583"/>
      <c r="AC301" s="583"/>
      <c r="AD301" s="583"/>
      <c r="AE301" s="583"/>
      <c r="AF301" s="583"/>
    </row>
    <row r="302" ht="19.5" customHeight="1">
      <c r="A302" s="647"/>
      <c r="B302" s="647"/>
      <c r="C302" s="647"/>
      <c r="D302" s="649"/>
      <c r="E302" s="647"/>
      <c r="F302" s="649"/>
      <c r="G302" s="649"/>
      <c r="H302" s="647"/>
      <c r="I302" s="583"/>
      <c r="J302" s="583"/>
      <c r="K302" s="583"/>
      <c r="L302" s="583"/>
      <c r="M302" s="583"/>
      <c r="N302" s="583"/>
      <c r="O302" s="583"/>
      <c r="P302" s="583"/>
      <c r="Q302" s="583"/>
      <c r="R302" s="583"/>
      <c r="S302" s="583"/>
      <c r="T302" s="583"/>
      <c r="U302" s="583"/>
      <c r="V302" s="583"/>
      <c r="W302" s="583"/>
      <c r="X302" s="583"/>
      <c r="Y302" s="583"/>
      <c r="Z302" s="583"/>
      <c r="AA302" s="583"/>
      <c r="AB302" s="583"/>
      <c r="AC302" s="583"/>
      <c r="AD302" s="583"/>
      <c r="AE302" s="583"/>
      <c r="AF302" s="583"/>
    </row>
    <row r="303" ht="19.5" customHeight="1">
      <c r="A303" s="647"/>
      <c r="B303" s="647"/>
      <c r="C303" s="647"/>
      <c r="D303" s="649"/>
      <c r="E303" s="647"/>
      <c r="F303" s="649"/>
      <c r="G303" s="649"/>
      <c r="H303" s="647"/>
      <c r="I303" s="583"/>
      <c r="J303" s="583"/>
      <c r="K303" s="583"/>
      <c r="L303" s="583"/>
      <c r="M303" s="583"/>
      <c r="N303" s="583"/>
      <c r="O303" s="583"/>
      <c r="P303" s="583"/>
      <c r="Q303" s="583"/>
      <c r="R303" s="583"/>
      <c r="S303" s="583"/>
      <c r="T303" s="583"/>
      <c r="U303" s="583"/>
      <c r="V303" s="583"/>
      <c r="W303" s="583"/>
      <c r="X303" s="583"/>
      <c r="Y303" s="583"/>
      <c r="Z303" s="583"/>
      <c r="AA303" s="583"/>
      <c r="AB303" s="583"/>
      <c r="AC303" s="583"/>
      <c r="AD303" s="583"/>
      <c r="AE303" s="583"/>
      <c r="AF303" s="583"/>
    </row>
    <row r="304" ht="19.5" customHeight="1">
      <c r="A304" s="647"/>
      <c r="B304" s="647"/>
      <c r="C304" s="647"/>
      <c r="D304" s="649"/>
      <c r="E304" s="647"/>
      <c r="F304" s="649"/>
      <c r="G304" s="649"/>
      <c r="H304" s="647"/>
      <c r="I304" s="583"/>
      <c r="J304" s="583"/>
      <c r="K304" s="583"/>
      <c r="L304" s="583"/>
      <c r="M304" s="583"/>
      <c r="N304" s="583"/>
      <c r="O304" s="583"/>
      <c r="P304" s="583"/>
      <c r="Q304" s="583"/>
      <c r="R304" s="583"/>
      <c r="S304" s="583"/>
      <c r="T304" s="583"/>
      <c r="U304" s="583"/>
      <c r="V304" s="583"/>
      <c r="W304" s="583"/>
      <c r="X304" s="583"/>
      <c r="Y304" s="583"/>
      <c r="Z304" s="583"/>
      <c r="AA304" s="583"/>
      <c r="AB304" s="583"/>
      <c r="AC304" s="583"/>
      <c r="AD304" s="583"/>
      <c r="AE304" s="583"/>
      <c r="AF304" s="583"/>
    </row>
    <row r="305" ht="19.5" customHeight="1">
      <c r="A305" s="647"/>
      <c r="B305" s="647"/>
      <c r="C305" s="647"/>
      <c r="D305" s="649"/>
      <c r="E305" s="647"/>
      <c r="F305" s="649"/>
      <c r="G305" s="649"/>
      <c r="H305" s="647"/>
      <c r="I305" s="583"/>
      <c r="J305" s="583"/>
      <c r="K305" s="583"/>
      <c r="L305" s="583"/>
      <c r="M305" s="583"/>
      <c r="N305" s="583"/>
      <c r="O305" s="583"/>
      <c r="P305" s="583"/>
      <c r="Q305" s="583"/>
      <c r="R305" s="583"/>
      <c r="S305" s="583"/>
      <c r="T305" s="583"/>
      <c r="U305" s="583"/>
      <c r="V305" s="583"/>
      <c r="W305" s="583"/>
      <c r="X305" s="583"/>
      <c r="Y305" s="583"/>
      <c r="Z305" s="583"/>
      <c r="AA305" s="583"/>
      <c r="AB305" s="583"/>
      <c r="AC305" s="583"/>
      <c r="AD305" s="583"/>
      <c r="AE305" s="583"/>
      <c r="AF305" s="583"/>
    </row>
    <row r="306" ht="19.5" customHeight="1">
      <c r="A306" s="647"/>
      <c r="B306" s="647"/>
      <c r="C306" s="647"/>
      <c r="D306" s="649"/>
      <c r="E306" s="647"/>
      <c r="F306" s="649"/>
      <c r="G306" s="649"/>
      <c r="H306" s="647"/>
      <c r="I306" s="583"/>
      <c r="J306" s="583"/>
      <c r="K306" s="583"/>
      <c r="L306" s="583"/>
      <c r="M306" s="583"/>
      <c r="N306" s="583"/>
      <c r="O306" s="583"/>
      <c r="P306" s="583"/>
      <c r="Q306" s="583"/>
      <c r="R306" s="583"/>
      <c r="S306" s="583"/>
      <c r="T306" s="583"/>
      <c r="U306" s="583"/>
      <c r="V306" s="583"/>
      <c r="W306" s="583"/>
      <c r="X306" s="583"/>
      <c r="Y306" s="583"/>
      <c r="Z306" s="583"/>
      <c r="AA306" s="583"/>
      <c r="AB306" s="583"/>
      <c r="AC306" s="583"/>
      <c r="AD306" s="583"/>
      <c r="AE306" s="583"/>
      <c r="AF306" s="583"/>
    </row>
    <row r="307" ht="19.5" customHeight="1">
      <c r="A307" s="647"/>
      <c r="B307" s="647"/>
      <c r="C307" s="647"/>
      <c r="D307" s="649"/>
      <c r="E307" s="647"/>
      <c r="F307" s="649"/>
      <c r="G307" s="649"/>
      <c r="H307" s="647"/>
      <c r="I307" s="583"/>
      <c r="J307" s="583"/>
      <c r="K307" s="583"/>
      <c r="L307" s="583"/>
      <c r="M307" s="583"/>
      <c r="N307" s="583"/>
      <c r="O307" s="583"/>
      <c r="P307" s="583"/>
      <c r="Q307" s="583"/>
      <c r="R307" s="583"/>
      <c r="S307" s="583"/>
      <c r="T307" s="583"/>
      <c r="U307" s="583"/>
      <c r="V307" s="583"/>
      <c r="W307" s="583"/>
      <c r="X307" s="583"/>
      <c r="Y307" s="583"/>
      <c r="Z307" s="583"/>
      <c r="AA307" s="583"/>
      <c r="AB307" s="583"/>
      <c r="AC307" s="583"/>
      <c r="AD307" s="583"/>
      <c r="AE307" s="583"/>
      <c r="AF307" s="583"/>
    </row>
    <row r="308" ht="19.5" customHeight="1">
      <c r="A308" s="647"/>
      <c r="B308" s="647"/>
      <c r="C308" s="647"/>
      <c r="D308" s="649"/>
      <c r="E308" s="647"/>
      <c r="F308" s="649"/>
      <c r="G308" s="649"/>
      <c r="H308" s="647"/>
      <c r="I308" s="583"/>
      <c r="J308" s="583"/>
      <c r="K308" s="583"/>
      <c r="L308" s="583"/>
      <c r="M308" s="583"/>
      <c r="N308" s="583"/>
      <c r="O308" s="583"/>
      <c r="P308" s="583"/>
      <c r="Q308" s="583"/>
      <c r="R308" s="583"/>
      <c r="S308" s="583"/>
      <c r="T308" s="583"/>
      <c r="U308" s="583"/>
      <c r="V308" s="583"/>
      <c r="W308" s="583"/>
      <c r="X308" s="583"/>
      <c r="Y308" s="583"/>
      <c r="Z308" s="583"/>
      <c r="AA308" s="583"/>
      <c r="AB308" s="583"/>
      <c r="AC308" s="583"/>
      <c r="AD308" s="583"/>
      <c r="AE308" s="583"/>
      <c r="AF308" s="583"/>
    </row>
    <row r="309" ht="19.5" customHeight="1">
      <c r="A309" s="647"/>
      <c r="B309" s="647"/>
      <c r="C309" s="647"/>
      <c r="D309" s="649"/>
      <c r="E309" s="647"/>
      <c r="F309" s="649"/>
      <c r="G309" s="649"/>
      <c r="H309" s="647"/>
      <c r="I309" s="583"/>
      <c r="J309" s="583"/>
      <c r="K309" s="583"/>
      <c r="L309" s="583"/>
      <c r="M309" s="583"/>
      <c r="N309" s="583"/>
      <c r="O309" s="583"/>
      <c r="P309" s="583"/>
      <c r="Q309" s="583"/>
      <c r="R309" s="583"/>
      <c r="S309" s="583"/>
      <c r="T309" s="583"/>
      <c r="U309" s="583"/>
      <c r="V309" s="583"/>
      <c r="W309" s="583"/>
      <c r="X309" s="583"/>
      <c r="Y309" s="583"/>
      <c r="Z309" s="583"/>
      <c r="AA309" s="583"/>
      <c r="AB309" s="583"/>
      <c r="AC309" s="583"/>
      <c r="AD309" s="583"/>
      <c r="AE309" s="583"/>
      <c r="AF309" s="583"/>
    </row>
    <row r="310" ht="19.5" customHeight="1">
      <c r="A310" s="647"/>
      <c r="B310" s="647"/>
      <c r="C310" s="647"/>
      <c r="D310" s="649"/>
      <c r="E310" s="647"/>
      <c r="F310" s="649"/>
      <c r="G310" s="649"/>
      <c r="H310" s="647"/>
      <c r="I310" s="583"/>
      <c r="J310" s="583"/>
      <c r="K310" s="583"/>
      <c r="L310" s="583"/>
      <c r="M310" s="583"/>
      <c r="N310" s="583"/>
      <c r="O310" s="583"/>
      <c r="P310" s="583"/>
      <c r="Q310" s="583"/>
      <c r="R310" s="583"/>
      <c r="S310" s="583"/>
      <c r="T310" s="583"/>
      <c r="U310" s="583"/>
      <c r="V310" s="583"/>
      <c r="W310" s="583"/>
      <c r="X310" s="583"/>
      <c r="Y310" s="583"/>
      <c r="Z310" s="583"/>
      <c r="AA310" s="583"/>
      <c r="AB310" s="583"/>
      <c r="AC310" s="583"/>
      <c r="AD310" s="583"/>
      <c r="AE310" s="583"/>
      <c r="AF310" s="583"/>
    </row>
    <row r="311" ht="19.5" customHeight="1">
      <c r="A311" s="647"/>
      <c r="B311" s="647"/>
      <c r="C311" s="647"/>
      <c r="D311" s="649"/>
      <c r="E311" s="647"/>
      <c r="F311" s="649"/>
      <c r="G311" s="649"/>
      <c r="H311" s="647"/>
      <c r="I311" s="583"/>
      <c r="J311" s="583"/>
      <c r="K311" s="583"/>
      <c r="L311" s="583"/>
      <c r="M311" s="583"/>
      <c r="N311" s="583"/>
      <c r="O311" s="583"/>
      <c r="P311" s="583"/>
      <c r="Q311" s="583"/>
      <c r="R311" s="583"/>
      <c r="S311" s="583"/>
      <c r="T311" s="583"/>
      <c r="U311" s="583"/>
      <c r="V311" s="583"/>
      <c r="W311" s="583"/>
      <c r="X311" s="583"/>
      <c r="Y311" s="583"/>
      <c r="Z311" s="583"/>
      <c r="AA311" s="583"/>
      <c r="AB311" s="583"/>
      <c r="AC311" s="583"/>
      <c r="AD311" s="583"/>
      <c r="AE311" s="583"/>
      <c r="AF311" s="583"/>
    </row>
    <row r="312" ht="19.5" customHeight="1">
      <c r="A312" s="647"/>
      <c r="B312" s="647"/>
      <c r="C312" s="647"/>
      <c r="D312" s="649"/>
      <c r="E312" s="647"/>
      <c r="F312" s="649"/>
      <c r="G312" s="649"/>
      <c r="H312" s="647"/>
      <c r="I312" s="583"/>
      <c r="J312" s="583"/>
      <c r="K312" s="583"/>
      <c r="L312" s="583"/>
      <c r="M312" s="583"/>
      <c r="N312" s="583"/>
      <c r="O312" s="583"/>
      <c r="P312" s="583"/>
      <c r="Q312" s="583"/>
      <c r="R312" s="583"/>
      <c r="S312" s="583"/>
      <c r="T312" s="583"/>
      <c r="U312" s="583"/>
      <c r="V312" s="583"/>
      <c r="W312" s="583"/>
      <c r="X312" s="583"/>
      <c r="Y312" s="583"/>
      <c r="Z312" s="583"/>
      <c r="AA312" s="583"/>
      <c r="AB312" s="583"/>
      <c r="AC312" s="583"/>
      <c r="AD312" s="583"/>
      <c r="AE312" s="583"/>
      <c r="AF312" s="583"/>
    </row>
    <row r="313" ht="19.5" customHeight="1">
      <c r="A313" s="647"/>
      <c r="B313" s="647"/>
      <c r="C313" s="647"/>
      <c r="D313" s="649"/>
      <c r="E313" s="647"/>
      <c r="F313" s="649"/>
      <c r="G313" s="649"/>
      <c r="H313" s="647"/>
      <c r="I313" s="583"/>
      <c r="J313" s="583"/>
      <c r="K313" s="583"/>
      <c r="L313" s="583"/>
      <c r="M313" s="583"/>
      <c r="N313" s="583"/>
      <c r="O313" s="583"/>
      <c r="P313" s="583"/>
      <c r="Q313" s="583"/>
      <c r="R313" s="583"/>
      <c r="S313" s="583"/>
      <c r="T313" s="583"/>
      <c r="U313" s="583"/>
      <c r="V313" s="583"/>
      <c r="W313" s="583"/>
      <c r="X313" s="583"/>
      <c r="Y313" s="583"/>
      <c r="Z313" s="583"/>
      <c r="AA313" s="583"/>
      <c r="AB313" s="583"/>
      <c r="AC313" s="583"/>
      <c r="AD313" s="583"/>
      <c r="AE313" s="583"/>
      <c r="AF313" s="583"/>
    </row>
    <row r="314" ht="19.5" customHeight="1">
      <c r="A314" s="647"/>
      <c r="B314" s="647"/>
      <c r="C314" s="647"/>
      <c r="D314" s="649"/>
      <c r="E314" s="647"/>
      <c r="F314" s="649"/>
      <c r="G314" s="649"/>
      <c r="H314" s="647"/>
      <c r="I314" s="583"/>
      <c r="J314" s="583"/>
      <c r="K314" s="583"/>
      <c r="L314" s="583"/>
      <c r="M314" s="583"/>
      <c r="N314" s="583"/>
      <c r="O314" s="583"/>
      <c r="P314" s="583"/>
      <c r="Q314" s="583"/>
      <c r="R314" s="583"/>
      <c r="S314" s="583"/>
      <c r="T314" s="583"/>
      <c r="U314" s="583"/>
      <c r="V314" s="583"/>
      <c r="W314" s="583"/>
      <c r="X314" s="583"/>
      <c r="Y314" s="583"/>
      <c r="Z314" s="583"/>
      <c r="AA314" s="583"/>
      <c r="AB314" s="583"/>
      <c r="AC314" s="583"/>
      <c r="AD314" s="583"/>
      <c r="AE314" s="583"/>
      <c r="AF314" s="583"/>
    </row>
    <row r="315" ht="19.5" customHeight="1">
      <c r="A315" s="647"/>
      <c r="B315" s="647"/>
      <c r="C315" s="647"/>
      <c r="D315" s="649"/>
      <c r="E315" s="647"/>
      <c r="F315" s="649"/>
      <c r="G315" s="649"/>
      <c r="H315" s="647"/>
      <c r="I315" s="583"/>
      <c r="J315" s="583"/>
      <c r="K315" s="583"/>
      <c r="L315" s="583"/>
      <c r="M315" s="583"/>
      <c r="N315" s="583"/>
      <c r="O315" s="583"/>
      <c r="P315" s="583"/>
      <c r="Q315" s="583"/>
      <c r="R315" s="583"/>
      <c r="S315" s="583"/>
      <c r="T315" s="583"/>
      <c r="U315" s="583"/>
      <c r="V315" s="583"/>
      <c r="W315" s="583"/>
      <c r="X315" s="583"/>
      <c r="Y315" s="583"/>
      <c r="Z315" s="583"/>
      <c r="AA315" s="583"/>
      <c r="AB315" s="583"/>
      <c r="AC315" s="583"/>
      <c r="AD315" s="583"/>
      <c r="AE315" s="583"/>
      <c r="AF315" s="583"/>
    </row>
    <row r="316" ht="19.5" customHeight="1">
      <c r="A316" s="647"/>
      <c r="B316" s="647"/>
      <c r="C316" s="647"/>
      <c r="D316" s="649"/>
      <c r="E316" s="647"/>
      <c r="F316" s="649"/>
      <c r="G316" s="649"/>
      <c r="H316" s="647"/>
      <c r="I316" s="583"/>
      <c r="J316" s="583"/>
      <c r="K316" s="583"/>
      <c r="L316" s="583"/>
      <c r="M316" s="583"/>
      <c r="N316" s="583"/>
      <c r="O316" s="583"/>
      <c r="P316" s="583"/>
      <c r="Q316" s="583"/>
      <c r="R316" s="583"/>
      <c r="S316" s="583"/>
      <c r="T316" s="583"/>
      <c r="U316" s="583"/>
      <c r="V316" s="583"/>
      <c r="W316" s="583"/>
      <c r="X316" s="583"/>
      <c r="Y316" s="583"/>
      <c r="Z316" s="583"/>
      <c r="AA316" s="583"/>
      <c r="AB316" s="583"/>
      <c r="AC316" s="583"/>
      <c r="AD316" s="583"/>
      <c r="AE316" s="583"/>
      <c r="AF316" s="583"/>
    </row>
    <row r="317" ht="19.5" customHeight="1">
      <c r="A317" s="647"/>
      <c r="B317" s="647"/>
      <c r="C317" s="647"/>
      <c r="D317" s="649"/>
      <c r="E317" s="647"/>
      <c r="F317" s="649"/>
      <c r="G317" s="649"/>
      <c r="H317" s="647"/>
      <c r="I317" s="583"/>
      <c r="J317" s="583"/>
      <c r="K317" s="583"/>
      <c r="L317" s="583"/>
      <c r="M317" s="583"/>
      <c r="N317" s="583"/>
      <c r="O317" s="583"/>
      <c r="P317" s="583"/>
      <c r="Q317" s="583"/>
      <c r="R317" s="583"/>
      <c r="S317" s="583"/>
      <c r="T317" s="583"/>
      <c r="U317" s="583"/>
      <c r="V317" s="583"/>
      <c r="W317" s="583"/>
      <c r="X317" s="583"/>
      <c r="Y317" s="583"/>
      <c r="Z317" s="583"/>
      <c r="AA317" s="583"/>
      <c r="AB317" s="583"/>
      <c r="AC317" s="583"/>
      <c r="AD317" s="583"/>
      <c r="AE317" s="583"/>
      <c r="AF317" s="583"/>
    </row>
    <row r="318" ht="19.5" customHeight="1">
      <c r="A318" s="647"/>
      <c r="B318" s="647"/>
      <c r="C318" s="647"/>
      <c r="D318" s="649"/>
      <c r="E318" s="647"/>
      <c r="F318" s="649"/>
      <c r="G318" s="649"/>
      <c r="H318" s="647"/>
      <c r="I318" s="583"/>
      <c r="J318" s="583"/>
      <c r="K318" s="583"/>
      <c r="L318" s="583"/>
      <c r="M318" s="583"/>
      <c r="N318" s="583"/>
      <c r="O318" s="583"/>
      <c r="P318" s="583"/>
      <c r="Q318" s="583"/>
      <c r="R318" s="583"/>
      <c r="S318" s="583"/>
      <c r="T318" s="583"/>
      <c r="U318" s="583"/>
      <c r="V318" s="583"/>
      <c r="W318" s="583"/>
      <c r="X318" s="583"/>
      <c r="Y318" s="583"/>
      <c r="Z318" s="583"/>
      <c r="AA318" s="583"/>
      <c r="AB318" s="583"/>
      <c r="AC318" s="583"/>
      <c r="AD318" s="583"/>
      <c r="AE318" s="583"/>
      <c r="AF318" s="583"/>
    </row>
    <row r="319" ht="19.5" customHeight="1">
      <c r="A319" s="647"/>
      <c r="B319" s="647"/>
      <c r="C319" s="647"/>
      <c r="D319" s="649"/>
      <c r="E319" s="647"/>
      <c r="F319" s="649"/>
      <c r="G319" s="649"/>
      <c r="H319" s="647"/>
      <c r="I319" s="583"/>
      <c r="J319" s="583"/>
      <c r="K319" s="583"/>
      <c r="L319" s="583"/>
      <c r="M319" s="583"/>
      <c r="N319" s="583"/>
      <c r="O319" s="583"/>
      <c r="P319" s="583"/>
      <c r="Q319" s="583"/>
      <c r="R319" s="583"/>
      <c r="S319" s="583"/>
      <c r="T319" s="583"/>
      <c r="U319" s="583"/>
      <c r="V319" s="583"/>
      <c r="W319" s="583"/>
      <c r="X319" s="583"/>
      <c r="Y319" s="583"/>
      <c r="Z319" s="583"/>
      <c r="AA319" s="583"/>
      <c r="AB319" s="583"/>
      <c r="AC319" s="583"/>
      <c r="AD319" s="583"/>
      <c r="AE319" s="583"/>
      <c r="AF319" s="583"/>
    </row>
    <row r="320" ht="19.5" customHeight="1">
      <c r="A320" s="647"/>
      <c r="B320" s="647"/>
      <c r="C320" s="647"/>
      <c r="D320" s="649"/>
      <c r="E320" s="647"/>
      <c r="F320" s="649"/>
      <c r="G320" s="649"/>
      <c r="H320" s="647"/>
      <c r="I320" s="583"/>
      <c r="J320" s="583"/>
      <c r="K320" s="583"/>
      <c r="L320" s="583"/>
      <c r="M320" s="583"/>
      <c r="N320" s="583"/>
      <c r="O320" s="583"/>
      <c r="P320" s="583"/>
      <c r="Q320" s="583"/>
      <c r="R320" s="583"/>
      <c r="S320" s="583"/>
      <c r="T320" s="583"/>
      <c r="U320" s="583"/>
      <c r="V320" s="583"/>
      <c r="W320" s="583"/>
      <c r="X320" s="583"/>
      <c r="Y320" s="583"/>
      <c r="Z320" s="583"/>
      <c r="AA320" s="583"/>
      <c r="AB320" s="583"/>
      <c r="AC320" s="583"/>
      <c r="AD320" s="583"/>
      <c r="AE320" s="583"/>
      <c r="AF320" s="583"/>
    </row>
    <row r="321" ht="19.5" customHeight="1">
      <c r="A321" s="647"/>
      <c r="B321" s="647"/>
      <c r="C321" s="647"/>
      <c r="D321" s="649"/>
      <c r="E321" s="647"/>
      <c r="F321" s="649"/>
      <c r="G321" s="649"/>
      <c r="H321" s="647"/>
      <c r="I321" s="583"/>
      <c r="J321" s="583"/>
      <c r="K321" s="583"/>
      <c r="L321" s="583"/>
      <c r="M321" s="583"/>
      <c r="N321" s="583"/>
      <c r="O321" s="583"/>
      <c r="P321" s="583"/>
      <c r="Q321" s="583"/>
      <c r="R321" s="583"/>
      <c r="S321" s="583"/>
      <c r="T321" s="583"/>
      <c r="U321" s="583"/>
      <c r="V321" s="583"/>
      <c r="W321" s="583"/>
      <c r="X321" s="583"/>
      <c r="Y321" s="583"/>
      <c r="Z321" s="583"/>
      <c r="AA321" s="583"/>
      <c r="AB321" s="583"/>
      <c r="AC321" s="583"/>
      <c r="AD321" s="583"/>
      <c r="AE321" s="583"/>
      <c r="AF321" s="583"/>
    </row>
    <row r="322" ht="19.5" customHeight="1">
      <c r="A322" s="647"/>
      <c r="B322" s="647"/>
      <c r="C322" s="647"/>
      <c r="D322" s="649"/>
      <c r="E322" s="647"/>
      <c r="F322" s="649"/>
      <c r="G322" s="649"/>
      <c r="H322" s="647"/>
      <c r="I322" s="583"/>
      <c r="J322" s="583"/>
      <c r="K322" s="583"/>
      <c r="L322" s="583"/>
      <c r="M322" s="583"/>
      <c r="N322" s="583"/>
      <c r="O322" s="583"/>
      <c r="P322" s="583"/>
      <c r="Q322" s="583"/>
      <c r="R322" s="583"/>
      <c r="S322" s="583"/>
      <c r="T322" s="583"/>
      <c r="U322" s="583"/>
      <c r="V322" s="583"/>
      <c r="W322" s="583"/>
      <c r="X322" s="583"/>
      <c r="Y322" s="583"/>
      <c r="Z322" s="583"/>
      <c r="AA322" s="583"/>
      <c r="AB322" s="583"/>
      <c r="AC322" s="583"/>
      <c r="AD322" s="583"/>
      <c r="AE322" s="583"/>
      <c r="AF322" s="583"/>
    </row>
    <row r="323" ht="19.5" customHeight="1">
      <c r="A323" s="647"/>
      <c r="B323" s="647"/>
      <c r="C323" s="647"/>
      <c r="D323" s="649"/>
      <c r="E323" s="647"/>
      <c r="F323" s="649"/>
      <c r="G323" s="649"/>
      <c r="H323" s="647"/>
      <c r="I323" s="583"/>
      <c r="J323" s="583"/>
      <c r="K323" s="583"/>
      <c r="L323" s="583"/>
      <c r="M323" s="583"/>
      <c r="N323" s="583"/>
      <c r="O323" s="583"/>
      <c r="P323" s="583"/>
      <c r="Q323" s="583"/>
      <c r="R323" s="583"/>
      <c r="S323" s="583"/>
      <c r="T323" s="583"/>
      <c r="U323" s="583"/>
      <c r="V323" s="583"/>
      <c r="W323" s="583"/>
      <c r="X323" s="583"/>
      <c r="Y323" s="583"/>
      <c r="Z323" s="583"/>
      <c r="AA323" s="583"/>
      <c r="AB323" s="583"/>
      <c r="AC323" s="583"/>
      <c r="AD323" s="583"/>
      <c r="AE323" s="583"/>
      <c r="AF323" s="583"/>
    </row>
    <row r="324" ht="19.5" customHeight="1">
      <c r="A324" s="647"/>
      <c r="B324" s="647"/>
      <c r="C324" s="647"/>
      <c r="D324" s="649"/>
      <c r="E324" s="647"/>
      <c r="F324" s="649"/>
      <c r="G324" s="649"/>
      <c r="H324" s="647"/>
      <c r="I324" s="583"/>
      <c r="J324" s="583"/>
      <c r="K324" s="583"/>
      <c r="L324" s="583"/>
      <c r="M324" s="583"/>
      <c r="N324" s="583"/>
      <c r="O324" s="583"/>
      <c r="P324" s="583"/>
      <c r="Q324" s="583"/>
      <c r="R324" s="583"/>
      <c r="S324" s="583"/>
      <c r="T324" s="583"/>
      <c r="U324" s="583"/>
      <c r="V324" s="583"/>
      <c r="W324" s="583"/>
      <c r="X324" s="583"/>
      <c r="Y324" s="583"/>
      <c r="Z324" s="583"/>
      <c r="AA324" s="583"/>
      <c r="AB324" s="583"/>
      <c r="AC324" s="583"/>
      <c r="AD324" s="583"/>
      <c r="AE324" s="583"/>
      <c r="AF324" s="583"/>
    </row>
    <row r="325" ht="19.5" customHeight="1">
      <c r="A325" s="647"/>
      <c r="B325" s="647"/>
      <c r="C325" s="647"/>
      <c r="D325" s="649"/>
      <c r="E325" s="647"/>
      <c r="F325" s="649"/>
      <c r="G325" s="649"/>
      <c r="H325" s="647"/>
      <c r="I325" s="583"/>
      <c r="J325" s="583"/>
      <c r="K325" s="583"/>
      <c r="L325" s="583"/>
      <c r="M325" s="583"/>
      <c r="N325" s="583"/>
      <c r="O325" s="583"/>
      <c r="P325" s="583"/>
      <c r="Q325" s="583"/>
      <c r="R325" s="583"/>
      <c r="S325" s="583"/>
      <c r="T325" s="583"/>
      <c r="U325" s="583"/>
      <c r="V325" s="583"/>
      <c r="W325" s="583"/>
      <c r="X325" s="583"/>
      <c r="Y325" s="583"/>
      <c r="Z325" s="583"/>
      <c r="AA325" s="583"/>
      <c r="AB325" s="583"/>
      <c r="AC325" s="583"/>
      <c r="AD325" s="583"/>
      <c r="AE325" s="583"/>
      <c r="AF325" s="583"/>
    </row>
    <row r="326" ht="19.5" customHeight="1">
      <c r="A326" s="647"/>
      <c r="B326" s="647"/>
      <c r="C326" s="647"/>
      <c r="D326" s="649"/>
      <c r="E326" s="647"/>
      <c r="F326" s="649"/>
      <c r="G326" s="649"/>
      <c r="H326" s="647"/>
      <c r="I326" s="583"/>
      <c r="J326" s="583"/>
      <c r="K326" s="583"/>
      <c r="L326" s="583"/>
      <c r="M326" s="583"/>
      <c r="N326" s="583"/>
      <c r="O326" s="583"/>
      <c r="P326" s="583"/>
      <c r="Q326" s="583"/>
      <c r="R326" s="583"/>
      <c r="S326" s="583"/>
      <c r="T326" s="583"/>
      <c r="U326" s="583"/>
      <c r="V326" s="583"/>
      <c r="W326" s="583"/>
      <c r="X326" s="583"/>
      <c r="Y326" s="583"/>
      <c r="Z326" s="583"/>
      <c r="AA326" s="583"/>
      <c r="AB326" s="583"/>
      <c r="AC326" s="583"/>
      <c r="AD326" s="583"/>
      <c r="AE326" s="583"/>
      <c r="AF326" s="583"/>
    </row>
    <row r="327" ht="19.5" customHeight="1">
      <c r="A327" s="647"/>
      <c r="B327" s="647"/>
      <c r="C327" s="647"/>
      <c r="D327" s="649"/>
      <c r="E327" s="647"/>
      <c r="F327" s="649"/>
      <c r="G327" s="649"/>
      <c r="H327" s="647"/>
      <c r="I327" s="583"/>
      <c r="J327" s="583"/>
      <c r="K327" s="583"/>
      <c r="L327" s="583"/>
      <c r="M327" s="583"/>
      <c r="N327" s="583"/>
      <c r="O327" s="583"/>
      <c r="P327" s="583"/>
      <c r="Q327" s="583"/>
      <c r="R327" s="583"/>
      <c r="S327" s="583"/>
      <c r="T327" s="583"/>
      <c r="U327" s="583"/>
      <c r="V327" s="583"/>
      <c r="W327" s="583"/>
      <c r="X327" s="583"/>
      <c r="Y327" s="583"/>
      <c r="Z327" s="583"/>
      <c r="AA327" s="583"/>
      <c r="AB327" s="583"/>
      <c r="AC327" s="583"/>
      <c r="AD327" s="583"/>
      <c r="AE327" s="583"/>
      <c r="AF327" s="583"/>
    </row>
    <row r="328" ht="19.5" customHeight="1">
      <c r="A328" s="647"/>
      <c r="B328" s="647"/>
      <c r="C328" s="647"/>
      <c r="D328" s="649"/>
      <c r="E328" s="647"/>
      <c r="F328" s="649"/>
      <c r="G328" s="649"/>
      <c r="H328" s="647"/>
      <c r="I328" s="583"/>
      <c r="J328" s="583"/>
      <c r="K328" s="583"/>
      <c r="L328" s="583"/>
      <c r="M328" s="583"/>
      <c r="N328" s="583"/>
      <c r="O328" s="583"/>
      <c r="P328" s="583"/>
      <c r="Q328" s="583"/>
      <c r="R328" s="583"/>
      <c r="S328" s="583"/>
      <c r="T328" s="583"/>
      <c r="U328" s="583"/>
      <c r="V328" s="583"/>
      <c r="W328" s="583"/>
      <c r="X328" s="583"/>
      <c r="Y328" s="583"/>
      <c r="Z328" s="583"/>
      <c r="AA328" s="583"/>
      <c r="AB328" s="583"/>
      <c r="AC328" s="583"/>
      <c r="AD328" s="583"/>
      <c r="AE328" s="583"/>
      <c r="AF328" s="583"/>
    </row>
    <row r="329" ht="19.5" customHeight="1">
      <c r="A329" s="647"/>
      <c r="B329" s="647"/>
      <c r="C329" s="647"/>
      <c r="D329" s="649"/>
      <c r="E329" s="647"/>
      <c r="F329" s="649"/>
      <c r="G329" s="649"/>
      <c r="H329" s="647"/>
      <c r="I329" s="583"/>
      <c r="J329" s="583"/>
      <c r="K329" s="583"/>
      <c r="L329" s="583"/>
      <c r="M329" s="583"/>
      <c r="N329" s="583"/>
      <c r="O329" s="583"/>
      <c r="P329" s="583"/>
      <c r="Q329" s="583"/>
      <c r="R329" s="583"/>
      <c r="S329" s="583"/>
      <c r="T329" s="583"/>
      <c r="U329" s="583"/>
      <c r="V329" s="583"/>
      <c r="W329" s="583"/>
      <c r="X329" s="583"/>
      <c r="Y329" s="583"/>
      <c r="Z329" s="583"/>
      <c r="AA329" s="583"/>
      <c r="AB329" s="583"/>
      <c r="AC329" s="583"/>
      <c r="AD329" s="583"/>
      <c r="AE329" s="583"/>
      <c r="AF329" s="583"/>
    </row>
    <row r="330" ht="19.5" customHeight="1">
      <c r="A330" s="647"/>
      <c r="B330" s="647"/>
      <c r="C330" s="647"/>
      <c r="D330" s="649"/>
      <c r="E330" s="647"/>
      <c r="F330" s="649"/>
      <c r="G330" s="649"/>
      <c r="H330" s="647"/>
      <c r="I330" s="583"/>
      <c r="J330" s="583"/>
      <c r="K330" s="583"/>
      <c r="L330" s="583"/>
      <c r="M330" s="583"/>
      <c r="N330" s="583"/>
      <c r="O330" s="583"/>
      <c r="P330" s="583"/>
      <c r="Q330" s="583"/>
      <c r="R330" s="583"/>
      <c r="S330" s="583"/>
      <c r="T330" s="583"/>
      <c r="U330" s="583"/>
      <c r="V330" s="583"/>
      <c r="W330" s="583"/>
      <c r="X330" s="583"/>
      <c r="Y330" s="583"/>
      <c r="Z330" s="583"/>
      <c r="AA330" s="583"/>
      <c r="AB330" s="583"/>
      <c r="AC330" s="583"/>
      <c r="AD330" s="583"/>
      <c r="AE330" s="583"/>
      <c r="AF330" s="583"/>
    </row>
    <row r="331" ht="19.5" customHeight="1">
      <c r="A331" s="647"/>
      <c r="B331" s="647"/>
      <c r="C331" s="647"/>
      <c r="D331" s="649"/>
      <c r="E331" s="647"/>
      <c r="F331" s="649"/>
      <c r="G331" s="649"/>
      <c r="H331" s="647"/>
      <c r="I331" s="583"/>
      <c r="J331" s="583"/>
      <c r="K331" s="583"/>
      <c r="L331" s="583"/>
      <c r="M331" s="583"/>
      <c r="N331" s="583"/>
      <c r="O331" s="583"/>
      <c r="P331" s="583"/>
      <c r="Q331" s="583"/>
      <c r="R331" s="583"/>
      <c r="S331" s="583"/>
      <c r="T331" s="583"/>
      <c r="U331" s="583"/>
      <c r="V331" s="583"/>
      <c r="W331" s="583"/>
      <c r="X331" s="583"/>
      <c r="Y331" s="583"/>
      <c r="Z331" s="583"/>
      <c r="AA331" s="583"/>
      <c r="AB331" s="583"/>
      <c r="AC331" s="583"/>
      <c r="AD331" s="583"/>
      <c r="AE331" s="583"/>
      <c r="AF331" s="583"/>
    </row>
    <row r="332" ht="19.5" customHeight="1">
      <c r="A332" s="647"/>
      <c r="B332" s="647"/>
      <c r="C332" s="647"/>
      <c r="D332" s="649"/>
      <c r="E332" s="647"/>
      <c r="F332" s="649"/>
      <c r="G332" s="649"/>
      <c r="H332" s="647"/>
      <c r="I332" s="583"/>
      <c r="J332" s="583"/>
      <c r="K332" s="583"/>
      <c r="L332" s="583"/>
      <c r="M332" s="583"/>
      <c r="N332" s="583"/>
      <c r="O332" s="583"/>
      <c r="P332" s="583"/>
      <c r="Q332" s="583"/>
      <c r="R332" s="583"/>
      <c r="S332" s="583"/>
      <c r="T332" s="583"/>
      <c r="U332" s="583"/>
      <c r="V332" s="583"/>
      <c r="W332" s="583"/>
      <c r="X332" s="583"/>
      <c r="Y332" s="583"/>
      <c r="Z332" s="583"/>
      <c r="AA332" s="583"/>
      <c r="AB332" s="583"/>
      <c r="AC332" s="583"/>
      <c r="AD332" s="583"/>
      <c r="AE332" s="583"/>
      <c r="AF332" s="583"/>
    </row>
    <row r="333" ht="19.5" customHeight="1">
      <c r="A333" s="647"/>
      <c r="B333" s="647"/>
      <c r="C333" s="647"/>
      <c r="D333" s="649"/>
      <c r="E333" s="647"/>
      <c r="F333" s="649"/>
      <c r="G333" s="649"/>
      <c r="H333" s="647"/>
      <c r="I333" s="583"/>
      <c r="J333" s="583"/>
      <c r="K333" s="583"/>
      <c r="L333" s="583"/>
      <c r="M333" s="583"/>
      <c r="N333" s="583"/>
      <c r="O333" s="583"/>
      <c r="P333" s="583"/>
      <c r="Q333" s="583"/>
      <c r="R333" s="583"/>
      <c r="S333" s="583"/>
      <c r="T333" s="583"/>
      <c r="U333" s="583"/>
      <c r="V333" s="583"/>
      <c r="W333" s="583"/>
      <c r="X333" s="583"/>
      <c r="Y333" s="583"/>
      <c r="Z333" s="583"/>
      <c r="AA333" s="583"/>
      <c r="AB333" s="583"/>
      <c r="AC333" s="583"/>
      <c r="AD333" s="583"/>
      <c r="AE333" s="583"/>
      <c r="AF333" s="583"/>
    </row>
    <row r="334" ht="19.5" customHeight="1">
      <c r="A334" s="647"/>
      <c r="B334" s="647"/>
      <c r="C334" s="647"/>
      <c r="D334" s="649"/>
      <c r="E334" s="647"/>
      <c r="F334" s="649"/>
      <c r="G334" s="649"/>
      <c r="H334" s="647"/>
      <c r="I334" s="583"/>
      <c r="J334" s="583"/>
      <c r="K334" s="583"/>
      <c r="L334" s="583"/>
      <c r="M334" s="583"/>
      <c r="N334" s="583"/>
      <c r="O334" s="583"/>
      <c r="P334" s="583"/>
      <c r="Q334" s="583"/>
      <c r="R334" s="583"/>
      <c r="S334" s="583"/>
      <c r="T334" s="583"/>
      <c r="U334" s="583"/>
      <c r="V334" s="583"/>
      <c r="W334" s="583"/>
      <c r="X334" s="583"/>
      <c r="Y334" s="583"/>
      <c r="Z334" s="583"/>
      <c r="AA334" s="583"/>
      <c r="AB334" s="583"/>
      <c r="AC334" s="583"/>
      <c r="AD334" s="583"/>
      <c r="AE334" s="583"/>
      <c r="AF334" s="583"/>
    </row>
    <row r="335" ht="19.5" customHeight="1">
      <c r="A335" s="647"/>
      <c r="B335" s="647"/>
      <c r="C335" s="647"/>
      <c r="D335" s="649"/>
      <c r="E335" s="647"/>
      <c r="F335" s="649"/>
      <c r="G335" s="649"/>
      <c r="H335" s="647"/>
      <c r="I335" s="583"/>
      <c r="J335" s="583"/>
      <c r="K335" s="583"/>
      <c r="L335" s="583"/>
      <c r="M335" s="583"/>
      <c r="N335" s="583"/>
      <c r="O335" s="583"/>
      <c r="P335" s="583"/>
      <c r="Q335" s="583"/>
      <c r="R335" s="583"/>
      <c r="S335" s="583"/>
      <c r="T335" s="583"/>
      <c r="U335" s="583"/>
      <c r="V335" s="583"/>
      <c r="W335" s="583"/>
      <c r="X335" s="583"/>
      <c r="Y335" s="583"/>
      <c r="Z335" s="583"/>
      <c r="AA335" s="583"/>
      <c r="AB335" s="583"/>
      <c r="AC335" s="583"/>
      <c r="AD335" s="583"/>
      <c r="AE335" s="583"/>
      <c r="AF335" s="583"/>
    </row>
    <row r="336" ht="19.5" customHeight="1">
      <c r="A336" s="647"/>
      <c r="B336" s="647"/>
      <c r="C336" s="647"/>
      <c r="D336" s="649"/>
      <c r="E336" s="647"/>
      <c r="F336" s="649"/>
      <c r="G336" s="649"/>
      <c r="H336" s="647"/>
      <c r="I336" s="583"/>
      <c r="J336" s="583"/>
      <c r="K336" s="583"/>
      <c r="L336" s="583"/>
      <c r="M336" s="583"/>
      <c r="N336" s="583"/>
      <c r="O336" s="583"/>
      <c r="P336" s="583"/>
      <c r="Q336" s="583"/>
      <c r="R336" s="583"/>
      <c r="S336" s="583"/>
      <c r="T336" s="583"/>
      <c r="U336" s="583"/>
      <c r="V336" s="583"/>
      <c r="W336" s="583"/>
      <c r="X336" s="583"/>
      <c r="Y336" s="583"/>
      <c r="Z336" s="583"/>
      <c r="AA336" s="583"/>
      <c r="AB336" s="583"/>
      <c r="AC336" s="583"/>
      <c r="AD336" s="583"/>
      <c r="AE336" s="583"/>
      <c r="AF336" s="583"/>
    </row>
    <row r="337" ht="19.5" customHeight="1">
      <c r="A337" s="647"/>
      <c r="B337" s="647"/>
      <c r="C337" s="647"/>
      <c r="D337" s="649"/>
      <c r="E337" s="647"/>
      <c r="F337" s="649"/>
      <c r="G337" s="649"/>
      <c r="H337" s="647"/>
      <c r="I337" s="583"/>
      <c r="J337" s="583"/>
      <c r="K337" s="583"/>
      <c r="L337" s="583"/>
      <c r="M337" s="583"/>
      <c r="N337" s="583"/>
      <c r="O337" s="583"/>
      <c r="P337" s="583"/>
      <c r="Q337" s="583"/>
      <c r="R337" s="583"/>
      <c r="S337" s="583"/>
      <c r="T337" s="583"/>
      <c r="U337" s="583"/>
      <c r="V337" s="583"/>
      <c r="W337" s="583"/>
      <c r="X337" s="583"/>
      <c r="Y337" s="583"/>
      <c r="Z337" s="583"/>
      <c r="AA337" s="583"/>
      <c r="AB337" s="583"/>
      <c r="AC337" s="583"/>
      <c r="AD337" s="583"/>
      <c r="AE337" s="583"/>
      <c r="AF337" s="583"/>
    </row>
    <row r="338" ht="19.5" customHeight="1">
      <c r="A338" s="647"/>
      <c r="B338" s="647"/>
      <c r="C338" s="647"/>
      <c r="D338" s="649"/>
      <c r="E338" s="647"/>
      <c r="F338" s="649"/>
      <c r="G338" s="649"/>
      <c r="H338" s="647"/>
      <c r="I338" s="583"/>
      <c r="J338" s="583"/>
      <c r="K338" s="583"/>
      <c r="L338" s="583"/>
      <c r="M338" s="583"/>
      <c r="N338" s="583"/>
      <c r="O338" s="583"/>
      <c r="P338" s="583"/>
      <c r="Q338" s="583"/>
      <c r="R338" s="583"/>
      <c r="S338" s="583"/>
      <c r="T338" s="583"/>
      <c r="U338" s="583"/>
      <c r="V338" s="583"/>
      <c r="W338" s="583"/>
      <c r="X338" s="583"/>
      <c r="Y338" s="583"/>
      <c r="Z338" s="583"/>
      <c r="AA338" s="583"/>
      <c r="AB338" s="583"/>
      <c r="AC338" s="583"/>
      <c r="AD338" s="583"/>
      <c r="AE338" s="583"/>
      <c r="AF338" s="583"/>
    </row>
    <row r="339" ht="19.5" customHeight="1">
      <c r="A339" s="647"/>
      <c r="B339" s="647"/>
      <c r="C339" s="647"/>
      <c r="D339" s="649"/>
      <c r="E339" s="647"/>
      <c r="F339" s="649"/>
      <c r="G339" s="649"/>
      <c r="H339" s="647"/>
      <c r="I339" s="583"/>
      <c r="J339" s="583"/>
      <c r="K339" s="583"/>
      <c r="L339" s="583"/>
      <c r="M339" s="583"/>
      <c r="N339" s="583"/>
      <c r="O339" s="583"/>
      <c r="P339" s="583"/>
      <c r="Q339" s="583"/>
      <c r="R339" s="583"/>
      <c r="S339" s="583"/>
      <c r="T339" s="583"/>
      <c r="U339" s="583"/>
      <c r="V339" s="583"/>
      <c r="W339" s="583"/>
      <c r="X339" s="583"/>
      <c r="Y339" s="583"/>
      <c r="Z339" s="583"/>
      <c r="AA339" s="583"/>
      <c r="AB339" s="583"/>
      <c r="AC339" s="583"/>
      <c r="AD339" s="583"/>
      <c r="AE339" s="583"/>
      <c r="AF339" s="583"/>
    </row>
    <row r="340" ht="19.5" customHeight="1">
      <c r="A340" s="647"/>
      <c r="B340" s="647"/>
      <c r="C340" s="647"/>
      <c r="D340" s="649"/>
      <c r="E340" s="647"/>
      <c r="F340" s="649"/>
      <c r="G340" s="649"/>
      <c r="H340" s="647"/>
      <c r="I340" s="583"/>
      <c r="J340" s="583"/>
      <c r="K340" s="583"/>
      <c r="L340" s="583"/>
      <c r="M340" s="583"/>
      <c r="N340" s="583"/>
      <c r="O340" s="583"/>
      <c r="P340" s="583"/>
      <c r="Q340" s="583"/>
      <c r="R340" s="583"/>
      <c r="S340" s="583"/>
      <c r="T340" s="583"/>
      <c r="U340" s="583"/>
      <c r="V340" s="583"/>
      <c r="W340" s="583"/>
      <c r="X340" s="583"/>
      <c r="Y340" s="583"/>
      <c r="Z340" s="583"/>
      <c r="AA340" s="583"/>
      <c r="AB340" s="583"/>
      <c r="AC340" s="583"/>
      <c r="AD340" s="583"/>
      <c r="AE340" s="583"/>
      <c r="AF340" s="583"/>
    </row>
    <row r="341" ht="19.5" customHeight="1">
      <c r="A341" s="647"/>
      <c r="B341" s="647"/>
      <c r="C341" s="647"/>
      <c r="D341" s="649"/>
      <c r="E341" s="647"/>
      <c r="F341" s="649"/>
      <c r="G341" s="649"/>
      <c r="H341" s="647"/>
      <c r="I341" s="583"/>
      <c r="J341" s="583"/>
      <c r="K341" s="583"/>
      <c r="L341" s="583"/>
      <c r="M341" s="583"/>
      <c r="N341" s="583"/>
      <c r="O341" s="583"/>
      <c r="P341" s="583"/>
      <c r="Q341" s="583"/>
      <c r="R341" s="583"/>
      <c r="S341" s="583"/>
      <c r="T341" s="583"/>
      <c r="U341" s="583"/>
      <c r="V341" s="583"/>
      <c r="W341" s="583"/>
      <c r="X341" s="583"/>
      <c r="Y341" s="583"/>
      <c r="Z341" s="583"/>
      <c r="AA341" s="583"/>
      <c r="AB341" s="583"/>
      <c r="AC341" s="583"/>
      <c r="AD341" s="583"/>
      <c r="AE341" s="583"/>
      <c r="AF341" s="583"/>
    </row>
    <row r="342" ht="19.5" customHeight="1">
      <c r="A342" s="647"/>
      <c r="B342" s="647"/>
      <c r="C342" s="647"/>
      <c r="D342" s="649"/>
      <c r="E342" s="647"/>
      <c r="F342" s="649"/>
      <c r="G342" s="649"/>
      <c r="H342" s="647"/>
      <c r="I342" s="583"/>
      <c r="J342" s="583"/>
      <c r="K342" s="583"/>
      <c r="L342" s="583"/>
      <c r="M342" s="583"/>
      <c r="N342" s="583"/>
      <c r="O342" s="583"/>
      <c r="P342" s="583"/>
      <c r="Q342" s="583"/>
      <c r="R342" s="583"/>
      <c r="S342" s="583"/>
      <c r="T342" s="583"/>
      <c r="U342" s="583"/>
      <c r="V342" s="583"/>
      <c r="W342" s="583"/>
      <c r="X342" s="583"/>
      <c r="Y342" s="583"/>
      <c r="Z342" s="583"/>
      <c r="AA342" s="583"/>
      <c r="AB342" s="583"/>
      <c r="AC342" s="583"/>
      <c r="AD342" s="583"/>
      <c r="AE342" s="583"/>
      <c r="AF342" s="583"/>
    </row>
    <row r="343" ht="19.5" customHeight="1">
      <c r="A343" s="647"/>
      <c r="B343" s="647"/>
      <c r="C343" s="647"/>
      <c r="D343" s="649"/>
      <c r="E343" s="647"/>
      <c r="F343" s="649"/>
      <c r="G343" s="649"/>
      <c r="H343" s="647"/>
      <c r="I343" s="583"/>
      <c r="J343" s="583"/>
      <c r="K343" s="583"/>
      <c r="L343" s="583"/>
      <c r="M343" s="583"/>
      <c r="N343" s="583"/>
      <c r="O343" s="583"/>
      <c r="P343" s="583"/>
      <c r="Q343" s="583"/>
      <c r="R343" s="583"/>
      <c r="S343" s="583"/>
      <c r="T343" s="583"/>
      <c r="U343" s="583"/>
      <c r="V343" s="583"/>
      <c r="W343" s="583"/>
      <c r="X343" s="583"/>
      <c r="Y343" s="583"/>
      <c r="Z343" s="583"/>
      <c r="AA343" s="583"/>
      <c r="AB343" s="583"/>
      <c r="AC343" s="583"/>
      <c r="AD343" s="583"/>
      <c r="AE343" s="583"/>
      <c r="AF343" s="583"/>
    </row>
    <row r="344" ht="19.5" customHeight="1">
      <c r="A344" s="647"/>
      <c r="B344" s="647"/>
      <c r="C344" s="647"/>
      <c r="D344" s="649"/>
      <c r="E344" s="647"/>
      <c r="F344" s="649"/>
      <c r="G344" s="649"/>
      <c r="H344" s="647"/>
      <c r="I344" s="583"/>
      <c r="J344" s="583"/>
      <c r="K344" s="583"/>
      <c r="L344" s="583"/>
      <c r="M344" s="583"/>
      <c r="N344" s="583"/>
      <c r="O344" s="583"/>
      <c r="P344" s="583"/>
      <c r="Q344" s="583"/>
      <c r="R344" s="583"/>
      <c r="S344" s="583"/>
      <c r="T344" s="583"/>
      <c r="U344" s="583"/>
      <c r="V344" s="583"/>
      <c r="W344" s="583"/>
      <c r="X344" s="583"/>
      <c r="Y344" s="583"/>
      <c r="Z344" s="583"/>
      <c r="AA344" s="583"/>
      <c r="AB344" s="583"/>
      <c r="AC344" s="583"/>
      <c r="AD344" s="583"/>
      <c r="AE344" s="583"/>
      <c r="AF344" s="583"/>
    </row>
    <row r="345" ht="19.5" customHeight="1">
      <c r="A345" s="647"/>
      <c r="B345" s="647"/>
      <c r="C345" s="647"/>
      <c r="D345" s="649"/>
      <c r="E345" s="647"/>
      <c r="F345" s="649"/>
      <c r="G345" s="649"/>
      <c r="H345" s="647"/>
      <c r="I345" s="583"/>
      <c r="J345" s="583"/>
      <c r="K345" s="583"/>
      <c r="L345" s="583"/>
      <c r="M345" s="583"/>
      <c r="N345" s="583"/>
      <c r="O345" s="583"/>
      <c r="P345" s="583"/>
      <c r="Q345" s="583"/>
      <c r="R345" s="583"/>
      <c r="S345" s="583"/>
      <c r="T345" s="583"/>
      <c r="U345" s="583"/>
      <c r="V345" s="583"/>
      <c r="W345" s="583"/>
      <c r="X345" s="583"/>
      <c r="Y345" s="583"/>
      <c r="Z345" s="583"/>
      <c r="AA345" s="583"/>
      <c r="AB345" s="583"/>
      <c r="AC345" s="583"/>
      <c r="AD345" s="583"/>
      <c r="AE345" s="583"/>
      <c r="AF345" s="583"/>
    </row>
    <row r="346" ht="19.5" customHeight="1">
      <c r="A346" s="647"/>
      <c r="B346" s="647"/>
      <c r="C346" s="647"/>
      <c r="D346" s="649"/>
      <c r="E346" s="647"/>
      <c r="F346" s="649"/>
      <c r="G346" s="649"/>
      <c r="H346" s="647"/>
      <c r="I346" s="583"/>
      <c r="J346" s="583"/>
      <c r="K346" s="583"/>
      <c r="L346" s="583"/>
      <c r="M346" s="583"/>
      <c r="N346" s="583"/>
      <c r="O346" s="583"/>
      <c r="P346" s="583"/>
      <c r="Q346" s="583"/>
      <c r="R346" s="583"/>
      <c r="S346" s="583"/>
      <c r="T346" s="583"/>
      <c r="U346" s="583"/>
      <c r="V346" s="583"/>
      <c r="W346" s="583"/>
      <c r="X346" s="583"/>
      <c r="Y346" s="583"/>
      <c r="Z346" s="583"/>
      <c r="AA346" s="583"/>
      <c r="AB346" s="583"/>
      <c r="AC346" s="583"/>
      <c r="AD346" s="583"/>
      <c r="AE346" s="583"/>
      <c r="AF346" s="583"/>
    </row>
    <row r="347" ht="19.5" customHeight="1">
      <c r="A347" s="647"/>
      <c r="B347" s="647"/>
      <c r="C347" s="647"/>
      <c r="D347" s="649"/>
      <c r="E347" s="647"/>
      <c r="F347" s="649"/>
      <c r="G347" s="649"/>
      <c r="H347" s="647"/>
      <c r="I347" s="583"/>
      <c r="J347" s="583"/>
      <c r="K347" s="583"/>
      <c r="L347" s="583"/>
      <c r="M347" s="583"/>
      <c r="N347" s="583"/>
      <c r="O347" s="583"/>
      <c r="P347" s="583"/>
      <c r="Q347" s="583"/>
      <c r="R347" s="583"/>
      <c r="S347" s="583"/>
      <c r="T347" s="583"/>
      <c r="U347" s="583"/>
      <c r="V347" s="583"/>
      <c r="W347" s="583"/>
      <c r="X347" s="583"/>
      <c r="Y347" s="583"/>
      <c r="Z347" s="583"/>
      <c r="AA347" s="583"/>
      <c r="AB347" s="583"/>
      <c r="AC347" s="583"/>
      <c r="AD347" s="583"/>
      <c r="AE347" s="583"/>
      <c r="AF347" s="583"/>
    </row>
    <row r="348" ht="19.5" customHeight="1">
      <c r="A348" s="647"/>
      <c r="B348" s="647"/>
      <c r="C348" s="647"/>
      <c r="D348" s="649"/>
      <c r="E348" s="647"/>
      <c r="F348" s="649"/>
      <c r="G348" s="649"/>
      <c r="H348" s="647"/>
      <c r="I348" s="583"/>
      <c r="J348" s="583"/>
      <c r="K348" s="583"/>
      <c r="L348" s="583"/>
      <c r="M348" s="583"/>
      <c r="N348" s="583"/>
      <c r="O348" s="583"/>
      <c r="P348" s="583"/>
      <c r="Q348" s="583"/>
      <c r="R348" s="583"/>
      <c r="S348" s="583"/>
      <c r="T348" s="583"/>
      <c r="U348" s="583"/>
      <c r="V348" s="583"/>
      <c r="W348" s="583"/>
      <c r="X348" s="583"/>
      <c r="Y348" s="583"/>
      <c r="Z348" s="583"/>
      <c r="AA348" s="583"/>
      <c r="AB348" s="583"/>
      <c r="AC348" s="583"/>
      <c r="AD348" s="583"/>
      <c r="AE348" s="583"/>
      <c r="AF348" s="583"/>
    </row>
    <row r="349" ht="19.5" customHeight="1">
      <c r="A349" s="647"/>
      <c r="B349" s="647"/>
      <c r="C349" s="647"/>
      <c r="D349" s="649"/>
      <c r="E349" s="647"/>
      <c r="F349" s="649"/>
      <c r="G349" s="649"/>
      <c r="H349" s="647"/>
      <c r="I349" s="583"/>
      <c r="J349" s="583"/>
      <c r="K349" s="583"/>
      <c r="L349" s="583"/>
      <c r="M349" s="583"/>
      <c r="N349" s="583"/>
      <c r="O349" s="583"/>
      <c r="P349" s="583"/>
      <c r="Q349" s="583"/>
      <c r="R349" s="583"/>
      <c r="S349" s="583"/>
      <c r="T349" s="583"/>
      <c r="U349" s="583"/>
      <c r="V349" s="583"/>
      <c r="W349" s="583"/>
      <c r="X349" s="583"/>
      <c r="Y349" s="583"/>
      <c r="Z349" s="583"/>
      <c r="AA349" s="583"/>
      <c r="AB349" s="583"/>
      <c r="AC349" s="583"/>
      <c r="AD349" s="583"/>
      <c r="AE349" s="583"/>
      <c r="AF349" s="583"/>
    </row>
    <row r="350" ht="19.5" customHeight="1">
      <c r="A350" s="647"/>
      <c r="B350" s="647"/>
      <c r="C350" s="647"/>
      <c r="D350" s="649"/>
      <c r="E350" s="647"/>
      <c r="F350" s="649"/>
      <c r="G350" s="649"/>
      <c r="H350" s="647"/>
      <c r="I350" s="583"/>
      <c r="J350" s="583"/>
      <c r="K350" s="583"/>
      <c r="L350" s="583"/>
      <c r="M350" s="583"/>
      <c r="N350" s="583"/>
      <c r="O350" s="583"/>
      <c r="P350" s="583"/>
      <c r="Q350" s="583"/>
      <c r="R350" s="583"/>
      <c r="S350" s="583"/>
      <c r="T350" s="583"/>
      <c r="U350" s="583"/>
      <c r="V350" s="583"/>
      <c r="W350" s="583"/>
      <c r="X350" s="583"/>
      <c r="Y350" s="583"/>
      <c r="Z350" s="583"/>
      <c r="AA350" s="583"/>
      <c r="AB350" s="583"/>
      <c r="AC350" s="583"/>
      <c r="AD350" s="583"/>
      <c r="AE350" s="583"/>
      <c r="AF350" s="583"/>
    </row>
    <row r="351" ht="19.5" customHeight="1">
      <c r="A351" s="647"/>
      <c r="B351" s="647"/>
      <c r="C351" s="647"/>
      <c r="D351" s="649"/>
      <c r="E351" s="647"/>
      <c r="F351" s="649"/>
      <c r="G351" s="649"/>
      <c r="H351" s="647"/>
      <c r="I351" s="583"/>
      <c r="J351" s="583"/>
      <c r="K351" s="583"/>
      <c r="L351" s="583"/>
      <c r="M351" s="583"/>
      <c r="N351" s="583"/>
      <c r="O351" s="583"/>
      <c r="P351" s="583"/>
      <c r="Q351" s="583"/>
      <c r="R351" s="583"/>
      <c r="S351" s="583"/>
      <c r="T351" s="583"/>
      <c r="U351" s="583"/>
      <c r="V351" s="583"/>
      <c r="W351" s="583"/>
      <c r="X351" s="583"/>
      <c r="Y351" s="583"/>
      <c r="Z351" s="583"/>
      <c r="AA351" s="583"/>
      <c r="AB351" s="583"/>
      <c r="AC351" s="583"/>
      <c r="AD351" s="583"/>
      <c r="AE351" s="583"/>
      <c r="AF351" s="583"/>
    </row>
    <row r="352" ht="19.5" customHeight="1">
      <c r="A352" s="647"/>
      <c r="B352" s="647"/>
      <c r="C352" s="647"/>
      <c r="D352" s="649"/>
      <c r="E352" s="647"/>
      <c r="F352" s="649"/>
      <c r="G352" s="649"/>
      <c r="H352" s="647"/>
      <c r="I352" s="583"/>
      <c r="J352" s="583"/>
      <c r="K352" s="583"/>
      <c r="L352" s="583"/>
      <c r="M352" s="583"/>
      <c r="N352" s="583"/>
      <c r="O352" s="583"/>
      <c r="P352" s="583"/>
      <c r="Q352" s="583"/>
      <c r="R352" s="583"/>
      <c r="S352" s="583"/>
      <c r="T352" s="583"/>
      <c r="U352" s="583"/>
      <c r="V352" s="583"/>
      <c r="W352" s="583"/>
      <c r="X352" s="583"/>
      <c r="Y352" s="583"/>
      <c r="Z352" s="583"/>
      <c r="AA352" s="583"/>
      <c r="AB352" s="583"/>
      <c r="AC352" s="583"/>
      <c r="AD352" s="583"/>
      <c r="AE352" s="583"/>
      <c r="AF352" s="583"/>
    </row>
    <row r="353" ht="19.5" customHeight="1">
      <c r="A353" s="647"/>
      <c r="B353" s="647"/>
      <c r="C353" s="647"/>
      <c r="D353" s="649"/>
      <c r="E353" s="647"/>
      <c r="F353" s="649"/>
      <c r="G353" s="649"/>
      <c r="H353" s="647"/>
      <c r="I353" s="583"/>
      <c r="J353" s="583"/>
      <c r="K353" s="583"/>
      <c r="L353" s="583"/>
      <c r="M353" s="583"/>
      <c r="N353" s="583"/>
      <c r="O353" s="583"/>
      <c r="P353" s="583"/>
      <c r="Q353" s="583"/>
      <c r="R353" s="583"/>
      <c r="S353" s="583"/>
      <c r="T353" s="583"/>
      <c r="U353" s="583"/>
      <c r="V353" s="583"/>
      <c r="W353" s="583"/>
      <c r="X353" s="583"/>
      <c r="Y353" s="583"/>
      <c r="Z353" s="583"/>
      <c r="AA353" s="583"/>
      <c r="AB353" s="583"/>
      <c r="AC353" s="583"/>
      <c r="AD353" s="583"/>
      <c r="AE353" s="583"/>
      <c r="AF353" s="583"/>
    </row>
    <row r="354" ht="19.5" customHeight="1">
      <c r="A354" s="647"/>
      <c r="B354" s="647"/>
      <c r="C354" s="647"/>
      <c r="D354" s="649"/>
      <c r="E354" s="647"/>
      <c r="F354" s="649"/>
      <c r="G354" s="649"/>
      <c r="H354" s="647"/>
      <c r="I354" s="583"/>
      <c r="J354" s="583"/>
      <c r="K354" s="583"/>
      <c r="L354" s="583"/>
      <c r="M354" s="583"/>
      <c r="N354" s="583"/>
      <c r="O354" s="583"/>
      <c r="P354" s="583"/>
      <c r="Q354" s="583"/>
      <c r="R354" s="583"/>
      <c r="S354" s="583"/>
      <c r="T354" s="583"/>
      <c r="U354" s="583"/>
      <c r="V354" s="583"/>
      <c r="W354" s="583"/>
      <c r="X354" s="583"/>
      <c r="Y354" s="583"/>
      <c r="Z354" s="583"/>
      <c r="AA354" s="583"/>
      <c r="AB354" s="583"/>
      <c r="AC354" s="583"/>
      <c r="AD354" s="583"/>
      <c r="AE354" s="583"/>
      <c r="AF354" s="583"/>
    </row>
    <row r="355" ht="19.5" customHeight="1">
      <c r="A355" s="647"/>
      <c r="B355" s="647"/>
      <c r="C355" s="647"/>
      <c r="D355" s="649"/>
      <c r="E355" s="647"/>
      <c r="F355" s="649"/>
      <c r="G355" s="649"/>
      <c r="H355" s="647"/>
      <c r="I355" s="583"/>
      <c r="J355" s="583"/>
      <c r="K355" s="583"/>
      <c r="L355" s="583"/>
      <c r="M355" s="583"/>
      <c r="N355" s="583"/>
      <c r="O355" s="583"/>
      <c r="P355" s="583"/>
      <c r="Q355" s="583"/>
      <c r="R355" s="583"/>
      <c r="S355" s="583"/>
      <c r="T355" s="583"/>
      <c r="U355" s="583"/>
      <c r="V355" s="583"/>
      <c r="W355" s="583"/>
      <c r="X355" s="583"/>
      <c r="Y355" s="583"/>
      <c r="Z355" s="583"/>
      <c r="AA355" s="583"/>
      <c r="AB355" s="583"/>
      <c r="AC355" s="583"/>
      <c r="AD355" s="583"/>
      <c r="AE355" s="583"/>
      <c r="AF355" s="583"/>
    </row>
    <row r="356" ht="19.5" customHeight="1">
      <c r="A356" s="647"/>
      <c r="B356" s="647"/>
      <c r="C356" s="647"/>
      <c r="D356" s="649"/>
      <c r="E356" s="647"/>
      <c r="F356" s="649"/>
      <c r="G356" s="649"/>
      <c r="H356" s="647"/>
      <c r="I356" s="583"/>
      <c r="J356" s="583"/>
      <c r="K356" s="583"/>
      <c r="L356" s="583"/>
      <c r="M356" s="583"/>
      <c r="N356" s="583"/>
      <c r="O356" s="583"/>
      <c r="P356" s="583"/>
      <c r="Q356" s="583"/>
      <c r="R356" s="583"/>
      <c r="S356" s="583"/>
      <c r="T356" s="583"/>
      <c r="U356" s="583"/>
      <c r="V356" s="583"/>
      <c r="W356" s="583"/>
      <c r="X356" s="583"/>
      <c r="Y356" s="583"/>
      <c r="Z356" s="583"/>
      <c r="AA356" s="583"/>
      <c r="AB356" s="583"/>
      <c r="AC356" s="583"/>
      <c r="AD356" s="583"/>
      <c r="AE356" s="583"/>
      <c r="AF356" s="583"/>
    </row>
    <row r="357" ht="19.5" customHeight="1">
      <c r="A357" s="647"/>
      <c r="B357" s="647"/>
      <c r="C357" s="647"/>
      <c r="D357" s="649"/>
      <c r="E357" s="647"/>
      <c r="F357" s="649"/>
      <c r="G357" s="649"/>
      <c r="H357" s="647"/>
      <c r="I357" s="583"/>
      <c r="J357" s="583"/>
      <c r="K357" s="583"/>
      <c r="L357" s="583"/>
      <c r="M357" s="583"/>
      <c r="N357" s="583"/>
      <c r="O357" s="583"/>
      <c r="P357" s="583"/>
      <c r="Q357" s="583"/>
      <c r="R357" s="583"/>
      <c r="S357" s="583"/>
      <c r="T357" s="583"/>
      <c r="U357" s="583"/>
      <c r="V357" s="583"/>
      <c r="W357" s="583"/>
      <c r="X357" s="583"/>
      <c r="Y357" s="583"/>
      <c r="Z357" s="583"/>
      <c r="AA357" s="583"/>
      <c r="AB357" s="583"/>
      <c r="AC357" s="583"/>
      <c r="AD357" s="583"/>
      <c r="AE357" s="583"/>
      <c r="AF357" s="583"/>
    </row>
    <row r="358" ht="19.5" customHeight="1">
      <c r="A358" s="647"/>
      <c r="B358" s="647"/>
      <c r="C358" s="647"/>
      <c r="D358" s="649"/>
      <c r="E358" s="647"/>
      <c r="F358" s="649"/>
      <c r="G358" s="649"/>
      <c r="H358" s="647"/>
      <c r="I358" s="583"/>
      <c r="J358" s="583"/>
      <c r="K358" s="583"/>
      <c r="L358" s="583"/>
      <c r="M358" s="583"/>
      <c r="N358" s="583"/>
      <c r="O358" s="583"/>
      <c r="P358" s="583"/>
      <c r="Q358" s="583"/>
      <c r="R358" s="583"/>
      <c r="S358" s="583"/>
      <c r="T358" s="583"/>
      <c r="U358" s="583"/>
      <c r="V358" s="583"/>
      <c r="W358" s="583"/>
      <c r="X358" s="583"/>
      <c r="Y358" s="583"/>
      <c r="Z358" s="583"/>
      <c r="AA358" s="583"/>
      <c r="AB358" s="583"/>
      <c r="AC358" s="583"/>
      <c r="AD358" s="583"/>
      <c r="AE358" s="583"/>
      <c r="AF358" s="583"/>
    </row>
    <row r="359" ht="19.5" customHeight="1">
      <c r="A359" s="647"/>
      <c r="B359" s="647"/>
      <c r="C359" s="647"/>
      <c r="D359" s="649"/>
      <c r="E359" s="647"/>
      <c r="F359" s="649"/>
      <c r="G359" s="649"/>
      <c r="H359" s="647"/>
      <c r="I359" s="583"/>
      <c r="J359" s="583"/>
      <c r="K359" s="583"/>
      <c r="L359" s="583"/>
      <c r="M359" s="583"/>
      <c r="N359" s="583"/>
      <c r="O359" s="583"/>
      <c r="P359" s="583"/>
      <c r="Q359" s="583"/>
      <c r="R359" s="583"/>
      <c r="S359" s="583"/>
      <c r="T359" s="583"/>
      <c r="U359" s="583"/>
      <c r="V359" s="583"/>
      <c r="W359" s="583"/>
      <c r="X359" s="583"/>
      <c r="Y359" s="583"/>
      <c r="Z359" s="583"/>
      <c r="AA359" s="583"/>
      <c r="AB359" s="583"/>
      <c r="AC359" s="583"/>
      <c r="AD359" s="583"/>
      <c r="AE359" s="583"/>
      <c r="AF359" s="583"/>
    </row>
    <row r="360" ht="19.5" customHeight="1">
      <c r="A360" s="647"/>
      <c r="B360" s="647"/>
      <c r="C360" s="647"/>
      <c r="D360" s="649"/>
      <c r="E360" s="647"/>
      <c r="F360" s="649"/>
      <c r="G360" s="649"/>
      <c r="H360" s="647"/>
      <c r="I360" s="583"/>
      <c r="J360" s="583"/>
      <c r="K360" s="583"/>
      <c r="L360" s="583"/>
      <c r="M360" s="583"/>
      <c r="N360" s="583"/>
      <c r="O360" s="583"/>
      <c r="P360" s="583"/>
      <c r="Q360" s="583"/>
      <c r="R360" s="583"/>
      <c r="S360" s="583"/>
      <c r="T360" s="583"/>
      <c r="U360" s="583"/>
      <c r="V360" s="583"/>
      <c r="W360" s="583"/>
      <c r="X360" s="583"/>
      <c r="Y360" s="583"/>
      <c r="Z360" s="583"/>
      <c r="AA360" s="583"/>
      <c r="AB360" s="583"/>
      <c r="AC360" s="583"/>
      <c r="AD360" s="583"/>
      <c r="AE360" s="583"/>
      <c r="AF360" s="583"/>
    </row>
    <row r="361" ht="19.5" customHeight="1">
      <c r="A361" s="647"/>
      <c r="B361" s="647"/>
      <c r="C361" s="647"/>
      <c r="D361" s="649"/>
      <c r="E361" s="647"/>
      <c r="F361" s="649"/>
      <c r="G361" s="649"/>
      <c r="H361" s="647"/>
      <c r="I361" s="583"/>
      <c r="J361" s="583"/>
      <c r="K361" s="583"/>
      <c r="L361" s="583"/>
      <c r="M361" s="583"/>
      <c r="N361" s="583"/>
      <c r="O361" s="583"/>
      <c r="P361" s="583"/>
      <c r="Q361" s="583"/>
      <c r="R361" s="583"/>
      <c r="S361" s="583"/>
      <c r="T361" s="583"/>
      <c r="U361" s="583"/>
      <c r="V361" s="583"/>
      <c r="W361" s="583"/>
      <c r="X361" s="583"/>
      <c r="Y361" s="583"/>
      <c r="Z361" s="583"/>
      <c r="AA361" s="583"/>
      <c r="AB361" s="583"/>
      <c r="AC361" s="583"/>
      <c r="AD361" s="583"/>
      <c r="AE361" s="583"/>
      <c r="AF361" s="583"/>
    </row>
    <row r="362" ht="19.5" customHeight="1">
      <c r="A362" s="647"/>
      <c r="B362" s="647"/>
      <c r="C362" s="647"/>
      <c r="D362" s="649"/>
      <c r="E362" s="647"/>
      <c r="F362" s="649"/>
      <c r="G362" s="649"/>
      <c r="H362" s="647"/>
      <c r="I362" s="583"/>
      <c r="J362" s="583"/>
      <c r="K362" s="583"/>
      <c r="L362" s="583"/>
      <c r="M362" s="583"/>
      <c r="N362" s="583"/>
      <c r="O362" s="583"/>
      <c r="P362" s="583"/>
      <c r="Q362" s="583"/>
      <c r="R362" s="583"/>
      <c r="S362" s="583"/>
      <c r="T362" s="583"/>
      <c r="U362" s="583"/>
      <c r="V362" s="583"/>
      <c r="W362" s="583"/>
      <c r="X362" s="583"/>
      <c r="Y362" s="583"/>
      <c r="Z362" s="583"/>
      <c r="AA362" s="583"/>
      <c r="AB362" s="583"/>
      <c r="AC362" s="583"/>
      <c r="AD362" s="583"/>
      <c r="AE362" s="583"/>
      <c r="AF362" s="583"/>
    </row>
    <row r="363" ht="19.5" customHeight="1">
      <c r="A363" s="647"/>
      <c r="B363" s="647"/>
      <c r="C363" s="647"/>
      <c r="D363" s="649"/>
      <c r="E363" s="647"/>
      <c r="F363" s="649"/>
      <c r="G363" s="649"/>
      <c r="H363" s="647"/>
      <c r="I363" s="583"/>
      <c r="J363" s="583"/>
      <c r="K363" s="583"/>
      <c r="L363" s="583"/>
      <c r="M363" s="583"/>
      <c r="N363" s="583"/>
      <c r="O363" s="583"/>
      <c r="P363" s="583"/>
      <c r="Q363" s="583"/>
      <c r="R363" s="583"/>
      <c r="S363" s="583"/>
      <c r="T363" s="583"/>
      <c r="U363" s="583"/>
      <c r="V363" s="583"/>
      <c r="W363" s="583"/>
      <c r="X363" s="583"/>
      <c r="Y363" s="583"/>
      <c r="Z363" s="583"/>
      <c r="AA363" s="583"/>
      <c r="AB363" s="583"/>
      <c r="AC363" s="583"/>
      <c r="AD363" s="583"/>
      <c r="AE363" s="583"/>
      <c r="AF363" s="583"/>
    </row>
    <row r="364" ht="19.5" customHeight="1">
      <c r="A364" s="647"/>
      <c r="B364" s="647"/>
      <c r="C364" s="647"/>
      <c r="D364" s="649"/>
      <c r="E364" s="647"/>
      <c r="F364" s="649"/>
      <c r="G364" s="649"/>
      <c r="H364" s="647"/>
      <c r="I364" s="583"/>
      <c r="J364" s="583"/>
      <c r="K364" s="583"/>
      <c r="L364" s="583"/>
      <c r="M364" s="583"/>
      <c r="N364" s="583"/>
      <c r="O364" s="583"/>
      <c r="P364" s="583"/>
      <c r="Q364" s="583"/>
      <c r="R364" s="583"/>
      <c r="S364" s="583"/>
      <c r="T364" s="583"/>
      <c r="U364" s="583"/>
      <c r="V364" s="583"/>
      <c r="W364" s="583"/>
      <c r="X364" s="583"/>
      <c r="Y364" s="583"/>
      <c r="Z364" s="583"/>
      <c r="AA364" s="583"/>
      <c r="AB364" s="583"/>
      <c r="AC364" s="583"/>
      <c r="AD364" s="583"/>
      <c r="AE364" s="583"/>
      <c r="AF364" s="583"/>
    </row>
    <row r="365" ht="19.5" customHeight="1">
      <c r="A365" s="647"/>
      <c r="B365" s="647"/>
      <c r="C365" s="647"/>
      <c r="D365" s="649"/>
      <c r="E365" s="647"/>
      <c r="F365" s="649"/>
      <c r="G365" s="649"/>
      <c r="H365" s="647"/>
      <c r="I365" s="583"/>
      <c r="J365" s="583"/>
      <c r="K365" s="583"/>
      <c r="L365" s="583"/>
      <c r="M365" s="583"/>
      <c r="N365" s="583"/>
      <c r="O365" s="583"/>
      <c r="P365" s="583"/>
      <c r="Q365" s="583"/>
      <c r="R365" s="583"/>
      <c r="S365" s="583"/>
      <c r="T365" s="583"/>
      <c r="U365" s="583"/>
      <c r="V365" s="583"/>
      <c r="W365" s="583"/>
      <c r="X365" s="583"/>
      <c r="Y365" s="583"/>
      <c r="Z365" s="583"/>
      <c r="AA365" s="583"/>
      <c r="AB365" s="583"/>
      <c r="AC365" s="583"/>
      <c r="AD365" s="583"/>
      <c r="AE365" s="583"/>
      <c r="AF365" s="583"/>
    </row>
    <row r="366" ht="19.5" customHeight="1">
      <c r="A366" s="647"/>
      <c r="B366" s="647"/>
      <c r="C366" s="647"/>
      <c r="D366" s="649"/>
      <c r="E366" s="647"/>
      <c r="F366" s="649"/>
      <c r="G366" s="649"/>
      <c r="H366" s="647"/>
      <c r="I366" s="583"/>
      <c r="J366" s="583"/>
      <c r="K366" s="583"/>
      <c r="L366" s="583"/>
      <c r="M366" s="583"/>
      <c r="N366" s="583"/>
      <c r="O366" s="583"/>
      <c r="P366" s="583"/>
      <c r="Q366" s="583"/>
      <c r="R366" s="583"/>
      <c r="S366" s="583"/>
      <c r="T366" s="583"/>
      <c r="U366" s="583"/>
      <c r="V366" s="583"/>
      <c r="W366" s="583"/>
      <c r="X366" s="583"/>
      <c r="Y366" s="583"/>
      <c r="Z366" s="583"/>
      <c r="AA366" s="583"/>
      <c r="AB366" s="583"/>
      <c r="AC366" s="583"/>
      <c r="AD366" s="583"/>
      <c r="AE366" s="583"/>
      <c r="AF366" s="583"/>
    </row>
    <row r="367" ht="19.5" customHeight="1">
      <c r="A367" s="647"/>
      <c r="B367" s="647"/>
      <c r="C367" s="647"/>
      <c r="D367" s="649"/>
      <c r="E367" s="647"/>
      <c r="F367" s="649"/>
      <c r="G367" s="649"/>
      <c r="H367" s="647"/>
      <c r="I367" s="583"/>
      <c r="J367" s="583"/>
      <c r="K367" s="583"/>
      <c r="L367" s="583"/>
      <c r="M367" s="583"/>
      <c r="N367" s="583"/>
      <c r="O367" s="583"/>
      <c r="P367" s="583"/>
      <c r="Q367" s="583"/>
      <c r="R367" s="583"/>
      <c r="S367" s="583"/>
      <c r="T367" s="583"/>
      <c r="U367" s="583"/>
      <c r="V367" s="583"/>
      <c r="W367" s="583"/>
      <c r="X367" s="583"/>
      <c r="Y367" s="583"/>
      <c r="Z367" s="583"/>
      <c r="AA367" s="583"/>
      <c r="AB367" s="583"/>
      <c r="AC367" s="583"/>
      <c r="AD367" s="583"/>
      <c r="AE367" s="583"/>
      <c r="AF367" s="583"/>
    </row>
    <row r="368" ht="19.5" customHeight="1">
      <c r="A368" s="647"/>
      <c r="B368" s="647"/>
      <c r="C368" s="647"/>
      <c r="D368" s="649"/>
      <c r="E368" s="647"/>
      <c r="F368" s="649"/>
      <c r="G368" s="649"/>
      <c r="H368" s="647"/>
      <c r="I368" s="583"/>
      <c r="J368" s="583"/>
      <c r="K368" s="583"/>
      <c r="L368" s="583"/>
      <c r="M368" s="583"/>
      <c r="N368" s="583"/>
      <c r="O368" s="583"/>
      <c r="P368" s="583"/>
      <c r="Q368" s="583"/>
      <c r="R368" s="583"/>
      <c r="S368" s="583"/>
      <c r="T368" s="583"/>
      <c r="U368" s="583"/>
      <c r="V368" s="583"/>
      <c r="W368" s="583"/>
      <c r="X368" s="583"/>
      <c r="Y368" s="583"/>
      <c r="Z368" s="583"/>
      <c r="AA368" s="583"/>
      <c r="AB368" s="583"/>
      <c r="AC368" s="583"/>
      <c r="AD368" s="583"/>
      <c r="AE368" s="583"/>
      <c r="AF368" s="583"/>
    </row>
    <row r="369" ht="19.5" customHeight="1">
      <c r="A369" s="647"/>
      <c r="B369" s="647"/>
      <c r="C369" s="647"/>
      <c r="D369" s="649"/>
      <c r="E369" s="647"/>
      <c r="F369" s="649"/>
      <c r="G369" s="649"/>
      <c r="H369" s="647"/>
      <c r="I369" s="583"/>
      <c r="J369" s="583"/>
      <c r="K369" s="583"/>
      <c r="L369" s="583"/>
      <c r="M369" s="583"/>
      <c r="N369" s="583"/>
      <c r="O369" s="583"/>
      <c r="P369" s="583"/>
      <c r="Q369" s="583"/>
      <c r="R369" s="583"/>
      <c r="S369" s="583"/>
      <c r="T369" s="583"/>
      <c r="U369" s="583"/>
      <c r="V369" s="583"/>
      <c r="W369" s="583"/>
      <c r="X369" s="583"/>
      <c r="Y369" s="583"/>
      <c r="Z369" s="583"/>
      <c r="AA369" s="583"/>
      <c r="AB369" s="583"/>
      <c r="AC369" s="583"/>
      <c r="AD369" s="583"/>
      <c r="AE369" s="583"/>
      <c r="AF369" s="583"/>
    </row>
    <row r="370" ht="19.5" customHeight="1">
      <c r="A370" s="647"/>
      <c r="B370" s="647"/>
      <c r="C370" s="647"/>
      <c r="D370" s="649"/>
      <c r="E370" s="647"/>
      <c r="F370" s="649"/>
      <c r="G370" s="649"/>
      <c r="H370" s="647"/>
      <c r="I370" s="583"/>
      <c r="J370" s="583"/>
      <c r="K370" s="583"/>
      <c r="L370" s="583"/>
      <c r="M370" s="583"/>
      <c r="N370" s="583"/>
      <c r="O370" s="583"/>
      <c r="P370" s="583"/>
      <c r="Q370" s="583"/>
      <c r="R370" s="583"/>
      <c r="S370" s="583"/>
      <c r="T370" s="583"/>
      <c r="U370" s="583"/>
      <c r="V370" s="583"/>
      <c r="W370" s="583"/>
      <c r="X370" s="583"/>
      <c r="Y370" s="583"/>
      <c r="Z370" s="583"/>
      <c r="AA370" s="583"/>
      <c r="AB370" s="583"/>
      <c r="AC370" s="583"/>
      <c r="AD370" s="583"/>
      <c r="AE370" s="583"/>
      <c r="AF370" s="583"/>
    </row>
    <row r="371" ht="19.5" customHeight="1">
      <c r="A371" s="647"/>
      <c r="B371" s="647"/>
      <c r="C371" s="647"/>
      <c r="D371" s="649"/>
      <c r="E371" s="647"/>
      <c r="F371" s="649"/>
      <c r="G371" s="649"/>
      <c r="H371" s="647"/>
      <c r="I371" s="583"/>
      <c r="J371" s="583"/>
      <c r="K371" s="583"/>
      <c r="L371" s="583"/>
      <c r="M371" s="583"/>
      <c r="N371" s="583"/>
      <c r="O371" s="583"/>
      <c r="P371" s="583"/>
      <c r="Q371" s="583"/>
      <c r="R371" s="583"/>
      <c r="S371" s="583"/>
      <c r="T371" s="583"/>
      <c r="U371" s="583"/>
      <c r="V371" s="583"/>
      <c r="W371" s="583"/>
      <c r="X371" s="583"/>
      <c r="Y371" s="583"/>
      <c r="Z371" s="583"/>
      <c r="AA371" s="583"/>
      <c r="AB371" s="583"/>
      <c r="AC371" s="583"/>
      <c r="AD371" s="583"/>
      <c r="AE371" s="583"/>
      <c r="AF371" s="583"/>
    </row>
    <row r="372" ht="19.5" customHeight="1">
      <c r="A372" s="647"/>
      <c r="B372" s="647"/>
      <c r="C372" s="647"/>
      <c r="D372" s="649"/>
      <c r="E372" s="647"/>
      <c r="F372" s="649"/>
      <c r="G372" s="649"/>
      <c r="H372" s="647"/>
      <c r="I372" s="583"/>
      <c r="J372" s="583"/>
      <c r="K372" s="583"/>
      <c r="L372" s="583"/>
      <c r="M372" s="583"/>
      <c r="N372" s="583"/>
      <c r="O372" s="583"/>
      <c r="P372" s="583"/>
      <c r="Q372" s="583"/>
      <c r="R372" s="583"/>
      <c r="S372" s="583"/>
      <c r="T372" s="583"/>
      <c r="U372" s="583"/>
      <c r="V372" s="583"/>
      <c r="W372" s="583"/>
      <c r="X372" s="583"/>
      <c r="Y372" s="583"/>
      <c r="Z372" s="583"/>
      <c r="AA372" s="583"/>
      <c r="AB372" s="583"/>
      <c r="AC372" s="583"/>
      <c r="AD372" s="583"/>
      <c r="AE372" s="583"/>
      <c r="AF372" s="583"/>
    </row>
    <row r="373" ht="19.5" customHeight="1">
      <c r="A373" s="647"/>
      <c r="B373" s="647"/>
      <c r="C373" s="647"/>
      <c r="D373" s="649"/>
      <c r="E373" s="647"/>
      <c r="F373" s="649"/>
      <c r="G373" s="649"/>
      <c r="H373" s="647"/>
      <c r="I373" s="583"/>
      <c r="J373" s="583"/>
      <c r="K373" s="583"/>
      <c r="L373" s="583"/>
      <c r="M373" s="583"/>
      <c r="N373" s="583"/>
      <c r="O373" s="583"/>
      <c r="P373" s="583"/>
      <c r="Q373" s="583"/>
      <c r="R373" s="583"/>
      <c r="S373" s="583"/>
      <c r="T373" s="583"/>
      <c r="U373" s="583"/>
      <c r="V373" s="583"/>
      <c r="W373" s="583"/>
      <c r="X373" s="583"/>
      <c r="Y373" s="583"/>
      <c r="Z373" s="583"/>
      <c r="AA373" s="583"/>
      <c r="AB373" s="583"/>
      <c r="AC373" s="583"/>
      <c r="AD373" s="583"/>
      <c r="AE373" s="583"/>
      <c r="AF373" s="583"/>
    </row>
    <row r="374" ht="19.5" customHeight="1">
      <c r="A374" s="647"/>
      <c r="B374" s="647"/>
      <c r="C374" s="647"/>
      <c r="D374" s="649"/>
      <c r="E374" s="647"/>
      <c r="F374" s="649"/>
      <c r="G374" s="649"/>
      <c r="H374" s="647"/>
      <c r="I374" s="583"/>
      <c r="J374" s="583"/>
      <c r="K374" s="583"/>
      <c r="L374" s="583"/>
      <c r="M374" s="583"/>
      <c r="N374" s="583"/>
      <c r="O374" s="583"/>
      <c r="P374" s="583"/>
      <c r="Q374" s="583"/>
      <c r="R374" s="583"/>
      <c r="S374" s="583"/>
      <c r="T374" s="583"/>
      <c r="U374" s="583"/>
      <c r="V374" s="583"/>
      <c r="W374" s="583"/>
      <c r="X374" s="583"/>
      <c r="Y374" s="583"/>
      <c r="Z374" s="583"/>
      <c r="AA374" s="583"/>
      <c r="AB374" s="583"/>
      <c r="AC374" s="583"/>
      <c r="AD374" s="583"/>
      <c r="AE374" s="583"/>
      <c r="AF374" s="583"/>
    </row>
    <row r="375" ht="19.5" customHeight="1">
      <c r="A375" s="647"/>
      <c r="B375" s="647"/>
      <c r="C375" s="647"/>
      <c r="D375" s="649"/>
      <c r="E375" s="647"/>
      <c r="F375" s="649"/>
      <c r="G375" s="649"/>
      <c r="H375" s="647"/>
      <c r="I375" s="583"/>
      <c r="J375" s="583"/>
      <c r="K375" s="583"/>
      <c r="L375" s="583"/>
      <c r="M375" s="583"/>
      <c r="N375" s="583"/>
      <c r="O375" s="583"/>
      <c r="P375" s="583"/>
      <c r="Q375" s="583"/>
      <c r="R375" s="583"/>
      <c r="S375" s="583"/>
      <c r="T375" s="583"/>
      <c r="U375" s="583"/>
      <c r="V375" s="583"/>
      <c r="W375" s="583"/>
      <c r="X375" s="583"/>
      <c r="Y375" s="583"/>
      <c r="Z375" s="583"/>
      <c r="AA375" s="583"/>
      <c r="AB375" s="583"/>
      <c r="AC375" s="583"/>
      <c r="AD375" s="583"/>
      <c r="AE375" s="583"/>
      <c r="AF375" s="583"/>
    </row>
    <row r="376" ht="19.5" customHeight="1">
      <c r="A376" s="647"/>
      <c r="B376" s="647"/>
      <c r="C376" s="647"/>
      <c r="D376" s="649"/>
      <c r="E376" s="647"/>
      <c r="F376" s="649"/>
      <c r="G376" s="649"/>
      <c r="H376" s="647"/>
      <c r="I376" s="583"/>
      <c r="J376" s="583"/>
      <c r="K376" s="583"/>
      <c r="L376" s="583"/>
      <c r="M376" s="583"/>
      <c r="N376" s="583"/>
      <c r="O376" s="583"/>
      <c r="P376" s="583"/>
      <c r="Q376" s="583"/>
      <c r="R376" s="583"/>
      <c r="S376" s="583"/>
      <c r="T376" s="583"/>
      <c r="U376" s="583"/>
      <c r="V376" s="583"/>
      <c r="W376" s="583"/>
      <c r="X376" s="583"/>
      <c r="Y376" s="583"/>
      <c r="Z376" s="583"/>
      <c r="AA376" s="583"/>
      <c r="AB376" s="583"/>
      <c r="AC376" s="583"/>
      <c r="AD376" s="583"/>
      <c r="AE376" s="583"/>
      <c r="AF376" s="583"/>
    </row>
    <row r="377" ht="19.5" customHeight="1">
      <c r="A377" s="647"/>
      <c r="B377" s="647"/>
      <c r="C377" s="647"/>
      <c r="D377" s="649"/>
      <c r="E377" s="647"/>
      <c r="F377" s="649"/>
      <c r="G377" s="649"/>
      <c r="H377" s="647"/>
      <c r="I377" s="583"/>
      <c r="J377" s="583"/>
      <c r="K377" s="583"/>
      <c r="L377" s="583"/>
      <c r="M377" s="583"/>
      <c r="N377" s="583"/>
      <c r="O377" s="583"/>
      <c r="P377" s="583"/>
      <c r="Q377" s="583"/>
      <c r="R377" s="583"/>
      <c r="S377" s="583"/>
      <c r="T377" s="583"/>
      <c r="U377" s="583"/>
      <c r="V377" s="583"/>
      <c r="W377" s="583"/>
      <c r="X377" s="583"/>
      <c r="Y377" s="583"/>
      <c r="Z377" s="583"/>
      <c r="AA377" s="583"/>
      <c r="AB377" s="583"/>
      <c r="AC377" s="583"/>
      <c r="AD377" s="583"/>
      <c r="AE377" s="583"/>
      <c r="AF377" s="583"/>
    </row>
    <row r="378" ht="19.5" customHeight="1">
      <c r="A378" s="647"/>
      <c r="B378" s="647"/>
      <c r="C378" s="647"/>
      <c r="D378" s="649"/>
      <c r="E378" s="647"/>
      <c r="F378" s="649"/>
      <c r="G378" s="649"/>
      <c r="H378" s="647"/>
      <c r="I378" s="583"/>
      <c r="J378" s="583"/>
      <c r="K378" s="583"/>
      <c r="L378" s="583"/>
      <c r="M378" s="583"/>
      <c r="N378" s="583"/>
      <c r="O378" s="583"/>
      <c r="P378" s="583"/>
      <c r="Q378" s="583"/>
      <c r="R378" s="583"/>
      <c r="S378" s="583"/>
      <c r="T378" s="583"/>
      <c r="U378" s="583"/>
      <c r="V378" s="583"/>
      <c r="W378" s="583"/>
      <c r="X378" s="583"/>
      <c r="Y378" s="583"/>
      <c r="Z378" s="583"/>
      <c r="AA378" s="583"/>
      <c r="AB378" s="583"/>
      <c r="AC378" s="583"/>
      <c r="AD378" s="583"/>
      <c r="AE378" s="583"/>
      <c r="AF378" s="583"/>
    </row>
    <row r="379" ht="19.5" customHeight="1">
      <c r="A379" s="647"/>
      <c r="B379" s="647"/>
      <c r="C379" s="647"/>
      <c r="D379" s="649"/>
      <c r="E379" s="647"/>
      <c r="F379" s="649"/>
      <c r="G379" s="649"/>
      <c r="H379" s="647"/>
      <c r="I379" s="583"/>
      <c r="J379" s="583"/>
      <c r="K379" s="583"/>
      <c r="L379" s="583"/>
      <c r="M379" s="583"/>
      <c r="N379" s="583"/>
      <c r="O379" s="583"/>
      <c r="P379" s="583"/>
      <c r="Q379" s="583"/>
      <c r="R379" s="583"/>
      <c r="S379" s="583"/>
      <c r="T379" s="583"/>
      <c r="U379" s="583"/>
      <c r="V379" s="583"/>
      <c r="W379" s="583"/>
      <c r="X379" s="583"/>
      <c r="Y379" s="583"/>
      <c r="Z379" s="583"/>
      <c r="AA379" s="583"/>
      <c r="AB379" s="583"/>
      <c r="AC379" s="583"/>
      <c r="AD379" s="583"/>
      <c r="AE379" s="583"/>
      <c r="AF379" s="583"/>
    </row>
    <row r="380" ht="19.5" customHeight="1">
      <c r="A380" s="647"/>
      <c r="B380" s="647"/>
      <c r="C380" s="647"/>
      <c r="D380" s="649"/>
      <c r="E380" s="647"/>
      <c r="F380" s="649"/>
      <c r="G380" s="649"/>
      <c r="H380" s="647"/>
      <c r="I380" s="583"/>
      <c r="J380" s="583"/>
      <c r="K380" s="583"/>
      <c r="L380" s="583"/>
      <c r="M380" s="583"/>
      <c r="N380" s="583"/>
      <c r="O380" s="583"/>
      <c r="P380" s="583"/>
      <c r="Q380" s="583"/>
      <c r="R380" s="583"/>
      <c r="S380" s="583"/>
      <c r="T380" s="583"/>
      <c r="U380" s="583"/>
      <c r="V380" s="583"/>
      <c r="W380" s="583"/>
      <c r="X380" s="583"/>
      <c r="Y380" s="583"/>
      <c r="Z380" s="583"/>
      <c r="AA380" s="583"/>
      <c r="AB380" s="583"/>
      <c r="AC380" s="583"/>
      <c r="AD380" s="583"/>
      <c r="AE380" s="583"/>
      <c r="AF380" s="583"/>
    </row>
    <row r="381" ht="19.5" customHeight="1">
      <c r="A381" s="647"/>
      <c r="B381" s="647"/>
      <c r="C381" s="647"/>
      <c r="D381" s="649"/>
      <c r="E381" s="647"/>
      <c r="F381" s="649"/>
      <c r="G381" s="649"/>
      <c r="H381" s="647"/>
      <c r="I381" s="583"/>
      <c r="J381" s="583"/>
      <c r="K381" s="583"/>
      <c r="L381" s="583"/>
      <c r="M381" s="583"/>
      <c r="N381" s="583"/>
      <c r="O381" s="583"/>
      <c r="P381" s="583"/>
      <c r="Q381" s="583"/>
      <c r="R381" s="583"/>
      <c r="S381" s="583"/>
      <c r="T381" s="583"/>
      <c r="U381" s="583"/>
      <c r="V381" s="583"/>
      <c r="W381" s="583"/>
      <c r="X381" s="583"/>
      <c r="Y381" s="583"/>
      <c r="Z381" s="583"/>
      <c r="AA381" s="583"/>
      <c r="AB381" s="583"/>
      <c r="AC381" s="583"/>
      <c r="AD381" s="583"/>
      <c r="AE381" s="583"/>
      <c r="AF381" s="583"/>
    </row>
    <row r="382" ht="19.5" customHeight="1">
      <c r="A382" s="647"/>
      <c r="B382" s="647"/>
      <c r="C382" s="647"/>
      <c r="D382" s="649"/>
      <c r="E382" s="647"/>
      <c r="F382" s="649"/>
      <c r="G382" s="649"/>
      <c r="H382" s="647"/>
      <c r="I382" s="583"/>
      <c r="J382" s="583"/>
      <c r="K382" s="583"/>
      <c r="L382" s="583"/>
      <c r="M382" s="583"/>
      <c r="N382" s="583"/>
      <c r="O382" s="583"/>
      <c r="P382" s="583"/>
      <c r="Q382" s="583"/>
      <c r="R382" s="583"/>
      <c r="S382" s="583"/>
      <c r="T382" s="583"/>
      <c r="U382" s="583"/>
      <c r="V382" s="583"/>
      <c r="W382" s="583"/>
      <c r="X382" s="583"/>
      <c r="Y382" s="583"/>
      <c r="Z382" s="583"/>
      <c r="AA382" s="583"/>
      <c r="AB382" s="583"/>
      <c r="AC382" s="583"/>
      <c r="AD382" s="583"/>
      <c r="AE382" s="583"/>
      <c r="AF382" s="583"/>
    </row>
    <row r="383" ht="19.5" customHeight="1">
      <c r="A383" s="647"/>
      <c r="B383" s="647"/>
      <c r="C383" s="647"/>
      <c r="D383" s="649"/>
      <c r="E383" s="647"/>
      <c r="F383" s="649"/>
      <c r="G383" s="649"/>
      <c r="H383" s="647"/>
      <c r="I383" s="583"/>
      <c r="J383" s="583"/>
      <c r="K383" s="583"/>
      <c r="L383" s="583"/>
      <c r="M383" s="583"/>
      <c r="N383" s="583"/>
      <c r="O383" s="583"/>
      <c r="P383" s="583"/>
      <c r="Q383" s="583"/>
      <c r="R383" s="583"/>
      <c r="S383" s="583"/>
      <c r="T383" s="583"/>
      <c r="U383" s="583"/>
      <c r="V383" s="583"/>
      <c r="W383" s="583"/>
      <c r="X383" s="583"/>
      <c r="Y383" s="583"/>
      <c r="Z383" s="583"/>
      <c r="AA383" s="583"/>
      <c r="AB383" s="583"/>
      <c r="AC383" s="583"/>
      <c r="AD383" s="583"/>
      <c r="AE383" s="583"/>
      <c r="AF383" s="583"/>
    </row>
    <row r="384" ht="19.5" customHeight="1">
      <c r="A384" s="647"/>
      <c r="B384" s="647"/>
      <c r="C384" s="647"/>
      <c r="D384" s="649"/>
      <c r="E384" s="647"/>
      <c r="F384" s="649"/>
      <c r="G384" s="649"/>
      <c r="H384" s="647"/>
      <c r="I384" s="583"/>
      <c r="J384" s="583"/>
      <c r="K384" s="583"/>
      <c r="L384" s="583"/>
      <c r="M384" s="583"/>
      <c r="N384" s="583"/>
      <c r="O384" s="583"/>
      <c r="P384" s="583"/>
      <c r="Q384" s="583"/>
      <c r="R384" s="583"/>
      <c r="S384" s="583"/>
      <c r="T384" s="583"/>
      <c r="U384" s="583"/>
      <c r="V384" s="583"/>
      <c r="W384" s="583"/>
      <c r="X384" s="583"/>
      <c r="Y384" s="583"/>
      <c r="Z384" s="583"/>
      <c r="AA384" s="583"/>
      <c r="AB384" s="583"/>
      <c r="AC384" s="583"/>
      <c r="AD384" s="583"/>
      <c r="AE384" s="583"/>
      <c r="AF384" s="583"/>
    </row>
    <row r="385" ht="19.5" customHeight="1">
      <c r="A385" s="647"/>
      <c r="B385" s="647"/>
      <c r="C385" s="647"/>
      <c r="D385" s="649"/>
      <c r="E385" s="647"/>
      <c r="F385" s="649"/>
      <c r="G385" s="649"/>
      <c r="H385" s="647"/>
      <c r="I385" s="583"/>
      <c r="J385" s="583"/>
      <c r="K385" s="583"/>
      <c r="L385" s="583"/>
      <c r="M385" s="583"/>
      <c r="N385" s="583"/>
      <c r="O385" s="583"/>
      <c r="P385" s="583"/>
      <c r="Q385" s="583"/>
      <c r="R385" s="583"/>
      <c r="S385" s="583"/>
      <c r="T385" s="583"/>
      <c r="U385" s="583"/>
      <c r="V385" s="583"/>
      <c r="W385" s="583"/>
      <c r="X385" s="583"/>
      <c r="Y385" s="583"/>
      <c r="Z385" s="583"/>
      <c r="AA385" s="583"/>
      <c r="AB385" s="583"/>
      <c r="AC385" s="583"/>
      <c r="AD385" s="583"/>
      <c r="AE385" s="583"/>
      <c r="AF385" s="583"/>
    </row>
    <row r="386" ht="19.5" customHeight="1">
      <c r="A386" s="647"/>
      <c r="B386" s="647"/>
      <c r="C386" s="647"/>
      <c r="D386" s="649"/>
      <c r="E386" s="647"/>
      <c r="F386" s="649"/>
      <c r="G386" s="649"/>
      <c r="H386" s="647"/>
      <c r="I386" s="583"/>
      <c r="J386" s="583"/>
      <c r="K386" s="583"/>
      <c r="L386" s="583"/>
      <c r="M386" s="583"/>
      <c r="N386" s="583"/>
      <c r="O386" s="583"/>
      <c r="P386" s="583"/>
      <c r="Q386" s="583"/>
      <c r="R386" s="583"/>
      <c r="S386" s="583"/>
      <c r="T386" s="583"/>
      <c r="U386" s="583"/>
      <c r="V386" s="583"/>
      <c r="W386" s="583"/>
      <c r="X386" s="583"/>
      <c r="Y386" s="583"/>
      <c r="Z386" s="583"/>
      <c r="AA386" s="583"/>
      <c r="AB386" s="583"/>
      <c r="AC386" s="583"/>
      <c r="AD386" s="583"/>
      <c r="AE386" s="583"/>
      <c r="AF386" s="583"/>
    </row>
    <row r="387" ht="19.5" customHeight="1">
      <c r="A387" s="647"/>
      <c r="B387" s="647"/>
      <c r="C387" s="647"/>
      <c r="D387" s="649"/>
      <c r="E387" s="647"/>
      <c r="F387" s="649"/>
      <c r="G387" s="649"/>
      <c r="H387" s="647"/>
      <c r="I387" s="583"/>
      <c r="J387" s="583"/>
      <c r="K387" s="583"/>
      <c r="L387" s="583"/>
      <c r="M387" s="583"/>
      <c r="N387" s="583"/>
      <c r="O387" s="583"/>
      <c r="P387" s="583"/>
      <c r="Q387" s="583"/>
      <c r="R387" s="583"/>
      <c r="S387" s="583"/>
      <c r="T387" s="583"/>
      <c r="U387" s="583"/>
      <c r="V387" s="583"/>
      <c r="W387" s="583"/>
      <c r="X387" s="583"/>
      <c r="Y387" s="583"/>
      <c r="Z387" s="583"/>
      <c r="AA387" s="583"/>
      <c r="AB387" s="583"/>
      <c r="AC387" s="583"/>
      <c r="AD387" s="583"/>
      <c r="AE387" s="583"/>
      <c r="AF387" s="583"/>
    </row>
    <row r="388" ht="19.5" customHeight="1">
      <c r="A388" s="647"/>
      <c r="B388" s="647"/>
      <c r="C388" s="647"/>
      <c r="D388" s="649"/>
      <c r="E388" s="647"/>
      <c r="F388" s="649"/>
      <c r="G388" s="649"/>
      <c r="H388" s="647"/>
      <c r="I388" s="583"/>
      <c r="J388" s="583"/>
      <c r="K388" s="583"/>
      <c r="L388" s="583"/>
      <c r="M388" s="583"/>
      <c r="N388" s="583"/>
      <c r="O388" s="583"/>
      <c r="P388" s="583"/>
      <c r="Q388" s="583"/>
      <c r="R388" s="583"/>
      <c r="S388" s="583"/>
      <c r="T388" s="583"/>
      <c r="U388" s="583"/>
      <c r="V388" s="583"/>
      <c r="W388" s="583"/>
      <c r="X388" s="583"/>
      <c r="Y388" s="583"/>
      <c r="Z388" s="583"/>
      <c r="AA388" s="583"/>
      <c r="AB388" s="583"/>
      <c r="AC388" s="583"/>
      <c r="AD388" s="583"/>
      <c r="AE388" s="583"/>
      <c r="AF388" s="583"/>
    </row>
    <row r="389" ht="19.5" customHeight="1">
      <c r="A389" s="647"/>
      <c r="B389" s="647"/>
      <c r="C389" s="647"/>
      <c r="D389" s="649"/>
      <c r="E389" s="647"/>
      <c r="F389" s="649"/>
      <c r="G389" s="649"/>
      <c r="H389" s="647"/>
      <c r="I389" s="583"/>
      <c r="J389" s="583"/>
      <c r="K389" s="583"/>
      <c r="L389" s="583"/>
      <c r="M389" s="583"/>
      <c r="N389" s="583"/>
      <c r="O389" s="583"/>
      <c r="P389" s="583"/>
      <c r="Q389" s="583"/>
      <c r="R389" s="583"/>
      <c r="S389" s="583"/>
      <c r="T389" s="583"/>
      <c r="U389" s="583"/>
      <c r="V389" s="583"/>
      <c r="W389" s="583"/>
      <c r="X389" s="583"/>
      <c r="Y389" s="583"/>
      <c r="Z389" s="583"/>
      <c r="AA389" s="583"/>
      <c r="AB389" s="583"/>
      <c r="AC389" s="583"/>
      <c r="AD389" s="583"/>
      <c r="AE389" s="583"/>
      <c r="AF389" s="583"/>
    </row>
    <row r="390" ht="19.5" customHeight="1">
      <c r="A390" s="647"/>
      <c r="B390" s="647"/>
      <c r="C390" s="647"/>
      <c r="D390" s="649"/>
      <c r="E390" s="647"/>
      <c r="F390" s="649"/>
      <c r="G390" s="649"/>
      <c r="H390" s="647"/>
      <c r="I390" s="583"/>
      <c r="J390" s="583"/>
      <c r="K390" s="583"/>
      <c r="L390" s="583"/>
      <c r="M390" s="583"/>
      <c r="N390" s="583"/>
      <c r="O390" s="583"/>
      <c r="P390" s="583"/>
      <c r="Q390" s="583"/>
      <c r="R390" s="583"/>
      <c r="S390" s="583"/>
      <c r="T390" s="583"/>
      <c r="U390" s="583"/>
      <c r="V390" s="583"/>
      <c r="W390" s="583"/>
      <c r="X390" s="583"/>
      <c r="Y390" s="583"/>
      <c r="Z390" s="583"/>
      <c r="AA390" s="583"/>
      <c r="AB390" s="583"/>
      <c r="AC390" s="583"/>
      <c r="AD390" s="583"/>
      <c r="AE390" s="583"/>
      <c r="AF390" s="583"/>
    </row>
    <row r="391" ht="19.5" customHeight="1">
      <c r="A391" s="647"/>
      <c r="B391" s="647"/>
      <c r="C391" s="647"/>
      <c r="D391" s="649"/>
      <c r="E391" s="647"/>
      <c r="F391" s="649"/>
      <c r="G391" s="649"/>
      <c r="H391" s="647"/>
      <c r="I391" s="583"/>
      <c r="J391" s="583"/>
      <c r="K391" s="583"/>
      <c r="L391" s="583"/>
      <c r="M391" s="583"/>
      <c r="N391" s="583"/>
      <c r="O391" s="583"/>
      <c r="P391" s="583"/>
      <c r="Q391" s="583"/>
      <c r="R391" s="583"/>
      <c r="S391" s="583"/>
      <c r="T391" s="583"/>
      <c r="U391" s="583"/>
      <c r="V391" s="583"/>
      <c r="W391" s="583"/>
      <c r="X391" s="583"/>
      <c r="Y391" s="583"/>
      <c r="Z391" s="583"/>
      <c r="AA391" s="583"/>
      <c r="AB391" s="583"/>
      <c r="AC391" s="583"/>
      <c r="AD391" s="583"/>
      <c r="AE391" s="583"/>
      <c r="AF391" s="583"/>
    </row>
    <row r="392" ht="19.5" customHeight="1">
      <c r="A392" s="647"/>
      <c r="B392" s="647"/>
      <c r="C392" s="647"/>
      <c r="D392" s="649"/>
      <c r="E392" s="647"/>
      <c r="F392" s="649"/>
      <c r="G392" s="649"/>
      <c r="H392" s="647"/>
      <c r="I392" s="583"/>
      <c r="J392" s="583"/>
      <c r="K392" s="583"/>
      <c r="L392" s="583"/>
      <c r="M392" s="583"/>
      <c r="N392" s="583"/>
      <c r="O392" s="583"/>
      <c r="P392" s="583"/>
      <c r="Q392" s="583"/>
      <c r="R392" s="583"/>
      <c r="S392" s="583"/>
      <c r="T392" s="583"/>
      <c r="U392" s="583"/>
      <c r="V392" s="583"/>
      <c r="W392" s="583"/>
      <c r="X392" s="583"/>
      <c r="Y392" s="583"/>
      <c r="Z392" s="583"/>
      <c r="AA392" s="583"/>
      <c r="AB392" s="583"/>
      <c r="AC392" s="583"/>
      <c r="AD392" s="583"/>
      <c r="AE392" s="583"/>
      <c r="AF392" s="583"/>
    </row>
    <row r="393" ht="19.5" customHeight="1">
      <c r="A393" s="647"/>
      <c r="B393" s="647"/>
      <c r="C393" s="647"/>
      <c r="D393" s="649"/>
      <c r="E393" s="647"/>
      <c r="F393" s="649"/>
      <c r="G393" s="649"/>
      <c r="H393" s="647"/>
      <c r="I393" s="583"/>
      <c r="J393" s="583"/>
      <c r="K393" s="583"/>
      <c r="L393" s="583"/>
      <c r="M393" s="583"/>
      <c r="N393" s="583"/>
      <c r="O393" s="583"/>
      <c r="P393" s="583"/>
      <c r="Q393" s="583"/>
      <c r="R393" s="583"/>
      <c r="S393" s="583"/>
      <c r="T393" s="583"/>
      <c r="U393" s="583"/>
      <c r="V393" s="583"/>
      <c r="W393" s="583"/>
      <c r="X393" s="583"/>
      <c r="Y393" s="583"/>
      <c r="Z393" s="583"/>
      <c r="AA393" s="583"/>
      <c r="AB393" s="583"/>
      <c r="AC393" s="583"/>
      <c r="AD393" s="583"/>
      <c r="AE393" s="583"/>
      <c r="AF393" s="583"/>
    </row>
    <row r="394" ht="19.5" customHeight="1">
      <c r="A394" s="647"/>
      <c r="B394" s="647"/>
      <c r="C394" s="647"/>
      <c r="D394" s="649"/>
      <c r="E394" s="647"/>
      <c r="F394" s="649"/>
      <c r="G394" s="649"/>
      <c r="H394" s="647"/>
      <c r="I394" s="583"/>
      <c r="J394" s="583"/>
      <c r="K394" s="583"/>
      <c r="L394" s="583"/>
      <c r="M394" s="583"/>
      <c r="N394" s="583"/>
      <c r="O394" s="583"/>
      <c r="P394" s="583"/>
      <c r="Q394" s="583"/>
      <c r="R394" s="583"/>
      <c r="S394" s="583"/>
      <c r="T394" s="583"/>
      <c r="U394" s="583"/>
      <c r="V394" s="583"/>
      <c r="W394" s="583"/>
      <c r="X394" s="583"/>
      <c r="Y394" s="583"/>
      <c r="Z394" s="583"/>
      <c r="AA394" s="583"/>
      <c r="AB394" s="583"/>
      <c r="AC394" s="583"/>
      <c r="AD394" s="583"/>
      <c r="AE394" s="583"/>
      <c r="AF394" s="583"/>
    </row>
    <row r="395" ht="19.5" customHeight="1">
      <c r="A395" s="647"/>
      <c r="B395" s="647"/>
      <c r="C395" s="647"/>
      <c r="D395" s="649"/>
      <c r="E395" s="647"/>
      <c r="F395" s="649"/>
      <c r="G395" s="649"/>
      <c r="H395" s="647"/>
      <c r="I395" s="583"/>
      <c r="J395" s="583"/>
      <c r="K395" s="583"/>
      <c r="L395" s="583"/>
      <c r="M395" s="583"/>
      <c r="N395" s="583"/>
      <c r="O395" s="583"/>
      <c r="P395" s="583"/>
      <c r="Q395" s="583"/>
      <c r="R395" s="583"/>
      <c r="S395" s="583"/>
      <c r="T395" s="583"/>
      <c r="U395" s="583"/>
      <c r="V395" s="583"/>
      <c r="W395" s="583"/>
      <c r="X395" s="583"/>
      <c r="Y395" s="583"/>
      <c r="Z395" s="583"/>
      <c r="AA395" s="583"/>
      <c r="AB395" s="583"/>
      <c r="AC395" s="583"/>
      <c r="AD395" s="583"/>
      <c r="AE395" s="583"/>
      <c r="AF395" s="583"/>
    </row>
    <row r="396" ht="19.5" customHeight="1">
      <c r="A396" s="647"/>
      <c r="B396" s="647"/>
      <c r="C396" s="647"/>
      <c r="D396" s="649"/>
      <c r="E396" s="647"/>
      <c r="F396" s="649"/>
      <c r="G396" s="649"/>
      <c r="H396" s="647"/>
      <c r="I396" s="583"/>
      <c r="J396" s="583"/>
      <c r="K396" s="583"/>
      <c r="L396" s="583"/>
      <c r="M396" s="583"/>
      <c r="N396" s="583"/>
      <c r="O396" s="583"/>
      <c r="P396" s="583"/>
      <c r="Q396" s="583"/>
      <c r="R396" s="583"/>
      <c r="S396" s="583"/>
      <c r="T396" s="583"/>
      <c r="U396" s="583"/>
      <c r="V396" s="583"/>
      <c r="W396" s="583"/>
      <c r="X396" s="583"/>
      <c r="Y396" s="583"/>
      <c r="Z396" s="583"/>
      <c r="AA396" s="583"/>
      <c r="AB396" s="583"/>
      <c r="AC396" s="583"/>
      <c r="AD396" s="583"/>
      <c r="AE396" s="583"/>
      <c r="AF396" s="583"/>
    </row>
    <row r="397" ht="19.5" customHeight="1">
      <c r="A397" s="647"/>
      <c r="B397" s="647"/>
      <c r="C397" s="647"/>
      <c r="D397" s="649"/>
      <c r="E397" s="647"/>
      <c r="F397" s="649"/>
      <c r="G397" s="649"/>
      <c r="H397" s="647"/>
      <c r="I397" s="583"/>
      <c r="J397" s="583"/>
      <c r="K397" s="583"/>
      <c r="L397" s="583"/>
      <c r="M397" s="583"/>
      <c r="N397" s="583"/>
      <c r="O397" s="583"/>
      <c r="P397" s="583"/>
      <c r="Q397" s="583"/>
      <c r="R397" s="583"/>
      <c r="S397" s="583"/>
      <c r="T397" s="583"/>
      <c r="U397" s="583"/>
      <c r="V397" s="583"/>
      <c r="W397" s="583"/>
      <c r="X397" s="583"/>
      <c r="Y397" s="583"/>
      <c r="Z397" s="583"/>
      <c r="AA397" s="583"/>
      <c r="AB397" s="583"/>
      <c r="AC397" s="583"/>
      <c r="AD397" s="583"/>
      <c r="AE397" s="583"/>
      <c r="AF397" s="583"/>
    </row>
    <row r="398" ht="19.5" customHeight="1">
      <c r="A398" s="647"/>
      <c r="B398" s="647"/>
      <c r="C398" s="647"/>
      <c r="D398" s="649"/>
      <c r="E398" s="647"/>
      <c r="F398" s="649"/>
      <c r="G398" s="649"/>
      <c r="H398" s="647"/>
      <c r="I398" s="583"/>
      <c r="J398" s="583"/>
      <c r="K398" s="583"/>
      <c r="L398" s="583"/>
      <c r="M398" s="583"/>
      <c r="N398" s="583"/>
      <c r="O398" s="583"/>
      <c r="P398" s="583"/>
      <c r="Q398" s="583"/>
      <c r="R398" s="583"/>
      <c r="S398" s="583"/>
      <c r="T398" s="583"/>
      <c r="U398" s="583"/>
      <c r="V398" s="583"/>
      <c r="W398" s="583"/>
      <c r="X398" s="583"/>
      <c r="Y398" s="583"/>
      <c r="Z398" s="583"/>
      <c r="AA398" s="583"/>
      <c r="AB398" s="583"/>
      <c r="AC398" s="583"/>
      <c r="AD398" s="583"/>
      <c r="AE398" s="583"/>
      <c r="AF398" s="583"/>
    </row>
    <row r="399" ht="19.5" customHeight="1">
      <c r="A399" s="647"/>
      <c r="B399" s="647"/>
      <c r="C399" s="647"/>
      <c r="D399" s="649"/>
      <c r="E399" s="647"/>
      <c r="F399" s="649"/>
      <c r="G399" s="649"/>
      <c r="H399" s="647"/>
      <c r="I399" s="583"/>
      <c r="J399" s="583"/>
      <c r="K399" s="583"/>
      <c r="L399" s="583"/>
      <c r="M399" s="583"/>
      <c r="N399" s="583"/>
      <c r="O399" s="583"/>
      <c r="P399" s="583"/>
      <c r="Q399" s="583"/>
      <c r="R399" s="583"/>
      <c r="S399" s="583"/>
      <c r="T399" s="583"/>
      <c r="U399" s="583"/>
      <c r="V399" s="583"/>
      <c r="W399" s="583"/>
      <c r="X399" s="583"/>
      <c r="Y399" s="583"/>
      <c r="Z399" s="583"/>
      <c r="AA399" s="583"/>
      <c r="AB399" s="583"/>
      <c r="AC399" s="583"/>
      <c r="AD399" s="583"/>
      <c r="AE399" s="583"/>
      <c r="AF399" s="583"/>
    </row>
    <row r="400" ht="19.5" customHeight="1">
      <c r="A400" s="647"/>
      <c r="B400" s="647"/>
      <c r="C400" s="647"/>
      <c r="D400" s="649"/>
      <c r="E400" s="647"/>
      <c r="F400" s="649"/>
      <c r="G400" s="649"/>
      <c r="H400" s="647"/>
      <c r="I400" s="583"/>
      <c r="J400" s="583"/>
      <c r="K400" s="583"/>
      <c r="L400" s="583"/>
      <c r="M400" s="583"/>
      <c r="N400" s="583"/>
      <c r="O400" s="583"/>
      <c r="P400" s="583"/>
      <c r="Q400" s="583"/>
      <c r="R400" s="583"/>
      <c r="S400" s="583"/>
      <c r="T400" s="583"/>
      <c r="U400" s="583"/>
      <c r="V400" s="583"/>
      <c r="W400" s="583"/>
      <c r="X400" s="583"/>
      <c r="Y400" s="583"/>
      <c r="Z400" s="583"/>
      <c r="AA400" s="583"/>
      <c r="AB400" s="583"/>
      <c r="AC400" s="583"/>
      <c r="AD400" s="583"/>
      <c r="AE400" s="583"/>
      <c r="AF400" s="583"/>
    </row>
    <row r="401" ht="19.5" customHeight="1">
      <c r="A401" s="647"/>
      <c r="B401" s="647"/>
      <c r="C401" s="647"/>
      <c r="D401" s="649"/>
      <c r="E401" s="647"/>
      <c r="F401" s="649"/>
      <c r="G401" s="649"/>
      <c r="H401" s="647"/>
      <c r="I401" s="583"/>
      <c r="J401" s="583"/>
      <c r="K401" s="583"/>
      <c r="L401" s="583"/>
      <c r="M401" s="583"/>
      <c r="N401" s="583"/>
      <c r="O401" s="583"/>
      <c r="P401" s="583"/>
      <c r="Q401" s="583"/>
      <c r="R401" s="583"/>
      <c r="S401" s="583"/>
      <c r="T401" s="583"/>
      <c r="U401" s="583"/>
      <c r="V401" s="583"/>
      <c r="W401" s="583"/>
      <c r="X401" s="583"/>
      <c r="Y401" s="583"/>
      <c r="Z401" s="583"/>
      <c r="AA401" s="583"/>
      <c r="AB401" s="583"/>
      <c r="AC401" s="583"/>
      <c r="AD401" s="583"/>
      <c r="AE401" s="583"/>
      <c r="AF401" s="583"/>
    </row>
    <row r="402" ht="19.5" customHeight="1">
      <c r="A402" s="647"/>
      <c r="B402" s="647"/>
      <c r="C402" s="647"/>
      <c r="D402" s="649"/>
      <c r="E402" s="647"/>
      <c r="F402" s="649"/>
      <c r="G402" s="649"/>
      <c r="H402" s="647"/>
      <c r="I402" s="583"/>
      <c r="J402" s="583"/>
      <c r="K402" s="583"/>
      <c r="L402" s="583"/>
      <c r="M402" s="583"/>
      <c r="N402" s="583"/>
      <c r="O402" s="583"/>
      <c r="P402" s="583"/>
      <c r="Q402" s="583"/>
      <c r="R402" s="583"/>
      <c r="S402" s="583"/>
      <c r="T402" s="583"/>
      <c r="U402" s="583"/>
      <c r="V402" s="583"/>
      <c r="W402" s="583"/>
      <c r="X402" s="583"/>
      <c r="Y402" s="583"/>
      <c r="Z402" s="583"/>
      <c r="AA402" s="583"/>
      <c r="AB402" s="583"/>
      <c r="AC402" s="583"/>
      <c r="AD402" s="583"/>
      <c r="AE402" s="583"/>
      <c r="AF402" s="583"/>
    </row>
    <row r="403" ht="19.5" customHeight="1">
      <c r="A403" s="647"/>
      <c r="B403" s="647"/>
      <c r="C403" s="647"/>
      <c r="D403" s="649"/>
      <c r="E403" s="647"/>
      <c r="F403" s="649"/>
      <c r="G403" s="649"/>
      <c r="H403" s="647"/>
      <c r="I403" s="583"/>
      <c r="J403" s="583"/>
      <c r="K403" s="583"/>
      <c r="L403" s="583"/>
      <c r="M403" s="583"/>
      <c r="N403" s="583"/>
      <c r="O403" s="583"/>
      <c r="P403" s="583"/>
      <c r="Q403" s="583"/>
      <c r="R403" s="583"/>
      <c r="S403" s="583"/>
      <c r="T403" s="583"/>
      <c r="U403" s="583"/>
      <c r="V403" s="583"/>
      <c r="W403" s="583"/>
      <c r="X403" s="583"/>
      <c r="Y403" s="583"/>
      <c r="Z403" s="583"/>
      <c r="AA403" s="583"/>
      <c r="AB403" s="583"/>
      <c r="AC403" s="583"/>
      <c r="AD403" s="583"/>
      <c r="AE403" s="583"/>
      <c r="AF403" s="583"/>
    </row>
    <row r="404" ht="19.5" customHeight="1">
      <c r="A404" s="647"/>
      <c r="B404" s="647"/>
      <c r="C404" s="647"/>
      <c r="D404" s="649"/>
      <c r="E404" s="647"/>
      <c r="F404" s="649"/>
      <c r="G404" s="649"/>
      <c r="H404" s="647"/>
      <c r="I404" s="583"/>
      <c r="J404" s="583"/>
      <c r="K404" s="583"/>
      <c r="L404" s="583"/>
      <c r="M404" s="583"/>
      <c r="N404" s="583"/>
      <c r="O404" s="583"/>
      <c r="P404" s="583"/>
      <c r="Q404" s="583"/>
      <c r="R404" s="583"/>
      <c r="S404" s="583"/>
      <c r="T404" s="583"/>
      <c r="U404" s="583"/>
      <c r="V404" s="583"/>
      <c r="W404" s="583"/>
      <c r="X404" s="583"/>
      <c r="Y404" s="583"/>
      <c r="Z404" s="583"/>
      <c r="AA404" s="583"/>
      <c r="AB404" s="583"/>
      <c r="AC404" s="583"/>
      <c r="AD404" s="583"/>
      <c r="AE404" s="583"/>
      <c r="AF404" s="583"/>
    </row>
    <row r="405" ht="19.5" customHeight="1">
      <c r="A405" s="647"/>
      <c r="B405" s="647"/>
      <c r="C405" s="647"/>
      <c r="D405" s="649"/>
      <c r="E405" s="647"/>
      <c r="F405" s="649"/>
      <c r="G405" s="649"/>
      <c r="H405" s="647"/>
      <c r="I405" s="583"/>
      <c r="J405" s="583"/>
      <c r="K405" s="583"/>
      <c r="L405" s="583"/>
      <c r="M405" s="583"/>
      <c r="N405" s="583"/>
      <c r="O405" s="583"/>
      <c r="P405" s="583"/>
      <c r="Q405" s="583"/>
      <c r="R405" s="583"/>
      <c r="S405" s="583"/>
      <c r="T405" s="583"/>
      <c r="U405" s="583"/>
      <c r="V405" s="583"/>
      <c r="W405" s="583"/>
      <c r="X405" s="583"/>
      <c r="Y405" s="583"/>
      <c r="Z405" s="583"/>
      <c r="AA405" s="583"/>
      <c r="AB405" s="583"/>
      <c r="AC405" s="583"/>
      <c r="AD405" s="583"/>
      <c r="AE405" s="583"/>
      <c r="AF405" s="583"/>
    </row>
    <row r="406" ht="19.5" customHeight="1">
      <c r="A406" s="647"/>
      <c r="B406" s="647"/>
      <c r="C406" s="647"/>
      <c r="D406" s="649"/>
      <c r="E406" s="647"/>
      <c r="F406" s="649"/>
      <c r="G406" s="649"/>
      <c r="H406" s="647"/>
      <c r="I406" s="583"/>
      <c r="J406" s="583"/>
      <c r="K406" s="583"/>
      <c r="L406" s="583"/>
      <c r="M406" s="583"/>
      <c r="N406" s="583"/>
      <c r="O406" s="583"/>
      <c r="P406" s="583"/>
      <c r="Q406" s="583"/>
      <c r="R406" s="583"/>
      <c r="S406" s="583"/>
      <c r="T406" s="583"/>
      <c r="U406" s="583"/>
      <c r="V406" s="583"/>
      <c r="W406" s="583"/>
      <c r="X406" s="583"/>
      <c r="Y406" s="583"/>
      <c r="Z406" s="583"/>
      <c r="AA406" s="583"/>
      <c r="AB406" s="583"/>
      <c r="AC406" s="583"/>
      <c r="AD406" s="583"/>
      <c r="AE406" s="583"/>
      <c r="AF406" s="583"/>
    </row>
    <row r="407" ht="19.5" customHeight="1">
      <c r="A407" s="647"/>
      <c r="B407" s="647"/>
      <c r="C407" s="647"/>
      <c r="D407" s="649"/>
      <c r="E407" s="647"/>
      <c r="F407" s="649"/>
      <c r="G407" s="649"/>
      <c r="H407" s="647"/>
      <c r="I407" s="583"/>
      <c r="J407" s="583"/>
      <c r="K407" s="583"/>
      <c r="L407" s="583"/>
      <c r="M407" s="583"/>
      <c r="N407" s="583"/>
      <c r="O407" s="583"/>
      <c r="P407" s="583"/>
      <c r="Q407" s="583"/>
      <c r="R407" s="583"/>
      <c r="S407" s="583"/>
      <c r="T407" s="583"/>
      <c r="U407" s="583"/>
      <c r="V407" s="583"/>
      <c r="W407" s="583"/>
      <c r="X407" s="583"/>
      <c r="Y407" s="583"/>
      <c r="Z407" s="583"/>
      <c r="AA407" s="583"/>
      <c r="AB407" s="583"/>
      <c r="AC407" s="583"/>
      <c r="AD407" s="583"/>
      <c r="AE407" s="583"/>
      <c r="AF407" s="583"/>
    </row>
    <row r="408" ht="19.5" customHeight="1">
      <c r="A408" s="647"/>
      <c r="B408" s="647"/>
      <c r="C408" s="647"/>
      <c r="D408" s="649"/>
      <c r="E408" s="647"/>
      <c r="F408" s="649"/>
      <c r="G408" s="649"/>
      <c r="H408" s="647"/>
      <c r="I408" s="583"/>
      <c r="J408" s="583"/>
      <c r="K408" s="583"/>
      <c r="L408" s="583"/>
      <c r="M408" s="583"/>
      <c r="N408" s="583"/>
      <c r="O408" s="583"/>
      <c r="P408" s="583"/>
      <c r="Q408" s="583"/>
      <c r="R408" s="583"/>
      <c r="S408" s="583"/>
      <c r="T408" s="583"/>
      <c r="U408" s="583"/>
      <c r="V408" s="583"/>
      <c r="W408" s="583"/>
      <c r="X408" s="583"/>
      <c r="Y408" s="583"/>
      <c r="Z408" s="583"/>
      <c r="AA408" s="583"/>
      <c r="AB408" s="583"/>
      <c r="AC408" s="583"/>
      <c r="AD408" s="583"/>
      <c r="AE408" s="583"/>
      <c r="AF408" s="583"/>
    </row>
    <row r="409" ht="19.5" customHeight="1">
      <c r="A409" s="647"/>
      <c r="B409" s="647"/>
      <c r="C409" s="647"/>
      <c r="D409" s="649"/>
      <c r="E409" s="647"/>
      <c r="F409" s="649"/>
      <c r="G409" s="649"/>
      <c r="H409" s="647"/>
      <c r="I409" s="583"/>
      <c r="J409" s="583"/>
      <c r="K409" s="583"/>
      <c r="L409" s="583"/>
      <c r="M409" s="583"/>
      <c r="N409" s="583"/>
      <c r="O409" s="583"/>
      <c r="P409" s="583"/>
      <c r="Q409" s="583"/>
      <c r="R409" s="583"/>
      <c r="S409" s="583"/>
      <c r="T409" s="583"/>
      <c r="U409" s="583"/>
      <c r="V409" s="583"/>
      <c r="W409" s="583"/>
      <c r="X409" s="583"/>
      <c r="Y409" s="583"/>
      <c r="Z409" s="583"/>
      <c r="AA409" s="583"/>
      <c r="AB409" s="583"/>
      <c r="AC409" s="583"/>
      <c r="AD409" s="583"/>
      <c r="AE409" s="583"/>
      <c r="AF409" s="583"/>
    </row>
    <row r="410" ht="19.5" customHeight="1">
      <c r="A410" s="647"/>
      <c r="B410" s="647"/>
      <c r="C410" s="647"/>
      <c r="D410" s="649"/>
      <c r="E410" s="647"/>
      <c r="F410" s="649"/>
      <c r="G410" s="649"/>
      <c r="H410" s="647"/>
      <c r="I410" s="583"/>
      <c r="J410" s="583"/>
      <c r="K410" s="583"/>
      <c r="L410" s="583"/>
      <c r="M410" s="583"/>
      <c r="N410" s="583"/>
      <c r="O410" s="583"/>
      <c r="P410" s="583"/>
      <c r="Q410" s="583"/>
      <c r="R410" s="583"/>
      <c r="S410" s="583"/>
      <c r="T410" s="583"/>
      <c r="U410" s="583"/>
      <c r="V410" s="583"/>
      <c r="W410" s="583"/>
      <c r="X410" s="583"/>
      <c r="Y410" s="583"/>
      <c r="Z410" s="583"/>
      <c r="AA410" s="583"/>
      <c r="AB410" s="583"/>
      <c r="AC410" s="583"/>
      <c r="AD410" s="583"/>
      <c r="AE410" s="583"/>
      <c r="AF410" s="583"/>
    </row>
    <row r="411" ht="19.5" customHeight="1">
      <c r="A411" s="647"/>
      <c r="B411" s="647"/>
      <c r="C411" s="647"/>
      <c r="D411" s="649"/>
      <c r="E411" s="647"/>
      <c r="F411" s="649"/>
      <c r="G411" s="649"/>
      <c r="H411" s="647"/>
      <c r="I411" s="583"/>
      <c r="J411" s="583"/>
      <c r="K411" s="583"/>
      <c r="L411" s="583"/>
      <c r="M411" s="583"/>
      <c r="N411" s="583"/>
      <c r="O411" s="583"/>
      <c r="P411" s="583"/>
      <c r="Q411" s="583"/>
      <c r="R411" s="583"/>
      <c r="S411" s="583"/>
      <c r="T411" s="583"/>
      <c r="U411" s="583"/>
      <c r="V411" s="583"/>
      <c r="W411" s="583"/>
      <c r="X411" s="583"/>
      <c r="Y411" s="583"/>
      <c r="Z411" s="583"/>
      <c r="AA411" s="583"/>
      <c r="AB411" s="583"/>
      <c r="AC411" s="583"/>
      <c r="AD411" s="583"/>
      <c r="AE411" s="583"/>
      <c r="AF411" s="583"/>
    </row>
    <row r="412" ht="19.5" customHeight="1">
      <c r="A412" s="647"/>
      <c r="B412" s="647"/>
      <c r="C412" s="647"/>
      <c r="D412" s="649"/>
      <c r="E412" s="647"/>
      <c r="F412" s="649"/>
      <c r="G412" s="649"/>
      <c r="H412" s="647"/>
      <c r="I412" s="583"/>
      <c r="J412" s="583"/>
      <c r="K412" s="583"/>
      <c r="L412" s="583"/>
      <c r="M412" s="583"/>
      <c r="N412" s="583"/>
      <c r="O412" s="583"/>
      <c r="P412" s="583"/>
      <c r="Q412" s="583"/>
      <c r="R412" s="583"/>
      <c r="S412" s="583"/>
      <c r="T412" s="583"/>
      <c r="U412" s="583"/>
      <c r="V412" s="583"/>
      <c r="W412" s="583"/>
      <c r="X412" s="583"/>
      <c r="Y412" s="583"/>
      <c r="Z412" s="583"/>
      <c r="AA412" s="583"/>
      <c r="AB412" s="583"/>
      <c r="AC412" s="583"/>
      <c r="AD412" s="583"/>
      <c r="AE412" s="583"/>
      <c r="AF412" s="583"/>
    </row>
    <row r="413" ht="19.5" customHeight="1">
      <c r="A413" s="647"/>
      <c r="B413" s="647"/>
      <c r="C413" s="647"/>
      <c r="D413" s="649"/>
      <c r="E413" s="647"/>
      <c r="F413" s="649"/>
      <c r="G413" s="649"/>
      <c r="H413" s="647"/>
      <c r="I413" s="583"/>
      <c r="J413" s="583"/>
      <c r="K413" s="583"/>
      <c r="L413" s="583"/>
      <c r="M413" s="583"/>
      <c r="N413" s="583"/>
      <c r="O413" s="583"/>
      <c r="P413" s="583"/>
      <c r="Q413" s="583"/>
      <c r="R413" s="583"/>
      <c r="S413" s="583"/>
      <c r="T413" s="583"/>
      <c r="U413" s="583"/>
      <c r="V413" s="583"/>
      <c r="W413" s="583"/>
      <c r="X413" s="583"/>
      <c r="Y413" s="583"/>
      <c r="Z413" s="583"/>
      <c r="AA413" s="583"/>
      <c r="AB413" s="583"/>
      <c r="AC413" s="583"/>
      <c r="AD413" s="583"/>
      <c r="AE413" s="583"/>
      <c r="AF413" s="583"/>
    </row>
    <row r="414" ht="19.5" customHeight="1">
      <c r="A414" s="647"/>
      <c r="B414" s="647"/>
      <c r="C414" s="647"/>
      <c r="D414" s="649"/>
      <c r="E414" s="647"/>
      <c r="F414" s="649"/>
      <c r="G414" s="649"/>
      <c r="H414" s="647"/>
      <c r="I414" s="583"/>
      <c r="J414" s="583"/>
      <c r="K414" s="583"/>
      <c r="L414" s="583"/>
      <c r="M414" s="583"/>
      <c r="N414" s="583"/>
      <c r="O414" s="583"/>
      <c r="P414" s="583"/>
      <c r="Q414" s="583"/>
      <c r="R414" s="583"/>
      <c r="S414" s="583"/>
      <c r="T414" s="583"/>
      <c r="U414" s="583"/>
      <c r="V414" s="583"/>
      <c r="W414" s="583"/>
      <c r="X414" s="583"/>
      <c r="Y414" s="583"/>
      <c r="Z414" s="583"/>
      <c r="AA414" s="583"/>
      <c r="AB414" s="583"/>
      <c r="AC414" s="583"/>
      <c r="AD414" s="583"/>
      <c r="AE414" s="583"/>
      <c r="AF414" s="583"/>
    </row>
    <row r="415" ht="19.5" customHeight="1">
      <c r="A415" s="647"/>
      <c r="B415" s="647"/>
      <c r="C415" s="647"/>
      <c r="D415" s="649"/>
      <c r="E415" s="647"/>
      <c r="F415" s="649"/>
      <c r="G415" s="649"/>
      <c r="H415" s="647"/>
      <c r="I415" s="583"/>
      <c r="J415" s="583"/>
      <c r="K415" s="583"/>
      <c r="L415" s="583"/>
      <c r="M415" s="583"/>
      <c r="N415" s="583"/>
      <c r="O415" s="583"/>
      <c r="P415" s="583"/>
      <c r="Q415" s="583"/>
      <c r="R415" s="583"/>
      <c r="S415" s="583"/>
      <c r="T415" s="583"/>
      <c r="U415" s="583"/>
      <c r="V415" s="583"/>
      <c r="W415" s="583"/>
      <c r="X415" s="583"/>
      <c r="Y415" s="583"/>
      <c r="Z415" s="583"/>
      <c r="AA415" s="583"/>
      <c r="AB415" s="583"/>
      <c r="AC415" s="583"/>
      <c r="AD415" s="583"/>
      <c r="AE415" s="583"/>
      <c r="AF415" s="583"/>
    </row>
    <row r="416" ht="19.5" customHeight="1">
      <c r="A416" s="647"/>
      <c r="B416" s="647"/>
      <c r="C416" s="647"/>
      <c r="D416" s="649"/>
      <c r="E416" s="647"/>
      <c r="F416" s="649"/>
      <c r="G416" s="649"/>
      <c r="H416" s="647"/>
      <c r="I416" s="583"/>
      <c r="J416" s="583"/>
      <c r="K416" s="583"/>
      <c r="L416" s="583"/>
      <c r="M416" s="583"/>
      <c r="N416" s="583"/>
      <c r="O416" s="583"/>
      <c r="P416" s="583"/>
      <c r="Q416" s="583"/>
      <c r="R416" s="583"/>
      <c r="S416" s="583"/>
      <c r="T416" s="583"/>
      <c r="U416" s="583"/>
      <c r="V416" s="583"/>
      <c r="W416" s="583"/>
      <c r="X416" s="583"/>
      <c r="Y416" s="583"/>
      <c r="Z416" s="583"/>
      <c r="AA416" s="583"/>
      <c r="AB416" s="583"/>
      <c r="AC416" s="583"/>
      <c r="AD416" s="583"/>
      <c r="AE416" s="583"/>
      <c r="AF416" s="583"/>
    </row>
    <row r="417" ht="19.5" customHeight="1">
      <c r="A417" s="647"/>
      <c r="B417" s="647"/>
      <c r="C417" s="647"/>
      <c r="D417" s="649"/>
      <c r="E417" s="647"/>
      <c r="F417" s="649"/>
      <c r="G417" s="649"/>
      <c r="H417" s="647"/>
      <c r="I417" s="583"/>
      <c r="J417" s="583"/>
      <c r="K417" s="583"/>
      <c r="L417" s="583"/>
      <c r="M417" s="583"/>
      <c r="N417" s="583"/>
      <c r="O417" s="583"/>
      <c r="P417" s="583"/>
      <c r="Q417" s="583"/>
      <c r="R417" s="583"/>
      <c r="S417" s="583"/>
      <c r="T417" s="583"/>
      <c r="U417" s="583"/>
      <c r="V417" s="583"/>
      <c r="W417" s="583"/>
      <c r="X417" s="583"/>
      <c r="Y417" s="583"/>
      <c r="Z417" s="583"/>
      <c r="AA417" s="583"/>
      <c r="AB417" s="583"/>
      <c r="AC417" s="583"/>
      <c r="AD417" s="583"/>
      <c r="AE417" s="583"/>
      <c r="AF417" s="583"/>
    </row>
    <row r="418" ht="19.5" customHeight="1">
      <c r="A418" s="647"/>
      <c r="B418" s="647"/>
      <c r="C418" s="647"/>
      <c r="D418" s="649"/>
      <c r="E418" s="647"/>
      <c r="F418" s="649"/>
      <c r="G418" s="649"/>
      <c r="H418" s="647"/>
      <c r="I418" s="583"/>
      <c r="J418" s="583"/>
      <c r="K418" s="583"/>
      <c r="L418" s="583"/>
      <c r="M418" s="583"/>
      <c r="N418" s="583"/>
      <c r="O418" s="583"/>
      <c r="P418" s="583"/>
      <c r="Q418" s="583"/>
      <c r="R418" s="583"/>
      <c r="S418" s="583"/>
      <c r="T418" s="583"/>
      <c r="U418" s="583"/>
      <c r="V418" s="583"/>
      <c r="W418" s="583"/>
      <c r="X418" s="583"/>
      <c r="Y418" s="583"/>
      <c r="Z418" s="583"/>
      <c r="AA418" s="583"/>
      <c r="AB418" s="583"/>
      <c r="AC418" s="583"/>
      <c r="AD418" s="583"/>
      <c r="AE418" s="583"/>
      <c r="AF418" s="583"/>
    </row>
    <row r="419" ht="19.5" customHeight="1">
      <c r="A419" s="647"/>
      <c r="B419" s="647"/>
      <c r="C419" s="647"/>
      <c r="D419" s="649"/>
      <c r="E419" s="647"/>
      <c r="F419" s="649"/>
      <c r="G419" s="649"/>
      <c r="H419" s="647"/>
      <c r="I419" s="583"/>
      <c r="J419" s="583"/>
      <c r="K419" s="583"/>
      <c r="L419" s="583"/>
      <c r="M419" s="583"/>
      <c r="N419" s="583"/>
      <c r="O419" s="583"/>
      <c r="P419" s="583"/>
      <c r="Q419" s="583"/>
      <c r="R419" s="583"/>
      <c r="S419" s="583"/>
      <c r="T419" s="583"/>
      <c r="U419" s="583"/>
      <c r="V419" s="583"/>
      <c r="W419" s="583"/>
      <c r="X419" s="583"/>
      <c r="Y419" s="583"/>
      <c r="Z419" s="583"/>
      <c r="AA419" s="583"/>
      <c r="AB419" s="583"/>
      <c r="AC419" s="583"/>
      <c r="AD419" s="583"/>
      <c r="AE419" s="583"/>
      <c r="AF419" s="583"/>
    </row>
    <row r="420" ht="19.5" customHeight="1">
      <c r="A420" s="647"/>
      <c r="B420" s="647"/>
      <c r="C420" s="647"/>
      <c r="D420" s="649"/>
      <c r="E420" s="647"/>
      <c r="F420" s="649"/>
      <c r="G420" s="649"/>
      <c r="H420" s="647"/>
      <c r="I420" s="583"/>
      <c r="J420" s="583"/>
      <c r="K420" s="583"/>
      <c r="L420" s="583"/>
      <c r="M420" s="583"/>
      <c r="N420" s="583"/>
      <c r="O420" s="583"/>
      <c r="P420" s="583"/>
      <c r="Q420" s="583"/>
      <c r="R420" s="583"/>
      <c r="S420" s="583"/>
      <c r="T420" s="583"/>
      <c r="U420" s="583"/>
      <c r="V420" s="583"/>
      <c r="W420" s="583"/>
      <c r="X420" s="583"/>
      <c r="Y420" s="583"/>
      <c r="Z420" s="583"/>
      <c r="AA420" s="583"/>
      <c r="AB420" s="583"/>
      <c r="AC420" s="583"/>
      <c r="AD420" s="583"/>
      <c r="AE420" s="583"/>
      <c r="AF420" s="583"/>
    </row>
    <row r="421" ht="19.5" customHeight="1">
      <c r="A421" s="647"/>
      <c r="B421" s="647"/>
      <c r="C421" s="647"/>
      <c r="D421" s="649"/>
      <c r="E421" s="647"/>
      <c r="F421" s="649"/>
      <c r="G421" s="649"/>
      <c r="H421" s="647"/>
      <c r="I421" s="583"/>
      <c r="J421" s="583"/>
      <c r="K421" s="583"/>
      <c r="L421" s="583"/>
      <c r="M421" s="583"/>
      <c r="N421" s="583"/>
      <c r="O421" s="583"/>
      <c r="P421" s="583"/>
      <c r="Q421" s="583"/>
      <c r="R421" s="583"/>
      <c r="S421" s="583"/>
      <c r="T421" s="583"/>
      <c r="U421" s="583"/>
      <c r="V421" s="583"/>
      <c r="W421" s="583"/>
      <c r="X421" s="583"/>
      <c r="Y421" s="583"/>
      <c r="Z421" s="583"/>
      <c r="AA421" s="583"/>
      <c r="AB421" s="583"/>
      <c r="AC421" s="583"/>
      <c r="AD421" s="583"/>
      <c r="AE421" s="583"/>
      <c r="AF421" s="583"/>
    </row>
    <row r="422" ht="19.5" customHeight="1">
      <c r="A422" s="647"/>
      <c r="B422" s="647"/>
      <c r="C422" s="647"/>
      <c r="D422" s="649"/>
      <c r="E422" s="647"/>
      <c r="F422" s="649"/>
      <c r="G422" s="649"/>
      <c r="H422" s="647"/>
      <c r="I422" s="583"/>
      <c r="J422" s="583"/>
      <c r="K422" s="583"/>
      <c r="L422" s="583"/>
      <c r="M422" s="583"/>
      <c r="N422" s="583"/>
      <c r="O422" s="583"/>
      <c r="P422" s="583"/>
      <c r="Q422" s="583"/>
      <c r="R422" s="583"/>
      <c r="S422" s="583"/>
      <c r="T422" s="583"/>
      <c r="U422" s="583"/>
      <c r="V422" s="583"/>
      <c r="W422" s="583"/>
      <c r="X422" s="583"/>
      <c r="Y422" s="583"/>
      <c r="Z422" s="583"/>
      <c r="AA422" s="583"/>
      <c r="AB422" s="583"/>
      <c r="AC422" s="583"/>
      <c r="AD422" s="583"/>
      <c r="AE422" s="583"/>
      <c r="AF422" s="583"/>
    </row>
    <row r="423" ht="19.5" customHeight="1">
      <c r="A423" s="647"/>
      <c r="B423" s="647"/>
      <c r="C423" s="647"/>
      <c r="D423" s="649"/>
      <c r="E423" s="647"/>
      <c r="F423" s="649"/>
      <c r="G423" s="649"/>
      <c r="H423" s="647"/>
      <c r="I423" s="583"/>
      <c r="J423" s="583"/>
      <c r="K423" s="583"/>
      <c r="L423" s="583"/>
      <c r="M423" s="583"/>
      <c r="N423" s="583"/>
      <c r="O423" s="583"/>
      <c r="P423" s="583"/>
      <c r="Q423" s="583"/>
      <c r="R423" s="583"/>
      <c r="S423" s="583"/>
      <c r="T423" s="583"/>
      <c r="U423" s="583"/>
      <c r="V423" s="583"/>
      <c r="W423" s="583"/>
      <c r="X423" s="583"/>
      <c r="Y423" s="583"/>
      <c r="Z423" s="583"/>
      <c r="AA423" s="583"/>
      <c r="AB423" s="583"/>
      <c r="AC423" s="583"/>
      <c r="AD423" s="583"/>
      <c r="AE423" s="583"/>
      <c r="AF423" s="583"/>
    </row>
    <row r="424" ht="19.5" customHeight="1">
      <c r="A424" s="647"/>
      <c r="B424" s="647"/>
      <c r="C424" s="647"/>
      <c r="D424" s="649"/>
      <c r="E424" s="647"/>
      <c r="F424" s="649"/>
      <c r="G424" s="649"/>
      <c r="H424" s="647"/>
      <c r="I424" s="583"/>
      <c r="J424" s="583"/>
      <c r="K424" s="583"/>
      <c r="L424" s="583"/>
      <c r="M424" s="583"/>
      <c r="N424" s="583"/>
      <c r="O424" s="583"/>
      <c r="P424" s="583"/>
      <c r="Q424" s="583"/>
      <c r="R424" s="583"/>
      <c r="S424" s="583"/>
      <c r="T424" s="583"/>
      <c r="U424" s="583"/>
      <c r="V424" s="583"/>
      <c r="W424" s="583"/>
      <c r="X424" s="583"/>
      <c r="Y424" s="583"/>
      <c r="Z424" s="583"/>
      <c r="AA424" s="583"/>
      <c r="AB424" s="583"/>
      <c r="AC424" s="583"/>
      <c r="AD424" s="583"/>
      <c r="AE424" s="583"/>
      <c r="AF424" s="583"/>
    </row>
    <row r="425" ht="19.5" customHeight="1">
      <c r="A425" s="647"/>
      <c r="B425" s="647"/>
      <c r="C425" s="647"/>
      <c r="D425" s="649"/>
      <c r="E425" s="647"/>
      <c r="F425" s="649"/>
      <c r="G425" s="649"/>
      <c r="H425" s="647"/>
      <c r="I425" s="583"/>
      <c r="J425" s="583"/>
      <c r="K425" s="583"/>
      <c r="L425" s="583"/>
      <c r="M425" s="583"/>
      <c r="N425" s="583"/>
      <c r="O425" s="583"/>
      <c r="P425" s="583"/>
      <c r="Q425" s="583"/>
      <c r="R425" s="583"/>
      <c r="S425" s="583"/>
      <c r="T425" s="583"/>
      <c r="U425" s="583"/>
      <c r="V425" s="583"/>
      <c r="W425" s="583"/>
      <c r="X425" s="583"/>
      <c r="Y425" s="583"/>
      <c r="Z425" s="583"/>
      <c r="AA425" s="583"/>
      <c r="AB425" s="583"/>
      <c r="AC425" s="583"/>
      <c r="AD425" s="583"/>
      <c r="AE425" s="583"/>
      <c r="AF425" s="583"/>
    </row>
    <row r="426" ht="19.5" customHeight="1">
      <c r="A426" s="647"/>
      <c r="B426" s="647"/>
      <c r="C426" s="647"/>
      <c r="D426" s="649"/>
      <c r="E426" s="647"/>
      <c r="F426" s="649"/>
      <c r="G426" s="649"/>
      <c r="H426" s="647"/>
      <c r="I426" s="583"/>
      <c r="J426" s="583"/>
      <c r="K426" s="583"/>
      <c r="L426" s="583"/>
      <c r="M426" s="583"/>
      <c r="N426" s="583"/>
      <c r="O426" s="583"/>
      <c r="P426" s="583"/>
      <c r="Q426" s="583"/>
      <c r="R426" s="583"/>
      <c r="S426" s="583"/>
      <c r="T426" s="583"/>
      <c r="U426" s="583"/>
      <c r="V426" s="583"/>
      <c r="W426" s="583"/>
      <c r="X426" s="583"/>
      <c r="Y426" s="583"/>
      <c r="Z426" s="583"/>
      <c r="AA426" s="583"/>
      <c r="AB426" s="583"/>
      <c r="AC426" s="583"/>
      <c r="AD426" s="583"/>
      <c r="AE426" s="583"/>
      <c r="AF426" s="583"/>
    </row>
    <row r="427" ht="19.5" customHeight="1">
      <c r="A427" s="647"/>
      <c r="B427" s="647"/>
      <c r="C427" s="647"/>
      <c r="D427" s="649"/>
      <c r="E427" s="647"/>
      <c r="F427" s="649"/>
      <c r="G427" s="649"/>
      <c r="H427" s="647"/>
      <c r="I427" s="583"/>
      <c r="J427" s="583"/>
      <c r="K427" s="583"/>
      <c r="L427" s="583"/>
      <c r="M427" s="583"/>
      <c r="N427" s="583"/>
      <c r="O427" s="583"/>
      <c r="P427" s="583"/>
      <c r="Q427" s="583"/>
      <c r="R427" s="583"/>
      <c r="S427" s="583"/>
      <c r="T427" s="583"/>
      <c r="U427" s="583"/>
      <c r="V427" s="583"/>
      <c r="W427" s="583"/>
      <c r="X427" s="583"/>
      <c r="Y427" s="583"/>
      <c r="Z427" s="583"/>
      <c r="AA427" s="583"/>
      <c r="AB427" s="583"/>
      <c r="AC427" s="583"/>
      <c r="AD427" s="583"/>
      <c r="AE427" s="583"/>
      <c r="AF427" s="583"/>
    </row>
    <row r="428" ht="19.5" customHeight="1">
      <c r="A428" s="647"/>
      <c r="B428" s="647"/>
      <c r="C428" s="647"/>
      <c r="D428" s="649"/>
      <c r="E428" s="647"/>
      <c r="F428" s="649"/>
      <c r="G428" s="649"/>
      <c r="H428" s="647"/>
      <c r="I428" s="583"/>
      <c r="J428" s="583"/>
      <c r="K428" s="583"/>
      <c r="L428" s="583"/>
      <c r="M428" s="583"/>
      <c r="N428" s="583"/>
      <c r="O428" s="583"/>
      <c r="P428" s="583"/>
      <c r="Q428" s="583"/>
      <c r="R428" s="583"/>
      <c r="S428" s="583"/>
      <c r="T428" s="583"/>
      <c r="U428" s="583"/>
      <c r="V428" s="583"/>
      <c r="W428" s="583"/>
      <c r="X428" s="583"/>
      <c r="Y428" s="583"/>
      <c r="Z428" s="583"/>
      <c r="AA428" s="583"/>
      <c r="AB428" s="583"/>
      <c r="AC428" s="583"/>
      <c r="AD428" s="583"/>
      <c r="AE428" s="583"/>
      <c r="AF428" s="583"/>
    </row>
    <row r="429" ht="19.5" customHeight="1">
      <c r="A429" s="647"/>
      <c r="B429" s="647"/>
      <c r="C429" s="647"/>
      <c r="D429" s="649"/>
      <c r="E429" s="647"/>
      <c r="F429" s="649"/>
      <c r="G429" s="649"/>
      <c r="H429" s="647"/>
      <c r="I429" s="583"/>
      <c r="J429" s="583"/>
      <c r="K429" s="583"/>
      <c r="L429" s="583"/>
      <c r="M429" s="583"/>
      <c r="N429" s="583"/>
      <c r="O429" s="583"/>
      <c r="P429" s="583"/>
      <c r="Q429" s="583"/>
      <c r="R429" s="583"/>
      <c r="S429" s="583"/>
      <c r="T429" s="583"/>
      <c r="U429" s="583"/>
      <c r="V429" s="583"/>
      <c r="W429" s="583"/>
      <c r="X429" s="583"/>
      <c r="Y429" s="583"/>
      <c r="Z429" s="583"/>
      <c r="AA429" s="583"/>
      <c r="AB429" s="583"/>
      <c r="AC429" s="583"/>
      <c r="AD429" s="583"/>
      <c r="AE429" s="583"/>
      <c r="AF429" s="583"/>
    </row>
    <row r="430" ht="19.5" customHeight="1">
      <c r="A430" s="647"/>
      <c r="B430" s="647"/>
      <c r="C430" s="647"/>
      <c r="D430" s="649"/>
      <c r="E430" s="647"/>
      <c r="F430" s="649"/>
      <c r="G430" s="649"/>
      <c r="H430" s="647"/>
      <c r="I430" s="583"/>
      <c r="J430" s="583"/>
      <c r="K430" s="583"/>
      <c r="L430" s="583"/>
      <c r="M430" s="583"/>
      <c r="N430" s="583"/>
      <c r="O430" s="583"/>
      <c r="P430" s="583"/>
      <c r="Q430" s="583"/>
      <c r="R430" s="583"/>
      <c r="S430" s="583"/>
      <c r="T430" s="583"/>
      <c r="U430" s="583"/>
      <c r="V430" s="583"/>
      <c r="W430" s="583"/>
      <c r="X430" s="583"/>
      <c r="Y430" s="583"/>
      <c r="Z430" s="583"/>
      <c r="AA430" s="583"/>
      <c r="AB430" s="583"/>
      <c r="AC430" s="583"/>
      <c r="AD430" s="583"/>
      <c r="AE430" s="583"/>
      <c r="AF430" s="583"/>
    </row>
    <row r="431" ht="19.5" customHeight="1">
      <c r="A431" s="647"/>
      <c r="B431" s="647"/>
      <c r="C431" s="647"/>
      <c r="D431" s="649"/>
      <c r="E431" s="647"/>
      <c r="F431" s="649"/>
      <c r="G431" s="649"/>
      <c r="H431" s="647"/>
      <c r="I431" s="583"/>
      <c r="J431" s="583"/>
      <c r="K431" s="583"/>
      <c r="L431" s="583"/>
      <c r="M431" s="583"/>
      <c r="N431" s="583"/>
      <c r="O431" s="583"/>
      <c r="P431" s="583"/>
      <c r="Q431" s="583"/>
      <c r="R431" s="583"/>
      <c r="S431" s="583"/>
      <c r="T431" s="583"/>
      <c r="U431" s="583"/>
      <c r="V431" s="583"/>
      <c r="W431" s="583"/>
      <c r="X431" s="583"/>
      <c r="Y431" s="583"/>
      <c r="Z431" s="583"/>
      <c r="AA431" s="583"/>
      <c r="AB431" s="583"/>
      <c r="AC431" s="583"/>
      <c r="AD431" s="583"/>
      <c r="AE431" s="583"/>
      <c r="AF431" s="583"/>
    </row>
    <row r="432" ht="19.5" customHeight="1">
      <c r="A432" s="647"/>
      <c r="B432" s="647"/>
      <c r="C432" s="647"/>
      <c r="D432" s="649"/>
      <c r="E432" s="647"/>
      <c r="F432" s="649"/>
      <c r="G432" s="649"/>
      <c r="H432" s="647"/>
      <c r="I432" s="583"/>
      <c r="J432" s="583"/>
      <c r="K432" s="583"/>
      <c r="L432" s="583"/>
      <c r="M432" s="583"/>
      <c r="N432" s="583"/>
      <c r="O432" s="583"/>
      <c r="P432" s="583"/>
      <c r="Q432" s="583"/>
      <c r="R432" s="583"/>
      <c r="S432" s="583"/>
      <c r="T432" s="583"/>
      <c r="U432" s="583"/>
      <c r="V432" s="583"/>
      <c r="W432" s="583"/>
      <c r="X432" s="583"/>
      <c r="Y432" s="583"/>
      <c r="Z432" s="583"/>
      <c r="AA432" s="583"/>
      <c r="AB432" s="583"/>
      <c r="AC432" s="583"/>
      <c r="AD432" s="583"/>
      <c r="AE432" s="583"/>
      <c r="AF432" s="583"/>
    </row>
    <row r="433" ht="19.5" customHeight="1">
      <c r="A433" s="647"/>
      <c r="B433" s="647"/>
      <c r="C433" s="647"/>
      <c r="D433" s="649"/>
      <c r="E433" s="647"/>
      <c r="F433" s="649"/>
      <c r="G433" s="649"/>
      <c r="H433" s="647"/>
      <c r="I433" s="583"/>
      <c r="J433" s="583"/>
      <c r="K433" s="583"/>
      <c r="L433" s="583"/>
      <c r="M433" s="583"/>
      <c r="N433" s="583"/>
      <c r="O433" s="583"/>
      <c r="P433" s="583"/>
      <c r="Q433" s="583"/>
      <c r="R433" s="583"/>
      <c r="S433" s="583"/>
      <c r="T433" s="583"/>
      <c r="U433" s="583"/>
      <c r="V433" s="583"/>
      <c r="W433" s="583"/>
      <c r="X433" s="583"/>
      <c r="Y433" s="583"/>
      <c r="Z433" s="583"/>
      <c r="AA433" s="583"/>
      <c r="AB433" s="583"/>
      <c r="AC433" s="583"/>
      <c r="AD433" s="583"/>
      <c r="AE433" s="583"/>
      <c r="AF433" s="583"/>
    </row>
    <row r="434" ht="19.5" customHeight="1">
      <c r="A434" s="647"/>
      <c r="B434" s="647"/>
      <c r="C434" s="647"/>
      <c r="D434" s="649"/>
      <c r="E434" s="647"/>
      <c r="F434" s="649"/>
      <c r="G434" s="649"/>
      <c r="H434" s="647"/>
      <c r="I434" s="583"/>
      <c r="J434" s="583"/>
      <c r="K434" s="583"/>
      <c r="L434" s="583"/>
      <c r="M434" s="583"/>
      <c r="N434" s="583"/>
      <c r="O434" s="583"/>
      <c r="P434" s="583"/>
      <c r="Q434" s="583"/>
      <c r="R434" s="583"/>
      <c r="S434" s="583"/>
      <c r="T434" s="583"/>
      <c r="U434" s="583"/>
      <c r="V434" s="583"/>
      <c r="W434" s="583"/>
      <c r="X434" s="583"/>
      <c r="Y434" s="583"/>
      <c r="Z434" s="583"/>
      <c r="AA434" s="583"/>
      <c r="AB434" s="583"/>
      <c r="AC434" s="583"/>
      <c r="AD434" s="583"/>
      <c r="AE434" s="583"/>
      <c r="AF434" s="583"/>
    </row>
    <row r="435" ht="19.5" customHeight="1">
      <c r="A435" s="647"/>
      <c r="B435" s="647"/>
      <c r="C435" s="647"/>
      <c r="D435" s="649"/>
      <c r="E435" s="647"/>
      <c r="F435" s="649"/>
      <c r="G435" s="649"/>
      <c r="H435" s="647"/>
      <c r="I435" s="583"/>
      <c r="J435" s="583"/>
      <c r="K435" s="583"/>
      <c r="L435" s="583"/>
      <c r="M435" s="583"/>
      <c r="N435" s="583"/>
      <c r="O435" s="583"/>
      <c r="P435" s="583"/>
      <c r="Q435" s="583"/>
      <c r="R435" s="583"/>
      <c r="S435" s="583"/>
      <c r="T435" s="583"/>
      <c r="U435" s="583"/>
      <c r="V435" s="583"/>
      <c r="W435" s="583"/>
      <c r="X435" s="583"/>
      <c r="Y435" s="583"/>
      <c r="Z435" s="583"/>
      <c r="AA435" s="583"/>
      <c r="AB435" s="583"/>
      <c r="AC435" s="583"/>
      <c r="AD435" s="583"/>
      <c r="AE435" s="583"/>
      <c r="AF435" s="583"/>
    </row>
    <row r="436" ht="19.5" customHeight="1">
      <c r="A436" s="647"/>
      <c r="B436" s="647"/>
      <c r="C436" s="647"/>
      <c r="D436" s="649"/>
      <c r="E436" s="647"/>
      <c r="F436" s="649"/>
      <c r="G436" s="649"/>
      <c r="H436" s="647"/>
      <c r="I436" s="583"/>
      <c r="J436" s="583"/>
      <c r="K436" s="583"/>
      <c r="L436" s="583"/>
      <c r="M436" s="583"/>
      <c r="N436" s="583"/>
      <c r="O436" s="583"/>
      <c r="P436" s="583"/>
      <c r="Q436" s="583"/>
      <c r="R436" s="583"/>
      <c r="S436" s="583"/>
      <c r="T436" s="583"/>
      <c r="U436" s="583"/>
      <c r="V436" s="583"/>
      <c r="W436" s="583"/>
      <c r="X436" s="583"/>
      <c r="Y436" s="583"/>
      <c r="Z436" s="583"/>
      <c r="AA436" s="583"/>
      <c r="AB436" s="583"/>
      <c r="AC436" s="583"/>
      <c r="AD436" s="583"/>
      <c r="AE436" s="583"/>
      <c r="AF436" s="583"/>
    </row>
    <row r="437" ht="19.5" customHeight="1">
      <c r="A437" s="647"/>
      <c r="B437" s="647"/>
      <c r="C437" s="647"/>
      <c r="D437" s="649"/>
      <c r="E437" s="647"/>
      <c r="F437" s="649"/>
      <c r="G437" s="649"/>
      <c r="H437" s="647"/>
      <c r="I437" s="583"/>
      <c r="J437" s="583"/>
      <c r="K437" s="583"/>
      <c r="L437" s="583"/>
      <c r="M437" s="583"/>
      <c r="N437" s="583"/>
      <c r="O437" s="583"/>
      <c r="P437" s="583"/>
      <c r="Q437" s="583"/>
      <c r="R437" s="583"/>
      <c r="S437" s="583"/>
      <c r="T437" s="583"/>
      <c r="U437" s="583"/>
      <c r="V437" s="583"/>
      <c r="W437" s="583"/>
      <c r="X437" s="583"/>
      <c r="Y437" s="583"/>
      <c r="Z437" s="583"/>
      <c r="AA437" s="583"/>
      <c r="AB437" s="583"/>
      <c r="AC437" s="583"/>
      <c r="AD437" s="583"/>
      <c r="AE437" s="583"/>
      <c r="AF437" s="583"/>
    </row>
    <row r="438" ht="19.5" customHeight="1">
      <c r="A438" s="647"/>
      <c r="B438" s="647"/>
      <c r="C438" s="647"/>
      <c r="D438" s="649"/>
      <c r="E438" s="647"/>
      <c r="F438" s="649"/>
      <c r="G438" s="649"/>
      <c r="H438" s="647"/>
      <c r="I438" s="583"/>
      <c r="J438" s="583"/>
      <c r="K438" s="583"/>
      <c r="L438" s="583"/>
      <c r="M438" s="583"/>
      <c r="N438" s="583"/>
      <c r="O438" s="583"/>
      <c r="P438" s="583"/>
      <c r="Q438" s="583"/>
      <c r="R438" s="583"/>
      <c r="S438" s="583"/>
      <c r="T438" s="583"/>
      <c r="U438" s="583"/>
      <c r="V438" s="583"/>
      <c r="W438" s="583"/>
      <c r="X438" s="583"/>
      <c r="Y438" s="583"/>
      <c r="Z438" s="583"/>
      <c r="AA438" s="583"/>
      <c r="AB438" s="583"/>
      <c r="AC438" s="583"/>
      <c r="AD438" s="583"/>
      <c r="AE438" s="583"/>
      <c r="AF438" s="583"/>
    </row>
    <row r="439" ht="19.5" customHeight="1">
      <c r="A439" s="647"/>
      <c r="B439" s="647"/>
      <c r="C439" s="647"/>
      <c r="D439" s="649"/>
      <c r="E439" s="647"/>
      <c r="F439" s="649"/>
      <c r="G439" s="649"/>
      <c r="H439" s="647"/>
      <c r="I439" s="583"/>
      <c r="J439" s="583"/>
      <c r="K439" s="583"/>
      <c r="L439" s="583"/>
      <c r="M439" s="583"/>
      <c r="N439" s="583"/>
      <c r="O439" s="583"/>
      <c r="P439" s="583"/>
      <c r="Q439" s="583"/>
      <c r="R439" s="583"/>
      <c r="S439" s="583"/>
      <c r="T439" s="583"/>
      <c r="U439" s="583"/>
      <c r="V439" s="583"/>
      <c r="W439" s="583"/>
      <c r="X439" s="583"/>
      <c r="Y439" s="583"/>
      <c r="Z439" s="583"/>
      <c r="AA439" s="583"/>
      <c r="AB439" s="583"/>
      <c r="AC439" s="583"/>
      <c r="AD439" s="583"/>
      <c r="AE439" s="583"/>
      <c r="AF439" s="583"/>
    </row>
    <row r="440" ht="19.5" customHeight="1">
      <c r="A440" s="647"/>
      <c r="B440" s="647"/>
      <c r="C440" s="647"/>
      <c r="D440" s="649"/>
      <c r="E440" s="647"/>
      <c r="F440" s="649"/>
      <c r="G440" s="649"/>
      <c r="H440" s="647"/>
      <c r="I440" s="583"/>
      <c r="J440" s="583"/>
      <c r="K440" s="583"/>
      <c r="L440" s="583"/>
      <c r="M440" s="583"/>
      <c r="N440" s="583"/>
      <c r="O440" s="583"/>
      <c r="P440" s="583"/>
      <c r="Q440" s="583"/>
      <c r="R440" s="583"/>
      <c r="S440" s="583"/>
      <c r="T440" s="583"/>
      <c r="U440" s="583"/>
      <c r="V440" s="583"/>
      <c r="W440" s="583"/>
      <c r="X440" s="583"/>
      <c r="Y440" s="583"/>
      <c r="Z440" s="583"/>
      <c r="AA440" s="583"/>
      <c r="AB440" s="583"/>
      <c r="AC440" s="583"/>
      <c r="AD440" s="583"/>
      <c r="AE440" s="583"/>
      <c r="AF440" s="583"/>
    </row>
    <row r="441" ht="19.5" customHeight="1">
      <c r="A441" s="647"/>
      <c r="B441" s="647"/>
      <c r="C441" s="647"/>
      <c r="D441" s="649"/>
      <c r="E441" s="647"/>
      <c r="F441" s="649"/>
      <c r="G441" s="649"/>
      <c r="H441" s="647"/>
      <c r="I441" s="583"/>
      <c r="J441" s="583"/>
      <c r="K441" s="583"/>
      <c r="L441" s="583"/>
      <c r="M441" s="583"/>
      <c r="N441" s="583"/>
      <c r="O441" s="583"/>
      <c r="P441" s="583"/>
      <c r="Q441" s="583"/>
      <c r="R441" s="583"/>
      <c r="S441" s="583"/>
      <c r="T441" s="583"/>
      <c r="U441" s="583"/>
      <c r="V441" s="583"/>
      <c r="W441" s="583"/>
      <c r="X441" s="583"/>
      <c r="Y441" s="583"/>
      <c r="Z441" s="583"/>
      <c r="AA441" s="583"/>
      <c r="AB441" s="583"/>
      <c r="AC441" s="583"/>
      <c r="AD441" s="583"/>
      <c r="AE441" s="583"/>
      <c r="AF441" s="583"/>
    </row>
    <row r="442" ht="19.5" customHeight="1">
      <c r="A442" s="647"/>
      <c r="B442" s="647"/>
      <c r="C442" s="647"/>
      <c r="D442" s="649"/>
      <c r="E442" s="647"/>
      <c r="F442" s="649"/>
      <c r="G442" s="649"/>
      <c r="H442" s="647"/>
      <c r="I442" s="583"/>
      <c r="J442" s="583"/>
      <c r="K442" s="583"/>
      <c r="L442" s="583"/>
      <c r="M442" s="583"/>
      <c r="N442" s="583"/>
      <c r="O442" s="583"/>
      <c r="P442" s="583"/>
      <c r="Q442" s="583"/>
      <c r="R442" s="583"/>
      <c r="S442" s="583"/>
      <c r="T442" s="583"/>
      <c r="U442" s="583"/>
      <c r="V442" s="583"/>
      <c r="W442" s="583"/>
      <c r="X442" s="583"/>
      <c r="Y442" s="583"/>
      <c r="Z442" s="583"/>
      <c r="AA442" s="583"/>
      <c r="AB442" s="583"/>
      <c r="AC442" s="583"/>
      <c r="AD442" s="583"/>
      <c r="AE442" s="583"/>
      <c r="AF442" s="583"/>
    </row>
    <row r="443" ht="19.5" customHeight="1">
      <c r="A443" s="647"/>
      <c r="B443" s="647"/>
      <c r="C443" s="647"/>
      <c r="D443" s="649"/>
      <c r="E443" s="647"/>
      <c r="F443" s="649"/>
      <c r="G443" s="649"/>
      <c r="H443" s="647"/>
      <c r="I443" s="583"/>
      <c r="J443" s="583"/>
      <c r="K443" s="583"/>
      <c r="L443" s="583"/>
      <c r="M443" s="583"/>
      <c r="N443" s="583"/>
      <c r="O443" s="583"/>
      <c r="P443" s="583"/>
      <c r="Q443" s="583"/>
      <c r="R443" s="583"/>
      <c r="S443" s="583"/>
      <c r="T443" s="583"/>
      <c r="U443" s="583"/>
      <c r="V443" s="583"/>
      <c r="W443" s="583"/>
      <c r="X443" s="583"/>
      <c r="Y443" s="583"/>
      <c r="Z443" s="583"/>
      <c r="AA443" s="583"/>
      <c r="AB443" s="583"/>
      <c r="AC443" s="583"/>
      <c r="AD443" s="583"/>
      <c r="AE443" s="583"/>
      <c r="AF443" s="583"/>
    </row>
    <row r="444" ht="19.5" customHeight="1">
      <c r="A444" s="647"/>
      <c r="B444" s="647"/>
      <c r="C444" s="647"/>
      <c r="D444" s="649"/>
      <c r="E444" s="647"/>
      <c r="F444" s="649"/>
      <c r="G444" s="649"/>
      <c r="H444" s="647"/>
      <c r="I444" s="583"/>
      <c r="J444" s="583"/>
      <c r="K444" s="583"/>
      <c r="L444" s="583"/>
      <c r="M444" s="583"/>
      <c r="N444" s="583"/>
      <c r="O444" s="583"/>
      <c r="P444" s="583"/>
      <c r="Q444" s="583"/>
      <c r="R444" s="583"/>
      <c r="S444" s="583"/>
      <c r="T444" s="583"/>
      <c r="U444" s="583"/>
      <c r="V444" s="583"/>
      <c r="W444" s="583"/>
      <c r="X444" s="583"/>
      <c r="Y444" s="583"/>
      <c r="Z444" s="583"/>
      <c r="AA444" s="583"/>
      <c r="AB444" s="583"/>
      <c r="AC444" s="583"/>
      <c r="AD444" s="583"/>
      <c r="AE444" s="583"/>
      <c r="AF444" s="583"/>
    </row>
    <row r="445" ht="19.5" customHeight="1">
      <c r="A445" s="647"/>
      <c r="B445" s="647"/>
      <c r="C445" s="647"/>
      <c r="D445" s="649"/>
      <c r="E445" s="647"/>
      <c r="F445" s="649"/>
      <c r="G445" s="649"/>
      <c r="H445" s="647"/>
      <c r="I445" s="583"/>
      <c r="J445" s="583"/>
      <c r="K445" s="583"/>
      <c r="L445" s="583"/>
      <c r="M445" s="583"/>
      <c r="N445" s="583"/>
      <c r="O445" s="583"/>
      <c r="P445" s="583"/>
      <c r="Q445" s="583"/>
      <c r="R445" s="583"/>
      <c r="S445" s="583"/>
      <c r="T445" s="583"/>
      <c r="U445" s="583"/>
      <c r="V445" s="583"/>
      <c r="W445" s="583"/>
      <c r="X445" s="583"/>
      <c r="Y445" s="583"/>
      <c r="Z445" s="583"/>
      <c r="AA445" s="583"/>
      <c r="AB445" s="583"/>
      <c r="AC445" s="583"/>
      <c r="AD445" s="583"/>
      <c r="AE445" s="583"/>
      <c r="AF445" s="583"/>
    </row>
    <row r="446" ht="19.5" customHeight="1">
      <c r="A446" s="647"/>
      <c r="B446" s="647"/>
      <c r="C446" s="647"/>
      <c r="D446" s="649"/>
      <c r="E446" s="647"/>
      <c r="F446" s="649"/>
      <c r="G446" s="649"/>
      <c r="H446" s="647"/>
      <c r="I446" s="583"/>
      <c r="J446" s="583"/>
      <c r="K446" s="583"/>
      <c r="L446" s="583"/>
      <c r="M446" s="583"/>
      <c r="N446" s="583"/>
      <c r="O446" s="583"/>
      <c r="P446" s="583"/>
      <c r="Q446" s="583"/>
      <c r="R446" s="583"/>
      <c r="S446" s="583"/>
      <c r="T446" s="583"/>
      <c r="U446" s="583"/>
      <c r="V446" s="583"/>
      <c r="W446" s="583"/>
      <c r="X446" s="583"/>
      <c r="Y446" s="583"/>
      <c r="Z446" s="583"/>
      <c r="AA446" s="583"/>
      <c r="AB446" s="583"/>
      <c r="AC446" s="583"/>
      <c r="AD446" s="583"/>
      <c r="AE446" s="583"/>
      <c r="AF446" s="583"/>
    </row>
    <row r="447" ht="19.5" customHeight="1">
      <c r="A447" s="647"/>
      <c r="B447" s="647"/>
      <c r="C447" s="647"/>
      <c r="D447" s="649"/>
      <c r="E447" s="647"/>
      <c r="F447" s="649"/>
      <c r="G447" s="649"/>
      <c r="H447" s="647"/>
      <c r="I447" s="583"/>
      <c r="J447" s="583"/>
      <c r="K447" s="583"/>
      <c r="L447" s="583"/>
      <c r="M447" s="583"/>
      <c r="N447" s="583"/>
      <c r="O447" s="583"/>
      <c r="P447" s="583"/>
      <c r="Q447" s="583"/>
      <c r="R447" s="583"/>
      <c r="S447" s="583"/>
      <c r="T447" s="583"/>
      <c r="U447" s="583"/>
      <c r="V447" s="583"/>
      <c r="W447" s="583"/>
      <c r="X447" s="583"/>
      <c r="Y447" s="583"/>
      <c r="Z447" s="583"/>
      <c r="AA447" s="583"/>
      <c r="AB447" s="583"/>
      <c r="AC447" s="583"/>
      <c r="AD447" s="583"/>
      <c r="AE447" s="583"/>
      <c r="AF447" s="583"/>
    </row>
    <row r="448" ht="19.5" customHeight="1">
      <c r="A448" s="647"/>
      <c r="B448" s="647"/>
      <c r="C448" s="647"/>
      <c r="D448" s="649"/>
      <c r="E448" s="647"/>
      <c r="F448" s="649"/>
      <c r="G448" s="649"/>
      <c r="H448" s="647"/>
      <c r="I448" s="583"/>
      <c r="J448" s="583"/>
      <c r="K448" s="583"/>
      <c r="L448" s="583"/>
      <c r="M448" s="583"/>
      <c r="N448" s="583"/>
      <c r="O448" s="583"/>
      <c r="P448" s="583"/>
      <c r="Q448" s="583"/>
      <c r="R448" s="583"/>
      <c r="S448" s="583"/>
      <c r="T448" s="583"/>
      <c r="U448" s="583"/>
      <c r="V448" s="583"/>
      <c r="W448" s="583"/>
      <c r="X448" s="583"/>
      <c r="Y448" s="583"/>
      <c r="Z448" s="583"/>
      <c r="AA448" s="583"/>
      <c r="AB448" s="583"/>
      <c r="AC448" s="583"/>
      <c r="AD448" s="583"/>
      <c r="AE448" s="583"/>
      <c r="AF448" s="583"/>
    </row>
    <row r="449" ht="19.5" customHeight="1">
      <c r="A449" s="647"/>
      <c r="B449" s="647"/>
      <c r="C449" s="647"/>
      <c r="D449" s="649"/>
      <c r="E449" s="647"/>
      <c r="F449" s="649"/>
      <c r="G449" s="649"/>
      <c r="H449" s="647"/>
      <c r="I449" s="583"/>
      <c r="J449" s="583"/>
      <c r="K449" s="583"/>
      <c r="L449" s="583"/>
      <c r="M449" s="583"/>
      <c r="N449" s="583"/>
      <c r="O449" s="583"/>
      <c r="P449" s="583"/>
      <c r="Q449" s="583"/>
      <c r="R449" s="583"/>
      <c r="S449" s="583"/>
      <c r="T449" s="583"/>
      <c r="U449" s="583"/>
      <c r="V449" s="583"/>
      <c r="W449" s="583"/>
      <c r="X449" s="583"/>
      <c r="Y449" s="583"/>
      <c r="Z449" s="583"/>
      <c r="AA449" s="583"/>
      <c r="AB449" s="583"/>
      <c r="AC449" s="583"/>
      <c r="AD449" s="583"/>
      <c r="AE449" s="583"/>
      <c r="AF449" s="583"/>
    </row>
    <row r="450" ht="19.5" customHeight="1">
      <c r="A450" s="647"/>
      <c r="B450" s="647"/>
      <c r="C450" s="647"/>
      <c r="D450" s="649"/>
      <c r="E450" s="647"/>
      <c r="F450" s="649"/>
      <c r="G450" s="649"/>
      <c r="H450" s="647"/>
      <c r="I450" s="583"/>
      <c r="J450" s="583"/>
      <c r="K450" s="583"/>
      <c r="L450" s="583"/>
      <c r="M450" s="583"/>
      <c r="N450" s="583"/>
      <c r="O450" s="583"/>
      <c r="P450" s="583"/>
      <c r="Q450" s="583"/>
      <c r="R450" s="583"/>
      <c r="S450" s="583"/>
      <c r="T450" s="583"/>
      <c r="U450" s="583"/>
      <c r="V450" s="583"/>
      <c r="W450" s="583"/>
      <c r="X450" s="583"/>
      <c r="Y450" s="583"/>
      <c r="Z450" s="583"/>
      <c r="AA450" s="583"/>
      <c r="AB450" s="583"/>
      <c r="AC450" s="583"/>
      <c r="AD450" s="583"/>
      <c r="AE450" s="583"/>
      <c r="AF450" s="583"/>
    </row>
    <row r="451" ht="19.5" customHeight="1">
      <c r="A451" s="647"/>
      <c r="B451" s="647"/>
      <c r="C451" s="647"/>
      <c r="D451" s="649"/>
      <c r="E451" s="647"/>
      <c r="F451" s="649"/>
      <c r="G451" s="649"/>
      <c r="H451" s="647"/>
      <c r="I451" s="583"/>
      <c r="J451" s="583"/>
      <c r="K451" s="583"/>
      <c r="L451" s="583"/>
      <c r="M451" s="583"/>
      <c r="N451" s="583"/>
      <c r="O451" s="583"/>
      <c r="P451" s="583"/>
      <c r="Q451" s="583"/>
      <c r="R451" s="583"/>
      <c r="S451" s="583"/>
      <c r="T451" s="583"/>
      <c r="U451" s="583"/>
      <c r="V451" s="583"/>
      <c r="W451" s="583"/>
      <c r="X451" s="583"/>
      <c r="Y451" s="583"/>
      <c r="Z451" s="583"/>
      <c r="AA451" s="583"/>
      <c r="AB451" s="583"/>
      <c r="AC451" s="583"/>
      <c r="AD451" s="583"/>
      <c r="AE451" s="583"/>
      <c r="AF451" s="583"/>
    </row>
    <row r="452" ht="19.5" customHeight="1">
      <c r="A452" s="647"/>
      <c r="B452" s="647"/>
      <c r="C452" s="647"/>
      <c r="D452" s="649"/>
      <c r="E452" s="647"/>
      <c r="F452" s="649"/>
      <c r="G452" s="649"/>
      <c r="H452" s="647"/>
      <c r="I452" s="583"/>
      <c r="J452" s="583"/>
      <c r="K452" s="583"/>
      <c r="L452" s="583"/>
      <c r="M452" s="583"/>
      <c r="N452" s="583"/>
      <c r="O452" s="583"/>
      <c r="P452" s="583"/>
      <c r="Q452" s="583"/>
      <c r="R452" s="583"/>
      <c r="S452" s="583"/>
      <c r="T452" s="583"/>
      <c r="U452" s="583"/>
      <c r="V452" s="583"/>
      <c r="W452" s="583"/>
      <c r="X452" s="583"/>
      <c r="Y452" s="583"/>
      <c r="Z452" s="583"/>
      <c r="AA452" s="583"/>
      <c r="AB452" s="583"/>
      <c r="AC452" s="583"/>
      <c r="AD452" s="583"/>
      <c r="AE452" s="583"/>
      <c r="AF452" s="583"/>
    </row>
    <row r="453" ht="19.5" customHeight="1">
      <c r="A453" s="647"/>
      <c r="B453" s="647"/>
      <c r="C453" s="647"/>
      <c r="D453" s="649"/>
      <c r="E453" s="647"/>
      <c r="F453" s="649"/>
      <c r="G453" s="649"/>
      <c r="H453" s="647"/>
      <c r="I453" s="583"/>
      <c r="J453" s="583"/>
      <c r="K453" s="583"/>
      <c r="L453" s="583"/>
      <c r="M453" s="583"/>
      <c r="N453" s="583"/>
      <c r="O453" s="583"/>
      <c r="P453" s="583"/>
      <c r="Q453" s="583"/>
      <c r="R453" s="583"/>
      <c r="S453" s="583"/>
      <c r="T453" s="583"/>
      <c r="U453" s="583"/>
      <c r="V453" s="583"/>
      <c r="W453" s="583"/>
      <c r="X453" s="583"/>
      <c r="Y453" s="583"/>
      <c r="Z453" s="583"/>
      <c r="AA453" s="583"/>
      <c r="AB453" s="583"/>
      <c r="AC453" s="583"/>
      <c r="AD453" s="583"/>
      <c r="AE453" s="583"/>
      <c r="AF453" s="583"/>
    </row>
    <row r="454" ht="19.5" customHeight="1">
      <c r="A454" s="647"/>
      <c r="B454" s="647"/>
      <c r="C454" s="647"/>
      <c r="D454" s="649"/>
      <c r="E454" s="647"/>
      <c r="F454" s="649"/>
      <c r="G454" s="649"/>
      <c r="H454" s="647"/>
      <c r="I454" s="583"/>
      <c r="J454" s="583"/>
      <c r="K454" s="583"/>
      <c r="L454" s="583"/>
      <c r="M454" s="583"/>
      <c r="N454" s="583"/>
      <c r="O454" s="583"/>
      <c r="P454" s="583"/>
      <c r="Q454" s="583"/>
      <c r="R454" s="583"/>
      <c r="S454" s="583"/>
      <c r="T454" s="583"/>
      <c r="U454" s="583"/>
      <c r="V454" s="583"/>
      <c r="W454" s="583"/>
      <c r="X454" s="583"/>
      <c r="Y454" s="583"/>
      <c r="Z454" s="583"/>
      <c r="AA454" s="583"/>
      <c r="AB454" s="583"/>
      <c r="AC454" s="583"/>
      <c r="AD454" s="583"/>
      <c r="AE454" s="583"/>
      <c r="AF454" s="583"/>
    </row>
    <row r="455" ht="19.5" customHeight="1">
      <c r="A455" s="647"/>
      <c r="B455" s="647"/>
      <c r="C455" s="647"/>
      <c r="D455" s="649"/>
      <c r="E455" s="647"/>
      <c r="F455" s="649"/>
      <c r="G455" s="649"/>
      <c r="H455" s="647"/>
      <c r="I455" s="583"/>
      <c r="J455" s="583"/>
      <c r="K455" s="583"/>
      <c r="L455" s="583"/>
      <c r="M455" s="583"/>
      <c r="N455" s="583"/>
      <c r="O455" s="583"/>
      <c r="P455" s="583"/>
      <c r="Q455" s="583"/>
      <c r="R455" s="583"/>
      <c r="S455" s="583"/>
      <c r="T455" s="583"/>
      <c r="U455" s="583"/>
      <c r="V455" s="583"/>
      <c r="W455" s="583"/>
      <c r="X455" s="583"/>
      <c r="Y455" s="583"/>
      <c r="Z455" s="583"/>
      <c r="AA455" s="583"/>
      <c r="AB455" s="583"/>
      <c r="AC455" s="583"/>
      <c r="AD455" s="583"/>
      <c r="AE455" s="583"/>
      <c r="AF455" s="583"/>
    </row>
    <row r="456" ht="19.5" customHeight="1">
      <c r="A456" s="647"/>
      <c r="B456" s="647"/>
      <c r="C456" s="647"/>
      <c r="D456" s="649"/>
      <c r="E456" s="647"/>
      <c r="F456" s="649"/>
      <c r="G456" s="649"/>
      <c r="H456" s="647"/>
      <c r="I456" s="583"/>
      <c r="J456" s="583"/>
      <c r="K456" s="583"/>
      <c r="L456" s="583"/>
      <c r="M456" s="583"/>
      <c r="N456" s="583"/>
      <c r="O456" s="583"/>
      <c r="P456" s="583"/>
      <c r="Q456" s="583"/>
      <c r="R456" s="583"/>
      <c r="S456" s="583"/>
      <c r="T456" s="583"/>
      <c r="U456" s="583"/>
      <c r="V456" s="583"/>
      <c r="W456" s="583"/>
      <c r="X456" s="583"/>
      <c r="Y456" s="583"/>
      <c r="Z456" s="583"/>
      <c r="AA456" s="583"/>
      <c r="AB456" s="583"/>
      <c r="AC456" s="583"/>
      <c r="AD456" s="583"/>
      <c r="AE456" s="583"/>
      <c r="AF456" s="583"/>
    </row>
    <row r="457" ht="19.5" customHeight="1">
      <c r="A457" s="647"/>
      <c r="B457" s="647"/>
      <c r="C457" s="647"/>
      <c r="D457" s="649"/>
      <c r="E457" s="647"/>
      <c r="F457" s="649"/>
      <c r="G457" s="649"/>
      <c r="H457" s="647"/>
      <c r="I457" s="583"/>
      <c r="J457" s="583"/>
      <c r="K457" s="583"/>
      <c r="L457" s="583"/>
      <c r="M457" s="583"/>
      <c r="N457" s="583"/>
      <c r="O457" s="583"/>
      <c r="P457" s="583"/>
      <c r="Q457" s="583"/>
      <c r="R457" s="583"/>
      <c r="S457" s="583"/>
      <c r="T457" s="583"/>
      <c r="U457" s="583"/>
      <c r="V457" s="583"/>
      <c r="W457" s="583"/>
      <c r="X457" s="583"/>
      <c r="Y457" s="583"/>
      <c r="Z457" s="583"/>
      <c r="AA457" s="583"/>
      <c r="AB457" s="583"/>
      <c r="AC457" s="583"/>
      <c r="AD457" s="583"/>
      <c r="AE457" s="583"/>
      <c r="AF457" s="583"/>
    </row>
    <row r="458" ht="19.5" customHeight="1">
      <c r="A458" s="647"/>
      <c r="B458" s="647"/>
      <c r="C458" s="647"/>
      <c r="D458" s="649"/>
      <c r="E458" s="647"/>
      <c r="F458" s="649"/>
      <c r="G458" s="649"/>
      <c r="H458" s="647"/>
      <c r="I458" s="583"/>
      <c r="J458" s="583"/>
      <c r="K458" s="583"/>
      <c r="L458" s="583"/>
      <c r="M458" s="583"/>
      <c r="N458" s="583"/>
      <c r="O458" s="583"/>
      <c r="P458" s="583"/>
      <c r="Q458" s="583"/>
      <c r="R458" s="583"/>
      <c r="S458" s="583"/>
      <c r="T458" s="583"/>
      <c r="U458" s="583"/>
      <c r="V458" s="583"/>
      <c r="W458" s="583"/>
      <c r="X458" s="583"/>
      <c r="Y458" s="583"/>
      <c r="Z458" s="583"/>
      <c r="AA458" s="583"/>
      <c r="AB458" s="583"/>
      <c r="AC458" s="583"/>
      <c r="AD458" s="583"/>
      <c r="AE458" s="583"/>
      <c r="AF458" s="583"/>
    </row>
    <row r="459" ht="19.5" customHeight="1">
      <c r="A459" s="647"/>
      <c r="B459" s="647"/>
      <c r="C459" s="647"/>
      <c r="D459" s="649"/>
      <c r="E459" s="647"/>
      <c r="F459" s="649"/>
      <c r="G459" s="649"/>
      <c r="H459" s="647"/>
      <c r="I459" s="583"/>
      <c r="J459" s="583"/>
      <c r="K459" s="583"/>
      <c r="L459" s="583"/>
      <c r="M459" s="583"/>
      <c r="N459" s="583"/>
      <c r="O459" s="583"/>
      <c r="P459" s="583"/>
      <c r="Q459" s="583"/>
      <c r="R459" s="583"/>
      <c r="S459" s="583"/>
      <c r="T459" s="583"/>
      <c r="U459" s="583"/>
      <c r="V459" s="583"/>
      <c r="W459" s="583"/>
      <c r="X459" s="583"/>
      <c r="Y459" s="583"/>
      <c r="Z459" s="583"/>
      <c r="AA459" s="583"/>
      <c r="AB459" s="583"/>
      <c r="AC459" s="583"/>
      <c r="AD459" s="583"/>
      <c r="AE459" s="583"/>
      <c r="AF459" s="583"/>
    </row>
    <row r="460" ht="19.5" customHeight="1">
      <c r="A460" s="647"/>
      <c r="B460" s="647"/>
      <c r="C460" s="647"/>
      <c r="D460" s="649"/>
      <c r="E460" s="647"/>
      <c r="F460" s="649"/>
      <c r="G460" s="649"/>
      <c r="H460" s="647"/>
      <c r="I460" s="583"/>
      <c r="J460" s="583"/>
      <c r="K460" s="583"/>
      <c r="L460" s="583"/>
      <c r="M460" s="583"/>
      <c r="N460" s="583"/>
      <c r="O460" s="583"/>
      <c r="P460" s="583"/>
      <c r="Q460" s="583"/>
      <c r="R460" s="583"/>
      <c r="S460" s="583"/>
      <c r="T460" s="583"/>
      <c r="U460" s="583"/>
      <c r="V460" s="583"/>
      <c r="W460" s="583"/>
      <c r="X460" s="583"/>
      <c r="Y460" s="583"/>
      <c r="Z460" s="583"/>
      <c r="AA460" s="583"/>
      <c r="AB460" s="583"/>
      <c r="AC460" s="583"/>
      <c r="AD460" s="583"/>
      <c r="AE460" s="583"/>
      <c r="AF460" s="583"/>
    </row>
    <row r="461" ht="19.5" customHeight="1">
      <c r="A461" s="647"/>
      <c r="B461" s="647"/>
      <c r="C461" s="647"/>
      <c r="D461" s="649"/>
      <c r="E461" s="647"/>
      <c r="F461" s="649"/>
      <c r="G461" s="649"/>
      <c r="H461" s="647"/>
      <c r="I461" s="583"/>
      <c r="J461" s="583"/>
      <c r="K461" s="583"/>
      <c r="L461" s="583"/>
      <c r="M461" s="583"/>
      <c r="N461" s="583"/>
      <c r="O461" s="583"/>
      <c r="P461" s="583"/>
      <c r="Q461" s="583"/>
      <c r="R461" s="583"/>
      <c r="S461" s="583"/>
      <c r="T461" s="583"/>
      <c r="U461" s="583"/>
      <c r="V461" s="583"/>
      <c r="W461" s="583"/>
      <c r="X461" s="583"/>
      <c r="Y461" s="583"/>
      <c r="Z461" s="583"/>
      <c r="AA461" s="583"/>
      <c r="AB461" s="583"/>
      <c r="AC461" s="583"/>
      <c r="AD461" s="583"/>
      <c r="AE461" s="583"/>
      <c r="AF461" s="583"/>
    </row>
    <row r="462" ht="19.5" customHeight="1">
      <c r="A462" s="647"/>
      <c r="B462" s="647"/>
      <c r="C462" s="647"/>
      <c r="D462" s="649"/>
      <c r="E462" s="647"/>
      <c r="F462" s="649"/>
      <c r="G462" s="649"/>
      <c r="H462" s="647"/>
      <c r="I462" s="583"/>
      <c r="J462" s="583"/>
      <c r="K462" s="583"/>
      <c r="L462" s="583"/>
      <c r="M462" s="583"/>
      <c r="N462" s="583"/>
      <c r="O462" s="583"/>
      <c r="P462" s="583"/>
      <c r="Q462" s="583"/>
      <c r="R462" s="583"/>
      <c r="S462" s="583"/>
      <c r="T462" s="583"/>
      <c r="U462" s="583"/>
      <c r="V462" s="583"/>
      <c r="W462" s="583"/>
      <c r="X462" s="583"/>
      <c r="Y462" s="583"/>
      <c r="Z462" s="583"/>
      <c r="AA462" s="583"/>
      <c r="AB462" s="583"/>
      <c r="AC462" s="583"/>
      <c r="AD462" s="583"/>
      <c r="AE462" s="583"/>
      <c r="AF462" s="583"/>
    </row>
    <row r="463" ht="19.5" customHeight="1">
      <c r="A463" s="647"/>
      <c r="B463" s="647"/>
      <c r="C463" s="647"/>
      <c r="D463" s="649"/>
      <c r="E463" s="647"/>
      <c r="F463" s="649"/>
      <c r="G463" s="649"/>
      <c r="H463" s="647"/>
      <c r="I463" s="583"/>
      <c r="J463" s="583"/>
      <c r="K463" s="583"/>
      <c r="L463" s="583"/>
      <c r="M463" s="583"/>
      <c r="N463" s="583"/>
      <c r="O463" s="583"/>
      <c r="P463" s="583"/>
      <c r="Q463" s="583"/>
      <c r="R463" s="583"/>
      <c r="S463" s="583"/>
      <c r="T463" s="583"/>
      <c r="U463" s="583"/>
      <c r="V463" s="583"/>
      <c r="W463" s="583"/>
      <c r="X463" s="583"/>
      <c r="Y463" s="583"/>
      <c r="Z463" s="583"/>
      <c r="AA463" s="583"/>
      <c r="AB463" s="583"/>
      <c r="AC463" s="583"/>
      <c r="AD463" s="583"/>
      <c r="AE463" s="583"/>
      <c r="AF463" s="583"/>
    </row>
    <row r="464" ht="19.5" customHeight="1">
      <c r="A464" s="647"/>
      <c r="B464" s="647"/>
      <c r="C464" s="647"/>
      <c r="D464" s="649"/>
      <c r="E464" s="647"/>
      <c r="F464" s="649"/>
      <c r="G464" s="649"/>
      <c r="H464" s="647"/>
      <c r="I464" s="583"/>
      <c r="J464" s="583"/>
      <c r="K464" s="583"/>
      <c r="L464" s="583"/>
      <c r="M464" s="583"/>
      <c r="N464" s="583"/>
      <c r="O464" s="583"/>
      <c r="P464" s="583"/>
      <c r="Q464" s="583"/>
      <c r="R464" s="583"/>
      <c r="S464" s="583"/>
      <c r="T464" s="583"/>
      <c r="U464" s="583"/>
      <c r="V464" s="583"/>
      <c r="W464" s="583"/>
      <c r="X464" s="583"/>
      <c r="Y464" s="583"/>
      <c r="Z464" s="583"/>
      <c r="AA464" s="583"/>
      <c r="AB464" s="583"/>
      <c r="AC464" s="583"/>
      <c r="AD464" s="583"/>
      <c r="AE464" s="583"/>
      <c r="AF464" s="583"/>
    </row>
    <row r="465" ht="19.5" customHeight="1">
      <c r="A465" s="647"/>
      <c r="B465" s="647"/>
      <c r="C465" s="647"/>
      <c r="D465" s="649"/>
      <c r="E465" s="647"/>
      <c r="F465" s="649"/>
      <c r="G465" s="649"/>
      <c r="H465" s="647"/>
      <c r="I465" s="583"/>
      <c r="J465" s="583"/>
      <c r="K465" s="583"/>
      <c r="L465" s="583"/>
      <c r="M465" s="583"/>
      <c r="N465" s="583"/>
      <c r="O465" s="583"/>
      <c r="P465" s="583"/>
      <c r="Q465" s="583"/>
      <c r="R465" s="583"/>
      <c r="S465" s="583"/>
      <c r="T465" s="583"/>
      <c r="U465" s="583"/>
      <c r="V465" s="583"/>
      <c r="W465" s="583"/>
      <c r="X465" s="583"/>
      <c r="Y465" s="583"/>
      <c r="Z465" s="583"/>
      <c r="AA465" s="583"/>
      <c r="AB465" s="583"/>
      <c r="AC465" s="583"/>
      <c r="AD465" s="583"/>
      <c r="AE465" s="583"/>
      <c r="AF465" s="583"/>
    </row>
    <row r="466" ht="19.5" customHeight="1">
      <c r="A466" s="647"/>
      <c r="B466" s="647"/>
      <c r="C466" s="647"/>
      <c r="D466" s="649"/>
      <c r="E466" s="647"/>
      <c r="F466" s="649"/>
      <c r="G466" s="649"/>
      <c r="H466" s="647"/>
      <c r="I466" s="583"/>
      <c r="J466" s="583"/>
      <c r="K466" s="583"/>
      <c r="L466" s="583"/>
      <c r="M466" s="583"/>
      <c r="N466" s="583"/>
      <c r="O466" s="583"/>
      <c r="P466" s="583"/>
      <c r="Q466" s="583"/>
      <c r="R466" s="583"/>
      <c r="S466" s="583"/>
      <c r="T466" s="583"/>
      <c r="U466" s="583"/>
      <c r="V466" s="583"/>
      <c r="W466" s="583"/>
      <c r="X466" s="583"/>
      <c r="Y466" s="583"/>
      <c r="Z466" s="583"/>
      <c r="AA466" s="583"/>
      <c r="AB466" s="583"/>
      <c r="AC466" s="583"/>
      <c r="AD466" s="583"/>
      <c r="AE466" s="583"/>
      <c r="AF466" s="583"/>
    </row>
    <row r="467" ht="19.5" customHeight="1">
      <c r="A467" s="647"/>
      <c r="B467" s="647"/>
      <c r="C467" s="647"/>
      <c r="D467" s="649"/>
      <c r="E467" s="647"/>
      <c r="F467" s="649"/>
      <c r="G467" s="649"/>
      <c r="H467" s="647"/>
      <c r="I467" s="583"/>
      <c r="J467" s="583"/>
      <c r="K467" s="583"/>
      <c r="L467" s="583"/>
      <c r="M467" s="583"/>
      <c r="N467" s="583"/>
      <c r="O467" s="583"/>
      <c r="P467" s="583"/>
      <c r="Q467" s="583"/>
      <c r="R467" s="583"/>
      <c r="S467" s="583"/>
      <c r="T467" s="583"/>
      <c r="U467" s="583"/>
      <c r="V467" s="583"/>
      <c r="W467" s="583"/>
      <c r="X467" s="583"/>
      <c r="Y467" s="583"/>
      <c r="Z467" s="583"/>
      <c r="AA467" s="583"/>
      <c r="AB467" s="583"/>
      <c r="AC467" s="583"/>
      <c r="AD467" s="583"/>
      <c r="AE467" s="583"/>
      <c r="AF467" s="583"/>
    </row>
    <row r="468" ht="19.5" customHeight="1">
      <c r="A468" s="647"/>
      <c r="B468" s="647"/>
      <c r="C468" s="647"/>
      <c r="D468" s="649"/>
      <c r="E468" s="647"/>
      <c r="F468" s="649"/>
      <c r="G468" s="649"/>
      <c r="H468" s="647"/>
      <c r="I468" s="583"/>
      <c r="J468" s="583"/>
      <c r="K468" s="583"/>
      <c r="L468" s="583"/>
      <c r="M468" s="583"/>
      <c r="N468" s="583"/>
      <c r="O468" s="583"/>
      <c r="P468" s="583"/>
      <c r="Q468" s="583"/>
      <c r="R468" s="583"/>
      <c r="S468" s="583"/>
      <c r="T468" s="583"/>
      <c r="U468" s="583"/>
      <c r="V468" s="583"/>
      <c r="W468" s="583"/>
      <c r="X468" s="583"/>
      <c r="Y468" s="583"/>
      <c r="Z468" s="583"/>
      <c r="AA468" s="583"/>
      <c r="AB468" s="583"/>
      <c r="AC468" s="583"/>
      <c r="AD468" s="583"/>
      <c r="AE468" s="583"/>
      <c r="AF468" s="583"/>
    </row>
    <row r="469" ht="19.5" customHeight="1">
      <c r="A469" s="647"/>
      <c r="B469" s="647"/>
      <c r="C469" s="647"/>
      <c r="D469" s="649"/>
      <c r="E469" s="647"/>
      <c r="F469" s="649"/>
      <c r="G469" s="649"/>
      <c r="H469" s="647"/>
      <c r="I469" s="583"/>
      <c r="J469" s="583"/>
      <c r="K469" s="583"/>
      <c r="L469" s="583"/>
      <c r="M469" s="583"/>
      <c r="N469" s="583"/>
      <c r="O469" s="583"/>
      <c r="P469" s="583"/>
      <c r="Q469" s="583"/>
      <c r="R469" s="583"/>
      <c r="S469" s="583"/>
      <c r="T469" s="583"/>
      <c r="U469" s="583"/>
      <c r="V469" s="583"/>
      <c r="W469" s="583"/>
      <c r="X469" s="583"/>
      <c r="Y469" s="583"/>
      <c r="Z469" s="583"/>
      <c r="AA469" s="583"/>
      <c r="AB469" s="583"/>
      <c r="AC469" s="583"/>
      <c r="AD469" s="583"/>
      <c r="AE469" s="583"/>
      <c r="AF469" s="583"/>
    </row>
    <row r="470" ht="19.5" customHeight="1">
      <c r="A470" s="647"/>
      <c r="B470" s="647"/>
      <c r="C470" s="647"/>
      <c r="D470" s="649"/>
      <c r="E470" s="647"/>
      <c r="F470" s="649"/>
      <c r="G470" s="649"/>
      <c r="H470" s="647"/>
      <c r="I470" s="583"/>
      <c r="J470" s="583"/>
      <c r="K470" s="583"/>
      <c r="L470" s="583"/>
      <c r="M470" s="583"/>
      <c r="N470" s="583"/>
      <c r="O470" s="583"/>
      <c r="P470" s="583"/>
      <c r="Q470" s="583"/>
      <c r="R470" s="583"/>
      <c r="S470" s="583"/>
      <c r="T470" s="583"/>
      <c r="U470" s="583"/>
      <c r="V470" s="583"/>
      <c r="W470" s="583"/>
      <c r="X470" s="583"/>
      <c r="Y470" s="583"/>
      <c r="Z470" s="583"/>
      <c r="AA470" s="583"/>
      <c r="AB470" s="583"/>
      <c r="AC470" s="583"/>
      <c r="AD470" s="583"/>
      <c r="AE470" s="583"/>
      <c r="AF470" s="583"/>
    </row>
    <row r="471" ht="19.5" customHeight="1">
      <c r="A471" s="647"/>
      <c r="B471" s="647"/>
      <c r="C471" s="647"/>
      <c r="D471" s="649"/>
      <c r="E471" s="647"/>
      <c r="F471" s="649"/>
      <c r="G471" s="649"/>
      <c r="H471" s="647"/>
      <c r="I471" s="583"/>
      <c r="J471" s="583"/>
      <c r="K471" s="583"/>
      <c r="L471" s="583"/>
      <c r="M471" s="583"/>
      <c r="N471" s="583"/>
      <c r="O471" s="583"/>
      <c r="P471" s="583"/>
      <c r="Q471" s="583"/>
      <c r="R471" s="583"/>
      <c r="S471" s="583"/>
      <c r="T471" s="583"/>
      <c r="U471" s="583"/>
      <c r="V471" s="583"/>
      <c r="W471" s="583"/>
      <c r="X471" s="583"/>
      <c r="Y471" s="583"/>
      <c r="Z471" s="583"/>
      <c r="AA471" s="583"/>
      <c r="AB471" s="583"/>
      <c r="AC471" s="583"/>
      <c r="AD471" s="583"/>
      <c r="AE471" s="583"/>
      <c r="AF471" s="583"/>
    </row>
    <row r="472" ht="19.5" customHeight="1">
      <c r="A472" s="647"/>
      <c r="B472" s="647"/>
      <c r="C472" s="647"/>
      <c r="D472" s="649"/>
      <c r="E472" s="647"/>
      <c r="F472" s="649"/>
      <c r="G472" s="649"/>
      <c r="H472" s="647"/>
      <c r="I472" s="583"/>
      <c r="J472" s="583"/>
      <c r="K472" s="583"/>
      <c r="L472" s="583"/>
      <c r="M472" s="583"/>
      <c r="N472" s="583"/>
      <c r="O472" s="583"/>
      <c r="P472" s="583"/>
      <c r="Q472" s="583"/>
      <c r="R472" s="583"/>
      <c r="S472" s="583"/>
      <c r="T472" s="583"/>
      <c r="U472" s="583"/>
      <c r="V472" s="583"/>
      <c r="W472" s="583"/>
      <c r="X472" s="583"/>
      <c r="Y472" s="583"/>
      <c r="Z472" s="583"/>
      <c r="AA472" s="583"/>
      <c r="AB472" s="583"/>
      <c r="AC472" s="583"/>
      <c r="AD472" s="583"/>
      <c r="AE472" s="583"/>
      <c r="AF472" s="583"/>
    </row>
    <row r="473" ht="19.5" customHeight="1">
      <c r="A473" s="647"/>
      <c r="B473" s="647"/>
      <c r="C473" s="647"/>
      <c r="D473" s="649"/>
      <c r="E473" s="647"/>
      <c r="F473" s="649"/>
      <c r="G473" s="649"/>
      <c r="H473" s="647"/>
      <c r="I473" s="583"/>
      <c r="J473" s="583"/>
      <c r="K473" s="583"/>
      <c r="L473" s="583"/>
      <c r="M473" s="583"/>
      <c r="N473" s="583"/>
      <c r="O473" s="583"/>
      <c r="P473" s="583"/>
      <c r="Q473" s="583"/>
      <c r="R473" s="583"/>
      <c r="S473" s="583"/>
      <c r="T473" s="583"/>
      <c r="U473" s="583"/>
      <c r="V473" s="583"/>
      <c r="W473" s="583"/>
      <c r="X473" s="583"/>
      <c r="Y473" s="583"/>
      <c r="Z473" s="583"/>
      <c r="AA473" s="583"/>
      <c r="AB473" s="583"/>
      <c r="AC473" s="583"/>
      <c r="AD473" s="583"/>
      <c r="AE473" s="583"/>
      <c r="AF473" s="583"/>
    </row>
    <row r="474" ht="19.5" customHeight="1">
      <c r="A474" s="647"/>
      <c r="B474" s="647"/>
      <c r="C474" s="647"/>
      <c r="D474" s="649"/>
      <c r="E474" s="647"/>
      <c r="F474" s="649"/>
      <c r="G474" s="649"/>
      <c r="H474" s="647"/>
      <c r="I474" s="583"/>
      <c r="J474" s="583"/>
      <c r="K474" s="583"/>
      <c r="L474" s="583"/>
      <c r="M474" s="583"/>
      <c r="N474" s="583"/>
      <c r="O474" s="583"/>
      <c r="P474" s="583"/>
      <c r="Q474" s="583"/>
      <c r="R474" s="583"/>
      <c r="S474" s="583"/>
      <c r="T474" s="583"/>
      <c r="U474" s="583"/>
      <c r="V474" s="583"/>
      <c r="W474" s="583"/>
      <c r="X474" s="583"/>
      <c r="Y474" s="583"/>
      <c r="Z474" s="583"/>
      <c r="AA474" s="583"/>
      <c r="AB474" s="583"/>
      <c r="AC474" s="583"/>
      <c r="AD474" s="583"/>
      <c r="AE474" s="583"/>
      <c r="AF474" s="583"/>
    </row>
    <row r="475" ht="19.5" customHeight="1">
      <c r="A475" s="647"/>
      <c r="B475" s="647"/>
      <c r="C475" s="647"/>
      <c r="D475" s="649"/>
      <c r="E475" s="647"/>
      <c r="F475" s="649"/>
      <c r="G475" s="649"/>
      <c r="H475" s="647"/>
      <c r="I475" s="583"/>
      <c r="J475" s="583"/>
      <c r="K475" s="583"/>
      <c r="L475" s="583"/>
      <c r="M475" s="583"/>
      <c r="N475" s="583"/>
      <c r="O475" s="583"/>
      <c r="P475" s="583"/>
      <c r="Q475" s="583"/>
      <c r="R475" s="583"/>
      <c r="S475" s="583"/>
      <c r="T475" s="583"/>
      <c r="U475" s="583"/>
      <c r="V475" s="583"/>
      <c r="W475" s="583"/>
      <c r="X475" s="583"/>
      <c r="Y475" s="583"/>
      <c r="Z475" s="583"/>
      <c r="AA475" s="583"/>
      <c r="AB475" s="583"/>
      <c r="AC475" s="583"/>
      <c r="AD475" s="583"/>
      <c r="AE475" s="583"/>
      <c r="AF475" s="583"/>
    </row>
    <row r="476" ht="19.5" customHeight="1">
      <c r="A476" s="647"/>
      <c r="B476" s="647"/>
      <c r="C476" s="647"/>
      <c r="D476" s="649"/>
      <c r="E476" s="647"/>
      <c r="F476" s="649"/>
      <c r="G476" s="649"/>
      <c r="H476" s="647"/>
      <c r="I476" s="583"/>
      <c r="J476" s="583"/>
      <c r="K476" s="583"/>
      <c r="L476" s="583"/>
      <c r="M476" s="583"/>
      <c r="N476" s="583"/>
      <c r="O476" s="583"/>
      <c r="P476" s="583"/>
      <c r="Q476" s="583"/>
      <c r="R476" s="583"/>
      <c r="S476" s="583"/>
      <c r="T476" s="583"/>
      <c r="U476" s="583"/>
      <c r="V476" s="583"/>
      <c r="W476" s="583"/>
      <c r="X476" s="583"/>
      <c r="Y476" s="583"/>
      <c r="Z476" s="583"/>
      <c r="AA476" s="583"/>
      <c r="AB476" s="583"/>
      <c r="AC476" s="583"/>
      <c r="AD476" s="583"/>
      <c r="AE476" s="583"/>
      <c r="AF476" s="583"/>
    </row>
    <row r="477" ht="19.5" customHeight="1">
      <c r="A477" s="647"/>
      <c r="B477" s="647"/>
      <c r="C477" s="647"/>
      <c r="D477" s="649"/>
      <c r="E477" s="647"/>
      <c r="F477" s="649"/>
      <c r="G477" s="649"/>
      <c r="H477" s="647"/>
      <c r="I477" s="583"/>
      <c r="J477" s="583"/>
      <c r="K477" s="583"/>
      <c r="L477" s="583"/>
      <c r="M477" s="583"/>
      <c r="N477" s="583"/>
      <c r="O477" s="583"/>
      <c r="P477" s="583"/>
      <c r="Q477" s="583"/>
      <c r="R477" s="583"/>
      <c r="S477" s="583"/>
      <c r="T477" s="583"/>
      <c r="U477" s="583"/>
      <c r="V477" s="583"/>
      <c r="W477" s="583"/>
      <c r="X477" s="583"/>
      <c r="Y477" s="583"/>
      <c r="Z477" s="583"/>
      <c r="AA477" s="583"/>
      <c r="AB477" s="583"/>
      <c r="AC477" s="583"/>
      <c r="AD477" s="583"/>
      <c r="AE477" s="583"/>
      <c r="AF477" s="583"/>
    </row>
    <row r="478" ht="19.5" customHeight="1">
      <c r="A478" s="647"/>
      <c r="B478" s="647"/>
      <c r="C478" s="647"/>
      <c r="D478" s="649"/>
      <c r="E478" s="647"/>
      <c r="F478" s="649"/>
      <c r="G478" s="649"/>
      <c r="H478" s="647"/>
      <c r="I478" s="583"/>
      <c r="J478" s="583"/>
      <c r="K478" s="583"/>
      <c r="L478" s="583"/>
      <c r="M478" s="583"/>
      <c r="N478" s="583"/>
      <c r="O478" s="583"/>
      <c r="P478" s="583"/>
      <c r="Q478" s="583"/>
      <c r="R478" s="583"/>
      <c r="S478" s="583"/>
      <c r="T478" s="583"/>
      <c r="U478" s="583"/>
      <c r="V478" s="583"/>
      <c r="W478" s="583"/>
      <c r="X478" s="583"/>
      <c r="Y478" s="583"/>
      <c r="Z478" s="583"/>
      <c r="AA478" s="583"/>
      <c r="AB478" s="583"/>
      <c r="AC478" s="583"/>
      <c r="AD478" s="583"/>
      <c r="AE478" s="583"/>
      <c r="AF478" s="583"/>
    </row>
    <row r="479" ht="19.5" customHeight="1">
      <c r="A479" s="647"/>
      <c r="B479" s="647"/>
      <c r="C479" s="647"/>
      <c r="D479" s="649"/>
      <c r="E479" s="647"/>
      <c r="F479" s="649"/>
      <c r="G479" s="649"/>
      <c r="H479" s="647"/>
      <c r="I479" s="583"/>
      <c r="J479" s="583"/>
      <c r="K479" s="583"/>
      <c r="L479" s="583"/>
      <c r="M479" s="583"/>
      <c r="N479" s="583"/>
      <c r="O479" s="583"/>
      <c r="P479" s="583"/>
      <c r="Q479" s="583"/>
      <c r="R479" s="583"/>
      <c r="S479" s="583"/>
      <c r="T479" s="583"/>
      <c r="U479" s="583"/>
      <c r="V479" s="583"/>
      <c r="W479" s="583"/>
      <c r="X479" s="583"/>
      <c r="Y479" s="583"/>
      <c r="Z479" s="583"/>
      <c r="AA479" s="583"/>
      <c r="AB479" s="583"/>
      <c r="AC479" s="583"/>
      <c r="AD479" s="583"/>
      <c r="AE479" s="583"/>
      <c r="AF479" s="583"/>
    </row>
    <row r="480" ht="19.5" customHeight="1">
      <c r="A480" s="647"/>
      <c r="B480" s="647"/>
      <c r="C480" s="647"/>
      <c r="D480" s="649"/>
      <c r="E480" s="647"/>
      <c r="F480" s="649"/>
      <c r="G480" s="649"/>
      <c r="H480" s="647"/>
      <c r="I480" s="583"/>
      <c r="J480" s="583"/>
      <c r="K480" s="583"/>
      <c r="L480" s="583"/>
      <c r="M480" s="583"/>
      <c r="N480" s="583"/>
      <c r="O480" s="583"/>
      <c r="P480" s="583"/>
      <c r="Q480" s="583"/>
      <c r="R480" s="583"/>
      <c r="S480" s="583"/>
      <c r="T480" s="583"/>
      <c r="U480" s="583"/>
      <c r="V480" s="583"/>
      <c r="W480" s="583"/>
      <c r="X480" s="583"/>
      <c r="Y480" s="583"/>
      <c r="Z480" s="583"/>
      <c r="AA480" s="583"/>
      <c r="AB480" s="583"/>
      <c r="AC480" s="583"/>
      <c r="AD480" s="583"/>
      <c r="AE480" s="583"/>
      <c r="AF480" s="583"/>
    </row>
    <row r="481" ht="19.5" customHeight="1">
      <c r="A481" s="647"/>
      <c r="B481" s="647"/>
      <c r="C481" s="647"/>
      <c r="D481" s="649"/>
      <c r="E481" s="647"/>
      <c r="F481" s="649"/>
      <c r="G481" s="649"/>
      <c r="H481" s="647"/>
      <c r="I481" s="583"/>
      <c r="J481" s="583"/>
      <c r="K481" s="583"/>
      <c r="L481" s="583"/>
      <c r="M481" s="583"/>
      <c r="N481" s="583"/>
      <c r="O481" s="583"/>
      <c r="P481" s="583"/>
      <c r="Q481" s="583"/>
      <c r="R481" s="583"/>
      <c r="S481" s="583"/>
      <c r="T481" s="583"/>
      <c r="U481" s="583"/>
      <c r="V481" s="583"/>
      <c r="W481" s="583"/>
      <c r="X481" s="583"/>
      <c r="Y481" s="583"/>
      <c r="Z481" s="583"/>
      <c r="AA481" s="583"/>
      <c r="AB481" s="583"/>
      <c r="AC481" s="583"/>
      <c r="AD481" s="583"/>
      <c r="AE481" s="583"/>
      <c r="AF481" s="583"/>
    </row>
    <row r="482" ht="19.5" customHeight="1">
      <c r="A482" s="647"/>
      <c r="B482" s="647"/>
      <c r="C482" s="647"/>
      <c r="D482" s="649"/>
      <c r="E482" s="647"/>
      <c r="F482" s="649"/>
      <c r="G482" s="649"/>
      <c r="H482" s="647"/>
      <c r="I482" s="583"/>
      <c r="J482" s="583"/>
      <c r="K482" s="583"/>
      <c r="L482" s="583"/>
      <c r="M482" s="583"/>
      <c r="N482" s="583"/>
      <c r="O482" s="583"/>
      <c r="P482" s="583"/>
      <c r="Q482" s="583"/>
      <c r="R482" s="583"/>
      <c r="S482" s="583"/>
      <c r="T482" s="583"/>
      <c r="U482" s="583"/>
      <c r="V482" s="583"/>
      <c r="W482" s="583"/>
      <c r="X482" s="583"/>
      <c r="Y482" s="583"/>
      <c r="Z482" s="583"/>
      <c r="AA482" s="583"/>
      <c r="AB482" s="583"/>
      <c r="AC482" s="583"/>
      <c r="AD482" s="583"/>
      <c r="AE482" s="583"/>
      <c r="AF482" s="583"/>
    </row>
    <row r="483" ht="19.5" customHeight="1">
      <c r="A483" s="647"/>
      <c r="B483" s="647"/>
      <c r="C483" s="647"/>
      <c r="D483" s="649"/>
      <c r="E483" s="647"/>
      <c r="F483" s="649"/>
      <c r="G483" s="649"/>
      <c r="H483" s="647"/>
      <c r="I483" s="583"/>
      <c r="J483" s="583"/>
      <c r="K483" s="583"/>
      <c r="L483" s="583"/>
      <c r="M483" s="583"/>
      <c r="N483" s="583"/>
      <c r="O483" s="583"/>
      <c r="P483" s="583"/>
      <c r="Q483" s="583"/>
      <c r="R483" s="583"/>
      <c r="S483" s="583"/>
      <c r="T483" s="583"/>
      <c r="U483" s="583"/>
      <c r="V483" s="583"/>
      <c r="W483" s="583"/>
      <c r="X483" s="583"/>
      <c r="Y483" s="583"/>
      <c r="Z483" s="583"/>
      <c r="AA483" s="583"/>
      <c r="AB483" s="583"/>
      <c r="AC483" s="583"/>
      <c r="AD483" s="583"/>
      <c r="AE483" s="583"/>
      <c r="AF483" s="583"/>
    </row>
    <row r="484" ht="19.5" customHeight="1">
      <c r="A484" s="647"/>
      <c r="B484" s="647"/>
      <c r="C484" s="647"/>
      <c r="D484" s="649"/>
      <c r="E484" s="647"/>
      <c r="F484" s="649"/>
      <c r="G484" s="649"/>
      <c r="H484" s="647"/>
      <c r="I484" s="583"/>
      <c r="J484" s="583"/>
      <c r="K484" s="583"/>
      <c r="L484" s="583"/>
      <c r="M484" s="583"/>
      <c r="N484" s="583"/>
      <c r="O484" s="583"/>
      <c r="P484" s="583"/>
      <c r="Q484" s="583"/>
      <c r="R484" s="583"/>
      <c r="S484" s="583"/>
      <c r="T484" s="583"/>
      <c r="U484" s="583"/>
      <c r="V484" s="583"/>
      <c r="W484" s="583"/>
      <c r="X484" s="583"/>
      <c r="Y484" s="583"/>
      <c r="Z484" s="583"/>
      <c r="AA484" s="583"/>
      <c r="AB484" s="583"/>
      <c r="AC484" s="583"/>
      <c r="AD484" s="583"/>
      <c r="AE484" s="583"/>
      <c r="AF484" s="583"/>
    </row>
    <row r="485" ht="19.5" customHeight="1">
      <c r="A485" s="647"/>
      <c r="B485" s="647"/>
      <c r="C485" s="647"/>
      <c r="D485" s="649"/>
      <c r="E485" s="647"/>
      <c r="F485" s="649"/>
      <c r="G485" s="649"/>
      <c r="H485" s="647"/>
      <c r="I485" s="583"/>
      <c r="J485" s="583"/>
      <c r="K485" s="583"/>
      <c r="L485" s="583"/>
      <c r="M485" s="583"/>
      <c r="N485" s="583"/>
      <c r="O485" s="583"/>
      <c r="P485" s="583"/>
      <c r="Q485" s="583"/>
      <c r="R485" s="583"/>
      <c r="S485" s="583"/>
      <c r="T485" s="583"/>
      <c r="U485" s="583"/>
      <c r="V485" s="583"/>
      <c r="W485" s="583"/>
      <c r="X485" s="583"/>
      <c r="Y485" s="583"/>
      <c r="Z485" s="583"/>
      <c r="AA485" s="583"/>
      <c r="AB485" s="583"/>
      <c r="AC485" s="583"/>
      <c r="AD485" s="583"/>
      <c r="AE485" s="583"/>
      <c r="AF485" s="583"/>
    </row>
    <row r="486" ht="19.5" customHeight="1">
      <c r="A486" s="647"/>
      <c r="B486" s="647"/>
      <c r="C486" s="647"/>
      <c r="D486" s="649"/>
      <c r="E486" s="647"/>
      <c r="F486" s="649"/>
      <c r="G486" s="649"/>
      <c r="H486" s="647"/>
      <c r="I486" s="583"/>
      <c r="J486" s="583"/>
      <c r="K486" s="583"/>
      <c r="L486" s="583"/>
      <c r="M486" s="583"/>
      <c r="N486" s="583"/>
      <c r="O486" s="583"/>
      <c r="P486" s="583"/>
      <c r="Q486" s="583"/>
      <c r="R486" s="583"/>
      <c r="S486" s="583"/>
      <c r="T486" s="583"/>
      <c r="U486" s="583"/>
      <c r="V486" s="583"/>
      <c r="W486" s="583"/>
      <c r="X486" s="583"/>
      <c r="Y486" s="583"/>
      <c r="Z486" s="583"/>
      <c r="AA486" s="583"/>
      <c r="AB486" s="583"/>
      <c r="AC486" s="583"/>
      <c r="AD486" s="583"/>
      <c r="AE486" s="583"/>
      <c r="AF486" s="583"/>
    </row>
    <row r="487" ht="19.5" customHeight="1">
      <c r="A487" s="647"/>
      <c r="B487" s="647"/>
      <c r="C487" s="647"/>
      <c r="D487" s="649"/>
      <c r="E487" s="647"/>
      <c r="F487" s="649"/>
      <c r="G487" s="649"/>
      <c r="H487" s="647"/>
      <c r="I487" s="583"/>
      <c r="J487" s="583"/>
      <c r="K487" s="583"/>
      <c r="L487" s="583"/>
      <c r="M487" s="583"/>
      <c r="N487" s="583"/>
      <c r="O487" s="583"/>
      <c r="P487" s="583"/>
      <c r="Q487" s="583"/>
      <c r="R487" s="583"/>
      <c r="S487" s="583"/>
      <c r="T487" s="583"/>
      <c r="U487" s="583"/>
      <c r="V487" s="583"/>
      <c r="W487" s="583"/>
      <c r="X487" s="583"/>
      <c r="Y487" s="583"/>
      <c r="Z487" s="583"/>
      <c r="AA487" s="583"/>
      <c r="AB487" s="583"/>
      <c r="AC487" s="583"/>
      <c r="AD487" s="583"/>
      <c r="AE487" s="583"/>
      <c r="AF487" s="583"/>
    </row>
    <row r="488" ht="19.5" customHeight="1">
      <c r="A488" s="647"/>
      <c r="B488" s="647"/>
      <c r="C488" s="647"/>
      <c r="D488" s="649"/>
      <c r="E488" s="647"/>
      <c r="F488" s="649"/>
      <c r="G488" s="649"/>
      <c r="H488" s="647"/>
      <c r="I488" s="583"/>
      <c r="J488" s="583"/>
      <c r="K488" s="583"/>
      <c r="L488" s="583"/>
      <c r="M488" s="583"/>
      <c r="N488" s="583"/>
      <c r="O488" s="583"/>
      <c r="P488" s="583"/>
      <c r="Q488" s="583"/>
      <c r="R488" s="583"/>
      <c r="S488" s="583"/>
      <c r="T488" s="583"/>
      <c r="U488" s="583"/>
      <c r="V488" s="583"/>
      <c r="W488" s="583"/>
      <c r="X488" s="583"/>
      <c r="Y488" s="583"/>
      <c r="Z488" s="583"/>
      <c r="AA488" s="583"/>
      <c r="AB488" s="583"/>
      <c r="AC488" s="583"/>
      <c r="AD488" s="583"/>
      <c r="AE488" s="583"/>
      <c r="AF488" s="583"/>
    </row>
    <row r="489" ht="19.5" customHeight="1">
      <c r="A489" s="647"/>
      <c r="B489" s="647"/>
      <c r="C489" s="647"/>
      <c r="D489" s="649"/>
      <c r="E489" s="647"/>
      <c r="F489" s="649"/>
      <c r="G489" s="649"/>
      <c r="H489" s="647"/>
      <c r="I489" s="583"/>
      <c r="J489" s="583"/>
      <c r="K489" s="583"/>
      <c r="L489" s="583"/>
      <c r="M489" s="583"/>
      <c r="N489" s="583"/>
      <c r="O489" s="583"/>
      <c r="P489" s="583"/>
      <c r="Q489" s="583"/>
      <c r="R489" s="583"/>
      <c r="S489" s="583"/>
      <c r="T489" s="583"/>
      <c r="U489" s="583"/>
      <c r="V489" s="583"/>
      <c r="W489" s="583"/>
      <c r="X489" s="583"/>
      <c r="Y489" s="583"/>
      <c r="Z489" s="583"/>
      <c r="AA489" s="583"/>
      <c r="AB489" s="583"/>
      <c r="AC489" s="583"/>
      <c r="AD489" s="583"/>
      <c r="AE489" s="583"/>
      <c r="AF489" s="583"/>
    </row>
    <row r="490" ht="19.5" customHeight="1">
      <c r="A490" s="647"/>
      <c r="B490" s="647"/>
      <c r="C490" s="647"/>
      <c r="D490" s="649"/>
      <c r="E490" s="647"/>
      <c r="F490" s="649"/>
      <c r="G490" s="649"/>
      <c r="H490" s="647"/>
      <c r="I490" s="583"/>
      <c r="J490" s="583"/>
      <c r="K490" s="583"/>
      <c r="L490" s="583"/>
      <c r="M490" s="583"/>
      <c r="N490" s="583"/>
      <c r="O490" s="583"/>
      <c r="P490" s="583"/>
      <c r="Q490" s="583"/>
      <c r="R490" s="583"/>
      <c r="S490" s="583"/>
      <c r="T490" s="583"/>
      <c r="U490" s="583"/>
      <c r="V490" s="583"/>
      <c r="W490" s="583"/>
      <c r="X490" s="583"/>
      <c r="Y490" s="583"/>
      <c r="Z490" s="583"/>
      <c r="AA490" s="583"/>
      <c r="AB490" s="583"/>
      <c r="AC490" s="583"/>
      <c r="AD490" s="583"/>
      <c r="AE490" s="583"/>
      <c r="AF490" s="583"/>
    </row>
    <row r="491" ht="19.5" customHeight="1">
      <c r="A491" s="647"/>
      <c r="B491" s="647"/>
      <c r="C491" s="647"/>
      <c r="D491" s="649"/>
      <c r="E491" s="647"/>
      <c r="F491" s="649"/>
      <c r="G491" s="649"/>
      <c r="H491" s="647"/>
      <c r="I491" s="583"/>
      <c r="J491" s="583"/>
      <c r="K491" s="583"/>
      <c r="L491" s="583"/>
      <c r="M491" s="583"/>
      <c r="N491" s="583"/>
      <c r="O491" s="583"/>
      <c r="P491" s="583"/>
      <c r="Q491" s="583"/>
      <c r="R491" s="583"/>
      <c r="S491" s="583"/>
      <c r="T491" s="583"/>
      <c r="U491" s="583"/>
      <c r="V491" s="583"/>
      <c r="W491" s="583"/>
      <c r="X491" s="583"/>
      <c r="Y491" s="583"/>
      <c r="Z491" s="583"/>
      <c r="AA491" s="583"/>
      <c r="AB491" s="583"/>
      <c r="AC491" s="583"/>
      <c r="AD491" s="583"/>
      <c r="AE491" s="583"/>
      <c r="AF491" s="583"/>
    </row>
    <row r="492" ht="19.5" customHeight="1">
      <c r="A492" s="647"/>
      <c r="B492" s="647"/>
      <c r="C492" s="647"/>
      <c r="D492" s="649"/>
      <c r="E492" s="647"/>
      <c r="F492" s="649"/>
      <c r="G492" s="649"/>
      <c r="H492" s="647"/>
      <c r="I492" s="583"/>
      <c r="J492" s="583"/>
      <c r="K492" s="583"/>
      <c r="L492" s="583"/>
      <c r="M492" s="583"/>
      <c r="N492" s="583"/>
      <c r="O492" s="583"/>
      <c r="P492" s="583"/>
      <c r="Q492" s="583"/>
      <c r="R492" s="583"/>
      <c r="S492" s="583"/>
      <c r="T492" s="583"/>
      <c r="U492" s="583"/>
      <c r="V492" s="583"/>
      <c r="W492" s="583"/>
      <c r="X492" s="583"/>
      <c r="Y492" s="583"/>
      <c r="Z492" s="583"/>
      <c r="AA492" s="583"/>
      <c r="AB492" s="583"/>
      <c r="AC492" s="583"/>
      <c r="AD492" s="583"/>
      <c r="AE492" s="583"/>
      <c r="AF492" s="583"/>
    </row>
    <row r="493" ht="19.5" customHeight="1">
      <c r="A493" s="647"/>
      <c r="B493" s="647"/>
      <c r="C493" s="647"/>
      <c r="D493" s="649"/>
      <c r="E493" s="647"/>
      <c r="F493" s="649"/>
      <c r="G493" s="649"/>
      <c r="H493" s="647"/>
      <c r="I493" s="583"/>
      <c r="J493" s="583"/>
      <c r="K493" s="583"/>
      <c r="L493" s="583"/>
      <c r="M493" s="583"/>
      <c r="N493" s="583"/>
      <c r="O493" s="583"/>
      <c r="P493" s="583"/>
      <c r="Q493" s="583"/>
      <c r="R493" s="583"/>
      <c r="S493" s="583"/>
      <c r="T493" s="583"/>
      <c r="U493" s="583"/>
      <c r="V493" s="583"/>
      <c r="W493" s="583"/>
      <c r="X493" s="583"/>
      <c r="Y493" s="583"/>
      <c r="Z493" s="583"/>
      <c r="AA493" s="583"/>
      <c r="AB493" s="583"/>
      <c r="AC493" s="583"/>
      <c r="AD493" s="583"/>
      <c r="AE493" s="583"/>
      <c r="AF493" s="583"/>
    </row>
    <row r="494" ht="19.5" customHeight="1">
      <c r="A494" s="647"/>
      <c r="B494" s="647"/>
      <c r="C494" s="647"/>
      <c r="D494" s="649"/>
      <c r="E494" s="647"/>
      <c r="F494" s="649"/>
      <c r="G494" s="649"/>
      <c r="H494" s="647"/>
      <c r="I494" s="583"/>
      <c r="J494" s="583"/>
      <c r="K494" s="583"/>
      <c r="L494" s="583"/>
      <c r="M494" s="583"/>
      <c r="N494" s="583"/>
      <c r="O494" s="583"/>
      <c r="P494" s="583"/>
      <c r="Q494" s="583"/>
      <c r="R494" s="583"/>
      <c r="S494" s="583"/>
      <c r="T494" s="583"/>
      <c r="U494" s="583"/>
      <c r="V494" s="583"/>
      <c r="W494" s="583"/>
      <c r="X494" s="583"/>
      <c r="Y494" s="583"/>
      <c r="Z494" s="583"/>
      <c r="AA494" s="583"/>
      <c r="AB494" s="583"/>
      <c r="AC494" s="583"/>
      <c r="AD494" s="583"/>
      <c r="AE494" s="583"/>
      <c r="AF494" s="583"/>
    </row>
    <row r="495" ht="19.5" customHeight="1">
      <c r="A495" s="647"/>
      <c r="B495" s="647"/>
      <c r="C495" s="647"/>
      <c r="D495" s="649"/>
      <c r="E495" s="647"/>
      <c r="F495" s="649"/>
      <c r="G495" s="649"/>
      <c r="H495" s="647"/>
      <c r="I495" s="583"/>
      <c r="J495" s="583"/>
      <c r="K495" s="583"/>
      <c r="L495" s="583"/>
      <c r="M495" s="583"/>
      <c r="N495" s="583"/>
      <c r="O495" s="583"/>
      <c r="P495" s="583"/>
      <c r="Q495" s="583"/>
      <c r="R495" s="583"/>
      <c r="S495" s="583"/>
      <c r="T495" s="583"/>
      <c r="U495" s="583"/>
      <c r="V495" s="583"/>
      <c r="W495" s="583"/>
      <c r="X495" s="583"/>
      <c r="Y495" s="583"/>
      <c r="Z495" s="583"/>
      <c r="AA495" s="583"/>
      <c r="AB495" s="583"/>
      <c r="AC495" s="583"/>
      <c r="AD495" s="583"/>
      <c r="AE495" s="583"/>
      <c r="AF495" s="583"/>
    </row>
    <row r="496" ht="19.5" customHeight="1">
      <c r="A496" s="647"/>
      <c r="B496" s="647"/>
      <c r="C496" s="647"/>
      <c r="D496" s="649"/>
      <c r="E496" s="647"/>
      <c r="F496" s="649"/>
      <c r="G496" s="649"/>
      <c r="H496" s="647"/>
      <c r="I496" s="583"/>
      <c r="J496" s="583"/>
      <c r="K496" s="583"/>
      <c r="L496" s="583"/>
      <c r="M496" s="583"/>
      <c r="N496" s="583"/>
      <c r="O496" s="583"/>
      <c r="P496" s="583"/>
      <c r="Q496" s="583"/>
      <c r="R496" s="583"/>
      <c r="S496" s="583"/>
      <c r="T496" s="583"/>
      <c r="U496" s="583"/>
      <c r="V496" s="583"/>
      <c r="W496" s="583"/>
      <c r="X496" s="583"/>
      <c r="Y496" s="583"/>
      <c r="Z496" s="583"/>
      <c r="AA496" s="583"/>
      <c r="AB496" s="583"/>
      <c r="AC496" s="583"/>
      <c r="AD496" s="583"/>
      <c r="AE496" s="583"/>
      <c r="AF496" s="583"/>
    </row>
    <row r="497" ht="19.5" customHeight="1">
      <c r="A497" s="647"/>
      <c r="B497" s="647"/>
      <c r="C497" s="647"/>
      <c r="D497" s="649"/>
      <c r="E497" s="647"/>
      <c r="F497" s="649"/>
      <c r="G497" s="649"/>
      <c r="H497" s="647"/>
      <c r="I497" s="583"/>
      <c r="J497" s="583"/>
      <c r="K497" s="583"/>
      <c r="L497" s="583"/>
      <c r="M497" s="583"/>
      <c r="N497" s="583"/>
      <c r="O497" s="583"/>
      <c r="P497" s="583"/>
      <c r="Q497" s="583"/>
      <c r="R497" s="583"/>
      <c r="S497" s="583"/>
      <c r="T497" s="583"/>
      <c r="U497" s="583"/>
      <c r="V497" s="583"/>
      <c r="W497" s="583"/>
      <c r="X497" s="583"/>
      <c r="Y497" s="583"/>
      <c r="Z497" s="583"/>
      <c r="AA497" s="583"/>
      <c r="AB497" s="583"/>
      <c r="AC497" s="583"/>
      <c r="AD497" s="583"/>
      <c r="AE497" s="583"/>
      <c r="AF497" s="583"/>
    </row>
    <row r="498" ht="19.5" customHeight="1">
      <c r="A498" s="647"/>
      <c r="B498" s="647"/>
      <c r="C498" s="647"/>
      <c r="D498" s="649"/>
      <c r="E498" s="647"/>
      <c r="F498" s="649"/>
      <c r="G498" s="649"/>
      <c r="H498" s="647"/>
      <c r="I498" s="583"/>
      <c r="J498" s="583"/>
      <c r="K498" s="583"/>
      <c r="L498" s="583"/>
      <c r="M498" s="583"/>
      <c r="N498" s="583"/>
      <c r="O498" s="583"/>
      <c r="P498" s="583"/>
      <c r="Q498" s="583"/>
      <c r="R498" s="583"/>
      <c r="S498" s="583"/>
      <c r="T498" s="583"/>
      <c r="U498" s="583"/>
      <c r="V498" s="583"/>
      <c r="W498" s="583"/>
      <c r="X498" s="583"/>
      <c r="Y498" s="583"/>
      <c r="Z498" s="583"/>
      <c r="AA498" s="583"/>
      <c r="AB498" s="583"/>
      <c r="AC498" s="583"/>
      <c r="AD498" s="583"/>
      <c r="AE498" s="583"/>
      <c r="AF498" s="583"/>
    </row>
    <row r="499" ht="19.5" customHeight="1">
      <c r="A499" s="647"/>
      <c r="B499" s="647"/>
      <c r="C499" s="647"/>
      <c r="D499" s="649"/>
      <c r="E499" s="647"/>
      <c r="F499" s="649"/>
      <c r="G499" s="649"/>
      <c r="H499" s="647"/>
      <c r="I499" s="583"/>
      <c r="J499" s="583"/>
      <c r="K499" s="583"/>
      <c r="L499" s="583"/>
      <c r="M499" s="583"/>
      <c r="N499" s="583"/>
      <c r="O499" s="583"/>
      <c r="P499" s="583"/>
      <c r="Q499" s="583"/>
      <c r="R499" s="583"/>
      <c r="S499" s="583"/>
      <c r="T499" s="583"/>
      <c r="U499" s="583"/>
      <c r="V499" s="583"/>
      <c r="W499" s="583"/>
      <c r="X499" s="583"/>
      <c r="Y499" s="583"/>
      <c r="Z499" s="583"/>
      <c r="AA499" s="583"/>
      <c r="AB499" s="583"/>
      <c r="AC499" s="583"/>
      <c r="AD499" s="583"/>
      <c r="AE499" s="583"/>
      <c r="AF499" s="583"/>
    </row>
    <row r="500" ht="19.5" customHeight="1">
      <c r="A500" s="647"/>
      <c r="B500" s="647"/>
      <c r="C500" s="647"/>
      <c r="D500" s="649"/>
      <c r="E500" s="647"/>
      <c r="F500" s="649"/>
      <c r="G500" s="649"/>
      <c r="H500" s="647"/>
      <c r="I500" s="583"/>
      <c r="J500" s="583"/>
      <c r="K500" s="583"/>
      <c r="L500" s="583"/>
      <c r="M500" s="583"/>
      <c r="N500" s="583"/>
      <c r="O500" s="583"/>
      <c r="P500" s="583"/>
      <c r="Q500" s="583"/>
      <c r="R500" s="583"/>
      <c r="S500" s="583"/>
      <c r="T500" s="583"/>
      <c r="U500" s="583"/>
      <c r="V500" s="583"/>
      <c r="W500" s="583"/>
      <c r="X500" s="583"/>
      <c r="Y500" s="583"/>
      <c r="Z500" s="583"/>
      <c r="AA500" s="583"/>
      <c r="AB500" s="583"/>
      <c r="AC500" s="583"/>
      <c r="AD500" s="583"/>
      <c r="AE500" s="583"/>
      <c r="AF500" s="583"/>
    </row>
    <row r="501" ht="19.5" customHeight="1">
      <c r="A501" s="647"/>
      <c r="B501" s="647"/>
      <c r="C501" s="647"/>
      <c r="D501" s="649"/>
      <c r="E501" s="647"/>
      <c r="F501" s="649"/>
      <c r="G501" s="649"/>
      <c r="H501" s="647"/>
      <c r="I501" s="583"/>
      <c r="J501" s="583"/>
      <c r="K501" s="583"/>
      <c r="L501" s="583"/>
      <c r="M501" s="583"/>
      <c r="N501" s="583"/>
      <c r="O501" s="583"/>
      <c r="P501" s="583"/>
      <c r="Q501" s="583"/>
      <c r="R501" s="583"/>
      <c r="S501" s="583"/>
      <c r="T501" s="583"/>
      <c r="U501" s="583"/>
      <c r="V501" s="583"/>
      <c r="W501" s="583"/>
      <c r="X501" s="583"/>
      <c r="Y501" s="583"/>
      <c r="Z501" s="583"/>
      <c r="AA501" s="583"/>
      <c r="AB501" s="583"/>
      <c r="AC501" s="583"/>
      <c r="AD501" s="583"/>
      <c r="AE501" s="583"/>
      <c r="AF501" s="583"/>
    </row>
    <row r="502" ht="19.5" customHeight="1">
      <c r="A502" s="647"/>
      <c r="B502" s="647"/>
      <c r="C502" s="647"/>
      <c r="D502" s="649"/>
      <c r="E502" s="647"/>
      <c r="F502" s="649"/>
      <c r="G502" s="649"/>
      <c r="H502" s="647"/>
      <c r="I502" s="583"/>
      <c r="J502" s="583"/>
      <c r="K502" s="583"/>
      <c r="L502" s="583"/>
      <c r="M502" s="583"/>
      <c r="N502" s="583"/>
      <c r="O502" s="583"/>
      <c r="P502" s="583"/>
      <c r="Q502" s="583"/>
      <c r="R502" s="583"/>
      <c r="S502" s="583"/>
      <c r="T502" s="583"/>
      <c r="U502" s="583"/>
      <c r="V502" s="583"/>
      <c r="W502" s="583"/>
      <c r="X502" s="583"/>
      <c r="Y502" s="583"/>
      <c r="Z502" s="583"/>
      <c r="AA502" s="583"/>
      <c r="AB502" s="583"/>
      <c r="AC502" s="583"/>
      <c r="AD502" s="583"/>
      <c r="AE502" s="583"/>
      <c r="AF502" s="583"/>
    </row>
    <row r="503" ht="19.5" customHeight="1">
      <c r="A503" s="647"/>
      <c r="B503" s="647"/>
      <c r="C503" s="647"/>
      <c r="D503" s="649"/>
      <c r="E503" s="647"/>
      <c r="F503" s="649"/>
      <c r="G503" s="649"/>
      <c r="H503" s="647"/>
      <c r="I503" s="583"/>
      <c r="J503" s="583"/>
      <c r="K503" s="583"/>
      <c r="L503" s="583"/>
      <c r="M503" s="583"/>
      <c r="N503" s="583"/>
      <c r="O503" s="583"/>
      <c r="P503" s="583"/>
      <c r="Q503" s="583"/>
      <c r="R503" s="583"/>
      <c r="S503" s="583"/>
      <c r="T503" s="583"/>
      <c r="U503" s="583"/>
      <c r="V503" s="583"/>
      <c r="W503" s="583"/>
      <c r="X503" s="583"/>
      <c r="Y503" s="583"/>
      <c r="Z503" s="583"/>
      <c r="AA503" s="583"/>
      <c r="AB503" s="583"/>
      <c r="AC503" s="583"/>
      <c r="AD503" s="583"/>
      <c r="AE503" s="583"/>
      <c r="AF503" s="583"/>
    </row>
    <row r="504" ht="19.5" customHeight="1">
      <c r="A504" s="647"/>
      <c r="B504" s="647"/>
      <c r="C504" s="647"/>
      <c r="D504" s="649"/>
      <c r="E504" s="647"/>
      <c r="F504" s="649"/>
      <c r="G504" s="649"/>
      <c r="H504" s="647"/>
      <c r="I504" s="583"/>
      <c r="J504" s="583"/>
      <c r="K504" s="583"/>
      <c r="L504" s="583"/>
      <c r="M504" s="583"/>
      <c r="N504" s="583"/>
      <c r="O504" s="583"/>
      <c r="P504" s="583"/>
      <c r="Q504" s="583"/>
      <c r="R504" s="583"/>
      <c r="S504" s="583"/>
      <c r="T504" s="583"/>
      <c r="U504" s="583"/>
      <c r="V504" s="583"/>
      <c r="W504" s="583"/>
      <c r="X504" s="583"/>
      <c r="Y504" s="583"/>
      <c r="Z504" s="583"/>
      <c r="AA504" s="583"/>
      <c r="AB504" s="583"/>
      <c r="AC504" s="583"/>
      <c r="AD504" s="583"/>
      <c r="AE504" s="583"/>
      <c r="AF504" s="583"/>
    </row>
    <row r="505" ht="19.5" customHeight="1">
      <c r="A505" s="647"/>
      <c r="B505" s="647"/>
      <c r="C505" s="647"/>
      <c r="D505" s="649"/>
      <c r="E505" s="647"/>
      <c r="F505" s="649"/>
      <c r="G505" s="649"/>
      <c r="H505" s="647"/>
      <c r="I505" s="583"/>
      <c r="J505" s="583"/>
      <c r="K505" s="583"/>
      <c r="L505" s="583"/>
      <c r="M505" s="583"/>
      <c r="N505" s="583"/>
      <c r="O505" s="583"/>
      <c r="P505" s="583"/>
      <c r="Q505" s="583"/>
      <c r="R505" s="583"/>
      <c r="S505" s="583"/>
      <c r="T505" s="583"/>
      <c r="U505" s="583"/>
      <c r="V505" s="583"/>
      <c r="W505" s="583"/>
      <c r="X505" s="583"/>
      <c r="Y505" s="583"/>
      <c r="Z505" s="583"/>
      <c r="AA505" s="583"/>
      <c r="AB505" s="583"/>
      <c r="AC505" s="583"/>
      <c r="AD505" s="583"/>
      <c r="AE505" s="583"/>
      <c r="AF505" s="583"/>
    </row>
    <row r="506" ht="19.5" customHeight="1">
      <c r="A506" s="647"/>
      <c r="B506" s="647"/>
      <c r="C506" s="647"/>
      <c r="D506" s="649"/>
      <c r="E506" s="647"/>
      <c r="F506" s="649"/>
      <c r="G506" s="649"/>
      <c r="H506" s="647"/>
      <c r="I506" s="583"/>
      <c r="J506" s="583"/>
      <c r="K506" s="583"/>
      <c r="L506" s="583"/>
      <c r="M506" s="583"/>
      <c r="N506" s="583"/>
      <c r="O506" s="583"/>
      <c r="P506" s="583"/>
      <c r="Q506" s="583"/>
      <c r="R506" s="583"/>
      <c r="S506" s="583"/>
      <c r="T506" s="583"/>
      <c r="U506" s="583"/>
      <c r="V506" s="583"/>
      <c r="W506" s="583"/>
      <c r="X506" s="583"/>
      <c r="Y506" s="583"/>
      <c r="Z506" s="583"/>
      <c r="AA506" s="583"/>
      <c r="AB506" s="583"/>
      <c r="AC506" s="583"/>
      <c r="AD506" s="583"/>
      <c r="AE506" s="583"/>
      <c r="AF506" s="583"/>
    </row>
    <row r="507" ht="19.5" customHeight="1">
      <c r="A507" s="647"/>
      <c r="B507" s="647"/>
      <c r="C507" s="647"/>
      <c r="D507" s="649"/>
      <c r="E507" s="647"/>
      <c r="F507" s="649"/>
      <c r="G507" s="649"/>
      <c r="H507" s="647"/>
      <c r="I507" s="583"/>
      <c r="J507" s="583"/>
      <c r="K507" s="583"/>
      <c r="L507" s="583"/>
      <c r="M507" s="583"/>
      <c r="N507" s="583"/>
      <c r="O507" s="583"/>
      <c r="P507" s="583"/>
      <c r="Q507" s="583"/>
      <c r="R507" s="583"/>
      <c r="S507" s="583"/>
      <c r="T507" s="583"/>
      <c r="U507" s="583"/>
      <c r="V507" s="583"/>
      <c r="W507" s="583"/>
      <c r="X507" s="583"/>
      <c r="Y507" s="583"/>
      <c r="Z507" s="583"/>
      <c r="AA507" s="583"/>
      <c r="AB507" s="583"/>
      <c r="AC507" s="583"/>
      <c r="AD507" s="583"/>
      <c r="AE507" s="583"/>
      <c r="AF507" s="583"/>
    </row>
    <row r="508" ht="19.5" customHeight="1">
      <c r="A508" s="647"/>
      <c r="B508" s="647"/>
      <c r="C508" s="647"/>
      <c r="D508" s="649"/>
      <c r="E508" s="647"/>
      <c r="F508" s="649"/>
      <c r="G508" s="649"/>
      <c r="H508" s="647"/>
      <c r="I508" s="583"/>
      <c r="J508" s="583"/>
      <c r="K508" s="583"/>
      <c r="L508" s="583"/>
      <c r="M508" s="583"/>
      <c r="N508" s="583"/>
      <c r="O508" s="583"/>
      <c r="P508" s="583"/>
      <c r="Q508" s="583"/>
      <c r="R508" s="583"/>
      <c r="S508" s="583"/>
      <c r="T508" s="583"/>
      <c r="U508" s="583"/>
      <c r="V508" s="583"/>
      <c r="W508" s="583"/>
      <c r="X508" s="583"/>
      <c r="Y508" s="583"/>
      <c r="Z508" s="583"/>
      <c r="AA508" s="583"/>
      <c r="AB508" s="583"/>
      <c r="AC508" s="583"/>
      <c r="AD508" s="583"/>
      <c r="AE508" s="583"/>
      <c r="AF508" s="583"/>
    </row>
    <row r="509" ht="19.5" customHeight="1">
      <c r="A509" s="647"/>
      <c r="B509" s="647"/>
      <c r="C509" s="647"/>
      <c r="D509" s="649"/>
      <c r="E509" s="647"/>
      <c r="F509" s="649"/>
      <c r="G509" s="649"/>
      <c r="H509" s="647"/>
      <c r="I509" s="583"/>
      <c r="J509" s="583"/>
      <c r="K509" s="583"/>
      <c r="L509" s="583"/>
      <c r="M509" s="583"/>
      <c r="N509" s="583"/>
      <c r="O509" s="583"/>
      <c r="P509" s="583"/>
      <c r="Q509" s="583"/>
      <c r="R509" s="583"/>
      <c r="S509" s="583"/>
      <c r="T509" s="583"/>
      <c r="U509" s="583"/>
      <c r="V509" s="583"/>
      <c r="W509" s="583"/>
      <c r="X509" s="583"/>
      <c r="Y509" s="583"/>
      <c r="Z509" s="583"/>
      <c r="AA509" s="583"/>
      <c r="AB509" s="583"/>
      <c r="AC509" s="583"/>
      <c r="AD509" s="583"/>
      <c r="AE509" s="583"/>
      <c r="AF509" s="583"/>
    </row>
    <row r="510" ht="19.5" customHeight="1">
      <c r="A510" s="647"/>
      <c r="B510" s="647"/>
      <c r="C510" s="647"/>
      <c r="D510" s="649"/>
      <c r="E510" s="647"/>
      <c r="F510" s="649"/>
      <c r="G510" s="649"/>
      <c r="H510" s="647"/>
      <c r="I510" s="583"/>
      <c r="J510" s="583"/>
      <c r="K510" s="583"/>
      <c r="L510" s="583"/>
      <c r="M510" s="583"/>
      <c r="N510" s="583"/>
      <c r="O510" s="583"/>
      <c r="P510" s="583"/>
      <c r="Q510" s="583"/>
      <c r="R510" s="583"/>
      <c r="S510" s="583"/>
      <c r="T510" s="583"/>
      <c r="U510" s="583"/>
      <c r="V510" s="583"/>
      <c r="W510" s="583"/>
      <c r="X510" s="583"/>
      <c r="Y510" s="583"/>
      <c r="Z510" s="583"/>
      <c r="AA510" s="583"/>
      <c r="AB510" s="583"/>
      <c r="AC510" s="583"/>
      <c r="AD510" s="583"/>
      <c r="AE510" s="583"/>
      <c r="AF510" s="583"/>
    </row>
    <row r="511" ht="19.5" customHeight="1">
      <c r="A511" s="647"/>
      <c r="B511" s="647"/>
      <c r="C511" s="647"/>
      <c r="D511" s="649"/>
      <c r="E511" s="647"/>
      <c r="F511" s="649"/>
      <c r="G511" s="649"/>
      <c r="H511" s="647"/>
      <c r="I511" s="583"/>
      <c r="J511" s="583"/>
      <c r="K511" s="583"/>
      <c r="L511" s="583"/>
      <c r="M511" s="583"/>
      <c r="N511" s="583"/>
      <c r="O511" s="583"/>
      <c r="P511" s="583"/>
      <c r="Q511" s="583"/>
      <c r="R511" s="583"/>
      <c r="S511" s="583"/>
      <c r="T511" s="583"/>
      <c r="U511" s="583"/>
      <c r="V511" s="583"/>
      <c r="W511" s="583"/>
      <c r="X511" s="583"/>
      <c r="Y511" s="583"/>
      <c r="Z511" s="583"/>
      <c r="AA511" s="583"/>
      <c r="AB511" s="583"/>
      <c r="AC511" s="583"/>
      <c r="AD511" s="583"/>
      <c r="AE511" s="583"/>
      <c r="AF511" s="583"/>
    </row>
    <row r="512" ht="19.5" customHeight="1">
      <c r="A512" s="647"/>
      <c r="B512" s="647"/>
      <c r="C512" s="647"/>
      <c r="D512" s="649"/>
      <c r="E512" s="647"/>
      <c r="F512" s="649"/>
      <c r="G512" s="649"/>
      <c r="H512" s="647"/>
      <c r="I512" s="583"/>
      <c r="J512" s="583"/>
      <c r="K512" s="583"/>
      <c r="L512" s="583"/>
      <c r="M512" s="583"/>
      <c r="N512" s="583"/>
      <c r="O512" s="583"/>
      <c r="P512" s="583"/>
      <c r="Q512" s="583"/>
      <c r="R512" s="583"/>
      <c r="S512" s="583"/>
      <c r="T512" s="583"/>
      <c r="U512" s="583"/>
      <c r="V512" s="583"/>
      <c r="W512" s="583"/>
      <c r="X512" s="583"/>
      <c r="Y512" s="583"/>
      <c r="Z512" s="583"/>
      <c r="AA512" s="583"/>
      <c r="AB512" s="583"/>
      <c r="AC512" s="583"/>
      <c r="AD512" s="583"/>
      <c r="AE512" s="583"/>
      <c r="AF512" s="583"/>
    </row>
    <row r="513" ht="19.5" customHeight="1">
      <c r="A513" s="647"/>
      <c r="B513" s="647"/>
      <c r="C513" s="647"/>
      <c r="D513" s="649"/>
      <c r="E513" s="647"/>
      <c r="F513" s="649"/>
      <c r="G513" s="649"/>
      <c r="H513" s="647"/>
      <c r="I513" s="583"/>
      <c r="J513" s="583"/>
      <c r="K513" s="583"/>
      <c r="L513" s="583"/>
      <c r="M513" s="583"/>
      <c r="N513" s="583"/>
      <c r="O513" s="583"/>
      <c r="P513" s="583"/>
      <c r="Q513" s="583"/>
      <c r="R513" s="583"/>
      <c r="S513" s="583"/>
      <c r="T513" s="583"/>
      <c r="U513" s="583"/>
      <c r="V513" s="583"/>
      <c r="W513" s="583"/>
      <c r="X513" s="583"/>
      <c r="Y513" s="583"/>
      <c r="Z513" s="583"/>
      <c r="AA513" s="583"/>
      <c r="AB513" s="583"/>
      <c r="AC513" s="583"/>
      <c r="AD513" s="583"/>
      <c r="AE513" s="583"/>
      <c r="AF513" s="583"/>
    </row>
    <row r="514" ht="19.5" customHeight="1">
      <c r="A514" s="647"/>
      <c r="B514" s="647"/>
      <c r="C514" s="647"/>
      <c r="D514" s="649"/>
      <c r="E514" s="647"/>
      <c r="F514" s="649"/>
      <c r="G514" s="649"/>
      <c r="H514" s="647"/>
      <c r="I514" s="583"/>
      <c r="J514" s="583"/>
      <c r="K514" s="583"/>
      <c r="L514" s="583"/>
      <c r="M514" s="583"/>
      <c r="N514" s="583"/>
      <c r="O514" s="583"/>
      <c r="P514" s="583"/>
      <c r="Q514" s="583"/>
      <c r="R514" s="583"/>
      <c r="S514" s="583"/>
      <c r="T514" s="583"/>
      <c r="U514" s="583"/>
      <c r="V514" s="583"/>
      <c r="W514" s="583"/>
      <c r="X514" s="583"/>
      <c r="Y514" s="583"/>
      <c r="Z514" s="583"/>
      <c r="AA514" s="583"/>
      <c r="AB514" s="583"/>
      <c r="AC514" s="583"/>
      <c r="AD514" s="583"/>
      <c r="AE514" s="583"/>
      <c r="AF514" s="583"/>
    </row>
    <row r="515" ht="19.5" customHeight="1">
      <c r="A515" s="647"/>
      <c r="B515" s="647"/>
      <c r="C515" s="647"/>
      <c r="D515" s="649"/>
      <c r="E515" s="647"/>
      <c r="F515" s="649"/>
      <c r="G515" s="649"/>
      <c r="H515" s="647"/>
      <c r="I515" s="583"/>
      <c r="J515" s="583"/>
      <c r="K515" s="583"/>
      <c r="L515" s="583"/>
      <c r="M515" s="583"/>
      <c r="N515" s="583"/>
      <c r="O515" s="583"/>
      <c r="P515" s="583"/>
      <c r="Q515" s="583"/>
      <c r="R515" s="583"/>
      <c r="S515" s="583"/>
      <c r="T515" s="583"/>
      <c r="U515" s="583"/>
      <c r="V515" s="583"/>
      <c r="W515" s="583"/>
      <c r="X515" s="583"/>
      <c r="Y515" s="583"/>
      <c r="Z515" s="583"/>
      <c r="AA515" s="583"/>
      <c r="AB515" s="583"/>
      <c r="AC515" s="583"/>
      <c r="AD515" s="583"/>
      <c r="AE515" s="583"/>
      <c r="AF515" s="583"/>
    </row>
    <row r="516" ht="19.5" customHeight="1">
      <c r="A516" s="647"/>
      <c r="B516" s="647"/>
      <c r="C516" s="647"/>
      <c r="D516" s="649"/>
      <c r="E516" s="647"/>
      <c r="F516" s="649"/>
      <c r="G516" s="649"/>
      <c r="H516" s="647"/>
      <c r="I516" s="583"/>
      <c r="J516" s="583"/>
      <c r="K516" s="583"/>
      <c r="L516" s="583"/>
      <c r="M516" s="583"/>
      <c r="N516" s="583"/>
      <c r="O516" s="583"/>
      <c r="P516" s="583"/>
      <c r="Q516" s="583"/>
      <c r="R516" s="583"/>
      <c r="S516" s="583"/>
      <c r="T516" s="583"/>
      <c r="U516" s="583"/>
      <c r="V516" s="583"/>
      <c r="W516" s="583"/>
      <c r="X516" s="583"/>
      <c r="Y516" s="583"/>
      <c r="Z516" s="583"/>
      <c r="AA516" s="583"/>
      <c r="AB516" s="583"/>
      <c r="AC516" s="583"/>
      <c r="AD516" s="583"/>
      <c r="AE516" s="583"/>
      <c r="AF516" s="583"/>
    </row>
    <row r="517" ht="19.5" customHeight="1">
      <c r="A517" s="647"/>
      <c r="B517" s="647"/>
      <c r="C517" s="647"/>
      <c r="D517" s="649"/>
      <c r="E517" s="647"/>
      <c r="F517" s="649"/>
      <c r="G517" s="649"/>
      <c r="H517" s="647"/>
      <c r="I517" s="583"/>
      <c r="J517" s="583"/>
      <c r="K517" s="583"/>
      <c r="L517" s="583"/>
      <c r="M517" s="583"/>
      <c r="N517" s="583"/>
      <c r="O517" s="583"/>
      <c r="P517" s="583"/>
      <c r="Q517" s="583"/>
      <c r="R517" s="583"/>
      <c r="S517" s="583"/>
      <c r="T517" s="583"/>
      <c r="U517" s="583"/>
      <c r="V517" s="583"/>
      <c r="W517" s="583"/>
      <c r="X517" s="583"/>
      <c r="Y517" s="583"/>
      <c r="Z517" s="583"/>
      <c r="AA517" s="583"/>
      <c r="AB517" s="583"/>
      <c r="AC517" s="583"/>
      <c r="AD517" s="583"/>
      <c r="AE517" s="583"/>
      <c r="AF517" s="583"/>
    </row>
    <row r="518" ht="19.5" customHeight="1">
      <c r="A518" s="647"/>
      <c r="B518" s="647"/>
      <c r="C518" s="647"/>
      <c r="D518" s="649"/>
      <c r="E518" s="647"/>
      <c r="F518" s="649"/>
      <c r="G518" s="649"/>
      <c r="H518" s="647"/>
      <c r="I518" s="583"/>
      <c r="J518" s="583"/>
      <c r="K518" s="583"/>
      <c r="L518" s="583"/>
      <c r="M518" s="583"/>
      <c r="N518" s="583"/>
      <c r="O518" s="583"/>
      <c r="P518" s="583"/>
      <c r="Q518" s="583"/>
      <c r="R518" s="583"/>
      <c r="S518" s="583"/>
      <c r="T518" s="583"/>
      <c r="U518" s="583"/>
      <c r="V518" s="583"/>
      <c r="W518" s="583"/>
      <c r="X518" s="583"/>
      <c r="Y518" s="583"/>
      <c r="Z518" s="583"/>
      <c r="AA518" s="583"/>
      <c r="AB518" s="583"/>
      <c r="AC518" s="583"/>
      <c r="AD518" s="583"/>
      <c r="AE518" s="583"/>
      <c r="AF518" s="583"/>
    </row>
    <row r="519" ht="19.5" customHeight="1">
      <c r="A519" s="647"/>
      <c r="B519" s="647"/>
      <c r="C519" s="647"/>
      <c r="D519" s="649"/>
      <c r="E519" s="647"/>
      <c r="F519" s="649"/>
      <c r="G519" s="649"/>
      <c r="H519" s="647"/>
      <c r="I519" s="583"/>
      <c r="J519" s="583"/>
      <c r="K519" s="583"/>
      <c r="L519" s="583"/>
      <c r="M519" s="583"/>
      <c r="N519" s="583"/>
      <c r="O519" s="583"/>
      <c r="P519" s="583"/>
      <c r="Q519" s="583"/>
      <c r="R519" s="583"/>
      <c r="S519" s="583"/>
      <c r="T519" s="583"/>
      <c r="U519" s="583"/>
      <c r="V519" s="583"/>
      <c r="W519" s="583"/>
      <c r="X519" s="583"/>
      <c r="Y519" s="583"/>
      <c r="Z519" s="583"/>
      <c r="AA519" s="583"/>
      <c r="AB519" s="583"/>
      <c r="AC519" s="583"/>
      <c r="AD519" s="583"/>
      <c r="AE519" s="583"/>
      <c r="AF519" s="583"/>
    </row>
    <row r="520" ht="19.5" customHeight="1">
      <c r="A520" s="647"/>
      <c r="B520" s="647"/>
      <c r="C520" s="647"/>
      <c r="D520" s="649"/>
      <c r="E520" s="647"/>
      <c r="F520" s="649"/>
      <c r="G520" s="649"/>
      <c r="H520" s="647"/>
      <c r="I520" s="583"/>
      <c r="J520" s="583"/>
      <c r="K520" s="583"/>
      <c r="L520" s="583"/>
      <c r="M520" s="583"/>
      <c r="N520" s="583"/>
      <c r="O520" s="583"/>
      <c r="P520" s="583"/>
      <c r="Q520" s="583"/>
      <c r="R520" s="583"/>
      <c r="S520" s="583"/>
      <c r="T520" s="583"/>
      <c r="U520" s="583"/>
      <c r="V520" s="583"/>
      <c r="W520" s="583"/>
      <c r="X520" s="583"/>
      <c r="Y520" s="583"/>
      <c r="Z520" s="583"/>
      <c r="AA520" s="583"/>
      <c r="AB520" s="583"/>
      <c r="AC520" s="583"/>
      <c r="AD520" s="583"/>
      <c r="AE520" s="583"/>
      <c r="AF520" s="583"/>
    </row>
    <row r="521" ht="19.5" customHeight="1">
      <c r="A521" s="647"/>
      <c r="B521" s="647"/>
      <c r="C521" s="647"/>
      <c r="D521" s="649"/>
      <c r="E521" s="647"/>
      <c r="F521" s="649"/>
      <c r="G521" s="649"/>
      <c r="H521" s="647"/>
      <c r="I521" s="583"/>
      <c r="J521" s="583"/>
      <c r="K521" s="583"/>
      <c r="L521" s="583"/>
      <c r="M521" s="583"/>
      <c r="N521" s="583"/>
      <c r="O521" s="583"/>
      <c r="P521" s="583"/>
      <c r="Q521" s="583"/>
      <c r="R521" s="583"/>
      <c r="S521" s="583"/>
      <c r="T521" s="583"/>
      <c r="U521" s="583"/>
      <c r="V521" s="583"/>
      <c r="W521" s="583"/>
      <c r="X521" s="583"/>
      <c r="Y521" s="583"/>
      <c r="Z521" s="583"/>
      <c r="AA521" s="583"/>
      <c r="AB521" s="583"/>
      <c r="AC521" s="583"/>
      <c r="AD521" s="583"/>
      <c r="AE521" s="583"/>
      <c r="AF521" s="583"/>
    </row>
    <row r="522" ht="19.5" customHeight="1">
      <c r="A522" s="647"/>
      <c r="B522" s="647"/>
      <c r="C522" s="647"/>
      <c r="D522" s="649"/>
      <c r="E522" s="647"/>
      <c r="F522" s="649"/>
      <c r="G522" s="649"/>
      <c r="H522" s="647"/>
      <c r="I522" s="583"/>
      <c r="J522" s="583"/>
      <c r="K522" s="583"/>
      <c r="L522" s="583"/>
      <c r="M522" s="583"/>
      <c r="N522" s="583"/>
      <c r="O522" s="583"/>
      <c r="P522" s="583"/>
      <c r="Q522" s="583"/>
      <c r="R522" s="583"/>
      <c r="S522" s="583"/>
      <c r="T522" s="583"/>
      <c r="U522" s="583"/>
      <c r="V522" s="583"/>
      <c r="W522" s="583"/>
      <c r="X522" s="583"/>
      <c r="Y522" s="583"/>
      <c r="Z522" s="583"/>
      <c r="AA522" s="583"/>
      <c r="AB522" s="583"/>
      <c r="AC522" s="583"/>
      <c r="AD522" s="583"/>
      <c r="AE522" s="583"/>
      <c r="AF522" s="583"/>
    </row>
    <row r="523" ht="19.5" customHeight="1">
      <c r="A523" s="647"/>
      <c r="B523" s="647"/>
      <c r="C523" s="647"/>
      <c r="D523" s="649"/>
      <c r="E523" s="647"/>
      <c r="F523" s="649"/>
      <c r="G523" s="649"/>
      <c r="H523" s="647"/>
      <c r="I523" s="583"/>
      <c r="J523" s="583"/>
      <c r="K523" s="583"/>
      <c r="L523" s="583"/>
      <c r="M523" s="583"/>
      <c r="N523" s="583"/>
      <c r="O523" s="583"/>
      <c r="P523" s="583"/>
      <c r="Q523" s="583"/>
      <c r="R523" s="583"/>
      <c r="S523" s="583"/>
      <c r="T523" s="583"/>
      <c r="U523" s="583"/>
      <c r="V523" s="583"/>
      <c r="W523" s="583"/>
      <c r="X523" s="583"/>
      <c r="Y523" s="583"/>
      <c r="Z523" s="583"/>
      <c r="AA523" s="583"/>
      <c r="AB523" s="583"/>
      <c r="AC523" s="583"/>
      <c r="AD523" s="583"/>
      <c r="AE523" s="583"/>
      <c r="AF523" s="583"/>
    </row>
    <row r="524" ht="19.5" customHeight="1">
      <c r="A524" s="647"/>
      <c r="B524" s="647"/>
      <c r="C524" s="647"/>
      <c r="D524" s="649"/>
      <c r="E524" s="647"/>
      <c r="F524" s="649"/>
      <c r="G524" s="649"/>
      <c r="H524" s="647"/>
      <c r="I524" s="583"/>
      <c r="J524" s="583"/>
      <c r="K524" s="583"/>
      <c r="L524" s="583"/>
      <c r="M524" s="583"/>
      <c r="N524" s="583"/>
      <c r="O524" s="583"/>
      <c r="P524" s="583"/>
      <c r="Q524" s="583"/>
      <c r="R524" s="583"/>
      <c r="S524" s="583"/>
      <c r="T524" s="583"/>
      <c r="U524" s="583"/>
      <c r="V524" s="583"/>
      <c r="W524" s="583"/>
      <c r="X524" s="583"/>
      <c r="Y524" s="583"/>
      <c r="Z524" s="583"/>
      <c r="AA524" s="583"/>
      <c r="AB524" s="583"/>
      <c r="AC524" s="583"/>
      <c r="AD524" s="583"/>
      <c r="AE524" s="583"/>
      <c r="AF524" s="583"/>
    </row>
    <row r="525" ht="19.5" customHeight="1">
      <c r="A525" s="647"/>
      <c r="B525" s="647"/>
      <c r="C525" s="647"/>
      <c r="D525" s="649"/>
      <c r="E525" s="647"/>
      <c r="F525" s="649"/>
      <c r="G525" s="649"/>
      <c r="H525" s="647"/>
      <c r="I525" s="583"/>
      <c r="J525" s="583"/>
      <c r="K525" s="583"/>
      <c r="L525" s="583"/>
      <c r="M525" s="583"/>
      <c r="N525" s="583"/>
      <c r="O525" s="583"/>
      <c r="P525" s="583"/>
      <c r="Q525" s="583"/>
      <c r="R525" s="583"/>
      <c r="S525" s="583"/>
      <c r="T525" s="583"/>
      <c r="U525" s="583"/>
      <c r="V525" s="583"/>
      <c r="W525" s="583"/>
      <c r="X525" s="583"/>
      <c r="Y525" s="583"/>
      <c r="Z525" s="583"/>
      <c r="AA525" s="583"/>
      <c r="AB525" s="583"/>
      <c r="AC525" s="583"/>
      <c r="AD525" s="583"/>
      <c r="AE525" s="583"/>
      <c r="AF525" s="583"/>
    </row>
    <row r="526" ht="19.5" customHeight="1">
      <c r="A526" s="647"/>
      <c r="B526" s="647"/>
      <c r="C526" s="647"/>
      <c r="D526" s="649"/>
      <c r="E526" s="647"/>
      <c r="F526" s="649"/>
      <c r="G526" s="649"/>
      <c r="H526" s="647"/>
      <c r="I526" s="583"/>
      <c r="J526" s="583"/>
      <c r="K526" s="583"/>
      <c r="L526" s="583"/>
      <c r="M526" s="583"/>
      <c r="N526" s="583"/>
      <c r="O526" s="583"/>
      <c r="P526" s="583"/>
      <c r="Q526" s="583"/>
      <c r="R526" s="583"/>
      <c r="S526" s="583"/>
      <c r="T526" s="583"/>
      <c r="U526" s="583"/>
      <c r="V526" s="583"/>
      <c r="W526" s="583"/>
      <c r="X526" s="583"/>
      <c r="Y526" s="583"/>
      <c r="Z526" s="583"/>
      <c r="AA526" s="583"/>
      <c r="AB526" s="583"/>
      <c r="AC526" s="583"/>
      <c r="AD526" s="583"/>
      <c r="AE526" s="583"/>
      <c r="AF526" s="583"/>
    </row>
    <row r="527" ht="19.5" customHeight="1">
      <c r="A527" s="647"/>
      <c r="B527" s="647"/>
      <c r="C527" s="647"/>
      <c r="D527" s="649"/>
      <c r="E527" s="647"/>
      <c r="F527" s="649"/>
      <c r="G527" s="649"/>
      <c r="H527" s="647"/>
      <c r="I527" s="583"/>
      <c r="J527" s="583"/>
      <c r="K527" s="583"/>
      <c r="L527" s="583"/>
      <c r="M527" s="583"/>
      <c r="N527" s="583"/>
      <c r="O527" s="583"/>
      <c r="P527" s="583"/>
      <c r="Q527" s="583"/>
      <c r="R527" s="583"/>
      <c r="S527" s="583"/>
      <c r="T527" s="583"/>
      <c r="U527" s="583"/>
      <c r="V527" s="583"/>
      <c r="W527" s="583"/>
      <c r="X527" s="583"/>
      <c r="Y527" s="583"/>
      <c r="Z527" s="583"/>
      <c r="AA527" s="583"/>
      <c r="AB527" s="583"/>
      <c r="AC527" s="583"/>
      <c r="AD527" s="583"/>
      <c r="AE527" s="583"/>
      <c r="AF527" s="583"/>
    </row>
    <row r="528" ht="19.5" customHeight="1">
      <c r="A528" s="647"/>
      <c r="B528" s="647"/>
      <c r="C528" s="647"/>
      <c r="D528" s="649"/>
      <c r="E528" s="647"/>
      <c r="F528" s="649"/>
      <c r="G528" s="649"/>
      <c r="H528" s="647"/>
      <c r="I528" s="583"/>
      <c r="J528" s="583"/>
      <c r="K528" s="583"/>
      <c r="L528" s="583"/>
      <c r="M528" s="583"/>
      <c r="N528" s="583"/>
      <c r="O528" s="583"/>
      <c r="P528" s="583"/>
      <c r="Q528" s="583"/>
      <c r="R528" s="583"/>
      <c r="S528" s="583"/>
      <c r="T528" s="583"/>
      <c r="U528" s="583"/>
      <c r="V528" s="583"/>
      <c r="W528" s="583"/>
      <c r="X528" s="583"/>
      <c r="Y528" s="583"/>
      <c r="Z528" s="583"/>
      <c r="AA528" s="583"/>
      <c r="AB528" s="583"/>
      <c r="AC528" s="583"/>
      <c r="AD528" s="583"/>
      <c r="AE528" s="583"/>
      <c r="AF528" s="583"/>
    </row>
    <row r="529" ht="19.5" customHeight="1">
      <c r="A529" s="647"/>
      <c r="B529" s="647"/>
      <c r="C529" s="647"/>
      <c r="D529" s="649"/>
      <c r="E529" s="647"/>
      <c r="F529" s="649"/>
      <c r="G529" s="649"/>
      <c r="H529" s="647"/>
      <c r="I529" s="583"/>
      <c r="J529" s="583"/>
      <c r="K529" s="583"/>
      <c r="L529" s="583"/>
      <c r="M529" s="583"/>
      <c r="N529" s="583"/>
      <c r="O529" s="583"/>
      <c r="P529" s="583"/>
      <c r="Q529" s="583"/>
      <c r="R529" s="583"/>
      <c r="S529" s="583"/>
      <c r="T529" s="583"/>
      <c r="U529" s="583"/>
      <c r="V529" s="583"/>
      <c r="W529" s="583"/>
      <c r="X529" s="583"/>
      <c r="Y529" s="583"/>
      <c r="Z529" s="583"/>
      <c r="AA529" s="583"/>
      <c r="AB529" s="583"/>
      <c r="AC529" s="583"/>
      <c r="AD529" s="583"/>
      <c r="AE529" s="583"/>
      <c r="AF529" s="583"/>
    </row>
    <row r="530" ht="19.5" customHeight="1">
      <c r="A530" s="647"/>
      <c r="B530" s="647"/>
      <c r="C530" s="647"/>
      <c r="D530" s="649"/>
      <c r="E530" s="647"/>
      <c r="F530" s="649"/>
      <c r="G530" s="649"/>
      <c r="H530" s="647"/>
      <c r="I530" s="583"/>
      <c r="J530" s="583"/>
      <c r="K530" s="583"/>
      <c r="L530" s="583"/>
      <c r="M530" s="583"/>
      <c r="N530" s="583"/>
      <c r="O530" s="583"/>
      <c r="P530" s="583"/>
      <c r="Q530" s="583"/>
      <c r="R530" s="583"/>
      <c r="S530" s="583"/>
      <c r="T530" s="583"/>
      <c r="U530" s="583"/>
      <c r="V530" s="583"/>
      <c r="W530" s="583"/>
      <c r="X530" s="583"/>
      <c r="Y530" s="583"/>
      <c r="Z530" s="583"/>
      <c r="AA530" s="583"/>
      <c r="AB530" s="583"/>
      <c r="AC530" s="583"/>
      <c r="AD530" s="583"/>
      <c r="AE530" s="583"/>
      <c r="AF530" s="583"/>
    </row>
    <row r="531" ht="19.5" customHeight="1">
      <c r="A531" s="647"/>
      <c r="B531" s="647"/>
      <c r="C531" s="647"/>
      <c r="D531" s="649"/>
      <c r="E531" s="647"/>
      <c r="F531" s="649"/>
      <c r="G531" s="649"/>
      <c r="H531" s="647"/>
      <c r="I531" s="583"/>
      <c r="J531" s="583"/>
      <c r="K531" s="583"/>
      <c r="L531" s="583"/>
      <c r="M531" s="583"/>
      <c r="N531" s="583"/>
      <c r="O531" s="583"/>
      <c r="P531" s="583"/>
      <c r="Q531" s="583"/>
      <c r="R531" s="583"/>
      <c r="S531" s="583"/>
      <c r="T531" s="583"/>
      <c r="U531" s="583"/>
      <c r="V531" s="583"/>
      <c r="W531" s="583"/>
      <c r="X531" s="583"/>
      <c r="Y531" s="583"/>
      <c r="Z531" s="583"/>
      <c r="AA531" s="583"/>
      <c r="AB531" s="583"/>
      <c r="AC531" s="583"/>
      <c r="AD531" s="583"/>
      <c r="AE531" s="583"/>
      <c r="AF531" s="583"/>
    </row>
    <row r="532" ht="19.5" customHeight="1">
      <c r="A532" s="647"/>
      <c r="B532" s="647"/>
      <c r="C532" s="647"/>
      <c r="D532" s="649"/>
      <c r="E532" s="647"/>
      <c r="F532" s="649"/>
      <c r="G532" s="649"/>
      <c r="H532" s="647"/>
      <c r="I532" s="583"/>
      <c r="J532" s="583"/>
      <c r="K532" s="583"/>
      <c r="L532" s="583"/>
      <c r="M532" s="583"/>
      <c r="N532" s="583"/>
      <c r="O532" s="583"/>
      <c r="P532" s="583"/>
      <c r="Q532" s="583"/>
      <c r="R532" s="583"/>
      <c r="S532" s="583"/>
      <c r="T532" s="583"/>
      <c r="U532" s="583"/>
      <c r="V532" s="583"/>
      <c r="W532" s="583"/>
      <c r="X532" s="583"/>
      <c r="Y532" s="583"/>
      <c r="Z532" s="583"/>
      <c r="AA532" s="583"/>
      <c r="AB532" s="583"/>
      <c r="AC532" s="583"/>
      <c r="AD532" s="583"/>
      <c r="AE532" s="583"/>
      <c r="AF532" s="583"/>
    </row>
    <row r="533" ht="19.5" customHeight="1">
      <c r="A533" s="647"/>
      <c r="B533" s="647"/>
      <c r="C533" s="647"/>
      <c r="D533" s="649"/>
      <c r="E533" s="647"/>
      <c r="F533" s="649"/>
      <c r="G533" s="649"/>
      <c r="H533" s="647"/>
      <c r="I533" s="583"/>
      <c r="J533" s="583"/>
      <c r="K533" s="583"/>
      <c r="L533" s="583"/>
      <c r="M533" s="583"/>
      <c r="N533" s="583"/>
      <c r="O533" s="583"/>
      <c r="P533" s="583"/>
      <c r="Q533" s="583"/>
      <c r="R533" s="583"/>
      <c r="S533" s="583"/>
      <c r="T533" s="583"/>
      <c r="U533" s="583"/>
      <c r="V533" s="583"/>
      <c r="W533" s="583"/>
      <c r="X533" s="583"/>
      <c r="Y533" s="583"/>
      <c r="Z533" s="583"/>
      <c r="AA533" s="583"/>
      <c r="AB533" s="583"/>
      <c r="AC533" s="583"/>
      <c r="AD533" s="583"/>
      <c r="AE533" s="583"/>
      <c r="AF533" s="583"/>
    </row>
    <row r="534" ht="19.5" customHeight="1">
      <c r="A534" s="647"/>
      <c r="B534" s="647"/>
      <c r="C534" s="647"/>
      <c r="D534" s="649"/>
      <c r="E534" s="647"/>
      <c r="F534" s="649"/>
      <c r="G534" s="649"/>
      <c r="H534" s="647"/>
      <c r="I534" s="583"/>
      <c r="J534" s="583"/>
      <c r="K534" s="583"/>
      <c r="L534" s="583"/>
      <c r="M534" s="583"/>
      <c r="N534" s="583"/>
      <c r="O534" s="583"/>
      <c r="P534" s="583"/>
      <c r="Q534" s="583"/>
      <c r="R534" s="583"/>
      <c r="S534" s="583"/>
      <c r="T534" s="583"/>
      <c r="U534" s="583"/>
      <c r="V534" s="583"/>
      <c r="W534" s="583"/>
      <c r="X534" s="583"/>
      <c r="Y534" s="583"/>
      <c r="Z534" s="583"/>
      <c r="AA534" s="583"/>
      <c r="AB534" s="583"/>
      <c r="AC534" s="583"/>
      <c r="AD534" s="583"/>
      <c r="AE534" s="583"/>
      <c r="AF534" s="583"/>
    </row>
    <row r="535" ht="19.5" customHeight="1">
      <c r="A535" s="647"/>
      <c r="B535" s="647"/>
      <c r="C535" s="647"/>
      <c r="D535" s="649"/>
      <c r="E535" s="647"/>
      <c r="F535" s="649"/>
      <c r="G535" s="649"/>
      <c r="H535" s="647"/>
      <c r="I535" s="583"/>
      <c r="J535" s="583"/>
      <c r="K535" s="583"/>
      <c r="L535" s="583"/>
      <c r="M535" s="583"/>
      <c r="N535" s="583"/>
      <c r="O535" s="583"/>
      <c r="P535" s="583"/>
      <c r="Q535" s="583"/>
      <c r="R535" s="583"/>
      <c r="S535" s="583"/>
      <c r="T535" s="583"/>
      <c r="U535" s="583"/>
      <c r="V535" s="583"/>
      <c r="W535" s="583"/>
      <c r="X535" s="583"/>
      <c r="Y535" s="583"/>
      <c r="Z535" s="583"/>
      <c r="AA535" s="583"/>
      <c r="AB535" s="583"/>
      <c r="AC535" s="583"/>
      <c r="AD535" s="583"/>
      <c r="AE535" s="583"/>
      <c r="AF535" s="583"/>
    </row>
    <row r="536" ht="19.5" customHeight="1">
      <c r="A536" s="647"/>
      <c r="B536" s="647"/>
      <c r="C536" s="647"/>
      <c r="D536" s="649"/>
      <c r="E536" s="647"/>
      <c r="F536" s="649"/>
      <c r="G536" s="649"/>
      <c r="H536" s="647"/>
      <c r="I536" s="583"/>
      <c r="J536" s="583"/>
      <c r="K536" s="583"/>
      <c r="L536" s="583"/>
      <c r="M536" s="583"/>
      <c r="N536" s="583"/>
      <c r="O536" s="583"/>
      <c r="P536" s="583"/>
      <c r="Q536" s="583"/>
      <c r="R536" s="583"/>
      <c r="S536" s="583"/>
      <c r="T536" s="583"/>
      <c r="U536" s="583"/>
      <c r="V536" s="583"/>
      <c r="W536" s="583"/>
      <c r="X536" s="583"/>
      <c r="Y536" s="583"/>
      <c r="Z536" s="583"/>
      <c r="AA536" s="583"/>
      <c r="AB536" s="583"/>
      <c r="AC536" s="583"/>
      <c r="AD536" s="583"/>
      <c r="AE536" s="583"/>
      <c r="AF536" s="583"/>
    </row>
    <row r="537" ht="19.5" customHeight="1">
      <c r="A537" s="647"/>
      <c r="B537" s="647"/>
      <c r="C537" s="647"/>
      <c r="D537" s="649"/>
      <c r="E537" s="647"/>
      <c r="F537" s="649"/>
      <c r="G537" s="649"/>
      <c r="H537" s="647"/>
      <c r="I537" s="583"/>
      <c r="J537" s="583"/>
      <c r="K537" s="583"/>
      <c r="L537" s="583"/>
      <c r="M537" s="583"/>
      <c r="N537" s="583"/>
      <c r="O537" s="583"/>
      <c r="P537" s="583"/>
      <c r="Q537" s="583"/>
      <c r="R537" s="583"/>
      <c r="S537" s="583"/>
      <c r="T537" s="583"/>
      <c r="U537" s="583"/>
      <c r="V537" s="583"/>
      <c r="W537" s="583"/>
      <c r="X537" s="583"/>
      <c r="Y537" s="583"/>
      <c r="Z537" s="583"/>
      <c r="AA537" s="583"/>
      <c r="AB537" s="583"/>
      <c r="AC537" s="583"/>
      <c r="AD537" s="583"/>
      <c r="AE537" s="583"/>
      <c r="AF537" s="583"/>
    </row>
    <row r="538" ht="19.5" customHeight="1">
      <c r="A538" s="647"/>
      <c r="B538" s="647"/>
      <c r="C538" s="647"/>
      <c r="D538" s="649"/>
      <c r="E538" s="647"/>
      <c r="F538" s="649"/>
      <c r="G538" s="649"/>
      <c r="H538" s="647"/>
      <c r="I538" s="583"/>
      <c r="J538" s="583"/>
      <c r="K538" s="583"/>
      <c r="L538" s="583"/>
      <c r="M538" s="583"/>
      <c r="N538" s="583"/>
      <c r="O538" s="583"/>
      <c r="P538" s="583"/>
      <c r="Q538" s="583"/>
      <c r="R538" s="583"/>
      <c r="S538" s="583"/>
      <c r="T538" s="583"/>
      <c r="U538" s="583"/>
      <c r="V538" s="583"/>
      <c r="W538" s="583"/>
      <c r="X538" s="583"/>
      <c r="Y538" s="583"/>
      <c r="Z538" s="583"/>
      <c r="AA538" s="583"/>
      <c r="AB538" s="583"/>
      <c r="AC538" s="583"/>
      <c r="AD538" s="583"/>
      <c r="AE538" s="583"/>
      <c r="AF538" s="583"/>
    </row>
    <row r="539" ht="19.5" customHeight="1">
      <c r="A539" s="647"/>
      <c r="B539" s="647"/>
      <c r="C539" s="647"/>
      <c r="D539" s="649"/>
      <c r="E539" s="647"/>
      <c r="F539" s="649"/>
      <c r="G539" s="649"/>
      <c r="H539" s="647"/>
      <c r="I539" s="583"/>
      <c r="J539" s="583"/>
      <c r="K539" s="583"/>
      <c r="L539" s="583"/>
      <c r="M539" s="583"/>
      <c r="N539" s="583"/>
      <c r="O539" s="583"/>
      <c r="P539" s="583"/>
      <c r="Q539" s="583"/>
      <c r="R539" s="583"/>
      <c r="S539" s="583"/>
      <c r="T539" s="583"/>
      <c r="U539" s="583"/>
      <c r="V539" s="583"/>
      <c r="W539" s="583"/>
      <c r="X539" s="583"/>
      <c r="Y539" s="583"/>
      <c r="Z539" s="583"/>
      <c r="AA539" s="583"/>
      <c r="AB539" s="583"/>
      <c r="AC539" s="583"/>
      <c r="AD539" s="583"/>
      <c r="AE539" s="583"/>
      <c r="AF539" s="583"/>
    </row>
    <row r="540" ht="19.5" customHeight="1">
      <c r="A540" s="647"/>
      <c r="B540" s="647"/>
      <c r="C540" s="647"/>
      <c r="D540" s="649"/>
      <c r="E540" s="647"/>
      <c r="F540" s="649"/>
      <c r="G540" s="649"/>
      <c r="H540" s="647"/>
      <c r="I540" s="583"/>
      <c r="J540" s="583"/>
      <c r="K540" s="583"/>
      <c r="L540" s="583"/>
      <c r="M540" s="583"/>
      <c r="N540" s="583"/>
      <c r="O540" s="583"/>
      <c r="P540" s="583"/>
      <c r="Q540" s="583"/>
      <c r="R540" s="583"/>
      <c r="S540" s="583"/>
      <c r="T540" s="583"/>
      <c r="U540" s="583"/>
      <c r="V540" s="583"/>
      <c r="W540" s="583"/>
      <c r="X540" s="583"/>
      <c r="Y540" s="583"/>
      <c r="Z540" s="583"/>
      <c r="AA540" s="583"/>
      <c r="AB540" s="583"/>
      <c r="AC540" s="583"/>
      <c r="AD540" s="583"/>
      <c r="AE540" s="583"/>
      <c r="AF540" s="583"/>
    </row>
    <row r="541" ht="19.5" customHeight="1">
      <c r="A541" s="647"/>
      <c r="B541" s="647"/>
      <c r="C541" s="647"/>
      <c r="D541" s="649"/>
      <c r="E541" s="647"/>
      <c r="F541" s="649"/>
      <c r="G541" s="649"/>
      <c r="H541" s="647"/>
      <c r="I541" s="583"/>
      <c r="J541" s="583"/>
      <c r="K541" s="583"/>
      <c r="L541" s="583"/>
      <c r="M541" s="583"/>
      <c r="N541" s="583"/>
      <c r="O541" s="583"/>
      <c r="P541" s="583"/>
      <c r="Q541" s="583"/>
      <c r="R541" s="583"/>
      <c r="S541" s="583"/>
      <c r="T541" s="583"/>
      <c r="U541" s="583"/>
      <c r="V541" s="583"/>
      <c r="W541" s="583"/>
      <c r="X541" s="583"/>
      <c r="Y541" s="583"/>
      <c r="Z541" s="583"/>
      <c r="AA541" s="583"/>
      <c r="AB541" s="583"/>
      <c r="AC541" s="583"/>
      <c r="AD541" s="583"/>
      <c r="AE541" s="583"/>
      <c r="AF541" s="583"/>
    </row>
    <row r="542" ht="19.5" customHeight="1">
      <c r="A542" s="647"/>
      <c r="B542" s="647"/>
      <c r="C542" s="647"/>
      <c r="D542" s="649"/>
      <c r="E542" s="647"/>
      <c r="F542" s="649"/>
      <c r="G542" s="649"/>
      <c r="H542" s="647"/>
      <c r="I542" s="583"/>
      <c r="J542" s="583"/>
      <c r="K542" s="583"/>
      <c r="L542" s="583"/>
      <c r="M542" s="583"/>
      <c r="N542" s="583"/>
      <c r="O542" s="583"/>
      <c r="P542" s="583"/>
      <c r="Q542" s="583"/>
      <c r="R542" s="583"/>
      <c r="S542" s="583"/>
      <c r="T542" s="583"/>
      <c r="U542" s="583"/>
      <c r="V542" s="583"/>
      <c r="W542" s="583"/>
      <c r="X542" s="583"/>
      <c r="Y542" s="583"/>
      <c r="Z542" s="583"/>
      <c r="AA542" s="583"/>
      <c r="AB542" s="583"/>
      <c r="AC542" s="583"/>
      <c r="AD542" s="583"/>
      <c r="AE542" s="583"/>
      <c r="AF542" s="583"/>
    </row>
    <row r="543" ht="19.5" customHeight="1">
      <c r="A543" s="647"/>
      <c r="B543" s="647"/>
      <c r="C543" s="647"/>
      <c r="D543" s="649"/>
      <c r="E543" s="647"/>
      <c r="F543" s="649"/>
      <c r="G543" s="649"/>
      <c r="H543" s="647"/>
      <c r="I543" s="583"/>
      <c r="J543" s="583"/>
      <c r="K543" s="583"/>
      <c r="L543" s="583"/>
      <c r="M543" s="583"/>
      <c r="N543" s="583"/>
      <c r="O543" s="583"/>
      <c r="P543" s="583"/>
      <c r="Q543" s="583"/>
      <c r="R543" s="583"/>
      <c r="S543" s="583"/>
      <c r="T543" s="583"/>
      <c r="U543" s="583"/>
      <c r="V543" s="583"/>
      <c r="W543" s="583"/>
      <c r="X543" s="583"/>
      <c r="Y543" s="583"/>
      <c r="Z543" s="583"/>
      <c r="AA543" s="583"/>
      <c r="AB543" s="583"/>
      <c r="AC543" s="583"/>
      <c r="AD543" s="583"/>
      <c r="AE543" s="583"/>
      <c r="AF543" s="583"/>
    </row>
    <row r="544" ht="19.5" customHeight="1">
      <c r="A544" s="647"/>
      <c r="B544" s="647"/>
      <c r="C544" s="647"/>
      <c r="D544" s="649"/>
      <c r="E544" s="647"/>
      <c r="F544" s="649"/>
      <c r="G544" s="649"/>
      <c r="H544" s="647"/>
      <c r="I544" s="583"/>
      <c r="J544" s="583"/>
      <c r="K544" s="583"/>
      <c r="L544" s="583"/>
      <c r="M544" s="583"/>
      <c r="N544" s="583"/>
      <c r="O544" s="583"/>
      <c r="P544" s="583"/>
      <c r="Q544" s="583"/>
      <c r="R544" s="583"/>
      <c r="S544" s="583"/>
      <c r="T544" s="583"/>
      <c r="U544" s="583"/>
      <c r="V544" s="583"/>
      <c r="W544" s="583"/>
      <c r="X544" s="583"/>
      <c r="Y544" s="583"/>
      <c r="Z544" s="583"/>
      <c r="AA544" s="583"/>
      <c r="AB544" s="583"/>
      <c r="AC544" s="583"/>
      <c r="AD544" s="583"/>
      <c r="AE544" s="583"/>
      <c r="AF544" s="583"/>
    </row>
    <row r="545" ht="19.5" customHeight="1">
      <c r="A545" s="647"/>
      <c r="B545" s="647"/>
      <c r="C545" s="647"/>
      <c r="D545" s="649"/>
      <c r="E545" s="647"/>
      <c r="F545" s="649"/>
      <c r="G545" s="649"/>
      <c r="H545" s="647"/>
      <c r="I545" s="583"/>
      <c r="J545" s="583"/>
      <c r="K545" s="583"/>
      <c r="L545" s="583"/>
      <c r="M545" s="583"/>
      <c r="N545" s="583"/>
      <c r="O545" s="583"/>
      <c r="P545" s="583"/>
      <c r="Q545" s="583"/>
      <c r="R545" s="583"/>
      <c r="S545" s="583"/>
      <c r="T545" s="583"/>
      <c r="U545" s="583"/>
      <c r="V545" s="583"/>
      <c r="W545" s="583"/>
      <c r="X545" s="583"/>
      <c r="Y545" s="583"/>
      <c r="Z545" s="583"/>
      <c r="AA545" s="583"/>
      <c r="AB545" s="583"/>
      <c r="AC545" s="583"/>
      <c r="AD545" s="583"/>
      <c r="AE545" s="583"/>
      <c r="AF545" s="583"/>
    </row>
    <row r="546" ht="19.5" customHeight="1">
      <c r="A546" s="647"/>
      <c r="B546" s="647"/>
      <c r="C546" s="647"/>
      <c r="D546" s="649"/>
      <c r="E546" s="647"/>
      <c r="F546" s="649"/>
      <c r="G546" s="649"/>
      <c r="H546" s="647"/>
      <c r="I546" s="583"/>
      <c r="J546" s="583"/>
      <c r="K546" s="583"/>
      <c r="L546" s="583"/>
      <c r="M546" s="583"/>
      <c r="N546" s="583"/>
      <c r="O546" s="583"/>
      <c r="P546" s="583"/>
      <c r="Q546" s="583"/>
      <c r="R546" s="583"/>
      <c r="S546" s="583"/>
      <c r="T546" s="583"/>
      <c r="U546" s="583"/>
      <c r="V546" s="583"/>
      <c r="W546" s="583"/>
      <c r="X546" s="583"/>
      <c r="Y546" s="583"/>
      <c r="Z546" s="583"/>
      <c r="AA546" s="583"/>
      <c r="AB546" s="583"/>
      <c r="AC546" s="583"/>
      <c r="AD546" s="583"/>
      <c r="AE546" s="583"/>
      <c r="AF546" s="583"/>
    </row>
    <row r="547" ht="19.5" customHeight="1">
      <c r="A547" s="647"/>
      <c r="B547" s="647"/>
      <c r="C547" s="647"/>
      <c r="D547" s="649"/>
      <c r="E547" s="647"/>
      <c r="F547" s="649"/>
      <c r="G547" s="649"/>
      <c r="H547" s="647"/>
      <c r="I547" s="583"/>
      <c r="J547" s="583"/>
      <c r="K547" s="583"/>
      <c r="L547" s="583"/>
      <c r="M547" s="583"/>
      <c r="N547" s="583"/>
      <c r="O547" s="583"/>
      <c r="P547" s="583"/>
      <c r="Q547" s="583"/>
      <c r="R547" s="583"/>
      <c r="S547" s="583"/>
      <c r="T547" s="583"/>
      <c r="U547" s="583"/>
      <c r="V547" s="583"/>
      <c r="W547" s="583"/>
      <c r="X547" s="583"/>
      <c r="Y547" s="583"/>
      <c r="Z547" s="583"/>
      <c r="AA547" s="583"/>
      <c r="AB547" s="583"/>
      <c r="AC547" s="583"/>
      <c r="AD547" s="583"/>
      <c r="AE547" s="583"/>
      <c r="AF547" s="583"/>
    </row>
    <row r="548" ht="19.5" customHeight="1">
      <c r="A548" s="647"/>
      <c r="B548" s="647"/>
      <c r="C548" s="647"/>
      <c r="D548" s="649"/>
      <c r="E548" s="647"/>
      <c r="F548" s="649"/>
      <c r="G548" s="649"/>
      <c r="H548" s="647"/>
      <c r="I548" s="583"/>
      <c r="J548" s="583"/>
      <c r="K548" s="583"/>
      <c r="L548" s="583"/>
      <c r="M548" s="583"/>
      <c r="N548" s="583"/>
      <c r="O548" s="583"/>
      <c r="P548" s="583"/>
      <c r="Q548" s="583"/>
      <c r="R548" s="583"/>
      <c r="S548" s="583"/>
      <c r="T548" s="583"/>
      <c r="U548" s="583"/>
      <c r="V548" s="583"/>
      <c r="W548" s="583"/>
      <c r="X548" s="583"/>
      <c r="Y548" s="583"/>
      <c r="Z548" s="583"/>
      <c r="AA548" s="583"/>
      <c r="AB548" s="583"/>
      <c r="AC548" s="583"/>
      <c r="AD548" s="583"/>
      <c r="AE548" s="583"/>
      <c r="AF548" s="583"/>
    </row>
    <row r="549" ht="19.5" customHeight="1">
      <c r="A549" s="647"/>
      <c r="B549" s="647"/>
      <c r="C549" s="647"/>
      <c r="D549" s="649"/>
      <c r="E549" s="647"/>
      <c r="F549" s="649"/>
      <c r="G549" s="649"/>
      <c r="H549" s="647"/>
      <c r="I549" s="583"/>
      <c r="J549" s="583"/>
      <c r="K549" s="583"/>
      <c r="L549" s="583"/>
      <c r="M549" s="583"/>
      <c r="N549" s="583"/>
      <c r="O549" s="583"/>
      <c r="P549" s="583"/>
      <c r="Q549" s="583"/>
      <c r="R549" s="583"/>
      <c r="S549" s="583"/>
      <c r="T549" s="583"/>
      <c r="U549" s="583"/>
      <c r="V549" s="583"/>
      <c r="W549" s="583"/>
      <c r="X549" s="583"/>
      <c r="Y549" s="583"/>
      <c r="Z549" s="583"/>
      <c r="AA549" s="583"/>
      <c r="AB549" s="583"/>
      <c r="AC549" s="583"/>
      <c r="AD549" s="583"/>
      <c r="AE549" s="583"/>
      <c r="AF549" s="583"/>
    </row>
    <row r="550" ht="19.5" customHeight="1">
      <c r="A550" s="647"/>
      <c r="B550" s="647"/>
      <c r="C550" s="647"/>
      <c r="D550" s="649"/>
      <c r="E550" s="647"/>
      <c r="F550" s="649"/>
      <c r="G550" s="649"/>
      <c r="H550" s="647"/>
      <c r="I550" s="583"/>
      <c r="J550" s="583"/>
      <c r="K550" s="583"/>
      <c r="L550" s="583"/>
      <c r="M550" s="583"/>
      <c r="N550" s="583"/>
      <c r="O550" s="583"/>
      <c r="P550" s="583"/>
      <c r="Q550" s="583"/>
      <c r="R550" s="583"/>
      <c r="S550" s="583"/>
      <c r="T550" s="583"/>
      <c r="U550" s="583"/>
      <c r="V550" s="583"/>
      <c r="W550" s="583"/>
      <c r="X550" s="583"/>
      <c r="Y550" s="583"/>
      <c r="Z550" s="583"/>
      <c r="AA550" s="583"/>
      <c r="AB550" s="583"/>
      <c r="AC550" s="583"/>
      <c r="AD550" s="583"/>
      <c r="AE550" s="583"/>
      <c r="AF550" s="583"/>
    </row>
    <row r="551" ht="19.5" customHeight="1">
      <c r="A551" s="647"/>
      <c r="B551" s="647"/>
      <c r="C551" s="647"/>
      <c r="D551" s="649"/>
      <c r="E551" s="647"/>
      <c r="F551" s="649"/>
      <c r="G551" s="649"/>
      <c r="H551" s="647"/>
      <c r="I551" s="583"/>
      <c r="J551" s="583"/>
      <c r="K551" s="583"/>
      <c r="L551" s="583"/>
      <c r="M551" s="583"/>
      <c r="N551" s="583"/>
      <c r="O551" s="583"/>
      <c r="P551" s="583"/>
      <c r="Q551" s="583"/>
      <c r="R551" s="583"/>
      <c r="S551" s="583"/>
      <c r="T551" s="583"/>
      <c r="U551" s="583"/>
      <c r="V551" s="583"/>
      <c r="W551" s="583"/>
      <c r="X551" s="583"/>
      <c r="Y551" s="583"/>
      <c r="Z551" s="583"/>
      <c r="AA551" s="583"/>
      <c r="AB551" s="583"/>
      <c r="AC551" s="583"/>
      <c r="AD551" s="583"/>
      <c r="AE551" s="583"/>
      <c r="AF551" s="583"/>
    </row>
    <row r="552" ht="19.5" customHeight="1">
      <c r="A552" s="647"/>
      <c r="B552" s="647"/>
      <c r="C552" s="647"/>
      <c r="D552" s="649"/>
      <c r="E552" s="647"/>
      <c r="F552" s="649"/>
      <c r="G552" s="649"/>
      <c r="H552" s="647"/>
      <c r="I552" s="583"/>
      <c r="J552" s="583"/>
      <c r="K552" s="583"/>
      <c r="L552" s="583"/>
      <c r="M552" s="583"/>
      <c r="N552" s="583"/>
      <c r="O552" s="583"/>
      <c r="P552" s="583"/>
      <c r="Q552" s="583"/>
      <c r="R552" s="583"/>
      <c r="S552" s="583"/>
      <c r="T552" s="583"/>
      <c r="U552" s="583"/>
      <c r="V552" s="583"/>
      <c r="W552" s="583"/>
      <c r="X552" s="583"/>
      <c r="Y552" s="583"/>
      <c r="Z552" s="583"/>
      <c r="AA552" s="583"/>
      <c r="AB552" s="583"/>
      <c r="AC552" s="583"/>
      <c r="AD552" s="583"/>
      <c r="AE552" s="583"/>
      <c r="AF552" s="583"/>
    </row>
    <row r="553" ht="19.5" customHeight="1">
      <c r="A553" s="647"/>
      <c r="B553" s="647"/>
      <c r="C553" s="647"/>
      <c r="D553" s="649"/>
      <c r="E553" s="647"/>
      <c r="F553" s="649"/>
      <c r="G553" s="649"/>
      <c r="H553" s="647"/>
      <c r="I553" s="583"/>
      <c r="J553" s="583"/>
      <c r="K553" s="583"/>
      <c r="L553" s="583"/>
      <c r="M553" s="583"/>
      <c r="N553" s="583"/>
      <c r="O553" s="583"/>
      <c r="P553" s="583"/>
      <c r="Q553" s="583"/>
      <c r="R553" s="583"/>
      <c r="S553" s="583"/>
      <c r="T553" s="583"/>
      <c r="U553" s="583"/>
      <c r="V553" s="583"/>
      <c r="W553" s="583"/>
      <c r="X553" s="583"/>
      <c r="Y553" s="583"/>
      <c r="Z553" s="583"/>
      <c r="AA553" s="583"/>
      <c r="AB553" s="583"/>
      <c r="AC553" s="583"/>
      <c r="AD553" s="583"/>
      <c r="AE553" s="583"/>
      <c r="AF553" s="583"/>
    </row>
    <row r="554" ht="19.5" customHeight="1">
      <c r="A554" s="647"/>
      <c r="B554" s="647"/>
      <c r="C554" s="647"/>
      <c r="D554" s="649"/>
      <c r="E554" s="647"/>
      <c r="F554" s="649"/>
      <c r="G554" s="649"/>
      <c r="H554" s="647"/>
      <c r="I554" s="583"/>
      <c r="J554" s="583"/>
      <c r="K554" s="583"/>
      <c r="L554" s="583"/>
      <c r="M554" s="583"/>
      <c r="N554" s="583"/>
      <c r="O554" s="583"/>
      <c r="P554" s="583"/>
      <c r="Q554" s="583"/>
      <c r="R554" s="583"/>
      <c r="S554" s="583"/>
      <c r="T554" s="583"/>
      <c r="U554" s="583"/>
      <c r="V554" s="583"/>
      <c r="W554" s="583"/>
      <c r="X554" s="583"/>
      <c r="Y554" s="583"/>
      <c r="Z554" s="583"/>
      <c r="AA554" s="583"/>
      <c r="AB554" s="583"/>
      <c r="AC554" s="583"/>
      <c r="AD554" s="583"/>
      <c r="AE554" s="583"/>
      <c r="AF554" s="583"/>
    </row>
    <row r="555" ht="19.5" customHeight="1">
      <c r="A555" s="647"/>
      <c r="B555" s="647"/>
      <c r="C555" s="647"/>
      <c r="D555" s="649"/>
      <c r="E555" s="647"/>
      <c r="F555" s="649"/>
      <c r="G555" s="649"/>
      <c r="H555" s="647"/>
      <c r="I555" s="583"/>
      <c r="J555" s="583"/>
      <c r="K555" s="583"/>
      <c r="L555" s="583"/>
      <c r="M555" s="583"/>
      <c r="N555" s="583"/>
      <c r="O555" s="583"/>
      <c r="P555" s="583"/>
      <c r="Q555" s="583"/>
      <c r="R555" s="583"/>
      <c r="S555" s="583"/>
      <c r="T555" s="583"/>
      <c r="U555" s="583"/>
      <c r="V555" s="583"/>
      <c r="W555" s="583"/>
      <c r="X555" s="583"/>
      <c r="Y555" s="583"/>
      <c r="Z555" s="583"/>
      <c r="AA555" s="583"/>
      <c r="AB555" s="583"/>
      <c r="AC555" s="583"/>
      <c r="AD555" s="583"/>
      <c r="AE555" s="583"/>
      <c r="AF555" s="583"/>
    </row>
    <row r="556" ht="19.5" customHeight="1">
      <c r="A556" s="647"/>
      <c r="B556" s="647"/>
      <c r="C556" s="647"/>
      <c r="D556" s="649"/>
      <c r="E556" s="647"/>
      <c r="F556" s="649"/>
      <c r="G556" s="649"/>
      <c r="H556" s="647"/>
      <c r="I556" s="583"/>
      <c r="J556" s="583"/>
      <c r="K556" s="583"/>
      <c r="L556" s="583"/>
      <c r="M556" s="583"/>
      <c r="N556" s="583"/>
      <c r="O556" s="583"/>
      <c r="P556" s="583"/>
      <c r="Q556" s="583"/>
      <c r="R556" s="583"/>
      <c r="S556" s="583"/>
      <c r="T556" s="583"/>
      <c r="U556" s="583"/>
      <c r="V556" s="583"/>
      <c r="W556" s="583"/>
      <c r="X556" s="583"/>
      <c r="Y556" s="583"/>
      <c r="Z556" s="583"/>
      <c r="AA556" s="583"/>
      <c r="AB556" s="583"/>
      <c r="AC556" s="583"/>
      <c r="AD556" s="583"/>
      <c r="AE556" s="583"/>
      <c r="AF556" s="583"/>
    </row>
    <row r="557" ht="19.5" customHeight="1">
      <c r="A557" s="647"/>
      <c r="B557" s="647"/>
      <c r="C557" s="647"/>
      <c r="D557" s="649"/>
      <c r="E557" s="647"/>
      <c r="F557" s="649"/>
      <c r="G557" s="649"/>
      <c r="H557" s="647"/>
      <c r="I557" s="583"/>
      <c r="J557" s="583"/>
      <c r="K557" s="583"/>
      <c r="L557" s="583"/>
      <c r="M557" s="583"/>
      <c r="N557" s="583"/>
      <c r="O557" s="583"/>
      <c r="P557" s="583"/>
      <c r="Q557" s="583"/>
      <c r="R557" s="583"/>
      <c r="S557" s="583"/>
      <c r="T557" s="583"/>
      <c r="U557" s="583"/>
      <c r="V557" s="583"/>
      <c r="W557" s="583"/>
      <c r="X557" s="583"/>
      <c r="Y557" s="583"/>
      <c r="Z557" s="583"/>
      <c r="AA557" s="583"/>
      <c r="AB557" s="583"/>
      <c r="AC557" s="583"/>
      <c r="AD557" s="583"/>
      <c r="AE557" s="583"/>
      <c r="AF557" s="583"/>
    </row>
    <row r="558" ht="19.5" customHeight="1">
      <c r="A558" s="647"/>
      <c r="B558" s="647"/>
      <c r="C558" s="647"/>
      <c r="D558" s="649"/>
      <c r="E558" s="647"/>
      <c r="F558" s="649"/>
      <c r="G558" s="649"/>
      <c r="H558" s="647"/>
      <c r="I558" s="583"/>
      <c r="J558" s="583"/>
      <c r="K558" s="583"/>
      <c r="L558" s="583"/>
      <c r="M558" s="583"/>
      <c r="N558" s="583"/>
      <c r="O558" s="583"/>
      <c r="P558" s="583"/>
      <c r="Q558" s="583"/>
      <c r="R558" s="583"/>
      <c r="S558" s="583"/>
      <c r="T558" s="583"/>
      <c r="U558" s="583"/>
      <c r="V558" s="583"/>
      <c r="W558" s="583"/>
      <c r="X558" s="583"/>
      <c r="Y558" s="583"/>
      <c r="Z558" s="583"/>
      <c r="AA558" s="583"/>
      <c r="AB558" s="583"/>
      <c r="AC558" s="583"/>
      <c r="AD558" s="583"/>
      <c r="AE558" s="583"/>
      <c r="AF558" s="583"/>
    </row>
    <row r="559" ht="19.5" customHeight="1">
      <c r="A559" s="647"/>
      <c r="B559" s="647"/>
      <c r="C559" s="647"/>
      <c r="D559" s="649"/>
      <c r="E559" s="647"/>
      <c r="F559" s="649"/>
      <c r="G559" s="649"/>
      <c r="H559" s="647"/>
      <c r="I559" s="583"/>
      <c r="J559" s="583"/>
      <c r="K559" s="583"/>
      <c r="L559" s="583"/>
      <c r="M559" s="583"/>
      <c r="N559" s="583"/>
      <c r="O559" s="583"/>
      <c r="P559" s="583"/>
      <c r="Q559" s="583"/>
      <c r="R559" s="583"/>
      <c r="S559" s="583"/>
      <c r="T559" s="583"/>
      <c r="U559" s="583"/>
      <c r="V559" s="583"/>
      <c r="W559" s="583"/>
      <c r="X559" s="583"/>
      <c r="Y559" s="583"/>
      <c r="Z559" s="583"/>
      <c r="AA559" s="583"/>
      <c r="AB559" s="583"/>
      <c r="AC559" s="583"/>
      <c r="AD559" s="583"/>
      <c r="AE559" s="583"/>
      <c r="AF559" s="583"/>
    </row>
    <row r="560" ht="19.5" customHeight="1">
      <c r="A560" s="647"/>
      <c r="B560" s="647"/>
      <c r="C560" s="647"/>
      <c r="D560" s="649"/>
      <c r="E560" s="647"/>
      <c r="F560" s="649"/>
      <c r="G560" s="649"/>
      <c r="H560" s="647"/>
      <c r="I560" s="583"/>
      <c r="J560" s="583"/>
      <c r="K560" s="583"/>
      <c r="L560" s="583"/>
      <c r="M560" s="583"/>
      <c r="N560" s="583"/>
      <c r="O560" s="583"/>
      <c r="P560" s="583"/>
      <c r="Q560" s="583"/>
      <c r="R560" s="583"/>
      <c r="S560" s="583"/>
      <c r="T560" s="583"/>
      <c r="U560" s="583"/>
      <c r="V560" s="583"/>
      <c r="W560" s="583"/>
      <c r="X560" s="583"/>
      <c r="Y560" s="583"/>
      <c r="Z560" s="583"/>
      <c r="AA560" s="583"/>
      <c r="AB560" s="583"/>
      <c r="AC560" s="583"/>
      <c r="AD560" s="583"/>
      <c r="AE560" s="583"/>
      <c r="AF560" s="583"/>
    </row>
    <row r="561" ht="19.5" customHeight="1">
      <c r="A561" s="647"/>
      <c r="B561" s="647"/>
      <c r="C561" s="647"/>
      <c r="D561" s="649"/>
      <c r="E561" s="647"/>
      <c r="F561" s="649"/>
      <c r="G561" s="649"/>
      <c r="H561" s="647"/>
      <c r="I561" s="583"/>
      <c r="J561" s="583"/>
      <c r="K561" s="583"/>
      <c r="L561" s="583"/>
      <c r="M561" s="583"/>
      <c r="N561" s="583"/>
      <c r="O561" s="583"/>
      <c r="P561" s="583"/>
      <c r="Q561" s="583"/>
      <c r="R561" s="583"/>
      <c r="S561" s="583"/>
      <c r="T561" s="583"/>
      <c r="U561" s="583"/>
      <c r="V561" s="583"/>
      <c r="W561" s="583"/>
      <c r="X561" s="583"/>
      <c r="Y561" s="583"/>
      <c r="Z561" s="583"/>
      <c r="AA561" s="583"/>
      <c r="AB561" s="583"/>
      <c r="AC561" s="583"/>
      <c r="AD561" s="583"/>
      <c r="AE561" s="583"/>
      <c r="AF561" s="583"/>
    </row>
    <row r="562" ht="19.5" customHeight="1">
      <c r="A562" s="647"/>
      <c r="B562" s="647"/>
      <c r="C562" s="647"/>
      <c r="D562" s="649"/>
      <c r="E562" s="647"/>
      <c r="F562" s="649"/>
      <c r="G562" s="649"/>
      <c r="H562" s="647"/>
      <c r="I562" s="583"/>
      <c r="J562" s="583"/>
      <c r="K562" s="583"/>
      <c r="L562" s="583"/>
      <c r="M562" s="583"/>
      <c r="N562" s="583"/>
      <c r="O562" s="583"/>
      <c r="P562" s="583"/>
      <c r="Q562" s="583"/>
      <c r="R562" s="583"/>
      <c r="S562" s="583"/>
      <c r="T562" s="583"/>
      <c r="U562" s="583"/>
      <c r="V562" s="583"/>
      <c r="W562" s="583"/>
      <c r="X562" s="583"/>
      <c r="Y562" s="583"/>
      <c r="Z562" s="583"/>
      <c r="AA562" s="583"/>
      <c r="AB562" s="583"/>
      <c r="AC562" s="583"/>
      <c r="AD562" s="583"/>
      <c r="AE562" s="583"/>
      <c r="AF562" s="583"/>
    </row>
    <row r="563" ht="19.5" customHeight="1">
      <c r="A563" s="647"/>
      <c r="B563" s="647"/>
      <c r="C563" s="647"/>
      <c r="D563" s="649"/>
      <c r="E563" s="647"/>
      <c r="F563" s="649"/>
      <c r="G563" s="649"/>
      <c r="H563" s="647"/>
      <c r="I563" s="583"/>
      <c r="J563" s="583"/>
      <c r="K563" s="583"/>
      <c r="L563" s="583"/>
      <c r="M563" s="583"/>
      <c r="N563" s="583"/>
      <c r="O563" s="583"/>
      <c r="P563" s="583"/>
      <c r="Q563" s="583"/>
      <c r="R563" s="583"/>
      <c r="S563" s="583"/>
      <c r="T563" s="583"/>
      <c r="U563" s="583"/>
      <c r="V563" s="583"/>
      <c r="W563" s="583"/>
      <c r="X563" s="583"/>
      <c r="Y563" s="583"/>
      <c r="Z563" s="583"/>
      <c r="AA563" s="583"/>
      <c r="AB563" s="583"/>
      <c r="AC563" s="583"/>
      <c r="AD563" s="583"/>
      <c r="AE563" s="583"/>
      <c r="AF563" s="583"/>
    </row>
    <row r="564" ht="19.5" customHeight="1">
      <c r="A564" s="647"/>
      <c r="B564" s="647"/>
      <c r="C564" s="647"/>
      <c r="D564" s="649"/>
      <c r="E564" s="647"/>
      <c r="F564" s="649"/>
      <c r="G564" s="649"/>
      <c r="H564" s="647"/>
      <c r="I564" s="583"/>
      <c r="J564" s="583"/>
      <c r="K564" s="583"/>
      <c r="L564" s="583"/>
      <c r="M564" s="583"/>
      <c r="N564" s="583"/>
      <c r="O564" s="583"/>
      <c r="P564" s="583"/>
      <c r="Q564" s="583"/>
      <c r="R564" s="583"/>
      <c r="S564" s="583"/>
      <c r="T564" s="583"/>
      <c r="U564" s="583"/>
      <c r="V564" s="583"/>
      <c r="W564" s="583"/>
      <c r="X564" s="583"/>
      <c r="Y564" s="583"/>
      <c r="Z564" s="583"/>
      <c r="AA564" s="583"/>
      <c r="AB564" s="583"/>
      <c r="AC564" s="583"/>
      <c r="AD564" s="583"/>
      <c r="AE564" s="583"/>
      <c r="AF564" s="583"/>
    </row>
    <row r="565" ht="19.5" customHeight="1">
      <c r="A565" s="647"/>
      <c r="B565" s="647"/>
      <c r="C565" s="647"/>
      <c r="D565" s="649"/>
      <c r="E565" s="647"/>
      <c r="F565" s="649"/>
      <c r="G565" s="649"/>
      <c r="H565" s="647"/>
      <c r="I565" s="583"/>
      <c r="J565" s="583"/>
      <c r="K565" s="583"/>
      <c r="L565" s="583"/>
      <c r="M565" s="583"/>
      <c r="N565" s="583"/>
      <c r="O565" s="583"/>
      <c r="P565" s="583"/>
      <c r="Q565" s="583"/>
      <c r="R565" s="583"/>
      <c r="S565" s="583"/>
      <c r="T565" s="583"/>
      <c r="U565" s="583"/>
      <c r="V565" s="583"/>
      <c r="W565" s="583"/>
      <c r="X565" s="583"/>
      <c r="Y565" s="583"/>
      <c r="Z565" s="583"/>
      <c r="AA565" s="583"/>
      <c r="AB565" s="583"/>
      <c r="AC565" s="583"/>
      <c r="AD565" s="583"/>
      <c r="AE565" s="583"/>
      <c r="AF565" s="583"/>
    </row>
    <row r="566" ht="19.5" customHeight="1">
      <c r="A566" s="647"/>
      <c r="B566" s="647"/>
      <c r="C566" s="647"/>
      <c r="D566" s="649"/>
      <c r="E566" s="647"/>
      <c r="F566" s="649"/>
      <c r="G566" s="649"/>
      <c r="H566" s="647"/>
      <c r="I566" s="583"/>
      <c r="J566" s="583"/>
      <c r="K566" s="583"/>
      <c r="L566" s="583"/>
      <c r="M566" s="583"/>
      <c r="N566" s="583"/>
      <c r="O566" s="583"/>
      <c r="P566" s="583"/>
      <c r="Q566" s="583"/>
      <c r="R566" s="583"/>
      <c r="S566" s="583"/>
      <c r="T566" s="583"/>
      <c r="U566" s="583"/>
      <c r="V566" s="583"/>
      <c r="W566" s="583"/>
      <c r="X566" s="583"/>
      <c r="Y566" s="583"/>
      <c r="Z566" s="583"/>
      <c r="AA566" s="583"/>
      <c r="AB566" s="583"/>
      <c r="AC566" s="583"/>
      <c r="AD566" s="583"/>
      <c r="AE566" s="583"/>
      <c r="AF566" s="583"/>
    </row>
    <row r="567" ht="19.5" customHeight="1">
      <c r="A567" s="647"/>
      <c r="B567" s="647"/>
      <c r="C567" s="647"/>
      <c r="D567" s="649"/>
      <c r="E567" s="647"/>
      <c r="F567" s="649"/>
      <c r="G567" s="649"/>
      <c r="H567" s="647"/>
      <c r="I567" s="583"/>
      <c r="J567" s="583"/>
      <c r="K567" s="583"/>
      <c r="L567" s="583"/>
      <c r="M567" s="583"/>
      <c r="N567" s="583"/>
      <c r="O567" s="583"/>
      <c r="P567" s="583"/>
      <c r="Q567" s="583"/>
      <c r="R567" s="583"/>
      <c r="S567" s="583"/>
      <c r="T567" s="583"/>
      <c r="U567" s="583"/>
      <c r="V567" s="583"/>
      <c r="W567" s="583"/>
      <c r="X567" s="583"/>
      <c r="Y567" s="583"/>
      <c r="Z567" s="583"/>
      <c r="AA567" s="583"/>
      <c r="AB567" s="583"/>
      <c r="AC567" s="583"/>
      <c r="AD567" s="583"/>
      <c r="AE567" s="583"/>
      <c r="AF567" s="583"/>
    </row>
    <row r="568" ht="19.5" customHeight="1">
      <c r="A568" s="647"/>
      <c r="B568" s="647"/>
      <c r="C568" s="647"/>
      <c r="D568" s="649"/>
      <c r="E568" s="647"/>
      <c r="F568" s="649"/>
      <c r="G568" s="649"/>
      <c r="H568" s="647"/>
      <c r="I568" s="583"/>
      <c r="J568" s="583"/>
      <c r="K568" s="583"/>
      <c r="L568" s="583"/>
      <c r="M568" s="583"/>
      <c r="N568" s="583"/>
      <c r="O568" s="583"/>
      <c r="P568" s="583"/>
      <c r="Q568" s="583"/>
      <c r="R568" s="583"/>
      <c r="S568" s="583"/>
      <c r="T568" s="583"/>
      <c r="U568" s="583"/>
      <c r="V568" s="583"/>
      <c r="W568" s="583"/>
      <c r="X568" s="583"/>
      <c r="Y568" s="583"/>
      <c r="Z568" s="583"/>
      <c r="AA568" s="583"/>
      <c r="AB568" s="583"/>
      <c r="AC568" s="583"/>
      <c r="AD568" s="583"/>
      <c r="AE568" s="583"/>
      <c r="AF568" s="583"/>
    </row>
    <row r="569" ht="19.5" customHeight="1">
      <c r="A569" s="647"/>
      <c r="B569" s="647"/>
      <c r="C569" s="647"/>
      <c r="D569" s="649"/>
      <c r="E569" s="647"/>
      <c r="F569" s="649"/>
      <c r="G569" s="649"/>
      <c r="H569" s="647"/>
      <c r="I569" s="583"/>
      <c r="J569" s="583"/>
      <c r="K569" s="583"/>
      <c r="L569" s="583"/>
      <c r="M569" s="583"/>
      <c r="N569" s="583"/>
      <c r="O569" s="583"/>
      <c r="P569" s="583"/>
      <c r="Q569" s="583"/>
      <c r="R569" s="583"/>
      <c r="S569" s="583"/>
      <c r="T569" s="583"/>
      <c r="U569" s="583"/>
      <c r="V569" s="583"/>
      <c r="W569" s="583"/>
      <c r="X569" s="583"/>
      <c r="Y569" s="583"/>
      <c r="Z569" s="583"/>
      <c r="AA569" s="583"/>
      <c r="AB569" s="583"/>
      <c r="AC569" s="583"/>
      <c r="AD569" s="583"/>
      <c r="AE569" s="583"/>
      <c r="AF569" s="583"/>
    </row>
    <row r="570" ht="19.5" customHeight="1">
      <c r="A570" s="647"/>
      <c r="B570" s="647"/>
      <c r="C570" s="647"/>
      <c r="D570" s="649"/>
      <c r="E570" s="647"/>
      <c r="F570" s="649"/>
      <c r="G570" s="649"/>
      <c r="H570" s="647"/>
      <c r="I570" s="583"/>
      <c r="J570" s="583"/>
      <c r="K570" s="583"/>
      <c r="L570" s="583"/>
      <c r="M570" s="583"/>
      <c r="N570" s="583"/>
      <c r="O570" s="583"/>
      <c r="P570" s="583"/>
      <c r="Q570" s="583"/>
      <c r="R570" s="583"/>
      <c r="S570" s="583"/>
      <c r="T570" s="583"/>
      <c r="U570" s="583"/>
      <c r="V570" s="583"/>
      <c r="W570" s="583"/>
      <c r="X570" s="583"/>
      <c r="Y570" s="583"/>
      <c r="Z570" s="583"/>
      <c r="AA570" s="583"/>
      <c r="AB570" s="583"/>
      <c r="AC570" s="583"/>
      <c r="AD570" s="583"/>
      <c r="AE570" s="583"/>
      <c r="AF570" s="583"/>
    </row>
    <row r="571" ht="19.5" customHeight="1">
      <c r="A571" s="647"/>
      <c r="B571" s="647"/>
      <c r="C571" s="647"/>
      <c r="D571" s="649"/>
      <c r="E571" s="647"/>
      <c r="F571" s="649"/>
      <c r="G571" s="649"/>
      <c r="H571" s="647"/>
      <c r="I571" s="583"/>
      <c r="J571" s="583"/>
      <c r="K571" s="583"/>
      <c r="L571" s="583"/>
      <c r="M571" s="583"/>
      <c r="N571" s="583"/>
      <c r="O571" s="583"/>
      <c r="P571" s="583"/>
      <c r="Q571" s="583"/>
      <c r="R571" s="583"/>
      <c r="S571" s="583"/>
      <c r="T571" s="583"/>
      <c r="U571" s="583"/>
      <c r="V571" s="583"/>
      <c r="W571" s="583"/>
      <c r="X571" s="583"/>
      <c r="Y571" s="583"/>
      <c r="Z571" s="583"/>
      <c r="AA571" s="583"/>
      <c r="AB571" s="583"/>
      <c r="AC571" s="583"/>
      <c r="AD571" s="583"/>
      <c r="AE571" s="583"/>
      <c r="AF571" s="583"/>
    </row>
    <row r="572" ht="19.5" customHeight="1">
      <c r="A572" s="647"/>
      <c r="B572" s="647"/>
      <c r="C572" s="647"/>
      <c r="D572" s="649"/>
      <c r="E572" s="647"/>
      <c r="F572" s="649"/>
      <c r="G572" s="649"/>
      <c r="H572" s="647"/>
      <c r="I572" s="583"/>
      <c r="J572" s="583"/>
      <c r="K572" s="583"/>
      <c r="L572" s="583"/>
      <c r="M572" s="583"/>
      <c r="N572" s="583"/>
      <c r="O572" s="583"/>
      <c r="P572" s="583"/>
      <c r="Q572" s="583"/>
      <c r="R572" s="583"/>
      <c r="S572" s="583"/>
      <c r="T572" s="583"/>
      <c r="U572" s="583"/>
      <c r="V572" s="583"/>
      <c r="W572" s="583"/>
      <c r="X572" s="583"/>
      <c r="Y572" s="583"/>
      <c r="Z572" s="583"/>
      <c r="AA572" s="583"/>
      <c r="AB572" s="583"/>
      <c r="AC572" s="583"/>
      <c r="AD572" s="583"/>
      <c r="AE572" s="583"/>
      <c r="AF572" s="583"/>
    </row>
    <row r="573" ht="19.5" customHeight="1">
      <c r="A573" s="647"/>
      <c r="B573" s="647"/>
      <c r="C573" s="647"/>
      <c r="D573" s="649"/>
      <c r="E573" s="647"/>
      <c r="F573" s="649"/>
      <c r="G573" s="649"/>
      <c r="H573" s="647"/>
      <c r="I573" s="583"/>
      <c r="J573" s="583"/>
      <c r="K573" s="583"/>
      <c r="L573" s="583"/>
      <c r="M573" s="583"/>
      <c r="N573" s="583"/>
      <c r="O573" s="583"/>
      <c r="P573" s="583"/>
      <c r="Q573" s="583"/>
      <c r="R573" s="583"/>
      <c r="S573" s="583"/>
      <c r="T573" s="583"/>
      <c r="U573" s="583"/>
      <c r="V573" s="583"/>
      <c r="W573" s="583"/>
      <c r="X573" s="583"/>
      <c r="Y573" s="583"/>
      <c r="Z573" s="583"/>
      <c r="AA573" s="583"/>
      <c r="AB573" s="583"/>
      <c r="AC573" s="583"/>
      <c r="AD573" s="583"/>
      <c r="AE573" s="583"/>
      <c r="AF573" s="583"/>
    </row>
    <row r="574" ht="19.5" customHeight="1">
      <c r="A574" s="647"/>
      <c r="B574" s="647"/>
      <c r="C574" s="647"/>
      <c r="D574" s="649"/>
      <c r="E574" s="647"/>
      <c r="F574" s="649"/>
      <c r="G574" s="649"/>
      <c r="H574" s="647"/>
      <c r="I574" s="583"/>
      <c r="J574" s="583"/>
      <c r="K574" s="583"/>
      <c r="L574" s="583"/>
      <c r="M574" s="583"/>
      <c r="N574" s="583"/>
      <c r="O574" s="583"/>
      <c r="P574" s="583"/>
      <c r="Q574" s="583"/>
      <c r="R574" s="583"/>
      <c r="S574" s="583"/>
      <c r="T574" s="583"/>
      <c r="U574" s="583"/>
      <c r="V574" s="583"/>
      <c r="W574" s="583"/>
      <c r="X574" s="583"/>
      <c r="Y574" s="583"/>
      <c r="Z574" s="583"/>
      <c r="AA574" s="583"/>
      <c r="AB574" s="583"/>
      <c r="AC574" s="583"/>
      <c r="AD574" s="583"/>
      <c r="AE574" s="583"/>
      <c r="AF574" s="583"/>
    </row>
    <row r="575" ht="19.5" customHeight="1">
      <c r="A575" s="647"/>
      <c r="B575" s="647"/>
      <c r="C575" s="647"/>
      <c r="D575" s="649"/>
      <c r="E575" s="647"/>
      <c r="F575" s="649"/>
      <c r="G575" s="649"/>
      <c r="H575" s="647"/>
      <c r="I575" s="583"/>
      <c r="J575" s="583"/>
      <c r="K575" s="583"/>
      <c r="L575" s="583"/>
      <c r="M575" s="583"/>
      <c r="N575" s="583"/>
      <c r="O575" s="583"/>
      <c r="P575" s="583"/>
      <c r="Q575" s="583"/>
      <c r="R575" s="583"/>
      <c r="S575" s="583"/>
      <c r="T575" s="583"/>
      <c r="U575" s="583"/>
      <c r="V575" s="583"/>
      <c r="W575" s="583"/>
      <c r="X575" s="583"/>
      <c r="Y575" s="583"/>
      <c r="Z575" s="583"/>
      <c r="AA575" s="583"/>
      <c r="AB575" s="583"/>
      <c r="AC575" s="583"/>
      <c r="AD575" s="583"/>
      <c r="AE575" s="583"/>
      <c r="AF575" s="583"/>
    </row>
    <row r="576" ht="19.5" customHeight="1">
      <c r="A576" s="647"/>
      <c r="B576" s="647"/>
      <c r="C576" s="647"/>
      <c r="D576" s="649"/>
      <c r="E576" s="647"/>
      <c r="F576" s="649"/>
      <c r="G576" s="649"/>
      <c r="H576" s="647"/>
      <c r="I576" s="583"/>
      <c r="J576" s="583"/>
      <c r="K576" s="583"/>
      <c r="L576" s="583"/>
      <c r="M576" s="583"/>
      <c r="N576" s="583"/>
      <c r="O576" s="583"/>
      <c r="P576" s="583"/>
      <c r="Q576" s="583"/>
      <c r="R576" s="583"/>
      <c r="S576" s="583"/>
      <c r="T576" s="583"/>
      <c r="U576" s="583"/>
      <c r="V576" s="583"/>
      <c r="W576" s="583"/>
      <c r="X576" s="583"/>
      <c r="Y576" s="583"/>
      <c r="Z576" s="583"/>
      <c r="AA576" s="583"/>
      <c r="AB576" s="583"/>
      <c r="AC576" s="583"/>
      <c r="AD576" s="583"/>
      <c r="AE576" s="583"/>
      <c r="AF576" s="583"/>
    </row>
    <row r="577" ht="19.5" customHeight="1">
      <c r="A577" s="647"/>
      <c r="B577" s="647"/>
      <c r="C577" s="647"/>
      <c r="D577" s="649"/>
      <c r="E577" s="647"/>
      <c r="F577" s="649"/>
      <c r="G577" s="649"/>
      <c r="H577" s="647"/>
      <c r="I577" s="583"/>
      <c r="J577" s="583"/>
      <c r="K577" s="583"/>
      <c r="L577" s="583"/>
      <c r="M577" s="583"/>
      <c r="N577" s="583"/>
      <c r="O577" s="583"/>
      <c r="P577" s="583"/>
      <c r="Q577" s="583"/>
      <c r="R577" s="583"/>
      <c r="S577" s="583"/>
      <c r="T577" s="583"/>
      <c r="U577" s="583"/>
      <c r="V577" s="583"/>
      <c r="W577" s="583"/>
      <c r="X577" s="583"/>
      <c r="Y577" s="583"/>
      <c r="Z577" s="583"/>
      <c r="AA577" s="583"/>
      <c r="AB577" s="583"/>
      <c r="AC577" s="583"/>
      <c r="AD577" s="583"/>
      <c r="AE577" s="583"/>
      <c r="AF577" s="583"/>
    </row>
    <row r="578" ht="19.5" customHeight="1">
      <c r="A578" s="647"/>
      <c r="B578" s="647"/>
      <c r="C578" s="647"/>
      <c r="D578" s="649"/>
      <c r="E578" s="647"/>
      <c r="F578" s="649"/>
      <c r="G578" s="649"/>
      <c r="H578" s="647"/>
      <c r="I578" s="583"/>
      <c r="J578" s="583"/>
      <c r="K578" s="583"/>
      <c r="L578" s="583"/>
      <c r="M578" s="583"/>
      <c r="N578" s="583"/>
      <c r="O578" s="583"/>
      <c r="P578" s="583"/>
      <c r="Q578" s="583"/>
      <c r="R578" s="583"/>
      <c r="S578" s="583"/>
      <c r="T578" s="583"/>
      <c r="U578" s="583"/>
      <c r="V578" s="583"/>
      <c r="W578" s="583"/>
      <c r="X578" s="583"/>
      <c r="Y578" s="583"/>
      <c r="Z578" s="583"/>
      <c r="AA578" s="583"/>
      <c r="AB578" s="583"/>
      <c r="AC578" s="583"/>
      <c r="AD578" s="583"/>
      <c r="AE578" s="583"/>
      <c r="AF578" s="583"/>
    </row>
    <row r="579" ht="19.5" customHeight="1">
      <c r="A579" s="647"/>
      <c r="B579" s="647"/>
      <c r="C579" s="647"/>
      <c r="D579" s="649"/>
      <c r="E579" s="647"/>
      <c r="F579" s="649"/>
      <c r="G579" s="649"/>
      <c r="H579" s="647"/>
      <c r="I579" s="583"/>
      <c r="J579" s="583"/>
      <c r="K579" s="583"/>
      <c r="L579" s="583"/>
      <c r="M579" s="583"/>
      <c r="N579" s="583"/>
      <c r="O579" s="583"/>
      <c r="P579" s="583"/>
      <c r="Q579" s="583"/>
      <c r="R579" s="583"/>
      <c r="S579" s="583"/>
      <c r="T579" s="583"/>
      <c r="U579" s="583"/>
      <c r="V579" s="583"/>
      <c r="W579" s="583"/>
      <c r="X579" s="583"/>
      <c r="Y579" s="583"/>
      <c r="Z579" s="583"/>
      <c r="AA579" s="583"/>
      <c r="AB579" s="583"/>
      <c r="AC579" s="583"/>
      <c r="AD579" s="583"/>
      <c r="AE579" s="583"/>
      <c r="AF579" s="583"/>
    </row>
    <row r="580" ht="19.5" customHeight="1">
      <c r="A580" s="647"/>
      <c r="B580" s="647"/>
      <c r="C580" s="647"/>
      <c r="D580" s="649"/>
      <c r="E580" s="647"/>
      <c r="F580" s="649"/>
      <c r="G580" s="649"/>
      <c r="H580" s="647"/>
      <c r="I580" s="583"/>
      <c r="J580" s="583"/>
      <c r="K580" s="583"/>
      <c r="L580" s="583"/>
      <c r="M580" s="583"/>
      <c r="N580" s="583"/>
      <c r="O580" s="583"/>
      <c r="P580" s="583"/>
      <c r="Q580" s="583"/>
      <c r="R580" s="583"/>
      <c r="S580" s="583"/>
      <c r="T580" s="583"/>
      <c r="U580" s="583"/>
      <c r="V580" s="583"/>
      <c r="W580" s="583"/>
      <c r="X580" s="583"/>
      <c r="Y580" s="583"/>
      <c r="Z580" s="583"/>
      <c r="AA580" s="583"/>
      <c r="AB580" s="583"/>
      <c r="AC580" s="583"/>
      <c r="AD580" s="583"/>
      <c r="AE580" s="583"/>
      <c r="AF580" s="583"/>
    </row>
    <row r="581" ht="19.5" customHeight="1">
      <c r="A581" s="647"/>
      <c r="B581" s="647"/>
      <c r="C581" s="647"/>
      <c r="D581" s="649"/>
      <c r="E581" s="647"/>
      <c r="F581" s="649"/>
      <c r="G581" s="649"/>
      <c r="H581" s="647"/>
      <c r="I581" s="583"/>
      <c r="J581" s="583"/>
      <c r="K581" s="583"/>
      <c r="L581" s="583"/>
      <c r="M581" s="583"/>
      <c r="N581" s="583"/>
      <c r="O581" s="583"/>
      <c r="P581" s="583"/>
      <c r="Q581" s="583"/>
      <c r="R581" s="583"/>
      <c r="S581" s="583"/>
      <c r="T581" s="583"/>
      <c r="U581" s="583"/>
      <c r="V581" s="583"/>
      <c r="W581" s="583"/>
      <c r="X581" s="583"/>
      <c r="Y581" s="583"/>
      <c r="Z581" s="583"/>
      <c r="AA581" s="583"/>
      <c r="AB581" s="583"/>
      <c r="AC581" s="583"/>
      <c r="AD581" s="583"/>
      <c r="AE581" s="583"/>
      <c r="AF581" s="583"/>
    </row>
    <row r="582" ht="19.5" customHeight="1">
      <c r="A582" s="647"/>
      <c r="B582" s="647"/>
      <c r="C582" s="647"/>
      <c r="D582" s="649"/>
      <c r="E582" s="647"/>
      <c r="F582" s="649"/>
      <c r="G582" s="649"/>
      <c r="H582" s="647"/>
      <c r="I582" s="583"/>
      <c r="J582" s="583"/>
      <c r="K582" s="583"/>
      <c r="L582" s="583"/>
      <c r="M582" s="583"/>
      <c r="N582" s="583"/>
      <c r="O582" s="583"/>
      <c r="P582" s="583"/>
      <c r="Q582" s="583"/>
      <c r="R582" s="583"/>
      <c r="S582" s="583"/>
      <c r="T582" s="583"/>
      <c r="U582" s="583"/>
      <c r="V582" s="583"/>
      <c r="W582" s="583"/>
      <c r="X582" s="583"/>
      <c r="Y582" s="583"/>
      <c r="Z582" s="583"/>
      <c r="AA582" s="583"/>
      <c r="AB582" s="583"/>
      <c r="AC582" s="583"/>
      <c r="AD582" s="583"/>
      <c r="AE582" s="583"/>
      <c r="AF582" s="583"/>
    </row>
    <row r="583" ht="19.5" customHeight="1">
      <c r="A583" s="647"/>
      <c r="B583" s="647"/>
      <c r="C583" s="647"/>
      <c r="D583" s="649"/>
      <c r="E583" s="647"/>
      <c r="F583" s="649"/>
      <c r="G583" s="649"/>
      <c r="H583" s="647"/>
      <c r="I583" s="583"/>
      <c r="J583" s="583"/>
      <c r="K583" s="583"/>
      <c r="L583" s="583"/>
      <c r="M583" s="583"/>
      <c r="N583" s="583"/>
      <c r="O583" s="583"/>
      <c r="P583" s="583"/>
      <c r="Q583" s="583"/>
      <c r="R583" s="583"/>
      <c r="S583" s="583"/>
      <c r="T583" s="583"/>
      <c r="U583" s="583"/>
      <c r="V583" s="583"/>
      <c r="W583" s="583"/>
      <c r="X583" s="583"/>
      <c r="Y583" s="583"/>
      <c r="Z583" s="583"/>
      <c r="AA583" s="583"/>
      <c r="AB583" s="583"/>
      <c r="AC583" s="583"/>
      <c r="AD583" s="583"/>
      <c r="AE583" s="583"/>
      <c r="AF583" s="583"/>
    </row>
    <row r="584" ht="19.5" customHeight="1">
      <c r="A584" s="647"/>
      <c r="B584" s="647"/>
      <c r="C584" s="647"/>
      <c r="D584" s="649"/>
      <c r="E584" s="647"/>
      <c r="F584" s="649"/>
      <c r="G584" s="649"/>
      <c r="H584" s="647"/>
      <c r="I584" s="583"/>
      <c r="J584" s="583"/>
      <c r="K584" s="583"/>
      <c r="L584" s="583"/>
      <c r="M584" s="583"/>
      <c r="N584" s="583"/>
      <c r="O584" s="583"/>
      <c r="P584" s="583"/>
      <c r="Q584" s="583"/>
      <c r="R584" s="583"/>
      <c r="S584" s="583"/>
      <c r="T584" s="583"/>
      <c r="U584" s="583"/>
      <c r="V584" s="583"/>
      <c r="W584" s="583"/>
      <c r="X584" s="583"/>
      <c r="Y584" s="583"/>
      <c r="Z584" s="583"/>
      <c r="AA584" s="583"/>
      <c r="AB584" s="583"/>
      <c r="AC584" s="583"/>
      <c r="AD584" s="583"/>
      <c r="AE584" s="583"/>
      <c r="AF584" s="583"/>
    </row>
    <row r="585" ht="19.5" customHeight="1">
      <c r="A585" s="647"/>
      <c r="B585" s="647"/>
      <c r="C585" s="647"/>
      <c r="D585" s="649"/>
      <c r="E585" s="647"/>
      <c r="F585" s="649"/>
      <c r="G585" s="649"/>
      <c r="H585" s="647"/>
      <c r="I585" s="583"/>
      <c r="J585" s="583"/>
      <c r="K585" s="583"/>
      <c r="L585" s="583"/>
      <c r="M585" s="583"/>
      <c r="N585" s="583"/>
      <c r="O585" s="583"/>
      <c r="P585" s="583"/>
      <c r="Q585" s="583"/>
      <c r="R585" s="583"/>
      <c r="S585" s="583"/>
      <c r="T585" s="583"/>
      <c r="U585" s="583"/>
      <c r="V585" s="583"/>
      <c r="W585" s="583"/>
      <c r="X585" s="583"/>
      <c r="Y585" s="583"/>
      <c r="Z585" s="583"/>
      <c r="AA585" s="583"/>
      <c r="AB585" s="583"/>
      <c r="AC585" s="583"/>
      <c r="AD585" s="583"/>
      <c r="AE585" s="583"/>
      <c r="AF585" s="583"/>
    </row>
    <row r="586" ht="19.5" customHeight="1">
      <c r="A586" s="647"/>
      <c r="B586" s="647"/>
      <c r="C586" s="647"/>
      <c r="D586" s="649"/>
      <c r="E586" s="647"/>
      <c r="F586" s="649"/>
      <c r="G586" s="649"/>
      <c r="H586" s="647"/>
      <c r="I586" s="583"/>
      <c r="J586" s="583"/>
      <c r="K586" s="583"/>
      <c r="L586" s="583"/>
      <c r="M586" s="583"/>
      <c r="N586" s="583"/>
      <c r="O586" s="583"/>
      <c r="P586" s="583"/>
      <c r="Q586" s="583"/>
      <c r="R586" s="583"/>
      <c r="S586" s="583"/>
      <c r="T586" s="583"/>
      <c r="U586" s="583"/>
      <c r="V586" s="583"/>
      <c r="W586" s="583"/>
      <c r="X586" s="583"/>
      <c r="Y586" s="583"/>
      <c r="Z586" s="583"/>
      <c r="AA586" s="583"/>
      <c r="AB586" s="583"/>
      <c r="AC586" s="583"/>
      <c r="AD586" s="583"/>
      <c r="AE586" s="583"/>
      <c r="AF586" s="583"/>
    </row>
    <row r="587" ht="19.5" customHeight="1">
      <c r="A587" s="647"/>
      <c r="B587" s="647"/>
      <c r="C587" s="647"/>
      <c r="D587" s="649"/>
      <c r="E587" s="647"/>
      <c r="F587" s="649"/>
      <c r="G587" s="649"/>
      <c r="H587" s="647"/>
      <c r="I587" s="583"/>
      <c r="J587" s="583"/>
      <c r="K587" s="583"/>
      <c r="L587" s="583"/>
      <c r="M587" s="583"/>
      <c r="N587" s="583"/>
      <c r="O587" s="583"/>
      <c r="P587" s="583"/>
      <c r="Q587" s="583"/>
      <c r="R587" s="583"/>
      <c r="S587" s="583"/>
      <c r="T587" s="583"/>
      <c r="U587" s="583"/>
      <c r="V587" s="583"/>
      <c r="W587" s="583"/>
      <c r="X587" s="583"/>
      <c r="Y587" s="583"/>
      <c r="Z587" s="583"/>
      <c r="AA587" s="583"/>
      <c r="AB587" s="583"/>
      <c r="AC587" s="583"/>
      <c r="AD587" s="583"/>
      <c r="AE587" s="583"/>
      <c r="AF587" s="583"/>
    </row>
    <row r="588" ht="19.5" customHeight="1">
      <c r="A588" s="647"/>
      <c r="B588" s="647"/>
      <c r="C588" s="647"/>
      <c r="D588" s="649"/>
      <c r="E588" s="647"/>
      <c r="F588" s="649"/>
      <c r="G588" s="649"/>
      <c r="H588" s="647"/>
      <c r="I588" s="583"/>
      <c r="J588" s="583"/>
      <c r="K588" s="583"/>
      <c r="L588" s="583"/>
      <c r="M588" s="583"/>
      <c r="N588" s="583"/>
      <c r="O588" s="583"/>
      <c r="P588" s="583"/>
      <c r="Q588" s="583"/>
      <c r="R588" s="583"/>
      <c r="S588" s="583"/>
      <c r="T588" s="583"/>
      <c r="U588" s="583"/>
      <c r="V588" s="583"/>
      <c r="W588" s="583"/>
      <c r="X588" s="583"/>
      <c r="Y588" s="583"/>
      <c r="Z588" s="583"/>
      <c r="AA588" s="583"/>
      <c r="AB588" s="583"/>
      <c r="AC588" s="583"/>
      <c r="AD588" s="583"/>
      <c r="AE588" s="583"/>
      <c r="AF588" s="583"/>
    </row>
    <row r="589" ht="19.5" customHeight="1">
      <c r="A589" s="647"/>
      <c r="B589" s="647"/>
      <c r="C589" s="647"/>
      <c r="D589" s="649"/>
      <c r="E589" s="647"/>
      <c r="F589" s="649"/>
      <c r="G589" s="649"/>
      <c r="H589" s="647"/>
      <c r="I589" s="583"/>
      <c r="J589" s="583"/>
      <c r="K589" s="583"/>
      <c r="L589" s="583"/>
      <c r="M589" s="583"/>
      <c r="N589" s="583"/>
      <c r="O589" s="583"/>
      <c r="P589" s="583"/>
      <c r="Q589" s="583"/>
      <c r="R589" s="583"/>
      <c r="S589" s="583"/>
      <c r="T589" s="583"/>
      <c r="U589" s="583"/>
      <c r="V589" s="583"/>
      <c r="W589" s="583"/>
      <c r="X589" s="583"/>
      <c r="Y589" s="583"/>
      <c r="Z589" s="583"/>
      <c r="AA589" s="583"/>
      <c r="AB589" s="583"/>
      <c r="AC589" s="583"/>
      <c r="AD589" s="583"/>
      <c r="AE589" s="583"/>
      <c r="AF589" s="583"/>
    </row>
    <row r="590" ht="19.5" customHeight="1">
      <c r="A590" s="647"/>
      <c r="B590" s="647"/>
      <c r="C590" s="647"/>
      <c r="D590" s="649"/>
      <c r="E590" s="647"/>
      <c r="F590" s="649"/>
      <c r="G590" s="649"/>
      <c r="H590" s="647"/>
      <c r="I590" s="583"/>
      <c r="J590" s="583"/>
      <c r="K590" s="583"/>
      <c r="L590" s="583"/>
      <c r="M590" s="583"/>
      <c r="N590" s="583"/>
      <c r="O590" s="583"/>
      <c r="P590" s="583"/>
      <c r="Q590" s="583"/>
      <c r="R590" s="583"/>
      <c r="S590" s="583"/>
      <c r="T590" s="583"/>
      <c r="U590" s="583"/>
      <c r="V590" s="583"/>
      <c r="W590" s="583"/>
      <c r="X590" s="583"/>
      <c r="Y590" s="583"/>
      <c r="Z590" s="583"/>
      <c r="AA590" s="583"/>
      <c r="AB590" s="583"/>
      <c r="AC590" s="583"/>
      <c r="AD590" s="583"/>
      <c r="AE590" s="583"/>
      <c r="AF590" s="583"/>
    </row>
    <row r="591" ht="19.5" customHeight="1">
      <c r="A591" s="647"/>
      <c r="B591" s="647"/>
      <c r="C591" s="647"/>
      <c r="D591" s="649"/>
      <c r="E591" s="647"/>
      <c r="F591" s="649"/>
      <c r="G591" s="649"/>
      <c r="H591" s="647"/>
      <c r="I591" s="583"/>
      <c r="J591" s="583"/>
      <c r="K591" s="583"/>
      <c r="L591" s="583"/>
      <c r="M591" s="583"/>
      <c r="N591" s="583"/>
      <c r="O591" s="583"/>
      <c r="P591" s="583"/>
      <c r="Q591" s="583"/>
      <c r="R591" s="583"/>
      <c r="S591" s="583"/>
      <c r="T591" s="583"/>
      <c r="U591" s="583"/>
      <c r="V591" s="583"/>
      <c r="W591" s="583"/>
      <c r="X591" s="583"/>
      <c r="Y591" s="583"/>
      <c r="Z591" s="583"/>
      <c r="AA591" s="583"/>
      <c r="AB591" s="583"/>
      <c r="AC591" s="583"/>
      <c r="AD591" s="583"/>
      <c r="AE591" s="583"/>
      <c r="AF591" s="583"/>
    </row>
    <row r="592" ht="19.5" customHeight="1">
      <c r="A592" s="647"/>
      <c r="B592" s="647"/>
      <c r="C592" s="647"/>
      <c r="D592" s="649"/>
      <c r="E592" s="647"/>
      <c r="F592" s="649"/>
      <c r="G592" s="649"/>
      <c r="H592" s="647"/>
      <c r="I592" s="583"/>
      <c r="J592" s="583"/>
      <c r="K592" s="583"/>
      <c r="L592" s="583"/>
      <c r="M592" s="583"/>
      <c r="N592" s="583"/>
      <c r="O592" s="583"/>
      <c r="P592" s="583"/>
      <c r="Q592" s="583"/>
      <c r="R592" s="583"/>
      <c r="S592" s="583"/>
      <c r="T592" s="583"/>
      <c r="U592" s="583"/>
      <c r="V592" s="583"/>
      <c r="W592" s="583"/>
      <c r="X592" s="583"/>
      <c r="Y592" s="583"/>
      <c r="Z592" s="583"/>
      <c r="AA592" s="583"/>
      <c r="AB592" s="583"/>
      <c r="AC592" s="583"/>
      <c r="AD592" s="583"/>
      <c r="AE592" s="583"/>
      <c r="AF592" s="583"/>
    </row>
    <row r="593" ht="19.5" customHeight="1">
      <c r="A593" s="647"/>
      <c r="B593" s="647"/>
      <c r="C593" s="647"/>
      <c r="D593" s="649"/>
      <c r="E593" s="647"/>
      <c r="F593" s="649"/>
      <c r="G593" s="649"/>
      <c r="H593" s="647"/>
      <c r="I593" s="583"/>
      <c r="J593" s="583"/>
      <c r="K593" s="583"/>
      <c r="L593" s="583"/>
      <c r="M593" s="583"/>
      <c r="N593" s="583"/>
      <c r="O593" s="583"/>
      <c r="P593" s="583"/>
      <c r="Q593" s="583"/>
      <c r="R593" s="583"/>
      <c r="S593" s="583"/>
      <c r="T593" s="583"/>
      <c r="U593" s="583"/>
      <c r="V593" s="583"/>
      <c r="W593" s="583"/>
      <c r="X593" s="583"/>
      <c r="Y593" s="583"/>
      <c r="Z593" s="583"/>
      <c r="AA593" s="583"/>
      <c r="AB593" s="583"/>
      <c r="AC593" s="583"/>
      <c r="AD593" s="583"/>
      <c r="AE593" s="583"/>
      <c r="AF593" s="583"/>
    </row>
    <row r="594" ht="19.5" customHeight="1">
      <c r="A594" s="647"/>
      <c r="B594" s="647"/>
      <c r="C594" s="647"/>
      <c r="D594" s="649"/>
      <c r="E594" s="647"/>
      <c r="F594" s="649"/>
      <c r="G594" s="649"/>
      <c r="H594" s="647"/>
      <c r="I594" s="583"/>
      <c r="J594" s="583"/>
      <c r="K594" s="583"/>
      <c r="L594" s="583"/>
      <c r="M594" s="583"/>
      <c r="N594" s="583"/>
      <c r="O594" s="583"/>
      <c r="P594" s="583"/>
      <c r="Q594" s="583"/>
      <c r="R594" s="583"/>
      <c r="S594" s="583"/>
      <c r="T594" s="583"/>
      <c r="U594" s="583"/>
      <c r="V594" s="583"/>
      <c r="W594" s="583"/>
      <c r="X594" s="583"/>
      <c r="Y594" s="583"/>
      <c r="Z594" s="583"/>
      <c r="AA594" s="583"/>
      <c r="AB594" s="583"/>
      <c r="AC594" s="583"/>
      <c r="AD594" s="583"/>
      <c r="AE594" s="583"/>
      <c r="AF594" s="583"/>
    </row>
    <row r="595" ht="19.5" customHeight="1">
      <c r="A595" s="647"/>
      <c r="B595" s="647"/>
      <c r="C595" s="647"/>
      <c r="D595" s="649"/>
      <c r="E595" s="647"/>
      <c r="F595" s="649"/>
      <c r="G595" s="649"/>
      <c r="H595" s="647"/>
      <c r="I595" s="583"/>
      <c r="J595" s="583"/>
      <c r="K595" s="583"/>
      <c r="L595" s="583"/>
      <c r="M595" s="583"/>
      <c r="N595" s="583"/>
      <c r="O595" s="583"/>
      <c r="P595" s="583"/>
      <c r="Q595" s="583"/>
      <c r="R595" s="583"/>
      <c r="S595" s="583"/>
      <c r="T595" s="583"/>
      <c r="U595" s="583"/>
      <c r="V595" s="583"/>
      <c r="W595" s="583"/>
      <c r="X595" s="583"/>
      <c r="Y595" s="583"/>
      <c r="Z595" s="583"/>
      <c r="AA595" s="583"/>
      <c r="AB595" s="583"/>
      <c r="AC595" s="583"/>
      <c r="AD595" s="583"/>
      <c r="AE595" s="583"/>
      <c r="AF595" s="583"/>
    </row>
    <row r="596" ht="19.5" customHeight="1">
      <c r="A596" s="647"/>
      <c r="B596" s="647"/>
      <c r="C596" s="647"/>
      <c r="D596" s="649"/>
      <c r="E596" s="647"/>
      <c r="F596" s="649"/>
      <c r="G596" s="649"/>
      <c r="H596" s="647"/>
      <c r="I596" s="583"/>
      <c r="J596" s="583"/>
      <c r="K596" s="583"/>
      <c r="L596" s="583"/>
      <c r="M596" s="583"/>
      <c r="N596" s="583"/>
      <c r="O596" s="583"/>
      <c r="P596" s="583"/>
      <c r="Q596" s="583"/>
      <c r="R596" s="583"/>
      <c r="S596" s="583"/>
      <c r="T596" s="583"/>
      <c r="U596" s="583"/>
      <c r="V596" s="583"/>
      <c r="W596" s="583"/>
      <c r="X596" s="583"/>
      <c r="Y596" s="583"/>
      <c r="Z596" s="583"/>
      <c r="AA596" s="583"/>
      <c r="AB596" s="583"/>
      <c r="AC596" s="583"/>
      <c r="AD596" s="583"/>
      <c r="AE596" s="583"/>
      <c r="AF596" s="583"/>
    </row>
    <row r="597" ht="19.5" customHeight="1">
      <c r="A597" s="647"/>
      <c r="B597" s="647"/>
      <c r="C597" s="647"/>
      <c r="D597" s="649"/>
      <c r="E597" s="647"/>
      <c r="F597" s="649"/>
      <c r="G597" s="649"/>
      <c r="H597" s="647"/>
      <c r="I597" s="583"/>
      <c r="J597" s="583"/>
      <c r="K597" s="583"/>
      <c r="L597" s="583"/>
      <c r="M597" s="583"/>
      <c r="N597" s="583"/>
      <c r="O597" s="583"/>
      <c r="P597" s="583"/>
      <c r="Q597" s="583"/>
      <c r="R597" s="583"/>
      <c r="S597" s="583"/>
      <c r="T597" s="583"/>
      <c r="U597" s="583"/>
      <c r="V597" s="583"/>
      <c r="W597" s="583"/>
      <c r="X597" s="583"/>
      <c r="Y597" s="583"/>
      <c r="Z597" s="583"/>
      <c r="AA597" s="583"/>
      <c r="AB597" s="583"/>
      <c r="AC597" s="583"/>
      <c r="AD597" s="583"/>
      <c r="AE597" s="583"/>
      <c r="AF597" s="583"/>
    </row>
    <row r="598" ht="19.5" customHeight="1">
      <c r="A598" s="647"/>
      <c r="B598" s="647"/>
      <c r="C598" s="647"/>
      <c r="D598" s="649"/>
      <c r="E598" s="647"/>
      <c r="F598" s="649"/>
      <c r="G598" s="649"/>
      <c r="H598" s="647"/>
      <c r="I598" s="583"/>
      <c r="J598" s="583"/>
      <c r="K598" s="583"/>
      <c r="L598" s="583"/>
      <c r="M598" s="583"/>
      <c r="N598" s="583"/>
      <c r="O598" s="583"/>
      <c r="P598" s="583"/>
      <c r="Q598" s="583"/>
      <c r="R598" s="583"/>
      <c r="S598" s="583"/>
      <c r="T598" s="583"/>
      <c r="U598" s="583"/>
      <c r="V598" s="583"/>
      <c r="W598" s="583"/>
      <c r="X598" s="583"/>
      <c r="Y598" s="583"/>
      <c r="Z598" s="583"/>
      <c r="AA598" s="583"/>
      <c r="AB598" s="583"/>
      <c r="AC598" s="583"/>
      <c r="AD598" s="583"/>
      <c r="AE598" s="583"/>
      <c r="AF598" s="583"/>
    </row>
    <row r="599" ht="19.5" customHeight="1">
      <c r="A599" s="647"/>
      <c r="B599" s="647"/>
      <c r="C599" s="647"/>
      <c r="D599" s="649"/>
      <c r="E599" s="647"/>
      <c r="F599" s="649"/>
      <c r="G599" s="649"/>
      <c r="H599" s="647"/>
      <c r="I599" s="583"/>
      <c r="J599" s="583"/>
      <c r="K599" s="583"/>
      <c r="L599" s="583"/>
      <c r="M599" s="583"/>
      <c r="N599" s="583"/>
      <c r="O599" s="583"/>
      <c r="P599" s="583"/>
      <c r="Q599" s="583"/>
      <c r="R599" s="583"/>
      <c r="S599" s="583"/>
      <c r="T599" s="583"/>
      <c r="U599" s="583"/>
      <c r="V599" s="583"/>
      <c r="W599" s="583"/>
      <c r="X599" s="583"/>
      <c r="Y599" s="583"/>
      <c r="Z599" s="583"/>
      <c r="AA599" s="583"/>
      <c r="AB599" s="583"/>
      <c r="AC599" s="583"/>
      <c r="AD599" s="583"/>
      <c r="AE599" s="583"/>
      <c r="AF599" s="583"/>
    </row>
    <row r="600" ht="19.5" customHeight="1">
      <c r="A600" s="647"/>
      <c r="B600" s="647"/>
      <c r="C600" s="647"/>
      <c r="D600" s="649"/>
      <c r="E600" s="647"/>
      <c r="F600" s="649"/>
      <c r="G600" s="649"/>
      <c r="H600" s="647"/>
      <c r="I600" s="583"/>
      <c r="J600" s="583"/>
      <c r="K600" s="583"/>
      <c r="L600" s="583"/>
      <c r="M600" s="583"/>
      <c r="N600" s="583"/>
      <c r="O600" s="583"/>
      <c r="P600" s="583"/>
      <c r="Q600" s="583"/>
      <c r="R600" s="583"/>
      <c r="S600" s="583"/>
      <c r="T600" s="583"/>
      <c r="U600" s="583"/>
      <c r="V600" s="583"/>
      <c r="W600" s="583"/>
      <c r="X600" s="583"/>
      <c r="Y600" s="583"/>
      <c r="Z600" s="583"/>
      <c r="AA600" s="583"/>
      <c r="AB600" s="583"/>
      <c r="AC600" s="583"/>
      <c r="AD600" s="583"/>
      <c r="AE600" s="583"/>
      <c r="AF600" s="583"/>
    </row>
    <row r="601" ht="19.5" customHeight="1">
      <c r="A601" s="647"/>
      <c r="B601" s="647"/>
      <c r="C601" s="647"/>
      <c r="D601" s="649"/>
      <c r="E601" s="647"/>
      <c r="F601" s="649"/>
      <c r="G601" s="649"/>
      <c r="H601" s="647"/>
      <c r="I601" s="583"/>
      <c r="J601" s="583"/>
      <c r="K601" s="583"/>
      <c r="L601" s="583"/>
      <c r="M601" s="583"/>
      <c r="N601" s="583"/>
      <c r="O601" s="583"/>
      <c r="P601" s="583"/>
      <c r="Q601" s="583"/>
      <c r="R601" s="583"/>
      <c r="S601" s="583"/>
      <c r="T601" s="583"/>
      <c r="U601" s="583"/>
      <c r="V601" s="583"/>
      <c r="W601" s="583"/>
      <c r="X601" s="583"/>
      <c r="Y601" s="583"/>
      <c r="Z601" s="583"/>
      <c r="AA601" s="583"/>
      <c r="AB601" s="583"/>
      <c r="AC601" s="583"/>
      <c r="AD601" s="583"/>
      <c r="AE601" s="583"/>
      <c r="AF601" s="583"/>
    </row>
    <row r="602" ht="19.5" customHeight="1">
      <c r="A602" s="647"/>
      <c r="B602" s="647"/>
      <c r="C602" s="647"/>
      <c r="D602" s="649"/>
      <c r="E602" s="647"/>
      <c r="F602" s="649"/>
      <c r="G602" s="649"/>
      <c r="H602" s="647"/>
      <c r="I602" s="583"/>
      <c r="J602" s="583"/>
      <c r="K602" s="583"/>
      <c r="L602" s="583"/>
      <c r="M602" s="583"/>
      <c r="N602" s="583"/>
      <c r="O602" s="583"/>
      <c r="P602" s="583"/>
      <c r="Q602" s="583"/>
      <c r="R602" s="583"/>
      <c r="S602" s="583"/>
      <c r="T602" s="583"/>
      <c r="U602" s="583"/>
      <c r="V602" s="583"/>
      <c r="W602" s="583"/>
      <c r="X602" s="583"/>
      <c r="Y602" s="583"/>
      <c r="Z602" s="583"/>
      <c r="AA602" s="583"/>
      <c r="AB602" s="583"/>
      <c r="AC602" s="583"/>
      <c r="AD602" s="583"/>
      <c r="AE602" s="583"/>
      <c r="AF602" s="583"/>
    </row>
    <row r="603" ht="19.5" customHeight="1">
      <c r="A603" s="647"/>
      <c r="B603" s="647"/>
      <c r="C603" s="647"/>
      <c r="D603" s="649"/>
      <c r="E603" s="647"/>
      <c r="F603" s="649"/>
      <c r="G603" s="649"/>
      <c r="H603" s="647"/>
      <c r="I603" s="583"/>
      <c r="J603" s="583"/>
      <c r="K603" s="583"/>
      <c r="L603" s="583"/>
      <c r="M603" s="583"/>
      <c r="N603" s="583"/>
      <c r="O603" s="583"/>
      <c r="P603" s="583"/>
      <c r="Q603" s="583"/>
      <c r="R603" s="583"/>
      <c r="S603" s="583"/>
      <c r="T603" s="583"/>
      <c r="U603" s="583"/>
      <c r="V603" s="583"/>
      <c r="W603" s="583"/>
      <c r="X603" s="583"/>
      <c r="Y603" s="583"/>
      <c r="Z603" s="583"/>
      <c r="AA603" s="583"/>
      <c r="AB603" s="583"/>
      <c r="AC603" s="583"/>
      <c r="AD603" s="583"/>
      <c r="AE603" s="583"/>
      <c r="AF603" s="583"/>
    </row>
    <row r="604" ht="19.5" customHeight="1">
      <c r="A604" s="647"/>
      <c r="B604" s="647"/>
      <c r="C604" s="647"/>
      <c r="D604" s="649"/>
      <c r="E604" s="647"/>
      <c r="F604" s="649"/>
      <c r="G604" s="649"/>
      <c r="H604" s="647"/>
      <c r="I604" s="583"/>
      <c r="J604" s="583"/>
      <c r="K604" s="583"/>
      <c r="L604" s="583"/>
      <c r="M604" s="583"/>
      <c r="N604" s="583"/>
      <c r="O604" s="583"/>
      <c r="P604" s="583"/>
      <c r="Q604" s="583"/>
      <c r="R604" s="583"/>
      <c r="S604" s="583"/>
      <c r="T604" s="583"/>
      <c r="U604" s="583"/>
      <c r="V604" s="583"/>
      <c r="W604" s="583"/>
      <c r="X604" s="583"/>
      <c r="Y604" s="583"/>
      <c r="Z604" s="583"/>
      <c r="AA604" s="583"/>
      <c r="AB604" s="583"/>
      <c r="AC604" s="583"/>
      <c r="AD604" s="583"/>
      <c r="AE604" s="583"/>
      <c r="AF604" s="583"/>
    </row>
    <row r="605" ht="19.5" customHeight="1">
      <c r="A605" s="647"/>
      <c r="B605" s="647"/>
      <c r="C605" s="647"/>
      <c r="D605" s="649"/>
      <c r="E605" s="647"/>
      <c r="F605" s="649"/>
      <c r="G605" s="649"/>
      <c r="H605" s="647"/>
      <c r="I605" s="583"/>
      <c r="J605" s="583"/>
      <c r="K605" s="583"/>
      <c r="L605" s="583"/>
      <c r="M605" s="583"/>
      <c r="N605" s="583"/>
      <c r="O605" s="583"/>
      <c r="P605" s="583"/>
      <c r="Q605" s="583"/>
      <c r="R605" s="583"/>
      <c r="S605" s="583"/>
      <c r="T605" s="583"/>
      <c r="U605" s="583"/>
      <c r="V605" s="583"/>
      <c r="W605" s="583"/>
      <c r="X605" s="583"/>
      <c r="Y605" s="583"/>
      <c r="Z605" s="583"/>
      <c r="AA605" s="583"/>
      <c r="AB605" s="583"/>
      <c r="AC605" s="583"/>
      <c r="AD605" s="583"/>
      <c r="AE605" s="583"/>
      <c r="AF605" s="583"/>
    </row>
    <row r="606" ht="19.5" customHeight="1">
      <c r="A606" s="647"/>
      <c r="B606" s="647"/>
      <c r="C606" s="647"/>
      <c r="D606" s="649"/>
      <c r="E606" s="647"/>
      <c r="F606" s="649"/>
      <c r="G606" s="649"/>
      <c r="H606" s="647"/>
      <c r="I606" s="583"/>
      <c r="J606" s="583"/>
      <c r="K606" s="583"/>
      <c r="L606" s="583"/>
      <c r="M606" s="583"/>
      <c r="N606" s="583"/>
      <c r="O606" s="583"/>
      <c r="P606" s="583"/>
      <c r="Q606" s="583"/>
      <c r="R606" s="583"/>
      <c r="S606" s="583"/>
      <c r="T606" s="583"/>
      <c r="U606" s="583"/>
      <c r="V606" s="583"/>
      <c r="W606" s="583"/>
      <c r="X606" s="583"/>
      <c r="Y606" s="583"/>
      <c r="Z606" s="583"/>
      <c r="AA606" s="583"/>
      <c r="AB606" s="583"/>
      <c r="AC606" s="583"/>
      <c r="AD606" s="583"/>
      <c r="AE606" s="583"/>
      <c r="AF606" s="583"/>
    </row>
    <row r="607" ht="19.5" customHeight="1">
      <c r="A607" s="647"/>
      <c r="B607" s="647"/>
      <c r="C607" s="647"/>
      <c r="D607" s="649"/>
      <c r="E607" s="647"/>
      <c r="F607" s="649"/>
      <c r="G607" s="649"/>
      <c r="H607" s="647"/>
      <c r="I607" s="583"/>
      <c r="J607" s="583"/>
      <c r="K607" s="583"/>
      <c r="L607" s="583"/>
      <c r="M607" s="583"/>
      <c r="N607" s="583"/>
      <c r="O607" s="583"/>
      <c r="P607" s="583"/>
      <c r="Q607" s="583"/>
      <c r="R607" s="583"/>
      <c r="S607" s="583"/>
      <c r="T607" s="583"/>
      <c r="U607" s="583"/>
      <c r="V607" s="583"/>
      <c r="W607" s="583"/>
      <c r="X607" s="583"/>
      <c r="Y607" s="583"/>
      <c r="Z607" s="583"/>
      <c r="AA607" s="583"/>
      <c r="AB607" s="583"/>
      <c r="AC607" s="583"/>
      <c r="AD607" s="583"/>
      <c r="AE607" s="583"/>
      <c r="AF607" s="583"/>
    </row>
    <row r="608" ht="19.5" customHeight="1">
      <c r="A608" s="647"/>
      <c r="B608" s="647"/>
      <c r="C608" s="647"/>
      <c r="D608" s="649"/>
      <c r="E608" s="647"/>
      <c r="F608" s="649"/>
      <c r="G608" s="649"/>
      <c r="H608" s="647"/>
      <c r="I608" s="583"/>
      <c r="J608" s="583"/>
      <c r="K608" s="583"/>
      <c r="L608" s="583"/>
      <c r="M608" s="583"/>
      <c r="N608" s="583"/>
      <c r="O608" s="583"/>
      <c r="P608" s="583"/>
      <c r="Q608" s="583"/>
      <c r="R608" s="583"/>
      <c r="S608" s="583"/>
      <c r="T608" s="583"/>
      <c r="U608" s="583"/>
      <c r="V608" s="583"/>
      <c r="W608" s="583"/>
      <c r="X608" s="583"/>
      <c r="Y608" s="583"/>
      <c r="Z608" s="583"/>
      <c r="AA608" s="583"/>
      <c r="AB608" s="583"/>
      <c r="AC608" s="583"/>
      <c r="AD608" s="583"/>
      <c r="AE608" s="583"/>
      <c r="AF608" s="583"/>
    </row>
    <row r="609" ht="19.5" customHeight="1">
      <c r="A609" s="647"/>
      <c r="B609" s="647"/>
      <c r="C609" s="647"/>
      <c r="D609" s="649"/>
      <c r="E609" s="647"/>
      <c r="F609" s="649"/>
      <c r="G609" s="649"/>
      <c r="H609" s="647"/>
      <c r="I609" s="583"/>
      <c r="J609" s="583"/>
      <c r="K609" s="583"/>
      <c r="L609" s="583"/>
      <c r="M609" s="583"/>
      <c r="N609" s="583"/>
      <c r="O609" s="583"/>
      <c r="P609" s="583"/>
      <c r="Q609" s="583"/>
      <c r="R609" s="583"/>
      <c r="S609" s="583"/>
      <c r="T609" s="583"/>
      <c r="U609" s="583"/>
      <c r="V609" s="583"/>
      <c r="W609" s="583"/>
      <c r="X609" s="583"/>
      <c r="Y609" s="583"/>
      <c r="Z609" s="583"/>
      <c r="AA609" s="583"/>
      <c r="AB609" s="583"/>
      <c r="AC609" s="583"/>
      <c r="AD609" s="583"/>
      <c r="AE609" s="583"/>
      <c r="AF609" s="583"/>
    </row>
    <row r="610" ht="19.5" customHeight="1">
      <c r="A610" s="647"/>
      <c r="B610" s="647"/>
      <c r="C610" s="647"/>
      <c r="D610" s="649"/>
      <c r="E610" s="647"/>
      <c r="F610" s="649"/>
      <c r="G610" s="649"/>
      <c r="H610" s="647"/>
      <c r="I610" s="583"/>
      <c r="J610" s="583"/>
      <c r="K610" s="583"/>
      <c r="L610" s="583"/>
      <c r="M610" s="583"/>
      <c r="N610" s="583"/>
      <c r="O610" s="583"/>
      <c r="P610" s="583"/>
      <c r="Q610" s="583"/>
      <c r="R610" s="583"/>
      <c r="S610" s="583"/>
      <c r="T610" s="583"/>
      <c r="U610" s="583"/>
      <c r="V610" s="583"/>
      <c r="W610" s="583"/>
      <c r="X610" s="583"/>
      <c r="Y610" s="583"/>
      <c r="Z610" s="583"/>
      <c r="AA610" s="583"/>
      <c r="AB610" s="583"/>
      <c r="AC610" s="583"/>
      <c r="AD610" s="583"/>
      <c r="AE610" s="583"/>
      <c r="AF610" s="583"/>
    </row>
    <row r="611" ht="19.5" customHeight="1">
      <c r="A611" s="647"/>
      <c r="B611" s="647"/>
      <c r="C611" s="647"/>
      <c r="D611" s="649"/>
      <c r="E611" s="647"/>
      <c r="F611" s="649"/>
      <c r="G611" s="649"/>
      <c r="H611" s="647"/>
      <c r="I611" s="583"/>
      <c r="J611" s="583"/>
      <c r="K611" s="583"/>
      <c r="L611" s="583"/>
      <c r="M611" s="583"/>
      <c r="N611" s="583"/>
      <c r="O611" s="583"/>
      <c r="P611" s="583"/>
      <c r="Q611" s="583"/>
      <c r="R611" s="583"/>
      <c r="S611" s="583"/>
      <c r="T611" s="583"/>
      <c r="U611" s="583"/>
      <c r="V611" s="583"/>
      <c r="W611" s="583"/>
      <c r="X611" s="583"/>
      <c r="Y611" s="583"/>
      <c r="Z611" s="583"/>
      <c r="AA611" s="583"/>
      <c r="AB611" s="583"/>
      <c r="AC611" s="583"/>
      <c r="AD611" s="583"/>
      <c r="AE611" s="583"/>
      <c r="AF611" s="583"/>
    </row>
    <row r="612" ht="19.5" customHeight="1">
      <c r="A612" s="647"/>
      <c r="B612" s="647"/>
      <c r="C612" s="647"/>
      <c r="D612" s="649"/>
      <c r="E612" s="647"/>
      <c r="F612" s="649"/>
      <c r="G612" s="649"/>
      <c r="H612" s="647"/>
      <c r="I612" s="583"/>
      <c r="J612" s="583"/>
      <c r="K612" s="583"/>
      <c r="L612" s="583"/>
      <c r="M612" s="583"/>
      <c r="N612" s="583"/>
      <c r="O612" s="583"/>
      <c r="P612" s="583"/>
      <c r="Q612" s="583"/>
      <c r="R612" s="583"/>
      <c r="S612" s="583"/>
      <c r="T612" s="583"/>
      <c r="U612" s="583"/>
      <c r="V612" s="583"/>
      <c r="W612" s="583"/>
      <c r="X612" s="583"/>
      <c r="Y612" s="583"/>
      <c r="Z612" s="583"/>
      <c r="AA612" s="583"/>
      <c r="AB612" s="583"/>
      <c r="AC612" s="583"/>
      <c r="AD612" s="583"/>
      <c r="AE612" s="583"/>
      <c r="AF612" s="583"/>
    </row>
    <row r="613" ht="19.5" customHeight="1">
      <c r="A613" s="647"/>
      <c r="B613" s="647"/>
      <c r="C613" s="647"/>
      <c r="D613" s="649"/>
      <c r="E613" s="647"/>
      <c r="F613" s="649"/>
      <c r="G613" s="649"/>
      <c r="H613" s="647"/>
      <c r="I613" s="583"/>
      <c r="J613" s="583"/>
      <c r="K613" s="583"/>
      <c r="L613" s="583"/>
      <c r="M613" s="583"/>
      <c r="N613" s="583"/>
      <c r="O613" s="583"/>
      <c r="P613" s="583"/>
      <c r="Q613" s="583"/>
      <c r="R613" s="583"/>
      <c r="S613" s="583"/>
      <c r="T613" s="583"/>
      <c r="U613" s="583"/>
      <c r="V613" s="583"/>
      <c r="W613" s="583"/>
      <c r="X613" s="583"/>
      <c r="Y613" s="583"/>
      <c r="Z613" s="583"/>
      <c r="AA613" s="583"/>
      <c r="AB613" s="583"/>
      <c r="AC613" s="583"/>
      <c r="AD613" s="583"/>
      <c r="AE613" s="583"/>
      <c r="AF613" s="583"/>
    </row>
    <row r="614" ht="19.5" customHeight="1">
      <c r="A614" s="647"/>
      <c r="B614" s="647"/>
      <c r="C614" s="647"/>
      <c r="D614" s="649"/>
      <c r="E614" s="647"/>
      <c r="F614" s="649"/>
      <c r="G614" s="649"/>
      <c r="H614" s="647"/>
      <c r="I614" s="583"/>
      <c r="J614" s="583"/>
      <c r="K614" s="583"/>
      <c r="L614" s="583"/>
      <c r="M614" s="583"/>
      <c r="N614" s="583"/>
      <c r="O614" s="583"/>
      <c r="P614" s="583"/>
      <c r="Q614" s="583"/>
      <c r="R614" s="583"/>
      <c r="S614" s="583"/>
      <c r="T614" s="583"/>
      <c r="U614" s="583"/>
      <c r="V614" s="583"/>
      <c r="W614" s="583"/>
      <c r="X614" s="583"/>
      <c r="Y614" s="583"/>
      <c r="Z614" s="583"/>
      <c r="AA614" s="583"/>
      <c r="AB614" s="583"/>
      <c r="AC614" s="583"/>
      <c r="AD614" s="583"/>
      <c r="AE614" s="583"/>
      <c r="AF614" s="583"/>
    </row>
    <row r="615" ht="19.5" customHeight="1">
      <c r="A615" s="647"/>
      <c r="B615" s="647"/>
      <c r="C615" s="647"/>
      <c r="D615" s="649"/>
      <c r="E615" s="647"/>
      <c r="F615" s="649"/>
      <c r="G615" s="649"/>
      <c r="H615" s="647"/>
      <c r="I615" s="583"/>
      <c r="J615" s="583"/>
      <c r="K615" s="583"/>
      <c r="L615" s="583"/>
      <c r="M615" s="583"/>
      <c r="N615" s="583"/>
      <c r="O615" s="583"/>
      <c r="P615" s="583"/>
      <c r="Q615" s="583"/>
      <c r="R615" s="583"/>
      <c r="S615" s="583"/>
      <c r="T615" s="583"/>
      <c r="U615" s="583"/>
      <c r="V615" s="583"/>
      <c r="W615" s="583"/>
      <c r="X615" s="583"/>
      <c r="Y615" s="583"/>
      <c r="Z615" s="583"/>
      <c r="AA615" s="583"/>
      <c r="AB615" s="583"/>
      <c r="AC615" s="583"/>
      <c r="AD615" s="583"/>
      <c r="AE615" s="583"/>
      <c r="AF615" s="583"/>
    </row>
    <row r="616" ht="19.5" customHeight="1">
      <c r="A616" s="647"/>
      <c r="B616" s="647"/>
      <c r="C616" s="647"/>
      <c r="D616" s="649"/>
      <c r="E616" s="647"/>
      <c r="F616" s="649"/>
      <c r="G616" s="649"/>
      <c r="H616" s="647"/>
      <c r="I616" s="583"/>
      <c r="J616" s="583"/>
      <c r="K616" s="583"/>
      <c r="L616" s="583"/>
      <c r="M616" s="583"/>
      <c r="N616" s="583"/>
      <c r="O616" s="583"/>
      <c r="P616" s="583"/>
      <c r="Q616" s="583"/>
      <c r="R616" s="583"/>
      <c r="S616" s="583"/>
      <c r="T616" s="583"/>
      <c r="U616" s="583"/>
      <c r="V616" s="583"/>
      <c r="W616" s="583"/>
      <c r="X616" s="583"/>
      <c r="Y616" s="583"/>
      <c r="Z616" s="583"/>
      <c r="AA616" s="583"/>
      <c r="AB616" s="583"/>
      <c r="AC616" s="583"/>
      <c r="AD616" s="583"/>
      <c r="AE616" s="583"/>
      <c r="AF616" s="583"/>
    </row>
    <row r="617" ht="19.5" customHeight="1">
      <c r="A617" s="647"/>
      <c r="B617" s="647"/>
      <c r="C617" s="647"/>
      <c r="D617" s="649"/>
      <c r="E617" s="647"/>
      <c r="F617" s="649"/>
      <c r="G617" s="649"/>
      <c r="H617" s="647"/>
      <c r="I617" s="583"/>
      <c r="J617" s="583"/>
      <c r="K617" s="583"/>
      <c r="L617" s="583"/>
      <c r="M617" s="583"/>
      <c r="N617" s="583"/>
      <c r="O617" s="583"/>
      <c r="P617" s="583"/>
      <c r="Q617" s="583"/>
      <c r="R617" s="583"/>
      <c r="S617" s="583"/>
      <c r="T617" s="583"/>
      <c r="U617" s="583"/>
      <c r="V617" s="583"/>
      <c r="W617" s="583"/>
      <c r="X617" s="583"/>
      <c r="Y617" s="583"/>
      <c r="Z617" s="583"/>
      <c r="AA617" s="583"/>
      <c r="AB617" s="583"/>
      <c r="AC617" s="583"/>
      <c r="AD617" s="583"/>
      <c r="AE617" s="583"/>
      <c r="AF617" s="583"/>
    </row>
    <row r="618" ht="19.5" customHeight="1">
      <c r="A618" s="647"/>
      <c r="B618" s="647"/>
      <c r="C618" s="647"/>
      <c r="D618" s="649"/>
      <c r="E618" s="647"/>
      <c r="F618" s="649"/>
      <c r="G618" s="649"/>
      <c r="H618" s="647"/>
      <c r="I618" s="583"/>
      <c r="J618" s="583"/>
      <c r="K618" s="583"/>
      <c r="L618" s="583"/>
      <c r="M618" s="583"/>
      <c r="N618" s="583"/>
      <c r="O618" s="583"/>
      <c r="P618" s="583"/>
      <c r="Q618" s="583"/>
      <c r="R618" s="583"/>
      <c r="S618" s="583"/>
      <c r="T618" s="583"/>
      <c r="U618" s="583"/>
      <c r="V618" s="583"/>
      <c r="W618" s="583"/>
      <c r="X618" s="583"/>
      <c r="Y618" s="583"/>
      <c r="Z618" s="583"/>
      <c r="AA618" s="583"/>
      <c r="AB618" s="583"/>
      <c r="AC618" s="583"/>
      <c r="AD618" s="583"/>
      <c r="AE618" s="583"/>
      <c r="AF618" s="583"/>
    </row>
    <row r="619" ht="19.5" customHeight="1">
      <c r="A619" s="647"/>
      <c r="B619" s="647"/>
      <c r="C619" s="647"/>
      <c r="D619" s="649"/>
      <c r="E619" s="647"/>
      <c r="F619" s="649"/>
      <c r="G619" s="649"/>
      <c r="H619" s="647"/>
      <c r="I619" s="583"/>
      <c r="J619" s="583"/>
      <c r="K619" s="583"/>
      <c r="L619" s="583"/>
      <c r="M619" s="583"/>
      <c r="N619" s="583"/>
      <c r="O619" s="583"/>
      <c r="P619" s="583"/>
      <c r="Q619" s="583"/>
      <c r="R619" s="583"/>
      <c r="S619" s="583"/>
      <c r="T619" s="583"/>
      <c r="U619" s="583"/>
      <c r="V619" s="583"/>
      <c r="W619" s="583"/>
      <c r="X619" s="583"/>
      <c r="Y619" s="583"/>
      <c r="Z619" s="583"/>
      <c r="AA619" s="583"/>
      <c r="AB619" s="583"/>
      <c r="AC619" s="583"/>
      <c r="AD619" s="583"/>
      <c r="AE619" s="583"/>
      <c r="AF619" s="583"/>
    </row>
    <row r="620" ht="19.5" customHeight="1">
      <c r="A620" s="647"/>
      <c r="B620" s="647"/>
      <c r="C620" s="647"/>
      <c r="D620" s="649"/>
      <c r="E620" s="647"/>
      <c r="F620" s="649"/>
      <c r="G620" s="649"/>
      <c r="H620" s="647"/>
      <c r="I620" s="583"/>
      <c r="J620" s="583"/>
      <c r="K620" s="583"/>
      <c r="L620" s="583"/>
      <c r="M620" s="583"/>
      <c r="N620" s="583"/>
      <c r="O620" s="583"/>
      <c r="P620" s="583"/>
      <c r="Q620" s="583"/>
      <c r="R620" s="583"/>
      <c r="S620" s="583"/>
      <c r="T620" s="583"/>
      <c r="U620" s="583"/>
      <c r="V620" s="583"/>
      <c r="W620" s="583"/>
      <c r="X620" s="583"/>
      <c r="Y620" s="583"/>
      <c r="Z620" s="583"/>
      <c r="AA620" s="583"/>
      <c r="AB620" s="583"/>
      <c r="AC620" s="583"/>
      <c r="AD620" s="583"/>
      <c r="AE620" s="583"/>
      <c r="AF620" s="583"/>
    </row>
    <row r="621" ht="19.5" customHeight="1">
      <c r="A621" s="647"/>
      <c r="B621" s="647"/>
      <c r="C621" s="647"/>
      <c r="D621" s="649"/>
      <c r="E621" s="647"/>
      <c r="F621" s="649"/>
      <c r="G621" s="649"/>
      <c r="H621" s="647"/>
      <c r="I621" s="583"/>
      <c r="J621" s="583"/>
      <c r="K621" s="583"/>
      <c r="L621" s="583"/>
      <c r="M621" s="583"/>
      <c r="N621" s="583"/>
      <c r="O621" s="583"/>
      <c r="P621" s="583"/>
      <c r="Q621" s="583"/>
      <c r="R621" s="583"/>
      <c r="S621" s="583"/>
      <c r="T621" s="583"/>
      <c r="U621" s="583"/>
      <c r="V621" s="583"/>
      <c r="W621" s="583"/>
      <c r="X621" s="583"/>
      <c r="Y621" s="583"/>
      <c r="Z621" s="583"/>
      <c r="AA621" s="583"/>
      <c r="AB621" s="583"/>
      <c r="AC621" s="583"/>
      <c r="AD621" s="583"/>
      <c r="AE621" s="583"/>
      <c r="AF621" s="583"/>
    </row>
    <row r="622" ht="19.5" customHeight="1">
      <c r="A622" s="647"/>
      <c r="B622" s="647"/>
      <c r="C622" s="647"/>
      <c r="D622" s="649"/>
      <c r="E622" s="647"/>
      <c r="F622" s="649"/>
      <c r="G622" s="649"/>
      <c r="H622" s="647"/>
      <c r="I622" s="583"/>
      <c r="J622" s="583"/>
      <c r="K622" s="583"/>
      <c r="L622" s="583"/>
      <c r="M622" s="583"/>
      <c r="N622" s="583"/>
      <c r="O622" s="583"/>
      <c r="P622" s="583"/>
      <c r="Q622" s="583"/>
      <c r="R622" s="583"/>
      <c r="S622" s="583"/>
      <c r="T622" s="583"/>
      <c r="U622" s="583"/>
      <c r="V622" s="583"/>
      <c r="W622" s="583"/>
      <c r="X622" s="583"/>
      <c r="Y622" s="583"/>
      <c r="Z622" s="583"/>
      <c r="AA622" s="583"/>
      <c r="AB622" s="583"/>
      <c r="AC622" s="583"/>
      <c r="AD622" s="583"/>
      <c r="AE622" s="583"/>
      <c r="AF622" s="583"/>
    </row>
    <row r="623" ht="19.5" customHeight="1">
      <c r="A623" s="647"/>
      <c r="B623" s="647"/>
      <c r="C623" s="647"/>
      <c r="D623" s="649"/>
      <c r="E623" s="647"/>
      <c r="F623" s="649"/>
      <c r="G623" s="649"/>
      <c r="H623" s="647"/>
      <c r="I623" s="583"/>
      <c r="J623" s="583"/>
      <c r="K623" s="583"/>
      <c r="L623" s="583"/>
      <c r="M623" s="583"/>
      <c r="N623" s="583"/>
      <c r="O623" s="583"/>
      <c r="P623" s="583"/>
      <c r="Q623" s="583"/>
      <c r="R623" s="583"/>
      <c r="S623" s="583"/>
      <c r="T623" s="583"/>
      <c r="U623" s="583"/>
      <c r="V623" s="583"/>
      <c r="W623" s="583"/>
      <c r="X623" s="583"/>
      <c r="Y623" s="583"/>
      <c r="Z623" s="583"/>
      <c r="AA623" s="583"/>
      <c r="AB623" s="583"/>
      <c r="AC623" s="583"/>
      <c r="AD623" s="583"/>
      <c r="AE623" s="583"/>
      <c r="AF623" s="583"/>
    </row>
    <row r="624" ht="19.5" customHeight="1">
      <c r="A624" s="647"/>
      <c r="B624" s="647"/>
      <c r="C624" s="647"/>
      <c r="D624" s="649"/>
      <c r="E624" s="647"/>
      <c r="F624" s="649"/>
      <c r="G624" s="649"/>
      <c r="H624" s="647"/>
      <c r="I624" s="583"/>
      <c r="J624" s="583"/>
      <c r="K624" s="583"/>
      <c r="L624" s="583"/>
      <c r="M624" s="583"/>
      <c r="N624" s="583"/>
      <c r="O624" s="583"/>
      <c r="P624" s="583"/>
      <c r="Q624" s="583"/>
      <c r="R624" s="583"/>
      <c r="S624" s="583"/>
      <c r="T624" s="583"/>
      <c r="U624" s="583"/>
      <c r="V624" s="583"/>
      <c r="W624" s="583"/>
      <c r="X624" s="583"/>
      <c r="Y624" s="583"/>
      <c r="Z624" s="583"/>
      <c r="AA624" s="583"/>
      <c r="AB624" s="583"/>
      <c r="AC624" s="583"/>
      <c r="AD624" s="583"/>
      <c r="AE624" s="583"/>
      <c r="AF624" s="583"/>
    </row>
    <row r="625" ht="19.5" customHeight="1">
      <c r="A625" s="647"/>
      <c r="B625" s="647"/>
      <c r="C625" s="647"/>
      <c r="D625" s="649"/>
      <c r="E625" s="647"/>
      <c r="F625" s="649"/>
      <c r="G625" s="649"/>
      <c r="H625" s="647"/>
      <c r="I625" s="583"/>
      <c r="J625" s="583"/>
      <c r="K625" s="583"/>
      <c r="L625" s="583"/>
      <c r="M625" s="583"/>
      <c r="N625" s="583"/>
      <c r="O625" s="583"/>
      <c r="P625" s="583"/>
      <c r="Q625" s="583"/>
      <c r="R625" s="583"/>
      <c r="S625" s="583"/>
      <c r="T625" s="583"/>
      <c r="U625" s="583"/>
      <c r="V625" s="583"/>
      <c r="W625" s="583"/>
      <c r="X625" s="583"/>
      <c r="Y625" s="583"/>
      <c r="Z625" s="583"/>
      <c r="AA625" s="583"/>
      <c r="AB625" s="583"/>
      <c r="AC625" s="583"/>
      <c r="AD625" s="583"/>
      <c r="AE625" s="583"/>
      <c r="AF625" s="583"/>
    </row>
    <row r="626" ht="19.5" customHeight="1">
      <c r="A626" s="647"/>
      <c r="B626" s="647"/>
      <c r="C626" s="647"/>
      <c r="D626" s="649"/>
      <c r="E626" s="647"/>
      <c r="F626" s="649"/>
      <c r="G626" s="649"/>
      <c r="H626" s="647"/>
      <c r="I626" s="583"/>
      <c r="J626" s="583"/>
      <c r="K626" s="583"/>
      <c r="L626" s="583"/>
      <c r="M626" s="583"/>
      <c r="N626" s="583"/>
      <c r="O626" s="583"/>
      <c r="P626" s="583"/>
      <c r="Q626" s="583"/>
      <c r="R626" s="583"/>
      <c r="S626" s="583"/>
      <c r="T626" s="583"/>
      <c r="U626" s="583"/>
      <c r="V626" s="583"/>
      <c r="W626" s="583"/>
      <c r="X626" s="583"/>
      <c r="Y626" s="583"/>
      <c r="Z626" s="583"/>
      <c r="AA626" s="583"/>
      <c r="AB626" s="583"/>
      <c r="AC626" s="583"/>
      <c r="AD626" s="583"/>
      <c r="AE626" s="583"/>
      <c r="AF626" s="583"/>
    </row>
    <row r="627" ht="19.5" customHeight="1">
      <c r="A627" s="647"/>
      <c r="B627" s="647"/>
      <c r="C627" s="647"/>
      <c r="D627" s="649"/>
      <c r="E627" s="647"/>
      <c r="F627" s="649"/>
      <c r="G627" s="649"/>
      <c r="H627" s="647"/>
      <c r="I627" s="583"/>
      <c r="J627" s="583"/>
      <c r="K627" s="583"/>
      <c r="L627" s="583"/>
      <c r="M627" s="583"/>
      <c r="N627" s="583"/>
      <c r="O627" s="583"/>
      <c r="P627" s="583"/>
      <c r="Q627" s="583"/>
      <c r="R627" s="583"/>
      <c r="S627" s="583"/>
      <c r="T627" s="583"/>
      <c r="U627" s="583"/>
      <c r="V627" s="583"/>
      <c r="W627" s="583"/>
      <c r="X627" s="583"/>
      <c r="Y627" s="583"/>
      <c r="Z627" s="583"/>
      <c r="AA627" s="583"/>
      <c r="AB627" s="583"/>
      <c r="AC627" s="583"/>
      <c r="AD627" s="583"/>
      <c r="AE627" s="583"/>
      <c r="AF627" s="583"/>
    </row>
    <row r="628" ht="19.5" customHeight="1">
      <c r="A628" s="647"/>
      <c r="B628" s="647"/>
      <c r="C628" s="647"/>
      <c r="D628" s="649"/>
      <c r="E628" s="647"/>
      <c r="F628" s="649"/>
      <c r="G628" s="649"/>
      <c r="H628" s="647"/>
      <c r="I628" s="583"/>
      <c r="J628" s="583"/>
      <c r="K628" s="583"/>
      <c r="L628" s="583"/>
      <c r="M628" s="583"/>
      <c r="N628" s="583"/>
      <c r="O628" s="583"/>
      <c r="P628" s="583"/>
      <c r="Q628" s="583"/>
      <c r="R628" s="583"/>
      <c r="S628" s="583"/>
      <c r="T628" s="583"/>
      <c r="U628" s="583"/>
      <c r="V628" s="583"/>
      <c r="W628" s="583"/>
      <c r="X628" s="583"/>
      <c r="Y628" s="583"/>
      <c r="Z628" s="583"/>
      <c r="AA628" s="583"/>
      <c r="AB628" s="583"/>
      <c r="AC628" s="583"/>
      <c r="AD628" s="583"/>
      <c r="AE628" s="583"/>
      <c r="AF628" s="583"/>
    </row>
    <row r="629" ht="19.5" customHeight="1">
      <c r="A629" s="647"/>
      <c r="B629" s="647"/>
      <c r="C629" s="647"/>
      <c r="D629" s="649"/>
      <c r="E629" s="647"/>
      <c r="F629" s="649"/>
      <c r="G629" s="649"/>
      <c r="H629" s="647"/>
      <c r="I629" s="583"/>
      <c r="J629" s="583"/>
      <c r="K629" s="583"/>
      <c r="L629" s="583"/>
      <c r="M629" s="583"/>
      <c r="N629" s="583"/>
      <c r="O629" s="583"/>
      <c r="P629" s="583"/>
      <c r="Q629" s="583"/>
      <c r="R629" s="583"/>
      <c r="S629" s="583"/>
      <c r="T629" s="583"/>
      <c r="U629" s="583"/>
      <c r="V629" s="583"/>
      <c r="W629" s="583"/>
      <c r="X629" s="583"/>
      <c r="Y629" s="583"/>
      <c r="Z629" s="583"/>
      <c r="AA629" s="583"/>
      <c r="AB629" s="583"/>
      <c r="AC629" s="583"/>
      <c r="AD629" s="583"/>
      <c r="AE629" s="583"/>
      <c r="AF629" s="583"/>
    </row>
    <row r="630" ht="19.5" customHeight="1">
      <c r="A630" s="647"/>
      <c r="B630" s="647"/>
      <c r="C630" s="647"/>
      <c r="D630" s="649"/>
      <c r="E630" s="647"/>
      <c r="F630" s="649"/>
      <c r="G630" s="649"/>
      <c r="H630" s="647"/>
      <c r="I630" s="583"/>
      <c r="J630" s="583"/>
      <c r="K630" s="583"/>
      <c r="L630" s="583"/>
      <c r="M630" s="583"/>
      <c r="N630" s="583"/>
      <c r="O630" s="583"/>
      <c r="P630" s="583"/>
      <c r="Q630" s="583"/>
      <c r="R630" s="583"/>
      <c r="S630" s="583"/>
      <c r="T630" s="583"/>
      <c r="U630" s="583"/>
      <c r="V630" s="583"/>
      <c r="W630" s="583"/>
      <c r="X630" s="583"/>
      <c r="Y630" s="583"/>
      <c r="Z630" s="583"/>
      <c r="AA630" s="583"/>
      <c r="AB630" s="583"/>
      <c r="AC630" s="583"/>
      <c r="AD630" s="583"/>
      <c r="AE630" s="583"/>
      <c r="AF630" s="583"/>
    </row>
    <row r="631" ht="19.5" customHeight="1">
      <c r="A631" s="647"/>
      <c r="B631" s="647"/>
      <c r="C631" s="647"/>
      <c r="D631" s="649"/>
      <c r="E631" s="647"/>
      <c r="F631" s="649"/>
      <c r="G631" s="649"/>
      <c r="H631" s="647"/>
      <c r="I631" s="583"/>
      <c r="J631" s="583"/>
      <c r="K631" s="583"/>
      <c r="L631" s="583"/>
      <c r="M631" s="583"/>
      <c r="N631" s="583"/>
      <c r="O631" s="583"/>
      <c r="P631" s="583"/>
      <c r="Q631" s="583"/>
      <c r="R631" s="583"/>
      <c r="S631" s="583"/>
      <c r="T631" s="583"/>
      <c r="U631" s="583"/>
      <c r="V631" s="583"/>
      <c r="W631" s="583"/>
      <c r="X631" s="583"/>
      <c r="Y631" s="583"/>
      <c r="Z631" s="583"/>
      <c r="AA631" s="583"/>
      <c r="AB631" s="583"/>
      <c r="AC631" s="583"/>
      <c r="AD631" s="583"/>
      <c r="AE631" s="583"/>
      <c r="AF631" s="583"/>
    </row>
    <row r="632" ht="19.5" customHeight="1">
      <c r="A632" s="647"/>
      <c r="B632" s="647"/>
      <c r="C632" s="647"/>
      <c r="D632" s="649"/>
      <c r="E632" s="647"/>
      <c r="F632" s="649"/>
      <c r="G632" s="649"/>
      <c r="H632" s="647"/>
      <c r="I632" s="583"/>
      <c r="J632" s="583"/>
      <c r="K632" s="583"/>
      <c r="L632" s="583"/>
      <c r="M632" s="583"/>
      <c r="N632" s="583"/>
      <c r="O632" s="583"/>
      <c r="P632" s="583"/>
      <c r="Q632" s="583"/>
      <c r="R632" s="583"/>
      <c r="S632" s="583"/>
      <c r="T632" s="583"/>
      <c r="U632" s="583"/>
      <c r="V632" s="583"/>
      <c r="W632" s="583"/>
      <c r="X632" s="583"/>
      <c r="Y632" s="583"/>
      <c r="Z632" s="583"/>
      <c r="AA632" s="583"/>
      <c r="AB632" s="583"/>
      <c r="AC632" s="583"/>
      <c r="AD632" s="583"/>
      <c r="AE632" s="583"/>
      <c r="AF632" s="583"/>
    </row>
    <row r="633" ht="19.5" customHeight="1">
      <c r="A633" s="647"/>
      <c r="B633" s="647"/>
      <c r="C633" s="647"/>
      <c r="D633" s="649"/>
      <c r="E633" s="647"/>
      <c r="F633" s="649"/>
      <c r="G633" s="649"/>
      <c r="H633" s="647"/>
      <c r="I633" s="583"/>
      <c r="J633" s="583"/>
      <c r="K633" s="583"/>
      <c r="L633" s="583"/>
      <c r="M633" s="583"/>
      <c r="N633" s="583"/>
      <c r="O633" s="583"/>
      <c r="P633" s="583"/>
      <c r="Q633" s="583"/>
      <c r="R633" s="583"/>
      <c r="S633" s="583"/>
      <c r="T633" s="583"/>
      <c r="U633" s="583"/>
      <c r="V633" s="583"/>
      <c r="W633" s="583"/>
      <c r="X633" s="583"/>
      <c r="Y633" s="583"/>
      <c r="Z633" s="583"/>
      <c r="AA633" s="583"/>
      <c r="AB633" s="583"/>
      <c r="AC633" s="583"/>
      <c r="AD633" s="583"/>
      <c r="AE633" s="583"/>
      <c r="AF633" s="583"/>
    </row>
    <row r="634" ht="19.5" customHeight="1">
      <c r="A634" s="647"/>
      <c r="B634" s="647"/>
      <c r="C634" s="647"/>
      <c r="D634" s="649"/>
      <c r="E634" s="647"/>
      <c r="F634" s="649"/>
      <c r="G634" s="649"/>
      <c r="H634" s="647"/>
      <c r="I634" s="583"/>
      <c r="J634" s="583"/>
      <c r="K634" s="583"/>
      <c r="L634" s="583"/>
      <c r="M634" s="583"/>
      <c r="N634" s="583"/>
      <c r="O634" s="583"/>
      <c r="P634" s="583"/>
      <c r="Q634" s="583"/>
      <c r="R634" s="583"/>
      <c r="S634" s="583"/>
      <c r="T634" s="583"/>
      <c r="U634" s="583"/>
      <c r="V634" s="583"/>
      <c r="W634" s="583"/>
      <c r="X634" s="583"/>
      <c r="Y634" s="583"/>
      <c r="Z634" s="583"/>
      <c r="AA634" s="583"/>
      <c r="AB634" s="583"/>
      <c r="AC634" s="583"/>
      <c r="AD634" s="583"/>
      <c r="AE634" s="583"/>
      <c r="AF634" s="583"/>
    </row>
    <row r="635" ht="19.5" customHeight="1">
      <c r="A635" s="647"/>
      <c r="B635" s="647"/>
      <c r="C635" s="647"/>
      <c r="D635" s="649"/>
      <c r="E635" s="647"/>
      <c r="F635" s="649"/>
      <c r="G635" s="649"/>
      <c r="H635" s="647"/>
      <c r="I635" s="583"/>
      <c r="J635" s="583"/>
      <c r="K635" s="583"/>
      <c r="L635" s="583"/>
      <c r="M635" s="583"/>
      <c r="N635" s="583"/>
      <c r="O635" s="583"/>
      <c r="P635" s="583"/>
      <c r="Q635" s="583"/>
      <c r="R635" s="583"/>
      <c r="S635" s="583"/>
      <c r="T635" s="583"/>
      <c r="U635" s="583"/>
      <c r="V635" s="583"/>
      <c r="W635" s="583"/>
      <c r="X635" s="583"/>
      <c r="Y635" s="583"/>
      <c r="Z635" s="583"/>
      <c r="AA635" s="583"/>
      <c r="AB635" s="583"/>
      <c r="AC635" s="583"/>
      <c r="AD635" s="583"/>
      <c r="AE635" s="583"/>
      <c r="AF635" s="583"/>
    </row>
    <row r="636" ht="19.5" customHeight="1">
      <c r="A636" s="647"/>
      <c r="B636" s="647"/>
      <c r="C636" s="647"/>
      <c r="D636" s="649"/>
      <c r="E636" s="647"/>
      <c r="F636" s="649"/>
      <c r="G636" s="649"/>
      <c r="H636" s="647"/>
      <c r="I636" s="583"/>
      <c r="J636" s="583"/>
      <c r="K636" s="583"/>
      <c r="L636" s="583"/>
      <c r="M636" s="583"/>
      <c r="N636" s="583"/>
      <c r="O636" s="583"/>
      <c r="P636" s="583"/>
      <c r="Q636" s="583"/>
      <c r="R636" s="583"/>
      <c r="S636" s="583"/>
      <c r="T636" s="583"/>
      <c r="U636" s="583"/>
      <c r="V636" s="583"/>
      <c r="W636" s="583"/>
      <c r="X636" s="583"/>
      <c r="Y636" s="583"/>
      <c r="Z636" s="583"/>
      <c r="AA636" s="583"/>
      <c r="AB636" s="583"/>
      <c r="AC636" s="583"/>
      <c r="AD636" s="583"/>
      <c r="AE636" s="583"/>
      <c r="AF636" s="583"/>
    </row>
    <row r="637" ht="19.5" customHeight="1">
      <c r="A637" s="647"/>
      <c r="B637" s="647"/>
      <c r="C637" s="647"/>
      <c r="D637" s="649"/>
      <c r="E637" s="647"/>
      <c r="F637" s="649"/>
      <c r="G637" s="649"/>
      <c r="H637" s="647"/>
      <c r="I637" s="583"/>
      <c r="J637" s="583"/>
      <c r="K637" s="583"/>
      <c r="L637" s="583"/>
      <c r="M637" s="583"/>
      <c r="N637" s="583"/>
      <c r="O637" s="583"/>
      <c r="P637" s="583"/>
      <c r="Q637" s="583"/>
      <c r="R637" s="583"/>
      <c r="S637" s="583"/>
      <c r="T637" s="583"/>
      <c r="U637" s="583"/>
      <c r="V637" s="583"/>
      <c r="W637" s="583"/>
      <c r="X637" s="583"/>
      <c r="Y637" s="583"/>
      <c r="Z637" s="583"/>
      <c r="AA637" s="583"/>
      <c r="AB637" s="583"/>
      <c r="AC637" s="583"/>
      <c r="AD637" s="583"/>
      <c r="AE637" s="583"/>
      <c r="AF637" s="583"/>
    </row>
    <row r="638" ht="19.5" customHeight="1">
      <c r="A638" s="647"/>
      <c r="B638" s="647"/>
      <c r="C638" s="647"/>
      <c r="D638" s="649"/>
      <c r="E638" s="647"/>
      <c r="F638" s="649"/>
      <c r="G638" s="649"/>
      <c r="H638" s="647"/>
      <c r="I638" s="583"/>
      <c r="J638" s="583"/>
      <c r="K638" s="583"/>
      <c r="L638" s="583"/>
      <c r="M638" s="583"/>
      <c r="N638" s="583"/>
      <c r="O638" s="583"/>
      <c r="P638" s="583"/>
      <c r="Q638" s="583"/>
      <c r="R638" s="583"/>
      <c r="S638" s="583"/>
      <c r="T638" s="583"/>
      <c r="U638" s="583"/>
      <c r="V638" s="583"/>
      <c r="W638" s="583"/>
      <c r="X638" s="583"/>
      <c r="Y638" s="583"/>
      <c r="Z638" s="583"/>
      <c r="AA638" s="583"/>
      <c r="AB638" s="583"/>
      <c r="AC638" s="583"/>
      <c r="AD638" s="583"/>
      <c r="AE638" s="583"/>
      <c r="AF638" s="583"/>
    </row>
    <row r="639" ht="19.5" customHeight="1">
      <c r="A639" s="647"/>
      <c r="B639" s="647"/>
      <c r="C639" s="647"/>
      <c r="D639" s="649"/>
      <c r="E639" s="647"/>
      <c r="F639" s="649"/>
      <c r="G639" s="649"/>
      <c r="H639" s="647"/>
      <c r="I639" s="583"/>
      <c r="J639" s="583"/>
      <c r="K639" s="583"/>
      <c r="L639" s="583"/>
      <c r="M639" s="583"/>
      <c r="N639" s="583"/>
      <c r="O639" s="583"/>
      <c r="P639" s="583"/>
      <c r="Q639" s="583"/>
      <c r="R639" s="583"/>
      <c r="S639" s="583"/>
      <c r="T639" s="583"/>
      <c r="U639" s="583"/>
      <c r="V639" s="583"/>
      <c r="W639" s="583"/>
      <c r="X639" s="583"/>
      <c r="Y639" s="583"/>
      <c r="Z639" s="583"/>
      <c r="AA639" s="583"/>
      <c r="AB639" s="583"/>
      <c r="AC639" s="583"/>
      <c r="AD639" s="583"/>
      <c r="AE639" s="583"/>
      <c r="AF639" s="583"/>
    </row>
    <row r="640" ht="19.5" customHeight="1">
      <c r="A640" s="647"/>
      <c r="B640" s="647"/>
      <c r="C640" s="647"/>
      <c r="D640" s="649"/>
      <c r="E640" s="647"/>
      <c r="F640" s="649"/>
      <c r="G640" s="649"/>
      <c r="H640" s="647"/>
      <c r="I640" s="583"/>
      <c r="J640" s="583"/>
      <c r="K640" s="583"/>
      <c r="L640" s="583"/>
      <c r="M640" s="583"/>
      <c r="N640" s="583"/>
      <c r="O640" s="583"/>
      <c r="P640" s="583"/>
      <c r="Q640" s="583"/>
      <c r="R640" s="583"/>
      <c r="S640" s="583"/>
      <c r="T640" s="583"/>
      <c r="U640" s="583"/>
      <c r="V640" s="583"/>
      <c r="W640" s="583"/>
      <c r="X640" s="583"/>
      <c r="Y640" s="583"/>
      <c r="Z640" s="583"/>
      <c r="AA640" s="583"/>
      <c r="AB640" s="583"/>
      <c r="AC640" s="583"/>
      <c r="AD640" s="583"/>
      <c r="AE640" s="583"/>
      <c r="AF640" s="583"/>
    </row>
    <row r="641" ht="19.5" customHeight="1">
      <c r="A641" s="647"/>
      <c r="B641" s="647"/>
      <c r="C641" s="647"/>
      <c r="D641" s="649"/>
      <c r="E641" s="647"/>
      <c r="F641" s="649"/>
      <c r="G641" s="649"/>
      <c r="H641" s="647"/>
      <c r="I641" s="583"/>
      <c r="J641" s="583"/>
      <c r="K641" s="583"/>
      <c r="L641" s="583"/>
      <c r="M641" s="583"/>
      <c r="N641" s="583"/>
      <c r="O641" s="583"/>
      <c r="P641" s="583"/>
      <c r="Q641" s="583"/>
      <c r="R641" s="583"/>
      <c r="S641" s="583"/>
      <c r="T641" s="583"/>
      <c r="U641" s="583"/>
      <c r="V641" s="583"/>
      <c r="W641" s="583"/>
      <c r="X641" s="583"/>
      <c r="Y641" s="583"/>
      <c r="Z641" s="583"/>
      <c r="AA641" s="583"/>
      <c r="AB641" s="583"/>
      <c r="AC641" s="583"/>
      <c r="AD641" s="583"/>
      <c r="AE641" s="583"/>
      <c r="AF641" s="583"/>
    </row>
    <row r="642" ht="19.5" customHeight="1">
      <c r="A642" s="647"/>
      <c r="B642" s="647"/>
      <c r="C642" s="647"/>
      <c r="D642" s="649"/>
      <c r="E642" s="647"/>
      <c r="F642" s="649"/>
      <c r="G642" s="649"/>
      <c r="H642" s="647"/>
      <c r="I642" s="583"/>
      <c r="J642" s="583"/>
      <c r="K642" s="583"/>
      <c r="L642" s="583"/>
      <c r="M642" s="583"/>
      <c r="N642" s="583"/>
      <c r="O642" s="583"/>
      <c r="P642" s="583"/>
      <c r="Q642" s="583"/>
      <c r="R642" s="583"/>
      <c r="S642" s="583"/>
      <c r="T642" s="583"/>
      <c r="U642" s="583"/>
      <c r="V642" s="583"/>
      <c r="W642" s="583"/>
      <c r="X642" s="583"/>
      <c r="Y642" s="583"/>
      <c r="Z642" s="583"/>
      <c r="AA642" s="583"/>
      <c r="AB642" s="583"/>
      <c r="AC642" s="583"/>
      <c r="AD642" s="583"/>
      <c r="AE642" s="583"/>
      <c r="AF642" s="583"/>
    </row>
    <row r="643" ht="19.5" customHeight="1">
      <c r="A643" s="647"/>
      <c r="B643" s="647"/>
      <c r="C643" s="647"/>
      <c r="D643" s="649"/>
      <c r="E643" s="647"/>
      <c r="F643" s="649"/>
      <c r="G643" s="649"/>
      <c r="H643" s="647"/>
      <c r="I643" s="583"/>
      <c r="J643" s="583"/>
      <c r="K643" s="583"/>
      <c r="L643" s="583"/>
      <c r="M643" s="583"/>
      <c r="N643" s="583"/>
      <c r="O643" s="583"/>
      <c r="P643" s="583"/>
      <c r="Q643" s="583"/>
      <c r="R643" s="583"/>
      <c r="S643" s="583"/>
      <c r="T643" s="583"/>
      <c r="U643" s="583"/>
      <c r="V643" s="583"/>
      <c r="W643" s="583"/>
      <c r="X643" s="583"/>
      <c r="Y643" s="583"/>
      <c r="Z643" s="583"/>
      <c r="AA643" s="583"/>
      <c r="AB643" s="583"/>
      <c r="AC643" s="583"/>
      <c r="AD643" s="583"/>
      <c r="AE643" s="583"/>
      <c r="AF643" s="583"/>
    </row>
    <row r="644" ht="19.5" customHeight="1">
      <c r="A644" s="647"/>
      <c r="B644" s="647"/>
      <c r="C644" s="647"/>
      <c r="D644" s="649"/>
      <c r="E644" s="647"/>
      <c r="F644" s="649"/>
      <c r="G644" s="649"/>
      <c r="H644" s="647"/>
      <c r="I644" s="583"/>
      <c r="J644" s="583"/>
      <c r="K644" s="583"/>
      <c r="L644" s="583"/>
      <c r="M644" s="583"/>
      <c r="N644" s="583"/>
      <c r="O644" s="583"/>
      <c r="P644" s="583"/>
      <c r="Q644" s="583"/>
      <c r="R644" s="583"/>
      <c r="S644" s="583"/>
      <c r="T644" s="583"/>
      <c r="U644" s="583"/>
      <c r="V644" s="583"/>
      <c r="W644" s="583"/>
      <c r="X644" s="583"/>
      <c r="Y644" s="583"/>
      <c r="Z644" s="583"/>
      <c r="AA644" s="583"/>
      <c r="AB644" s="583"/>
      <c r="AC644" s="583"/>
      <c r="AD644" s="583"/>
      <c r="AE644" s="583"/>
      <c r="AF644" s="583"/>
    </row>
    <row r="645" ht="19.5" customHeight="1">
      <c r="A645" s="647"/>
      <c r="B645" s="647"/>
      <c r="C645" s="647"/>
      <c r="D645" s="649"/>
      <c r="E645" s="647"/>
      <c r="F645" s="649"/>
      <c r="G645" s="649"/>
      <c r="H645" s="647"/>
      <c r="I645" s="583"/>
      <c r="J645" s="583"/>
      <c r="K645" s="583"/>
      <c r="L645" s="583"/>
      <c r="M645" s="583"/>
      <c r="N645" s="583"/>
      <c r="O645" s="583"/>
      <c r="P645" s="583"/>
      <c r="Q645" s="583"/>
      <c r="R645" s="583"/>
      <c r="S645" s="583"/>
      <c r="T645" s="583"/>
      <c r="U645" s="583"/>
      <c r="V645" s="583"/>
      <c r="W645" s="583"/>
      <c r="X645" s="583"/>
      <c r="Y645" s="583"/>
      <c r="Z645" s="583"/>
      <c r="AA645" s="583"/>
      <c r="AB645" s="583"/>
      <c r="AC645" s="583"/>
      <c r="AD645" s="583"/>
      <c r="AE645" s="583"/>
      <c r="AF645" s="583"/>
    </row>
    <row r="646" ht="19.5" customHeight="1">
      <c r="A646" s="647"/>
      <c r="B646" s="647"/>
      <c r="C646" s="647"/>
      <c r="D646" s="649"/>
      <c r="E646" s="647"/>
      <c r="F646" s="649"/>
      <c r="G646" s="649"/>
      <c r="H646" s="647"/>
      <c r="I646" s="583"/>
      <c r="J646" s="583"/>
      <c r="K646" s="583"/>
      <c r="L646" s="583"/>
      <c r="M646" s="583"/>
      <c r="N646" s="583"/>
      <c r="O646" s="583"/>
      <c r="P646" s="583"/>
      <c r="Q646" s="583"/>
      <c r="R646" s="583"/>
      <c r="S646" s="583"/>
      <c r="T646" s="583"/>
      <c r="U646" s="583"/>
      <c r="V646" s="583"/>
      <c r="W646" s="583"/>
      <c r="X646" s="583"/>
      <c r="Y646" s="583"/>
      <c r="Z646" s="583"/>
      <c r="AA646" s="583"/>
      <c r="AB646" s="583"/>
      <c r="AC646" s="583"/>
      <c r="AD646" s="583"/>
      <c r="AE646" s="583"/>
      <c r="AF646" s="583"/>
    </row>
    <row r="647" ht="19.5" customHeight="1">
      <c r="A647" s="647"/>
      <c r="B647" s="647"/>
      <c r="C647" s="647"/>
      <c r="D647" s="649"/>
      <c r="E647" s="647"/>
      <c r="F647" s="649"/>
      <c r="G647" s="649"/>
      <c r="H647" s="647"/>
      <c r="I647" s="583"/>
      <c r="J647" s="583"/>
      <c r="K647" s="583"/>
      <c r="L647" s="583"/>
      <c r="M647" s="583"/>
      <c r="N647" s="583"/>
      <c r="O647" s="583"/>
      <c r="P647" s="583"/>
      <c r="Q647" s="583"/>
      <c r="R647" s="583"/>
      <c r="S647" s="583"/>
      <c r="T647" s="583"/>
      <c r="U647" s="583"/>
      <c r="V647" s="583"/>
      <c r="W647" s="583"/>
      <c r="X647" s="583"/>
      <c r="Y647" s="583"/>
      <c r="Z647" s="583"/>
      <c r="AA647" s="583"/>
      <c r="AB647" s="583"/>
      <c r="AC647" s="583"/>
      <c r="AD647" s="583"/>
      <c r="AE647" s="583"/>
      <c r="AF647" s="583"/>
    </row>
    <row r="648" ht="19.5" customHeight="1">
      <c r="A648" s="647"/>
      <c r="B648" s="647"/>
      <c r="C648" s="647"/>
      <c r="D648" s="649"/>
      <c r="E648" s="647"/>
      <c r="F648" s="649"/>
      <c r="G648" s="649"/>
      <c r="H648" s="647"/>
      <c r="I648" s="583"/>
      <c r="J648" s="583"/>
      <c r="K648" s="583"/>
      <c r="L648" s="583"/>
      <c r="M648" s="583"/>
      <c r="N648" s="583"/>
      <c r="O648" s="583"/>
      <c r="P648" s="583"/>
      <c r="Q648" s="583"/>
      <c r="R648" s="583"/>
      <c r="S648" s="583"/>
      <c r="T648" s="583"/>
      <c r="U648" s="583"/>
      <c r="V648" s="583"/>
      <c r="W648" s="583"/>
      <c r="X648" s="583"/>
      <c r="Y648" s="583"/>
      <c r="Z648" s="583"/>
      <c r="AA648" s="583"/>
      <c r="AB648" s="583"/>
      <c r="AC648" s="583"/>
      <c r="AD648" s="583"/>
      <c r="AE648" s="583"/>
      <c r="AF648" s="583"/>
    </row>
    <row r="649" ht="19.5" customHeight="1">
      <c r="A649" s="647"/>
      <c r="B649" s="647"/>
      <c r="C649" s="647"/>
      <c r="D649" s="649"/>
      <c r="E649" s="647"/>
      <c r="F649" s="649"/>
      <c r="G649" s="649"/>
      <c r="H649" s="647"/>
      <c r="I649" s="583"/>
      <c r="J649" s="583"/>
      <c r="K649" s="583"/>
      <c r="L649" s="583"/>
      <c r="M649" s="583"/>
      <c r="N649" s="583"/>
      <c r="O649" s="583"/>
      <c r="P649" s="583"/>
      <c r="Q649" s="583"/>
      <c r="R649" s="583"/>
      <c r="S649" s="583"/>
      <c r="T649" s="583"/>
      <c r="U649" s="583"/>
      <c r="V649" s="583"/>
      <c r="W649" s="583"/>
      <c r="X649" s="583"/>
      <c r="Y649" s="583"/>
      <c r="Z649" s="583"/>
      <c r="AA649" s="583"/>
      <c r="AB649" s="583"/>
      <c r="AC649" s="583"/>
      <c r="AD649" s="583"/>
      <c r="AE649" s="583"/>
      <c r="AF649" s="583"/>
    </row>
    <row r="650" ht="19.5" customHeight="1">
      <c r="A650" s="647"/>
      <c r="B650" s="647"/>
      <c r="C650" s="647"/>
      <c r="D650" s="649"/>
      <c r="E650" s="647"/>
      <c r="F650" s="649"/>
      <c r="G650" s="649"/>
      <c r="H650" s="647"/>
      <c r="I650" s="583"/>
      <c r="J650" s="583"/>
      <c r="K650" s="583"/>
      <c r="L650" s="583"/>
      <c r="M650" s="583"/>
      <c r="N650" s="583"/>
      <c r="O650" s="583"/>
      <c r="P650" s="583"/>
      <c r="Q650" s="583"/>
      <c r="R650" s="583"/>
      <c r="S650" s="583"/>
      <c r="T650" s="583"/>
      <c r="U650" s="583"/>
      <c r="V650" s="583"/>
      <c r="W650" s="583"/>
      <c r="X650" s="583"/>
      <c r="Y650" s="583"/>
      <c r="Z650" s="583"/>
      <c r="AA650" s="583"/>
      <c r="AB650" s="583"/>
      <c r="AC650" s="583"/>
      <c r="AD650" s="583"/>
      <c r="AE650" s="583"/>
      <c r="AF650" s="583"/>
    </row>
    <row r="651" ht="19.5" customHeight="1">
      <c r="A651" s="647"/>
      <c r="B651" s="647"/>
      <c r="C651" s="647"/>
      <c r="D651" s="649"/>
      <c r="E651" s="647"/>
      <c r="F651" s="649"/>
      <c r="G651" s="649"/>
      <c r="H651" s="647"/>
      <c r="I651" s="583"/>
      <c r="J651" s="583"/>
      <c r="K651" s="583"/>
      <c r="L651" s="583"/>
      <c r="M651" s="583"/>
      <c r="N651" s="583"/>
      <c r="O651" s="583"/>
      <c r="P651" s="583"/>
      <c r="Q651" s="583"/>
      <c r="R651" s="583"/>
      <c r="S651" s="583"/>
      <c r="T651" s="583"/>
      <c r="U651" s="583"/>
      <c r="V651" s="583"/>
      <c r="W651" s="583"/>
      <c r="X651" s="583"/>
      <c r="Y651" s="583"/>
      <c r="Z651" s="583"/>
      <c r="AA651" s="583"/>
      <c r="AB651" s="583"/>
      <c r="AC651" s="583"/>
      <c r="AD651" s="583"/>
      <c r="AE651" s="583"/>
      <c r="AF651" s="583"/>
    </row>
    <row r="652" ht="19.5" customHeight="1">
      <c r="A652" s="647"/>
      <c r="B652" s="647"/>
      <c r="C652" s="647"/>
      <c r="D652" s="649"/>
      <c r="E652" s="647"/>
      <c r="F652" s="649"/>
      <c r="G652" s="649"/>
      <c r="H652" s="647"/>
      <c r="I652" s="583"/>
      <c r="J652" s="583"/>
      <c r="K652" s="583"/>
      <c r="L652" s="583"/>
      <c r="M652" s="583"/>
      <c r="N652" s="583"/>
      <c r="O652" s="583"/>
      <c r="P652" s="583"/>
      <c r="Q652" s="583"/>
      <c r="R652" s="583"/>
      <c r="S652" s="583"/>
      <c r="T652" s="583"/>
      <c r="U652" s="583"/>
      <c r="V652" s="583"/>
      <c r="W652" s="583"/>
      <c r="X652" s="583"/>
      <c r="Y652" s="583"/>
      <c r="Z652" s="583"/>
      <c r="AA652" s="583"/>
      <c r="AB652" s="583"/>
      <c r="AC652" s="583"/>
      <c r="AD652" s="583"/>
      <c r="AE652" s="583"/>
      <c r="AF652" s="583"/>
    </row>
    <row r="653" ht="19.5" customHeight="1">
      <c r="A653" s="647"/>
      <c r="B653" s="647"/>
      <c r="C653" s="647"/>
      <c r="D653" s="649"/>
      <c r="E653" s="647"/>
      <c r="F653" s="649"/>
      <c r="G653" s="649"/>
      <c r="H653" s="647"/>
      <c r="I653" s="583"/>
      <c r="J653" s="583"/>
      <c r="K653" s="583"/>
      <c r="L653" s="583"/>
      <c r="M653" s="583"/>
      <c r="N653" s="583"/>
      <c r="O653" s="583"/>
      <c r="P653" s="583"/>
      <c r="Q653" s="583"/>
      <c r="R653" s="583"/>
      <c r="S653" s="583"/>
      <c r="T653" s="583"/>
      <c r="U653" s="583"/>
      <c r="V653" s="583"/>
      <c r="W653" s="583"/>
      <c r="X653" s="583"/>
      <c r="Y653" s="583"/>
      <c r="Z653" s="583"/>
      <c r="AA653" s="583"/>
      <c r="AB653" s="583"/>
      <c r="AC653" s="583"/>
      <c r="AD653" s="583"/>
      <c r="AE653" s="583"/>
      <c r="AF653" s="583"/>
    </row>
    <row r="654" ht="19.5" customHeight="1">
      <c r="A654" s="647"/>
      <c r="B654" s="647"/>
      <c r="C654" s="647"/>
      <c r="D654" s="649"/>
      <c r="E654" s="647"/>
      <c r="F654" s="649"/>
      <c r="G654" s="649"/>
      <c r="H654" s="647"/>
      <c r="I654" s="583"/>
      <c r="J654" s="583"/>
      <c r="K654" s="583"/>
      <c r="L654" s="583"/>
      <c r="M654" s="583"/>
      <c r="N654" s="583"/>
      <c r="O654" s="583"/>
      <c r="P654" s="583"/>
      <c r="Q654" s="583"/>
      <c r="R654" s="583"/>
      <c r="S654" s="583"/>
      <c r="T654" s="583"/>
      <c r="U654" s="583"/>
      <c r="V654" s="583"/>
      <c r="W654" s="583"/>
      <c r="X654" s="583"/>
      <c r="Y654" s="583"/>
      <c r="Z654" s="583"/>
      <c r="AA654" s="583"/>
      <c r="AB654" s="583"/>
      <c r="AC654" s="583"/>
      <c r="AD654" s="583"/>
      <c r="AE654" s="583"/>
      <c r="AF654" s="583"/>
    </row>
    <row r="655" ht="19.5" customHeight="1">
      <c r="A655" s="647"/>
      <c r="B655" s="647"/>
      <c r="C655" s="647"/>
      <c r="D655" s="649"/>
      <c r="E655" s="647"/>
      <c r="F655" s="649"/>
      <c r="G655" s="649"/>
      <c r="H655" s="647"/>
      <c r="I655" s="583"/>
      <c r="J655" s="583"/>
      <c r="K655" s="583"/>
      <c r="L655" s="583"/>
      <c r="M655" s="583"/>
      <c r="N655" s="583"/>
      <c r="O655" s="583"/>
      <c r="P655" s="583"/>
      <c r="Q655" s="583"/>
      <c r="R655" s="583"/>
      <c r="S655" s="583"/>
      <c r="T655" s="583"/>
      <c r="U655" s="583"/>
      <c r="V655" s="583"/>
      <c r="W655" s="583"/>
      <c r="X655" s="583"/>
      <c r="Y655" s="583"/>
      <c r="Z655" s="583"/>
      <c r="AA655" s="583"/>
      <c r="AB655" s="583"/>
      <c r="AC655" s="583"/>
      <c r="AD655" s="583"/>
      <c r="AE655" s="583"/>
      <c r="AF655" s="583"/>
    </row>
    <row r="656" ht="19.5" customHeight="1">
      <c r="A656" s="647"/>
      <c r="B656" s="647"/>
      <c r="C656" s="647"/>
      <c r="D656" s="649"/>
      <c r="E656" s="647"/>
      <c r="F656" s="649"/>
      <c r="G656" s="649"/>
      <c r="H656" s="647"/>
      <c r="I656" s="583"/>
      <c r="J656" s="583"/>
      <c r="K656" s="583"/>
      <c r="L656" s="583"/>
      <c r="M656" s="583"/>
      <c r="N656" s="583"/>
      <c r="O656" s="583"/>
      <c r="P656" s="583"/>
      <c r="Q656" s="583"/>
      <c r="R656" s="583"/>
      <c r="S656" s="583"/>
      <c r="T656" s="583"/>
      <c r="U656" s="583"/>
      <c r="V656" s="583"/>
      <c r="W656" s="583"/>
      <c r="X656" s="583"/>
      <c r="Y656" s="583"/>
      <c r="Z656" s="583"/>
      <c r="AA656" s="583"/>
      <c r="AB656" s="583"/>
      <c r="AC656" s="583"/>
      <c r="AD656" s="583"/>
      <c r="AE656" s="583"/>
      <c r="AF656" s="583"/>
    </row>
    <row r="657" ht="19.5" customHeight="1">
      <c r="A657" s="647"/>
      <c r="B657" s="647"/>
      <c r="C657" s="647"/>
      <c r="D657" s="649"/>
      <c r="E657" s="647"/>
      <c r="F657" s="649"/>
      <c r="G657" s="649"/>
      <c r="H657" s="647"/>
      <c r="I657" s="583"/>
      <c r="J657" s="583"/>
      <c r="K657" s="583"/>
      <c r="L657" s="583"/>
      <c r="M657" s="583"/>
      <c r="N657" s="583"/>
      <c r="O657" s="583"/>
      <c r="P657" s="583"/>
      <c r="Q657" s="583"/>
      <c r="R657" s="583"/>
      <c r="S657" s="583"/>
      <c r="T657" s="583"/>
      <c r="U657" s="583"/>
      <c r="V657" s="583"/>
      <c r="W657" s="583"/>
      <c r="X657" s="583"/>
      <c r="Y657" s="583"/>
      <c r="Z657" s="583"/>
      <c r="AA657" s="583"/>
      <c r="AB657" s="583"/>
      <c r="AC657" s="583"/>
      <c r="AD657" s="583"/>
      <c r="AE657" s="583"/>
      <c r="AF657" s="583"/>
    </row>
    <row r="658" ht="19.5" customHeight="1">
      <c r="A658" s="647"/>
      <c r="B658" s="647"/>
      <c r="C658" s="647"/>
      <c r="D658" s="649"/>
      <c r="E658" s="647"/>
      <c r="F658" s="649"/>
      <c r="G658" s="649"/>
      <c r="H658" s="647"/>
      <c r="I658" s="583"/>
      <c r="J658" s="583"/>
      <c r="K658" s="583"/>
      <c r="L658" s="583"/>
      <c r="M658" s="583"/>
      <c r="N658" s="583"/>
      <c r="O658" s="583"/>
      <c r="P658" s="583"/>
      <c r="Q658" s="583"/>
      <c r="R658" s="583"/>
      <c r="S658" s="583"/>
      <c r="T658" s="583"/>
      <c r="U658" s="583"/>
      <c r="V658" s="583"/>
      <c r="W658" s="583"/>
      <c r="X658" s="583"/>
      <c r="Y658" s="583"/>
      <c r="Z658" s="583"/>
      <c r="AA658" s="583"/>
      <c r="AB658" s="583"/>
      <c r="AC658" s="583"/>
      <c r="AD658" s="583"/>
      <c r="AE658" s="583"/>
      <c r="AF658" s="583"/>
    </row>
    <row r="659" ht="19.5" customHeight="1">
      <c r="A659" s="647"/>
      <c r="B659" s="647"/>
      <c r="C659" s="647"/>
      <c r="D659" s="649"/>
      <c r="E659" s="647"/>
      <c r="F659" s="649"/>
      <c r="G659" s="649"/>
      <c r="H659" s="647"/>
      <c r="I659" s="583"/>
      <c r="J659" s="583"/>
      <c r="K659" s="583"/>
      <c r="L659" s="583"/>
      <c r="M659" s="583"/>
      <c r="N659" s="583"/>
      <c r="O659" s="583"/>
      <c r="P659" s="583"/>
      <c r="Q659" s="583"/>
      <c r="R659" s="583"/>
      <c r="S659" s="583"/>
      <c r="T659" s="583"/>
      <c r="U659" s="583"/>
      <c r="V659" s="583"/>
      <c r="W659" s="583"/>
      <c r="X659" s="583"/>
      <c r="Y659" s="583"/>
      <c r="Z659" s="583"/>
      <c r="AA659" s="583"/>
      <c r="AB659" s="583"/>
      <c r="AC659" s="583"/>
      <c r="AD659" s="583"/>
      <c r="AE659" s="583"/>
      <c r="AF659" s="583"/>
    </row>
    <row r="660" ht="19.5" customHeight="1">
      <c r="A660" s="647"/>
      <c r="B660" s="647"/>
      <c r="C660" s="647"/>
      <c r="D660" s="649"/>
      <c r="E660" s="647"/>
      <c r="F660" s="649"/>
      <c r="G660" s="649"/>
      <c r="H660" s="647"/>
      <c r="I660" s="583"/>
      <c r="J660" s="583"/>
      <c r="K660" s="583"/>
      <c r="L660" s="583"/>
      <c r="M660" s="583"/>
      <c r="N660" s="583"/>
      <c r="O660" s="583"/>
      <c r="P660" s="583"/>
      <c r="Q660" s="583"/>
      <c r="R660" s="583"/>
      <c r="S660" s="583"/>
      <c r="T660" s="583"/>
      <c r="U660" s="583"/>
      <c r="V660" s="583"/>
      <c r="W660" s="583"/>
      <c r="X660" s="583"/>
      <c r="Y660" s="583"/>
      <c r="Z660" s="583"/>
      <c r="AA660" s="583"/>
      <c r="AB660" s="583"/>
      <c r="AC660" s="583"/>
      <c r="AD660" s="583"/>
      <c r="AE660" s="583"/>
      <c r="AF660" s="583"/>
    </row>
    <row r="661" ht="19.5" customHeight="1">
      <c r="A661" s="647"/>
      <c r="B661" s="647"/>
      <c r="C661" s="647"/>
      <c r="D661" s="649"/>
      <c r="E661" s="647"/>
      <c r="F661" s="649"/>
      <c r="G661" s="649"/>
      <c r="H661" s="647"/>
      <c r="I661" s="583"/>
      <c r="J661" s="583"/>
      <c r="K661" s="583"/>
      <c r="L661" s="583"/>
      <c r="M661" s="583"/>
      <c r="N661" s="583"/>
      <c r="O661" s="583"/>
      <c r="P661" s="583"/>
      <c r="Q661" s="583"/>
      <c r="R661" s="583"/>
      <c r="S661" s="583"/>
      <c r="T661" s="583"/>
      <c r="U661" s="583"/>
      <c r="V661" s="583"/>
      <c r="W661" s="583"/>
      <c r="X661" s="583"/>
      <c r="Y661" s="583"/>
      <c r="Z661" s="583"/>
      <c r="AA661" s="583"/>
      <c r="AB661" s="583"/>
      <c r="AC661" s="583"/>
      <c r="AD661" s="583"/>
      <c r="AE661" s="583"/>
      <c r="AF661" s="583"/>
    </row>
    <row r="662" ht="19.5" customHeight="1">
      <c r="A662" s="647"/>
      <c r="B662" s="647"/>
      <c r="C662" s="647"/>
      <c r="D662" s="649"/>
      <c r="E662" s="647"/>
      <c r="F662" s="649"/>
      <c r="G662" s="649"/>
      <c r="H662" s="647"/>
      <c r="I662" s="583"/>
      <c r="J662" s="583"/>
      <c r="K662" s="583"/>
      <c r="L662" s="583"/>
      <c r="M662" s="583"/>
      <c r="N662" s="583"/>
      <c r="O662" s="583"/>
      <c r="P662" s="583"/>
      <c r="Q662" s="583"/>
      <c r="R662" s="583"/>
      <c r="S662" s="583"/>
      <c r="T662" s="583"/>
      <c r="U662" s="583"/>
      <c r="V662" s="583"/>
      <c r="W662" s="583"/>
      <c r="X662" s="583"/>
      <c r="Y662" s="583"/>
      <c r="Z662" s="583"/>
      <c r="AA662" s="583"/>
      <c r="AB662" s="583"/>
      <c r="AC662" s="583"/>
      <c r="AD662" s="583"/>
      <c r="AE662" s="583"/>
      <c r="AF662" s="583"/>
    </row>
    <row r="663" ht="19.5" customHeight="1">
      <c r="A663" s="647"/>
      <c r="B663" s="647"/>
      <c r="C663" s="647"/>
      <c r="D663" s="649"/>
      <c r="E663" s="647"/>
      <c r="F663" s="649"/>
      <c r="G663" s="649"/>
      <c r="H663" s="647"/>
      <c r="I663" s="583"/>
      <c r="J663" s="583"/>
      <c r="K663" s="583"/>
      <c r="L663" s="583"/>
      <c r="M663" s="583"/>
      <c r="N663" s="583"/>
      <c r="O663" s="583"/>
      <c r="P663" s="583"/>
      <c r="Q663" s="583"/>
      <c r="R663" s="583"/>
      <c r="S663" s="583"/>
      <c r="T663" s="583"/>
      <c r="U663" s="583"/>
      <c r="V663" s="583"/>
      <c r="W663" s="583"/>
      <c r="X663" s="583"/>
      <c r="Y663" s="583"/>
      <c r="Z663" s="583"/>
      <c r="AA663" s="583"/>
      <c r="AB663" s="583"/>
      <c r="AC663" s="583"/>
      <c r="AD663" s="583"/>
      <c r="AE663" s="583"/>
      <c r="AF663" s="583"/>
    </row>
    <row r="664" ht="19.5" customHeight="1">
      <c r="A664" s="647"/>
      <c r="B664" s="647"/>
      <c r="C664" s="647"/>
      <c r="D664" s="649"/>
      <c r="E664" s="647"/>
      <c r="F664" s="649"/>
      <c r="G664" s="649"/>
      <c r="H664" s="647"/>
      <c r="I664" s="583"/>
      <c r="J664" s="583"/>
      <c r="K664" s="583"/>
      <c r="L664" s="583"/>
      <c r="M664" s="583"/>
      <c r="N664" s="583"/>
      <c r="O664" s="583"/>
      <c r="P664" s="583"/>
      <c r="Q664" s="583"/>
      <c r="R664" s="583"/>
      <c r="S664" s="583"/>
      <c r="T664" s="583"/>
      <c r="U664" s="583"/>
      <c r="V664" s="583"/>
      <c r="W664" s="583"/>
      <c r="X664" s="583"/>
      <c r="Y664" s="583"/>
      <c r="Z664" s="583"/>
      <c r="AA664" s="583"/>
      <c r="AB664" s="583"/>
      <c r="AC664" s="583"/>
      <c r="AD664" s="583"/>
      <c r="AE664" s="583"/>
      <c r="AF664" s="583"/>
    </row>
    <row r="665" ht="19.5" customHeight="1">
      <c r="A665" s="647"/>
      <c r="B665" s="647"/>
      <c r="C665" s="647"/>
      <c r="D665" s="649"/>
      <c r="E665" s="647"/>
      <c r="F665" s="649"/>
      <c r="G665" s="649"/>
      <c r="H665" s="647"/>
      <c r="I665" s="583"/>
      <c r="J665" s="583"/>
      <c r="K665" s="583"/>
      <c r="L665" s="583"/>
      <c r="M665" s="583"/>
      <c r="N665" s="583"/>
      <c r="O665" s="583"/>
      <c r="P665" s="583"/>
      <c r="Q665" s="583"/>
      <c r="R665" s="583"/>
      <c r="S665" s="583"/>
      <c r="T665" s="583"/>
      <c r="U665" s="583"/>
      <c r="V665" s="583"/>
      <c r="W665" s="583"/>
      <c r="X665" s="583"/>
      <c r="Y665" s="583"/>
      <c r="Z665" s="583"/>
      <c r="AA665" s="583"/>
      <c r="AB665" s="583"/>
      <c r="AC665" s="583"/>
      <c r="AD665" s="583"/>
      <c r="AE665" s="583"/>
      <c r="AF665" s="583"/>
    </row>
    <row r="666" ht="19.5" customHeight="1">
      <c r="A666" s="647"/>
      <c r="B666" s="647"/>
      <c r="C666" s="647"/>
      <c r="D666" s="649"/>
      <c r="E666" s="647"/>
      <c r="F666" s="649"/>
      <c r="G666" s="649"/>
      <c r="H666" s="647"/>
      <c r="I666" s="583"/>
      <c r="J666" s="583"/>
      <c r="K666" s="583"/>
      <c r="L666" s="583"/>
      <c r="M666" s="583"/>
      <c r="N666" s="583"/>
      <c r="O666" s="583"/>
      <c r="P666" s="583"/>
      <c r="Q666" s="583"/>
      <c r="R666" s="583"/>
      <c r="S666" s="583"/>
      <c r="T666" s="583"/>
      <c r="U666" s="583"/>
      <c r="V666" s="583"/>
      <c r="W666" s="583"/>
      <c r="X666" s="583"/>
      <c r="Y666" s="583"/>
      <c r="Z666" s="583"/>
      <c r="AA666" s="583"/>
      <c r="AB666" s="583"/>
      <c r="AC666" s="583"/>
      <c r="AD666" s="583"/>
      <c r="AE666" s="583"/>
      <c r="AF666" s="583"/>
    </row>
    <row r="667" ht="19.5" customHeight="1">
      <c r="A667" s="647"/>
      <c r="B667" s="647"/>
      <c r="C667" s="647"/>
      <c r="D667" s="649"/>
      <c r="E667" s="647"/>
      <c r="F667" s="649"/>
      <c r="G667" s="649"/>
      <c r="H667" s="647"/>
      <c r="I667" s="583"/>
      <c r="J667" s="583"/>
      <c r="K667" s="583"/>
      <c r="L667" s="583"/>
      <c r="M667" s="583"/>
      <c r="N667" s="583"/>
      <c r="O667" s="583"/>
      <c r="P667" s="583"/>
      <c r="Q667" s="583"/>
      <c r="R667" s="583"/>
      <c r="S667" s="583"/>
      <c r="T667" s="583"/>
      <c r="U667" s="583"/>
      <c r="V667" s="583"/>
      <c r="W667" s="583"/>
      <c r="X667" s="583"/>
      <c r="Y667" s="583"/>
      <c r="Z667" s="583"/>
      <c r="AA667" s="583"/>
      <c r="AB667" s="583"/>
      <c r="AC667" s="583"/>
      <c r="AD667" s="583"/>
      <c r="AE667" s="583"/>
      <c r="AF667" s="583"/>
    </row>
    <row r="668" ht="19.5" customHeight="1">
      <c r="A668" s="647"/>
      <c r="B668" s="647"/>
      <c r="C668" s="647"/>
      <c r="D668" s="649"/>
      <c r="E668" s="647"/>
      <c r="F668" s="649"/>
      <c r="G668" s="649"/>
      <c r="H668" s="647"/>
      <c r="I668" s="583"/>
      <c r="J668" s="583"/>
      <c r="K668" s="583"/>
      <c r="L668" s="583"/>
      <c r="M668" s="583"/>
      <c r="N668" s="583"/>
      <c r="O668" s="583"/>
      <c r="P668" s="583"/>
      <c r="Q668" s="583"/>
      <c r="R668" s="583"/>
      <c r="S668" s="583"/>
      <c r="T668" s="583"/>
      <c r="U668" s="583"/>
      <c r="V668" s="583"/>
      <c r="W668" s="583"/>
      <c r="X668" s="583"/>
      <c r="Y668" s="583"/>
      <c r="Z668" s="583"/>
      <c r="AA668" s="583"/>
      <c r="AB668" s="583"/>
      <c r="AC668" s="583"/>
      <c r="AD668" s="583"/>
      <c r="AE668" s="583"/>
      <c r="AF668" s="583"/>
    </row>
    <row r="669" ht="19.5" customHeight="1">
      <c r="A669" s="647"/>
      <c r="B669" s="647"/>
      <c r="C669" s="647"/>
      <c r="D669" s="649"/>
      <c r="E669" s="647"/>
      <c r="F669" s="649"/>
      <c r="G669" s="649"/>
      <c r="H669" s="647"/>
      <c r="I669" s="583"/>
      <c r="J669" s="583"/>
      <c r="K669" s="583"/>
      <c r="L669" s="583"/>
      <c r="M669" s="583"/>
      <c r="N669" s="583"/>
      <c r="O669" s="583"/>
      <c r="P669" s="583"/>
      <c r="Q669" s="583"/>
      <c r="R669" s="583"/>
      <c r="S669" s="583"/>
      <c r="T669" s="583"/>
      <c r="U669" s="583"/>
      <c r="V669" s="583"/>
      <c r="W669" s="583"/>
      <c r="X669" s="583"/>
      <c r="Y669" s="583"/>
      <c r="Z669" s="583"/>
      <c r="AA669" s="583"/>
      <c r="AB669" s="583"/>
      <c r="AC669" s="583"/>
      <c r="AD669" s="583"/>
      <c r="AE669" s="583"/>
      <c r="AF669" s="583"/>
    </row>
    <row r="670" ht="19.5" customHeight="1">
      <c r="A670" s="647"/>
      <c r="B670" s="647"/>
      <c r="C670" s="647"/>
      <c r="D670" s="649"/>
      <c r="E670" s="647"/>
      <c r="F670" s="649"/>
      <c r="G670" s="649"/>
      <c r="H670" s="647"/>
      <c r="I670" s="583"/>
      <c r="J670" s="583"/>
      <c r="K670" s="583"/>
      <c r="L670" s="583"/>
      <c r="M670" s="583"/>
      <c r="N670" s="583"/>
      <c r="O670" s="583"/>
      <c r="P670" s="583"/>
      <c r="Q670" s="583"/>
      <c r="R670" s="583"/>
      <c r="S670" s="583"/>
      <c r="T670" s="583"/>
      <c r="U670" s="583"/>
      <c r="V670" s="583"/>
      <c r="W670" s="583"/>
      <c r="X670" s="583"/>
      <c r="Y670" s="583"/>
      <c r="Z670" s="583"/>
      <c r="AA670" s="583"/>
      <c r="AB670" s="583"/>
      <c r="AC670" s="583"/>
      <c r="AD670" s="583"/>
      <c r="AE670" s="583"/>
      <c r="AF670" s="583"/>
    </row>
    <row r="671" ht="19.5" customHeight="1">
      <c r="A671" s="647"/>
      <c r="B671" s="647"/>
      <c r="C671" s="647"/>
      <c r="D671" s="649"/>
      <c r="E671" s="647"/>
      <c r="F671" s="649"/>
      <c r="G671" s="649"/>
      <c r="H671" s="647"/>
      <c r="I671" s="583"/>
      <c r="J671" s="583"/>
      <c r="K671" s="583"/>
      <c r="L671" s="583"/>
      <c r="M671" s="583"/>
      <c r="N671" s="583"/>
      <c r="O671" s="583"/>
      <c r="P671" s="583"/>
      <c r="Q671" s="583"/>
      <c r="R671" s="583"/>
      <c r="S671" s="583"/>
      <c r="T671" s="583"/>
      <c r="U671" s="583"/>
      <c r="V671" s="583"/>
      <c r="W671" s="583"/>
      <c r="X671" s="583"/>
      <c r="Y671" s="583"/>
      <c r="Z671" s="583"/>
      <c r="AA671" s="583"/>
      <c r="AB671" s="583"/>
      <c r="AC671" s="583"/>
      <c r="AD671" s="583"/>
      <c r="AE671" s="583"/>
      <c r="AF671" s="583"/>
    </row>
    <row r="672" ht="19.5" customHeight="1">
      <c r="A672" s="647"/>
      <c r="B672" s="647"/>
      <c r="C672" s="647"/>
      <c r="D672" s="649"/>
      <c r="E672" s="647"/>
      <c r="F672" s="649"/>
      <c r="G672" s="649"/>
      <c r="H672" s="647"/>
      <c r="I672" s="583"/>
      <c r="J672" s="583"/>
      <c r="K672" s="583"/>
      <c r="L672" s="583"/>
      <c r="M672" s="583"/>
      <c r="N672" s="583"/>
      <c r="O672" s="583"/>
      <c r="P672" s="583"/>
      <c r="Q672" s="583"/>
      <c r="R672" s="583"/>
      <c r="S672" s="583"/>
      <c r="T672" s="583"/>
      <c r="U672" s="583"/>
      <c r="V672" s="583"/>
      <c r="W672" s="583"/>
      <c r="X672" s="583"/>
      <c r="Y672" s="583"/>
      <c r="Z672" s="583"/>
      <c r="AA672" s="583"/>
      <c r="AB672" s="583"/>
      <c r="AC672" s="583"/>
      <c r="AD672" s="583"/>
      <c r="AE672" s="583"/>
      <c r="AF672" s="583"/>
    </row>
    <row r="673" ht="19.5" customHeight="1">
      <c r="A673" s="647"/>
      <c r="B673" s="647"/>
      <c r="C673" s="647"/>
      <c r="D673" s="649"/>
      <c r="E673" s="647"/>
      <c r="F673" s="649"/>
      <c r="G673" s="649"/>
      <c r="H673" s="647"/>
      <c r="I673" s="583"/>
      <c r="J673" s="583"/>
      <c r="K673" s="583"/>
      <c r="L673" s="583"/>
      <c r="M673" s="583"/>
      <c r="N673" s="583"/>
      <c r="O673" s="583"/>
      <c r="P673" s="583"/>
      <c r="Q673" s="583"/>
      <c r="R673" s="583"/>
      <c r="S673" s="583"/>
      <c r="T673" s="583"/>
      <c r="U673" s="583"/>
      <c r="V673" s="583"/>
      <c r="W673" s="583"/>
      <c r="X673" s="583"/>
      <c r="Y673" s="583"/>
      <c r="Z673" s="583"/>
      <c r="AA673" s="583"/>
      <c r="AB673" s="583"/>
      <c r="AC673" s="583"/>
      <c r="AD673" s="583"/>
      <c r="AE673" s="583"/>
      <c r="AF673" s="583"/>
    </row>
    <row r="674" ht="19.5" customHeight="1">
      <c r="A674" s="647"/>
      <c r="B674" s="647"/>
      <c r="C674" s="647"/>
      <c r="D674" s="649"/>
      <c r="E674" s="647"/>
      <c r="F674" s="649"/>
      <c r="G674" s="649"/>
      <c r="H674" s="647"/>
      <c r="I674" s="583"/>
      <c r="J674" s="583"/>
      <c r="K674" s="583"/>
      <c r="L674" s="583"/>
      <c r="M674" s="583"/>
      <c r="N674" s="583"/>
      <c r="O674" s="583"/>
      <c r="P674" s="583"/>
      <c r="Q674" s="583"/>
      <c r="R674" s="583"/>
      <c r="S674" s="583"/>
      <c r="T674" s="583"/>
      <c r="U674" s="583"/>
      <c r="V674" s="583"/>
      <c r="W674" s="583"/>
      <c r="X674" s="583"/>
      <c r="Y674" s="583"/>
      <c r="Z674" s="583"/>
      <c r="AA674" s="583"/>
      <c r="AB674" s="583"/>
      <c r="AC674" s="583"/>
      <c r="AD674" s="583"/>
      <c r="AE674" s="583"/>
      <c r="AF674" s="583"/>
    </row>
    <row r="675" ht="19.5" customHeight="1">
      <c r="A675" s="647"/>
      <c r="B675" s="647"/>
      <c r="C675" s="647"/>
      <c r="D675" s="649"/>
      <c r="E675" s="647"/>
      <c r="F675" s="649"/>
      <c r="G675" s="649"/>
      <c r="H675" s="647"/>
      <c r="I675" s="583"/>
      <c r="J675" s="583"/>
      <c r="K675" s="583"/>
      <c r="L675" s="583"/>
      <c r="M675" s="583"/>
      <c r="N675" s="583"/>
      <c r="O675" s="583"/>
      <c r="P675" s="583"/>
      <c r="Q675" s="583"/>
      <c r="R675" s="583"/>
      <c r="S675" s="583"/>
      <c r="T675" s="583"/>
      <c r="U675" s="583"/>
      <c r="V675" s="583"/>
      <c r="W675" s="583"/>
      <c r="X675" s="583"/>
      <c r="Y675" s="583"/>
      <c r="Z675" s="583"/>
      <c r="AA675" s="583"/>
      <c r="AB675" s="583"/>
      <c r="AC675" s="583"/>
      <c r="AD675" s="583"/>
      <c r="AE675" s="583"/>
      <c r="AF675" s="583"/>
    </row>
    <row r="676" ht="19.5" customHeight="1">
      <c r="A676" s="647"/>
      <c r="B676" s="647"/>
      <c r="C676" s="647"/>
      <c r="D676" s="649"/>
      <c r="E676" s="647"/>
      <c r="F676" s="649"/>
      <c r="G676" s="649"/>
      <c r="H676" s="647"/>
      <c r="I676" s="583"/>
      <c r="J676" s="583"/>
      <c r="K676" s="583"/>
      <c r="L676" s="583"/>
      <c r="M676" s="583"/>
      <c r="N676" s="583"/>
      <c r="O676" s="583"/>
      <c r="P676" s="583"/>
      <c r="Q676" s="583"/>
      <c r="R676" s="583"/>
      <c r="S676" s="583"/>
      <c r="T676" s="583"/>
      <c r="U676" s="583"/>
      <c r="V676" s="583"/>
      <c r="W676" s="583"/>
      <c r="X676" s="583"/>
      <c r="Y676" s="583"/>
      <c r="Z676" s="583"/>
      <c r="AA676" s="583"/>
      <c r="AB676" s="583"/>
      <c r="AC676" s="583"/>
      <c r="AD676" s="583"/>
      <c r="AE676" s="583"/>
      <c r="AF676" s="583"/>
    </row>
    <row r="677" ht="19.5" customHeight="1">
      <c r="A677" s="647"/>
      <c r="B677" s="647"/>
      <c r="C677" s="647"/>
      <c r="D677" s="649"/>
      <c r="E677" s="647"/>
      <c r="F677" s="649"/>
      <c r="G677" s="649"/>
      <c r="H677" s="647"/>
      <c r="I677" s="583"/>
      <c r="J677" s="583"/>
      <c r="K677" s="583"/>
      <c r="L677" s="583"/>
      <c r="M677" s="583"/>
      <c r="N677" s="583"/>
      <c r="O677" s="583"/>
      <c r="P677" s="583"/>
      <c r="Q677" s="583"/>
      <c r="R677" s="583"/>
      <c r="S677" s="583"/>
      <c r="T677" s="583"/>
      <c r="U677" s="583"/>
      <c r="V677" s="583"/>
      <c r="W677" s="583"/>
      <c r="X677" s="583"/>
      <c r="Y677" s="583"/>
      <c r="Z677" s="583"/>
      <c r="AA677" s="583"/>
      <c r="AB677" s="583"/>
      <c r="AC677" s="583"/>
      <c r="AD677" s="583"/>
      <c r="AE677" s="583"/>
      <c r="AF677" s="583"/>
    </row>
    <row r="678" ht="19.5" customHeight="1">
      <c r="A678" s="647"/>
      <c r="B678" s="647"/>
      <c r="C678" s="647"/>
      <c r="D678" s="649"/>
      <c r="E678" s="647"/>
      <c r="F678" s="649"/>
      <c r="G678" s="649"/>
      <c r="H678" s="647"/>
      <c r="I678" s="583"/>
      <c r="J678" s="583"/>
      <c r="K678" s="583"/>
      <c r="L678" s="583"/>
      <c r="M678" s="583"/>
      <c r="N678" s="583"/>
      <c r="O678" s="583"/>
      <c r="P678" s="583"/>
      <c r="Q678" s="583"/>
      <c r="R678" s="583"/>
      <c r="S678" s="583"/>
      <c r="T678" s="583"/>
      <c r="U678" s="583"/>
      <c r="V678" s="583"/>
      <c r="W678" s="583"/>
      <c r="X678" s="583"/>
      <c r="Y678" s="583"/>
      <c r="Z678" s="583"/>
      <c r="AA678" s="583"/>
      <c r="AB678" s="583"/>
      <c r="AC678" s="583"/>
      <c r="AD678" s="583"/>
      <c r="AE678" s="583"/>
      <c r="AF678" s="583"/>
    </row>
    <row r="679" ht="19.5" customHeight="1">
      <c r="A679" s="647"/>
      <c r="B679" s="647"/>
      <c r="C679" s="647"/>
      <c r="D679" s="649"/>
      <c r="E679" s="647"/>
      <c r="F679" s="649"/>
      <c r="G679" s="649"/>
      <c r="H679" s="647"/>
      <c r="I679" s="583"/>
      <c r="J679" s="583"/>
      <c r="K679" s="583"/>
      <c r="L679" s="583"/>
      <c r="M679" s="583"/>
      <c r="N679" s="583"/>
      <c r="O679" s="583"/>
      <c r="P679" s="583"/>
      <c r="Q679" s="583"/>
      <c r="R679" s="583"/>
      <c r="S679" s="583"/>
      <c r="T679" s="583"/>
      <c r="U679" s="583"/>
      <c r="V679" s="583"/>
      <c r="W679" s="583"/>
      <c r="X679" s="583"/>
      <c r="Y679" s="583"/>
      <c r="Z679" s="583"/>
      <c r="AA679" s="583"/>
      <c r="AB679" s="583"/>
      <c r="AC679" s="583"/>
      <c r="AD679" s="583"/>
      <c r="AE679" s="583"/>
      <c r="AF679" s="583"/>
    </row>
    <row r="680" ht="19.5" customHeight="1">
      <c r="A680" s="647"/>
      <c r="B680" s="647"/>
      <c r="C680" s="647"/>
      <c r="D680" s="649"/>
      <c r="E680" s="647"/>
      <c r="F680" s="649"/>
      <c r="G680" s="649"/>
      <c r="H680" s="647"/>
      <c r="I680" s="583"/>
      <c r="J680" s="583"/>
      <c r="K680" s="583"/>
      <c r="L680" s="583"/>
      <c r="M680" s="583"/>
      <c r="N680" s="583"/>
      <c r="O680" s="583"/>
      <c r="P680" s="583"/>
      <c r="Q680" s="583"/>
      <c r="R680" s="583"/>
      <c r="S680" s="583"/>
      <c r="T680" s="583"/>
      <c r="U680" s="583"/>
      <c r="V680" s="583"/>
      <c r="W680" s="583"/>
      <c r="X680" s="583"/>
      <c r="Y680" s="583"/>
      <c r="Z680" s="583"/>
      <c r="AA680" s="583"/>
      <c r="AB680" s="583"/>
      <c r="AC680" s="583"/>
      <c r="AD680" s="583"/>
      <c r="AE680" s="583"/>
      <c r="AF680" s="583"/>
    </row>
    <row r="681" ht="19.5" customHeight="1">
      <c r="A681" s="647"/>
      <c r="B681" s="647"/>
      <c r="C681" s="647"/>
      <c r="D681" s="649"/>
      <c r="E681" s="647"/>
      <c r="F681" s="649"/>
      <c r="G681" s="649"/>
      <c r="H681" s="647"/>
      <c r="I681" s="583"/>
      <c r="J681" s="583"/>
      <c r="K681" s="583"/>
      <c r="L681" s="583"/>
      <c r="M681" s="583"/>
      <c r="N681" s="583"/>
      <c r="O681" s="583"/>
      <c r="P681" s="583"/>
      <c r="Q681" s="583"/>
      <c r="R681" s="583"/>
      <c r="S681" s="583"/>
      <c r="T681" s="583"/>
      <c r="U681" s="583"/>
      <c r="V681" s="583"/>
      <c r="W681" s="583"/>
      <c r="X681" s="583"/>
      <c r="Y681" s="583"/>
      <c r="Z681" s="583"/>
      <c r="AA681" s="583"/>
      <c r="AB681" s="583"/>
      <c r="AC681" s="583"/>
      <c r="AD681" s="583"/>
      <c r="AE681" s="583"/>
      <c r="AF681" s="583"/>
    </row>
    <row r="682" ht="19.5" customHeight="1">
      <c r="A682" s="647"/>
      <c r="B682" s="647"/>
      <c r="C682" s="647"/>
      <c r="D682" s="649"/>
      <c r="E682" s="647"/>
      <c r="F682" s="649"/>
      <c r="G682" s="649"/>
      <c r="H682" s="647"/>
      <c r="I682" s="583"/>
      <c r="J682" s="583"/>
      <c r="K682" s="583"/>
      <c r="L682" s="583"/>
      <c r="M682" s="583"/>
      <c r="N682" s="583"/>
      <c r="O682" s="583"/>
      <c r="P682" s="583"/>
      <c r="Q682" s="583"/>
      <c r="R682" s="583"/>
      <c r="S682" s="583"/>
      <c r="T682" s="583"/>
      <c r="U682" s="583"/>
      <c r="V682" s="583"/>
      <c r="W682" s="583"/>
      <c r="X682" s="583"/>
      <c r="Y682" s="583"/>
      <c r="Z682" s="583"/>
      <c r="AA682" s="583"/>
      <c r="AB682" s="583"/>
      <c r="AC682" s="583"/>
      <c r="AD682" s="583"/>
      <c r="AE682" s="583"/>
      <c r="AF682" s="583"/>
    </row>
    <row r="683" ht="19.5" customHeight="1">
      <c r="A683" s="647"/>
      <c r="B683" s="647"/>
      <c r="C683" s="647"/>
      <c r="D683" s="649"/>
      <c r="E683" s="647"/>
      <c r="F683" s="649"/>
      <c r="G683" s="649"/>
      <c r="H683" s="647"/>
      <c r="I683" s="583"/>
      <c r="J683" s="583"/>
      <c r="K683" s="583"/>
      <c r="L683" s="583"/>
      <c r="M683" s="583"/>
      <c r="N683" s="583"/>
      <c r="O683" s="583"/>
      <c r="P683" s="583"/>
      <c r="Q683" s="583"/>
      <c r="R683" s="583"/>
      <c r="S683" s="583"/>
      <c r="T683" s="583"/>
      <c r="U683" s="583"/>
      <c r="V683" s="583"/>
      <c r="W683" s="583"/>
      <c r="X683" s="583"/>
      <c r="Y683" s="583"/>
      <c r="Z683" s="583"/>
      <c r="AA683" s="583"/>
      <c r="AB683" s="583"/>
      <c r="AC683" s="583"/>
      <c r="AD683" s="583"/>
      <c r="AE683" s="583"/>
      <c r="AF683" s="583"/>
    </row>
    <row r="684" ht="19.5" customHeight="1">
      <c r="A684" s="647"/>
      <c r="B684" s="647"/>
      <c r="C684" s="647"/>
      <c r="D684" s="649"/>
      <c r="E684" s="647"/>
      <c r="F684" s="649"/>
      <c r="G684" s="649"/>
      <c r="H684" s="647"/>
      <c r="I684" s="583"/>
      <c r="J684" s="583"/>
      <c r="K684" s="583"/>
      <c r="L684" s="583"/>
      <c r="M684" s="583"/>
      <c r="N684" s="583"/>
      <c r="O684" s="583"/>
      <c r="P684" s="583"/>
      <c r="Q684" s="583"/>
      <c r="R684" s="583"/>
      <c r="S684" s="583"/>
      <c r="T684" s="583"/>
      <c r="U684" s="583"/>
      <c r="V684" s="583"/>
      <c r="W684" s="583"/>
      <c r="X684" s="583"/>
      <c r="Y684" s="583"/>
      <c r="Z684" s="583"/>
      <c r="AA684" s="583"/>
      <c r="AB684" s="583"/>
      <c r="AC684" s="583"/>
      <c r="AD684" s="583"/>
      <c r="AE684" s="583"/>
      <c r="AF684" s="583"/>
    </row>
    <row r="685" ht="19.5" customHeight="1">
      <c r="A685" s="647"/>
      <c r="B685" s="647"/>
      <c r="C685" s="647"/>
      <c r="D685" s="649"/>
      <c r="E685" s="647"/>
      <c r="F685" s="649"/>
      <c r="G685" s="649"/>
      <c r="H685" s="647"/>
      <c r="I685" s="583"/>
      <c r="J685" s="583"/>
      <c r="K685" s="583"/>
      <c r="L685" s="583"/>
      <c r="M685" s="583"/>
      <c r="N685" s="583"/>
      <c r="O685" s="583"/>
      <c r="P685" s="583"/>
      <c r="Q685" s="583"/>
      <c r="R685" s="583"/>
      <c r="S685" s="583"/>
      <c r="T685" s="583"/>
      <c r="U685" s="583"/>
      <c r="V685" s="583"/>
      <c r="W685" s="583"/>
      <c r="X685" s="583"/>
      <c r="Y685" s="583"/>
      <c r="Z685" s="583"/>
      <c r="AA685" s="583"/>
      <c r="AB685" s="583"/>
      <c r="AC685" s="583"/>
      <c r="AD685" s="583"/>
      <c r="AE685" s="583"/>
      <c r="AF685" s="583"/>
    </row>
    <row r="686" ht="19.5" customHeight="1">
      <c r="A686" s="647"/>
      <c r="B686" s="647"/>
      <c r="C686" s="647"/>
      <c r="D686" s="649"/>
      <c r="E686" s="647"/>
      <c r="F686" s="649"/>
      <c r="G686" s="649"/>
      <c r="H686" s="647"/>
      <c r="I686" s="583"/>
      <c r="J686" s="583"/>
      <c r="K686" s="583"/>
      <c r="L686" s="583"/>
      <c r="M686" s="583"/>
      <c r="N686" s="583"/>
      <c r="O686" s="583"/>
      <c r="P686" s="583"/>
      <c r="Q686" s="583"/>
      <c r="R686" s="583"/>
      <c r="S686" s="583"/>
      <c r="T686" s="583"/>
      <c r="U686" s="583"/>
      <c r="V686" s="583"/>
      <c r="W686" s="583"/>
      <c r="X686" s="583"/>
      <c r="Y686" s="583"/>
      <c r="Z686" s="583"/>
      <c r="AA686" s="583"/>
      <c r="AB686" s="583"/>
      <c r="AC686" s="583"/>
      <c r="AD686" s="583"/>
      <c r="AE686" s="583"/>
      <c r="AF686" s="583"/>
    </row>
    <row r="687" ht="19.5" customHeight="1">
      <c r="A687" s="647"/>
      <c r="B687" s="647"/>
      <c r="C687" s="647"/>
      <c r="D687" s="649"/>
      <c r="E687" s="647"/>
      <c r="F687" s="649"/>
      <c r="G687" s="649"/>
      <c r="H687" s="647"/>
      <c r="I687" s="583"/>
      <c r="J687" s="583"/>
      <c r="K687" s="583"/>
      <c r="L687" s="583"/>
      <c r="M687" s="583"/>
      <c r="N687" s="583"/>
      <c r="O687" s="583"/>
      <c r="P687" s="583"/>
      <c r="Q687" s="583"/>
      <c r="R687" s="583"/>
      <c r="S687" s="583"/>
      <c r="T687" s="583"/>
      <c r="U687" s="583"/>
      <c r="V687" s="583"/>
      <c r="W687" s="583"/>
      <c r="X687" s="583"/>
      <c r="Y687" s="583"/>
      <c r="Z687" s="583"/>
      <c r="AA687" s="583"/>
      <c r="AB687" s="583"/>
      <c r="AC687" s="583"/>
      <c r="AD687" s="583"/>
      <c r="AE687" s="583"/>
      <c r="AF687" s="583"/>
    </row>
    <row r="688" ht="19.5" customHeight="1">
      <c r="A688" s="647"/>
      <c r="B688" s="647"/>
      <c r="C688" s="647"/>
      <c r="D688" s="649"/>
      <c r="E688" s="647"/>
      <c r="F688" s="649"/>
      <c r="G688" s="649"/>
      <c r="H688" s="647"/>
      <c r="I688" s="583"/>
      <c r="J688" s="583"/>
      <c r="K688" s="583"/>
      <c r="L688" s="583"/>
      <c r="M688" s="583"/>
      <c r="N688" s="583"/>
      <c r="O688" s="583"/>
      <c r="P688" s="583"/>
      <c r="Q688" s="583"/>
      <c r="R688" s="583"/>
      <c r="S688" s="583"/>
      <c r="T688" s="583"/>
      <c r="U688" s="583"/>
      <c r="V688" s="583"/>
      <c r="W688" s="583"/>
      <c r="X688" s="583"/>
      <c r="Y688" s="583"/>
      <c r="Z688" s="583"/>
      <c r="AA688" s="583"/>
      <c r="AB688" s="583"/>
      <c r="AC688" s="583"/>
      <c r="AD688" s="583"/>
      <c r="AE688" s="583"/>
      <c r="AF688" s="583"/>
    </row>
    <row r="689" ht="19.5" customHeight="1">
      <c r="A689" s="647"/>
      <c r="B689" s="647"/>
      <c r="C689" s="647"/>
      <c r="D689" s="649"/>
      <c r="E689" s="647"/>
      <c r="F689" s="649"/>
      <c r="G689" s="649"/>
      <c r="H689" s="647"/>
      <c r="I689" s="583"/>
      <c r="J689" s="583"/>
      <c r="K689" s="583"/>
      <c r="L689" s="583"/>
      <c r="M689" s="583"/>
      <c r="N689" s="583"/>
      <c r="O689" s="583"/>
      <c r="P689" s="583"/>
      <c r="Q689" s="583"/>
      <c r="R689" s="583"/>
      <c r="S689" s="583"/>
      <c r="T689" s="583"/>
      <c r="U689" s="583"/>
      <c r="V689" s="583"/>
      <c r="W689" s="583"/>
      <c r="X689" s="583"/>
      <c r="Y689" s="583"/>
      <c r="Z689" s="583"/>
      <c r="AA689" s="583"/>
      <c r="AB689" s="583"/>
      <c r="AC689" s="583"/>
      <c r="AD689" s="583"/>
      <c r="AE689" s="583"/>
      <c r="AF689" s="583"/>
    </row>
    <row r="690" ht="19.5" customHeight="1">
      <c r="A690" s="647"/>
      <c r="B690" s="647"/>
      <c r="C690" s="647"/>
      <c r="D690" s="649"/>
      <c r="E690" s="647"/>
      <c r="F690" s="649"/>
      <c r="G690" s="649"/>
      <c r="H690" s="647"/>
      <c r="I690" s="583"/>
      <c r="J690" s="583"/>
      <c r="K690" s="583"/>
      <c r="L690" s="583"/>
      <c r="M690" s="583"/>
      <c r="N690" s="583"/>
      <c r="O690" s="583"/>
      <c r="P690" s="583"/>
      <c r="Q690" s="583"/>
      <c r="R690" s="583"/>
      <c r="S690" s="583"/>
      <c r="T690" s="583"/>
      <c r="U690" s="583"/>
      <c r="V690" s="583"/>
      <c r="W690" s="583"/>
      <c r="X690" s="583"/>
      <c r="Y690" s="583"/>
      <c r="Z690" s="583"/>
      <c r="AA690" s="583"/>
      <c r="AB690" s="583"/>
      <c r="AC690" s="583"/>
      <c r="AD690" s="583"/>
      <c r="AE690" s="583"/>
      <c r="AF690" s="583"/>
    </row>
    <row r="691" ht="19.5" customHeight="1">
      <c r="A691" s="647"/>
      <c r="B691" s="647"/>
      <c r="C691" s="647"/>
      <c r="D691" s="649"/>
      <c r="E691" s="647"/>
      <c r="F691" s="649"/>
      <c r="G691" s="649"/>
      <c r="H691" s="647"/>
      <c r="I691" s="583"/>
      <c r="J691" s="583"/>
      <c r="K691" s="583"/>
      <c r="L691" s="583"/>
      <c r="M691" s="583"/>
      <c r="N691" s="583"/>
      <c r="O691" s="583"/>
      <c r="P691" s="583"/>
      <c r="Q691" s="583"/>
      <c r="R691" s="583"/>
      <c r="S691" s="583"/>
      <c r="T691" s="583"/>
      <c r="U691" s="583"/>
      <c r="V691" s="583"/>
      <c r="W691" s="583"/>
      <c r="X691" s="583"/>
      <c r="Y691" s="583"/>
      <c r="Z691" s="583"/>
      <c r="AA691" s="583"/>
      <c r="AB691" s="583"/>
      <c r="AC691" s="583"/>
      <c r="AD691" s="583"/>
      <c r="AE691" s="583"/>
      <c r="AF691" s="583"/>
    </row>
    <row r="692" ht="19.5" customHeight="1">
      <c r="A692" s="647"/>
      <c r="B692" s="647"/>
      <c r="C692" s="647"/>
      <c r="D692" s="649"/>
      <c r="E692" s="647"/>
      <c r="F692" s="649"/>
      <c r="G692" s="649"/>
      <c r="H692" s="647"/>
      <c r="I692" s="583"/>
      <c r="J692" s="583"/>
      <c r="K692" s="583"/>
      <c r="L692" s="583"/>
      <c r="M692" s="583"/>
      <c r="N692" s="583"/>
      <c r="O692" s="583"/>
      <c r="P692" s="583"/>
      <c r="Q692" s="583"/>
      <c r="R692" s="583"/>
      <c r="S692" s="583"/>
      <c r="T692" s="583"/>
      <c r="U692" s="583"/>
      <c r="V692" s="583"/>
      <c r="W692" s="583"/>
      <c r="X692" s="583"/>
      <c r="Y692" s="583"/>
      <c r="Z692" s="583"/>
      <c r="AA692" s="583"/>
      <c r="AB692" s="583"/>
      <c r="AC692" s="583"/>
      <c r="AD692" s="583"/>
      <c r="AE692" s="583"/>
      <c r="AF692" s="583"/>
    </row>
    <row r="693" ht="19.5" customHeight="1">
      <c r="A693" s="647"/>
      <c r="B693" s="647"/>
      <c r="C693" s="647"/>
      <c r="D693" s="649"/>
      <c r="E693" s="647"/>
      <c r="F693" s="649"/>
      <c r="G693" s="649"/>
      <c r="H693" s="647"/>
      <c r="I693" s="583"/>
      <c r="J693" s="583"/>
      <c r="K693" s="583"/>
      <c r="L693" s="583"/>
      <c r="M693" s="583"/>
      <c r="N693" s="583"/>
      <c r="O693" s="583"/>
      <c r="P693" s="583"/>
      <c r="Q693" s="583"/>
      <c r="R693" s="583"/>
      <c r="S693" s="583"/>
      <c r="T693" s="583"/>
      <c r="U693" s="583"/>
      <c r="V693" s="583"/>
      <c r="W693" s="583"/>
      <c r="X693" s="583"/>
      <c r="Y693" s="583"/>
      <c r="Z693" s="583"/>
      <c r="AA693" s="583"/>
      <c r="AB693" s="583"/>
      <c r="AC693" s="583"/>
      <c r="AD693" s="583"/>
      <c r="AE693" s="583"/>
      <c r="AF693" s="583"/>
    </row>
    <row r="694" ht="19.5" customHeight="1">
      <c r="A694" s="647"/>
      <c r="B694" s="647"/>
      <c r="C694" s="647"/>
      <c r="D694" s="649"/>
      <c r="E694" s="647"/>
      <c r="F694" s="649"/>
      <c r="G694" s="649"/>
      <c r="H694" s="647"/>
      <c r="I694" s="583"/>
      <c r="J694" s="583"/>
      <c r="K694" s="583"/>
      <c r="L694" s="583"/>
      <c r="M694" s="583"/>
      <c r="N694" s="583"/>
      <c r="O694" s="583"/>
      <c r="P694" s="583"/>
      <c r="Q694" s="583"/>
      <c r="R694" s="583"/>
      <c r="S694" s="583"/>
      <c r="T694" s="583"/>
      <c r="U694" s="583"/>
      <c r="V694" s="583"/>
      <c r="W694" s="583"/>
      <c r="X694" s="583"/>
      <c r="Y694" s="583"/>
      <c r="Z694" s="583"/>
      <c r="AA694" s="583"/>
      <c r="AB694" s="583"/>
      <c r="AC694" s="583"/>
      <c r="AD694" s="583"/>
      <c r="AE694" s="583"/>
      <c r="AF694" s="583"/>
    </row>
    <row r="695" ht="19.5" customHeight="1">
      <c r="A695" s="647"/>
      <c r="B695" s="647"/>
      <c r="C695" s="647"/>
      <c r="D695" s="649"/>
      <c r="E695" s="647"/>
      <c r="F695" s="649"/>
      <c r="G695" s="649"/>
      <c r="H695" s="647"/>
      <c r="I695" s="583"/>
      <c r="J695" s="583"/>
      <c r="K695" s="583"/>
      <c r="L695" s="583"/>
      <c r="M695" s="583"/>
      <c r="N695" s="583"/>
      <c r="O695" s="583"/>
      <c r="P695" s="583"/>
      <c r="Q695" s="583"/>
      <c r="R695" s="583"/>
      <c r="S695" s="583"/>
      <c r="T695" s="583"/>
      <c r="U695" s="583"/>
      <c r="V695" s="583"/>
      <c r="W695" s="583"/>
      <c r="X695" s="583"/>
      <c r="Y695" s="583"/>
      <c r="Z695" s="583"/>
      <c r="AA695" s="583"/>
      <c r="AB695" s="583"/>
      <c r="AC695" s="583"/>
      <c r="AD695" s="583"/>
      <c r="AE695" s="583"/>
      <c r="AF695" s="583"/>
    </row>
    <row r="696" ht="19.5" customHeight="1">
      <c r="A696" s="647"/>
      <c r="B696" s="647"/>
      <c r="C696" s="647"/>
      <c r="D696" s="649"/>
      <c r="E696" s="647"/>
      <c r="F696" s="649"/>
      <c r="G696" s="649"/>
      <c r="H696" s="647"/>
      <c r="I696" s="583"/>
      <c r="J696" s="583"/>
      <c r="K696" s="583"/>
      <c r="L696" s="583"/>
      <c r="M696" s="583"/>
      <c r="N696" s="583"/>
      <c r="O696" s="583"/>
      <c r="P696" s="583"/>
      <c r="Q696" s="583"/>
      <c r="R696" s="583"/>
      <c r="S696" s="583"/>
      <c r="T696" s="583"/>
      <c r="U696" s="583"/>
      <c r="V696" s="583"/>
      <c r="W696" s="583"/>
      <c r="X696" s="583"/>
      <c r="Y696" s="583"/>
      <c r="Z696" s="583"/>
      <c r="AA696" s="583"/>
      <c r="AB696" s="583"/>
      <c r="AC696" s="583"/>
      <c r="AD696" s="583"/>
      <c r="AE696" s="583"/>
      <c r="AF696" s="583"/>
    </row>
    <row r="697" ht="19.5" customHeight="1">
      <c r="A697" s="647"/>
      <c r="B697" s="647"/>
      <c r="C697" s="647"/>
      <c r="D697" s="649"/>
      <c r="E697" s="647"/>
      <c r="F697" s="649"/>
      <c r="G697" s="649"/>
      <c r="H697" s="647"/>
      <c r="I697" s="583"/>
      <c r="J697" s="583"/>
      <c r="K697" s="583"/>
      <c r="L697" s="583"/>
      <c r="M697" s="583"/>
      <c r="N697" s="583"/>
      <c r="O697" s="583"/>
      <c r="P697" s="583"/>
      <c r="Q697" s="583"/>
      <c r="R697" s="583"/>
      <c r="S697" s="583"/>
      <c r="T697" s="583"/>
      <c r="U697" s="583"/>
      <c r="V697" s="583"/>
      <c r="W697" s="583"/>
      <c r="X697" s="583"/>
      <c r="Y697" s="583"/>
      <c r="Z697" s="583"/>
      <c r="AA697" s="583"/>
      <c r="AB697" s="583"/>
      <c r="AC697" s="583"/>
      <c r="AD697" s="583"/>
      <c r="AE697" s="583"/>
      <c r="AF697" s="583"/>
    </row>
    <row r="698" ht="19.5" customHeight="1">
      <c r="A698" s="647"/>
      <c r="B698" s="647"/>
      <c r="C698" s="647"/>
      <c r="D698" s="649"/>
      <c r="E698" s="647"/>
      <c r="F698" s="649"/>
      <c r="G698" s="649"/>
      <c r="H698" s="647"/>
      <c r="I698" s="583"/>
      <c r="J698" s="583"/>
      <c r="K698" s="583"/>
      <c r="L698" s="583"/>
      <c r="M698" s="583"/>
      <c r="N698" s="583"/>
      <c r="O698" s="583"/>
      <c r="P698" s="583"/>
      <c r="Q698" s="583"/>
      <c r="R698" s="583"/>
      <c r="S698" s="583"/>
      <c r="T698" s="583"/>
      <c r="U698" s="583"/>
      <c r="V698" s="583"/>
      <c r="W698" s="583"/>
      <c r="X698" s="583"/>
      <c r="Y698" s="583"/>
      <c r="Z698" s="583"/>
      <c r="AA698" s="583"/>
      <c r="AB698" s="583"/>
      <c r="AC698" s="583"/>
      <c r="AD698" s="583"/>
      <c r="AE698" s="583"/>
      <c r="AF698" s="583"/>
    </row>
    <row r="699" ht="19.5" customHeight="1">
      <c r="A699" s="647"/>
      <c r="B699" s="647"/>
      <c r="C699" s="647"/>
      <c r="D699" s="649"/>
      <c r="E699" s="647"/>
      <c r="F699" s="649"/>
      <c r="G699" s="649"/>
      <c r="H699" s="647"/>
      <c r="I699" s="583"/>
      <c r="J699" s="583"/>
      <c r="K699" s="583"/>
      <c r="L699" s="583"/>
      <c r="M699" s="583"/>
      <c r="N699" s="583"/>
      <c r="O699" s="583"/>
      <c r="P699" s="583"/>
      <c r="Q699" s="583"/>
      <c r="R699" s="583"/>
      <c r="S699" s="583"/>
      <c r="T699" s="583"/>
      <c r="U699" s="583"/>
      <c r="V699" s="583"/>
      <c r="W699" s="583"/>
      <c r="X699" s="583"/>
      <c r="Y699" s="583"/>
      <c r="Z699" s="583"/>
      <c r="AA699" s="583"/>
      <c r="AB699" s="583"/>
      <c r="AC699" s="583"/>
      <c r="AD699" s="583"/>
      <c r="AE699" s="583"/>
      <c r="AF699" s="583"/>
    </row>
    <row r="700" ht="19.5" customHeight="1">
      <c r="A700" s="647"/>
      <c r="B700" s="647"/>
      <c r="C700" s="647"/>
      <c r="D700" s="649"/>
      <c r="E700" s="647"/>
      <c r="F700" s="649"/>
      <c r="G700" s="649"/>
      <c r="H700" s="647"/>
      <c r="I700" s="583"/>
      <c r="J700" s="583"/>
      <c r="K700" s="583"/>
      <c r="L700" s="583"/>
      <c r="M700" s="583"/>
      <c r="N700" s="583"/>
      <c r="O700" s="583"/>
      <c r="P700" s="583"/>
      <c r="Q700" s="583"/>
      <c r="R700" s="583"/>
      <c r="S700" s="583"/>
      <c r="T700" s="583"/>
      <c r="U700" s="583"/>
      <c r="V700" s="583"/>
      <c r="W700" s="583"/>
      <c r="X700" s="583"/>
      <c r="Y700" s="583"/>
      <c r="Z700" s="583"/>
      <c r="AA700" s="583"/>
      <c r="AB700" s="583"/>
      <c r="AC700" s="583"/>
      <c r="AD700" s="583"/>
      <c r="AE700" s="583"/>
      <c r="AF700" s="583"/>
    </row>
    <row r="701" ht="19.5" customHeight="1">
      <c r="A701" s="647"/>
      <c r="B701" s="647"/>
      <c r="C701" s="647"/>
      <c r="D701" s="649"/>
      <c r="E701" s="647"/>
      <c r="F701" s="649"/>
      <c r="G701" s="649"/>
      <c r="H701" s="647"/>
      <c r="I701" s="583"/>
      <c r="J701" s="583"/>
      <c r="K701" s="583"/>
      <c r="L701" s="583"/>
      <c r="M701" s="583"/>
      <c r="N701" s="583"/>
      <c r="O701" s="583"/>
      <c r="P701" s="583"/>
      <c r="Q701" s="583"/>
      <c r="R701" s="583"/>
      <c r="S701" s="583"/>
      <c r="T701" s="583"/>
      <c r="U701" s="583"/>
      <c r="V701" s="583"/>
      <c r="W701" s="583"/>
      <c r="X701" s="583"/>
      <c r="Y701" s="583"/>
      <c r="Z701" s="583"/>
      <c r="AA701" s="583"/>
      <c r="AB701" s="583"/>
      <c r="AC701" s="583"/>
      <c r="AD701" s="583"/>
      <c r="AE701" s="583"/>
      <c r="AF701" s="583"/>
    </row>
    <row r="702" ht="19.5" customHeight="1">
      <c r="A702" s="647"/>
      <c r="B702" s="647"/>
      <c r="C702" s="647"/>
      <c r="D702" s="649"/>
      <c r="E702" s="647"/>
      <c r="F702" s="649"/>
      <c r="G702" s="649"/>
      <c r="H702" s="647"/>
      <c r="I702" s="583"/>
      <c r="J702" s="583"/>
      <c r="K702" s="583"/>
      <c r="L702" s="583"/>
      <c r="M702" s="583"/>
      <c r="N702" s="583"/>
      <c r="O702" s="583"/>
      <c r="P702" s="583"/>
      <c r="Q702" s="583"/>
      <c r="R702" s="583"/>
      <c r="S702" s="583"/>
      <c r="T702" s="583"/>
      <c r="U702" s="583"/>
      <c r="V702" s="583"/>
      <c r="W702" s="583"/>
      <c r="X702" s="583"/>
      <c r="Y702" s="583"/>
      <c r="Z702" s="583"/>
      <c r="AA702" s="583"/>
      <c r="AB702" s="583"/>
      <c r="AC702" s="583"/>
      <c r="AD702" s="583"/>
      <c r="AE702" s="583"/>
      <c r="AF702" s="583"/>
    </row>
    <row r="703" ht="19.5" customHeight="1">
      <c r="A703" s="647"/>
      <c r="B703" s="647"/>
      <c r="C703" s="647"/>
      <c r="D703" s="649"/>
      <c r="E703" s="647"/>
      <c r="F703" s="649"/>
      <c r="G703" s="649"/>
      <c r="H703" s="647"/>
      <c r="I703" s="583"/>
      <c r="J703" s="583"/>
      <c r="K703" s="583"/>
      <c r="L703" s="583"/>
      <c r="M703" s="583"/>
      <c r="N703" s="583"/>
      <c r="O703" s="583"/>
      <c r="P703" s="583"/>
      <c r="Q703" s="583"/>
      <c r="R703" s="583"/>
      <c r="S703" s="583"/>
      <c r="T703" s="583"/>
      <c r="U703" s="583"/>
      <c r="V703" s="583"/>
      <c r="W703" s="583"/>
      <c r="X703" s="583"/>
      <c r="Y703" s="583"/>
      <c r="Z703" s="583"/>
      <c r="AA703" s="583"/>
      <c r="AB703" s="583"/>
      <c r="AC703" s="583"/>
      <c r="AD703" s="583"/>
      <c r="AE703" s="583"/>
      <c r="AF703" s="583"/>
    </row>
    <row r="704" ht="19.5" customHeight="1">
      <c r="A704" s="647"/>
      <c r="B704" s="647"/>
      <c r="C704" s="647"/>
      <c r="D704" s="649"/>
      <c r="E704" s="647"/>
      <c r="F704" s="649"/>
      <c r="G704" s="649"/>
      <c r="H704" s="647"/>
      <c r="I704" s="583"/>
      <c r="J704" s="583"/>
      <c r="K704" s="583"/>
      <c r="L704" s="583"/>
      <c r="M704" s="583"/>
      <c r="N704" s="583"/>
      <c r="O704" s="583"/>
      <c r="P704" s="583"/>
      <c r="Q704" s="583"/>
      <c r="R704" s="583"/>
      <c r="S704" s="583"/>
      <c r="T704" s="583"/>
      <c r="U704" s="583"/>
      <c r="V704" s="583"/>
      <c r="W704" s="583"/>
      <c r="X704" s="583"/>
      <c r="Y704" s="583"/>
      <c r="Z704" s="583"/>
      <c r="AA704" s="583"/>
      <c r="AB704" s="583"/>
      <c r="AC704" s="583"/>
      <c r="AD704" s="583"/>
      <c r="AE704" s="583"/>
      <c r="AF704" s="583"/>
    </row>
    <row r="705" ht="19.5" customHeight="1">
      <c r="A705" s="647"/>
      <c r="B705" s="647"/>
      <c r="C705" s="647"/>
      <c r="D705" s="649"/>
      <c r="E705" s="647"/>
      <c r="F705" s="649"/>
      <c r="G705" s="649"/>
      <c r="H705" s="647"/>
      <c r="I705" s="583"/>
      <c r="J705" s="583"/>
      <c r="K705" s="583"/>
      <c r="L705" s="583"/>
      <c r="M705" s="583"/>
      <c r="N705" s="583"/>
      <c r="O705" s="583"/>
      <c r="P705" s="583"/>
      <c r="Q705" s="583"/>
      <c r="R705" s="583"/>
      <c r="S705" s="583"/>
      <c r="T705" s="583"/>
      <c r="U705" s="583"/>
      <c r="V705" s="583"/>
      <c r="W705" s="583"/>
      <c r="X705" s="583"/>
      <c r="Y705" s="583"/>
      <c r="Z705" s="583"/>
      <c r="AA705" s="583"/>
      <c r="AB705" s="583"/>
      <c r="AC705" s="583"/>
      <c r="AD705" s="583"/>
      <c r="AE705" s="583"/>
      <c r="AF705" s="583"/>
    </row>
    <row r="706" ht="19.5" customHeight="1">
      <c r="A706" s="647"/>
      <c r="B706" s="647"/>
      <c r="C706" s="647"/>
      <c r="D706" s="649"/>
      <c r="E706" s="647"/>
      <c r="F706" s="649"/>
      <c r="G706" s="649"/>
      <c r="H706" s="647"/>
      <c r="I706" s="583"/>
      <c r="J706" s="583"/>
      <c r="K706" s="583"/>
      <c r="L706" s="583"/>
      <c r="M706" s="583"/>
      <c r="N706" s="583"/>
      <c r="O706" s="583"/>
      <c r="P706" s="583"/>
      <c r="Q706" s="583"/>
      <c r="R706" s="583"/>
      <c r="S706" s="583"/>
      <c r="T706" s="583"/>
      <c r="U706" s="583"/>
      <c r="V706" s="583"/>
      <c r="W706" s="583"/>
      <c r="X706" s="583"/>
      <c r="Y706" s="583"/>
      <c r="Z706" s="583"/>
      <c r="AA706" s="583"/>
      <c r="AB706" s="583"/>
      <c r="AC706" s="583"/>
      <c r="AD706" s="583"/>
      <c r="AE706" s="583"/>
      <c r="AF706" s="583"/>
    </row>
    <row r="707" ht="19.5" customHeight="1">
      <c r="A707" s="647"/>
      <c r="B707" s="647"/>
      <c r="C707" s="647"/>
      <c r="D707" s="649"/>
      <c r="E707" s="647"/>
      <c r="F707" s="649"/>
      <c r="G707" s="649"/>
      <c r="H707" s="647"/>
      <c r="I707" s="583"/>
      <c r="J707" s="583"/>
      <c r="K707" s="583"/>
      <c r="L707" s="583"/>
      <c r="M707" s="583"/>
      <c r="N707" s="583"/>
      <c r="O707" s="583"/>
      <c r="P707" s="583"/>
      <c r="Q707" s="583"/>
      <c r="R707" s="583"/>
      <c r="S707" s="583"/>
      <c r="T707" s="583"/>
      <c r="U707" s="583"/>
      <c r="V707" s="583"/>
      <c r="W707" s="583"/>
      <c r="X707" s="583"/>
      <c r="Y707" s="583"/>
      <c r="Z707" s="583"/>
      <c r="AA707" s="583"/>
      <c r="AB707" s="583"/>
      <c r="AC707" s="583"/>
      <c r="AD707" s="583"/>
      <c r="AE707" s="583"/>
      <c r="AF707" s="583"/>
    </row>
    <row r="708" ht="19.5" customHeight="1">
      <c r="A708" s="647"/>
      <c r="B708" s="647"/>
      <c r="C708" s="647"/>
      <c r="D708" s="649"/>
      <c r="E708" s="647"/>
      <c r="F708" s="649"/>
      <c r="G708" s="649"/>
      <c r="H708" s="647"/>
      <c r="I708" s="583"/>
      <c r="J708" s="583"/>
      <c r="K708" s="583"/>
      <c r="L708" s="583"/>
      <c r="M708" s="583"/>
      <c r="N708" s="583"/>
      <c r="O708" s="583"/>
      <c r="P708" s="583"/>
      <c r="Q708" s="583"/>
      <c r="R708" s="583"/>
      <c r="S708" s="583"/>
      <c r="T708" s="583"/>
      <c r="U708" s="583"/>
      <c r="V708" s="583"/>
      <c r="W708" s="583"/>
      <c r="X708" s="583"/>
      <c r="Y708" s="583"/>
      <c r="Z708" s="583"/>
      <c r="AA708" s="583"/>
      <c r="AB708" s="583"/>
      <c r="AC708" s="583"/>
      <c r="AD708" s="583"/>
      <c r="AE708" s="583"/>
      <c r="AF708" s="583"/>
    </row>
    <row r="709" ht="19.5" customHeight="1">
      <c r="A709" s="647"/>
      <c r="B709" s="647"/>
      <c r="C709" s="647"/>
      <c r="D709" s="649"/>
      <c r="E709" s="647"/>
      <c r="F709" s="649"/>
      <c r="G709" s="649"/>
      <c r="H709" s="647"/>
      <c r="I709" s="583"/>
      <c r="J709" s="583"/>
      <c r="K709" s="583"/>
      <c r="L709" s="583"/>
      <c r="M709" s="583"/>
      <c r="N709" s="583"/>
      <c r="O709" s="583"/>
      <c r="P709" s="583"/>
      <c r="Q709" s="583"/>
      <c r="R709" s="583"/>
      <c r="S709" s="583"/>
      <c r="T709" s="583"/>
      <c r="U709" s="583"/>
      <c r="V709" s="583"/>
      <c r="W709" s="583"/>
      <c r="X709" s="583"/>
      <c r="Y709" s="583"/>
      <c r="Z709" s="583"/>
      <c r="AA709" s="583"/>
      <c r="AB709" s="583"/>
      <c r="AC709" s="583"/>
      <c r="AD709" s="583"/>
      <c r="AE709" s="583"/>
      <c r="AF709" s="583"/>
    </row>
    <row r="710" ht="19.5" customHeight="1">
      <c r="A710" s="647"/>
      <c r="B710" s="647"/>
      <c r="C710" s="647"/>
      <c r="D710" s="649"/>
      <c r="E710" s="647"/>
      <c r="F710" s="649"/>
      <c r="G710" s="649"/>
      <c r="H710" s="647"/>
      <c r="I710" s="583"/>
      <c r="J710" s="583"/>
      <c r="K710" s="583"/>
      <c r="L710" s="583"/>
      <c r="M710" s="583"/>
      <c r="N710" s="583"/>
      <c r="O710" s="583"/>
      <c r="P710" s="583"/>
      <c r="Q710" s="583"/>
      <c r="R710" s="583"/>
      <c r="S710" s="583"/>
      <c r="T710" s="583"/>
      <c r="U710" s="583"/>
      <c r="V710" s="583"/>
      <c r="W710" s="583"/>
      <c r="X710" s="583"/>
      <c r="Y710" s="583"/>
      <c r="Z710" s="583"/>
      <c r="AA710" s="583"/>
      <c r="AB710" s="583"/>
      <c r="AC710" s="583"/>
      <c r="AD710" s="583"/>
      <c r="AE710" s="583"/>
      <c r="AF710" s="583"/>
    </row>
    <row r="711" ht="19.5" customHeight="1">
      <c r="A711" s="647"/>
      <c r="B711" s="647"/>
      <c r="C711" s="647"/>
      <c r="D711" s="649"/>
      <c r="E711" s="647"/>
      <c r="F711" s="649"/>
      <c r="G711" s="649"/>
      <c r="H711" s="647"/>
      <c r="I711" s="583"/>
      <c r="J711" s="583"/>
      <c r="K711" s="583"/>
      <c r="L711" s="583"/>
      <c r="M711" s="583"/>
      <c r="N711" s="583"/>
      <c r="O711" s="583"/>
      <c r="P711" s="583"/>
      <c r="Q711" s="583"/>
      <c r="R711" s="583"/>
      <c r="S711" s="583"/>
      <c r="T711" s="583"/>
      <c r="U711" s="583"/>
      <c r="V711" s="583"/>
      <c r="W711" s="583"/>
      <c r="X711" s="583"/>
      <c r="Y711" s="583"/>
      <c r="Z711" s="583"/>
      <c r="AA711" s="583"/>
      <c r="AB711" s="583"/>
      <c r="AC711" s="583"/>
      <c r="AD711" s="583"/>
      <c r="AE711" s="583"/>
      <c r="AF711" s="583"/>
    </row>
    <row r="712" ht="19.5" customHeight="1">
      <c r="A712" s="647"/>
      <c r="B712" s="647"/>
      <c r="C712" s="647"/>
      <c r="D712" s="649"/>
      <c r="E712" s="647"/>
      <c r="F712" s="649"/>
      <c r="G712" s="649"/>
      <c r="H712" s="647"/>
      <c r="I712" s="583"/>
      <c r="J712" s="583"/>
      <c r="K712" s="583"/>
      <c r="L712" s="583"/>
      <c r="M712" s="583"/>
      <c r="N712" s="583"/>
      <c r="O712" s="583"/>
      <c r="P712" s="583"/>
      <c r="Q712" s="583"/>
      <c r="R712" s="583"/>
      <c r="S712" s="583"/>
      <c r="T712" s="583"/>
      <c r="U712" s="583"/>
      <c r="V712" s="583"/>
      <c r="W712" s="583"/>
      <c r="X712" s="583"/>
      <c r="Y712" s="583"/>
      <c r="Z712" s="583"/>
      <c r="AA712" s="583"/>
      <c r="AB712" s="583"/>
      <c r="AC712" s="583"/>
      <c r="AD712" s="583"/>
      <c r="AE712" s="583"/>
      <c r="AF712" s="583"/>
    </row>
    <row r="713" ht="19.5" customHeight="1">
      <c r="A713" s="647"/>
      <c r="B713" s="647"/>
      <c r="C713" s="647"/>
      <c r="D713" s="649"/>
      <c r="E713" s="647"/>
      <c r="F713" s="649"/>
      <c r="G713" s="649"/>
      <c r="H713" s="647"/>
      <c r="I713" s="583"/>
      <c r="J713" s="583"/>
      <c r="K713" s="583"/>
      <c r="L713" s="583"/>
      <c r="M713" s="583"/>
      <c r="N713" s="583"/>
      <c r="O713" s="583"/>
      <c r="P713" s="583"/>
      <c r="Q713" s="583"/>
      <c r="R713" s="583"/>
      <c r="S713" s="583"/>
      <c r="T713" s="583"/>
      <c r="U713" s="583"/>
      <c r="V713" s="583"/>
      <c r="W713" s="583"/>
      <c r="X713" s="583"/>
      <c r="Y713" s="583"/>
      <c r="Z713" s="583"/>
      <c r="AA713" s="583"/>
      <c r="AB713" s="583"/>
      <c r="AC713" s="583"/>
      <c r="AD713" s="583"/>
      <c r="AE713" s="583"/>
      <c r="AF713" s="583"/>
    </row>
    <row r="714" ht="19.5" customHeight="1">
      <c r="A714" s="647"/>
      <c r="B714" s="647"/>
      <c r="C714" s="647"/>
      <c r="D714" s="649"/>
      <c r="E714" s="647"/>
      <c r="F714" s="649"/>
      <c r="G714" s="649"/>
      <c r="H714" s="647"/>
      <c r="I714" s="583"/>
      <c r="J714" s="583"/>
      <c r="K714" s="583"/>
      <c r="L714" s="583"/>
      <c r="M714" s="583"/>
      <c r="N714" s="583"/>
      <c r="O714" s="583"/>
      <c r="P714" s="583"/>
      <c r="Q714" s="583"/>
      <c r="R714" s="583"/>
      <c r="S714" s="583"/>
      <c r="T714" s="583"/>
      <c r="U714" s="583"/>
      <c r="V714" s="583"/>
      <c r="W714" s="583"/>
      <c r="X714" s="583"/>
      <c r="Y714" s="583"/>
      <c r="Z714" s="583"/>
      <c r="AA714" s="583"/>
      <c r="AB714" s="583"/>
      <c r="AC714" s="583"/>
      <c r="AD714" s="583"/>
      <c r="AE714" s="583"/>
      <c r="AF714" s="583"/>
    </row>
    <row r="715" ht="19.5" customHeight="1">
      <c r="A715" s="647"/>
      <c r="B715" s="647"/>
      <c r="C715" s="647"/>
      <c r="D715" s="649"/>
      <c r="E715" s="647"/>
      <c r="F715" s="649"/>
      <c r="G715" s="649"/>
      <c r="H715" s="647"/>
      <c r="I715" s="583"/>
      <c r="J715" s="583"/>
      <c r="K715" s="583"/>
      <c r="L715" s="583"/>
      <c r="M715" s="583"/>
      <c r="N715" s="583"/>
      <c r="O715" s="583"/>
      <c r="P715" s="583"/>
      <c r="Q715" s="583"/>
      <c r="R715" s="583"/>
      <c r="S715" s="583"/>
      <c r="T715" s="583"/>
      <c r="U715" s="583"/>
      <c r="V715" s="583"/>
      <c r="W715" s="583"/>
      <c r="X715" s="583"/>
      <c r="Y715" s="583"/>
      <c r="Z715" s="583"/>
      <c r="AA715" s="583"/>
      <c r="AB715" s="583"/>
      <c r="AC715" s="583"/>
      <c r="AD715" s="583"/>
      <c r="AE715" s="583"/>
      <c r="AF715" s="583"/>
    </row>
    <row r="716" ht="19.5" customHeight="1">
      <c r="A716" s="647"/>
      <c r="B716" s="647"/>
      <c r="C716" s="647"/>
      <c r="D716" s="649"/>
      <c r="E716" s="647"/>
      <c r="F716" s="649"/>
      <c r="G716" s="649"/>
      <c r="H716" s="647"/>
      <c r="I716" s="583"/>
      <c r="J716" s="583"/>
      <c r="K716" s="583"/>
      <c r="L716" s="583"/>
      <c r="M716" s="583"/>
      <c r="N716" s="583"/>
      <c r="O716" s="583"/>
      <c r="P716" s="583"/>
      <c r="Q716" s="583"/>
      <c r="R716" s="583"/>
      <c r="S716" s="583"/>
      <c r="T716" s="583"/>
      <c r="U716" s="583"/>
      <c r="V716" s="583"/>
      <c r="W716" s="583"/>
      <c r="X716" s="583"/>
      <c r="Y716" s="583"/>
      <c r="Z716" s="583"/>
      <c r="AA716" s="583"/>
      <c r="AB716" s="583"/>
      <c r="AC716" s="583"/>
      <c r="AD716" s="583"/>
      <c r="AE716" s="583"/>
      <c r="AF716" s="583"/>
    </row>
    <row r="717" ht="19.5" customHeight="1">
      <c r="A717" s="647"/>
      <c r="B717" s="647"/>
      <c r="C717" s="647"/>
      <c r="D717" s="649"/>
      <c r="E717" s="647"/>
      <c r="F717" s="649"/>
      <c r="G717" s="649"/>
      <c r="H717" s="647"/>
      <c r="I717" s="583"/>
      <c r="J717" s="583"/>
      <c r="K717" s="583"/>
      <c r="L717" s="583"/>
      <c r="M717" s="583"/>
      <c r="N717" s="583"/>
      <c r="O717" s="583"/>
      <c r="P717" s="583"/>
      <c r="Q717" s="583"/>
      <c r="R717" s="583"/>
      <c r="S717" s="583"/>
      <c r="T717" s="583"/>
      <c r="U717" s="583"/>
      <c r="V717" s="583"/>
      <c r="W717" s="583"/>
      <c r="X717" s="583"/>
      <c r="Y717" s="583"/>
      <c r="Z717" s="583"/>
      <c r="AA717" s="583"/>
      <c r="AB717" s="583"/>
      <c r="AC717" s="583"/>
      <c r="AD717" s="583"/>
      <c r="AE717" s="583"/>
      <c r="AF717" s="583"/>
    </row>
    <row r="718" ht="19.5" customHeight="1">
      <c r="A718" s="647"/>
      <c r="B718" s="647"/>
      <c r="C718" s="647"/>
      <c r="D718" s="649"/>
      <c r="E718" s="647"/>
      <c r="F718" s="649"/>
      <c r="G718" s="649"/>
      <c r="H718" s="647"/>
      <c r="I718" s="583"/>
      <c r="J718" s="583"/>
      <c r="K718" s="583"/>
      <c r="L718" s="583"/>
      <c r="M718" s="583"/>
      <c r="N718" s="583"/>
      <c r="O718" s="583"/>
      <c r="P718" s="583"/>
      <c r="Q718" s="583"/>
      <c r="R718" s="583"/>
      <c r="S718" s="583"/>
      <c r="T718" s="583"/>
      <c r="U718" s="583"/>
      <c r="V718" s="583"/>
      <c r="W718" s="583"/>
      <c r="X718" s="583"/>
      <c r="Y718" s="583"/>
      <c r="Z718" s="583"/>
      <c r="AA718" s="583"/>
      <c r="AB718" s="583"/>
      <c r="AC718" s="583"/>
      <c r="AD718" s="583"/>
      <c r="AE718" s="583"/>
      <c r="AF718" s="583"/>
    </row>
    <row r="719" ht="19.5" customHeight="1">
      <c r="A719" s="647"/>
      <c r="B719" s="647"/>
      <c r="C719" s="647"/>
      <c r="D719" s="649"/>
      <c r="E719" s="647"/>
      <c r="F719" s="649"/>
      <c r="G719" s="649"/>
      <c r="H719" s="647"/>
      <c r="I719" s="583"/>
      <c r="J719" s="583"/>
      <c r="K719" s="583"/>
      <c r="L719" s="583"/>
      <c r="M719" s="583"/>
      <c r="N719" s="583"/>
      <c r="O719" s="583"/>
      <c r="P719" s="583"/>
      <c r="Q719" s="583"/>
      <c r="R719" s="583"/>
      <c r="S719" s="583"/>
      <c r="T719" s="583"/>
      <c r="U719" s="583"/>
      <c r="V719" s="583"/>
      <c r="W719" s="583"/>
      <c r="X719" s="583"/>
      <c r="Y719" s="583"/>
      <c r="Z719" s="583"/>
      <c r="AA719" s="583"/>
      <c r="AB719" s="583"/>
      <c r="AC719" s="583"/>
      <c r="AD719" s="583"/>
      <c r="AE719" s="583"/>
      <c r="AF719" s="583"/>
    </row>
    <row r="720" ht="19.5" customHeight="1">
      <c r="A720" s="647"/>
      <c r="B720" s="647"/>
      <c r="C720" s="647"/>
      <c r="D720" s="649"/>
      <c r="E720" s="647"/>
      <c r="F720" s="649"/>
      <c r="G720" s="649"/>
      <c r="H720" s="647"/>
      <c r="I720" s="583"/>
      <c r="J720" s="583"/>
      <c r="K720" s="583"/>
      <c r="L720" s="583"/>
      <c r="M720" s="583"/>
      <c r="N720" s="583"/>
      <c r="O720" s="583"/>
      <c r="P720" s="583"/>
      <c r="Q720" s="583"/>
      <c r="R720" s="583"/>
      <c r="S720" s="583"/>
      <c r="T720" s="583"/>
      <c r="U720" s="583"/>
      <c r="V720" s="583"/>
      <c r="W720" s="583"/>
      <c r="X720" s="583"/>
      <c r="Y720" s="583"/>
      <c r="Z720" s="583"/>
      <c r="AA720" s="583"/>
      <c r="AB720" s="583"/>
      <c r="AC720" s="583"/>
      <c r="AD720" s="583"/>
      <c r="AE720" s="583"/>
      <c r="AF720" s="583"/>
    </row>
    <row r="721" ht="19.5" customHeight="1">
      <c r="A721" s="647"/>
      <c r="B721" s="647"/>
      <c r="C721" s="647"/>
      <c r="D721" s="649"/>
      <c r="E721" s="647"/>
      <c r="F721" s="649"/>
      <c r="G721" s="649"/>
      <c r="H721" s="647"/>
      <c r="I721" s="583"/>
      <c r="J721" s="583"/>
      <c r="K721" s="583"/>
      <c r="L721" s="583"/>
      <c r="M721" s="583"/>
      <c r="N721" s="583"/>
      <c r="O721" s="583"/>
      <c r="P721" s="583"/>
      <c r="Q721" s="583"/>
      <c r="R721" s="583"/>
      <c r="S721" s="583"/>
      <c r="T721" s="583"/>
      <c r="U721" s="583"/>
      <c r="V721" s="583"/>
      <c r="W721" s="583"/>
      <c r="X721" s="583"/>
      <c r="Y721" s="583"/>
      <c r="Z721" s="583"/>
      <c r="AA721" s="583"/>
      <c r="AB721" s="583"/>
      <c r="AC721" s="583"/>
      <c r="AD721" s="583"/>
      <c r="AE721" s="583"/>
      <c r="AF721" s="583"/>
    </row>
    <row r="722" ht="19.5" customHeight="1">
      <c r="A722" s="647"/>
      <c r="B722" s="647"/>
      <c r="C722" s="647"/>
      <c r="D722" s="649"/>
      <c r="E722" s="647"/>
      <c r="F722" s="649"/>
      <c r="G722" s="649"/>
      <c r="H722" s="647"/>
      <c r="I722" s="583"/>
      <c r="J722" s="583"/>
      <c r="K722" s="583"/>
      <c r="L722" s="583"/>
      <c r="M722" s="583"/>
      <c r="N722" s="583"/>
      <c r="O722" s="583"/>
      <c r="P722" s="583"/>
      <c r="Q722" s="583"/>
      <c r="R722" s="583"/>
      <c r="S722" s="583"/>
      <c r="T722" s="583"/>
      <c r="U722" s="583"/>
      <c r="V722" s="583"/>
      <c r="W722" s="583"/>
      <c r="X722" s="583"/>
      <c r="Y722" s="583"/>
      <c r="Z722" s="583"/>
      <c r="AA722" s="583"/>
      <c r="AB722" s="583"/>
      <c r="AC722" s="583"/>
      <c r="AD722" s="583"/>
      <c r="AE722" s="583"/>
      <c r="AF722" s="583"/>
    </row>
    <row r="723" ht="19.5" customHeight="1">
      <c r="A723" s="647"/>
      <c r="B723" s="647"/>
      <c r="C723" s="647"/>
      <c r="D723" s="649"/>
      <c r="E723" s="647"/>
      <c r="F723" s="649"/>
      <c r="G723" s="649"/>
      <c r="H723" s="647"/>
      <c r="I723" s="583"/>
      <c r="J723" s="583"/>
      <c r="K723" s="583"/>
      <c r="L723" s="583"/>
      <c r="M723" s="583"/>
      <c r="N723" s="583"/>
      <c r="O723" s="583"/>
      <c r="P723" s="583"/>
      <c r="Q723" s="583"/>
      <c r="R723" s="583"/>
      <c r="S723" s="583"/>
      <c r="T723" s="583"/>
      <c r="U723" s="583"/>
      <c r="V723" s="583"/>
      <c r="W723" s="583"/>
      <c r="X723" s="583"/>
      <c r="Y723" s="583"/>
      <c r="Z723" s="583"/>
      <c r="AA723" s="583"/>
      <c r="AB723" s="583"/>
      <c r="AC723" s="583"/>
      <c r="AD723" s="583"/>
      <c r="AE723" s="583"/>
      <c r="AF723" s="583"/>
    </row>
    <row r="724" ht="19.5" customHeight="1">
      <c r="A724" s="647"/>
      <c r="B724" s="647"/>
      <c r="C724" s="647"/>
      <c r="D724" s="649"/>
      <c r="E724" s="647"/>
      <c r="F724" s="649"/>
      <c r="G724" s="649"/>
      <c r="H724" s="647"/>
      <c r="I724" s="583"/>
      <c r="J724" s="583"/>
      <c r="K724" s="583"/>
      <c r="L724" s="583"/>
      <c r="M724" s="583"/>
      <c r="N724" s="583"/>
      <c r="O724" s="583"/>
      <c r="P724" s="583"/>
      <c r="Q724" s="583"/>
      <c r="R724" s="583"/>
      <c r="S724" s="583"/>
      <c r="T724" s="583"/>
      <c r="U724" s="583"/>
      <c r="V724" s="583"/>
      <c r="W724" s="583"/>
      <c r="X724" s="583"/>
      <c r="Y724" s="583"/>
      <c r="Z724" s="583"/>
      <c r="AA724" s="583"/>
      <c r="AB724" s="583"/>
      <c r="AC724" s="583"/>
      <c r="AD724" s="583"/>
      <c r="AE724" s="583"/>
      <c r="AF724" s="583"/>
    </row>
    <row r="725" ht="19.5" customHeight="1">
      <c r="A725" s="647"/>
      <c r="B725" s="647"/>
      <c r="C725" s="647"/>
      <c r="D725" s="649"/>
      <c r="E725" s="647"/>
      <c r="F725" s="649"/>
      <c r="G725" s="649"/>
      <c r="H725" s="647"/>
      <c r="I725" s="583"/>
      <c r="J725" s="583"/>
      <c r="K725" s="583"/>
      <c r="L725" s="583"/>
      <c r="M725" s="583"/>
      <c r="N725" s="583"/>
      <c r="O725" s="583"/>
      <c r="P725" s="583"/>
      <c r="Q725" s="583"/>
      <c r="R725" s="583"/>
      <c r="S725" s="583"/>
      <c r="T725" s="583"/>
      <c r="U725" s="583"/>
      <c r="V725" s="583"/>
      <c r="W725" s="583"/>
      <c r="X725" s="583"/>
      <c r="Y725" s="583"/>
      <c r="Z725" s="583"/>
      <c r="AA725" s="583"/>
      <c r="AB725" s="583"/>
      <c r="AC725" s="583"/>
      <c r="AD725" s="583"/>
      <c r="AE725" s="583"/>
      <c r="AF725" s="583"/>
    </row>
    <row r="726" ht="19.5" customHeight="1">
      <c r="A726" s="647"/>
      <c r="B726" s="647"/>
      <c r="C726" s="647"/>
      <c r="D726" s="649"/>
      <c r="E726" s="647"/>
      <c r="F726" s="649"/>
      <c r="G726" s="649"/>
      <c r="H726" s="647"/>
      <c r="I726" s="583"/>
      <c r="J726" s="583"/>
      <c r="K726" s="583"/>
      <c r="L726" s="583"/>
      <c r="M726" s="583"/>
      <c r="N726" s="583"/>
      <c r="O726" s="583"/>
      <c r="P726" s="583"/>
      <c r="Q726" s="583"/>
      <c r="R726" s="583"/>
      <c r="S726" s="583"/>
      <c r="T726" s="583"/>
      <c r="U726" s="583"/>
      <c r="V726" s="583"/>
      <c r="W726" s="583"/>
      <c r="X726" s="583"/>
      <c r="Y726" s="583"/>
      <c r="Z726" s="583"/>
      <c r="AA726" s="583"/>
      <c r="AB726" s="583"/>
      <c r="AC726" s="583"/>
      <c r="AD726" s="583"/>
      <c r="AE726" s="583"/>
      <c r="AF726" s="583"/>
    </row>
    <row r="727" ht="19.5" customHeight="1">
      <c r="A727" s="647"/>
      <c r="B727" s="647"/>
      <c r="C727" s="647"/>
      <c r="D727" s="649"/>
      <c r="E727" s="647"/>
      <c r="F727" s="649"/>
      <c r="G727" s="649"/>
      <c r="H727" s="647"/>
      <c r="I727" s="583"/>
      <c r="J727" s="583"/>
      <c r="K727" s="583"/>
      <c r="L727" s="583"/>
      <c r="M727" s="583"/>
      <c r="N727" s="583"/>
      <c r="O727" s="583"/>
      <c r="P727" s="583"/>
      <c r="Q727" s="583"/>
      <c r="R727" s="583"/>
      <c r="S727" s="583"/>
      <c r="T727" s="583"/>
      <c r="U727" s="583"/>
      <c r="V727" s="583"/>
      <c r="W727" s="583"/>
      <c r="X727" s="583"/>
      <c r="Y727" s="583"/>
      <c r="Z727" s="583"/>
      <c r="AA727" s="583"/>
      <c r="AB727" s="583"/>
      <c r="AC727" s="583"/>
      <c r="AD727" s="583"/>
      <c r="AE727" s="583"/>
      <c r="AF727" s="583"/>
    </row>
    <row r="728" ht="19.5" customHeight="1">
      <c r="A728" s="647"/>
      <c r="B728" s="647"/>
      <c r="C728" s="647"/>
      <c r="D728" s="649"/>
      <c r="E728" s="647"/>
      <c r="F728" s="649"/>
      <c r="G728" s="649"/>
      <c r="H728" s="647"/>
      <c r="I728" s="583"/>
      <c r="J728" s="583"/>
      <c r="K728" s="583"/>
      <c r="L728" s="583"/>
      <c r="M728" s="583"/>
      <c r="N728" s="583"/>
      <c r="O728" s="583"/>
      <c r="P728" s="583"/>
      <c r="Q728" s="583"/>
      <c r="R728" s="583"/>
      <c r="S728" s="583"/>
      <c r="T728" s="583"/>
      <c r="U728" s="583"/>
      <c r="V728" s="583"/>
      <c r="W728" s="583"/>
      <c r="X728" s="583"/>
      <c r="Y728" s="583"/>
      <c r="Z728" s="583"/>
      <c r="AA728" s="583"/>
      <c r="AB728" s="583"/>
      <c r="AC728" s="583"/>
      <c r="AD728" s="583"/>
      <c r="AE728" s="583"/>
      <c r="AF728" s="583"/>
    </row>
    <row r="729" ht="19.5" customHeight="1">
      <c r="A729" s="647"/>
      <c r="B729" s="647"/>
      <c r="C729" s="647"/>
      <c r="D729" s="649"/>
      <c r="E729" s="647"/>
      <c r="F729" s="649"/>
      <c r="G729" s="649"/>
      <c r="H729" s="647"/>
      <c r="I729" s="583"/>
      <c r="J729" s="583"/>
      <c r="K729" s="583"/>
      <c r="L729" s="583"/>
      <c r="M729" s="583"/>
      <c r="N729" s="583"/>
      <c r="O729" s="583"/>
      <c r="P729" s="583"/>
      <c r="Q729" s="583"/>
      <c r="R729" s="583"/>
      <c r="S729" s="583"/>
      <c r="T729" s="583"/>
      <c r="U729" s="583"/>
      <c r="V729" s="583"/>
      <c r="W729" s="583"/>
      <c r="X729" s="583"/>
      <c r="Y729" s="583"/>
      <c r="Z729" s="583"/>
      <c r="AA729" s="583"/>
      <c r="AB729" s="583"/>
      <c r="AC729" s="583"/>
      <c r="AD729" s="583"/>
      <c r="AE729" s="583"/>
      <c r="AF729" s="583"/>
    </row>
    <row r="730" ht="19.5" customHeight="1">
      <c r="A730" s="647"/>
      <c r="B730" s="647"/>
      <c r="C730" s="647"/>
      <c r="D730" s="649"/>
      <c r="E730" s="647"/>
      <c r="F730" s="649"/>
      <c r="G730" s="649"/>
      <c r="H730" s="647"/>
      <c r="I730" s="583"/>
      <c r="J730" s="583"/>
      <c r="K730" s="583"/>
      <c r="L730" s="583"/>
      <c r="M730" s="583"/>
      <c r="N730" s="583"/>
      <c r="O730" s="583"/>
      <c r="P730" s="583"/>
      <c r="Q730" s="583"/>
      <c r="R730" s="583"/>
      <c r="S730" s="583"/>
      <c r="T730" s="583"/>
      <c r="U730" s="583"/>
      <c r="V730" s="583"/>
      <c r="W730" s="583"/>
      <c r="X730" s="583"/>
      <c r="Y730" s="583"/>
      <c r="Z730" s="583"/>
      <c r="AA730" s="583"/>
      <c r="AB730" s="583"/>
      <c r="AC730" s="583"/>
      <c r="AD730" s="583"/>
      <c r="AE730" s="583"/>
      <c r="AF730" s="583"/>
    </row>
    <row r="731" ht="19.5" customHeight="1">
      <c r="A731" s="647"/>
      <c r="B731" s="647"/>
      <c r="C731" s="647"/>
      <c r="D731" s="649"/>
      <c r="E731" s="647"/>
      <c r="F731" s="649"/>
      <c r="G731" s="649"/>
      <c r="H731" s="647"/>
      <c r="I731" s="583"/>
      <c r="J731" s="583"/>
      <c r="K731" s="583"/>
      <c r="L731" s="583"/>
      <c r="M731" s="583"/>
      <c r="N731" s="583"/>
      <c r="O731" s="583"/>
      <c r="P731" s="583"/>
      <c r="Q731" s="583"/>
      <c r="R731" s="583"/>
      <c r="S731" s="583"/>
      <c r="T731" s="583"/>
      <c r="U731" s="583"/>
      <c r="V731" s="583"/>
      <c r="W731" s="583"/>
      <c r="X731" s="583"/>
      <c r="Y731" s="583"/>
      <c r="Z731" s="583"/>
      <c r="AA731" s="583"/>
      <c r="AB731" s="583"/>
      <c r="AC731" s="583"/>
      <c r="AD731" s="583"/>
      <c r="AE731" s="583"/>
      <c r="AF731" s="583"/>
    </row>
    <row r="732" ht="19.5" customHeight="1">
      <c r="A732" s="647"/>
      <c r="B732" s="647"/>
      <c r="C732" s="647"/>
      <c r="D732" s="649"/>
      <c r="E732" s="647"/>
      <c r="F732" s="649"/>
      <c r="G732" s="649"/>
      <c r="H732" s="647"/>
      <c r="I732" s="583"/>
      <c r="J732" s="583"/>
      <c r="K732" s="583"/>
      <c r="L732" s="583"/>
      <c r="M732" s="583"/>
      <c r="N732" s="583"/>
      <c r="O732" s="583"/>
      <c r="P732" s="583"/>
      <c r="Q732" s="583"/>
      <c r="R732" s="583"/>
      <c r="S732" s="583"/>
      <c r="T732" s="583"/>
      <c r="U732" s="583"/>
      <c r="V732" s="583"/>
      <c r="W732" s="583"/>
      <c r="X732" s="583"/>
      <c r="Y732" s="583"/>
      <c r="Z732" s="583"/>
      <c r="AA732" s="583"/>
      <c r="AB732" s="583"/>
      <c r="AC732" s="583"/>
      <c r="AD732" s="583"/>
      <c r="AE732" s="583"/>
      <c r="AF732" s="583"/>
    </row>
    <row r="733" ht="19.5" customHeight="1">
      <c r="A733" s="647"/>
      <c r="B733" s="647"/>
      <c r="C733" s="647"/>
      <c r="D733" s="649"/>
      <c r="E733" s="647"/>
      <c r="F733" s="649"/>
      <c r="G733" s="649"/>
      <c r="H733" s="647"/>
      <c r="I733" s="583"/>
      <c r="J733" s="583"/>
      <c r="K733" s="583"/>
      <c r="L733" s="583"/>
      <c r="M733" s="583"/>
      <c r="N733" s="583"/>
      <c r="O733" s="583"/>
      <c r="P733" s="583"/>
      <c r="Q733" s="583"/>
      <c r="R733" s="583"/>
      <c r="S733" s="583"/>
      <c r="T733" s="583"/>
      <c r="U733" s="583"/>
      <c r="V733" s="583"/>
      <c r="W733" s="583"/>
      <c r="X733" s="583"/>
      <c r="Y733" s="583"/>
      <c r="Z733" s="583"/>
      <c r="AA733" s="583"/>
      <c r="AB733" s="583"/>
      <c r="AC733" s="583"/>
      <c r="AD733" s="583"/>
      <c r="AE733" s="583"/>
      <c r="AF733" s="583"/>
    </row>
    <row r="734" ht="19.5" customHeight="1">
      <c r="A734" s="647"/>
      <c r="B734" s="647"/>
      <c r="C734" s="647"/>
      <c r="D734" s="649"/>
      <c r="E734" s="647"/>
      <c r="F734" s="649"/>
      <c r="G734" s="649"/>
      <c r="H734" s="647"/>
      <c r="I734" s="583"/>
      <c r="J734" s="583"/>
      <c r="K734" s="583"/>
      <c r="L734" s="583"/>
      <c r="M734" s="583"/>
      <c r="N734" s="583"/>
      <c r="O734" s="583"/>
      <c r="P734" s="583"/>
      <c r="Q734" s="583"/>
      <c r="R734" s="583"/>
      <c r="S734" s="583"/>
      <c r="T734" s="583"/>
      <c r="U734" s="583"/>
      <c r="V734" s="583"/>
      <c r="W734" s="583"/>
      <c r="X734" s="583"/>
      <c r="Y734" s="583"/>
      <c r="Z734" s="583"/>
      <c r="AA734" s="583"/>
      <c r="AB734" s="583"/>
      <c r="AC734" s="583"/>
      <c r="AD734" s="583"/>
      <c r="AE734" s="583"/>
      <c r="AF734" s="583"/>
    </row>
    <row r="735" ht="19.5" customHeight="1">
      <c r="A735" s="647"/>
      <c r="B735" s="647"/>
      <c r="C735" s="647"/>
      <c r="D735" s="649"/>
      <c r="E735" s="647"/>
      <c r="F735" s="649"/>
      <c r="G735" s="649"/>
      <c r="H735" s="647"/>
      <c r="I735" s="583"/>
      <c r="J735" s="583"/>
      <c r="K735" s="583"/>
      <c r="L735" s="583"/>
      <c r="M735" s="583"/>
      <c r="N735" s="583"/>
      <c r="O735" s="583"/>
      <c r="P735" s="583"/>
      <c r="Q735" s="583"/>
      <c r="R735" s="583"/>
      <c r="S735" s="583"/>
      <c r="T735" s="583"/>
      <c r="U735" s="583"/>
      <c r="V735" s="583"/>
      <c r="W735" s="583"/>
      <c r="X735" s="583"/>
      <c r="Y735" s="583"/>
      <c r="Z735" s="583"/>
      <c r="AA735" s="583"/>
      <c r="AB735" s="583"/>
      <c r="AC735" s="583"/>
      <c r="AD735" s="583"/>
      <c r="AE735" s="583"/>
      <c r="AF735" s="583"/>
    </row>
    <row r="736" ht="19.5" customHeight="1">
      <c r="A736" s="647"/>
      <c r="B736" s="647"/>
      <c r="C736" s="647"/>
      <c r="D736" s="649"/>
      <c r="E736" s="647"/>
      <c r="F736" s="649"/>
      <c r="G736" s="649"/>
      <c r="H736" s="647"/>
      <c r="I736" s="583"/>
      <c r="J736" s="583"/>
      <c r="K736" s="583"/>
      <c r="L736" s="583"/>
      <c r="M736" s="583"/>
      <c r="N736" s="583"/>
      <c r="O736" s="583"/>
      <c r="P736" s="583"/>
      <c r="Q736" s="583"/>
      <c r="R736" s="583"/>
      <c r="S736" s="583"/>
      <c r="T736" s="583"/>
      <c r="U736" s="583"/>
      <c r="V736" s="583"/>
      <c r="W736" s="583"/>
      <c r="X736" s="583"/>
      <c r="Y736" s="583"/>
      <c r="Z736" s="583"/>
      <c r="AA736" s="583"/>
      <c r="AB736" s="583"/>
      <c r="AC736" s="583"/>
      <c r="AD736" s="583"/>
      <c r="AE736" s="583"/>
      <c r="AF736" s="583"/>
    </row>
    <row r="737" ht="19.5" customHeight="1">
      <c r="A737" s="647"/>
      <c r="B737" s="647"/>
      <c r="C737" s="647"/>
      <c r="D737" s="649"/>
      <c r="E737" s="647"/>
      <c r="F737" s="649"/>
      <c r="G737" s="649"/>
      <c r="H737" s="647"/>
      <c r="I737" s="583"/>
      <c r="J737" s="583"/>
      <c r="K737" s="583"/>
      <c r="L737" s="583"/>
      <c r="M737" s="583"/>
      <c r="N737" s="583"/>
      <c r="O737" s="583"/>
      <c r="P737" s="583"/>
      <c r="Q737" s="583"/>
      <c r="R737" s="583"/>
      <c r="S737" s="583"/>
      <c r="T737" s="583"/>
      <c r="U737" s="583"/>
      <c r="V737" s="583"/>
      <c r="W737" s="583"/>
      <c r="X737" s="583"/>
      <c r="Y737" s="583"/>
      <c r="Z737" s="583"/>
      <c r="AA737" s="583"/>
      <c r="AB737" s="583"/>
      <c r="AC737" s="583"/>
      <c r="AD737" s="583"/>
      <c r="AE737" s="583"/>
      <c r="AF737" s="583"/>
    </row>
    <row r="738" ht="19.5" customHeight="1">
      <c r="A738" s="647"/>
      <c r="B738" s="647"/>
      <c r="C738" s="647"/>
      <c r="D738" s="649"/>
      <c r="E738" s="647"/>
      <c r="F738" s="649"/>
      <c r="G738" s="649"/>
      <c r="H738" s="647"/>
      <c r="I738" s="583"/>
      <c r="J738" s="583"/>
      <c r="K738" s="583"/>
      <c r="L738" s="583"/>
      <c r="M738" s="583"/>
      <c r="N738" s="583"/>
      <c r="O738" s="583"/>
      <c r="P738" s="583"/>
      <c r="Q738" s="583"/>
      <c r="R738" s="583"/>
      <c r="S738" s="583"/>
      <c r="T738" s="583"/>
      <c r="U738" s="583"/>
      <c r="V738" s="583"/>
      <c r="W738" s="583"/>
      <c r="X738" s="583"/>
      <c r="Y738" s="583"/>
      <c r="Z738" s="583"/>
      <c r="AA738" s="583"/>
      <c r="AB738" s="583"/>
      <c r="AC738" s="583"/>
      <c r="AD738" s="583"/>
      <c r="AE738" s="583"/>
      <c r="AF738" s="583"/>
    </row>
    <row r="739" ht="19.5" customHeight="1">
      <c r="A739" s="647"/>
      <c r="B739" s="647"/>
      <c r="C739" s="647"/>
      <c r="D739" s="649"/>
      <c r="E739" s="647"/>
      <c r="F739" s="649"/>
      <c r="G739" s="649"/>
      <c r="H739" s="647"/>
      <c r="I739" s="583"/>
      <c r="J739" s="583"/>
      <c r="K739" s="583"/>
      <c r="L739" s="583"/>
      <c r="M739" s="583"/>
      <c r="N739" s="583"/>
      <c r="O739" s="583"/>
      <c r="P739" s="583"/>
      <c r="Q739" s="583"/>
      <c r="R739" s="583"/>
      <c r="S739" s="583"/>
      <c r="T739" s="583"/>
      <c r="U739" s="583"/>
      <c r="V739" s="583"/>
      <c r="W739" s="583"/>
      <c r="X739" s="583"/>
      <c r="Y739" s="583"/>
      <c r="Z739" s="583"/>
      <c r="AA739" s="583"/>
      <c r="AB739" s="583"/>
      <c r="AC739" s="583"/>
      <c r="AD739" s="583"/>
      <c r="AE739" s="583"/>
      <c r="AF739" s="583"/>
    </row>
    <row r="740" ht="19.5" customHeight="1">
      <c r="A740" s="647"/>
      <c r="B740" s="647"/>
      <c r="C740" s="647"/>
      <c r="D740" s="649"/>
      <c r="E740" s="647"/>
      <c r="F740" s="649"/>
      <c r="G740" s="649"/>
      <c r="H740" s="647"/>
      <c r="I740" s="583"/>
      <c r="J740" s="583"/>
      <c r="K740" s="583"/>
      <c r="L740" s="583"/>
      <c r="M740" s="583"/>
      <c r="N740" s="583"/>
      <c r="O740" s="583"/>
      <c r="P740" s="583"/>
      <c r="Q740" s="583"/>
      <c r="R740" s="583"/>
      <c r="S740" s="583"/>
      <c r="T740" s="583"/>
      <c r="U740" s="583"/>
      <c r="V740" s="583"/>
      <c r="W740" s="583"/>
      <c r="X740" s="583"/>
      <c r="Y740" s="583"/>
      <c r="Z740" s="583"/>
      <c r="AA740" s="583"/>
      <c r="AB740" s="583"/>
      <c r="AC740" s="583"/>
      <c r="AD740" s="583"/>
      <c r="AE740" s="583"/>
      <c r="AF740" s="583"/>
    </row>
    <row r="741" ht="19.5" customHeight="1">
      <c r="A741" s="647"/>
      <c r="B741" s="647"/>
      <c r="C741" s="647"/>
      <c r="D741" s="649"/>
      <c r="E741" s="647"/>
      <c r="F741" s="649"/>
      <c r="G741" s="649"/>
      <c r="H741" s="647"/>
      <c r="I741" s="583"/>
      <c r="J741" s="583"/>
      <c r="K741" s="583"/>
      <c r="L741" s="583"/>
      <c r="M741" s="583"/>
      <c r="N741" s="583"/>
      <c r="O741" s="583"/>
      <c r="P741" s="583"/>
      <c r="Q741" s="583"/>
      <c r="R741" s="583"/>
      <c r="S741" s="583"/>
      <c r="T741" s="583"/>
      <c r="U741" s="583"/>
      <c r="V741" s="583"/>
      <c r="W741" s="583"/>
      <c r="X741" s="583"/>
      <c r="Y741" s="583"/>
      <c r="Z741" s="583"/>
      <c r="AA741" s="583"/>
      <c r="AB741" s="583"/>
      <c r="AC741" s="583"/>
      <c r="AD741" s="583"/>
      <c r="AE741" s="583"/>
      <c r="AF741" s="583"/>
    </row>
    <row r="742" ht="19.5" customHeight="1">
      <c r="A742" s="647"/>
      <c r="B742" s="647"/>
      <c r="C742" s="647"/>
      <c r="D742" s="649"/>
      <c r="E742" s="647"/>
      <c r="F742" s="649"/>
      <c r="G742" s="649"/>
      <c r="H742" s="647"/>
      <c r="I742" s="583"/>
      <c r="J742" s="583"/>
      <c r="K742" s="583"/>
      <c r="L742" s="583"/>
      <c r="M742" s="583"/>
      <c r="N742" s="583"/>
      <c r="O742" s="583"/>
      <c r="P742" s="583"/>
      <c r="Q742" s="583"/>
      <c r="R742" s="583"/>
      <c r="S742" s="583"/>
      <c r="T742" s="583"/>
      <c r="U742" s="583"/>
      <c r="V742" s="583"/>
      <c r="W742" s="583"/>
      <c r="X742" s="583"/>
      <c r="Y742" s="583"/>
      <c r="Z742" s="583"/>
      <c r="AA742" s="583"/>
      <c r="AB742" s="583"/>
      <c r="AC742" s="583"/>
      <c r="AD742" s="583"/>
      <c r="AE742" s="583"/>
      <c r="AF742" s="583"/>
    </row>
    <row r="743" ht="19.5" customHeight="1">
      <c r="A743" s="647"/>
      <c r="B743" s="647"/>
      <c r="C743" s="647"/>
      <c r="D743" s="649"/>
      <c r="E743" s="647"/>
      <c r="F743" s="649"/>
      <c r="G743" s="649"/>
      <c r="H743" s="647"/>
      <c r="I743" s="583"/>
      <c r="J743" s="583"/>
      <c r="K743" s="583"/>
      <c r="L743" s="583"/>
      <c r="M743" s="583"/>
      <c r="N743" s="583"/>
      <c r="O743" s="583"/>
      <c r="P743" s="583"/>
      <c r="Q743" s="583"/>
      <c r="R743" s="583"/>
      <c r="S743" s="583"/>
      <c r="T743" s="583"/>
      <c r="U743" s="583"/>
      <c r="V743" s="583"/>
      <c r="W743" s="583"/>
      <c r="X743" s="583"/>
      <c r="Y743" s="583"/>
      <c r="Z743" s="583"/>
      <c r="AA743" s="583"/>
      <c r="AB743" s="583"/>
      <c r="AC743" s="583"/>
      <c r="AD743" s="583"/>
      <c r="AE743" s="583"/>
      <c r="AF743" s="583"/>
    </row>
    <row r="744" ht="19.5" customHeight="1">
      <c r="A744" s="647"/>
      <c r="B744" s="647"/>
      <c r="C744" s="647"/>
      <c r="D744" s="649"/>
      <c r="E744" s="647"/>
      <c r="F744" s="649"/>
      <c r="G744" s="649"/>
      <c r="H744" s="647"/>
      <c r="I744" s="583"/>
      <c r="J744" s="583"/>
      <c r="K744" s="583"/>
      <c r="L744" s="583"/>
      <c r="M744" s="583"/>
      <c r="N744" s="583"/>
      <c r="O744" s="583"/>
      <c r="P744" s="583"/>
      <c r="Q744" s="583"/>
      <c r="R744" s="583"/>
      <c r="S744" s="583"/>
      <c r="T744" s="583"/>
      <c r="U744" s="583"/>
      <c r="V744" s="583"/>
      <c r="W744" s="583"/>
      <c r="X744" s="583"/>
      <c r="Y744" s="583"/>
      <c r="Z744" s="583"/>
      <c r="AA744" s="583"/>
      <c r="AB744" s="583"/>
      <c r="AC744" s="583"/>
      <c r="AD744" s="583"/>
      <c r="AE744" s="583"/>
      <c r="AF744" s="583"/>
    </row>
    <row r="745" ht="19.5" customHeight="1">
      <c r="A745" s="647"/>
      <c r="B745" s="647"/>
      <c r="C745" s="647"/>
      <c r="D745" s="649"/>
      <c r="E745" s="647"/>
      <c r="F745" s="649"/>
      <c r="G745" s="649"/>
      <c r="H745" s="647"/>
      <c r="I745" s="583"/>
      <c r="J745" s="583"/>
      <c r="K745" s="583"/>
      <c r="L745" s="583"/>
      <c r="M745" s="583"/>
      <c r="N745" s="583"/>
      <c r="O745" s="583"/>
      <c r="P745" s="583"/>
      <c r="Q745" s="583"/>
      <c r="R745" s="583"/>
      <c r="S745" s="583"/>
      <c r="T745" s="583"/>
      <c r="U745" s="583"/>
      <c r="V745" s="583"/>
      <c r="W745" s="583"/>
      <c r="X745" s="583"/>
      <c r="Y745" s="583"/>
      <c r="Z745" s="583"/>
      <c r="AA745" s="583"/>
      <c r="AB745" s="583"/>
      <c r="AC745" s="583"/>
      <c r="AD745" s="583"/>
      <c r="AE745" s="583"/>
      <c r="AF745" s="583"/>
    </row>
    <row r="746" ht="19.5" customHeight="1">
      <c r="A746" s="647"/>
      <c r="B746" s="647"/>
      <c r="C746" s="647"/>
      <c r="D746" s="649"/>
      <c r="E746" s="647"/>
      <c r="F746" s="649"/>
      <c r="G746" s="649"/>
      <c r="H746" s="647"/>
      <c r="I746" s="583"/>
      <c r="J746" s="583"/>
      <c r="K746" s="583"/>
      <c r="L746" s="583"/>
      <c r="M746" s="583"/>
      <c r="N746" s="583"/>
      <c r="O746" s="583"/>
      <c r="P746" s="583"/>
      <c r="Q746" s="583"/>
      <c r="R746" s="583"/>
      <c r="S746" s="583"/>
      <c r="T746" s="583"/>
      <c r="U746" s="583"/>
      <c r="V746" s="583"/>
      <c r="W746" s="583"/>
      <c r="X746" s="583"/>
      <c r="Y746" s="583"/>
      <c r="Z746" s="583"/>
      <c r="AA746" s="583"/>
      <c r="AB746" s="583"/>
      <c r="AC746" s="583"/>
      <c r="AD746" s="583"/>
      <c r="AE746" s="583"/>
      <c r="AF746" s="583"/>
    </row>
    <row r="747" ht="19.5" customHeight="1">
      <c r="A747" s="647"/>
      <c r="B747" s="647"/>
      <c r="C747" s="647"/>
      <c r="D747" s="649"/>
      <c r="E747" s="647"/>
      <c r="F747" s="649"/>
      <c r="G747" s="649"/>
      <c r="H747" s="647"/>
      <c r="I747" s="583"/>
      <c r="J747" s="583"/>
      <c r="K747" s="583"/>
      <c r="L747" s="583"/>
      <c r="M747" s="583"/>
      <c r="N747" s="583"/>
      <c r="O747" s="583"/>
      <c r="P747" s="583"/>
      <c r="Q747" s="583"/>
      <c r="R747" s="583"/>
      <c r="S747" s="583"/>
      <c r="T747" s="583"/>
      <c r="U747" s="583"/>
      <c r="V747" s="583"/>
      <c r="W747" s="583"/>
      <c r="X747" s="583"/>
      <c r="Y747" s="583"/>
      <c r="Z747" s="583"/>
      <c r="AA747" s="583"/>
      <c r="AB747" s="583"/>
      <c r="AC747" s="583"/>
      <c r="AD747" s="583"/>
      <c r="AE747" s="583"/>
      <c r="AF747" s="583"/>
    </row>
    <row r="748" ht="19.5" customHeight="1">
      <c r="A748" s="647"/>
      <c r="B748" s="647"/>
      <c r="C748" s="647"/>
      <c r="D748" s="649"/>
      <c r="E748" s="647"/>
      <c r="F748" s="649"/>
      <c r="G748" s="649"/>
      <c r="H748" s="647"/>
      <c r="I748" s="583"/>
      <c r="J748" s="583"/>
      <c r="K748" s="583"/>
      <c r="L748" s="583"/>
      <c r="M748" s="583"/>
      <c r="N748" s="583"/>
      <c r="O748" s="583"/>
      <c r="P748" s="583"/>
      <c r="Q748" s="583"/>
      <c r="R748" s="583"/>
      <c r="S748" s="583"/>
      <c r="T748" s="583"/>
      <c r="U748" s="583"/>
      <c r="V748" s="583"/>
      <c r="W748" s="583"/>
      <c r="X748" s="583"/>
      <c r="Y748" s="583"/>
      <c r="Z748" s="583"/>
      <c r="AA748" s="583"/>
      <c r="AB748" s="583"/>
      <c r="AC748" s="583"/>
      <c r="AD748" s="583"/>
      <c r="AE748" s="583"/>
      <c r="AF748" s="583"/>
    </row>
    <row r="749" ht="19.5" customHeight="1">
      <c r="A749" s="647"/>
      <c r="B749" s="647"/>
      <c r="C749" s="647"/>
      <c r="D749" s="649"/>
      <c r="E749" s="647"/>
      <c r="F749" s="649"/>
      <c r="G749" s="649"/>
      <c r="H749" s="647"/>
      <c r="I749" s="583"/>
      <c r="J749" s="583"/>
      <c r="K749" s="583"/>
      <c r="L749" s="583"/>
      <c r="M749" s="583"/>
      <c r="N749" s="583"/>
      <c r="O749" s="583"/>
      <c r="P749" s="583"/>
      <c r="Q749" s="583"/>
      <c r="R749" s="583"/>
      <c r="S749" s="583"/>
      <c r="T749" s="583"/>
      <c r="U749" s="583"/>
      <c r="V749" s="583"/>
      <c r="W749" s="583"/>
      <c r="X749" s="583"/>
      <c r="Y749" s="583"/>
      <c r="Z749" s="583"/>
      <c r="AA749" s="583"/>
      <c r="AB749" s="583"/>
      <c r="AC749" s="583"/>
      <c r="AD749" s="583"/>
      <c r="AE749" s="583"/>
      <c r="AF749" s="583"/>
    </row>
    <row r="750" ht="19.5" customHeight="1">
      <c r="A750" s="647"/>
      <c r="B750" s="647"/>
      <c r="C750" s="647"/>
      <c r="D750" s="649"/>
      <c r="E750" s="647"/>
      <c r="F750" s="649"/>
      <c r="G750" s="649"/>
      <c r="H750" s="647"/>
      <c r="I750" s="583"/>
      <c r="J750" s="583"/>
      <c r="K750" s="583"/>
      <c r="L750" s="583"/>
      <c r="M750" s="583"/>
      <c r="N750" s="583"/>
      <c r="O750" s="583"/>
      <c r="P750" s="583"/>
      <c r="Q750" s="583"/>
      <c r="R750" s="583"/>
      <c r="S750" s="583"/>
      <c r="T750" s="583"/>
      <c r="U750" s="583"/>
      <c r="V750" s="583"/>
      <c r="W750" s="583"/>
      <c r="X750" s="583"/>
      <c r="Y750" s="583"/>
      <c r="Z750" s="583"/>
      <c r="AA750" s="583"/>
      <c r="AB750" s="583"/>
      <c r="AC750" s="583"/>
      <c r="AD750" s="583"/>
      <c r="AE750" s="583"/>
      <c r="AF750" s="583"/>
    </row>
    <row r="751" ht="19.5" customHeight="1">
      <c r="A751" s="647"/>
      <c r="B751" s="647"/>
      <c r="C751" s="647"/>
      <c r="D751" s="649"/>
      <c r="E751" s="647"/>
      <c r="F751" s="649"/>
      <c r="G751" s="649"/>
      <c r="H751" s="647"/>
      <c r="I751" s="583"/>
      <c r="J751" s="583"/>
      <c r="K751" s="583"/>
      <c r="L751" s="583"/>
      <c r="M751" s="583"/>
      <c r="N751" s="583"/>
      <c r="O751" s="583"/>
      <c r="P751" s="583"/>
      <c r="Q751" s="583"/>
      <c r="R751" s="583"/>
      <c r="S751" s="583"/>
      <c r="T751" s="583"/>
      <c r="U751" s="583"/>
      <c r="V751" s="583"/>
      <c r="W751" s="583"/>
      <c r="X751" s="583"/>
      <c r="Y751" s="583"/>
      <c r="Z751" s="583"/>
      <c r="AA751" s="583"/>
      <c r="AB751" s="583"/>
      <c r="AC751" s="583"/>
      <c r="AD751" s="583"/>
      <c r="AE751" s="583"/>
      <c r="AF751" s="583"/>
    </row>
    <row r="752" ht="19.5" customHeight="1">
      <c r="A752" s="647"/>
      <c r="B752" s="647"/>
      <c r="C752" s="647"/>
      <c r="D752" s="649"/>
      <c r="E752" s="647"/>
      <c r="F752" s="649"/>
      <c r="G752" s="649"/>
      <c r="H752" s="647"/>
      <c r="I752" s="583"/>
      <c r="J752" s="583"/>
      <c r="K752" s="583"/>
      <c r="L752" s="583"/>
      <c r="M752" s="583"/>
      <c r="N752" s="583"/>
      <c r="O752" s="583"/>
      <c r="P752" s="583"/>
      <c r="Q752" s="583"/>
      <c r="R752" s="583"/>
      <c r="S752" s="583"/>
      <c r="T752" s="583"/>
      <c r="U752" s="583"/>
      <c r="V752" s="583"/>
      <c r="W752" s="583"/>
      <c r="X752" s="583"/>
      <c r="Y752" s="583"/>
      <c r="Z752" s="583"/>
      <c r="AA752" s="583"/>
      <c r="AB752" s="583"/>
      <c r="AC752" s="583"/>
      <c r="AD752" s="583"/>
      <c r="AE752" s="583"/>
      <c r="AF752" s="583"/>
    </row>
    <row r="753" ht="19.5" customHeight="1">
      <c r="A753" s="647"/>
      <c r="B753" s="647"/>
      <c r="C753" s="647"/>
      <c r="D753" s="649"/>
      <c r="E753" s="647"/>
      <c r="F753" s="649"/>
      <c r="G753" s="649"/>
      <c r="H753" s="647"/>
      <c r="I753" s="583"/>
      <c r="J753" s="583"/>
      <c r="K753" s="583"/>
      <c r="L753" s="583"/>
      <c r="M753" s="583"/>
      <c r="N753" s="583"/>
      <c r="O753" s="583"/>
      <c r="P753" s="583"/>
      <c r="Q753" s="583"/>
      <c r="R753" s="583"/>
      <c r="S753" s="583"/>
      <c r="T753" s="583"/>
      <c r="U753" s="583"/>
      <c r="V753" s="583"/>
      <c r="W753" s="583"/>
      <c r="X753" s="583"/>
      <c r="Y753" s="583"/>
      <c r="Z753" s="583"/>
      <c r="AA753" s="583"/>
      <c r="AB753" s="583"/>
      <c r="AC753" s="583"/>
      <c r="AD753" s="583"/>
      <c r="AE753" s="583"/>
      <c r="AF753" s="583"/>
    </row>
    <row r="754" ht="19.5" customHeight="1">
      <c r="A754" s="647"/>
      <c r="B754" s="647"/>
      <c r="C754" s="647"/>
      <c r="D754" s="649"/>
      <c r="E754" s="647"/>
      <c r="F754" s="649"/>
      <c r="G754" s="649"/>
      <c r="H754" s="647"/>
      <c r="I754" s="583"/>
      <c r="J754" s="583"/>
      <c r="K754" s="583"/>
      <c r="L754" s="583"/>
      <c r="M754" s="583"/>
      <c r="N754" s="583"/>
      <c r="O754" s="583"/>
      <c r="P754" s="583"/>
      <c r="Q754" s="583"/>
      <c r="R754" s="583"/>
      <c r="S754" s="583"/>
      <c r="T754" s="583"/>
      <c r="U754" s="583"/>
      <c r="V754" s="583"/>
      <c r="W754" s="583"/>
      <c r="X754" s="583"/>
      <c r="Y754" s="583"/>
      <c r="Z754" s="583"/>
      <c r="AA754" s="583"/>
      <c r="AB754" s="583"/>
      <c r="AC754" s="583"/>
      <c r="AD754" s="583"/>
      <c r="AE754" s="583"/>
      <c r="AF754" s="583"/>
    </row>
    <row r="755" ht="19.5" customHeight="1">
      <c r="A755" s="647"/>
      <c r="B755" s="647"/>
      <c r="C755" s="647"/>
      <c r="D755" s="649"/>
      <c r="E755" s="647"/>
      <c r="F755" s="649"/>
      <c r="G755" s="649"/>
      <c r="H755" s="647"/>
      <c r="I755" s="583"/>
      <c r="J755" s="583"/>
      <c r="K755" s="583"/>
      <c r="L755" s="583"/>
      <c r="M755" s="583"/>
      <c r="N755" s="583"/>
      <c r="O755" s="583"/>
      <c r="P755" s="583"/>
      <c r="Q755" s="583"/>
      <c r="R755" s="583"/>
      <c r="S755" s="583"/>
      <c r="T755" s="583"/>
      <c r="U755" s="583"/>
      <c r="V755" s="583"/>
      <c r="W755" s="583"/>
      <c r="X755" s="583"/>
      <c r="Y755" s="583"/>
      <c r="Z755" s="583"/>
      <c r="AA755" s="583"/>
      <c r="AB755" s="583"/>
      <c r="AC755" s="583"/>
      <c r="AD755" s="583"/>
      <c r="AE755" s="583"/>
      <c r="AF755" s="583"/>
    </row>
    <row r="756" ht="19.5" customHeight="1">
      <c r="A756" s="647"/>
      <c r="B756" s="647"/>
      <c r="C756" s="647"/>
      <c r="D756" s="649"/>
      <c r="E756" s="647"/>
      <c r="F756" s="649"/>
      <c r="G756" s="649"/>
      <c r="H756" s="647"/>
      <c r="I756" s="583"/>
      <c r="J756" s="583"/>
      <c r="K756" s="583"/>
      <c r="L756" s="583"/>
      <c r="M756" s="583"/>
      <c r="N756" s="583"/>
      <c r="O756" s="583"/>
      <c r="P756" s="583"/>
      <c r="Q756" s="583"/>
      <c r="R756" s="583"/>
      <c r="S756" s="583"/>
      <c r="T756" s="583"/>
      <c r="U756" s="583"/>
      <c r="V756" s="583"/>
      <c r="W756" s="583"/>
      <c r="X756" s="583"/>
      <c r="Y756" s="583"/>
      <c r="Z756" s="583"/>
      <c r="AA756" s="583"/>
      <c r="AB756" s="583"/>
      <c r="AC756" s="583"/>
      <c r="AD756" s="583"/>
      <c r="AE756" s="583"/>
      <c r="AF756" s="583"/>
    </row>
    <row r="757" ht="19.5" customHeight="1">
      <c r="A757" s="647"/>
      <c r="B757" s="647"/>
      <c r="C757" s="647"/>
      <c r="D757" s="649"/>
      <c r="E757" s="647"/>
      <c r="F757" s="649"/>
      <c r="G757" s="649"/>
      <c r="H757" s="647"/>
      <c r="I757" s="583"/>
      <c r="J757" s="583"/>
      <c r="K757" s="583"/>
      <c r="L757" s="583"/>
      <c r="M757" s="583"/>
      <c r="N757" s="583"/>
      <c r="O757" s="583"/>
      <c r="P757" s="583"/>
      <c r="Q757" s="583"/>
      <c r="R757" s="583"/>
      <c r="S757" s="583"/>
      <c r="T757" s="583"/>
      <c r="U757" s="583"/>
      <c r="V757" s="583"/>
      <c r="W757" s="583"/>
      <c r="X757" s="583"/>
      <c r="Y757" s="583"/>
      <c r="Z757" s="583"/>
      <c r="AA757" s="583"/>
      <c r="AB757" s="583"/>
      <c r="AC757" s="583"/>
      <c r="AD757" s="583"/>
      <c r="AE757" s="583"/>
      <c r="AF757" s="583"/>
    </row>
    <row r="758" ht="19.5" customHeight="1">
      <c r="A758" s="647"/>
      <c r="B758" s="647"/>
      <c r="C758" s="647"/>
      <c r="D758" s="649"/>
      <c r="E758" s="647"/>
      <c r="F758" s="649"/>
      <c r="G758" s="649"/>
      <c r="H758" s="647"/>
      <c r="I758" s="583"/>
      <c r="J758" s="583"/>
      <c r="K758" s="583"/>
      <c r="L758" s="583"/>
      <c r="M758" s="583"/>
      <c r="N758" s="583"/>
      <c r="O758" s="583"/>
      <c r="P758" s="583"/>
      <c r="Q758" s="583"/>
      <c r="R758" s="583"/>
      <c r="S758" s="583"/>
      <c r="T758" s="583"/>
      <c r="U758" s="583"/>
      <c r="V758" s="583"/>
      <c r="W758" s="583"/>
      <c r="X758" s="583"/>
      <c r="Y758" s="583"/>
      <c r="Z758" s="583"/>
      <c r="AA758" s="583"/>
      <c r="AB758" s="583"/>
      <c r="AC758" s="583"/>
      <c r="AD758" s="583"/>
      <c r="AE758" s="583"/>
      <c r="AF758" s="583"/>
    </row>
    <row r="759" ht="19.5" customHeight="1">
      <c r="A759" s="647"/>
      <c r="B759" s="647"/>
      <c r="C759" s="647"/>
      <c r="D759" s="649"/>
      <c r="E759" s="647"/>
      <c r="F759" s="649"/>
      <c r="G759" s="649"/>
      <c r="H759" s="647"/>
      <c r="I759" s="583"/>
      <c r="J759" s="583"/>
      <c r="K759" s="583"/>
      <c r="L759" s="583"/>
      <c r="M759" s="583"/>
      <c r="N759" s="583"/>
      <c r="O759" s="583"/>
      <c r="P759" s="583"/>
      <c r="Q759" s="583"/>
      <c r="R759" s="583"/>
      <c r="S759" s="583"/>
      <c r="T759" s="583"/>
      <c r="U759" s="583"/>
      <c r="V759" s="583"/>
      <c r="W759" s="583"/>
      <c r="X759" s="583"/>
      <c r="Y759" s="583"/>
      <c r="Z759" s="583"/>
      <c r="AA759" s="583"/>
      <c r="AB759" s="583"/>
      <c r="AC759" s="583"/>
      <c r="AD759" s="583"/>
      <c r="AE759" s="583"/>
      <c r="AF759" s="583"/>
    </row>
    <row r="760" ht="19.5" customHeight="1">
      <c r="A760" s="647"/>
      <c r="B760" s="647"/>
      <c r="C760" s="647"/>
      <c r="D760" s="649"/>
      <c r="E760" s="647"/>
      <c r="F760" s="649"/>
      <c r="G760" s="649"/>
      <c r="H760" s="647"/>
      <c r="I760" s="583"/>
      <c r="J760" s="583"/>
      <c r="K760" s="583"/>
      <c r="L760" s="583"/>
      <c r="M760" s="583"/>
      <c r="N760" s="583"/>
      <c r="O760" s="583"/>
      <c r="P760" s="583"/>
      <c r="Q760" s="583"/>
      <c r="R760" s="583"/>
      <c r="S760" s="583"/>
      <c r="T760" s="583"/>
      <c r="U760" s="583"/>
      <c r="V760" s="583"/>
      <c r="W760" s="583"/>
      <c r="X760" s="583"/>
      <c r="Y760" s="583"/>
      <c r="Z760" s="583"/>
      <c r="AA760" s="583"/>
      <c r="AB760" s="583"/>
      <c r="AC760" s="583"/>
      <c r="AD760" s="583"/>
      <c r="AE760" s="583"/>
      <c r="AF760" s="583"/>
    </row>
    <row r="761" ht="19.5" customHeight="1">
      <c r="A761" s="647"/>
      <c r="B761" s="647"/>
      <c r="C761" s="647"/>
      <c r="D761" s="649"/>
      <c r="E761" s="647"/>
      <c r="F761" s="649"/>
      <c r="G761" s="649"/>
      <c r="H761" s="647"/>
      <c r="I761" s="583"/>
      <c r="J761" s="583"/>
      <c r="K761" s="583"/>
      <c r="L761" s="583"/>
      <c r="M761" s="583"/>
      <c r="N761" s="583"/>
      <c r="O761" s="583"/>
      <c r="P761" s="583"/>
      <c r="Q761" s="583"/>
      <c r="R761" s="583"/>
      <c r="S761" s="583"/>
      <c r="T761" s="583"/>
      <c r="U761" s="583"/>
      <c r="V761" s="583"/>
      <c r="W761" s="583"/>
      <c r="X761" s="583"/>
      <c r="Y761" s="583"/>
      <c r="Z761" s="583"/>
      <c r="AA761" s="583"/>
      <c r="AB761" s="583"/>
      <c r="AC761" s="583"/>
      <c r="AD761" s="583"/>
      <c r="AE761" s="583"/>
      <c r="AF761" s="583"/>
    </row>
    <row r="762" ht="19.5" customHeight="1">
      <c r="A762" s="647"/>
      <c r="B762" s="647"/>
      <c r="C762" s="647"/>
      <c r="D762" s="649"/>
      <c r="E762" s="647"/>
      <c r="F762" s="649"/>
      <c r="G762" s="649"/>
      <c r="H762" s="647"/>
      <c r="I762" s="583"/>
      <c r="J762" s="583"/>
      <c r="K762" s="583"/>
      <c r="L762" s="583"/>
      <c r="M762" s="583"/>
      <c r="N762" s="583"/>
      <c r="O762" s="583"/>
      <c r="P762" s="583"/>
      <c r="Q762" s="583"/>
      <c r="R762" s="583"/>
      <c r="S762" s="583"/>
      <c r="T762" s="583"/>
      <c r="U762" s="583"/>
      <c r="V762" s="583"/>
      <c r="W762" s="583"/>
      <c r="X762" s="583"/>
      <c r="Y762" s="583"/>
      <c r="Z762" s="583"/>
      <c r="AA762" s="583"/>
      <c r="AB762" s="583"/>
      <c r="AC762" s="583"/>
      <c r="AD762" s="583"/>
      <c r="AE762" s="583"/>
      <c r="AF762" s="583"/>
    </row>
    <row r="763" ht="19.5" customHeight="1">
      <c r="A763" s="647"/>
      <c r="B763" s="647"/>
      <c r="C763" s="647"/>
      <c r="D763" s="649"/>
      <c r="E763" s="647"/>
      <c r="F763" s="649"/>
      <c r="G763" s="649"/>
      <c r="H763" s="647"/>
      <c r="I763" s="583"/>
      <c r="J763" s="583"/>
      <c r="K763" s="583"/>
      <c r="L763" s="583"/>
      <c r="M763" s="583"/>
      <c r="N763" s="583"/>
      <c r="O763" s="583"/>
      <c r="P763" s="583"/>
      <c r="Q763" s="583"/>
      <c r="R763" s="583"/>
      <c r="S763" s="583"/>
      <c r="T763" s="583"/>
      <c r="U763" s="583"/>
      <c r="V763" s="583"/>
      <c r="W763" s="583"/>
      <c r="X763" s="583"/>
      <c r="Y763" s="583"/>
      <c r="Z763" s="583"/>
      <c r="AA763" s="583"/>
      <c r="AB763" s="583"/>
      <c r="AC763" s="583"/>
      <c r="AD763" s="583"/>
      <c r="AE763" s="583"/>
      <c r="AF763" s="583"/>
    </row>
    <row r="764" ht="19.5" customHeight="1">
      <c r="A764" s="647"/>
      <c r="B764" s="647"/>
      <c r="C764" s="647"/>
      <c r="D764" s="649"/>
      <c r="E764" s="647"/>
      <c r="F764" s="649"/>
      <c r="G764" s="649"/>
      <c r="H764" s="647"/>
      <c r="I764" s="583"/>
      <c r="J764" s="583"/>
      <c r="K764" s="583"/>
      <c r="L764" s="583"/>
      <c r="M764" s="583"/>
      <c r="N764" s="583"/>
      <c r="O764" s="583"/>
      <c r="P764" s="583"/>
      <c r="Q764" s="583"/>
      <c r="R764" s="583"/>
      <c r="S764" s="583"/>
      <c r="T764" s="583"/>
      <c r="U764" s="583"/>
      <c r="V764" s="583"/>
      <c r="W764" s="583"/>
      <c r="X764" s="583"/>
      <c r="Y764" s="583"/>
      <c r="Z764" s="583"/>
      <c r="AA764" s="583"/>
      <c r="AB764" s="583"/>
      <c r="AC764" s="583"/>
      <c r="AD764" s="583"/>
      <c r="AE764" s="583"/>
      <c r="AF764" s="583"/>
    </row>
    <row r="765" ht="19.5" customHeight="1">
      <c r="A765" s="647"/>
      <c r="B765" s="647"/>
      <c r="C765" s="647"/>
      <c r="D765" s="649"/>
      <c r="E765" s="647"/>
      <c r="F765" s="649"/>
      <c r="G765" s="649"/>
      <c r="H765" s="647"/>
      <c r="I765" s="583"/>
      <c r="J765" s="583"/>
      <c r="K765" s="583"/>
      <c r="L765" s="583"/>
      <c r="M765" s="583"/>
      <c r="N765" s="583"/>
      <c r="O765" s="583"/>
      <c r="P765" s="583"/>
      <c r="Q765" s="583"/>
      <c r="R765" s="583"/>
      <c r="S765" s="583"/>
      <c r="T765" s="583"/>
      <c r="U765" s="583"/>
      <c r="V765" s="583"/>
      <c r="W765" s="583"/>
      <c r="X765" s="583"/>
      <c r="Y765" s="583"/>
      <c r="Z765" s="583"/>
      <c r="AA765" s="583"/>
      <c r="AB765" s="583"/>
      <c r="AC765" s="583"/>
      <c r="AD765" s="583"/>
      <c r="AE765" s="583"/>
      <c r="AF765" s="583"/>
    </row>
    <row r="766" ht="19.5" customHeight="1">
      <c r="A766" s="647"/>
      <c r="B766" s="647"/>
      <c r="C766" s="647"/>
      <c r="D766" s="649"/>
      <c r="E766" s="647"/>
      <c r="F766" s="649"/>
      <c r="G766" s="649"/>
      <c r="H766" s="647"/>
      <c r="I766" s="583"/>
      <c r="J766" s="583"/>
      <c r="K766" s="583"/>
      <c r="L766" s="583"/>
      <c r="M766" s="583"/>
      <c r="N766" s="583"/>
      <c r="O766" s="583"/>
      <c r="P766" s="583"/>
      <c r="Q766" s="583"/>
      <c r="R766" s="583"/>
      <c r="S766" s="583"/>
      <c r="T766" s="583"/>
      <c r="U766" s="583"/>
      <c r="V766" s="583"/>
      <c r="W766" s="583"/>
      <c r="X766" s="583"/>
      <c r="Y766" s="583"/>
      <c r="Z766" s="583"/>
      <c r="AA766" s="583"/>
      <c r="AB766" s="583"/>
      <c r="AC766" s="583"/>
      <c r="AD766" s="583"/>
      <c r="AE766" s="583"/>
      <c r="AF766" s="583"/>
    </row>
    <row r="767" ht="19.5" customHeight="1">
      <c r="A767" s="647"/>
      <c r="B767" s="647"/>
      <c r="C767" s="647"/>
      <c r="D767" s="649"/>
      <c r="E767" s="647"/>
      <c r="F767" s="649"/>
      <c r="G767" s="649"/>
      <c r="H767" s="647"/>
      <c r="I767" s="583"/>
      <c r="J767" s="583"/>
      <c r="K767" s="583"/>
      <c r="L767" s="583"/>
      <c r="M767" s="583"/>
      <c r="N767" s="583"/>
      <c r="O767" s="583"/>
      <c r="P767" s="583"/>
      <c r="Q767" s="583"/>
      <c r="R767" s="583"/>
      <c r="S767" s="583"/>
      <c r="T767" s="583"/>
      <c r="U767" s="583"/>
      <c r="V767" s="583"/>
      <c r="W767" s="583"/>
      <c r="X767" s="583"/>
      <c r="Y767" s="583"/>
      <c r="Z767" s="583"/>
      <c r="AA767" s="583"/>
      <c r="AB767" s="583"/>
      <c r="AC767" s="583"/>
      <c r="AD767" s="583"/>
      <c r="AE767" s="583"/>
      <c r="AF767" s="583"/>
    </row>
    <row r="768" ht="19.5" customHeight="1">
      <c r="A768" s="647"/>
      <c r="B768" s="647"/>
      <c r="C768" s="647"/>
      <c r="D768" s="649"/>
      <c r="E768" s="647"/>
      <c r="F768" s="649"/>
      <c r="G768" s="649"/>
      <c r="H768" s="647"/>
      <c r="I768" s="583"/>
      <c r="J768" s="583"/>
      <c r="K768" s="583"/>
      <c r="L768" s="583"/>
      <c r="M768" s="583"/>
      <c r="N768" s="583"/>
      <c r="O768" s="583"/>
      <c r="P768" s="583"/>
      <c r="Q768" s="583"/>
      <c r="R768" s="583"/>
      <c r="S768" s="583"/>
      <c r="T768" s="583"/>
      <c r="U768" s="583"/>
      <c r="V768" s="583"/>
      <c r="W768" s="583"/>
      <c r="X768" s="583"/>
      <c r="Y768" s="583"/>
      <c r="Z768" s="583"/>
      <c r="AA768" s="583"/>
      <c r="AB768" s="583"/>
      <c r="AC768" s="583"/>
      <c r="AD768" s="583"/>
      <c r="AE768" s="583"/>
      <c r="AF768" s="583"/>
    </row>
    <row r="769" ht="19.5" customHeight="1">
      <c r="A769" s="647"/>
      <c r="B769" s="647"/>
      <c r="C769" s="647"/>
      <c r="D769" s="649"/>
      <c r="E769" s="647"/>
      <c r="F769" s="649"/>
      <c r="G769" s="649"/>
      <c r="H769" s="647"/>
      <c r="I769" s="583"/>
      <c r="J769" s="583"/>
      <c r="K769" s="583"/>
      <c r="L769" s="583"/>
      <c r="M769" s="583"/>
      <c r="N769" s="583"/>
      <c r="O769" s="583"/>
      <c r="P769" s="583"/>
      <c r="Q769" s="583"/>
      <c r="R769" s="583"/>
      <c r="S769" s="583"/>
      <c r="T769" s="583"/>
      <c r="U769" s="583"/>
      <c r="V769" s="583"/>
      <c r="W769" s="583"/>
      <c r="X769" s="583"/>
      <c r="Y769" s="583"/>
      <c r="Z769" s="583"/>
      <c r="AA769" s="583"/>
      <c r="AB769" s="583"/>
      <c r="AC769" s="583"/>
      <c r="AD769" s="583"/>
      <c r="AE769" s="583"/>
      <c r="AF769" s="583"/>
    </row>
    <row r="770" ht="19.5" customHeight="1">
      <c r="A770" s="647"/>
      <c r="B770" s="647"/>
      <c r="C770" s="647"/>
      <c r="D770" s="649"/>
      <c r="E770" s="647"/>
      <c r="F770" s="649"/>
      <c r="G770" s="649"/>
      <c r="H770" s="647"/>
      <c r="I770" s="583"/>
      <c r="J770" s="583"/>
      <c r="K770" s="583"/>
      <c r="L770" s="583"/>
      <c r="M770" s="583"/>
      <c r="N770" s="583"/>
      <c r="O770" s="583"/>
      <c r="P770" s="583"/>
      <c r="Q770" s="583"/>
      <c r="R770" s="583"/>
      <c r="S770" s="583"/>
      <c r="T770" s="583"/>
      <c r="U770" s="583"/>
      <c r="V770" s="583"/>
      <c r="W770" s="583"/>
      <c r="X770" s="583"/>
      <c r="Y770" s="583"/>
      <c r="Z770" s="583"/>
      <c r="AA770" s="583"/>
      <c r="AB770" s="583"/>
      <c r="AC770" s="583"/>
      <c r="AD770" s="583"/>
      <c r="AE770" s="583"/>
      <c r="AF770" s="583"/>
    </row>
    <row r="771" ht="19.5" customHeight="1">
      <c r="A771" s="647"/>
      <c r="B771" s="647"/>
      <c r="C771" s="647"/>
      <c r="D771" s="649"/>
      <c r="E771" s="647"/>
      <c r="F771" s="649"/>
      <c r="G771" s="649"/>
      <c r="H771" s="647"/>
      <c r="I771" s="583"/>
      <c r="J771" s="583"/>
      <c r="K771" s="583"/>
      <c r="L771" s="583"/>
      <c r="M771" s="583"/>
      <c r="N771" s="583"/>
      <c r="O771" s="583"/>
      <c r="P771" s="583"/>
      <c r="Q771" s="583"/>
      <c r="R771" s="583"/>
      <c r="S771" s="583"/>
      <c r="T771" s="583"/>
      <c r="U771" s="583"/>
      <c r="V771" s="583"/>
      <c r="W771" s="583"/>
      <c r="X771" s="583"/>
      <c r="Y771" s="583"/>
      <c r="Z771" s="583"/>
      <c r="AA771" s="583"/>
      <c r="AB771" s="583"/>
      <c r="AC771" s="583"/>
      <c r="AD771" s="583"/>
      <c r="AE771" s="583"/>
      <c r="AF771" s="583"/>
    </row>
    <row r="772" ht="19.5" customHeight="1">
      <c r="A772" s="647"/>
      <c r="B772" s="647"/>
      <c r="C772" s="647"/>
      <c r="D772" s="649"/>
      <c r="E772" s="647"/>
      <c r="F772" s="649"/>
      <c r="G772" s="649"/>
      <c r="H772" s="647"/>
      <c r="I772" s="583"/>
      <c r="J772" s="583"/>
      <c r="K772" s="583"/>
      <c r="L772" s="583"/>
      <c r="M772" s="583"/>
      <c r="N772" s="583"/>
      <c r="O772" s="583"/>
      <c r="P772" s="583"/>
      <c r="Q772" s="583"/>
      <c r="R772" s="583"/>
      <c r="S772" s="583"/>
      <c r="T772" s="583"/>
      <c r="U772" s="583"/>
      <c r="V772" s="583"/>
      <c r="W772" s="583"/>
      <c r="X772" s="583"/>
      <c r="Y772" s="583"/>
      <c r="Z772" s="583"/>
      <c r="AA772" s="583"/>
      <c r="AB772" s="583"/>
      <c r="AC772" s="583"/>
      <c r="AD772" s="583"/>
      <c r="AE772" s="583"/>
      <c r="AF772" s="583"/>
    </row>
    <row r="773" ht="19.5" customHeight="1">
      <c r="A773" s="647"/>
      <c r="B773" s="647"/>
      <c r="C773" s="647"/>
      <c r="D773" s="649"/>
      <c r="E773" s="647"/>
      <c r="F773" s="649"/>
      <c r="G773" s="649"/>
      <c r="H773" s="647"/>
      <c r="I773" s="583"/>
      <c r="J773" s="583"/>
      <c r="K773" s="583"/>
      <c r="L773" s="583"/>
      <c r="M773" s="583"/>
      <c r="N773" s="583"/>
      <c r="O773" s="583"/>
      <c r="P773" s="583"/>
      <c r="Q773" s="583"/>
      <c r="R773" s="583"/>
      <c r="S773" s="583"/>
      <c r="T773" s="583"/>
      <c r="U773" s="583"/>
      <c r="V773" s="583"/>
      <c r="W773" s="583"/>
      <c r="X773" s="583"/>
      <c r="Y773" s="583"/>
      <c r="Z773" s="583"/>
      <c r="AA773" s="583"/>
      <c r="AB773" s="583"/>
      <c r="AC773" s="583"/>
      <c r="AD773" s="583"/>
      <c r="AE773" s="583"/>
      <c r="AF773" s="583"/>
    </row>
    <row r="774" ht="19.5" customHeight="1">
      <c r="A774" s="647"/>
      <c r="B774" s="647"/>
      <c r="C774" s="647"/>
      <c r="D774" s="649"/>
      <c r="E774" s="647"/>
      <c r="F774" s="649"/>
      <c r="G774" s="649"/>
      <c r="H774" s="647"/>
      <c r="I774" s="583"/>
      <c r="J774" s="583"/>
      <c r="K774" s="583"/>
      <c r="L774" s="583"/>
      <c r="M774" s="583"/>
      <c r="N774" s="583"/>
      <c r="O774" s="583"/>
      <c r="P774" s="583"/>
      <c r="Q774" s="583"/>
      <c r="R774" s="583"/>
      <c r="S774" s="583"/>
      <c r="T774" s="583"/>
      <c r="U774" s="583"/>
      <c r="V774" s="583"/>
      <c r="W774" s="583"/>
      <c r="X774" s="583"/>
      <c r="Y774" s="583"/>
      <c r="Z774" s="583"/>
      <c r="AA774" s="583"/>
      <c r="AB774" s="583"/>
      <c r="AC774" s="583"/>
      <c r="AD774" s="583"/>
      <c r="AE774" s="583"/>
      <c r="AF774" s="583"/>
    </row>
    <row r="775" ht="19.5" customHeight="1">
      <c r="A775" s="647"/>
      <c r="B775" s="647"/>
      <c r="C775" s="647"/>
      <c r="D775" s="649"/>
      <c r="E775" s="647"/>
      <c r="F775" s="649"/>
      <c r="G775" s="649"/>
      <c r="H775" s="647"/>
      <c r="I775" s="583"/>
      <c r="J775" s="583"/>
      <c r="K775" s="583"/>
      <c r="L775" s="583"/>
      <c r="M775" s="583"/>
      <c r="N775" s="583"/>
      <c r="O775" s="583"/>
      <c r="P775" s="583"/>
      <c r="Q775" s="583"/>
      <c r="R775" s="583"/>
      <c r="S775" s="583"/>
      <c r="T775" s="583"/>
      <c r="U775" s="583"/>
      <c r="V775" s="583"/>
      <c r="W775" s="583"/>
      <c r="X775" s="583"/>
      <c r="Y775" s="583"/>
      <c r="Z775" s="583"/>
      <c r="AA775" s="583"/>
      <c r="AB775" s="583"/>
      <c r="AC775" s="583"/>
      <c r="AD775" s="583"/>
      <c r="AE775" s="583"/>
      <c r="AF775" s="583"/>
    </row>
    <row r="776" ht="19.5" customHeight="1">
      <c r="A776" s="647"/>
      <c r="B776" s="647"/>
      <c r="C776" s="647"/>
      <c r="D776" s="649"/>
      <c r="E776" s="647"/>
      <c r="F776" s="649"/>
      <c r="G776" s="649"/>
      <c r="H776" s="647"/>
      <c r="I776" s="583"/>
      <c r="J776" s="583"/>
      <c r="K776" s="583"/>
      <c r="L776" s="583"/>
      <c r="M776" s="583"/>
      <c r="N776" s="583"/>
      <c r="O776" s="583"/>
      <c r="P776" s="583"/>
      <c r="Q776" s="583"/>
      <c r="R776" s="583"/>
      <c r="S776" s="583"/>
      <c r="T776" s="583"/>
      <c r="U776" s="583"/>
      <c r="V776" s="583"/>
      <c r="W776" s="583"/>
      <c r="X776" s="583"/>
      <c r="Y776" s="583"/>
      <c r="Z776" s="583"/>
      <c r="AA776" s="583"/>
      <c r="AB776" s="583"/>
      <c r="AC776" s="583"/>
      <c r="AD776" s="583"/>
      <c r="AE776" s="583"/>
      <c r="AF776" s="583"/>
    </row>
    <row r="777" ht="19.5" customHeight="1">
      <c r="A777" s="647"/>
      <c r="B777" s="647"/>
      <c r="C777" s="647"/>
      <c r="D777" s="649"/>
      <c r="E777" s="647"/>
      <c r="F777" s="649"/>
      <c r="G777" s="649"/>
      <c r="H777" s="647"/>
      <c r="I777" s="583"/>
      <c r="J777" s="583"/>
      <c r="K777" s="583"/>
      <c r="L777" s="583"/>
      <c r="M777" s="583"/>
      <c r="N777" s="583"/>
      <c r="O777" s="583"/>
      <c r="P777" s="583"/>
      <c r="Q777" s="583"/>
      <c r="R777" s="583"/>
      <c r="S777" s="583"/>
      <c r="T777" s="583"/>
      <c r="U777" s="583"/>
      <c r="V777" s="583"/>
      <c r="W777" s="583"/>
      <c r="X777" s="583"/>
      <c r="Y777" s="583"/>
      <c r="Z777" s="583"/>
      <c r="AA777" s="583"/>
      <c r="AB777" s="583"/>
      <c r="AC777" s="583"/>
      <c r="AD777" s="583"/>
      <c r="AE777" s="583"/>
      <c r="AF777" s="583"/>
    </row>
    <row r="778" ht="19.5" customHeight="1">
      <c r="A778" s="647"/>
      <c r="B778" s="647"/>
      <c r="C778" s="647"/>
      <c r="D778" s="649"/>
      <c r="E778" s="647"/>
      <c r="F778" s="649"/>
      <c r="G778" s="649"/>
      <c r="H778" s="647"/>
      <c r="I778" s="583"/>
      <c r="J778" s="583"/>
      <c r="K778" s="583"/>
      <c r="L778" s="583"/>
      <c r="M778" s="583"/>
      <c r="N778" s="583"/>
      <c r="O778" s="583"/>
      <c r="P778" s="583"/>
      <c r="Q778" s="583"/>
      <c r="R778" s="583"/>
      <c r="S778" s="583"/>
      <c r="T778" s="583"/>
      <c r="U778" s="583"/>
      <c r="V778" s="583"/>
      <c r="W778" s="583"/>
      <c r="X778" s="583"/>
      <c r="Y778" s="583"/>
      <c r="Z778" s="583"/>
      <c r="AA778" s="583"/>
      <c r="AB778" s="583"/>
      <c r="AC778" s="583"/>
      <c r="AD778" s="583"/>
      <c r="AE778" s="583"/>
      <c r="AF778" s="583"/>
    </row>
    <row r="779" ht="19.5" customHeight="1">
      <c r="A779" s="647"/>
      <c r="B779" s="647"/>
      <c r="C779" s="647"/>
      <c r="D779" s="649"/>
      <c r="E779" s="647"/>
      <c r="F779" s="649"/>
      <c r="G779" s="649"/>
      <c r="H779" s="647"/>
      <c r="I779" s="583"/>
      <c r="J779" s="583"/>
      <c r="K779" s="583"/>
      <c r="L779" s="583"/>
      <c r="M779" s="583"/>
      <c r="N779" s="583"/>
      <c r="O779" s="583"/>
      <c r="P779" s="583"/>
      <c r="Q779" s="583"/>
      <c r="R779" s="583"/>
      <c r="S779" s="583"/>
      <c r="T779" s="583"/>
      <c r="U779" s="583"/>
      <c r="V779" s="583"/>
      <c r="W779" s="583"/>
      <c r="X779" s="583"/>
      <c r="Y779" s="583"/>
      <c r="Z779" s="583"/>
      <c r="AA779" s="583"/>
      <c r="AB779" s="583"/>
      <c r="AC779" s="583"/>
      <c r="AD779" s="583"/>
      <c r="AE779" s="583"/>
      <c r="AF779" s="583"/>
    </row>
    <row r="780" ht="19.5" customHeight="1">
      <c r="A780" s="647"/>
      <c r="B780" s="647"/>
      <c r="C780" s="647"/>
      <c r="D780" s="649"/>
      <c r="E780" s="647"/>
      <c r="F780" s="649"/>
      <c r="G780" s="649"/>
      <c r="H780" s="647"/>
      <c r="I780" s="583"/>
      <c r="J780" s="583"/>
      <c r="K780" s="583"/>
      <c r="L780" s="583"/>
      <c r="M780" s="583"/>
      <c r="N780" s="583"/>
      <c r="O780" s="583"/>
      <c r="P780" s="583"/>
      <c r="Q780" s="583"/>
      <c r="R780" s="583"/>
      <c r="S780" s="583"/>
      <c r="T780" s="583"/>
      <c r="U780" s="583"/>
      <c r="V780" s="583"/>
      <c r="W780" s="583"/>
      <c r="X780" s="583"/>
      <c r="Y780" s="583"/>
      <c r="Z780" s="583"/>
      <c r="AA780" s="583"/>
      <c r="AB780" s="583"/>
      <c r="AC780" s="583"/>
      <c r="AD780" s="583"/>
      <c r="AE780" s="583"/>
      <c r="AF780" s="583"/>
    </row>
    <row r="781" ht="19.5" customHeight="1">
      <c r="A781" s="647"/>
      <c r="B781" s="647"/>
      <c r="C781" s="647"/>
      <c r="D781" s="649"/>
      <c r="E781" s="647"/>
      <c r="F781" s="649"/>
      <c r="G781" s="649"/>
      <c r="H781" s="647"/>
      <c r="I781" s="583"/>
      <c r="J781" s="583"/>
      <c r="K781" s="583"/>
      <c r="L781" s="583"/>
      <c r="M781" s="583"/>
      <c r="N781" s="583"/>
      <c r="O781" s="583"/>
      <c r="P781" s="583"/>
      <c r="Q781" s="583"/>
      <c r="R781" s="583"/>
      <c r="S781" s="583"/>
      <c r="T781" s="583"/>
      <c r="U781" s="583"/>
      <c r="V781" s="583"/>
      <c r="W781" s="583"/>
      <c r="X781" s="583"/>
      <c r="Y781" s="583"/>
      <c r="Z781" s="583"/>
      <c r="AA781" s="583"/>
      <c r="AB781" s="583"/>
      <c r="AC781" s="583"/>
      <c r="AD781" s="583"/>
      <c r="AE781" s="583"/>
      <c r="AF781" s="583"/>
    </row>
    <row r="782" ht="19.5" customHeight="1">
      <c r="A782" s="647"/>
      <c r="B782" s="647"/>
      <c r="C782" s="647"/>
      <c r="D782" s="649"/>
      <c r="E782" s="647"/>
      <c r="F782" s="649"/>
      <c r="G782" s="649"/>
      <c r="H782" s="647"/>
      <c r="I782" s="583"/>
      <c r="J782" s="583"/>
      <c r="K782" s="583"/>
      <c r="L782" s="583"/>
      <c r="M782" s="583"/>
      <c r="N782" s="583"/>
      <c r="O782" s="583"/>
      <c r="P782" s="583"/>
      <c r="Q782" s="583"/>
      <c r="R782" s="583"/>
      <c r="S782" s="583"/>
      <c r="T782" s="583"/>
      <c r="U782" s="583"/>
      <c r="V782" s="583"/>
      <c r="W782" s="583"/>
      <c r="X782" s="583"/>
      <c r="Y782" s="583"/>
      <c r="Z782" s="583"/>
      <c r="AA782" s="583"/>
      <c r="AB782" s="583"/>
      <c r="AC782" s="583"/>
      <c r="AD782" s="583"/>
      <c r="AE782" s="583"/>
      <c r="AF782" s="583"/>
    </row>
    <row r="783" ht="19.5" customHeight="1">
      <c r="A783" s="647"/>
      <c r="B783" s="647"/>
      <c r="C783" s="647"/>
      <c r="D783" s="649"/>
      <c r="E783" s="647"/>
      <c r="F783" s="649"/>
      <c r="G783" s="649"/>
      <c r="H783" s="647"/>
      <c r="I783" s="583"/>
      <c r="J783" s="583"/>
      <c r="K783" s="583"/>
      <c r="L783" s="583"/>
      <c r="M783" s="583"/>
      <c r="N783" s="583"/>
      <c r="O783" s="583"/>
      <c r="P783" s="583"/>
      <c r="Q783" s="583"/>
      <c r="R783" s="583"/>
      <c r="S783" s="583"/>
      <c r="T783" s="583"/>
      <c r="U783" s="583"/>
      <c r="V783" s="583"/>
      <c r="W783" s="583"/>
      <c r="X783" s="583"/>
      <c r="Y783" s="583"/>
      <c r="Z783" s="583"/>
      <c r="AA783" s="583"/>
      <c r="AB783" s="583"/>
      <c r="AC783" s="583"/>
      <c r="AD783" s="583"/>
      <c r="AE783" s="583"/>
      <c r="AF783" s="583"/>
    </row>
    <row r="784" ht="19.5" customHeight="1">
      <c r="A784" s="647"/>
      <c r="B784" s="647"/>
      <c r="C784" s="647"/>
      <c r="D784" s="649"/>
      <c r="E784" s="647"/>
      <c r="F784" s="649"/>
      <c r="G784" s="649"/>
      <c r="H784" s="647"/>
      <c r="I784" s="583"/>
      <c r="J784" s="583"/>
      <c r="K784" s="583"/>
      <c r="L784" s="583"/>
      <c r="M784" s="583"/>
      <c r="N784" s="583"/>
      <c r="O784" s="583"/>
      <c r="P784" s="583"/>
      <c r="Q784" s="583"/>
      <c r="R784" s="583"/>
      <c r="S784" s="583"/>
      <c r="T784" s="583"/>
      <c r="U784" s="583"/>
      <c r="V784" s="583"/>
      <c r="W784" s="583"/>
      <c r="X784" s="583"/>
      <c r="Y784" s="583"/>
      <c r="Z784" s="583"/>
      <c r="AA784" s="583"/>
      <c r="AB784" s="583"/>
      <c r="AC784" s="583"/>
      <c r="AD784" s="583"/>
      <c r="AE784" s="583"/>
      <c r="AF784" s="583"/>
    </row>
    <row r="785" ht="19.5" customHeight="1">
      <c r="A785" s="647"/>
      <c r="B785" s="647"/>
      <c r="C785" s="647"/>
      <c r="D785" s="649"/>
      <c r="E785" s="647"/>
      <c r="F785" s="649"/>
      <c r="G785" s="649"/>
      <c r="H785" s="647"/>
      <c r="I785" s="583"/>
      <c r="J785" s="583"/>
      <c r="K785" s="583"/>
      <c r="L785" s="583"/>
      <c r="M785" s="583"/>
      <c r="N785" s="583"/>
      <c r="O785" s="583"/>
      <c r="P785" s="583"/>
      <c r="Q785" s="583"/>
      <c r="R785" s="583"/>
      <c r="S785" s="583"/>
      <c r="T785" s="583"/>
      <c r="U785" s="583"/>
      <c r="V785" s="583"/>
      <c r="W785" s="583"/>
      <c r="X785" s="583"/>
      <c r="Y785" s="583"/>
      <c r="Z785" s="583"/>
      <c r="AA785" s="583"/>
      <c r="AB785" s="583"/>
      <c r="AC785" s="583"/>
      <c r="AD785" s="583"/>
      <c r="AE785" s="583"/>
      <c r="AF785" s="583"/>
    </row>
    <row r="786" ht="19.5" customHeight="1">
      <c r="A786" s="647"/>
      <c r="B786" s="647"/>
      <c r="C786" s="647"/>
      <c r="D786" s="649"/>
      <c r="E786" s="647"/>
      <c r="F786" s="649"/>
      <c r="G786" s="649"/>
      <c r="H786" s="647"/>
      <c r="I786" s="583"/>
      <c r="J786" s="583"/>
      <c r="K786" s="583"/>
      <c r="L786" s="583"/>
      <c r="M786" s="583"/>
      <c r="N786" s="583"/>
      <c r="O786" s="583"/>
      <c r="P786" s="583"/>
      <c r="Q786" s="583"/>
      <c r="R786" s="583"/>
      <c r="S786" s="583"/>
      <c r="T786" s="583"/>
      <c r="U786" s="583"/>
      <c r="V786" s="583"/>
      <c r="W786" s="583"/>
      <c r="X786" s="583"/>
      <c r="Y786" s="583"/>
      <c r="Z786" s="583"/>
      <c r="AA786" s="583"/>
      <c r="AB786" s="583"/>
      <c r="AC786" s="583"/>
      <c r="AD786" s="583"/>
      <c r="AE786" s="583"/>
      <c r="AF786" s="583"/>
    </row>
    <row r="787" ht="19.5" customHeight="1">
      <c r="A787" s="647"/>
      <c r="B787" s="647"/>
      <c r="C787" s="647"/>
      <c r="D787" s="649"/>
      <c r="E787" s="647"/>
      <c r="F787" s="649"/>
      <c r="G787" s="649"/>
      <c r="H787" s="647"/>
      <c r="I787" s="583"/>
      <c r="J787" s="583"/>
      <c r="K787" s="583"/>
      <c r="L787" s="583"/>
      <c r="M787" s="583"/>
      <c r="N787" s="583"/>
      <c r="O787" s="583"/>
      <c r="P787" s="583"/>
      <c r="Q787" s="583"/>
      <c r="R787" s="583"/>
      <c r="S787" s="583"/>
      <c r="T787" s="583"/>
      <c r="U787" s="583"/>
      <c r="V787" s="583"/>
      <c r="W787" s="583"/>
      <c r="X787" s="583"/>
      <c r="Y787" s="583"/>
      <c r="Z787" s="583"/>
      <c r="AA787" s="583"/>
      <c r="AB787" s="583"/>
      <c r="AC787" s="583"/>
      <c r="AD787" s="583"/>
      <c r="AE787" s="583"/>
      <c r="AF787" s="583"/>
    </row>
    <row r="788" ht="19.5" customHeight="1">
      <c r="A788" s="647"/>
      <c r="B788" s="647"/>
      <c r="C788" s="647"/>
      <c r="D788" s="649"/>
      <c r="E788" s="647"/>
      <c r="F788" s="649"/>
      <c r="G788" s="649"/>
      <c r="H788" s="647"/>
      <c r="I788" s="583"/>
      <c r="J788" s="583"/>
      <c r="K788" s="583"/>
      <c r="L788" s="583"/>
      <c r="M788" s="583"/>
      <c r="N788" s="583"/>
      <c r="O788" s="583"/>
      <c r="P788" s="583"/>
      <c r="Q788" s="583"/>
      <c r="R788" s="583"/>
      <c r="S788" s="583"/>
      <c r="T788" s="583"/>
      <c r="U788" s="583"/>
      <c r="V788" s="583"/>
      <c r="W788" s="583"/>
      <c r="X788" s="583"/>
      <c r="Y788" s="583"/>
      <c r="Z788" s="583"/>
      <c r="AA788" s="583"/>
      <c r="AB788" s="583"/>
      <c r="AC788" s="583"/>
      <c r="AD788" s="583"/>
      <c r="AE788" s="583"/>
      <c r="AF788" s="583"/>
    </row>
    <row r="789" ht="19.5" customHeight="1">
      <c r="A789" s="647"/>
      <c r="B789" s="647"/>
      <c r="C789" s="647"/>
      <c r="D789" s="649"/>
      <c r="E789" s="647"/>
      <c r="F789" s="649"/>
      <c r="G789" s="649"/>
      <c r="H789" s="647"/>
      <c r="I789" s="583"/>
      <c r="J789" s="583"/>
      <c r="K789" s="583"/>
      <c r="L789" s="583"/>
      <c r="M789" s="583"/>
      <c r="N789" s="583"/>
      <c r="O789" s="583"/>
      <c r="P789" s="583"/>
      <c r="Q789" s="583"/>
      <c r="R789" s="583"/>
      <c r="S789" s="583"/>
      <c r="T789" s="583"/>
      <c r="U789" s="583"/>
      <c r="V789" s="583"/>
      <c r="W789" s="583"/>
      <c r="X789" s="583"/>
      <c r="Y789" s="583"/>
      <c r="Z789" s="583"/>
      <c r="AA789" s="583"/>
      <c r="AB789" s="583"/>
      <c r="AC789" s="583"/>
      <c r="AD789" s="583"/>
      <c r="AE789" s="583"/>
      <c r="AF789" s="583"/>
    </row>
    <row r="790" ht="19.5" customHeight="1">
      <c r="A790" s="647"/>
      <c r="B790" s="647"/>
      <c r="C790" s="647"/>
      <c r="D790" s="649"/>
      <c r="E790" s="647"/>
      <c r="F790" s="649"/>
      <c r="G790" s="649"/>
      <c r="H790" s="647"/>
      <c r="I790" s="583"/>
      <c r="J790" s="583"/>
      <c r="K790" s="583"/>
      <c r="L790" s="583"/>
      <c r="M790" s="583"/>
      <c r="N790" s="583"/>
      <c r="O790" s="583"/>
      <c r="P790" s="583"/>
      <c r="Q790" s="583"/>
      <c r="R790" s="583"/>
      <c r="S790" s="583"/>
      <c r="T790" s="583"/>
      <c r="U790" s="583"/>
      <c r="V790" s="583"/>
      <c r="W790" s="583"/>
      <c r="X790" s="583"/>
      <c r="Y790" s="583"/>
      <c r="Z790" s="583"/>
      <c r="AA790" s="583"/>
      <c r="AB790" s="583"/>
      <c r="AC790" s="583"/>
      <c r="AD790" s="583"/>
      <c r="AE790" s="583"/>
      <c r="AF790" s="583"/>
    </row>
    <row r="791" ht="19.5" customHeight="1">
      <c r="A791" s="647"/>
      <c r="B791" s="647"/>
      <c r="C791" s="647"/>
      <c r="D791" s="649"/>
      <c r="E791" s="647"/>
      <c r="F791" s="649"/>
      <c r="G791" s="649"/>
      <c r="H791" s="647"/>
      <c r="I791" s="583"/>
      <c r="J791" s="583"/>
      <c r="K791" s="583"/>
      <c r="L791" s="583"/>
      <c r="M791" s="583"/>
      <c r="N791" s="583"/>
      <c r="O791" s="583"/>
      <c r="P791" s="583"/>
      <c r="Q791" s="583"/>
      <c r="R791" s="583"/>
      <c r="S791" s="583"/>
      <c r="T791" s="583"/>
      <c r="U791" s="583"/>
      <c r="V791" s="583"/>
      <c r="W791" s="583"/>
      <c r="X791" s="583"/>
      <c r="Y791" s="583"/>
      <c r="Z791" s="583"/>
      <c r="AA791" s="583"/>
      <c r="AB791" s="583"/>
      <c r="AC791" s="583"/>
      <c r="AD791" s="583"/>
      <c r="AE791" s="583"/>
      <c r="AF791" s="583"/>
    </row>
    <row r="792" ht="19.5" customHeight="1">
      <c r="A792" s="647"/>
      <c r="B792" s="647"/>
      <c r="C792" s="647"/>
      <c r="D792" s="649"/>
      <c r="E792" s="647"/>
      <c r="F792" s="649"/>
      <c r="G792" s="649"/>
      <c r="H792" s="647"/>
      <c r="I792" s="583"/>
      <c r="J792" s="583"/>
      <c r="K792" s="583"/>
      <c r="L792" s="583"/>
      <c r="M792" s="583"/>
      <c r="N792" s="583"/>
      <c r="O792" s="583"/>
      <c r="P792" s="583"/>
      <c r="Q792" s="583"/>
      <c r="R792" s="583"/>
      <c r="S792" s="583"/>
      <c r="T792" s="583"/>
      <c r="U792" s="583"/>
      <c r="V792" s="583"/>
      <c r="W792" s="583"/>
      <c r="X792" s="583"/>
      <c r="Y792" s="583"/>
      <c r="Z792" s="583"/>
      <c r="AA792" s="583"/>
      <c r="AB792" s="583"/>
      <c r="AC792" s="583"/>
      <c r="AD792" s="583"/>
      <c r="AE792" s="583"/>
      <c r="AF792" s="583"/>
    </row>
    <row r="793" ht="19.5" customHeight="1">
      <c r="A793" s="647"/>
      <c r="B793" s="647"/>
      <c r="C793" s="647"/>
      <c r="D793" s="649"/>
      <c r="E793" s="647"/>
      <c r="F793" s="649"/>
      <c r="G793" s="649"/>
      <c r="H793" s="647"/>
      <c r="I793" s="583"/>
      <c r="J793" s="583"/>
      <c r="K793" s="583"/>
      <c r="L793" s="583"/>
      <c r="M793" s="583"/>
      <c r="N793" s="583"/>
      <c r="O793" s="583"/>
      <c r="P793" s="583"/>
      <c r="Q793" s="583"/>
      <c r="R793" s="583"/>
      <c r="S793" s="583"/>
      <c r="T793" s="583"/>
      <c r="U793" s="583"/>
      <c r="V793" s="583"/>
      <c r="W793" s="583"/>
      <c r="X793" s="583"/>
      <c r="Y793" s="583"/>
      <c r="Z793" s="583"/>
      <c r="AA793" s="583"/>
      <c r="AB793" s="583"/>
      <c r="AC793" s="583"/>
      <c r="AD793" s="583"/>
      <c r="AE793" s="583"/>
      <c r="AF793" s="583"/>
    </row>
    <row r="794" ht="19.5" customHeight="1">
      <c r="A794" s="647"/>
      <c r="B794" s="647"/>
      <c r="C794" s="647"/>
      <c r="D794" s="649"/>
      <c r="E794" s="647"/>
      <c r="F794" s="649"/>
      <c r="G794" s="649"/>
      <c r="H794" s="647"/>
      <c r="I794" s="583"/>
      <c r="J794" s="583"/>
      <c r="K794" s="583"/>
      <c r="L794" s="583"/>
      <c r="M794" s="583"/>
      <c r="N794" s="583"/>
      <c r="O794" s="583"/>
      <c r="P794" s="583"/>
      <c r="Q794" s="583"/>
      <c r="R794" s="583"/>
      <c r="S794" s="583"/>
      <c r="T794" s="583"/>
      <c r="U794" s="583"/>
      <c r="V794" s="583"/>
      <c r="W794" s="583"/>
      <c r="X794" s="583"/>
      <c r="Y794" s="583"/>
      <c r="Z794" s="583"/>
      <c r="AA794" s="583"/>
      <c r="AB794" s="583"/>
      <c r="AC794" s="583"/>
      <c r="AD794" s="583"/>
      <c r="AE794" s="583"/>
      <c r="AF794" s="583"/>
    </row>
    <row r="795" ht="19.5" customHeight="1">
      <c r="A795" s="647"/>
      <c r="B795" s="647"/>
      <c r="C795" s="647"/>
      <c r="D795" s="649"/>
      <c r="E795" s="647"/>
      <c r="F795" s="649"/>
      <c r="G795" s="649"/>
      <c r="H795" s="647"/>
      <c r="I795" s="583"/>
      <c r="J795" s="583"/>
      <c r="K795" s="583"/>
      <c r="L795" s="583"/>
      <c r="M795" s="583"/>
      <c r="N795" s="583"/>
      <c r="O795" s="583"/>
      <c r="P795" s="583"/>
      <c r="Q795" s="583"/>
      <c r="R795" s="583"/>
      <c r="S795" s="583"/>
      <c r="T795" s="583"/>
      <c r="U795" s="583"/>
      <c r="V795" s="583"/>
      <c r="W795" s="583"/>
      <c r="X795" s="583"/>
      <c r="Y795" s="583"/>
      <c r="Z795" s="583"/>
      <c r="AA795" s="583"/>
      <c r="AB795" s="583"/>
      <c r="AC795" s="583"/>
      <c r="AD795" s="583"/>
      <c r="AE795" s="583"/>
      <c r="AF795" s="583"/>
    </row>
    <row r="796" ht="19.5" customHeight="1">
      <c r="A796" s="647"/>
      <c r="B796" s="647"/>
      <c r="C796" s="647"/>
      <c r="D796" s="649"/>
      <c r="E796" s="647"/>
      <c r="F796" s="649"/>
      <c r="G796" s="649"/>
      <c r="H796" s="647"/>
      <c r="I796" s="583"/>
      <c r="J796" s="583"/>
      <c r="K796" s="583"/>
      <c r="L796" s="583"/>
      <c r="M796" s="583"/>
      <c r="N796" s="583"/>
      <c r="O796" s="583"/>
      <c r="P796" s="583"/>
      <c r="Q796" s="583"/>
      <c r="R796" s="583"/>
      <c r="S796" s="583"/>
      <c r="T796" s="583"/>
      <c r="U796" s="583"/>
      <c r="V796" s="583"/>
      <c r="W796" s="583"/>
      <c r="X796" s="583"/>
      <c r="Y796" s="583"/>
      <c r="Z796" s="583"/>
      <c r="AA796" s="583"/>
      <c r="AB796" s="583"/>
      <c r="AC796" s="583"/>
      <c r="AD796" s="583"/>
      <c r="AE796" s="583"/>
      <c r="AF796" s="583"/>
    </row>
    <row r="797" ht="19.5" customHeight="1">
      <c r="A797" s="647"/>
      <c r="B797" s="647"/>
      <c r="C797" s="647"/>
      <c r="D797" s="649"/>
      <c r="E797" s="647"/>
      <c r="F797" s="649"/>
      <c r="G797" s="649"/>
      <c r="H797" s="647"/>
      <c r="I797" s="583"/>
      <c r="J797" s="583"/>
      <c r="K797" s="583"/>
      <c r="L797" s="583"/>
      <c r="M797" s="583"/>
      <c r="N797" s="583"/>
      <c r="O797" s="583"/>
      <c r="P797" s="583"/>
      <c r="Q797" s="583"/>
      <c r="R797" s="583"/>
      <c r="S797" s="583"/>
      <c r="T797" s="583"/>
      <c r="U797" s="583"/>
      <c r="V797" s="583"/>
      <c r="W797" s="583"/>
      <c r="X797" s="583"/>
      <c r="Y797" s="583"/>
      <c r="Z797" s="583"/>
      <c r="AA797" s="583"/>
      <c r="AB797" s="583"/>
      <c r="AC797" s="583"/>
      <c r="AD797" s="583"/>
      <c r="AE797" s="583"/>
      <c r="AF797" s="583"/>
    </row>
    <row r="798" ht="19.5" customHeight="1">
      <c r="A798" s="647"/>
      <c r="B798" s="647"/>
      <c r="C798" s="647"/>
      <c r="D798" s="649"/>
      <c r="E798" s="647"/>
      <c r="F798" s="649"/>
      <c r="G798" s="649"/>
      <c r="H798" s="647"/>
      <c r="I798" s="583"/>
      <c r="J798" s="583"/>
      <c r="K798" s="583"/>
      <c r="L798" s="583"/>
      <c r="M798" s="583"/>
      <c r="N798" s="583"/>
      <c r="O798" s="583"/>
      <c r="P798" s="583"/>
      <c r="Q798" s="583"/>
      <c r="R798" s="583"/>
      <c r="S798" s="583"/>
      <c r="T798" s="583"/>
      <c r="U798" s="583"/>
      <c r="V798" s="583"/>
      <c r="W798" s="583"/>
      <c r="X798" s="583"/>
      <c r="Y798" s="583"/>
      <c r="Z798" s="583"/>
      <c r="AA798" s="583"/>
      <c r="AB798" s="583"/>
      <c r="AC798" s="583"/>
      <c r="AD798" s="583"/>
      <c r="AE798" s="583"/>
      <c r="AF798" s="583"/>
    </row>
    <row r="799" ht="19.5" customHeight="1">
      <c r="A799" s="647"/>
      <c r="B799" s="647"/>
      <c r="C799" s="647"/>
      <c r="D799" s="649"/>
      <c r="E799" s="647"/>
      <c r="F799" s="649"/>
      <c r="G799" s="649"/>
      <c r="H799" s="647"/>
      <c r="I799" s="583"/>
      <c r="J799" s="583"/>
      <c r="K799" s="583"/>
      <c r="L799" s="583"/>
      <c r="M799" s="583"/>
      <c r="N799" s="583"/>
      <c r="O799" s="583"/>
      <c r="P799" s="583"/>
      <c r="Q799" s="583"/>
      <c r="R799" s="583"/>
      <c r="S799" s="583"/>
      <c r="T799" s="583"/>
      <c r="U799" s="583"/>
      <c r="V799" s="583"/>
      <c r="W799" s="583"/>
      <c r="X799" s="583"/>
      <c r="Y799" s="583"/>
      <c r="Z799" s="583"/>
      <c r="AA799" s="583"/>
      <c r="AB799" s="583"/>
      <c r="AC799" s="583"/>
      <c r="AD799" s="583"/>
      <c r="AE799" s="583"/>
      <c r="AF799" s="583"/>
    </row>
    <row r="800" ht="19.5" customHeight="1">
      <c r="A800" s="647"/>
      <c r="B800" s="647"/>
      <c r="C800" s="647"/>
      <c r="D800" s="649"/>
      <c r="E800" s="647"/>
      <c r="F800" s="649"/>
      <c r="G800" s="649"/>
      <c r="H800" s="647"/>
      <c r="I800" s="583"/>
      <c r="J800" s="583"/>
      <c r="K800" s="583"/>
      <c r="L800" s="583"/>
      <c r="M800" s="583"/>
      <c r="N800" s="583"/>
      <c r="O800" s="583"/>
      <c r="P800" s="583"/>
      <c r="Q800" s="583"/>
      <c r="R800" s="583"/>
      <c r="S800" s="583"/>
      <c r="T800" s="583"/>
      <c r="U800" s="583"/>
      <c r="V800" s="583"/>
      <c r="W800" s="583"/>
      <c r="X800" s="583"/>
      <c r="Y800" s="583"/>
      <c r="Z800" s="583"/>
      <c r="AA800" s="583"/>
      <c r="AB800" s="583"/>
      <c r="AC800" s="583"/>
      <c r="AD800" s="583"/>
      <c r="AE800" s="583"/>
      <c r="AF800" s="583"/>
    </row>
    <row r="801" ht="19.5" customHeight="1">
      <c r="A801" s="647"/>
      <c r="B801" s="647"/>
      <c r="C801" s="647"/>
      <c r="D801" s="649"/>
      <c r="E801" s="647"/>
      <c r="F801" s="649"/>
      <c r="G801" s="649"/>
      <c r="H801" s="647"/>
      <c r="I801" s="583"/>
      <c r="J801" s="583"/>
      <c r="K801" s="583"/>
      <c r="L801" s="583"/>
      <c r="M801" s="583"/>
      <c r="N801" s="583"/>
      <c r="O801" s="583"/>
      <c r="P801" s="583"/>
      <c r="Q801" s="583"/>
      <c r="R801" s="583"/>
      <c r="S801" s="583"/>
      <c r="T801" s="583"/>
      <c r="U801" s="583"/>
      <c r="V801" s="583"/>
      <c r="W801" s="583"/>
      <c r="X801" s="583"/>
      <c r="Y801" s="583"/>
      <c r="Z801" s="583"/>
      <c r="AA801" s="583"/>
      <c r="AB801" s="583"/>
      <c r="AC801" s="583"/>
      <c r="AD801" s="583"/>
      <c r="AE801" s="583"/>
      <c r="AF801" s="583"/>
    </row>
    <row r="802" ht="19.5" customHeight="1">
      <c r="A802" s="647"/>
      <c r="B802" s="647"/>
      <c r="C802" s="647"/>
      <c r="D802" s="649"/>
      <c r="E802" s="647"/>
      <c r="F802" s="649"/>
      <c r="G802" s="649"/>
      <c r="H802" s="647"/>
      <c r="I802" s="583"/>
      <c r="J802" s="583"/>
      <c r="K802" s="583"/>
      <c r="L802" s="583"/>
      <c r="M802" s="583"/>
      <c r="N802" s="583"/>
      <c r="O802" s="583"/>
      <c r="P802" s="583"/>
      <c r="Q802" s="583"/>
      <c r="R802" s="583"/>
      <c r="S802" s="583"/>
      <c r="T802" s="583"/>
      <c r="U802" s="583"/>
      <c r="V802" s="583"/>
      <c r="W802" s="583"/>
      <c r="X802" s="583"/>
      <c r="Y802" s="583"/>
      <c r="Z802" s="583"/>
      <c r="AA802" s="583"/>
      <c r="AB802" s="583"/>
      <c r="AC802" s="583"/>
      <c r="AD802" s="583"/>
      <c r="AE802" s="583"/>
      <c r="AF802" s="583"/>
    </row>
    <row r="803" ht="19.5" customHeight="1">
      <c r="A803" s="647"/>
      <c r="B803" s="647"/>
      <c r="C803" s="647"/>
      <c r="D803" s="649"/>
      <c r="E803" s="647"/>
      <c r="F803" s="649"/>
      <c r="G803" s="649"/>
      <c r="H803" s="647"/>
      <c r="I803" s="583"/>
      <c r="J803" s="583"/>
      <c r="K803" s="583"/>
      <c r="L803" s="583"/>
      <c r="M803" s="583"/>
      <c r="N803" s="583"/>
      <c r="O803" s="583"/>
      <c r="P803" s="583"/>
      <c r="Q803" s="583"/>
      <c r="R803" s="583"/>
      <c r="S803" s="583"/>
      <c r="T803" s="583"/>
      <c r="U803" s="583"/>
      <c r="V803" s="583"/>
      <c r="W803" s="583"/>
      <c r="X803" s="583"/>
      <c r="Y803" s="583"/>
      <c r="Z803" s="583"/>
      <c r="AA803" s="583"/>
      <c r="AB803" s="583"/>
      <c r="AC803" s="583"/>
      <c r="AD803" s="583"/>
      <c r="AE803" s="583"/>
      <c r="AF803" s="583"/>
    </row>
    <row r="804" ht="19.5" customHeight="1">
      <c r="A804" s="647"/>
      <c r="B804" s="647"/>
      <c r="C804" s="647"/>
      <c r="D804" s="649"/>
      <c r="E804" s="647"/>
      <c r="F804" s="649"/>
      <c r="G804" s="649"/>
      <c r="H804" s="647"/>
      <c r="I804" s="583"/>
      <c r="J804" s="583"/>
      <c r="K804" s="583"/>
      <c r="L804" s="583"/>
      <c r="M804" s="583"/>
      <c r="N804" s="583"/>
      <c r="O804" s="583"/>
      <c r="P804" s="583"/>
      <c r="Q804" s="583"/>
      <c r="R804" s="583"/>
      <c r="S804" s="583"/>
      <c r="T804" s="583"/>
      <c r="U804" s="583"/>
      <c r="V804" s="583"/>
      <c r="W804" s="583"/>
      <c r="X804" s="583"/>
      <c r="Y804" s="583"/>
      <c r="Z804" s="583"/>
      <c r="AA804" s="583"/>
      <c r="AB804" s="583"/>
      <c r="AC804" s="583"/>
      <c r="AD804" s="583"/>
      <c r="AE804" s="583"/>
      <c r="AF804" s="583"/>
    </row>
    <row r="805" ht="19.5" customHeight="1">
      <c r="A805" s="647"/>
      <c r="B805" s="647"/>
      <c r="C805" s="647"/>
      <c r="D805" s="649"/>
      <c r="E805" s="647"/>
      <c r="F805" s="649"/>
      <c r="G805" s="649"/>
      <c r="H805" s="647"/>
      <c r="I805" s="583"/>
      <c r="J805" s="583"/>
      <c r="K805" s="583"/>
      <c r="L805" s="583"/>
      <c r="M805" s="583"/>
      <c r="N805" s="583"/>
      <c r="O805" s="583"/>
      <c r="P805" s="583"/>
      <c r="Q805" s="583"/>
      <c r="R805" s="583"/>
      <c r="S805" s="583"/>
      <c r="T805" s="583"/>
      <c r="U805" s="583"/>
      <c r="V805" s="583"/>
      <c r="W805" s="583"/>
      <c r="X805" s="583"/>
      <c r="Y805" s="583"/>
      <c r="Z805" s="583"/>
      <c r="AA805" s="583"/>
      <c r="AB805" s="583"/>
      <c r="AC805" s="583"/>
      <c r="AD805" s="583"/>
      <c r="AE805" s="583"/>
      <c r="AF805" s="583"/>
    </row>
    <row r="806" ht="19.5" customHeight="1">
      <c r="A806" s="647"/>
      <c r="B806" s="647"/>
      <c r="C806" s="647"/>
      <c r="D806" s="649"/>
      <c r="E806" s="647"/>
      <c r="F806" s="649"/>
      <c r="G806" s="649"/>
      <c r="H806" s="647"/>
      <c r="I806" s="583"/>
      <c r="J806" s="583"/>
      <c r="K806" s="583"/>
      <c r="L806" s="583"/>
      <c r="M806" s="583"/>
      <c r="N806" s="583"/>
      <c r="O806" s="583"/>
      <c r="P806" s="583"/>
      <c r="Q806" s="583"/>
      <c r="R806" s="583"/>
      <c r="S806" s="583"/>
      <c r="T806" s="583"/>
      <c r="U806" s="583"/>
      <c r="V806" s="583"/>
      <c r="W806" s="583"/>
      <c r="X806" s="583"/>
      <c r="Y806" s="583"/>
      <c r="Z806" s="583"/>
      <c r="AA806" s="583"/>
      <c r="AB806" s="583"/>
      <c r="AC806" s="583"/>
      <c r="AD806" s="583"/>
      <c r="AE806" s="583"/>
      <c r="AF806" s="583"/>
    </row>
    <row r="807" ht="19.5" customHeight="1">
      <c r="A807" s="647"/>
      <c r="B807" s="647"/>
      <c r="C807" s="647"/>
      <c r="D807" s="649"/>
      <c r="E807" s="647"/>
      <c r="F807" s="649"/>
      <c r="G807" s="649"/>
      <c r="H807" s="647"/>
      <c r="I807" s="583"/>
      <c r="J807" s="583"/>
      <c r="K807" s="583"/>
      <c r="L807" s="583"/>
      <c r="M807" s="583"/>
      <c r="N807" s="583"/>
      <c r="O807" s="583"/>
      <c r="P807" s="583"/>
      <c r="Q807" s="583"/>
      <c r="R807" s="583"/>
      <c r="S807" s="583"/>
      <c r="T807" s="583"/>
      <c r="U807" s="583"/>
      <c r="V807" s="583"/>
      <c r="W807" s="583"/>
      <c r="X807" s="583"/>
      <c r="Y807" s="583"/>
      <c r="Z807" s="583"/>
      <c r="AA807" s="583"/>
      <c r="AB807" s="583"/>
      <c r="AC807" s="583"/>
      <c r="AD807" s="583"/>
      <c r="AE807" s="583"/>
      <c r="AF807" s="583"/>
    </row>
    <row r="808" ht="19.5" customHeight="1">
      <c r="A808" s="647"/>
      <c r="B808" s="647"/>
      <c r="C808" s="647"/>
      <c r="D808" s="649"/>
      <c r="E808" s="647"/>
      <c r="F808" s="649"/>
      <c r="G808" s="649"/>
      <c r="H808" s="647"/>
      <c r="I808" s="583"/>
      <c r="J808" s="583"/>
      <c r="K808" s="583"/>
      <c r="L808" s="583"/>
      <c r="M808" s="583"/>
      <c r="N808" s="583"/>
      <c r="O808" s="583"/>
      <c r="P808" s="583"/>
      <c r="Q808" s="583"/>
      <c r="R808" s="583"/>
      <c r="S808" s="583"/>
      <c r="T808" s="583"/>
      <c r="U808" s="583"/>
      <c r="V808" s="583"/>
      <c r="W808" s="583"/>
      <c r="X808" s="583"/>
      <c r="Y808" s="583"/>
      <c r="Z808" s="583"/>
      <c r="AA808" s="583"/>
      <c r="AB808" s="583"/>
      <c r="AC808" s="583"/>
      <c r="AD808" s="583"/>
      <c r="AE808" s="583"/>
      <c r="AF808" s="583"/>
    </row>
    <row r="809" ht="19.5" customHeight="1">
      <c r="A809" s="647"/>
      <c r="B809" s="647"/>
      <c r="C809" s="647"/>
      <c r="D809" s="649"/>
      <c r="E809" s="647"/>
      <c r="F809" s="649"/>
      <c r="G809" s="649"/>
      <c r="H809" s="647"/>
      <c r="I809" s="583"/>
      <c r="J809" s="583"/>
      <c r="K809" s="583"/>
      <c r="L809" s="583"/>
      <c r="M809" s="583"/>
      <c r="N809" s="583"/>
      <c r="O809" s="583"/>
      <c r="P809" s="583"/>
      <c r="Q809" s="583"/>
      <c r="R809" s="583"/>
      <c r="S809" s="583"/>
      <c r="T809" s="583"/>
      <c r="U809" s="583"/>
      <c r="V809" s="583"/>
      <c r="W809" s="583"/>
      <c r="X809" s="583"/>
      <c r="Y809" s="583"/>
      <c r="Z809" s="583"/>
      <c r="AA809" s="583"/>
      <c r="AB809" s="583"/>
      <c r="AC809" s="583"/>
      <c r="AD809" s="583"/>
      <c r="AE809" s="583"/>
      <c r="AF809" s="583"/>
    </row>
    <row r="810" ht="19.5" customHeight="1">
      <c r="A810" s="647"/>
      <c r="B810" s="647"/>
      <c r="C810" s="647"/>
      <c r="D810" s="649"/>
      <c r="E810" s="647"/>
      <c r="F810" s="649"/>
      <c r="G810" s="649"/>
      <c r="H810" s="647"/>
      <c r="I810" s="583"/>
      <c r="J810" s="583"/>
      <c r="K810" s="583"/>
      <c r="L810" s="583"/>
      <c r="M810" s="583"/>
      <c r="N810" s="583"/>
      <c r="O810" s="583"/>
      <c r="P810" s="583"/>
      <c r="Q810" s="583"/>
      <c r="R810" s="583"/>
      <c r="S810" s="583"/>
      <c r="T810" s="583"/>
      <c r="U810" s="583"/>
      <c r="V810" s="583"/>
      <c r="W810" s="583"/>
      <c r="X810" s="583"/>
      <c r="Y810" s="583"/>
      <c r="Z810" s="583"/>
      <c r="AA810" s="583"/>
      <c r="AB810" s="583"/>
      <c r="AC810" s="583"/>
      <c r="AD810" s="583"/>
      <c r="AE810" s="583"/>
      <c r="AF810" s="583"/>
    </row>
    <row r="811" ht="19.5" customHeight="1">
      <c r="A811" s="647"/>
      <c r="B811" s="647"/>
      <c r="C811" s="647"/>
      <c r="D811" s="649"/>
      <c r="E811" s="647"/>
      <c r="F811" s="649"/>
      <c r="G811" s="649"/>
      <c r="H811" s="647"/>
      <c r="I811" s="583"/>
      <c r="J811" s="583"/>
      <c r="K811" s="583"/>
      <c r="L811" s="583"/>
      <c r="M811" s="583"/>
      <c r="N811" s="583"/>
      <c r="O811" s="583"/>
      <c r="P811" s="583"/>
      <c r="Q811" s="583"/>
      <c r="R811" s="583"/>
      <c r="S811" s="583"/>
      <c r="T811" s="583"/>
      <c r="U811" s="583"/>
      <c r="V811" s="583"/>
      <c r="W811" s="583"/>
      <c r="X811" s="583"/>
      <c r="Y811" s="583"/>
      <c r="Z811" s="583"/>
      <c r="AA811" s="583"/>
      <c r="AB811" s="583"/>
      <c r="AC811" s="583"/>
      <c r="AD811" s="583"/>
      <c r="AE811" s="583"/>
      <c r="AF811" s="583"/>
    </row>
    <row r="812" ht="19.5" customHeight="1">
      <c r="A812" s="647"/>
      <c r="B812" s="647"/>
      <c r="C812" s="647"/>
      <c r="D812" s="649"/>
      <c r="E812" s="647"/>
      <c r="F812" s="649"/>
      <c r="G812" s="649"/>
      <c r="H812" s="647"/>
      <c r="I812" s="583"/>
      <c r="J812" s="583"/>
      <c r="K812" s="583"/>
      <c r="L812" s="583"/>
      <c r="M812" s="583"/>
      <c r="N812" s="583"/>
      <c r="O812" s="583"/>
      <c r="P812" s="583"/>
      <c r="Q812" s="583"/>
      <c r="R812" s="583"/>
      <c r="S812" s="583"/>
      <c r="T812" s="583"/>
      <c r="U812" s="583"/>
      <c r="V812" s="583"/>
      <c r="W812" s="583"/>
      <c r="X812" s="583"/>
      <c r="Y812" s="583"/>
      <c r="Z812" s="583"/>
      <c r="AA812" s="583"/>
      <c r="AB812" s="583"/>
      <c r="AC812" s="583"/>
      <c r="AD812" s="583"/>
      <c r="AE812" s="583"/>
      <c r="AF812" s="583"/>
    </row>
    <row r="813" ht="19.5" customHeight="1">
      <c r="A813" s="647"/>
      <c r="B813" s="647"/>
      <c r="C813" s="647"/>
      <c r="D813" s="649"/>
      <c r="E813" s="647"/>
      <c r="F813" s="649"/>
      <c r="G813" s="649"/>
      <c r="H813" s="647"/>
      <c r="I813" s="583"/>
      <c r="J813" s="583"/>
      <c r="K813" s="583"/>
      <c r="L813" s="583"/>
      <c r="M813" s="583"/>
      <c r="N813" s="583"/>
      <c r="O813" s="583"/>
      <c r="P813" s="583"/>
      <c r="Q813" s="583"/>
      <c r="R813" s="583"/>
      <c r="S813" s="583"/>
      <c r="T813" s="583"/>
      <c r="U813" s="583"/>
      <c r="V813" s="583"/>
      <c r="W813" s="583"/>
      <c r="X813" s="583"/>
      <c r="Y813" s="583"/>
      <c r="Z813" s="583"/>
      <c r="AA813" s="583"/>
      <c r="AB813" s="583"/>
      <c r="AC813" s="583"/>
      <c r="AD813" s="583"/>
      <c r="AE813" s="583"/>
      <c r="AF813" s="583"/>
    </row>
    <row r="814" ht="19.5" customHeight="1">
      <c r="A814" s="647"/>
      <c r="B814" s="647"/>
      <c r="C814" s="647"/>
      <c r="D814" s="649"/>
      <c r="E814" s="647"/>
      <c r="F814" s="649"/>
      <c r="G814" s="649"/>
      <c r="H814" s="647"/>
      <c r="I814" s="583"/>
      <c r="J814" s="583"/>
      <c r="K814" s="583"/>
      <c r="L814" s="583"/>
      <c r="M814" s="583"/>
      <c r="N814" s="583"/>
      <c r="O814" s="583"/>
      <c r="P814" s="583"/>
      <c r="Q814" s="583"/>
      <c r="R814" s="583"/>
      <c r="S814" s="583"/>
      <c r="T814" s="583"/>
      <c r="U814" s="583"/>
      <c r="V814" s="583"/>
      <c r="W814" s="583"/>
      <c r="X814" s="583"/>
      <c r="Y814" s="583"/>
      <c r="Z814" s="583"/>
      <c r="AA814" s="583"/>
      <c r="AB814" s="583"/>
      <c r="AC814" s="583"/>
      <c r="AD814" s="583"/>
      <c r="AE814" s="583"/>
      <c r="AF814" s="583"/>
    </row>
    <row r="815" ht="19.5" customHeight="1">
      <c r="A815" s="647"/>
      <c r="B815" s="647"/>
      <c r="C815" s="647"/>
      <c r="D815" s="649"/>
      <c r="E815" s="647"/>
      <c r="F815" s="649"/>
      <c r="G815" s="649"/>
      <c r="H815" s="647"/>
      <c r="I815" s="583"/>
      <c r="J815" s="583"/>
      <c r="K815" s="583"/>
      <c r="L815" s="583"/>
      <c r="M815" s="583"/>
      <c r="N815" s="583"/>
      <c r="O815" s="583"/>
      <c r="P815" s="583"/>
      <c r="Q815" s="583"/>
      <c r="R815" s="583"/>
      <c r="S815" s="583"/>
      <c r="T815" s="583"/>
      <c r="U815" s="583"/>
      <c r="V815" s="583"/>
      <c r="W815" s="583"/>
      <c r="X815" s="583"/>
      <c r="Y815" s="583"/>
      <c r="Z815" s="583"/>
      <c r="AA815" s="583"/>
      <c r="AB815" s="583"/>
      <c r="AC815" s="583"/>
      <c r="AD815" s="583"/>
      <c r="AE815" s="583"/>
      <c r="AF815" s="583"/>
    </row>
    <row r="816" ht="19.5" customHeight="1">
      <c r="A816" s="647"/>
      <c r="B816" s="647"/>
      <c r="C816" s="647"/>
      <c r="D816" s="649"/>
      <c r="E816" s="647"/>
      <c r="F816" s="649"/>
      <c r="G816" s="649"/>
      <c r="H816" s="647"/>
      <c r="I816" s="583"/>
      <c r="J816" s="583"/>
      <c r="K816" s="583"/>
      <c r="L816" s="583"/>
      <c r="M816" s="583"/>
      <c r="N816" s="583"/>
      <c r="O816" s="583"/>
      <c r="P816" s="583"/>
      <c r="Q816" s="583"/>
      <c r="R816" s="583"/>
      <c r="S816" s="583"/>
      <c r="T816" s="583"/>
      <c r="U816" s="583"/>
      <c r="V816" s="583"/>
      <c r="W816" s="583"/>
      <c r="X816" s="583"/>
      <c r="Y816" s="583"/>
      <c r="Z816" s="583"/>
      <c r="AA816" s="583"/>
      <c r="AB816" s="583"/>
      <c r="AC816" s="583"/>
      <c r="AD816" s="583"/>
      <c r="AE816" s="583"/>
      <c r="AF816" s="583"/>
    </row>
    <row r="817" ht="19.5" customHeight="1">
      <c r="A817" s="647"/>
      <c r="B817" s="647"/>
      <c r="C817" s="647"/>
      <c r="D817" s="649"/>
      <c r="E817" s="647"/>
      <c r="F817" s="649"/>
      <c r="G817" s="649"/>
      <c r="H817" s="647"/>
      <c r="I817" s="583"/>
      <c r="J817" s="583"/>
      <c r="K817" s="583"/>
      <c r="L817" s="583"/>
      <c r="M817" s="583"/>
      <c r="N817" s="583"/>
      <c r="O817" s="583"/>
      <c r="P817" s="583"/>
      <c r="Q817" s="583"/>
      <c r="R817" s="583"/>
      <c r="S817" s="583"/>
      <c r="T817" s="583"/>
      <c r="U817" s="583"/>
      <c r="V817" s="583"/>
      <c r="W817" s="583"/>
      <c r="X817" s="583"/>
      <c r="Y817" s="583"/>
      <c r="Z817" s="583"/>
      <c r="AA817" s="583"/>
      <c r="AB817" s="583"/>
      <c r="AC817" s="583"/>
      <c r="AD817" s="583"/>
      <c r="AE817" s="583"/>
      <c r="AF817" s="583"/>
    </row>
    <row r="818" ht="19.5" customHeight="1">
      <c r="A818" s="647"/>
      <c r="B818" s="647"/>
      <c r="C818" s="647"/>
      <c r="D818" s="649"/>
      <c r="E818" s="647"/>
      <c r="F818" s="649"/>
      <c r="G818" s="649"/>
      <c r="H818" s="647"/>
      <c r="I818" s="583"/>
      <c r="J818" s="583"/>
      <c r="K818" s="583"/>
      <c r="L818" s="583"/>
      <c r="M818" s="583"/>
      <c r="N818" s="583"/>
      <c r="O818" s="583"/>
      <c r="P818" s="583"/>
      <c r="Q818" s="583"/>
      <c r="R818" s="583"/>
      <c r="S818" s="583"/>
      <c r="T818" s="583"/>
      <c r="U818" s="583"/>
      <c r="V818" s="583"/>
      <c r="W818" s="583"/>
      <c r="X818" s="583"/>
      <c r="Y818" s="583"/>
      <c r="Z818" s="583"/>
      <c r="AA818" s="583"/>
      <c r="AB818" s="583"/>
      <c r="AC818" s="583"/>
      <c r="AD818" s="583"/>
      <c r="AE818" s="583"/>
      <c r="AF818" s="583"/>
    </row>
    <row r="819" ht="19.5" customHeight="1">
      <c r="A819" s="647"/>
      <c r="B819" s="647"/>
      <c r="C819" s="647"/>
      <c r="D819" s="649"/>
      <c r="E819" s="647"/>
      <c r="F819" s="649"/>
      <c r="G819" s="649"/>
      <c r="H819" s="647"/>
      <c r="I819" s="583"/>
      <c r="J819" s="583"/>
      <c r="K819" s="583"/>
      <c r="L819" s="583"/>
      <c r="M819" s="583"/>
      <c r="N819" s="583"/>
      <c r="O819" s="583"/>
      <c r="P819" s="583"/>
      <c r="Q819" s="583"/>
      <c r="R819" s="583"/>
      <c r="S819" s="583"/>
      <c r="T819" s="583"/>
      <c r="U819" s="583"/>
      <c r="V819" s="583"/>
      <c r="W819" s="583"/>
      <c r="X819" s="583"/>
      <c r="Y819" s="583"/>
      <c r="Z819" s="583"/>
      <c r="AA819" s="583"/>
      <c r="AB819" s="583"/>
      <c r="AC819" s="583"/>
      <c r="AD819" s="583"/>
      <c r="AE819" s="583"/>
      <c r="AF819" s="583"/>
    </row>
    <row r="820" ht="19.5" customHeight="1">
      <c r="A820" s="647"/>
      <c r="B820" s="647"/>
      <c r="C820" s="647"/>
      <c r="D820" s="649"/>
      <c r="E820" s="647"/>
      <c r="F820" s="649"/>
      <c r="G820" s="649"/>
      <c r="H820" s="647"/>
      <c r="I820" s="583"/>
      <c r="J820" s="583"/>
      <c r="K820" s="583"/>
      <c r="L820" s="583"/>
      <c r="M820" s="583"/>
      <c r="N820" s="583"/>
      <c r="O820" s="583"/>
      <c r="P820" s="583"/>
      <c r="Q820" s="583"/>
      <c r="R820" s="583"/>
      <c r="S820" s="583"/>
      <c r="T820" s="583"/>
      <c r="U820" s="583"/>
      <c r="V820" s="583"/>
      <c r="W820" s="583"/>
      <c r="X820" s="583"/>
      <c r="Y820" s="583"/>
      <c r="Z820" s="583"/>
      <c r="AA820" s="583"/>
      <c r="AB820" s="583"/>
      <c r="AC820" s="583"/>
      <c r="AD820" s="583"/>
      <c r="AE820" s="583"/>
      <c r="AF820" s="583"/>
    </row>
    <row r="821" ht="19.5" customHeight="1">
      <c r="A821" s="647"/>
      <c r="B821" s="647"/>
      <c r="C821" s="647"/>
      <c r="D821" s="649"/>
      <c r="E821" s="647"/>
      <c r="F821" s="649"/>
      <c r="G821" s="649"/>
      <c r="H821" s="647"/>
      <c r="I821" s="583"/>
      <c r="J821" s="583"/>
      <c r="K821" s="583"/>
      <c r="L821" s="583"/>
      <c r="M821" s="583"/>
      <c r="N821" s="583"/>
      <c r="O821" s="583"/>
      <c r="P821" s="583"/>
      <c r="Q821" s="583"/>
      <c r="R821" s="583"/>
      <c r="S821" s="583"/>
      <c r="T821" s="583"/>
      <c r="U821" s="583"/>
      <c r="V821" s="583"/>
      <c r="W821" s="583"/>
      <c r="X821" s="583"/>
      <c r="Y821" s="583"/>
      <c r="Z821" s="583"/>
      <c r="AA821" s="583"/>
      <c r="AB821" s="583"/>
      <c r="AC821" s="583"/>
      <c r="AD821" s="583"/>
      <c r="AE821" s="583"/>
      <c r="AF821" s="583"/>
    </row>
    <row r="822" ht="19.5" customHeight="1">
      <c r="A822" s="647"/>
      <c r="B822" s="647"/>
      <c r="C822" s="647"/>
      <c r="D822" s="649"/>
      <c r="E822" s="647"/>
      <c r="F822" s="649"/>
      <c r="G822" s="649"/>
      <c r="H822" s="647"/>
      <c r="I822" s="583"/>
      <c r="J822" s="583"/>
      <c r="K822" s="583"/>
      <c r="L822" s="583"/>
      <c r="M822" s="583"/>
      <c r="N822" s="583"/>
      <c r="O822" s="583"/>
      <c r="P822" s="583"/>
      <c r="Q822" s="583"/>
      <c r="R822" s="583"/>
      <c r="S822" s="583"/>
      <c r="T822" s="583"/>
      <c r="U822" s="583"/>
      <c r="V822" s="583"/>
      <c r="W822" s="583"/>
      <c r="X822" s="583"/>
      <c r="Y822" s="583"/>
      <c r="Z822" s="583"/>
      <c r="AA822" s="583"/>
      <c r="AB822" s="583"/>
      <c r="AC822" s="583"/>
      <c r="AD822" s="583"/>
      <c r="AE822" s="583"/>
      <c r="AF822" s="583"/>
    </row>
    <row r="823" ht="19.5" customHeight="1">
      <c r="A823" s="647"/>
      <c r="B823" s="647"/>
      <c r="C823" s="647"/>
      <c r="D823" s="649"/>
      <c r="E823" s="647"/>
      <c r="F823" s="649"/>
      <c r="G823" s="649"/>
      <c r="H823" s="647"/>
      <c r="I823" s="583"/>
      <c r="J823" s="583"/>
      <c r="K823" s="583"/>
      <c r="L823" s="583"/>
      <c r="M823" s="583"/>
      <c r="N823" s="583"/>
      <c r="O823" s="583"/>
      <c r="P823" s="583"/>
      <c r="Q823" s="583"/>
      <c r="R823" s="583"/>
      <c r="S823" s="583"/>
      <c r="T823" s="583"/>
      <c r="U823" s="583"/>
      <c r="V823" s="583"/>
      <c r="W823" s="583"/>
      <c r="X823" s="583"/>
      <c r="Y823" s="583"/>
      <c r="Z823" s="583"/>
      <c r="AA823" s="583"/>
      <c r="AB823" s="583"/>
      <c r="AC823" s="583"/>
      <c r="AD823" s="583"/>
      <c r="AE823" s="583"/>
      <c r="AF823" s="583"/>
    </row>
    <row r="824" ht="19.5" customHeight="1">
      <c r="A824" s="647"/>
      <c r="B824" s="647"/>
      <c r="C824" s="647"/>
      <c r="D824" s="649"/>
      <c r="E824" s="647"/>
      <c r="F824" s="649"/>
      <c r="G824" s="649"/>
      <c r="H824" s="647"/>
      <c r="I824" s="583"/>
      <c r="J824" s="583"/>
      <c r="K824" s="583"/>
      <c r="L824" s="583"/>
      <c r="M824" s="583"/>
      <c r="N824" s="583"/>
      <c r="O824" s="583"/>
      <c r="P824" s="583"/>
      <c r="Q824" s="583"/>
      <c r="R824" s="583"/>
      <c r="S824" s="583"/>
      <c r="T824" s="583"/>
      <c r="U824" s="583"/>
      <c r="V824" s="583"/>
      <c r="W824" s="583"/>
      <c r="X824" s="583"/>
      <c r="Y824" s="583"/>
      <c r="Z824" s="583"/>
      <c r="AA824" s="583"/>
      <c r="AB824" s="583"/>
      <c r="AC824" s="583"/>
      <c r="AD824" s="583"/>
      <c r="AE824" s="583"/>
      <c r="AF824" s="583"/>
    </row>
    <row r="825" ht="19.5" customHeight="1">
      <c r="A825" s="647"/>
      <c r="B825" s="647"/>
      <c r="C825" s="647"/>
      <c r="D825" s="649"/>
      <c r="E825" s="647"/>
      <c r="F825" s="649"/>
      <c r="G825" s="649"/>
      <c r="H825" s="647"/>
      <c r="I825" s="583"/>
      <c r="J825" s="583"/>
      <c r="K825" s="583"/>
      <c r="L825" s="583"/>
      <c r="M825" s="583"/>
      <c r="N825" s="583"/>
      <c r="O825" s="583"/>
      <c r="P825" s="583"/>
      <c r="Q825" s="583"/>
      <c r="R825" s="583"/>
      <c r="S825" s="583"/>
      <c r="T825" s="583"/>
      <c r="U825" s="583"/>
      <c r="V825" s="583"/>
      <c r="W825" s="583"/>
      <c r="X825" s="583"/>
      <c r="Y825" s="583"/>
      <c r="Z825" s="583"/>
      <c r="AA825" s="583"/>
      <c r="AB825" s="583"/>
      <c r="AC825" s="583"/>
      <c r="AD825" s="583"/>
      <c r="AE825" s="583"/>
      <c r="AF825" s="583"/>
    </row>
    <row r="826" ht="19.5" customHeight="1">
      <c r="A826" s="647"/>
      <c r="B826" s="647"/>
      <c r="C826" s="647"/>
      <c r="D826" s="649"/>
      <c r="E826" s="647"/>
      <c r="F826" s="649"/>
      <c r="G826" s="649"/>
      <c r="H826" s="647"/>
      <c r="I826" s="583"/>
      <c r="J826" s="583"/>
      <c r="K826" s="583"/>
      <c r="L826" s="583"/>
      <c r="M826" s="583"/>
      <c r="N826" s="583"/>
      <c r="O826" s="583"/>
      <c r="P826" s="583"/>
      <c r="Q826" s="583"/>
      <c r="R826" s="583"/>
      <c r="S826" s="583"/>
      <c r="T826" s="583"/>
      <c r="U826" s="583"/>
      <c r="V826" s="583"/>
      <c r="W826" s="583"/>
      <c r="X826" s="583"/>
      <c r="Y826" s="583"/>
      <c r="Z826" s="583"/>
      <c r="AA826" s="583"/>
      <c r="AB826" s="583"/>
      <c r="AC826" s="583"/>
      <c r="AD826" s="583"/>
      <c r="AE826" s="583"/>
      <c r="AF826" s="583"/>
    </row>
    <row r="827" ht="19.5" customHeight="1">
      <c r="A827" s="647"/>
      <c r="B827" s="647"/>
      <c r="C827" s="647"/>
      <c r="D827" s="649"/>
      <c r="E827" s="647"/>
      <c r="F827" s="649"/>
      <c r="G827" s="649"/>
      <c r="H827" s="647"/>
      <c r="I827" s="583"/>
      <c r="J827" s="583"/>
      <c r="K827" s="583"/>
      <c r="L827" s="583"/>
      <c r="M827" s="583"/>
      <c r="N827" s="583"/>
      <c r="O827" s="583"/>
      <c r="P827" s="583"/>
      <c r="Q827" s="583"/>
      <c r="R827" s="583"/>
      <c r="S827" s="583"/>
      <c r="T827" s="583"/>
      <c r="U827" s="583"/>
      <c r="V827" s="583"/>
      <c r="W827" s="583"/>
      <c r="X827" s="583"/>
      <c r="Y827" s="583"/>
      <c r="Z827" s="583"/>
      <c r="AA827" s="583"/>
      <c r="AB827" s="583"/>
      <c r="AC827" s="583"/>
      <c r="AD827" s="583"/>
      <c r="AE827" s="583"/>
      <c r="AF827" s="583"/>
    </row>
    <row r="828" ht="19.5" customHeight="1">
      <c r="A828" s="647"/>
      <c r="B828" s="647"/>
      <c r="C828" s="647"/>
      <c r="D828" s="649"/>
      <c r="E828" s="647"/>
      <c r="F828" s="649"/>
      <c r="G828" s="649"/>
      <c r="H828" s="647"/>
      <c r="I828" s="583"/>
      <c r="J828" s="583"/>
      <c r="K828" s="583"/>
      <c r="L828" s="583"/>
      <c r="M828" s="583"/>
      <c r="N828" s="583"/>
      <c r="O828" s="583"/>
      <c r="P828" s="583"/>
      <c r="Q828" s="583"/>
      <c r="R828" s="583"/>
      <c r="S828" s="583"/>
      <c r="T828" s="583"/>
      <c r="U828" s="583"/>
      <c r="V828" s="583"/>
      <c r="W828" s="583"/>
      <c r="X828" s="583"/>
      <c r="Y828" s="583"/>
      <c r="Z828" s="583"/>
      <c r="AA828" s="583"/>
      <c r="AB828" s="583"/>
      <c r="AC828" s="583"/>
      <c r="AD828" s="583"/>
      <c r="AE828" s="583"/>
      <c r="AF828" s="583"/>
    </row>
    <row r="829" ht="19.5" customHeight="1">
      <c r="A829" s="647"/>
      <c r="B829" s="647"/>
      <c r="C829" s="647"/>
      <c r="D829" s="649"/>
      <c r="E829" s="647"/>
      <c r="F829" s="649"/>
      <c r="G829" s="649"/>
      <c r="H829" s="647"/>
      <c r="I829" s="583"/>
      <c r="J829" s="583"/>
      <c r="K829" s="583"/>
      <c r="L829" s="583"/>
      <c r="M829" s="583"/>
      <c r="N829" s="583"/>
      <c r="O829" s="583"/>
      <c r="P829" s="583"/>
      <c r="Q829" s="583"/>
      <c r="R829" s="583"/>
      <c r="S829" s="583"/>
      <c r="T829" s="583"/>
      <c r="U829" s="583"/>
      <c r="V829" s="583"/>
      <c r="W829" s="583"/>
      <c r="X829" s="583"/>
      <c r="Y829" s="583"/>
      <c r="Z829" s="583"/>
      <c r="AA829" s="583"/>
      <c r="AB829" s="583"/>
      <c r="AC829" s="583"/>
      <c r="AD829" s="583"/>
      <c r="AE829" s="583"/>
      <c r="AF829" s="583"/>
    </row>
    <row r="830" ht="19.5" customHeight="1">
      <c r="A830" s="647"/>
      <c r="B830" s="647"/>
      <c r="C830" s="647"/>
      <c r="D830" s="649"/>
      <c r="E830" s="647"/>
      <c r="F830" s="649"/>
      <c r="G830" s="649"/>
      <c r="H830" s="647"/>
      <c r="I830" s="583"/>
      <c r="J830" s="583"/>
      <c r="K830" s="583"/>
      <c r="L830" s="583"/>
      <c r="M830" s="583"/>
      <c r="N830" s="583"/>
      <c r="O830" s="583"/>
      <c r="P830" s="583"/>
      <c r="Q830" s="583"/>
      <c r="R830" s="583"/>
      <c r="S830" s="583"/>
      <c r="T830" s="583"/>
      <c r="U830" s="583"/>
      <c r="V830" s="583"/>
      <c r="W830" s="583"/>
      <c r="X830" s="583"/>
      <c r="Y830" s="583"/>
      <c r="Z830" s="583"/>
      <c r="AA830" s="583"/>
      <c r="AB830" s="583"/>
      <c r="AC830" s="583"/>
      <c r="AD830" s="583"/>
      <c r="AE830" s="583"/>
      <c r="AF830" s="583"/>
    </row>
    <row r="831" ht="19.5" customHeight="1">
      <c r="A831" s="647"/>
      <c r="B831" s="647"/>
      <c r="C831" s="647"/>
      <c r="D831" s="649"/>
      <c r="E831" s="647"/>
      <c r="F831" s="649"/>
      <c r="G831" s="649"/>
      <c r="H831" s="647"/>
      <c r="I831" s="583"/>
      <c r="J831" s="583"/>
      <c r="K831" s="583"/>
      <c r="L831" s="583"/>
      <c r="M831" s="583"/>
      <c r="N831" s="583"/>
      <c r="O831" s="583"/>
      <c r="P831" s="583"/>
      <c r="Q831" s="583"/>
      <c r="R831" s="583"/>
      <c r="S831" s="583"/>
      <c r="T831" s="583"/>
      <c r="U831" s="583"/>
      <c r="V831" s="583"/>
      <c r="W831" s="583"/>
      <c r="X831" s="583"/>
      <c r="Y831" s="583"/>
      <c r="Z831" s="583"/>
      <c r="AA831" s="583"/>
      <c r="AB831" s="583"/>
      <c r="AC831" s="583"/>
      <c r="AD831" s="583"/>
      <c r="AE831" s="583"/>
      <c r="AF831" s="583"/>
    </row>
    <row r="832" ht="19.5" customHeight="1">
      <c r="A832" s="647"/>
      <c r="B832" s="647"/>
      <c r="C832" s="647"/>
      <c r="D832" s="649"/>
      <c r="E832" s="647"/>
      <c r="F832" s="649"/>
      <c r="G832" s="649"/>
      <c r="H832" s="647"/>
      <c r="I832" s="583"/>
      <c r="J832" s="583"/>
      <c r="K832" s="583"/>
      <c r="L832" s="583"/>
      <c r="M832" s="583"/>
      <c r="N832" s="583"/>
      <c r="O832" s="583"/>
      <c r="P832" s="583"/>
      <c r="Q832" s="583"/>
      <c r="R832" s="583"/>
      <c r="S832" s="583"/>
      <c r="T832" s="583"/>
      <c r="U832" s="583"/>
      <c r="V832" s="583"/>
      <c r="W832" s="583"/>
      <c r="X832" s="583"/>
      <c r="Y832" s="583"/>
      <c r="Z832" s="583"/>
      <c r="AA832" s="583"/>
      <c r="AB832" s="583"/>
      <c r="AC832" s="583"/>
      <c r="AD832" s="583"/>
      <c r="AE832" s="583"/>
      <c r="AF832" s="583"/>
    </row>
    <row r="833" ht="19.5" customHeight="1">
      <c r="A833" s="647"/>
      <c r="B833" s="647"/>
      <c r="C833" s="647"/>
      <c r="D833" s="649"/>
      <c r="E833" s="647"/>
      <c r="F833" s="649"/>
      <c r="G833" s="649"/>
      <c r="H833" s="647"/>
      <c r="I833" s="583"/>
      <c r="J833" s="583"/>
      <c r="K833" s="583"/>
      <c r="L833" s="583"/>
      <c r="M833" s="583"/>
      <c r="N833" s="583"/>
      <c r="O833" s="583"/>
      <c r="P833" s="583"/>
      <c r="Q833" s="583"/>
      <c r="R833" s="583"/>
      <c r="S833" s="583"/>
      <c r="T833" s="583"/>
      <c r="U833" s="583"/>
      <c r="V833" s="583"/>
      <c r="W833" s="583"/>
      <c r="X833" s="583"/>
      <c r="Y833" s="583"/>
      <c r="Z833" s="583"/>
      <c r="AA833" s="583"/>
      <c r="AB833" s="583"/>
      <c r="AC833" s="583"/>
      <c r="AD833" s="583"/>
      <c r="AE833" s="583"/>
      <c r="AF833" s="583"/>
    </row>
    <row r="834" ht="19.5" customHeight="1">
      <c r="A834" s="647"/>
      <c r="B834" s="647"/>
      <c r="C834" s="647"/>
      <c r="D834" s="649"/>
      <c r="E834" s="647"/>
      <c r="F834" s="649"/>
      <c r="G834" s="649"/>
      <c r="H834" s="647"/>
      <c r="I834" s="583"/>
      <c r="J834" s="583"/>
      <c r="K834" s="583"/>
      <c r="L834" s="583"/>
      <c r="M834" s="583"/>
      <c r="N834" s="583"/>
      <c r="O834" s="583"/>
      <c r="P834" s="583"/>
      <c r="Q834" s="583"/>
      <c r="R834" s="583"/>
      <c r="S834" s="583"/>
      <c r="T834" s="583"/>
      <c r="U834" s="583"/>
      <c r="V834" s="583"/>
      <c r="W834" s="583"/>
      <c r="X834" s="583"/>
      <c r="Y834" s="583"/>
      <c r="Z834" s="583"/>
      <c r="AA834" s="583"/>
      <c r="AB834" s="583"/>
      <c r="AC834" s="583"/>
      <c r="AD834" s="583"/>
      <c r="AE834" s="583"/>
      <c r="AF834" s="583"/>
    </row>
    <row r="835" ht="19.5" customHeight="1">
      <c r="A835" s="647"/>
      <c r="B835" s="647"/>
      <c r="C835" s="647"/>
      <c r="D835" s="649"/>
      <c r="E835" s="647"/>
      <c r="F835" s="649"/>
      <c r="G835" s="649"/>
      <c r="H835" s="647"/>
      <c r="I835" s="583"/>
      <c r="J835" s="583"/>
      <c r="K835" s="583"/>
      <c r="L835" s="583"/>
      <c r="M835" s="583"/>
      <c r="N835" s="583"/>
      <c r="O835" s="583"/>
      <c r="P835" s="583"/>
      <c r="Q835" s="583"/>
      <c r="R835" s="583"/>
      <c r="S835" s="583"/>
      <c r="T835" s="583"/>
      <c r="U835" s="583"/>
      <c r="V835" s="583"/>
      <c r="W835" s="583"/>
      <c r="X835" s="583"/>
      <c r="Y835" s="583"/>
      <c r="Z835" s="583"/>
      <c r="AA835" s="583"/>
      <c r="AB835" s="583"/>
      <c r="AC835" s="583"/>
      <c r="AD835" s="583"/>
      <c r="AE835" s="583"/>
      <c r="AF835" s="583"/>
    </row>
    <row r="836" ht="19.5" customHeight="1">
      <c r="A836" s="647"/>
      <c r="B836" s="647"/>
      <c r="C836" s="647"/>
      <c r="D836" s="649"/>
      <c r="E836" s="647"/>
      <c r="F836" s="649"/>
      <c r="G836" s="649"/>
      <c r="H836" s="647"/>
      <c r="I836" s="583"/>
      <c r="J836" s="583"/>
      <c r="K836" s="583"/>
      <c r="L836" s="583"/>
      <c r="M836" s="583"/>
      <c r="N836" s="583"/>
      <c r="O836" s="583"/>
      <c r="P836" s="583"/>
      <c r="Q836" s="583"/>
      <c r="R836" s="583"/>
      <c r="S836" s="583"/>
      <c r="T836" s="583"/>
      <c r="U836" s="583"/>
      <c r="V836" s="583"/>
      <c r="W836" s="583"/>
      <c r="X836" s="583"/>
      <c r="Y836" s="583"/>
      <c r="Z836" s="583"/>
      <c r="AA836" s="583"/>
      <c r="AB836" s="583"/>
      <c r="AC836" s="583"/>
      <c r="AD836" s="583"/>
      <c r="AE836" s="583"/>
      <c r="AF836" s="583"/>
    </row>
    <row r="837" ht="19.5" customHeight="1">
      <c r="A837" s="647"/>
      <c r="B837" s="647"/>
      <c r="C837" s="647"/>
      <c r="D837" s="649"/>
      <c r="E837" s="647"/>
      <c r="F837" s="649"/>
      <c r="G837" s="649"/>
      <c r="H837" s="647"/>
      <c r="I837" s="583"/>
      <c r="J837" s="583"/>
      <c r="K837" s="583"/>
      <c r="L837" s="583"/>
      <c r="M837" s="583"/>
      <c r="N837" s="583"/>
      <c r="O837" s="583"/>
      <c r="P837" s="583"/>
      <c r="Q837" s="583"/>
      <c r="R837" s="583"/>
      <c r="S837" s="583"/>
      <c r="T837" s="583"/>
      <c r="U837" s="583"/>
      <c r="V837" s="583"/>
      <c r="W837" s="583"/>
      <c r="X837" s="583"/>
      <c r="Y837" s="583"/>
      <c r="Z837" s="583"/>
      <c r="AA837" s="583"/>
      <c r="AB837" s="583"/>
      <c r="AC837" s="583"/>
      <c r="AD837" s="583"/>
      <c r="AE837" s="583"/>
      <c r="AF837" s="583"/>
    </row>
    <row r="838" ht="19.5" customHeight="1">
      <c r="A838" s="647"/>
      <c r="B838" s="647"/>
      <c r="C838" s="647"/>
      <c r="D838" s="649"/>
      <c r="E838" s="647"/>
      <c r="F838" s="649"/>
      <c r="G838" s="649"/>
      <c r="H838" s="647"/>
      <c r="I838" s="583"/>
      <c r="J838" s="583"/>
      <c r="K838" s="583"/>
      <c r="L838" s="583"/>
      <c r="M838" s="583"/>
      <c r="N838" s="583"/>
      <c r="O838" s="583"/>
      <c r="P838" s="583"/>
      <c r="Q838" s="583"/>
      <c r="R838" s="583"/>
      <c r="S838" s="583"/>
      <c r="T838" s="583"/>
      <c r="U838" s="583"/>
      <c r="V838" s="583"/>
      <c r="W838" s="583"/>
      <c r="X838" s="583"/>
      <c r="Y838" s="583"/>
      <c r="Z838" s="583"/>
      <c r="AA838" s="583"/>
      <c r="AB838" s="583"/>
      <c r="AC838" s="583"/>
      <c r="AD838" s="583"/>
      <c r="AE838" s="583"/>
      <c r="AF838" s="583"/>
    </row>
    <row r="839" ht="19.5" customHeight="1">
      <c r="A839" s="647"/>
      <c r="B839" s="647"/>
      <c r="C839" s="647"/>
      <c r="D839" s="649"/>
      <c r="E839" s="647"/>
      <c r="F839" s="649"/>
      <c r="G839" s="649"/>
      <c r="H839" s="647"/>
      <c r="I839" s="583"/>
      <c r="J839" s="583"/>
      <c r="K839" s="583"/>
      <c r="L839" s="583"/>
      <c r="M839" s="583"/>
      <c r="N839" s="583"/>
      <c r="O839" s="583"/>
      <c r="P839" s="583"/>
      <c r="Q839" s="583"/>
      <c r="R839" s="583"/>
      <c r="S839" s="583"/>
      <c r="T839" s="583"/>
      <c r="U839" s="583"/>
      <c r="V839" s="583"/>
      <c r="W839" s="583"/>
      <c r="X839" s="583"/>
      <c r="Y839" s="583"/>
      <c r="Z839" s="583"/>
      <c r="AA839" s="583"/>
      <c r="AB839" s="583"/>
      <c r="AC839" s="583"/>
      <c r="AD839" s="583"/>
      <c r="AE839" s="583"/>
      <c r="AF839" s="583"/>
    </row>
    <row r="840" ht="19.5" customHeight="1">
      <c r="A840" s="647"/>
      <c r="B840" s="647"/>
      <c r="C840" s="647"/>
      <c r="D840" s="649"/>
      <c r="E840" s="647"/>
      <c r="F840" s="649"/>
      <c r="G840" s="649"/>
      <c r="H840" s="647"/>
      <c r="I840" s="583"/>
      <c r="J840" s="583"/>
      <c r="K840" s="583"/>
      <c r="L840" s="583"/>
      <c r="M840" s="583"/>
      <c r="N840" s="583"/>
      <c r="O840" s="583"/>
      <c r="P840" s="583"/>
      <c r="Q840" s="583"/>
      <c r="R840" s="583"/>
      <c r="S840" s="583"/>
      <c r="T840" s="583"/>
      <c r="U840" s="583"/>
      <c r="V840" s="583"/>
      <c r="W840" s="583"/>
      <c r="X840" s="583"/>
      <c r="Y840" s="583"/>
      <c r="Z840" s="583"/>
      <c r="AA840" s="583"/>
      <c r="AB840" s="583"/>
      <c r="AC840" s="583"/>
      <c r="AD840" s="583"/>
      <c r="AE840" s="583"/>
      <c r="AF840" s="583"/>
    </row>
    <row r="841" ht="19.5" customHeight="1">
      <c r="A841" s="647"/>
      <c r="B841" s="647"/>
      <c r="C841" s="647"/>
      <c r="D841" s="649"/>
      <c r="E841" s="647"/>
      <c r="F841" s="649"/>
      <c r="G841" s="649"/>
      <c r="H841" s="647"/>
      <c r="I841" s="583"/>
      <c r="J841" s="583"/>
      <c r="K841" s="583"/>
      <c r="L841" s="583"/>
      <c r="M841" s="583"/>
      <c r="N841" s="583"/>
      <c r="O841" s="583"/>
      <c r="P841" s="583"/>
      <c r="Q841" s="583"/>
      <c r="R841" s="583"/>
      <c r="S841" s="583"/>
      <c r="T841" s="583"/>
      <c r="U841" s="583"/>
      <c r="V841" s="583"/>
      <c r="W841" s="583"/>
      <c r="X841" s="583"/>
      <c r="Y841" s="583"/>
      <c r="Z841" s="583"/>
      <c r="AA841" s="583"/>
      <c r="AB841" s="583"/>
      <c r="AC841" s="583"/>
      <c r="AD841" s="583"/>
      <c r="AE841" s="583"/>
      <c r="AF841" s="583"/>
    </row>
    <row r="842" ht="19.5" customHeight="1">
      <c r="A842" s="647"/>
      <c r="B842" s="647"/>
      <c r="C842" s="647"/>
      <c r="D842" s="649"/>
      <c r="E842" s="647"/>
      <c r="F842" s="649"/>
      <c r="G842" s="649"/>
      <c r="H842" s="647"/>
      <c r="I842" s="583"/>
      <c r="J842" s="583"/>
      <c r="K842" s="583"/>
      <c r="L842" s="583"/>
      <c r="M842" s="583"/>
      <c r="N842" s="583"/>
      <c r="O842" s="583"/>
      <c r="P842" s="583"/>
      <c r="Q842" s="583"/>
      <c r="R842" s="583"/>
      <c r="S842" s="583"/>
      <c r="T842" s="583"/>
      <c r="U842" s="583"/>
      <c r="V842" s="583"/>
      <c r="W842" s="583"/>
      <c r="X842" s="583"/>
      <c r="Y842" s="583"/>
      <c r="Z842" s="583"/>
      <c r="AA842" s="583"/>
      <c r="AB842" s="583"/>
      <c r="AC842" s="583"/>
      <c r="AD842" s="583"/>
      <c r="AE842" s="583"/>
      <c r="AF842" s="583"/>
    </row>
    <row r="843" ht="19.5" customHeight="1">
      <c r="A843" s="647"/>
      <c r="B843" s="647"/>
      <c r="C843" s="647"/>
      <c r="D843" s="649"/>
      <c r="E843" s="647"/>
      <c r="F843" s="649"/>
      <c r="G843" s="649"/>
      <c r="H843" s="647"/>
      <c r="I843" s="583"/>
      <c r="J843" s="583"/>
      <c r="K843" s="583"/>
      <c r="L843" s="583"/>
      <c r="M843" s="583"/>
      <c r="N843" s="583"/>
      <c r="O843" s="583"/>
      <c r="P843" s="583"/>
      <c r="Q843" s="583"/>
      <c r="R843" s="583"/>
      <c r="S843" s="583"/>
      <c r="T843" s="583"/>
      <c r="U843" s="583"/>
      <c r="V843" s="583"/>
      <c r="W843" s="583"/>
      <c r="X843" s="583"/>
      <c r="Y843" s="583"/>
      <c r="Z843" s="583"/>
      <c r="AA843" s="583"/>
      <c r="AB843" s="583"/>
      <c r="AC843" s="583"/>
      <c r="AD843" s="583"/>
      <c r="AE843" s="583"/>
      <c r="AF843" s="583"/>
    </row>
    <row r="844" ht="19.5" customHeight="1">
      <c r="A844" s="647"/>
      <c r="B844" s="647"/>
      <c r="C844" s="647"/>
      <c r="D844" s="649"/>
      <c r="E844" s="647"/>
      <c r="F844" s="649"/>
      <c r="G844" s="649"/>
      <c r="H844" s="647"/>
      <c r="I844" s="583"/>
      <c r="J844" s="583"/>
      <c r="K844" s="583"/>
      <c r="L844" s="583"/>
      <c r="M844" s="583"/>
      <c r="N844" s="583"/>
      <c r="O844" s="583"/>
      <c r="P844" s="583"/>
      <c r="Q844" s="583"/>
      <c r="R844" s="583"/>
      <c r="S844" s="583"/>
      <c r="T844" s="583"/>
      <c r="U844" s="583"/>
      <c r="V844" s="583"/>
      <c r="W844" s="583"/>
      <c r="X844" s="583"/>
      <c r="Y844" s="583"/>
      <c r="Z844" s="583"/>
      <c r="AA844" s="583"/>
      <c r="AB844" s="583"/>
      <c r="AC844" s="583"/>
      <c r="AD844" s="583"/>
      <c r="AE844" s="583"/>
      <c r="AF844" s="583"/>
    </row>
    <row r="845" ht="19.5" customHeight="1">
      <c r="A845" s="647"/>
      <c r="B845" s="647"/>
      <c r="C845" s="647"/>
      <c r="D845" s="649"/>
      <c r="E845" s="647"/>
      <c r="F845" s="649"/>
      <c r="G845" s="649"/>
      <c r="H845" s="647"/>
      <c r="I845" s="583"/>
      <c r="J845" s="583"/>
      <c r="K845" s="583"/>
      <c r="L845" s="583"/>
      <c r="M845" s="583"/>
      <c r="N845" s="583"/>
      <c r="O845" s="583"/>
      <c r="P845" s="583"/>
      <c r="Q845" s="583"/>
      <c r="R845" s="583"/>
      <c r="S845" s="583"/>
      <c r="T845" s="583"/>
      <c r="U845" s="583"/>
      <c r="V845" s="583"/>
      <c r="W845" s="583"/>
      <c r="X845" s="583"/>
      <c r="Y845" s="583"/>
      <c r="Z845" s="583"/>
      <c r="AA845" s="583"/>
      <c r="AB845" s="583"/>
      <c r="AC845" s="583"/>
      <c r="AD845" s="583"/>
      <c r="AE845" s="583"/>
      <c r="AF845" s="583"/>
    </row>
    <row r="846" ht="19.5" customHeight="1">
      <c r="A846" s="647"/>
      <c r="B846" s="647"/>
      <c r="C846" s="647"/>
      <c r="D846" s="649"/>
      <c r="E846" s="647"/>
      <c r="F846" s="649"/>
      <c r="G846" s="649"/>
      <c r="H846" s="647"/>
      <c r="I846" s="583"/>
      <c r="J846" s="583"/>
      <c r="K846" s="583"/>
      <c r="L846" s="583"/>
      <c r="M846" s="583"/>
      <c r="N846" s="583"/>
      <c r="O846" s="583"/>
      <c r="P846" s="583"/>
      <c r="Q846" s="583"/>
      <c r="R846" s="583"/>
      <c r="S846" s="583"/>
      <c r="T846" s="583"/>
      <c r="U846" s="583"/>
      <c r="V846" s="583"/>
      <c r="W846" s="583"/>
      <c r="X846" s="583"/>
      <c r="Y846" s="583"/>
      <c r="Z846" s="583"/>
      <c r="AA846" s="583"/>
      <c r="AB846" s="583"/>
      <c r="AC846" s="583"/>
      <c r="AD846" s="583"/>
      <c r="AE846" s="583"/>
      <c r="AF846" s="583"/>
    </row>
    <row r="847" ht="19.5" customHeight="1">
      <c r="A847" s="647"/>
      <c r="B847" s="647"/>
      <c r="C847" s="647"/>
      <c r="D847" s="649"/>
      <c r="E847" s="647"/>
      <c r="F847" s="649"/>
      <c r="G847" s="649"/>
      <c r="H847" s="647"/>
      <c r="I847" s="583"/>
      <c r="J847" s="583"/>
      <c r="K847" s="583"/>
      <c r="L847" s="583"/>
      <c r="M847" s="583"/>
      <c r="N847" s="583"/>
      <c r="O847" s="583"/>
      <c r="P847" s="583"/>
      <c r="Q847" s="583"/>
      <c r="R847" s="583"/>
      <c r="S847" s="583"/>
      <c r="T847" s="583"/>
      <c r="U847" s="583"/>
      <c r="V847" s="583"/>
      <c r="W847" s="583"/>
      <c r="X847" s="583"/>
      <c r="Y847" s="583"/>
      <c r="Z847" s="583"/>
      <c r="AA847" s="583"/>
      <c r="AB847" s="583"/>
      <c r="AC847" s="583"/>
      <c r="AD847" s="583"/>
      <c r="AE847" s="583"/>
      <c r="AF847" s="583"/>
    </row>
    <row r="848" ht="19.5" customHeight="1">
      <c r="A848" s="647"/>
      <c r="B848" s="647"/>
      <c r="C848" s="647"/>
      <c r="D848" s="649"/>
      <c r="E848" s="647"/>
      <c r="F848" s="649"/>
      <c r="G848" s="649"/>
      <c r="H848" s="647"/>
      <c r="I848" s="583"/>
      <c r="J848" s="583"/>
      <c r="K848" s="583"/>
      <c r="L848" s="583"/>
      <c r="M848" s="583"/>
      <c r="N848" s="583"/>
      <c r="O848" s="583"/>
      <c r="P848" s="583"/>
      <c r="Q848" s="583"/>
      <c r="R848" s="583"/>
      <c r="S848" s="583"/>
      <c r="T848" s="583"/>
      <c r="U848" s="583"/>
      <c r="V848" s="583"/>
      <c r="W848" s="583"/>
      <c r="X848" s="583"/>
      <c r="Y848" s="583"/>
      <c r="Z848" s="583"/>
      <c r="AA848" s="583"/>
      <c r="AB848" s="583"/>
      <c r="AC848" s="583"/>
      <c r="AD848" s="583"/>
      <c r="AE848" s="583"/>
      <c r="AF848" s="583"/>
    </row>
    <row r="849" ht="19.5" customHeight="1">
      <c r="A849" s="647"/>
      <c r="B849" s="647"/>
      <c r="C849" s="647"/>
      <c r="D849" s="649"/>
      <c r="E849" s="647"/>
      <c r="F849" s="649"/>
      <c r="G849" s="649"/>
      <c r="H849" s="647"/>
      <c r="I849" s="583"/>
      <c r="J849" s="583"/>
      <c r="K849" s="583"/>
      <c r="L849" s="583"/>
      <c r="M849" s="583"/>
      <c r="N849" s="583"/>
      <c r="O849" s="583"/>
      <c r="P849" s="583"/>
      <c r="Q849" s="583"/>
      <c r="R849" s="583"/>
      <c r="S849" s="583"/>
      <c r="T849" s="583"/>
      <c r="U849" s="583"/>
      <c r="V849" s="583"/>
      <c r="W849" s="583"/>
      <c r="X849" s="583"/>
      <c r="Y849" s="583"/>
      <c r="Z849" s="583"/>
      <c r="AA849" s="583"/>
      <c r="AB849" s="583"/>
      <c r="AC849" s="583"/>
      <c r="AD849" s="583"/>
      <c r="AE849" s="583"/>
      <c r="AF849" s="583"/>
    </row>
    <row r="850" ht="19.5" customHeight="1">
      <c r="A850" s="647"/>
      <c r="B850" s="647"/>
      <c r="C850" s="647"/>
      <c r="D850" s="649"/>
      <c r="E850" s="647"/>
      <c r="F850" s="649"/>
      <c r="G850" s="649"/>
      <c r="H850" s="647"/>
      <c r="I850" s="583"/>
      <c r="J850" s="583"/>
      <c r="K850" s="583"/>
      <c r="L850" s="583"/>
      <c r="M850" s="583"/>
      <c r="N850" s="583"/>
      <c r="O850" s="583"/>
      <c r="P850" s="583"/>
      <c r="Q850" s="583"/>
      <c r="R850" s="583"/>
      <c r="S850" s="583"/>
      <c r="T850" s="583"/>
      <c r="U850" s="583"/>
      <c r="V850" s="583"/>
      <c r="W850" s="583"/>
      <c r="X850" s="583"/>
      <c r="Y850" s="583"/>
      <c r="Z850" s="583"/>
      <c r="AA850" s="583"/>
      <c r="AB850" s="583"/>
      <c r="AC850" s="583"/>
      <c r="AD850" s="583"/>
      <c r="AE850" s="583"/>
      <c r="AF850" s="583"/>
    </row>
    <row r="851" ht="19.5" customHeight="1">
      <c r="A851" s="647"/>
      <c r="B851" s="647"/>
      <c r="C851" s="647"/>
      <c r="D851" s="649"/>
      <c r="E851" s="647"/>
      <c r="F851" s="649"/>
      <c r="G851" s="649"/>
      <c r="H851" s="647"/>
      <c r="I851" s="583"/>
      <c r="J851" s="583"/>
      <c r="K851" s="583"/>
      <c r="L851" s="583"/>
      <c r="M851" s="583"/>
      <c r="N851" s="583"/>
      <c r="O851" s="583"/>
      <c r="P851" s="583"/>
      <c r="Q851" s="583"/>
      <c r="R851" s="583"/>
      <c r="S851" s="583"/>
      <c r="T851" s="583"/>
      <c r="U851" s="583"/>
      <c r="V851" s="583"/>
      <c r="W851" s="583"/>
      <c r="X851" s="583"/>
      <c r="Y851" s="583"/>
      <c r="Z851" s="583"/>
      <c r="AA851" s="583"/>
      <c r="AB851" s="583"/>
      <c r="AC851" s="583"/>
      <c r="AD851" s="583"/>
      <c r="AE851" s="583"/>
      <c r="AF851" s="583"/>
    </row>
    <row r="852" ht="19.5" customHeight="1">
      <c r="A852" s="647"/>
      <c r="B852" s="647"/>
      <c r="C852" s="647"/>
      <c r="D852" s="649"/>
      <c r="E852" s="647"/>
      <c r="F852" s="649"/>
      <c r="G852" s="649"/>
      <c r="H852" s="647"/>
      <c r="I852" s="583"/>
      <c r="J852" s="583"/>
      <c r="K852" s="583"/>
      <c r="L852" s="583"/>
      <c r="M852" s="583"/>
      <c r="N852" s="583"/>
      <c r="O852" s="583"/>
      <c r="P852" s="583"/>
      <c r="Q852" s="583"/>
      <c r="R852" s="583"/>
      <c r="S852" s="583"/>
      <c r="T852" s="583"/>
      <c r="U852" s="583"/>
      <c r="V852" s="583"/>
      <c r="W852" s="583"/>
      <c r="X852" s="583"/>
      <c r="Y852" s="583"/>
      <c r="Z852" s="583"/>
      <c r="AA852" s="583"/>
      <c r="AB852" s="583"/>
      <c r="AC852" s="583"/>
      <c r="AD852" s="583"/>
      <c r="AE852" s="583"/>
      <c r="AF852" s="583"/>
    </row>
    <row r="853" ht="19.5" customHeight="1">
      <c r="A853" s="647"/>
      <c r="B853" s="647"/>
      <c r="C853" s="647"/>
      <c r="D853" s="649"/>
      <c r="E853" s="647"/>
      <c r="F853" s="649"/>
      <c r="G853" s="649"/>
      <c r="H853" s="647"/>
      <c r="I853" s="583"/>
      <c r="J853" s="583"/>
      <c r="K853" s="583"/>
      <c r="L853" s="583"/>
      <c r="M853" s="583"/>
      <c r="N853" s="583"/>
      <c r="O853" s="583"/>
      <c r="P853" s="583"/>
      <c r="Q853" s="583"/>
      <c r="R853" s="583"/>
      <c r="S853" s="583"/>
      <c r="T853" s="583"/>
      <c r="U853" s="583"/>
      <c r="V853" s="583"/>
      <c r="W853" s="583"/>
      <c r="X853" s="583"/>
      <c r="Y853" s="583"/>
      <c r="Z853" s="583"/>
      <c r="AA853" s="583"/>
      <c r="AB853" s="583"/>
      <c r="AC853" s="583"/>
      <c r="AD853" s="583"/>
      <c r="AE853" s="583"/>
      <c r="AF853" s="583"/>
    </row>
    <row r="854" ht="19.5" customHeight="1">
      <c r="A854" s="647"/>
      <c r="B854" s="647"/>
      <c r="C854" s="647"/>
      <c r="D854" s="649"/>
      <c r="E854" s="647"/>
      <c r="F854" s="649"/>
      <c r="G854" s="649"/>
      <c r="H854" s="647"/>
      <c r="I854" s="583"/>
      <c r="J854" s="583"/>
      <c r="K854" s="583"/>
      <c r="L854" s="583"/>
      <c r="M854" s="583"/>
      <c r="N854" s="583"/>
      <c r="O854" s="583"/>
      <c r="P854" s="583"/>
      <c r="Q854" s="583"/>
      <c r="R854" s="583"/>
      <c r="S854" s="583"/>
      <c r="T854" s="583"/>
      <c r="U854" s="583"/>
      <c r="V854" s="583"/>
      <c r="W854" s="583"/>
      <c r="X854" s="583"/>
      <c r="Y854" s="583"/>
      <c r="Z854" s="583"/>
      <c r="AA854" s="583"/>
      <c r="AB854" s="583"/>
      <c r="AC854" s="583"/>
      <c r="AD854" s="583"/>
      <c r="AE854" s="583"/>
      <c r="AF854" s="583"/>
    </row>
    <row r="855" ht="19.5" customHeight="1">
      <c r="A855" s="647"/>
      <c r="B855" s="647"/>
      <c r="C855" s="647"/>
      <c r="D855" s="649"/>
      <c r="E855" s="647"/>
      <c r="F855" s="649"/>
      <c r="G855" s="649"/>
      <c r="H855" s="647"/>
      <c r="I855" s="583"/>
      <c r="J855" s="583"/>
      <c r="K855" s="583"/>
      <c r="L855" s="583"/>
      <c r="M855" s="583"/>
      <c r="N855" s="583"/>
      <c r="O855" s="583"/>
      <c r="P855" s="583"/>
      <c r="Q855" s="583"/>
      <c r="R855" s="583"/>
      <c r="S855" s="583"/>
      <c r="T855" s="583"/>
      <c r="U855" s="583"/>
      <c r="V855" s="583"/>
      <c r="W855" s="583"/>
      <c r="X855" s="583"/>
      <c r="Y855" s="583"/>
      <c r="Z855" s="583"/>
      <c r="AA855" s="583"/>
      <c r="AB855" s="583"/>
      <c r="AC855" s="583"/>
      <c r="AD855" s="583"/>
      <c r="AE855" s="583"/>
      <c r="AF855" s="583"/>
    </row>
    <row r="856" ht="19.5" customHeight="1">
      <c r="A856" s="647"/>
      <c r="B856" s="647"/>
      <c r="C856" s="647"/>
      <c r="D856" s="649"/>
      <c r="E856" s="647"/>
      <c r="F856" s="649"/>
      <c r="G856" s="649"/>
      <c r="H856" s="647"/>
      <c r="I856" s="583"/>
      <c r="J856" s="583"/>
      <c r="K856" s="583"/>
      <c r="L856" s="583"/>
      <c r="M856" s="583"/>
      <c r="N856" s="583"/>
      <c r="O856" s="583"/>
      <c r="P856" s="583"/>
      <c r="Q856" s="583"/>
      <c r="R856" s="583"/>
      <c r="S856" s="583"/>
      <c r="T856" s="583"/>
      <c r="U856" s="583"/>
      <c r="V856" s="583"/>
      <c r="W856" s="583"/>
      <c r="X856" s="583"/>
      <c r="Y856" s="583"/>
      <c r="Z856" s="583"/>
      <c r="AA856" s="583"/>
      <c r="AB856" s="583"/>
      <c r="AC856" s="583"/>
      <c r="AD856" s="583"/>
      <c r="AE856" s="583"/>
      <c r="AF856" s="583"/>
    </row>
    <row r="857" ht="19.5" customHeight="1">
      <c r="A857" s="647"/>
      <c r="B857" s="647"/>
      <c r="C857" s="647"/>
      <c r="D857" s="649"/>
      <c r="E857" s="647"/>
      <c r="F857" s="649"/>
      <c r="G857" s="649"/>
      <c r="H857" s="647"/>
      <c r="I857" s="583"/>
      <c r="J857" s="583"/>
      <c r="K857" s="583"/>
      <c r="L857" s="583"/>
      <c r="M857" s="583"/>
      <c r="N857" s="583"/>
      <c r="O857" s="583"/>
      <c r="P857" s="583"/>
      <c r="Q857" s="583"/>
      <c r="R857" s="583"/>
      <c r="S857" s="583"/>
      <c r="T857" s="583"/>
      <c r="U857" s="583"/>
      <c r="V857" s="583"/>
      <c r="W857" s="583"/>
      <c r="X857" s="583"/>
      <c r="Y857" s="583"/>
      <c r="Z857" s="583"/>
      <c r="AA857" s="583"/>
      <c r="AB857" s="583"/>
      <c r="AC857" s="583"/>
      <c r="AD857" s="583"/>
      <c r="AE857" s="583"/>
      <c r="AF857" s="583"/>
    </row>
    <row r="858" ht="19.5" customHeight="1">
      <c r="A858" s="647"/>
      <c r="B858" s="647"/>
      <c r="C858" s="647"/>
      <c r="D858" s="649"/>
      <c r="E858" s="647"/>
      <c r="F858" s="649"/>
      <c r="G858" s="649"/>
      <c r="H858" s="647"/>
      <c r="I858" s="583"/>
      <c r="J858" s="583"/>
      <c r="K858" s="583"/>
      <c r="L858" s="583"/>
      <c r="M858" s="583"/>
      <c r="N858" s="583"/>
      <c r="O858" s="583"/>
      <c r="P858" s="583"/>
      <c r="Q858" s="583"/>
      <c r="R858" s="583"/>
      <c r="S858" s="583"/>
      <c r="T858" s="583"/>
      <c r="U858" s="583"/>
      <c r="V858" s="583"/>
      <c r="W858" s="583"/>
      <c r="X858" s="583"/>
      <c r="Y858" s="583"/>
      <c r="Z858" s="583"/>
      <c r="AA858" s="583"/>
      <c r="AB858" s="583"/>
      <c r="AC858" s="583"/>
      <c r="AD858" s="583"/>
      <c r="AE858" s="583"/>
      <c r="AF858" s="583"/>
    </row>
    <row r="859" ht="19.5" customHeight="1">
      <c r="A859" s="647"/>
      <c r="B859" s="647"/>
      <c r="C859" s="647"/>
      <c r="D859" s="649"/>
      <c r="E859" s="647"/>
      <c r="F859" s="649"/>
      <c r="G859" s="649"/>
      <c r="H859" s="647"/>
      <c r="I859" s="583"/>
      <c r="J859" s="583"/>
      <c r="K859" s="583"/>
      <c r="L859" s="583"/>
      <c r="M859" s="583"/>
      <c r="N859" s="583"/>
      <c r="O859" s="583"/>
      <c r="P859" s="583"/>
      <c r="Q859" s="583"/>
      <c r="R859" s="583"/>
      <c r="S859" s="583"/>
      <c r="T859" s="583"/>
      <c r="U859" s="583"/>
      <c r="V859" s="583"/>
      <c r="W859" s="583"/>
      <c r="X859" s="583"/>
      <c r="Y859" s="583"/>
      <c r="Z859" s="583"/>
      <c r="AA859" s="583"/>
      <c r="AB859" s="583"/>
      <c r="AC859" s="583"/>
      <c r="AD859" s="583"/>
      <c r="AE859" s="583"/>
      <c r="AF859" s="583"/>
    </row>
    <row r="860" ht="19.5" customHeight="1">
      <c r="A860" s="647"/>
      <c r="B860" s="647"/>
      <c r="C860" s="647"/>
      <c r="D860" s="649"/>
      <c r="E860" s="647"/>
      <c r="F860" s="649"/>
      <c r="G860" s="649"/>
      <c r="H860" s="647"/>
      <c r="I860" s="583"/>
      <c r="J860" s="583"/>
      <c r="K860" s="583"/>
      <c r="L860" s="583"/>
      <c r="M860" s="583"/>
      <c r="N860" s="583"/>
      <c r="O860" s="583"/>
      <c r="P860" s="583"/>
      <c r="Q860" s="583"/>
      <c r="R860" s="583"/>
      <c r="S860" s="583"/>
      <c r="T860" s="583"/>
      <c r="U860" s="583"/>
      <c r="V860" s="583"/>
      <c r="W860" s="583"/>
      <c r="X860" s="583"/>
      <c r="Y860" s="583"/>
      <c r="Z860" s="583"/>
      <c r="AA860" s="583"/>
      <c r="AB860" s="583"/>
      <c r="AC860" s="583"/>
      <c r="AD860" s="583"/>
      <c r="AE860" s="583"/>
      <c r="AF860" s="583"/>
    </row>
    <row r="861" ht="19.5" customHeight="1">
      <c r="A861" s="647"/>
      <c r="B861" s="647"/>
      <c r="C861" s="647"/>
      <c r="D861" s="649"/>
      <c r="E861" s="647"/>
      <c r="F861" s="649"/>
      <c r="G861" s="649"/>
      <c r="H861" s="647"/>
      <c r="I861" s="583"/>
      <c r="J861" s="583"/>
      <c r="K861" s="583"/>
      <c r="L861" s="583"/>
      <c r="M861" s="583"/>
      <c r="N861" s="583"/>
      <c r="O861" s="583"/>
      <c r="P861" s="583"/>
      <c r="Q861" s="583"/>
      <c r="R861" s="583"/>
      <c r="S861" s="583"/>
      <c r="T861" s="583"/>
      <c r="U861" s="583"/>
      <c r="V861" s="583"/>
      <c r="W861" s="583"/>
      <c r="X861" s="583"/>
      <c r="Y861" s="583"/>
      <c r="Z861" s="583"/>
      <c r="AA861" s="583"/>
      <c r="AB861" s="583"/>
      <c r="AC861" s="583"/>
      <c r="AD861" s="583"/>
      <c r="AE861" s="583"/>
      <c r="AF861" s="583"/>
    </row>
    <row r="862" ht="19.5" customHeight="1">
      <c r="A862" s="647"/>
      <c r="B862" s="647"/>
      <c r="C862" s="647"/>
      <c r="D862" s="649"/>
      <c r="E862" s="647"/>
      <c r="F862" s="649"/>
      <c r="G862" s="649"/>
      <c r="H862" s="647"/>
      <c r="I862" s="583"/>
      <c r="J862" s="583"/>
      <c r="K862" s="583"/>
      <c r="L862" s="583"/>
      <c r="M862" s="583"/>
      <c r="N862" s="583"/>
      <c r="O862" s="583"/>
      <c r="P862" s="583"/>
      <c r="Q862" s="583"/>
      <c r="R862" s="583"/>
      <c r="S862" s="583"/>
      <c r="T862" s="583"/>
      <c r="U862" s="583"/>
      <c r="V862" s="583"/>
      <c r="W862" s="583"/>
      <c r="X862" s="583"/>
      <c r="Y862" s="583"/>
      <c r="Z862" s="583"/>
      <c r="AA862" s="583"/>
      <c r="AB862" s="583"/>
      <c r="AC862" s="583"/>
      <c r="AD862" s="583"/>
      <c r="AE862" s="583"/>
      <c r="AF862" s="583"/>
    </row>
    <row r="863" ht="19.5" customHeight="1">
      <c r="A863" s="647"/>
      <c r="B863" s="647"/>
      <c r="C863" s="647"/>
      <c r="D863" s="649"/>
      <c r="E863" s="647"/>
      <c r="F863" s="649"/>
      <c r="G863" s="649"/>
      <c r="H863" s="647"/>
      <c r="I863" s="583"/>
      <c r="J863" s="583"/>
      <c r="K863" s="583"/>
      <c r="L863" s="583"/>
      <c r="M863" s="583"/>
      <c r="N863" s="583"/>
      <c r="O863" s="583"/>
      <c r="P863" s="583"/>
      <c r="Q863" s="583"/>
      <c r="R863" s="583"/>
      <c r="S863" s="583"/>
      <c r="T863" s="583"/>
      <c r="U863" s="583"/>
      <c r="V863" s="583"/>
      <c r="W863" s="583"/>
      <c r="X863" s="583"/>
      <c r="Y863" s="583"/>
      <c r="Z863" s="583"/>
      <c r="AA863" s="583"/>
      <c r="AB863" s="583"/>
      <c r="AC863" s="583"/>
      <c r="AD863" s="583"/>
      <c r="AE863" s="583"/>
      <c r="AF863" s="583"/>
    </row>
    <row r="864" ht="19.5" customHeight="1">
      <c r="A864" s="647"/>
      <c r="B864" s="647"/>
      <c r="C864" s="647"/>
      <c r="D864" s="649"/>
      <c r="E864" s="647"/>
      <c r="F864" s="649"/>
      <c r="G864" s="649"/>
      <c r="H864" s="647"/>
      <c r="I864" s="583"/>
      <c r="J864" s="583"/>
      <c r="K864" s="583"/>
      <c r="L864" s="583"/>
      <c r="M864" s="583"/>
      <c r="N864" s="583"/>
      <c r="O864" s="583"/>
      <c r="P864" s="583"/>
      <c r="Q864" s="583"/>
      <c r="R864" s="583"/>
      <c r="S864" s="583"/>
      <c r="T864" s="583"/>
      <c r="U864" s="583"/>
      <c r="V864" s="583"/>
      <c r="W864" s="583"/>
      <c r="X864" s="583"/>
      <c r="Y864" s="583"/>
      <c r="Z864" s="583"/>
      <c r="AA864" s="583"/>
      <c r="AB864" s="583"/>
      <c r="AC864" s="583"/>
      <c r="AD864" s="583"/>
      <c r="AE864" s="583"/>
      <c r="AF864" s="583"/>
    </row>
    <row r="865" ht="19.5" customHeight="1">
      <c r="A865" s="647"/>
      <c r="B865" s="647"/>
      <c r="C865" s="647"/>
      <c r="D865" s="649"/>
      <c r="E865" s="647"/>
      <c r="F865" s="649"/>
      <c r="G865" s="649"/>
      <c r="H865" s="647"/>
      <c r="I865" s="583"/>
      <c r="J865" s="583"/>
      <c r="K865" s="583"/>
      <c r="L865" s="583"/>
      <c r="M865" s="583"/>
      <c r="N865" s="583"/>
      <c r="O865" s="583"/>
      <c r="P865" s="583"/>
      <c r="Q865" s="583"/>
      <c r="R865" s="583"/>
      <c r="S865" s="583"/>
      <c r="T865" s="583"/>
      <c r="U865" s="583"/>
      <c r="V865" s="583"/>
      <c r="W865" s="583"/>
      <c r="X865" s="583"/>
      <c r="Y865" s="583"/>
      <c r="Z865" s="583"/>
      <c r="AA865" s="583"/>
      <c r="AB865" s="583"/>
      <c r="AC865" s="583"/>
      <c r="AD865" s="583"/>
      <c r="AE865" s="583"/>
      <c r="AF865" s="583"/>
    </row>
    <row r="866" ht="19.5" customHeight="1">
      <c r="A866" s="647"/>
      <c r="B866" s="647"/>
      <c r="C866" s="647"/>
      <c r="D866" s="649"/>
      <c r="E866" s="647"/>
      <c r="F866" s="649"/>
      <c r="G866" s="649"/>
      <c r="H866" s="647"/>
      <c r="I866" s="583"/>
      <c r="J866" s="583"/>
      <c r="K866" s="583"/>
      <c r="L866" s="583"/>
      <c r="M866" s="583"/>
      <c r="N866" s="583"/>
      <c r="O866" s="583"/>
      <c r="P866" s="583"/>
      <c r="Q866" s="583"/>
      <c r="R866" s="583"/>
      <c r="S866" s="583"/>
      <c r="T866" s="583"/>
      <c r="U866" s="583"/>
      <c r="V866" s="583"/>
      <c r="W866" s="583"/>
      <c r="X866" s="583"/>
      <c r="Y866" s="583"/>
      <c r="Z866" s="583"/>
      <c r="AA866" s="583"/>
      <c r="AB866" s="583"/>
      <c r="AC866" s="583"/>
      <c r="AD866" s="583"/>
      <c r="AE866" s="583"/>
      <c r="AF866" s="583"/>
    </row>
    <row r="867" ht="19.5" customHeight="1">
      <c r="A867" s="647"/>
      <c r="B867" s="647"/>
      <c r="C867" s="647"/>
      <c r="D867" s="649"/>
      <c r="E867" s="647"/>
      <c r="F867" s="649"/>
      <c r="G867" s="649"/>
      <c r="H867" s="647"/>
      <c r="I867" s="583"/>
      <c r="J867" s="583"/>
      <c r="K867" s="583"/>
      <c r="L867" s="583"/>
      <c r="M867" s="583"/>
      <c r="N867" s="583"/>
      <c r="O867" s="583"/>
      <c r="P867" s="583"/>
      <c r="Q867" s="583"/>
      <c r="R867" s="583"/>
      <c r="S867" s="583"/>
      <c r="T867" s="583"/>
      <c r="U867" s="583"/>
      <c r="V867" s="583"/>
      <c r="W867" s="583"/>
      <c r="X867" s="583"/>
      <c r="Y867" s="583"/>
      <c r="Z867" s="583"/>
      <c r="AA867" s="583"/>
      <c r="AB867" s="583"/>
      <c r="AC867" s="583"/>
      <c r="AD867" s="583"/>
      <c r="AE867" s="583"/>
      <c r="AF867" s="583"/>
    </row>
    <row r="868" ht="19.5" customHeight="1">
      <c r="A868" s="647"/>
      <c r="B868" s="647"/>
      <c r="C868" s="647"/>
      <c r="D868" s="649"/>
      <c r="E868" s="647"/>
      <c r="F868" s="649"/>
      <c r="G868" s="649"/>
      <c r="H868" s="647"/>
      <c r="I868" s="583"/>
      <c r="J868" s="583"/>
      <c r="K868" s="583"/>
      <c r="L868" s="583"/>
      <c r="M868" s="583"/>
      <c r="N868" s="583"/>
      <c r="O868" s="583"/>
      <c r="P868" s="583"/>
      <c r="Q868" s="583"/>
      <c r="R868" s="583"/>
      <c r="S868" s="583"/>
      <c r="T868" s="583"/>
      <c r="U868" s="583"/>
      <c r="V868" s="583"/>
      <c r="W868" s="583"/>
      <c r="X868" s="583"/>
      <c r="Y868" s="583"/>
      <c r="Z868" s="583"/>
      <c r="AA868" s="583"/>
      <c r="AB868" s="583"/>
      <c r="AC868" s="583"/>
      <c r="AD868" s="583"/>
      <c r="AE868" s="583"/>
      <c r="AF868" s="583"/>
    </row>
    <row r="869" ht="19.5" customHeight="1">
      <c r="A869" s="647"/>
      <c r="B869" s="647"/>
      <c r="C869" s="647"/>
      <c r="D869" s="649"/>
      <c r="E869" s="647"/>
      <c r="F869" s="649"/>
      <c r="G869" s="649"/>
      <c r="H869" s="647"/>
      <c r="I869" s="583"/>
      <c r="J869" s="583"/>
      <c r="K869" s="583"/>
      <c r="L869" s="583"/>
      <c r="M869" s="583"/>
      <c r="N869" s="583"/>
      <c r="O869" s="583"/>
      <c r="P869" s="583"/>
      <c r="Q869" s="583"/>
      <c r="R869" s="583"/>
      <c r="S869" s="583"/>
      <c r="T869" s="583"/>
      <c r="U869" s="583"/>
      <c r="V869" s="583"/>
      <c r="W869" s="583"/>
      <c r="X869" s="583"/>
      <c r="Y869" s="583"/>
      <c r="Z869" s="583"/>
      <c r="AA869" s="583"/>
      <c r="AB869" s="583"/>
      <c r="AC869" s="583"/>
      <c r="AD869" s="583"/>
      <c r="AE869" s="583"/>
      <c r="AF869" s="583"/>
    </row>
    <row r="870" ht="19.5" customHeight="1">
      <c r="A870" s="647"/>
      <c r="B870" s="647"/>
      <c r="C870" s="647"/>
      <c r="D870" s="649"/>
      <c r="E870" s="647"/>
      <c r="F870" s="649"/>
      <c r="G870" s="649"/>
      <c r="H870" s="647"/>
      <c r="I870" s="583"/>
      <c r="J870" s="583"/>
      <c r="K870" s="583"/>
      <c r="L870" s="583"/>
      <c r="M870" s="583"/>
      <c r="N870" s="583"/>
      <c r="O870" s="583"/>
      <c r="P870" s="583"/>
      <c r="Q870" s="583"/>
      <c r="R870" s="583"/>
      <c r="S870" s="583"/>
      <c r="T870" s="583"/>
      <c r="U870" s="583"/>
      <c r="V870" s="583"/>
      <c r="W870" s="583"/>
      <c r="X870" s="583"/>
      <c r="Y870" s="583"/>
      <c r="Z870" s="583"/>
      <c r="AA870" s="583"/>
      <c r="AB870" s="583"/>
      <c r="AC870" s="583"/>
      <c r="AD870" s="583"/>
      <c r="AE870" s="583"/>
      <c r="AF870" s="583"/>
    </row>
    <row r="871" ht="19.5" customHeight="1">
      <c r="A871" s="647"/>
      <c r="B871" s="647"/>
      <c r="C871" s="647"/>
      <c r="D871" s="649"/>
      <c r="E871" s="647"/>
      <c r="F871" s="649"/>
      <c r="G871" s="649"/>
      <c r="H871" s="647"/>
      <c r="I871" s="583"/>
      <c r="J871" s="583"/>
      <c r="K871" s="583"/>
      <c r="L871" s="583"/>
      <c r="M871" s="583"/>
      <c r="N871" s="583"/>
      <c r="O871" s="583"/>
      <c r="P871" s="583"/>
      <c r="Q871" s="583"/>
      <c r="R871" s="583"/>
      <c r="S871" s="583"/>
      <c r="T871" s="583"/>
      <c r="U871" s="583"/>
      <c r="V871" s="583"/>
      <c r="W871" s="583"/>
      <c r="X871" s="583"/>
      <c r="Y871" s="583"/>
      <c r="Z871" s="583"/>
      <c r="AA871" s="583"/>
      <c r="AB871" s="583"/>
      <c r="AC871" s="583"/>
      <c r="AD871" s="583"/>
      <c r="AE871" s="583"/>
      <c r="AF871" s="583"/>
    </row>
    <row r="872" ht="19.5" customHeight="1">
      <c r="A872" s="647"/>
      <c r="B872" s="647"/>
      <c r="C872" s="647"/>
      <c r="D872" s="649"/>
      <c r="E872" s="647"/>
      <c r="F872" s="649"/>
      <c r="G872" s="649"/>
      <c r="H872" s="647"/>
      <c r="I872" s="583"/>
      <c r="J872" s="583"/>
      <c r="K872" s="583"/>
      <c r="L872" s="583"/>
      <c r="M872" s="583"/>
      <c r="N872" s="583"/>
      <c r="O872" s="583"/>
      <c r="P872" s="583"/>
      <c r="Q872" s="583"/>
      <c r="R872" s="583"/>
      <c r="S872" s="583"/>
      <c r="T872" s="583"/>
      <c r="U872" s="583"/>
      <c r="V872" s="583"/>
      <c r="W872" s="583"/>
      <c r="X872" s="583"/>
      <c r="Y872" s="583"/>
      <c r="Z872" s="583"/>
      <c r="AA872" s="583"/>
      <c r="AB872" s="583"/>
      <c r="AC872" s="583"/>
      <c r="AD872" s="583"/>
      <c r="AE872" s="583"/>
      <c r="AF872" s="583"/>
    </row>
    <row r="873" ht="19.5" customHeight="1">
      <c r="A873" s="647"/>
      <c r="B873" s="647"/>
      <c r="C873" s="647"/>
      <c r="D873" s="649"/>
      <c r="E873" s="647"/>
      <c r="F873" s="649"/>
      <c r="G873" s="649"/>
      <c r="H873" s="647"/>
      <c r="I873" s="583"/>
      <c r="J873" s="583"/>
      <c r="K873" s="583"/>
      <c r="L873" s="583"/>
      <c r="M873" s="583"/>
      <c r="N873" s="583"/>
      <c r="O873" s="583"/>
      <c r="P873" s="583"/>
      <c r="Q873" s="583"/>
      <c r="R873" s="583"/>
      <c r="S873" s="583"/>
      <c r="T873" s="583"/>
      <c r="U873" s="583"/>
      <c r="V873" s="583"/>
      <c r="W873" s="583"/>
      <c r="X873" s="583"/>
      <c r="Y873" s="583"/>
      <c r="Z873" s="583"/>
      <c r="AA873" s="583"/>
      <c r="AB873" s="583"/>
      <c r="AC873" s="583"/>
      <c r="AD873" s="583"/>
      <c r="AE873" s="583"/>
      <c r="AF873" s="583"/>
    </row>
    <row r="874" ht="19.5" customHeight="1">
      <c r="A874" s="647"/>
      <c r="B874" s="647"/>
      <c r="C874" s="647"/>
      <c r="D874" s="649"/>
      <c r="E874" s="647"/>
      <c r="F874" s="649"/>
      <c r="G874" s="649"/>
      <c r="H874" s="647"/>
      <c r="I874" s="583"/>
      <c r="J874" s="583"/>
      <c r="K874" s="583"/>
      <c r="L874" s="583"/>
      <c r="M874" s="583"/>
      <c r="N874" s="583"/>
      <c r="O874" s="583"/>
      <c r="P874" s="583"/>
      <c r="Q874" s="583"/>
      <c r="R874" s="583"/>
      <c r="S874" s="583"/>
      <c r="T874" s="583"/>
      <c r="U874" s="583"/>
      <c r="V874" s="583"/>
      <c r="W874" s="583"/>
      <c r="X874" s="583"/>
      <c r="Y874" s="583"/>
      <c r="Z874" s="583"/>
      <c r="AA874" s="583"/>
      <c r="AB874" s="583"/>
      <c r="AC874" s="583"/>
      <c r="AD874" s="583"/>
      <c r="AE874" s="583"/>
      <c r="AF874" s="583"/>
    </row>
    <row r="875" ht="19.5" customHeight="1">
      <c r="A875" s="647"/>
      <c r="B875" s="647"/>
      <c r="C875" s="647"/>
      <c r="D875" s="649"/>
      <c r="E875" s="647"/>
      <c r="F875" s="649"/>
      <c r="G875" s="649"/>
      <c r="H875" s="647"/>
      <c r="I875" s="583"/>
      <c r="J875" s="583"/>
      <c r="K875" s="583"/>
      <c r="L875" s="583"/>
      <c r="M875" s="583"/>
      <c r="N875" s="583"/>
      <c r="O875" s="583"/>
      <c r="P875" s="583"/>
      <c r="Q875" s="583"/>
      <c r="R875" s="583"/>
      <c r="S875" s="583"/>
      <c r="T875" s="583"/>
      <c r="U875" s="583"/>
      <c r="V875" s="583"/>
      <c r="W875" s="583"/>
      <c r="X875" s="583"/>
      <c r="Y875" s="583"/>
      <c r="Z875" s="583"/>
      <c r="AA875" s="583"/>
      <c r="AB875" s="583"/>
      <c r="AC875" s="583"/>
      <c r="AD875" s="583"/>
      <c r="AE875" s="583"/>
      <c r="AF875" s="583"/>
    </row>
    <row r="876" ht="19.5" customHeight="1">
      <c r="A876" s="647"/>
      <c r="B876" s="647"/>
      <c r="C876" s="647"/>
      <c r="D876" s="649"/>
      <c r="E876" s="647"/>
      <c r="F876" s="649"/>
      <c r="G876" s="649"/>
      <c r="H876" s="647"/>
      <c r="I876" s="583"/>
      <c r="J876" s="583"/>
      <c r="K876" s="583"/>
      <c r="L876" s="583"/>
      <c r="M876" s="583"/>
      <c r="N876" s="583"/>
      <c r="O876" s="583"/>
      <c r="P876" s="583"/>
      <c r="Q876" s="583"/>
      <c r="R876" s="583"/>
      <c r="S876" s="583"/>
      <c r="T876" s="583"/>
      <c r="U876" s="583"/>
      <c r="V876" s="583"/>
      <c r="W876" s="583"/>
      <c r="X876" s="583"/>
      <c r="Y876" s="583"/>
      <c r="Z876" s="583"/>
      <c r="AA876" s="583"/>
      <c r="AB876" s="583"/>
      <c r="AC876" s="583"/>
      <c r="AD876" s="583"/>
      <c r="AE876" s="583"/>
      <c r="AF876" s="583"/>
    </row>
    <row r="877" ht="19.5" customHeight="1">
      <c r="A877" s="647"/>
      <c r="B877" s="647"/>
      <c r="C877" s="647"/>
      <c r="D877" s="649"/>
      <c r="E877" s="647"/>
      <c r="F877" s="649"/>
      <c r="G877" s="649"/>
      <c r="H877" s="647"/>
      <c r="I877" s="583"/>
      <c r="J877" s="583"/>
      <c r="K877" s="583"/>
      <c r="L877" s="583"/>
      <c r="M877" s="583"/>
      <c r="N877" s="583"/>
      <c r="O877" s="583"/>
      <c r="P877" s="583"/>
      <c r="Q877" s="583"/>
      <c r="R877" s="583"/>
      <c r="S877" s="583"/>
      <c r="T877" s="583"/>
      <c r="U877" s="583"/>
      <c r="V877" s="583"/>
      <c r="W877" s="583"/>
      <c r="X877" s="583"/>
      <c r="Y877" s="583"/>
      <c r="Z877" s="583"/>
      <c r="AA877" s="583"/>
      <c r="AB877" s="583"/>
      <c r="AC877" s="583"/>
      <c r="AD877" s="583"/>
      <c r="AE877" s="583"/>
      <c r="AF877" s="583"/>
    </row>
    <row r="878" ht="19.5" customHeight="1">
      <c r="A878" s="647"/>
      <c r="B878" s="647"/>
      <c r="C878" s="647"/>
      <c r="D878" s="649"/>
      <c r="E878" s="647"/>
      <c r="F878" s="649"/>
      <c r="G878" s="649"/>
      <c r="H878" s="647"/>
      <c r="I878" s="583"/>
      <c r="J878" s="583"/>
      <c r="K878" s="583"/>
      <c r="L878" s="583"/>
      <c r="M878" s="583"/>
      <c r="N878" s="583"/>
      <c r="O878" s="583"/>
      <c r="P878" s="583"/>
      <c r="Q878" s="583"/>
      <c r="R878" s="583"/>
      <c r="S878" s="583"/>
      <c r="T878" s="583"/>
      <c r="U878" s="583"/>
      <c r="V878" s="583"/>
      <c r="W878" s="583"/>
      <c r="X878" s="583"/>
      <c r="Y878" s="583"/>
      <c r="Z878" s="583"/>
      <c r="AA878" s="583"/>
      <c r="AB878" s="583"/>
      <c r="AC878" s="583"/>
      <c r="AD878" s="583"/>
      <c r="AE878" s="583"/>
      <c r="AF878" s="583"/>
    </row>
    <row r="879" ht="19.5" customHeight="1">
      <c r="A879" s="647"/>
      <c r="B879" s="647"/>
      <c r="C879" s="647"/>
      <c r="D879" s="649"/>
      <c r="E879" s="647"/>
      <c r="F879" s="649"/>
      <c r="G879" s="649"/>
      <c r="H879" s="647"/>
      <c r="I879" s="583"/>
      <c r="J879" s="583"/>
      <c r="K879" s="583"/>
      <c r="L879" s="583"/>
      <c r="M879" s="583"/>
      <c r="N879" s="583"/>
      <c r="O879" s="583"/>
      <c r="P879" s="583"/>
      <c r="Q879" s="583"/>
      <c r="R879" s="583"/>
      <c r="S879" s="583"/>
      <c r="T879" s="583"/>
      <c r="U879" s="583"/>
      <c r="V879" s="583"/>
      <c r="W879" s="583"/>
      <c r="X879" s="583"/>
      <c r="Y879" s="583"/>
      <c r="Z879" s="583"/>
      <c r="AA879" s="583"/>
      <c r="AB879" s="583"/>
      <c r="AC879" s="583"/>
      <c r="AD879" s="583"/>
      <c r="AE879" s="583"/>
      <c r="AF879" s="583"/>
    </row>
    <row r="880" ht="19.5" customHeight="1">
      <c r="A880" s="647"/>
      <c r="B880" s="647"/>
      <c r="C880" s="647"/>
      <c r="D880" s="649"/>
      <c r="E880" s="647"/>
      <c r="F880" s="649"/>
      <c r="G880" s="649"/>
      <c r="H880" s="647"/>
      <c r="I880" s="583"/>
      <c r="J880" s="583"/>
      <c r="K880" s="583"/>
      <c r="L880" s="583"/>
      <c r="M880" s="583"/>
      <c r="N880" s="583"/>
      <c r="O880" s="583"/>
      <c r="P880" s="583"/>
      <c r="Q880" s="583"/>
      <c r="R880" s="583"/>
      <c r="S880" s="583"/>
      <c r="T880" s="583"/>
      <c r="U880" s="583"/>
      <c r="V880" s="583"/>
      <c r="W880" s="583"/>
      <c r="X880" s="583"/>
      <c r="Y880" s="583"/>
      <c r="Z880" s="583"/>
      <c r="AA880" s="583"/>
      <c r="AB880" s="583"/>
      <c r="AC880" s="583"/>
      <c r="AD880" s="583"/>
      <c r="AE880" s="583"/>
      <c r="AF880" s="583"/>
    </row>
    <row r="881" ht="19.5" customHeight="1">
      <c r="A881" s="647"/>
      <c r="B881" s="647"/>
      <c r="C881" s="647"/>
      <c r="D881" s="649"/>
      <c r="E881" s="647"/>
      <c r="F881" s="649"/>
      <c r="G881" s="649"/>
      <c r="H881" s="647"/>
      <c r="I881" s="583"/>
      <c r="J881" s="583"/>
      <c r="K881" s="583"/>
      <c r="L881" s="583"/>
      <c r="M881" s="583"/>
      <c r="N881" s="583"/>
      <c r="O881" s="583"/>
      <c r="P881" s="583"/>
      <c r="Q881" s="583"/>
      <c r="R881" s="583"/>
      <c r="S881" s="583"/>
      <c r="T881" s="583"/>
      <c r="U881" s="583"/>
      <c r="V881" s="583"/>
      <c r="W881" s="583"/>
      <c r="X881" s="583"/>
      <c r="Y881" s="583"/>
      <c r="Z881" s="583"/>
      <c r="AA881" s="583"/>
      <c r="AB881" s="583"/>
      <c r="AC881" s="583"/>
      <c r="AD881" s="583"/>
      <c r="AE881" s="583"/>
      <c r="AF881" s="583"/>
    </row>
    <row r="882" ht="19.5" customHeight="1">
      <c r="A882" s="647"/>
      <c r="B882" s="647"/>
      <c r="C882" s="647"/>
      <c r="D882" s="649"/>
      <c r="E882" s="647"/>
      <c r="F882" s="649"/>
      <c r="G882" s="649"/>
      <c r="H882" s="647"/>
      <c r="I882" s="583"/>
      <c r="J882" s="583"/>
      <c r="K882" s="583"/>
      <c r="L882" s="583"/>
      <c r="M882" s="583"/>
      <c r="N882" s="583"/>
      <c r="O882" s="583"/>
      <c r="P882" s="583"/>
      <c r="Q882" s="583"/>
      <c r="R882" s="583"/>
      <c r="S882" s="583"/>
      <c r="T882" s="583"/>
      <c r="U882" s="583"/>
      <c r="V882" s="583"/>
      <c r="W882" s="583"/>
      <c r="X882" s="583"/>
      <c r="Y882" s="583"/>
      <c r="Z882" s="583"/>
      <c r="AA882" s="583"/>
      <c r="AB882" s="583"/>
      <c r="AC882" s="583"/>
      <c r="AD882" s="583"/>
      <c r="AE882" s="583"/>
      <c r="AF882" s="583"/>
    </row>
    <row r="883" ht="19.5" customHeight="1">
      <c r="A883" s="647"/>
      <c r="B883" s="647"/>
      <c r="C883" s="647"/>
      <c r="D883" s="649"/>
      <c r="E883" s="647"/>
      <c r="F883" s="649"/>
      <c r="G883" s="649"/>
      <c r="H883" s="647"/>
      <c r="I883" s="583"/>
      <c r="J883" s="583"/>
      <c r="K883" s="583"/>
      <c r="L883" s="583"/>
      <c r="M883" s="583"/>
      <c r="N883" s="583"/>
      <c r="O883" s="583"/>
      <c r="P883" s="583"/>
      <c r="Q883" s="583"/>
      <c r="R883" s="583"/>
      <c r="S883" s="583"/>
      <c r="T883" s="583"/>
      <c r="U883" s="583"/>
      <c r="V883" s="583"/>
      <c r="W883" s="583"/>
      <c r="X883" s="583"/>
      <c r="Y883" s="583"/>
      <c r="Z883" s="583"/>
      <c r="AA883" s="583"/>
      <c r="AB883" s="583"/>
      <c r="AC883" s="583"/>
      <c r="AD883" s="583"/>
      <c r="AE883" s="583"/>
      <c r="AF883" s="583"/>
    </row>
    <row r="884" ht="19.5" customHeight="1">
      <c r="A884" s="647"/>
      <c r="B884" s="647"/>
      <c r="C884" s="647"/>
      <c r="D884" s="649"/>
      <c r="E884" s="647"/>
      <c r="F884" s="649"/>
      <c r="G884" s="649"/>
      <c r="H884" s="647"/>
      <c r="I884" s="583"/>
      <c r="J884" s="583"/>
      <c r="K884" s="583"/>
      <c r="L884" s="583"/>
      <c r="M884" s="583"/>
      <c r="N884" s="583"/>
      <c r="O884" s="583"/>
      <c r="P884" s="583"/>
      <c r="Q884" s="583"/>
      <c r="R884" s="583"/>
      <c r="S884" s="583"/>
      <c r="T884" s="583"/>
      <c r="U884" s="583"/>
      <c r="V884" s="583"/>
      <c r="W884" s="583"/>
      <c r="X884" s="583"/>
      <c r="Y884" s="583"/>
      <c r="Z884" s="583"/>
      <c r="AA884" s="583"/>
      <c r="AB884" s="583"/>
      <c r="AC884" s="583"/>
      <c r="AD884" s="583"/>
      <c r="AE884" s="583"/>
      <c r="AF884" s="583"/>
    </row>
    <row r="885" ht="19.5" customHeight="1">
      <c r="A885" s="647"/>
      <c r="B885" s="647"/>
      <c r="C885" s="647"/>
      <c r="D885" s="649"/>
      <c r="E885" s="647"/>
      <c r="F885" s="649"/>
      <c r="G885" s="649"/>
      <c r="H885" s="647"/>
      <c r="I885" s="583"/>
      <c r="J885" s="583"/>
      <c r="K885" s="583"/>
      <c r="L885" s="583"/>
      <c r="M885" s="583"/>
      <c r="N885" s="583"/>
      <c r="O885" s="583"/>
      <c r="P885" s="583"/>
      <c r="Q885" s="583"/>
      <c r="R885" s="583"/>
      <c r="S885" s="583"/>
      <c r="T885" s="583"/>
      <c r="U885" s="583"/>
      <c r="V885" s="583"/>
      <c r="W885" s="583"/>
      <c r="X885" s="583"/>
      <c r="Y885" s="583"/>
      <c r="Z885" s="583"/>
      <c r="AA885" s="583"/>
      <c r="AB885" s="583"/>
      <c r="AC885" s="583"/>
      <c r="AD885" s="583"/>
      <c r="AE885" s="583"/>
      <c r="AF885" s="583"/>
    </row>
    <row r="886" ht="19.5" customHeight="1">
      <c r="A886" s="647"/>
      <c r="B886" s="647"/>
      <c r="C886" s="647"/>
      <c r="D886" s="649"/>
      <c r="E886" s="647"/>
      <c r="F886" s="649"/>
      <c r="G886" s="649"/>
      <c r="H886" s="647"/>
      <c r="I886" s="583"/>
      <c r="J886" s="583"/>
      <c r="K886" s="583"/>
      <c r="L886" s="583"/>
      <c r="M886" s="583"/>
      <c r="N886" s="583"/>
      <c r="O886" s="583"/>
      <c r="P886" s="583"/>
      <c r="Q886" s="583"/>
      <c r="R886" s="583"/>
      <c r="S886" s="583"/>
      <c r="T886" s="583"/>
      <c r="U886" s="583"/>
      <c r="V886" s="583"/>
      <c r="W886" s="583"/>
      <c r="X886" s="583"/>
      <c r="Y886" s="583"/>
      <c r="Z886" s="583"/>
      <c r="AA886" s="583"/>
      <c r="AB886" s="583"/>
      <c r="AC886" s="583"/>
      <c r="AD886" s="583"/>
      <c r="AE886" s="583"/>
      <c r="AF886" s="583"/>
    </row>
    <row r="887" ht="19.5" customHeight="1">
      <c r="A887" s="647"/>
      <c r="B887" s="647"/>
      <c r="C887" s="647"/>
      <c r="D887" s="649"/>
      <c r="E887" s="647"/>
      <c r="F887" s="649"/>
      <c r="G887" s="649"/>
      <c r="H887" s="647"/>
      <c r="I887" s="583"/>
      <c r="J887" s="583"/>
      <c r="K887" s="583"/>
      <c r="L887" s="583"/>
      <c r="M887" s="583"/>
      <c r="N887" s="583"/>
      <c r="O887" s="583"/>
      <c r="P887" s="583"/>
      <c r="Q887" s="583"/>
      <c r="R887" s="583"/>
      <c r="S887" s="583"/>
      <c r="T887" s="583"/>
      <c r="U887" s="583"/>
      <c r="V887" s="583"/>
      <c r="W887" s="583"/>
      <c r="X887" s="583"/>
      <c r="Y887" s="583"/>
      <c r="Z887" s="583"/>
      <c r="AA887" s="583"/>
      <c r="AB887" s="583"/>
      <c r="AC887" s="583"/>
      <c r="AD887" s="583"/>
      <c r="AE887" s="583"/>
      <c r="AF887" s="583"/>
    </row>
    <row r="888" ht="19.5" customHeight="1">
      <c r="A888" s="647"/>
      <c r="B888" s="647"/>
      <c r="C888" s="647"/>
      <c r="D888" s="649"/>
      <c r="E888" s="647"/>
      <c r="F888" s="649"/>
      <c r="G888" s="649"/>
      <c r="H888" s="647"/>
      <c r="I888" s="583"/>
      <c r="J888" s="583"/>
      <c r="K888" s="583"/>
      <c r="L888" s="583"/>
      <c r="M888" s="583"/>
      <c r="N888" s="583"/>
      <c r="O888" s="583"/>
      <c r="P888" s="583"/>
      <c r="Q888" s="583"/>
      <c r="R888" s="583"/>
      <c r="S888" s="583"/>
      <c r="T888" s="583"/>
      <c r="U888" s="583"/>
      <c r="V888" s="583"/>
      <c r="W888" s="583"/>
      <c r="X888" s="583"/>
      <c r="Y888" s="583"/>
      <c r="Z888" s="583"/>
      <c r="AA888" s="583"/>
      <c r="AB888" s="583"/>
      <c r="AC888" s="583"/>
      <c r="AD888" s="583"/>
      <c r="AE888" s="583"/>
      <c r="AF888" s="583"/>
    </row>
    <row r="889" ht="19.5" customHeight="1">
      <c r="A889" s="647"/>
      <c r="B889" s="647"/>
      <c r="C889" s="647"/>
      <c r="D889" s="649"/>
      <c r="E889" s="647"/>
      <c r="F889" s="649"/>
      <c r="G889" s="649"/>
      <c r="H889" s="647"/>
      <c r="I889" s="583"/>
      <c r="J889" s="583"/>
      <c r="K889" s="583"/>
      <c r="L889" s="583"/>
      <c r="M889" s="583"/>
      <c r="N889" s="583"/>
      <c r="O889" s="583"/>
      <c r="P889" s="583"/>
      <c r="Q889" s="583"/>
      <c r="R889" s="583"/>
      <c r="S889" s="583"/>
      <c r="T889" s="583"/>
      <c r="U889" s="583"/>
      <c r="V889" s="583"/>
      <c r="W889" s="583"/>
      <c r="X889" s="583"/>
      <c r="Y889" s="583"/>
      <c r="Z889" s="583"/>
      <c r="AA889" s="583"/>
      <c r="AB889" s="583"/>
      <c r="AC889" s="583"/>
      <c r="AD889" s="583"/>
      <c r="AE889" s="583"/>
      <c r="AF889" s="583"/>
    </row>
    <row r="890" ht="19.5" customHeight="1">
      <c r="A890" s="647"/>
      <c r="B890" s="647"/>
      <c r="C890" s="647"/>
      <c r="D890" s="649"/>
      <c r="E890" s="647"/>
      <c r="F890" s="649"/>
      <c r="G890" s="649"/>
      <c r="H890" s="647"/>
      <c r="I890" s="583"/>
      <c r="J890" s="583"/>
      <c r="K890" s="583"/>
      <c r="L890" s="583"/>
      <c r="M890" s="583"/>
      <c r="N890" s="583"/>
      <c r="O890" s="583"/>
      <c r="P890" s="583"/>
      <c r="Q890" s="583"/>
      <c r="R890" s="583"/>
      <c r="S890" s="583"/>
      <c r="T890" s="583"/>
      <c r="U890" s="583"/>
      <c r="V890" s="583"/>
      <c r="W890" s="583"/>
      <c r="X890" s="583"/>
      <c r="Y890" s="583"/>
      <c r="Z890" s="583"/>
      <c r="AA890" s="583"/>
      <c r="AB890" s="583"/>
      <c r="AC890" s="583"/>
      <c r="AD890" s="583"/>
      <c r="AE890" s="583"/>
      <c r="AF890" s="583"/>
    </row>
    <row r="891" ht="19.5" customHeight="1">
      <c r="A891" s="647"/>
      <c r="B891" s="647"/>
      <c r="C891" s="647"/>
      <c r="D891" s="649"/>
      <c r="E891" s="647"/>
      <c r="F891" s="649"/>
      <c r="G891" s="649"/>
      <c r="H891" s="647"/>
      <c r="I891" s="583"/>
      <c r="J891" s="583"/>
      <c r="K891" s="583"/>
      <c r="L891" s="583"/>
      <c r="M891" s="583"/>
      <c r="N891" s="583"/>
      <c r="O891" s="583"/>
      <c r="P891" s="583"/>
      <c r="Q891" s="583"/>
      <c r="R891" s="583"/>
      <c r="S891" s="583"/>
      <c r="T891" s="583"/>
      <c r="U891" s="583"/>
      <c r="V891" s="583"/>
      <c r="W891" s="583"/>
      <c r="X891" s="583"/>
      <c r="Y891" s="583"/>
      <c r="Z891" s="583"/>
      <c r="AA891" s="583"/>
      <c r="AB891" s="583"/>
      <c r="AC891" s="583"/>
      <c r="AD891" s="583"/>
      <c r="AE891" s="583"/>
      <c r="AF891" s="583"/>
    </row>
    <row r="892" ht="19.5" customHeight="1">
      <c r="A892" s="647"/>
      <c r="B892" s="647"/>
      <c r="C892" s="647"/>
      <c r="D892" s="649"/>
      <c r="E892" s="647"/>
      <c r="F892" s="649"/>
      <c r="G892" s="649"/>
      <c r="H892" s="647"/>
      <c r="I892" s="583"/>
      <c r="J892" s="583"/>
      <c r="K892" s="583"/>
      <c r="L892" s="583"/>
      <c r="M892" s="583"/>
      <c r="N892" s="583"/>
      <c r="O892" s="583"/>
      <c r="P892" s="583"/>
      <c r="Q892" s="583"/>
      <c r="R892" s="583"/>
      <c r="S892" s="583"/>
      <c r="T892" s="583"/>
      <c r="U892" s="583"/>
      <c r="V892" s="583"/>
      <c r="W892" s="583"/>
      <c r="X892" s="583"/>
      <c r="Y892" s="583"/>
      <c r="Z892" s="583"/>
      <c r="AA892" s="583"/>
      <c r="AB892" s="583"/>
      <c r="AC892" s="583"/>
      <c r="AD892" s="583"/>
      <c r="AE892" s="583"/>
      <c r="AF892" s="583"/>
    </row>
    <row r="893" ht="19.5" customHeight="1">
      <c r="A893" s="647"/>
      <c r="B893" s="647"/>
      <c r="C893" s="647"/>
      <c r="D893" s="649"/>
      <c r="E893" s="647"/>
      <c r="F893" s="649"/>
      <c r="G893" s="649"/>
      <c r="H893" s="647"/>
      <c r="I893" s="583"/>
      <c r="J893" s="583"/>
      <c r="K893" s="583"/>
      <c r="L893" s="583"/>
      <c r="M893" s="583"/>
      <c r="N893" s="583"/>
      <c r="O893" s="583"/>
      <c r="P893" s="583"/>
      <c r="Q893" s="583"/>
      <c r="R893" s="583"/>
      <c r="S893" s="583"/>
      <c r="T893" s="583"/>
      <c r="U893" s="583"/>
      <c r="V893" s="583"/>
      <c r="W893" s="583"/>
      <c r="X893" s="583"/>
      <c r="Y893" s="583"/>
      <c r="Z893" s="583"/>
      <c r="AA893" s="583"/>
      <c r="AB893" s="583"/>
      <c r="AC893" s="583"/>
      <c r="AD893" s="583"/>
      <c r="AE893" s="583"/>
      <c r="AF893" s="583"/>
    </row>
    <row r="894" ht="19.5" customHeight="1">
      <c r="A894" s="647"/>
      <c r="B894" s="647"/>
      <c r="C894" s="647"/>
      <c r="D894" s="649"/>
      <c r="E894" s="647"/>
      <c r="F894" s="649"/>
      <c r="G894" s="649"/>
      <c r="H894" s="647"/>
      <c r="I894" s="583"/>
      <c r="J894" s="583"/>
      <c r="K894" s="583"/>
      <c r="L894" s="583"/>
      <c r="M894" s="583"/>
      <c r="N894" s="583"/>
      <c r="O894" s="583"/>
      <c r="P894" s="583"/>
      <c r="Q894" s="583"/>
      <c r="R894" s="583"/>
      <c r="S894" s="583"/>
      <c r="T894" s="583"/>
      <c r="U894" s="583"/>
      <c r="V894" s="583"/>
      <c r="W894" s="583"/>
      <c r="X894" s="583"/>
      <c r="Y894" s="583"/>
      <c r="Z894" s="583"/>
      <c r="AA894" s="583"/>
      <c r="AB894" s="583"/>
      <c r="AC894" s="583"/>
      <c r="AD894" s="583"/>
      <c r="AE894" s="583"/>
      <c r="AF894" s="583"/>
    </row>
    <row r="895" ht="19.5" customHeight="1">
      <c r="A895" s="647"/>
      <c r="B895" s="647"/>
      <c r="C895" s="647"/>
      <c r="D895" s="649"/>
      <c r="E895" s="647"/>
      <c r="F895" s="649"/>
      <c r="G895" s="649"/>
      <c r="H895" s="647"/>
      <c r="I895" s="583"/>
      <c r="J895" s="583"/>
      <c r="K895" s="583"/>
      <c r="L895" s="583"/>
      <c r="M895" s="583"/>
      <c r="N895" s="583"/>
      <c r="O895" s="583"/>
      <c r="P895" s="583"/>
      <c r="Q895" s="583"/>
      <c r="R895" s="583"/>
      <c r="S895" s="583"/>
      <c r="T895" s="583"/>
      <c r="U895" s="583"/>
      <c r="V895" s="583"/>
      <c r="W895" s="583"/>
      <c r="X895" s="583"/>
      <c r="Y895" s="583"/>
      <c r="Z895" s="583"/>
      <c r="AA895" s="583"/>
      <c r="AB895" s="583"/>
      <c r="AC895" s="583"/>
      <c r="AD895" s="583"/>
      <c r="AE895" s="583"/>
      <c r="AF895" s="583"/>
    </row>
    <row r="896" ht="19.5" customHeight="1">
      <c r="A896" s="647"/>
      <c r="B896" s="647"/>
      <c r="C896" s="647"/>
      <c r="D896" s="649"/>
      <c r="E896" s="647"/>
      <c r="F896" s="649"/>
      <c r="G896" s="649"/>
      <c r="H896" s="647"/>
      <c r="I896" s="583"/>
      <c r="J896" s="583"/>
      <c r="K896" s="583"/>
      <c r="L896" s="583"/>
      <c r="M896" s="583"/>
      <c r="N896" s="583"/>
      <c r="O896" s="583"/>
      <c r="P896" s="583"/>
      <c r="Q896" s="583"/>
      <c r="R896" s="583"/>
      <c r="S896" s="583"/>
      <c r="T896" s="583"/>
      <c r="U896" s="583"/>
      <c r="V896" s="583"/>
      <c r="W896" s="583"/>
      <c r="X896" s="583"/>
      <c r="Y896" s="583"/>
      <c r="Z896" s="583"/>
      <c r="AA896" s="583"/>
      <c r="AB896" s="583"/>
      <c r="AC896" s="583"/>
      <c r="AD896" s="583"/>
      <c r="AE896" s="583"/>
      <c r="AF896" s="583"/>
    </row>
    <row r="897" ht="19.5" customHeight="1">
      <c r="A897" s="647"/>
      <c r="B897" s="647"/>
      <c r="C897" s="647"/>
      <c r="D897" s="649"/>
      <c r="E897" s="647"/>
      <c r="F897" s="649"/>
      <c r="G897" s="649"/>
      <c r="H897" s="647"/>
      <c r="I897" s="583"/>
      <c r="J897" s="583"/>
      <c r="K897" s="583"/>
      <c r="L897" s="583"/>
      <c r="M897" s="583"/>
      <c r="N897" s="583"/>
      <c r="O897" s="583"/>
      <c r="P897" s="583"/>
      <c r="Q897" s="583"/>
      <c r="R897" s="583"/>
      <c r="S897" s="583"/>
      <c r="T897" s="583"/>
      <c r="U897" s="583"/>
      <c r="V897" s="583"/>
      <c r="W897" s="583"/>
      <c r="X897" s="583"/>
      <c r="Y897" s="583"/>
      <c r="Z897" s="583"/>
      <c r="AA897" s="583"/>
      <c r="AB897" s="583"/>
      <c r="AC897" s="583"/>
      <c r="AD897" s="583"/>
      <c r="AE897" s="583"/>
      <c r="AF897" s="583"/>
    </row>
    <row r="898" ht="19.5" customHeight="1">
      <c r="A898" s="647"/>
      <c r="B898" s="647"/>
      <c r="C898" s="647"/>
      <c r="D898" s="649"/>
      <c r="E898" s="647"/>
      <c r="F898" s="649"/>
      <c r="G898" s="649"/>
      <c r="H898" s="647"/>
      <c r="I898" s="583"/>
      <c r="J898" s="583"/>
      <c r="K898" s="583"/>
      <c r="L898" s="583"/>
      <c r="M898" s="583"/>
      <c r="N898" s="583"/>
      <c r="O898" s="583"/>
      <c r="P898" s="583"/>
      <c r="Q898" s="583"/>
      <c r="R898" s="583"/>
      <c r="S898" s="583"/>
      <c r="T898" s="583"/>
      <c r="U898" s="583"/>
      <c r="V898" s="583"/>
      <c r="W898" s="583"/>
      <c r="X898" s="583"/>
      <c r="Y898" s="583"/>
      <c r="Z898" s="583"/>
      <c r="AA898" s="583"/>
      <c r="AB898" s="583"/>
      <c r="AC898" s="583"/>
      <c r="AD898" s="583"/>
      <c r="AE898" s="583"/>
      <c r="AF898" s="583"/>
    </row>
    <row r="899" ht="19.5" customHeight="1">
      <c r="A899" s="647"/>
      <c r="B899" s="647"/>
      <c r="C899" s="647"/>
      <c r="D899" s="649"/>
      <c r="E899" s="647"/>
      <c r="F899" s="649"/>
      <c r="G899" s="649"/>
      <c r="H899" s="647"/>
      <c r="I899" s="583"/>
      <c r="J899" s="583"/>
      <c r="K899" s="583"/>
      <c r="L899" s="583"/>
      <c r="M899" s="583"/>
      <c r="N899" s="583"/>
      <c r="O899" s="583"/>
      <c r="P899" s="583"/>
      <c r="Q899" s="583"/>
      <c r="R899" s="583"/>
      <c r="S899" s="583"/>
      <c r="T899" s="583"/>
      <c r="U899" s="583"/>
      <c r="V899" s="583"/>
      <c r="W899" s="583"/>
      <c r="X899" s="583"/>
      <c r="Y899" s="583"/>
      <c r="Z899" s="583"/>
      <c r="AA899" s="583"/>
      <c r="AB899" s="583"/>
      <c r="AC899" s="583"/>
      <c r="AD899" s="583"/>
      <c r="AE899" s="583"/>
      <c r="AF899" s="583"/>
    </row>
    <row r="900" ht="19.5" customHeight="1">
      <c r="A900" s="647"/>
      <c r="B900" s="647"/>
      <c r="C900" s="647"/>
      <c r="D900" s="649"/>
      <c r="E900" s="647"/>
      <c r="F900" s="649"/>
      <c r="G900" s="649"/>
      <c r="H900" s="647"/>
      <c r="I900" s="583"/>
      <c r="J900" s="583"/>
      <c r="K900" s="583"/>
      <c r="L900" s="583"/>
      <c r="M900" s="583"/>
      <c r="N900" s="583"/>
      <c r="O900" s="583"/>
      <c r="P900" s="583"/>
      <c r="Q900" s="583"/>
      <c r="R900" s="583"/>
      <c r="S900" s="583"/>
      <c r="T900" s="583"/>
      <c r="U900" s="583"/>
      <c r="V900" s="583"/>
      <c r="W900" s="583"/>
      <c r="X900" s="583"/>
      <c r="Y900" s="583"/>
      <c r="Z900" s="583"/>
      <c r="AA900" s="583"/>
      <c r="AB900" s="583"/>
      <c r="AC900" s="583"/>
      <c r="AD900" s="583"/>
      <c r="AE900" s="583"/>
      <c r="AF900" s="583"/>
    </row>
    <row r="901" ht="19.5" customHeight="1">
      <c r="A901" s="647"/>
      <c r="B901" s="647"/>
      <c r="C901" s="647"/>
      <c r="D901" s="649"/>
      <c r="E901" s="647"/>
      <c r="F901" s="649"/>
      <c r="G901" s="649"/>
      <c r="H901" s="647"/>
      <c r="I901" s="583"/>
      <c r="J901" s="583"/>
      <c r="K901" s="583"/>
      <c r="L901" s="583"/>
      <c r="M901" s="583"/>
      <c r="N901" s="583"/>
      <c r="O901" s="583"/>
      <c r="P901" s="583"/>
      <c r="Q901" s="583"/>
      <c r="R901" s="583"/>
      <c r="S901" s="583"/>
      <c r="T901" s="583"/>
      <c r="U901" s="583"/>
      <c r="V901" s="583"/>
      <c r="W901" s="583"/>
      <c r="X901" s="583"/>
      <c r="Y901" s="583"/>
      <c r="Z901" s="583"/>
      <c r="AA901" s="583"/>
      <c r="AB901" s="583"/>
      <c r="AC901" s="583"/>
      <c r="AD901" s="583"/>
      <c r="AE901" s="583"/>
      <c r="AF901" s="583"/>
    </row>
    <row r="902" ht="19.5" customHeight="1">
      <c r="A902" s="647"/>
      <c r="B902" s="647"/>
      <c r="C902" s="647"/>
      <c r="D902" s="649"/>
      <c r="E902" s="647"/>
      <c r="F902" s="649"/>
      <c r="G902" s="649"/>
      <c r="H902" s="647"/>
      <c r="I902" s="583"/>
      <c r="J902" s="583"/>
      <c r="K902" s="583"/>
      <c r="L902" s="583"/>
      <c r="M902" s="583"/>
      <c r="N902" s="583"/>
      <c r="O902" s="583"/>
      <c r="P902" s="583"/>
      <c r="Q902" s="583"/>
      <c r="R902" s="583"/>
      <c r="S902" s="583"/>
      <c r="T902" s="583"/>
      <c r="U902" s="583"/>
      <c r="V902" s="583"/>
      <c r="W902" s="583"/>
      <c r="X902" s="583"/>
      <c r="Y902" s="583"/>
      <c r="Z902" s="583"/>
      <c r="AA902" s="583"/>
      <c r="AB902" s="583"/>
      <c r="AC902" s="583"/>
      <c r="AD902" s="583"/>
      <c r="AE902" s="583"/>
      <c r="AF902" s="583"/>
    </row>
    <row r="903" ht="19.5" customHeight="1">
      <c r="A903" s="647"/>
      <c r="B903" s="647"/>
      <c r="C903" s="647"/>
      <c r="D903" s="649"/>
      <c r="E903" s="647"/>
      <c r="F903" s="649"/>
      <c r="G903" s="649"/>
      <c r="H903" s="647"/>
      <c r="I903" s="583"/>
      <c r="J903" s="583"/>
      <c r="K903" s="583"/>
      <c r="L903" s="583"/>
      <c r="M903" s="583"/>
      <c r="N903" s="583"/>
      <c r="O903" s="583"/>
      <c r="P903" s="583"/>
      <c r="Q903" s="583"/>
      <c r="R903" s="583"/>
      <c r="S903" s="583"/>
      <c r="T903" s="583"/>
      <c r="U903" s="583"/>
      <c r="V903" s="583"/>
      <c r="W903" s="583"/>
      <c r="X903" s="583"/>
      <c r="Y903" s="583"/>
      <c r="Z903" s="583"/>
      <c r="AA903" s="583"/>
      <c r="AB903" s="583"/>
      <c r="AC903" s="583"/>
      <c r="AD903" s="583"/>
      <c r="AE903" s="583"/>
      <c r="AF903" s="583"/>
    </row>
    <row r="904" ht="19.5" customHeight="1">
      <c r="A904" s="647"/>
      <c r="B904" s="647"/>
      <c r="C904" s="647"/>
      <c r="D904" s="649"/>
      <c r="E904" s="647"/>
      <c r="F904" s="649"/>
      <c r="G904" s="649"/>
      <c r="H904" s="647"/>
      <c r="I904" s="583"/>
      <c r="J904" s="583"/>
      <c r="K904" s="583"/>
      <c r="L904" s="583"/>
      <c r="M904" s="583"/>
      <c r="N904" s="583"/>
      <c r="O904" s="583"/>
      <c r="P904" s="583"/>
      <c r="Q904" s="583"/>
      <c r="R904" s="583"/>
      <c r="S904" s="583"/>
      <c r="T904" s="583"/>
      <c r="U904" s="583"/>
      <c r="V904" s="583"/>
      <c r="W904" s="583"/>
      <c r="X904" s="583"/>
      <c r="Y904" s="583"/>
      <c r="Z904" s="583"/>
      <c r="AA904" s="583"/>
      <c r="AB904" s="583"/>
      <c r="AC904" s="583"/>
      <c r="AD904" s="583"/>
      <c r="AE904" s="583"/>
      <c r="AF904" s="583"/>
    </row>
    <row r="905" ht="19.5" customHeight="1">
      <c r="A905" s="647"/>
      <c r="B905" s="647"/>
      <c r="C905" s="647"/>
      <c r="D905" s="649"/>
      <c r="E905" s="647"/>
      <c r="F905" s="649"/>
      <c r="G905" s="649"/>
      <c r="H905" s="647"/>
      <c r="I905" s="583"/>
      <c r="J905" s="583"/>
      <c r="K905" s="583"/>
      <c r="L905" s="583"/>
      <c r="M905" s="583"/>
      <c r="N905" s="583"/>
      <c r="O905" s="583"/>
      <c r="P905" s="583"/>
      <c r="Q905" s="583"/>
      <c r="R905" s="583"/>
      <c r="S905" s="583"/>
      <c r="T905" s="583"/>
      <c r="U905" s="583"/>
      <c r="V905" s="583"/>
      <c r="W905" s="583"/>
      <c r="X905" s="583"/>
      <c r="Y905" s="583"/>
      <c r="Z905" s="583"/>
      <c r="AA905" s="583"/>
      <c r="AB905" s="583"/>
      <c r="AC905" s="583"/>
      <c r="AD905" s="583"/>
      <c r="AE905" s="583"/>
      <c r="AF905" s="583"/>
    </row>
    <row r="906" ht="19.5" customHeight="1">
      <c r="A906" s="647"/>
      <c r="B906" s="647"/>
      <c r="C906" s="647"/>
      <c r="D906" s="649"/>
      <c r="E906" s="647"/>
      <c r="F906" s="649"/>
      <c r="G906" s="649"/>
      <c r="H906" s="647"/>
      <c r="I906" s="583"/>
      <c r="J906" s="583"/>
      <c r="K906" s="583"/>
      <c r="L906" s="583"/>
      <c r="M906" s="583"/>
      <c r="N906" s="583"/>
      <c r="O906" s="583"/>
      <c r="P906" s="583"/>
      <c r="Q906" s="583"/>
      <c r="R906" s="583"/>
      <c r="S906" s="583"/>
      <c r="T906" s="583"/>
      <c r="U906" s="583"/>
      <c r="V906" s="583"/>
      <c r="W906" s="583"/>
      <c r="X906" s="583"/>
      <c r="Y906" s="583"/>
      <c r="Z906" s="583"/>
      <c r="AA906" s="583"/>
      <c r="AB906" s="583"/>
      <c r="AC906" s="583"/>
      <c r="AD906" s="583"/>
      <c r="AE906" s="583"/>
      <c r="AF906" s="583"/>
    </row>
    <row r="907" ht="19.5" customHeight="1">
      <c r="A907" s="647"/>
      <c r="B907" s="647"/>
      <c r="C907" s="647"/>
      <c r="D907" s="649"/>
      <c r="E907" s="647"/>
      <c r="F907" s="649"/>
      <c r="G907" s="649"/>
      <c r="H907" s="647"/>
      <c r="I907" s="583"/>
      <c r="J907" s="583"/>
      <c r="K907" s="583"/>
      <c r="L907" s="583"/>
      <c r="M907" s="583"/>
      <c r="N907" s="583"/>
      <c r="O907" s="583"/>
      <c r="P907" s="583"/>
      <c r="Q907" s="583"/>
      <c r="R907" s="583"/>
      <c r="S907" s="583"/>
      <c r="T907" s="583"/>
      <c r="U907" s="583"/>
      <c r="V907" s="583"/>
      <c r="W907" s="583"/>
      <c r="X907" s="583"/>
      <c r="Y907" s="583"/>
      <c r="Z907" s="583"/>
      <c r="AA907" s="583"/>
      <c r="AB907" s="583"/>
      <c r="AC907" s="583"/>
      <c r="AD907" s="583"/>
      <c r="AE907" s="583"/>
      <c r="AF907" s="583"/>
    </row>
    <row r="908" ht="19.5" customHeight="1">
      <c r="A908" s="647"/>
      <c r="B908" s="647"/>
      <c r="C908" s="647"/>
      <c r="D908" s="649"/>
      <c r="E908" s="647"/>
      <c r="F908" s="649"/>
      <c r="G908" s="649"/>
      <c r="H908" s="647"/>
      <c r="I908" s="583"/>
      <c r="J908" s="583"/>
      <c r="K908" s="583"/>
      <c r="L908" s="583"/>
      <c r="M908" s="583"/>
      <c r="N908" s="583"/>
      <c r="O908" s="583"/>
      <c r="P908" s="583"/>
      <c r="Q908" s="583"/>
      <c r="R908" s="583"/>
      <c r="S908" s="583"/>
      <c r="T908" s="583"/>
      <c r="U908" s="583"/>
      <c r="V908" s="583"/>
      <c r="W908" s="583"/>
      <c r="X908" s="583"/>
      <c r="Y908" s="583"/>
      <c r="Z908" s="583"/>
      <c r="AA908" s="583"/>
      <c r="AB908" s="583"/>
      <c r="AC908" s="583"/>
      <c r="AD908" s="583"/>
      <c r="AE908" s="583"/>
      <c r="AF908" s="583"/>
    </row>
    <row r="909" ht="19.5" customHeight="1">
      <c r="A909" s="647"/>
      <c r="B909" s="647"/>
      <c r="C909" s="647"/>
      <c r="D909" s="649"/>
      <c r="E909" s="647"/>
      <c r="F909" s="649"/>
      <c r="G909" s="649"/>
      <c r="H909" s="647"/>
      <c r="I909" s="583"/>
      <c r="J909" s="583"/>
      <c r="K909" s="583"/>
      <c r="L909" s="583"/>
      <c r="M909" s="583"/>
      <c r="N909" s="583"/>
      <c r="O909" s="583"/>
      <c r="P909" s="583"/>
      <c r="Q909" s="583"/>
      <c r="R909" s="583"/>
      <c r="S909" s="583"/>
      <c r="T909" s="583"/>
      <c r="U909" s="583"/>
      <c r="V909" s="583"/>
      <c r="W909" s="583"/>
      <c r="X909" s="583"/>
      <c r="Y909" s="583"/>
      <c r="Z909" s="583"/>
      <c r="AA909" s="583"/>
      <c r="AB909" s="583"/>
      <c r="AC909" s="583"/>
      <c r="AD909" s="583"/>
      <c r="AE909" s="583"/>
      <c r="AF909" s="583"/>
    </row>
    <row r="910" ht="19.5" customHeight="1">
      <c r="A910" s="647"/>
      <c r="B910" s="647"/>
      <c r="C910" s="647"/>
      <c r="D910" s="649"/>
      <c r="E910" s="647"/>
      <c r="F910" s="649"/>
      <c r="G910" s="649"/>
      <c r="H910" s="647"/>
      <c r="I910" s="583"/>
      <c r="J910" s="583"/>
      <c r="K910" s="583"/>
      <c r="L910" s="583"/>
      <c r="M910" s="583"/>
      <c r="N910" s="583"/>
      <c r="O910" s="583"/>
      <c r="P910" s="583"/>
      <c r="Q910" s="583"/>
      <c r="R910" s="583"/>
      <c r="S910" s="583"/>
      <c r="T910" s="583"/>
      <c r="U910" s="583"/>
      <c r="V910" s="583"/>
      <c r="W910" s="583"/>
      <c r="X910" s="583"/>
      <c r="Y910" s="583"/>
      <c r="Z910" s="583"/>
      <c r="AA910" s="583"/>
      <c r="AB910" s="583"/>
      <c r="AC910" s="583"/>
      <c r="AD910" s="583"/>
      <c r="AE910" s="583"/>
      <c r="AF910" s="583"/>
    </row>
    <row r="911" ht="19.5" customHeight="1">
      <c r="A911" s="647"/>
      <c r="B911" s="647"/>
      <c r="C911" s="647"/>
      <c r="D911" s="649"/>
      <c r="E911" s="647"/>
      <c r="F911" s="649"/>
      <c r="G911" s="649"/>
      <c r="H911" s="647"/>
      <c r="I911" s="583"/>
      <c r="J911" s="583"/>
      <c r="K911" s="583"/>
      <c r="L911" s="583"/>
      <c r="M911" s="583"/>
      <c r="N911" s="583"/>
      <c r="O911" s="583"/>
      <c r="P911" s="583"/>
      <c r="Q911" s="583"/>
      <c r="R911" s="583"/>
      <c r="S911" s="583"/>
      <c r="T911" s="583"/>
      <c r="U911" s="583"/>
      <c r="V911" s="583"/>
      <c r="W911" s="583"/>
      <c r="X911" s="583"/>
      <c r="Y911" s="583"/>
      <c r="Z911" s="583"/>
      <c r="AA911" s="583"/>
      <c r="AB911" s="583"/>
      <c r="AC911" s="583"/>
      <c r="AD911" s="583"/>
      <c r="AE911" s="583"/>
      <c r="AF911" s="583"/>
    </row>
    <row r="912" ht="19.5" customHeight="1">
      <c r="A912" s="647"/>
      <c r="B912" s="647"/>
      <c r="C912" s="647"/>
      <c r="D912" s="649"/>
      <c r="E912" s="647"/>
      <c r="F912" s="649"/>
      <c r="G912" s="649"/>
      <c r="H912" s="647"/>
      <c r="I912" s="583"/>
      <c r="J912" s="583"/>
      <c r="K912" s="583"/>
      <c r="L912" s="583"/>
      <c r="M912" s="583"/>
      <c r="N912" s="583"/>
      <c r="O912" s="583"/>
      <c r="P912" s="583"/>
      <c r="Q912" s="583"/>
      <c r="R912" s="583"/>
      <c r="S912" s="583"/>
      <c r="T912" s="583"/>
      <c r="U912" s="583"/>
      <c r="V912" s="583"/>
      <c r="W912" s="583"/>
      <c r="X912" s="583"/>
      <c r="Y912" s="583"/>
      <c r="Z912" s="583"/>
      <c r="AA912" s="583"/>
      <c r="AB912" s="583"/>
      <c r="AC912" s="583"/>
      <c r="AD912" s="583"/>
      <c r="AE912" s="583"/>
      <c r="AF912" s="583"/>
    </row>
    <row r="913" ht="19.5" customHeight="1">
      <c r="A913" s="647"/>
      <c r="B913" s="647"/>
      <c r="C913" s="647"/>
      <c r="D913" s="649"/>
      <c r="E913" s="647"/>
      <c r="F913" s="649"/>
      <c r="G913" s="649"/>
      <c r="H913" s="647"/>
      <c r="I913" s="583"/>
      <c r="J913" s="583"/>
      <c r="K913" s="583"/>
      <c r="L913" s="583"/>
      <c r="M913" s="583"/>
      <c r="N913" s="583"/>
      <c r="O913" s="583"/>
      <c r="P913" s="583"/>
      <c r="Q913" s="583"/>
      <c r="R913" s="583"/>
      <c r="S913" s="583"/>
      <c r="T913" s="583"/>
      <c r="U913" s="583"/>
      <c r="V913" s="583"/>
      <c r="W913" s="583"/>
      <c r="X913" s="583"/>
      <c r="Y913" s="583"/>
      <c r="Z913" s="583"/>
      <c r="AA913" s="583"/>
      <c r="AB913" s="583"/>
      <c r="AC913" s="583"/>
      <c r="AD913" s="583"/>
      <c r="AE913" s="583"/>
      <c r="AF913" s="583"/>
    </row>
    <row r="914" ht="19.5" customHeight="1">
      <c r="A914" s="647"/>
      <c r="B914" s="647"/>
      <c r="C914" s="647"/>
      <c r="D914" s="649"/>
      <c r="E914" s="647"/>
      <c r="F914" s="649"/>
      <c r="G914" s="649"/>
      <c r="H914" s="647"/>
      <c r="I914" s="583"/>
      <c r="J914" s="583"/>
      <c r="K914" s="583"/>
      <c r="L914" s="583"/>
      <c r="M914" s="583"/>
      <c r="N914" s="583"/>
      <c r="O914" s="583"/>
      <c r="P914" s="583"/>
      <c r="Q914" s="583"/>
      <c r="R914" s="583"/>
      <c r="S914" s="583"/>
      <c r="T914" s="583"/>
      <c r="U914" s="583"/>
      <c r="V914" s="583"/>
      <c r="W914" s="583"/>
      <c r="X914" s="583"/>
      <c r="Y914" s="583"/>
      <c r="Z914" s="583"/>
      <c r="AA914" s="583"/>
      <c r="AB914" s="583"/>
      <c r="AC914" s="583"/>
      <c r="AD914" s="583"/>
      <c r="AE914" s="583"/>
      <c r="AF914" s="583"/>
    </row>
    <row r="915" ht="19.5" customHeight="1">
      <c r="A915" s="647"/>
      <c r="B915" s="647"/>
      <c r="C915" s="647"/>
      <c r="D915" s="649"/>
      <c r="E915" s="647"/>
      <c r="F915" s="649"/>
      <c r="G915" s="649"/>
      <c r="H915" s="647"/>
      <c r="I915" s="583"/>
      <c r="J915" s="583"/>
      <c r="K915" s="583"/>
      <c r="L915" s="583"/>
      <c r="M915" s="583"/>
      <c r="N915" s="583"/>
      <c r="O915" s="583"/>
      <c r="P915" s="583"/>
      <c r="Q915" s="583"/>
      <c r="R915" s="583"/>
      <c r="S915" s="583"/>
      <c r="T915" s="583"/>
      <c r="U915" s="583"/>
      <c r="V915" s="583"/>
      <c r="W915" s="583"/>
      <c r="X915" s="583"/>
      <c r="Y915" s="583"/>
      <c r="Z915" s="583"/>
      <c r="AA915" s="583"/>
      <c r="AB915" s="583"/>
      <c r="AC915" s="583"/>
      <c r="AD915" s="583"/>
      <c r="AE915" s="583"/>
      <c r="AF915" s="583"/>
    </row>
    <row r="916" ht="19.5" customHeight="1">
      <c r="A916" s="647"/>
      <c r="B916" s="647"/>
      <c r="C916" s="647"/>
      <c r="D916" s="649"/>
      <c r="E916" s="647"/>
      <c r="F916" s="649"/>
      <c r="G916" s="649"/>
      <c r="H916" s="647"/>
      <c r="I916" s="583"/>
      <c r="J916" s="583"/>
      <c r="K916" s="583"/>
      <c r="L916" s="583"/>
      <c r="M916" s="583"/>
      <c r="N916" s="583"/>
      <c r="O916" s="583"/>
      <c r="P916" s="583"/>
      <c r="Q916" s="583"/>
      <c r="R916" s="583"/>
      <c r="S916" s="583"/>
      <c r="T916" s="583"/>
      <c r="U916" s="583"/>
      <c r="V916" s="583"/>
      <c r="W916" s="583"/>
      <c r="X916" s="583"/>
      <c r="Y916" s="583"/>
      <c r="Z916" s="583"/>
      <c r="AA916" s="583"/>
      <c r="AB916" s="583"/>
      <c r="AC916" s="583"/>
      <c r="AD916" s="583"/>
      <c r="AE916" s="583"/>
      <c r="AF916" s="583"/>
    </row>
    <row r="917" ht="19.5" customHeight="1">
      <c r="A917" s="647"/>
      <c r="B917" s="647"/>
      <c r="C917" s="647"/>
      <c r="D917" s="649"/>
      <c r="E917" s="647"/>
      <c r="F917" s="649"/>
      <c r="G917" s="649"/>
      <c r="H917" s="647"/>
      <c r="I917" s="583"/>
      <c r="J917" s="583"/>
      <c r="K917" s="583"/>
      <c r="L917" s="583"/>
      <c r="M917" s="583"/>
      <c r="N917" s="583"/>
      <c r="O917" s="583"/>
      <c r="P917" s="583"/>
      <c r="Q917" s="583"/>
      <c r="R917" s="583"/>
      <c r="S917" s="583"/>
      <c r="T917" s="583"/>
      <c r="U917" s="583"/>
      <c r="V917" s="583"/>
      <c r="W917" s="583"/>
      <c r="X917" s="583"/>
      <c r="Y917" s="583"/>
      <c r="Z917" s="583"/>
      <c r="AA917" s="583"/>
      <c r="AB917" s="583"/>
      <c r="AC917" s="583"/>
      <c r="AD917" s="583"/>
      <c r="AE917" s="583"/>
      <c r="AF917" s="583"/>
    </row>
    <row r="918" ht="19.5" customHeight="1">
      <c r="A918" s="647"/>
      <c r="B918" s="647"/>
      <c r="C918" s="647"/>
      <c r="D918" s="649"/>
      <c r="E918" s="647"/>
      <c r="F918" s="649"/>
      <c r="G918" s="649"/>
      <c r="H918" s="647"/>
      <c r="I918" s="583"/>
      <c r="J918" s="583"/>
      <c r="K918" s="583"/>
      <c r="L918" s="583"/>
      <c r="M918" s="583"/>
      <c r="N918" s="583"/>
      <c r="O918" s="583"/>
      <c r="P918" s="583"/>
      <c r="Q918" s="583"/>
      <c r="R918" s="583"/>
      <c r="S918" s="583"/>
      <c r="T918" s="583"/>
      <c r="U918" s="583"/>
      <c r="V918" s="583"/>
      <c r="W918" s="583"/>
      <c r="X918" s="583"/>
      <c r="Y918" s="583"/>
      <c r="Z918" s="583"/>
      <c r="AA918" s="583"/>
      <c r="AB918" s="583"/>
      <c r="AC918" s="583"/>
      <c r="AD918" s="583"/>
      <c r="AE918" s="583"/>
      <c r="AF918" s="583"/>
    </row>
    <row r="919" ht="19.5" customHeight="1">
      <c r="A919" s="647"/>
      <c r="B919" s="647"/>
      <c r="C919" s="647"/>
      <c r="D919" s="649"/>
      <c r="E919" s="647"/>
      <c r="F919" s="649"/>
      <c r="G919" s="649"/>
      <c r="H919" s="647"/>
      <c r="I919" s="583"/>
      <c r="J919" s="583"/>
      <c r="K919" s="583"/>
      <c r="L919" s="583"/>
      <c r="M919" s="583"/>
      <c r="N919" s="583"/>
      <c r="O919" s="583"/>
      <c r="P919" s="583"/>
      <c r="Q919" s="583"/>
      <c r="R919" s="583"/>
      <c r="S919" s="583"/>
      <c r="T919" s="583"/>
      <c r="U919" s="583"/>
      <c r="V919" s="583"/>
      <c r="W919" s="583"/>
      <c r="X919" s="583"/>
      <c r="Y919" s="583"/>
      <c r="Z919" s="583"/>
      <c r="AA919" s="583"/>
      <c r="AB919" s="583"/>
      <c r="AC919" s="583"/>
      <c r="AD919" s="583"/>
      <c r="AE919" s="583"/>
      <c r="AF919" s="583"/>
    </row>
    <row r="920" ht="19.5" customHeight="1">
      <c r="A920" s="647"/>
      <c r="B920" s="647"/>
      <c r="C920" s="647"/>
      <c r="D920" s="649"/>
      <c r="E920" s="647"/>
      <c r="F920" s="649"/>
      <c r="G920" s="649"/>
      <c r="H920" s="647"/>
      <c r="I920" s="583"/>
      <c r="J920" s="583"/>
      <c r="K920" s="583"/>
      <c r="L920" s="583"/>
      <c r="M920" s="583"/>
      <c r="N920" s="583"/>
      <c r="O920" s="583"/>
      <c r="P920" s="583"/>
      <c r="Q920" s="583"/>
      <c r="R920" s="583"/>
      <c r="S920" s="583"/>
      <c r="T920" s="583"/>
      <c r="U920" s="583"/>
      <c r="V920" s="583"/>
      <c r="W920" s="583"/>
      <c r="X920" s="583"/>
      <c r="Y920" s="583"/>
      <c r="Z920" s="583"/>
      <c r="AA920" s="583"/>
      <c r="AB920" s="583"/>
      <c r="AC920" s="583"/>
      <c r="AD920" s="583"/>
      <c r="AE920" s="583"/>
      <c r="AF920" s="583"/>
    </row>
    <row r="921" ht="19.5" customHeight="1">
      <c r="A921" s="647"/>
      <c r="B921" s="647"/>
      <c r="C921" s="647"/>
      <c r="D921" s="649"/>
      <c r="E921" s="647"/>
      <c r="F921" s="649"/>
      <c r="G921" s="649"/>
      <c r="H921" s="647"/>
      <c r="I921" s="583"/>
      <c r="J921" s="583"/>
      <c r="K921" s="583"/>
      <c r="L921" s="583"/>
      <c r="M921" s="583"/>
      <c r="N921" s="583"/>
      <c r="O921" s="583"/>
      <c r="P921" s="583"/>
      <c r="Q921" s="583"/>
      <c r="R921" s="583"/>
      <c r="S921" s="583"/>
      <c r="T921" s="583"/>
      <c r="U921" s="583"/>
      <c r="V921" s="583"/>
      <c r="W921" s="583"/>
      <c r="X921" s="583"/>
      <c r="Y921" s="583"/>
      <c r="Z921" s="583"/>
      <c r="AA921" s="583"/>
      <c r="AB921" s="583"/>
      <c r="AC921" s="583"/>
      <c r="AD921" s="583"/>
      <c r="AE921" s="583"/>
      <c r="AF921" s="583"/>
    </row>
    <row r="922" ht="19.5" customHeight="1">
      <c r="A922" s="647"/>
      <c r="B922" s="647"/>
      <c r="C922" s="647"/>
      <c r="D922" s="649"/>
      <c r="E922" s="647"/>
      <c r="F922" s="649"/>
      <c r="G922" s="649"/>
      <c r="H922" s="647"/>
      <c r="I922" s="583"/>
      <c r="J922" s="583"/>
      <c r="K922" s="583"/>
      <c r="L922" s="583"/>
      <c r="M922" s="583"/>
      <c r="N922" s="583"/>
      <c r="O922" s="583"/>
      <c r="P922" s="583"/>
      <c r="Q922" s="583"/>
      <c r="R922" s="583"/>
      <c r="S922" s="583"/>
      <c r="T922" s="583"/>
      <c r="U922" s="583"/>
      <c r="V922" s="583"/>
      <c r="W922" s="583"/>
      <c r="X922" s="583"/>
      <c r="Y922" s="583"/>
      <c r="Z922" s="583"/>
      <c r="AA922" s="583"/>
      <c r="AB922" s="583"/>
      <c r="AC922" s="583"/>
      <c r="AD922" s="583"/>
      <c r="AE922" s="583"/>
      <c r="AF922" s="583"/>
    </row>
    <row r="923" ht="19.5" customHeight="1">
      <c r="A923" s="647"/>
      <c r="B923" s="647"/>
      <c r="C923" s="647"/>
      <c r="D923" s="649"/>
      <c r="E923" s="647"/>
      <c r="F923" s="649"/>
      <c r="G923" s="649"/>
      <c r="H923" s="647"/>
      <c r="I923" s="583"/>
      <c r="J923" s="583"/>
      <c r="K923" s="583"/>
      <c r="L923" s="583"/>
      <c r="M923" s="583"/>
      <c r="N923" s="583"/>
      <c r="O923" s="583"/>
      <c r="P923" s="583"/>
      <c r="Q923" s="583"/>
      <c r="R923" s="583"/>
      <c r="S923" s="583"/>
      <c r="T923" s="583"/>
      <c r="U923" s="583"/>
      <c r="V923" s="583"/>
      <c r="W923" s="583"/>
      <c r="X923" s="583"/>
      <c r="Y923" s="583"/>
      <c r="Z923" s="583"/>
      <c r="AA923" s="583"/>
      <c r="AB923" s="583"/>
      <c r="AC923" s="583"/>
      <c r="AD923" s="583"/>
      <c r="AE923" s="583"/>
      <c r="AF923" s="583"/>
    </row>
    <row r="924" ht="19.5" customHeight="1">
      <c r="A924" s="647"/>
      <c r="B924" s="647"/>
      <c r="C924" s="647"/>
      <c r="D924" s="649"/>
      <c r="E924" s="647"/>
      <c r="F924" s="649"/>
      <c r="G924" s="649"/>
      <c r="H924" s="647"/>
      <c r="I924" s="583"/>
      <c r="J924" s="583"/>
      <c r="K924" s="583"/>
      <c r="L924" s="583"/>
      <c r="M924" s="583"/>
      <c r="N924" s="583"/>
      <c r="O924" s="583"/>
      <c r="P924" s="583"/>
      <c r="Q924" s="583"/>
      <c r="R924" s="583"/>
      <c r="S924" s="583"/>
      <c r="T924" s="583"/>
      <c r="U924" s="583"/>
      <c r="V924" s="583"/>
      <c r="W924" s="583"/>
      <c r="X924" s="583"/>
      <c r="Y924" s="583"/>
      <c r="Z924" s="583"/>
      <c r="AA924" s="583"/>
      <c r="AB924" s="583"/>
      <c r="AC924" s="583"/>
      <c r="AD924" s="583"/>
      <c r="AE924" s="583"/>
      <c r="AF924" s="583"/>
    </row>
    <row r="925" ht="19.5" customHeight="1">
      <c r="A925" s="647"/>
      <c r="B925" s="647"/>
      <c r="C925" s="647"/>
      <c r="D925" s="649"/>
      <c r="E925" s="647"/>
      <c r="F925" s="649"/>
      <c r="G925" s="649"/>
      <c r="H925" s="647"/>
      <c r="I925" s="583"/>
      <c r="J925" s="583"/>
      <c r="K925" s="583"/>
      <c r="L925" s="583"/>
      <c r="M925" s="583"/>
      <c r="N925" s="583"/>
      <c r="O925" s="583"/>
      <c r="P925" s="583"/>
      <c r="Q925" s="583"/>
      <c r="R925" s="583"/>
      <c r="S925" s="583"/>
      <c r="T925" s="583"/>
      <c r="U925" s="583"/>
      <c r="V925" s="583"/>
      <c r="W925" s="583"/>
      <c r="X925" s="583"/>
      <c r="Y925" s="583"/>
      <c r="Z925" s="583"/>
      <c r="AA925" s="583"/>
      <c r="AB925" s="583"/>
      <c r="AC925" s="583"/>
      <c r="AD925" s="583"/>
      <c r="AE925" s="583"/>
      <c r="AF925" s="583"/>
    </row>
    <row r="926" ht="19.5" customHeight="1">
      <c r="A926" s="647"/>
      <c r="B926" s="647"/>
      <c r="C926" s="647"/>
      <c r="D926" s="649"/>
      <c r="E926" s="647"/>
      <c r="F926" s="649"/>
      <c r="G926" s="649"/>
      <c r="H926" s="647"/>
      <c r="I926" s="583"/>
      <c r="J926" s="583"/>
      <c r="K926" s="583"/>
      <c r="L926" s="583"/>
      <c r="M926" s="583"/>
      <c r="N926" s="583"/>
      <c r="O926" s="583"/>
      <c r="P926" s="583"/>
      <c r="Q926" s="583"/>
      <c r="R926" s="583"/>
      <c r="S926" s="583"/>
      <c r="T926" s="583"/>
      <c r="U926" s="583"/>
      <c r="V926" s="583"/>
      <c r="W926" s="583"/>
      <c r="X926" s="583"/>
      <c r="Y926" s="583"/>
      <c r="Z926" s="583"/>
      <c r="AA926" s="583"/>
      <c r="AB926" s="583"/>
      <c r="AC926" s="583"/>
      <c r="AD926" s="583"/>
      <c r="AE926" s="583"/>
      <c r="AF926" s="583"/>
    </row>
    <row r="927" ht="19.5" customHeight="1">
      <c r="A927" s="647"/>
      <c r="B927" s="647"/>
      <c r="C927" s="647"/>
      <c r="D927" s="649"/>
      <c r="E927" s="647"/>
      <c r="F927" s="649"/>
      <c r="G927" s="649"/>
      <c r="H927" s="647"/>
      <c r="I927" s="583"/>
      <c r="J927" s="583"/>
      <c r="K927" s="583"/>
      <c r="L927" s="583"/>
      <c r="M927" s="583"/>
      <c r="N927" s="583"/>
      <c r="O927" s="583"/>
      <c r="P927" s="583"/>
      <c r="Q927" s="583"/>
      <c r="R927" s="583"/>
      <c r="S927" s="583"/>
      <c r="T927" s="583"/>
      <c r="U927" s="583"/>
      <c r="V927" s="583"/>
      <c r="W927" s="583"/>
      <c r="X927" s="583"/>
      <c r="Y927" s="583"/>
      <c r="Z927" s="583"/>
      <c r="AA927" s="583"/>
      <c r="AB927" s="583"/>
      <c r="AC927" s="583"/>
      <c r="AD927" s="583"/>
      <c r="AE927" s="583"/>
      <c r="AF927" s="583"/>
    </row>
    <row r="928" ht="19.5" customHeight="1">
      <c r="A928" s="647"/>
      <c r="B928" s="647"/>
      <c r="C928" s="647"/>
      <c r="D928" s="649"/>
      <c r="E928" s="647"/>
      <c r="F928" s="649"/>
      <c r="G928" s="649"/>
      <c r="H928" s="647"/>
      <c r="I928" s="583"/>
      <c r="J928" s="583"/>
      <c r="K928" s="583"/>
      <c r="L928" s="583"/>
      <c r="M928" s="583"/>
      <c r="N928" s="583"/>
      <c r="O928" s="583"/>
      <c r="P928" s="583"/>
      <c r="Q928" s="583"/>
      <c r="R928" s="583"/>
      <c r="S928" s="583"/>
      <c r="T928" s="583"/>
      <c r="U928" s="583"/>
      <c r="V928" s="583"/>
      <c r="W928" s="583"/>
      <c r="X928" s="583"/>
      <c r="Y928" s="583"/>
      <c r="Z928" s="583"/>
      <c r="AA928" s="583"/>
      <c r="AB928" s="583"/>
      <c r="AC928" s="583"/>
      <c r="AD928" s="583"/>
      <c r="AE928" s="583"/>
      <c r="AF928" s="583"/>
    </row>
    <row r="929" ht="19.5" customHeight="1">
      <c r="A929" s="647"/>
      <c r="B929" s="647"/>
      <c r="C929" s="647"/>
      <c r="D929" s="649"/>
      <c r="E929" s="647"/>
      <c r="F929" s="649"/>
      <c r="G929" s="649"/>
      <c r="H929" s="647"/>
      <c r="I929" s="583"/>
      <c r="J929" s="583"/>
      <c r="K929" s="583"/>
      <c r="L929" s="583"/>
      <c r="M929" s="583"/>
      <c r="N929" s="583"/>
      <c r="O929" s="583"/>
      <c r="P929" s="583"/>
      <c r="Q929" s="583"/>
      <c r="R929" s="583"/>
      <c r="S929" s="583"/>
      <c r="T929" s="583"/>
      <c r="U929" s="583"/>
      <c r="V929" s="583"/>
      <c r="W929" s="583"/>
      <c r="X929" s="583"/>
      <c r="Y929" s="583"/>
      <c r="Z929" s="583"/>
      <c r="AA929" s="583"/>
      <c r="AB929" s="583"/>
      <c r="AC929" s="583"/>
      <c r="AD929" s="583"/>
      <c r="AE929" s="583"/>
      <c r="AF929" s="583"/>
    </row>
    <row r="930" ht="19.5" customHeight="1">
      <c r="A930" s="647"/>
      <c r="B930" s="647"/>
      <c r="C930" s="647"/>
      <c r="D930" s="649"/>
      <c r="E930" s="647"/>
      <c r="F930" s="649"/>
      <c r="G930" s="649"/>
      <c r="H930" s="647"/>
      <c r="I930" s="583"/>
      <c r="J930" s="583"/>
      <c r="K930" s="583"/>
      <c r="L930" s="583"/>
      <c r="M930" s="583"/>
      <c r="N930" s="583"/>
      <c r="O930" s="583"/>
      <c r="P930" s="583"/>
      <c r="Q930" s="583"/>
      <c r="R930" s="583"/>
      <c r="S930" s="583"/>
      <c r="T930" s="583"/>
      <c r="U930" s="583"/>
      <c r="V930" s="583"/>
      <c r="W930" s="583"/>
      <c r="X930" s="583"/>
      <c r="Y930" s="583"/>
      <c r="Z930" s="583"/>
      <c r="AA930" s="583"/>
      <c r="AB930" s="583"/>
      <c r="AC930" s="583"/>
      <c r="AD930" s="583"/>
      <c r="AE930" s="583"/>
      <c r="AF930" s="583"/>
    </row>
    <row r="931" ht="19.5" customHeight="1">
      <c r="A931" s="647"/>
      <c r="B931" s="647"/>
      <c r="C931" s="647"/>
      <c r="D931" s="649"/>
      <c r="E931" s="647"/>
      <c r="F931" s="649"/>
      <c r="G931" s="649"/>
      <c r="H931" s="647"/>
      <c r="I931" s="583"/>
      <c r="J931" s="583"/>
      <c r="K931" s="583"/>
      <c r="L931" s="583"/>
      <c r="M931" s="583"/>
      <c r="N931" s="583"/>
      <c r="O931" s="583"/>
      <c r="P931" s="583"/>
      <c r="Q931" s="583"/>
      <c r="R931" s="583"/>
      <c r="S931" s="583"/>
      <c r="T931" s="583"/>
      <c r="U931" s="583"/>
      <c r="V931" s="583"/>
      <c r="W931" s="583"/>
      <c r="X931" s="583"/>
      <c r="Y931" s="583"/>
      <c r="Z931" s="583"/>
      <c r="AA931" s="583"/>
      <c r="AB931" s="583"/>
      <c r="AC931" s="583"/>
      <c r="AD931" s="583"/>
      <c r="AE931" s="583"/>
      <c r="AF931" s="583"/>
    </row>
    <row r="932" ht="19.5" customHeight="1">
      <c r="A932" s="647"/>
      <c r="B932" s="647"/>
      <c r="C932" s="647"/>
      <c r="D932" s="649"/>
      <c r="E932" s="647"/>
      <c r="F932" s="649"/>
      <c r="G932" s="649"/>
      <c r="H932" s="647"/>
      <c r="I932" s="583"/>
      <c r="J932" s="583"/>
      <c r="K932" s="583"/>
      <c r="L932" s="583"/>
      <c r="M932" s="583"/>
      <c r="N932" s="583"/>
      <c r="O932" s="583"/>
      <c r="P932" s="583"/>
      <c r="Q932" s="583"/>
      <c r="R932" s="583"/>
      <c r="S932" s="583"/>
      <c r="T932" s="583"/>
      <c r="U932" s="583"/>
      <c r="V932" s="583"/>
      <c r="W932" s="583"/>
      <c r="X932" s="583"/>
      <c r="Y932" s="583"/>
      <c r="Z932" s="583"/>
      <c r="AA932" s="583"/>
      <c r="AB932" s="583"/>
      <c r="AC932" s="583"/>
      <c r="AD932" s="583"/>
      <c r="AE932" s="583"/>
      <c r="AF932" s="583"/>
    </row>
    <row r="933" ht="19.5" customHeight="1">
      <c r="A933" s="647"/>
      <c r="B933" s="647"/>
      <c r="C933" s="647"/>
      <c r="D933" s="649"/>
      <c r="E933" s="647"/>
      <c r="F933" s="649"/>
      <c r="G933" s="649"/>
      <c r="H933" s="647"/>
      <c r="I933" s="583"/>
      <c r="J933" s="583"/>
      <c r="K933" s="583"/>
      <c r="L933" s="583"/>
      <c r="M933" s="583"/>
      <c r="N933" s="583"/>
      <c r="O933" s="583"/>
      <c r="P933" s="583"/>
      <c r="Q933" s="583"/>
      <c r="R933" s="583"/>
      <c r="S933" s="583"/>
      <c r="T933" s="583"/>
      <c r="U933" s="583"/>
      <c r="V933" s="583"/>
      <c r="W933" s="583"/>
      <c r="X933" s="583"/>
      <c r="Y933" s="583"/>
      <c r="Z933" s="583"/>
      <c r="AA933" s="583"/>
      <c r="AB933" s="583"/>
      <c r="AC933" s="583"/>
      <c r="AD933" s="583"/>
      <c r="AE933" s="583"/>
      <c r="AF933" s="583"/>
    </row>
    <row r="934" ht="19.5" customHeight="1">
      <c r="A934" s="647"/>
      <c r="B934" s="647"/>
      <c r="C934" s="647"/>
      <c r="D934" s="649"/>
      <c r="E934" s="647"/>
      <c r="F934" s="649"/>
      <c r="G934" s="649"/>
      <c r="H934" s="647"/>
      <c r="I934" s="583"/>
      <c r="J934" s="583"/>
      <c r="K934" s="583"/>
      <c r="L934" s="583"/>
      <c r="M934" s="583"/>
      <c r="N934" s="583"/>
      <c r="O934" s="583"/>
      <c r="P934" s="583"/>
      <c r="Q934" s="583"/>
      <c r="R934" s="583"/>
      <c r="S934" s="583"/>
      <c r="T934" s="583"/>
      <c r="U934" s="583"/>
      <c r="V934" s="583"/>
      <c r="W934" s="583"/>
      <c r="X934" s="583"/>
      <c r="Y934" s="583"/>
      <c r="Z934" s="583"/>
      <c r="AA934" s="583"/>
      <c r="AB934" s="583"/>
      <c r="AC934" s="583"/>
      <c r="AD934" s="583"/>
      <c r="AE934" s="583"/>
      <c r="AF934" s="583"/>
    </row>
    <row r="935" ht="19.5" customHeight="1">
      <c r="A935" s="647"/>
      <c r="B935" s="647"/>
      <c r="C935" s="647"/>
      <c r="D935" s="649"/>
      <c r="E935" s="647"/>
      <c r="F935" s="649"/>
      <c r="G935" s="649"/>
      <c r="H935" s="647"/>
      <c r="I935" s="583"/>
      <c r="J935" s="583"/>
      <c r="K935" s="583"/>
      <c r="L935" s="583"/>
      <c r="M935" s="583"/>
      <c r="N935" s="583"/>
      <c r="O935" s="583"/>
      <c r="P935" s="583"/>
      <c r="Q935" s="583"/>
      <c r="R935" s="583"/>
      <c r="S935" s="583"/>
      <c r="T935" s="583"/>
      <c r="U935" s="583"/>
      <c r="V935" s="583"/>
      <c r="W935" s="583"/>
      <c r="X935" s="583"/>
      <c r="Y935" s="583"/>
      <c r="Z935" s="583"/>
      <c r="AA935" s="583"/>
      <c r="AB935" s="583"/>
      <c r="AC935" s="583"/>
      <c r="AD935" s="583"/>
      <c r="AE935" s="583"/>
      <c r="AF935" s="583"/>
    </row>
    <row r="936" ht="19.5" customHeight="1">
      <c r="A936" s="647"/>
      <c r="B936" s="647"/>
      <c r="C936" s="647"/>
      <c r="D936" s="649"/>
      <c r="E936" s="647"/>
      <c r="F936" s="649"/>
      <c r="G936" s="649"/>
      <c r="H936" s="647"/>
      <c r="I936" s="583"/>
      <c r="J936" s="583"/>
      <c r="K936" s="583"/>
      <c r="L936" s="583"/>
      <c r="M936" s="583"/>
      <c r="N936" s="583"/>
      <c r="O936" s="583"/>
      <c r="P936" s="583"/>
      <c r="Q936" s="583"/>
      <c r="R936" s="583"/>
      <c r="S936" s="583"/>
      <c r="T936" s="583"/>
      <c r="U936" s="583"/>
      <c r="V936" s="583"/>
      <c r="W936" s="583"/>
      <c r="X936" s="583"/>
      <c r="Y936" s="583"/>
      <c r="Z936" s="583"/>
      <c r="AA936" s="583"/>
      <c r="AB936" s="583"/>
      <c r="AC936" s="583"/>
      <c r="AD936" s="583"/>
      <c r="AE936" s="583"/>
      <c r="AF936" s="583"/>
    </row>
    <row r="937" ht="19.5" customHeight="1">
      <c r="A937" s="647"/>
      <c r="B937" s="647"/>
      <c r="C937" s="647"/>
      <c r="D937" s="649"/>
      <c r="E937" s="647"/>
      <c r="F937" s="649"/>
      <c r="G937" s="649"/>
      <c r="H937" s="647"/>
      <c r="I937" s="583"/>
      <c r="J937" s="583"/>
      <c r="K937" s="583"/>
      <c r="L937" s="583"/>
      <c r="M937" s="583"/>
      <c r="N937" s="583"/>
      <c r="O937" s="583"/>
      <c r="P937" s="583"/>
      <c r="Q937" s="583"/>
      <c r="R937" s="583"/>
      <c r="S937" s="583"/>
      <c r="T937" s="583"/>
      <c r="U937" s="583"/>
      <c r="V937" s="583"/>
      <c r="W937" s="583"/>
      <c r="X937" s="583"/>
      <c r="Y937" s="583"/>
      <c r="Z937" s="583"/>
      <c r="AA937" s="583"/>
      <c r="AB937" s="583"/>
      <c r="AC937" s="583"/>
      <c r="AD937" s="583"/>
      <c r="AE937" s="583"/>
      <c r="AF937" s="583"/>
    </row>
    <row r="938" ht="19.5" customHeight="1">
      <c r="A938" s="647"/>
      <c r="B938" s="647"/>
      <c r="C938" s="647"/>
      <c r="D938" s="649"/>
      <c r="E938" s="647"/>
      <c r="F938" s="649"/>
      <c r="G938" s="649"/>
      <c r="H938" s="647"/>
      <c r="I938" s="583"/>
      <c r="J938" s="583"/>
      <c r="K938" s="583"/>
      <c r="L938" s="583"/>
      <c r="M938" s="583"/>
      <c r="N938" s="583"/>
      <c r="O938" s="583"/>
      <c r="P938" s="583"/>
      <c r="Q938" s="583"/>
      <c r="R938" s="583"/>
      <c r="S938" s="583"/>
      <c r="T938" s="583"/>
      <c r="U938" s="583"/>
      <c r="V938" s="583"/>
      <c r="W938" s="583"/>
      <c r="X938" s="583"/>
      <c r="Y938" s="583"/>
      <c r="Z938" s="583"/>
      <c r="AA938" s="583"/>
      <c r="AB938" s="583"/>
      <c r="AC938" s="583"/>
      <c r="AD938" s="583"/>
      <c r="AE938" s="583"/>
      <c r="AF938" s="583"/>
    </row>
    <row r="939" ht="19.5" customHeight="1">
      <c r="A939" s="647"/>
      <c r="B939" s="647"/>
      <c r="C939" s="647"/>
      <c r="D939" s="649"/>
      <c r="E939" s="647"/>
      <c r="F939" s="649"/>
      <c r="G939" s="649"/>
      <c r="H939" s="647"/>
      <c r="I939" s="583"/>
      <c r="J939" s="583"/>
      <c r="K939" s="583"/>
      <c r="L939" s="583"/>
      <c r="M939" s="583"/>
      <c r="N939" s="583"/>
      <c r="O939" s="583"/>
      <c r="P939" s="583"/>
      <c r="Q939" s="583"/>
      <c r="R939" s="583"/>
      <c r="S939" s="583"/>
      <c r="T939" s="583"/>
      <c r="U939" s="583"/>
      <c r="V939" s="583"/>
      <c r="W939" s="583"/>
      <c r="X939" s="583"/>
      <c r="Y939" s="583"/>
      <c r="Z939" s="583"/>
      <c r="AA939" s="583"/>
      <c r="AB939" s="583"/>
      <c r="AC939" s="583"/>
      <c r="AD939" s="583"/>
      <c r="AE939" s="583"/>
      <c r="AF939" s="583"/>
    </row>
    <row r="940" ht="19.5" customHeight="1">
      <c r="A940" s="647"/>
      <c r="B940" s="647"/>
      <c r="C940" s="647"/>
      <c r="D940" s="649"/>
      <c r="E940" s="647"/>
      <c r="F940" s="649"/>
      <c r="G940" s="649"/>
      <c r="H940" s="647"/>
      <c r="I940" s="583"/>
      <c r="J940" s="583"/>
      <c r="K940" s="583"/>
      <c r="L940" s="583"/>
      <c r="M940" s="583"/>
      <c r="N940" s="583"/>
      <c r="O940" s="583"/>
      <c r="P940" s="583"/>
      <c r="Q940" s="583"/>
      <c r="R940" s="583"/>
      <c r="S940" s="583"/>
      <c r="T940" s="583"/>
      <c r="U940" s="583"/>
      <c r="V940" s="583"/>
      <c r="W940" s="583"/>
      <c r="X940" s="583"/>
      <c r="Y940" s="583"/>
      <c r="Z940" s="583"/>
      <c r="AA940" s="583"/>
      <c r="AB940" s="583"/>
      <c r="AC940" s="583"/>
      <c r="AD940" s="583"/>
      <c r="AE940" s="583"/>
      <c r="AF940" s="583"/>
    </row>
    <row r="941" ht="19.5" customHeight="1">
      <c r="A941" s="647"/>
      <c r="B941" s="647"/>
      <c r="C941" s="647"/>
      <c r="D941" s="649"/>
      <c r="E941" s="647"/>
      <c r="F941" s="649"/>
      <c r="G941" s="649"/>
      <c r="H941" s="647"/>
      <c r="I941" s="583"/>
      <c r="J941" s="583"/>
      <c r="K941" s="583"/>
      <c r="L941" s="583"/>
      <c r="M941" s="583"/>
      <c r="N941" s="583"/>
      <c r="O941" s="583"/>
      <c r="P941" s="583"/>
      <c r="Q941" s="583"/>
      <c r="R941" s="583"/>
      <c r="S941" s="583"/>
      <c r="T941" s="583"/>
      <c r="U941" s="583"/>
      <c r="V941" s="583"/>
      <c r="W941" s="583"/>
      <c r="X941" s="583"/>
      <c r="Y941" s="583"/>
      <c r="Z941" s="583"/>
      <c r="AA941" s="583"/>
      <c r="AB941" s="583"/>
      <c r="AC941" s="583"/>
      <c r="AD941" s="583"/>
      <c r="AE941" s="583"/>
      <c r="AF941" s="583"/>
    </row>
    <row r="942" ht="19.5" customHeight="1">
      <c r="A942" s="647"/>
      <c r="B942" s="647"/>
      <c r="C942" s="647"/>
      <c r="D942" s="649"/>
      <c r="E942" s="647"/>
      <c r="F942" s="649"/>
      <c r="G942" s="649"/>
      <c r="H942" s="647"/>
      <c r="I942" s="583"/>
      <c r="J942" s="583"/>
      <c r="K942" s="583"/>
      <c r="L942" s="583"/>
      <c r="M942" s="583"/>
      <c r="N942" s="583"/>
      <c r="O942" s="583"/>
      <c r="P942" s="583"/>
      <c r="Q942" s="583"/>
      <c r="R942" s="583"/>
      <c r="S942" s="583"/>
      <c r="T942" s="583"/>
      <c r="U942" s="583"/>
      <c r="V942" s="583"/>
      <c r="W942" s="583"/>
      <c r="X942" s="583"/>
      <c r="Y942" s="583"/>
      <c r="Z942" s="583"/>
      <c r="AA942" s="583"/>
      <c r="AB942" s="583"/>
      <c r="AC942" s="583"/>
      <c r="AD942" s="583"/>
      <c r="AE942" s="583"/>
      <c r="AF942" s="583"/>
    </row>
    <row r="943" ht="19.5" customHeight="1">
      <c r="A943" s="647"/>
      <c r="B943" s="647"/>
      <c r="C943" s="647"/>
      <c r="D943" s="649"/>
      <c r="E943" s="647"/>
      <c r="F943" s="649"/>
      <c r="G943" s="649"/>
      <c r="H943" s="647"/>
      <c r="I943" s="583"/>
      <c r="J943" s="583"/>
      <c r="K943" s="583"/>
      <c r="L943" s="583"/>
      <c r="M943" s="583"/>
      <c r="N943" s="583"/>
      <c r="O943" s="583"/>
      <c r="P943" s="583"/>
      <c r="Q943" s="583"/>
      <c r="R943" s="583"/>
      <c r="S943" s="583"/>
      <c r="T943" s="583"/>
      <c r="U943" s="583"/>
      <c r="V943" s="583"/>
      <c r="W943" s="583"/>
      <c r="X943" s="583"/>
      <c r="Y943" s="583"/>
      <c r="Z943" s="583"/>
      <c r="AA943" s="583"/>
      <c r="AB943" s="583"/>
      <c r="AC943" s="583"/>
      <c r="AD943" s="583"/>
      <c r="AE943" s="583"/>
      <c r="AF943" s="583"/>
    </row>
    <row r="944" ht="19.5" customHeight="1">
      <c r="A944" s="647"/>
      <c r="B944" s="647"/>
      <c r="C944" s="647"/>
      <c r="D944" s="649"/>
      <c r="E944" s="647"/>
      <c r="F944" s="649"/>
      <c r="G944" s="649"/>
      <c r="H944" s="647"/>
      <c r="I944" s="583"/>
      <c r="J944" s="583"/>
      <c r="K944" s="583"/>
      <c r="L944" s="583"/>
      <c r="M944" s="583"/>
      <c r="N944" s="583"/>
      <c r="O944" s="583"/>
      <c r="P944" s="583"/>
      <c r="Q944" s="583"/>
      <c r="R944" s="583"/>
      <c r="S944" s="583"/>
      <c r="T944" s="583"/>
      <c r="U944" s="583"/>
      <c r="V944" s="583"/>
      <c r="W944" s="583"/>
      <c r="X944" s="583"/>
      <c r="Y944" s="583"/>
      <c r="Z944" s="583"/>
      <c r="AA944" s="583"/>
      <c r="AB944" s="583"/>
      <c r="AC944" s="583"/>
      <c r="AD944" s="583"/>
      <c r="AE944" s="583"/>
      <c r="AF944" s="583"/>
    </row>
    <row r="945" ht="19.5" customHeight="1">
      <c r="A945" s="647"/>
      <c r="B945" s="647"/>
      <c r="C945" s="647"/>
      <c r="D945" s="649"/>
      <c r="E945" s="647"/>
      <c r="F945" s="649"/>
      <c r="G945" s="649"/>
      <c r="H945" s="647"/>
      <c r="I945" s="583"/>
      <c r="J945" s="583"/>
      <c r="K945" s="583"/>
      <c r="L945" s="583"/>
      <c r="M945" s="583"/>
      <c r="N945" s="583"/>
      <c r="O945" s="583"/>
      <c r="P945" s="583"/>
      <c r="Q945" s="583"/>
      <c r="R945" s="583"/>
      <c r="S945" s="583"/>
      <c r="T945" s="583"/>
      <c r="U945" s="583"/>
      <c r="V945" s="583"/>
      <c r="W945" s="583"/>
      <c r="X945" s="583"/>
      <c r="Y945" s="583"/>
      <c r="Z945" s="583"/>
      <c r="AA945" s="583"/>
      <c r="AB945" s="583"/>
      <c r="AC945" s="583"/>
      <c r="AD945" s="583"/>
      <c r="AE945" s="583"/>
      <c r="AF945" s="583"/>
    </row>
    <row r="946" ht="19.5" customHeight="1">
      <c r="A946" s="647"/>
      <c r="B946" s="647"/>
      <c r="C946" s="647"/>
      <c r="D946" s="649"/>
      <c r="E946" s="647"/>
      <c r="F946" s="649"/>
      <c r="G946" s="649"/>
      <c r="H946" s="647"/>
      <c r="I946" s="583"/>
      <c r="J946" s="583"/>
      <c r="K946" s="583"/>
      <c r="L946" s="583"/>
      <c r="M946" s="583"/>
      <c r="N946" s="583"/>
      <c r="O946" s="583"/>
      <c r="P946" s="583"/>
      <c r="Q946" s="583"/>
      <c r="R946" s="583"/>
      <c r="S946" s="583"/>
      <c r="T946" s="583"/>
      <c r="U946" s="583"/>
      <c r="V946" s="583"/>
      <c r="W946" s="583"/>
      <c r="X946" s="583"/>
      <c r="Y946" s="583"/>
      <c r="Z946" s="583"/>
      <c r="AA946" s="583"/>
      <c r="AB946" s="583"/>
      <c r="AC946" s="583"/>
      <c r="AD946" s="583"/>
      <c r="AE946" s="583"/>
      <c r="AF946" s="583"/>
    </row>
    <row r="947" ht="19.5" customHeight="1">
      <c r="A947" s="647"/>
      <c r="B947" s="647"/>
      <c r="C947" s="647"/>
      <c r="D947" s="649"/>
      <c r="E947" s="647"/>
      <c r="F947" s="649"/>
      <c r="G947" s="649"/>
      <c r="H947" s="647"/>
      <c r="I947" s="583"/>
      <c r="J947" s="583"/>
      <c r="K947" s="583"/>
      <c r="L947" s="583"/>
      <c r="M947" s="583"/>
      <c r="N947" s="583"/>
      <c r="O947" s="583"/>
      <c r="P947" s="583"/>
      <c r="Q947" s="583"/>
      <c r="R947" s="583"/>
      <c r="S947" s="583"/>
      <c r="T947" s="583"/>
      <c r="U947" s="583"/>
      <c r="V947" s="583"/>
      <c r="W947" s="583"/>
      <c r="X947" s="583"/>
      <c r="Y947" s="583"/>
      <c r="Z947" s="583"/>
      <c r="AA947" s="583"/>
      <c r="AB947" s="583"/>
      <c r="AC947" s="583"/>
      <c r="AD947" s="583"/>
      <c r="AE947" s="583"/>
      <c r="AF947" s="583"/>
    </row>
    <row r="948" ht="19.5" customHeight="1">
      <c r="A948" s="647"/>
      <c r="B948" s="647"/>
      <c r="C948" s="647"/>
      <c r="D948" s="649"/>
      <c r="E948" s="647"/>
      <c r="F948" s="649"/>
      <c r="G948" s="649"/>
      <c r="H948" s="647"/>
      <c r="I948" s="583"/>
      <c r="J948" s="583"/>
      <c r="K948" s="583"/>
      <c r="L948" s="583"/>
      <c r="M948" s="583"/>
      <c r="N948" s="583"/>
      <c r="O948" s="583"/>
      <c r="P948" s="583"/>
      <c r="Q948" s="583"/>
      <c r="R948" s="583"/>
      <c r="S948" s="583"/>
      <c r="T948" s="583"/>
      <c r="U948" s="583"/>
      <c r="V948" s="583"/>
      <c r="W948" s="583"/>
      <c r="X948" s="583"/>
      <c r="Y948" s="583"/>
      <c r="Z948" s="583"/>
      <c r="AA948" s="583"/>
      <c r="AB948" s="583"/>
      <c r="AC948" s="583"/>
      <c r="AD948" s="583"/>
      <c r="AE948" s="583"/>
      <c r="AF948" s="583"/>
    </row>
    <row r="949" ht="19.5" customHeight="1">
      <c r="A949" s="647"/>
      <c r="B949" s="647"/>
      <c r="C949" s="647"/>
      <c r="D949" s="649"/>
      <c r="E949" s="647"/>
      <c r="F949" s="649"/>
      <c r="G949" s="649"/>
      <c r="H949" s="647"/>
      <c r="I949" s="583"/>
      <c r="J949" s="583"/>
      <c r="K949" s="583"/>
      <c r="L949" s="583"/>
      <c r="M949" s="583"/>
      <c r="N949" s="583"/>
      <c r="O949" s="583"/>
      <c r="P949" s="583"/>
      <c r="Q949" s="583"/>
      <c r="R949" s="583"/>
      <c r="S949" s="583"/>
      <c r="T949" s="583"/>
      <c r="U949" s="583"/>
      <c r="V949" s="583"/>
      <c r="W949" s="583"/>
      <c r="X949" s="583"/>
      <c r="Y949" s="583"/>
      <c r="Z949" s="583"/>
      <c r="AA949" s="583"/>
      <c r="AB949" s="583"/>
      <c r="AC949" s="583"/>
      <c r="AD949" s="583"/>
      <c r="AE949" s="583"/>
      <c r="AF949" s="583"/>
    </row>
    <row r="950" ht="19.5" customHeight="1">
      <c r="A950" s="647"/>
      <c r="B950" s="647"/>
      <c r="C950" s="647"/>
      <c r="D950" s="649"/>
      <c r="E950" s="647"/>
      <c r="F950" s="649"/>
      <c r="G950" s="649"/>
      <c r="H950" s="647"/>
      <c r="I950" s="583"/>
      <c r="J950" s="583"/>
      <c r="K950" s="583"/>
      <c r="L950" s="583"/>
      <c r="M950" s="583"/>
      <c r="N950" s="583"/>
      <c r="O950" s="583"/>
      <c r="P950" s="583"/>
      <c r="Q950" s="583"/>
      <c r="R950" s="583"/>
      <c r="S950" s="583"/>
      <c r="T950" s="583"/>
      <c r="U950" s="583"/>
      <c r="V950" s="583"/>
      <c r="W950" s="583"/>
      <c r="X950" s="583"/>
      <c r="Y950" s="583"/>
      <c r="Z950" s="583"/>
      <c r="AA950" s="583"/>
      <c r="AB950" s="583"/>
      <c r="AC950" s="583"/>
      <c r="AD950" s="583"/>
      <c r="AE950" s="583"/>
      <c r="AF950" s="583"/>
    </row>
    <row r="951" ht="19.5" customHeight="1">
      <c r="A951" s="647"/>
      <c r="B951" s="647"/>
      <c r="C951" s="647"/>
      <c r="D951" s="649"/>
      <c r="E951" s="647"/>
      <c r="F951" s="649"/>
      <c r="G951" s="649"/>
      <c r="H951" s="647"/>
      <c r="I951" s="583"/>
      <c r="J951" s="583"/>
      <c r="K951" s="583"/>
      <c r="L951" s="583"/>
      <c r="M951" s="583"/>
      <c r="N951" s="583"/>
      <c r="O951" s="583"/>
      <c r="P951" s="583"/>
      <c r="Q951" s="583"/>
      <c r="R951" s="583"/>
      <c r="S951" s="583"/>
      <c r="T951" s="583"/>
      <c r="U951" s="583"/>
      <c r="V951" s="583"/>
      <c r="W951" s="583"/>
      <c r="X951" s="583"/>
      <c r="Y951" s="583"/>
      <c r="Z951" s="583"/>
      <c r="AA951" s="583"/>
      <c r="AB951" s="583"/>
      <c r="AC951" s="583"/>
      <c r="AD951" s="583"/>
      <c r="AE951" s="583"/>
      <c r="AF951" s="583"/>
    </row>
    <row r="952" ht="19.5" customHeight="1">
      <c r="A952" s="647"/>
      <c r="B952" s="647"/>
      <c r="C952" s="647"/>
      <c r="D952" s="649"/>
      <c r="E952" s="647"/>
      <c r="F952" s="649"/>
      <c r="G952" s="649"/>
      <c r="H952" s="647"/>
      <c r="I952" s="583"/>
      <c r="J952" s="583"/>
      <c r="K952" s="583"/>
      <c r="L952" s="583"/>
      <c r="M952" s="583"/>
      <c r="N952" s="583"/>
      <c r="O952" s="583"/>
      <c r="P952" s="583"/>
      <c r="Q952" s="583"/>
      <c r="R952" s="583"/>
      <c r="S952" s="583"/>
      <c r="T952" s="583"/>
      <c r="U952" s="583"/>
      <c r="V952" s="583"/>
      <c r="W952" s="583"/>
      <c r="X952" s="583"/>
      <c r="Y952" s="583"/>
      <c r="Z952" s="583"/>
      <c r="AA952" s="583"/>
      <c r="AB952" s="583"/>
      <c r="AC952" s="583"/>
      <c r="AD952" s="583"/>
      <c r="AE952" s="583"/>
      <c r="AF952" s="583"/>
    </row>
    <row r="953" ht="19.5" customHeight="1">
      <c r="A953" s="647"/>
      <c r="B953" s="647"/>
      <c r="C953" s="647"/>
      <c r="D953" s="649"/>
      <c r="E953" s="647"/>
      <c r="F953" s="649"/>
      <c r="G953" s="649"/>
      <c r="H953" s="647"/>
      <c r="I953" s="583"/>
      <c r="J953" s="583"/>
      <c r="K953" s="583"/>
      <c r="L953" s="583"/>
      <c r="M953" s="583"/>
      <c r="N953" s="583"/>
      <c r="O953" s="583"/>
      <c r="P953" s="583"/>
      <c r="Q953" s="583"/>
      <c r="R953" s="583"/>
      <c r="S953" s="583"/>
      <c r="T953" s="583"/>
      <c r="U953" s="583"/>
      <c r="V953" s="583"/>
      <c r="W953" s="583"/>
      <c r="X953" s="583"/>
      <c r="Y953" s="583"/>
      <c r="Z953" s="583"/>
      <c r="AA953" s="583"/>
      <c r="AB953" s="583"/>
      <c r="AC953" s="583"/>
      <c r="AD953" s="583"/>
      <c r="AE953" s="583"/>
      <c r="AF953" s="583"/>
    </row>
    <row r="954" ht="19.5" customHeight="1">
      <c r="A954" s="647"/>
      <c r="B954" s="647"/>
      <c r="C954" s="647"/>
      <c r="D954" s="649"/>
      <c r="E954" s="647"/>
      <c r="F954" s="649"/>
      <c r="G954" s="649"/>
      <c r="H954" s="647"/>
      <c r="I954" s="583"/>
      <c r="J954" s="583"/>
      <c r="K954" s="583"/>
      <c r="L954" s="583"/>
      <c r="M954" s="583"/>
      <c r="N954" s="583"/>
      <c r="O954" s="583"/>
      <c r="P954" s="583"/>
      <c r="Q954" s="583"/>
      <c r="R954" s="583"/>
      <c r="S954" s="583"/>
      <c r="T954" s="583"/>
      <c r="U954" s="583"/>
      <c r="V954" s="583"/>
      <c r="W954" s="583"/>
      <c r="X954" s="583"/>
      <c r="Y954" s="583"/>
      <c r="Z954" s="583"/>
      <c r="AA954" s="583"/>
      <c r="AB954" s="583"/>
      <c r="AC954" s="583"/>
      <c r="AD954" s="583"/>
      <c r="AE954" s="583"/>
      <c r="AF954" s="583"/>
    </row>
    <row r="955" ht="19.5" customHeight="1">
      <c r="A955" s="647"/>
      <c r="B955" s="647"/>
      <c r="C955" s="647"/>
      <c r="D955" s="649"/>
      <c r="E955" s="647"/>
      <c r="F955" s="649"/>
      <c r="G955" s="649"/>
      <c r="H955" s="647"/>
      <c r="I955" s="583"/>
      <c r="J955" s="583"/>
      <c r="K955" s="583"/>
      <c r="L955" s="583"/>
      <c r="M955" s="583"/>
      <c r="N955" s="583"/>
      <c r="O955" s="583"/>
      <c r="P955" s="583"/>
      <c r="Q955" s="583"/>
      <c r="R955" s="583"/>
      <c r="S955" s="583"/>
      <c r="T955" s="583"/>
      <c r="U955" s="583"/>
      <c r="V955" s="583"/>
      <c r="W955" s="583"/>
      <c r="X955" s="583"/>
      <c r="Y955" s="583"/>
      <c r="Z955" s="583"/>
      <c r="AA955" s="583"/>
      <c r="AB955" s="583"/>
      <c r="AC955" s="583"/>
      <c r="AD955" s="583"/>
      <c r="AE955" s="583"/>
      <c r="AF955" s="583"/>
    </row>
    <row r="956" ht="19.5" customHeight="1">
      <c r="A956" s="647"/>
      <c r="B956" s="647"/>
      <c r="C956" s="647"/>
      <c r="D956" s="649"/>
      <c r="E956" s="647"/>
      <c r="F956" s="649"/>
      <c r="G956" s="649"/>
      <c r="H956" s="647"/>
      <c r="I956" s="583"/>
      <c r="J956" s="583"/>
      <c r="K956" s="583"/>
      <c r="L956" s="583"/>
      <c r="M956" s="583"/>
      <c r="N956" s="583"/>
      <c r="O956" s="583"/>
      <c r="P956" s="583"/>
      <c r="Q956" s="583"/>
      <c r="R956" s="583"/>
      <c r="S956" s="583"/>
      <c r="T956" s="583"/>
      <c r="U956" s="583"/>
      <c r="V956" s="583"/>
      <c r="W956" s="583"/>
      <c r="X956" s="583"/>
      <c r="Y956" s="583"/>
      <c r="Z956" s="583"/>
      <c r="AA956" s="583"/>
      <c r="AB956" s="583"/>
      <c r="AC956" s="583"/>
      <c r="AD956" s="583"/>
      <c r="AE956" s="583"/>
      <c r="AF956" s="583"/>
    </row>
    <row r="957" ht="19.5" customHeight="1">
      <c r="A957" s="647"/>
      <c r="B957" s="647"/>
      <c r="C957" s="647"/>
      <c r="D957" s="649"/>
      <c r="E957" s="647"/>
      <c r="F957" s="649"/>
      <c r="G957" s="649"/>
      <c r="H957" s="647"/>
      <c r="I957" s="583"/>
      <c r="J957" s="583"/>
      <c r="K957" s="583"/>
      <c r="L957" s="583"/>
      <c r="M957" s="583"/>
      <c r="N957" s="583"/>
      <c r="O957" s="583"/>
      <c r="P957" s="583"/>
      <c r="Q957" s="583"/>
      <c r="R957" s="583"/>
      <c r="S957" s="583"/>
      <c r="T957" s="583"/>
      <c r="U957" s="583"/>
      <c r="V957" s="583"/>
      <c r="W957" s="583"/>
      <c r="X957" s="583"/>
      <c r="Y957" s="583"/>
      <c r="Z957" s="583"/>
      <c r="AA957" s="583"/>
      <c r="AB957" s="583"/>
      <c r="AC957" s="583"/>
      <c r="AD957" s="583"/>
      <c r="AE957" s="583"/>
      <c r="AF957" s="583"/>
    </row>
    <row r="958" ht="19.5" customHeight="1">
      <c r="A958" s="647"/>
      <c r="B958" s="647"/>
      <c r="C958" s="647"/>
      <c r="D958" s="649"/>
      <c r="E958" s="647"/>
      <c r="F958" s="649"/>
      <c r="G958" s="649"/>
      <c r="H958" s="647"/>
      <c r="I958" s="583"/>
      <c r="J958" s="583"/>
      <c r="K958" s="583"/>
      <c r="L958" s="583"/>
      <c r="M958" s="583"/>
      <c r="N958" s="583"/>
      <c r="O958" s="583"/>
      <c r="P958" s="583"/>
      <c r="Q958" s="583"/>
      <c r="R958" s="583"/>
      <c r="S958" s="583"/>
      <c r="T958" s="583"/>
      <c r="U958" s="583"/>
      <c r="V958" s="583"/>
      <c r="W958" s="583"/>
      <c r="X958" s="583"/>
      <c r="Y958" s="583"/>
      <c r="Z958" s="583"/>
      <c r="AA958" s="583"/>
      <c r="AB958" s="583"/>
      <c r="AC958" s="583"/>
      <c r="AD958" s="583"/>
      <c r="AE958" s="583"/>
      <c r="AF958" s="583"/>
    </row>
    <row r="959" ht="19.5" customHeight="1">
      <c r="A959" s="647"/>
      <c r="B959" s="647"/>
      <c r="C959" s="647"/>
      <c r="D959" s="649"/>
      <c r="E959" s="647"/>
      <c r="F959" s="649"/>
      <c r="G959" s="649"/>
      <c r="H959" s="647"/>
      <c r="I959" s="583"/>
      <c r="J959" s="583"/>
      <c r="K959" s="583"/>
      <c r="L959" s="583"/>
      <c r="M959" s="583"/>
      <c r="N959" s="583"/>
      <c r="O959" s="583"/>
      <c r="P959" s="583"/>
      <c r="Q959" s="583"/>
      <c r="R959" s="583"/>
      <c r="S959" s="583"/>
      <c r="T959" s="583"/>
      <c r="U959" s="583"/>
      <c r="V959" s="583"/>
      <c r="W959" s="583"/>
      <c r="X959" s="583"/>
      <c r="Y959" s="583"/>
      <c r="Z959" s="583"/>
      <c r="AA959" s="583"/>
      <c r="AB959" s="583"/>
      <c r="AC959" s="583"/>
      <c r="AD959" s="583"/>
      <c r="AE959" s="583"/>
      <c r="AF959" s="583"/>
    </row>
    <row r="960" ht="19.5" customHeight="1">
      <c r="A960" s="647"/>
      <c r="B960" s="647"/>
      <c r="C960" s="647"/>
      <c r="D960" s="649"/>
      <c r="E960" s="647"/>
      <c r="F960" s="649"/>
      <c r="G960" s="649"/>
      <c r="H960" s="647"/>
      <c r="I960" s="583"/>
      <c r="J960" s="583"/>
      <c r="K960" s="583"/>
      <c r="L960" s="583"/>
      <c r="M960" s="583"/>
      <c r="N960" s="583"/>
      <c r="O960" s="583"/>
      <c r="P960" s="583"/>
      <c r="Q960" s="583"/>
      <c r="R960" s="583"/>
      <c r="S960" s="583"/>
      <c r="T960" s="583"/>
      <c r="U960" s="583"/>
      <c r="V960" s="583"/>
      <c r="W960" s="583"/>
      <c r="X960" s="583"/>
      <c r="Y960" s="583"/>
      <c r="Z960" s="583"/>
      <c r="AA960" s="583"/>
      <c r="AB960" s="583"/>
      <c r="AC960" s="583"/>
      <c r="AD960" s="583"/>
      <c r="AE960" s="583"/>
      <c r="AF960" s="583"/>
    </row>
    <row r="961" ht="19.5" customHeight="1">
      <c r="A961" s="647"/>
      <c r="B961" s="647"/>
      <c r="C961" s="647"/>
      <c r="D961" s="649"/>
      <c r="E961" s="647"/>
      <c r="F961" s="649"/>
      <c r="G961" s="649"/>
      <c r="H961" s="647"/>
      <c r="I961" s="583"/>
      <c r="J961" s="583"/>
      <c r="K961" s="583"/>
      <c r="L961" s="583"/>
      <c r="M961" s="583"/>
      <c r="N961" s="583"/>
      <c r="O961" s="583"/>
      <c r="P961" s="583"/>
      <c r="Q961" s="583"/>
      <c r="R961" s="583"/>
      <c r="S961" s="583"/>
      <c r="T961" s="583"/>
      <c r="U961" s="583"/>
      <c r="V961" s="583"/>
      <c r="W961" s="583"/>
      <c r="X961" s="583"/>
      <c r="Y961" s="583"/>
      <c r="Z961" s="583"/>
      <c r="AA961" s="583"/>
      <c r="AB961" s="583"/>
      <c r="AC961" s="583"/>
      <c r="AD961" s="583"/>
      <c r="AE961" s="583"/>
      <c r="AF961" s="583"/>
    </row>
    <row r="962" ht="19.5" customHeight="1">
      <c r="A962" s="647"/>
      <c r="B962" s="647"/>
      <c r="C962" s="647"/>
      <c r="D962" s="649"/>
      <c r="E962" s="647"/>
      <c r="F962" s="649"/>
      <c r="G962" s="649"/>
      <c r="H962" s="647"/>
      <c r="I962" s="583"/>
      <c r="J962" s="583"/>
      <c r="K962" s="583"/>
      <c r="L962" s="583"/>
      <c r="M962" s="583"/>
      <c r="N962" s="583"/>
      <c r="O962" s="583"/>
      <c r="P962" s="583"/>
      <c r="Q962" s="583"/>
      <c r="R962" s="583"/>
      <c r="S962" s="583"/>
      <c r="T962" s="583"/>
      <c r="U962" s="583"/>
      <c r="V962" s="583"/>
      <c r="W962" s="583"/>
      <c r="X962" s="583"/>
      <c r="Y962" s="583"/>
      <c r="Z962" s="583"/>
      <c r="AA962" s="583"/>
      <c r="AB962" s="583"/>
      <c r="AC962" s="583"/>
      <c r="AD962" s="583"/>
      <c r="AE962" s="583"/>
      <c r="AF962" s="583"/>
    </row>
    <row r="963" ht="19.5" customHeight="1">
      <c r="A963" s="647"/>
      <c r="B963" s="647"/>
      <c r="C963" s="647"/>
      <c r="D963" s="649"/>
      <c r="E963" s="647"/>
      <c r="F963" s="649"/>
      <c r="G963" s="649"/>
      <c r="H963" s="647"/>
      <c r="I963" s="583"/>
      <c r="J963" s="583"/>
      <c r="K963" s="583"/>
      <c r="L963" s="583"/>
      <c r="M963" s="583"/>
      <c r="N963" s="583"/>
      <c r="O963" s="583"/>
      <c r="P963" s="583"/>
      <c r="Q963" s="583"/>
      <c r="R963" s="583"/>
      <c r="S963" s="583"/>
      <c r="T963" s="583"/>
      <c r="U963" s="583"/>
      <c r="V963" s="583"/>
      <c r="W963" s="583"/>
      <c r="X963" s="583"/>
      <c r="Y963" s="583"/>
      <c r="Z963" s="583"/>
      <c r="AA963" s="583"/>
      <c r="AB963" s="583"/>
      <c r="AC963" s="583"/>
      <c r="AD963" s="583"/>
      <c r="AE963" s="583"/>
      <c r="AF963" s="583"/>
    </row>
    <row r="964" ht="19.5" customHeight="1">
      <c r="A964" s="647"/>
      <c r="B964" s="647"/>
      <c r="C964" s="647"/>
      <c r="D964" s="649"/>
      <c r="E964" s="647"/>
      <c r="F964" s="649"/>
      <c r="G964" s="649"/>
      <c r="H964" s="647"/>
      <c r="I964" s="583"/>
      <c r="J964" s="583"/>
      <c r="K964" s="583"/>
      <c r="L964" s="583"/>
      <c r="M964" s="583"/>
      <c r="N964" s="583"/>
      <c r="O964" s="583"/>
      <c r="P964" s="583"/>
      <c r="Q964" s="583"/>
      <c r="R964" s="583"/>
      <c r="S964" s="583"/>
      <c r="T964" s="583"/>
      <c r="U964" s="583"/>
      <c r="V964" s="583"/>
      <c r="W964" s="583"/>
      <c r="X964" s="583"/>
      <c r="Y964" s="583"/>
      <c r="Z964" s="583"/>
      <c r="AA964" s="583"/>
      <c r="AB964" s="583"/>
      <c r="AC964" s="583"/>
      <c r="AD964" s="583"/>
      <c r="AE964" s="583"/>
      <c r="AF964" s="583"/>
    </row>
    <row r="965" ht="19.5" customHeight="1">
      <c r="A965" s="647"/>
      <c r="B965" s="647"/>
      <c r="C965" s="647"/>
      <c r="D965" s="649"/>
      <c r="E965" s="647"/>
      <c r="F965" s="649"/>
      <c r="G965" s="649"/>
      <c r="H965" s="647"/>
      <c r="I965" s="583"/>
      <c r="J965" s="583"/>
      <c r="K965" s="583"/>
      <c r="L965" s="583"/>
      <c r="M965" s="583"/>
      <c r="N965" s="583"/>
      <c r="O965" s="583"/>
      <c r="P965" s="583"/>
      <c r="Q965" s="583"/>
      <c r="R965" s="583"/>
      <c r="S965" s="583"/>
      <c r="T965" s="583"/>
      <c r="U965" s="583"/>
      <c r="V965" s="583"/>
      <c r="W965" s="583"/>
      <c r="X965" s="583"/>
      <c r="Y965" s="583"/>
      <c r="Z965" s="583"/>
      <c r="AA965" s="583"/>
      <c r="AB965" s="583"/>
      <c r="AC965" s="583"/>
      <c r="AD965" s="583"/>
      <c r="AE965" s="583"/>
      <c r="AF965" s="583"/>
    </row>
    <row r="966" ht="19.5" customHeight="1">
      <c r="A966" s="647"/>
      <c r="B966" s="647"/>
      <c r="C966" s="647"/>
      <c r="D966" s="649"/>
      <c r="E966" s="647"/>
      <c r="F966" s="649"/>
      <c r="G966" s="649"/>
      <c r="H966" s="647"/>
      <c r="I966" s="583"/>
      <c r="J966" s="583"/>
      <c r="K966" s="583"/>
      <c r="L966" s="583"/>
      <c r="M966" s="583"/>
      <c r="N966" s="583"/>
      <c r="O966" s="583"/>
      <c r="P966" s="583"/>
      <c r="Q966" s="583"/>
      <c r="R966" s="583"/>
      <c r="S966" s="583"/>
      <c r="T966" s="583"/>
      <c r="U966" s="583"/>
      <c r="V966" s="583"/>
      <c r="W966" s="583"/>
      <c r="X966" s="583"/>
      <c r="Y966" s="583"/>
      <c r="Z966" s="583"/>
      <c r="AA966" s="583"/>
      <c r="AB966" s="583"/>
      <c r="AC966" s="583"/>
      <c r="AD966" s="583"/>
      <c r="AE966" s="583"/>
      <c r="AF966" s="583"/>
    </row>
    <row r="967" ht="19.5" customHeight="1">
      <c r="A967" s="647"/>
      <c r="B967" s="647"/>
      <c r="C967" s="647"/>
      <c r="D967" s="649"/>
      <c r="E967" s="647"/>
      <c r="F967" s="649"/>
      <c r="G967" s="649"/>
      <c r="H967" s="647"/>
      <c r="I967" s="583"/>
      <c r="J967" s="583"/>
      <c r="K967" s="583"/>
      <c r="L967" s="583"/>
      <c r="M967" s="583"/>
      <c r="N967" s="583"/>
      <c r="O967" s="583"/>
      <c r="P967" s="583"/>
      <c r="Q967" s="583"/>
      <c r="R967" s="583"/>
      <c r="S967" s="583"/>
      <c r="T967" s="583"/>
      <c r="U967" s="583"/>
      <c r="V967" s="583"/>
      <c r="W967" s="583"/>
      <c r="X967" s="583"/>
      <c r="Y967" s="583"/>
      <c r="Z967" s="583"/>
      <c r="AA967" s="583"/>
      <c r="AB967" s="583"/>
      <c r="AC967" s="583"/>
      <c r="AD967" s="583"/>
      <c r="AE967" s="583"/>
      <c r="AF967" s="583"/>
    </row>
    <row r="968" ht="19.5" customHeight="1">
      <c r="A968" s="647"/>
      <c r="B968" s="647"/>
      <c r="C968" s="647"/>
      <c r="D968" s="649"/>
      <c r="E968" s="647"/>
      <c r="F968" s="649"/>
      <c r="G968" s="649"/>
      <c r="H968" s="647"/>
      <c r="I968" s="583"/>
      <c r="J968" s="583"/>
      <c r="K968" s="583"/>
      <c r="L968" s="583"/>
      <c r="M968" s="583"/>
      <c r="N968" s="583"/>
      <c r="O968" s="583"/>
      <c r="P968" s="583"/>
      <c r="Q968" s="583"/>
      <c r="R968" s="583"/>
      <c r="S968" s="583"/>
      <c r="T968" s="583"/>
      <c r="U968" s="583"/>
      <c r="V968" s="583"/>
      <c r="W968" s="583"/>
      <c r="X968" s="583"/>
      <c r="Y968" s="583"/>
      <c r="Z968" s="583"/>
      <c r="AA968" s="583"/>
      <c r="AB968" s="583"/>
      <c r="AC968" s="583"/>
      <c r="AD968" s="583"/>
      <c r="AE968" s="583"/>
      <c r="AF968" s="583"/>
    </row>
    <row r="969" ht="19.5" customHeight="1">
      <c r="A969" s="647"/>
      <c r="B969" s="647"/>
      <c r="C969" s="647"/>
      <c r="D969" s="649"/>
      <c r="E969" s="647"/>
      <c r="F969" s="649"/>
      <c r="G969" s="649"/>
      <c r="H969" s="647"/>
      <c r="I969" s="583"/>
      <c r="J969" s="583"/>
      <c r="K969" s="583"/>
      <c r="L969" s="583"/>
      <c r="M969" s="583"/>
      <c r="N969" s="583"/>
      <c r="O969" s="583"/>
      <c r="P969" s="583"/>
      <c r="Q969" s="583"/>
      <c r="R969" s="583"/>
      <c r="S969" s="583"/>
      <c r="T969" s="583"/>
      <c r="U969" s="583"/>
      <c r="V969" s="583"/>
      <c r="W969" s="583"/>
      <c r="X969" s="583"/>
      <c r="Y969" s="583"/>
      <c r="Z969" s="583"/>
      <c r="AA969" s="583"/>
      <c r="AB969" s="583"/>
      <c r="AC969" s="583"/>
      <c r="AD969" s="583"/>
      <c r="AE969" s="583"/>
      <c r="AF969" s="583"/>
    </row>
    <row r="970" ht="19.5" customHeight="1">
      <c r="A970" s="647"/>
      <c r="B970" s="647"/>
      <c r="C970" s="647"/>
      <c r="D970" s="649"/>
      <c r="E970" s="647"/>
      <c r="F970" s="649"/>
      <c r="G970" s="649"/>
      <c r="H970" s="647"/>
      <c r="I970" s="583"/>
      <c r="J970" s="583"/>
      <c r="K970" s="583"/>
      <c r="L970" s="583"/>
      <c r="M970" s="583"/>
      <c r="N970" s="583"/>
      <c r="O970" s="583"/>
      <c r="P970" s="583"/>
      <c r="Q970" s="583"/>
      <c r="R970" s="583"/>
      <c r="S970" s="583"/>
      <c r="T970" s="583"/>
      <c r="U970" s="583"/>
      <c r="V970" s="583"/>
      <c r="W970" s="583"/>
      <c r="X970" s="583"/>
      <c r="Y970" s="583"/>
      <c r="Z970" s="583"/>
      <c r="AA970" s="583"/>
      <c r="AB970" s="583"/>
      <c r="AC970" s="583"/>
      <c r="AD970" s="583"/>
      <c r="AE970" s="583"/>
      <c r="AF970" s="583"/>
    </row>
    <row r="971" ht="19.5" customHeight="1">
      <c r="A971" s="647"/>
      <c r="B971" s="647"/>
      <c r="C971" s="647"/>
      <c r="D971" s="649"/>
      <c r="E971" s="647"/>
      <c r="F971" s="649"/>
      <c r="G971" s="649"/>
      <c r="H971" s="647"/>
      <c r="I971" s="583"/>
      <c r="J971" s="583"/>
      <c r="K971" s="583"/>
      <c r="L971" s="583"/>
      <c r="M971" s="583"/>
      <c r="N971" s="583"/>
      <c r="O971" s="583"/>
      <c r="P971" s="583"/>
      <c r="Q971" s="583"/>
      <c r="R971" s="583"/>
      <c r="S971" s="583"/>
      <c r="T971" s="583"/>
      <c r="U971" s="583"/>
      <c r="V971" s="583"/>
      <c r="W971" s="583"/>
      <c r="X971" s="583"/>
      <c r="Y971" s="583"/>
      <c r="Z971" s="583"/>
      <c r="AA971" s="583"/>
      <c r="AB971" s="583"/>
      <c r="AC971" s="583"/>
      <c r="AD971" s="583"/>
      <c r="AE971" s="583"/>
      <c r="AF971" s="583"/>
    </row>
    <row r="972" ht="19.5" customHeight="1">
      <c r="A972" s="647"/>
      <c r="B972" s="647"/>
      <c r="C972" s="647"/>
      <c r="D972" s="649"/>
      <c r="E972" s="647"/>
      <c r="F972" s="649"/>
      <c r="G972" s="649"/>
      <c r="H972" s="647"/>
      <c r="I972" s="583"/>
      <c r="J972" s="583"/>
      <c r="K972" s="583"/>
      <c r="L972" s="583"/>
      <c r="M972" s="583"/>
      <c r="N972" s="583"/>
      <c r="O972" s="583"/>
      <c r="P972" s="583"/>
      <c r="Q972" s="583"/>
      <c r="R972" s="583"/>
      <c r="S972" s="583"/>
      <c r="T972" s="583"/>
      <c r="U972" s="583"/>
      <c r="V972" s="583"/>
      <c r="W972" s="583"/>
      <c r="X972" s="583"/>
      <c r="Y972" s="583"/>
      <c r="Z972" s="583"/>
      <c r="AA972" s="583"/>
      <c r="AB972" s="583"/>
      <c r="AC972" s="583"/>
      <c r="AD972" s="583"/>
      <c r="AE972" s="583"/>
      <c r="AF972" s="583"/>
    </row>
    <row r="973" ht="19.5" customHeight="1">
      <c r="A973" s="647"/>
      <c r="B973" s="647"/>
      <c r="C973" s="647"/>
      <c r="D973" s="649"/>
      <c r="E973" s="647"/>
      <c r="F973" s="649"/>
      <c r="G973" s="649"/>
      <c r="H973" s="647"/>
      <c r="I973" s="583"/>
      <c r="J973" s="583"/>
      <c r="K973" s="583"/>
      <c r="L973" s="583"/>
      <c r="M973" s="583"/>
      <c r="N973" s="583"/>
      <c r="O973" s="583"/>
      <c r="P973" s="583"/>
      <c r="Q973" s="583"/>
      <c r="R973" s="583"/>
      <c r="S973" s="583"/>
      <c r="T973" s="583"/>
      <c r="U973" s="583"/>
      <c r="V973" s="583"/>
      <c r="W973" s="583"/>
      <c r="X973" s="583"/>
      <c r="Y973" s="583"/>
      <c r="Z973" s="583"/>
      <c r="AA973" s="583"/>
      <c r="AB973" s="583"/>
      <c r="AC973" s="583"/>
      <c r="AD973" s="583"/>
      <c r="AE973" s="583"/>
      <c r="AF973" s="583"/>
    </row>
    <row r="974" ht="19.5" customHeight="1">
      <c r="A974" s="647"/>
      <c r="B974" s="647"/>
      <c r="C974" s="647"/>
      <c r="D974" s="649"/>
      <c r="E974" s="647"/>
      <c r="F974" s="649"/>
      <c r="G974" s="649"/>
      <c r="H974" s="647"/>
      <c r="I974" s="583"/>
      <c r="J974" s="583"/>
      <c r="K974" s="583"/>
      <c r="L974" s="583"/>
      <c r="M974" s="583"/>
      <c r="N974" s="583"/>
      <c r="O974" s="583"/>
      <c r="P974" s="583"/>
      <c r="Q974" s="583"/>
      <c r="R974" s="583"/>
      <c r="S974" s="583"/>
      <c r="T974" s="583"/>
      <c r="U974" s="583"/>
      <c r="V974" s="583"/>
      <c r="W974" s="583"/>
      <c r="X974" s="583"/>
      <c r="Y974" s="583"/>
      <c r="Z974" s="583"/>
      <c r="AA974" s="583"/>
      <c r="AB974" s="583"/>
      <c r="AC974" s="583"/>
      <c r="AD974" s="583"/>
      <c r="AE974" s="583"/>
      <c r="AF974" s="583"/>
    </row>
    <row r="975" ht="19.5" customHeight="1">
      <c r="A975" s="647"/>
      <c r="B975" s="647"/>
      <c r="C975" s="647"/>
      <c r="D975" s="649"/>
      <c r="E975" s="647"/>
      <c r="F975" s="649"/>
      <c r="G975" s="649"/>
      <c r="H975" s="647"/>
      <c r="I975" s="583"/>
      <c r="J975" s="583"/>
      <c r="K975" s="583"/>
      <c r="L975" s="583"/>
      <c r="M975" s="583"/>
      <c r="N975" s="583"/>
      <c r="O975" s="583"/>
      <c r="P975" s="583"/>
      <c r="Q975" s="583"/>
      <c r="R975" s="583"/>
      <c r="S975" s="583"/>
      <c r="T975" s="583"/>
      <c r="U975" s="583"/>
      <c r="V975" s="583"/>
      <c r="W975" s="583"/>
      <c r="X975" s="583"/>
      <c r="Y975" s="583"/>
      <c r="Z975" s="583"/>
      <c r="AA975" s="583"/>
      <c r="AB975" s="583"/>
      <c r="AC975" s="583"/>
      <c r="AD975" s="583"/>
      <c r="AE975" s="583"/>
      <c r="AF975" s="583"/>
    </row>
    <row r="976" ht="19.5" customHeight="1">
      <c r="A976" s="647"/>
      <c r="B976" s="647"/>
      <c r="C976" s="647"/>
      <c r="D976" s="649"/>
      <c r="E976" s="647"/>
      <c r="F976" s="649"/>
      <c r="G976" s="649"/>
      <c r="H976" s="647"/>
      <c r="I976" s="583"/>
      <c r="J976" s="583"/>
      <c r="K976" s="583"/>
      <c r="L976" s="583"/>
      <c r="M976" s="583"/>
      <c r="N976" s="583"/>
      <c r="O976" s="583"/>
      <c r="P976" s="583"/>
      <c r="Q976" s="583"/>
      <c r="R976" s="583"/>
      <c r="S976" s="583"/>
      <c r="T976" s="583"/>
      <c r="U976" s="583"/>
      <c r="V976" s="583"/>
      <c r="W976" s="583"/>
      <c r="X976" s="583"/>
      <c r="Y976" s="583"/>
      <c r="Z976" s="583"/>
      <c r="AA976" s="583"/>
      <c r="AB976" s="583"/>
      <c r="AC976" s="583"/>
      <c r="AD976" s="583"/>
      <c r="AE976" s="583"/>
      <c r="AF976" s="583"/>
    </row>
    <row r="977" ht="19.5" customHeight="1">
      <c r="A977" s="647"/>
      <c r="B977" s="647"/>
      <c r="C977" s="647"/>
      <c r="D977" s="649"/>
      <c r="E977" s="647"/>
      <c r="F977" s="649"/>
      <c r="G977" s="649"/>
      <c r="H977" s="647"/>
      <c r="I977" s="583"/>
      <c r="J977" s="583"/>
      <c r="K977" s="583"/>
      <c r="L977" s="583"/>
      <c r="M977" s="583"/>
      <c r="N977" s="583"/>
      <c r="O977" s="583"/>
      <c r="P977" s="583"/>
      <c r="Q977" s="583"/>
      <c r="R977" s="583"/>
      <c r="S977" s="583"/>
      <c r="T977" s="583"/>
      <c r="U977" s="583"/>
      <c r="V977" s="583"/>
      <c r="W977" s="583"/>
      <c r="X977" s="583"/>
      <c r="Y977" s="583"/>
      <c r="Z977" s="583"/>
      <c r="AA977" s="583"/>
      <c r="AB977" s="583"/>
      <c r="AC977" s="583"/>
      <c r="AD977" s="583"/>
      <c r="AE977" s="583"/>
      <c r="AF977" s="583"/>
    </row>
    <row r="978" ht="19.5" customHeight="1">
      <c r="A978" s="647"/>
      <c r="B978" s="647"/>
      <c r="C978" s="647"/>
      <c r="D978" s="649"/>
      <c r="E978" s="647"/>
      <c r="F978" s="649"/>
      <c r="G978" s="649"/>
      <c r="H978" s="647"/>
      <c r="I978" s="583"/>
      <c r="J978" s="583"/>
      <c r="K978" s="583"/>
      <c r="L978" s="583"/>
      <c r="M978" s="583"/>
      <c r="N978" s="583"/>
      <c r="O978" s="583"/>
      <c r="P978" s="583"/>
      <c r="Q978" s="583"/>
      <c r="R978" s="583"/>
      <c r="S978" s="583"/>
      <c r="T978" s="583"/>
      <c r="U978" s="583"/>
      <c r="V978" s="583"/>
      <c r="W978" s="583"/>
      <c r="X978" s="583"/>
      <c r="Y978" s="583"/>
      <c r="Z978" s="583"/>
      <c r="AA978" s="583"/>
      <c r="AB978" s="583"/>
      <c r="AC978" s="583"/>
      <c r="AD978" s="583"/>
      <c r="AE978" s="583"/>
      <c r="AF978" s="583"/>
    </row>
    <row r="979" ht="19.5" customHeight="1">
      <c r="A979" s="647"/>
      <c r="B979" s="647"/>
      <c r="C979" s="647"/>
      <c r="D979" s="649"/>
      <c r="E979" s="647"/>
      <c r="F979" s="649"/>
      <c r="G979" s="649"/>
      <c r="H979" s="647"/>
      <c r="I979" s="583"/>
      <c r="J979" s="583"/>
      <c r="K979" s="583"/>
      <c r="L979" s="583"/>
      <c r="M979" s="583"/>
      <c r="N979" s="583"/>
      <c r="O979" s="583"/>
      <c r="P979" s="583"/>
      <c r="Q979" s="583"/>
      <c r="R979" s="583"/>
      <c r="S979" s="583"/>
      <c r="T979" s="583"/>
      <c r="U979" s="583"/>
      <c r="V979" s="583"/>
      <c r="W979" s="583"/>
      <c r="X979" s="583"/>
      <c r="Y979" s="583"/>
      <c r="Z979" s="583"/>
      <c r="AA979" s="583"/>
      <c r="AB979" s="583"/>
      <c r="AC979" s="583"/>
      <c r="AD979" s="583"/>
      <c r="AE979" s="583"/>
      <c r="AF979" s="583"/>
    </row>
    <row r="980" ht="19.5" customHeight="1">
      <c r="A980" s="647"/>
      <c r="B980" s="647"/>
      <c r="C980" s="647"/>
      <c r="D980" s="649"/>
      <c r="E980" s="647"/>
      <c r="F980" s="649"/>
      <c r="G980" s="649"/>
      <c r="H980" s="647"/>
      <c r="I980" s="583"/>
      <c r="J980" s="583"/>
      <c r="K980" s="583"/>
      <c r="L980" s="583"/>
      <c r="M980" s="583"/>
      <c r="N980" s="583"/>
      <c r="O980" s="583"/>
      <c r="P980" s="583"/>
      <c r="Q980" s="583"/>
      <c r="R980" s="583"/>
      <c r="S980" s="583"/>
      <c r="T980" s="583"/>
      <c r="U980" s="583"/>
      <c r="V980" s="583"/>
      <c r="W980" s="583"/>
      <c r="X980" s="583"/>
      <c r="Y980" s="583"/>
      <c r="Z980" s="583"/>
      <c r="AA980" s="583"/>
      <c r="AB980" s="583"/>
      <c r="AC980" s="583"/>
      <c r="AD980" s="583"/>
      <c r="AE980" s="583"/>
      <c r="AF980" s="583"/>
    </row>
    <row r="981" ht="19.5" customHeight="1">
      <c r="A981" s="647"/>
      <c r="B981" s="647"/>
      <c r="C981" s="647"/>
      <c r="D981" s="649"/>
      <c r="E981" s="647"/>
      <c r="F981" s="649"/>
      <c r="G981" s="649"/>
      <c r="H981" s="647"/>
      <c r="I981" s="583"/>
      <c r="J981" s="583"/>
      <c r="K981" s="583"/>
      <c r="L981" s="583"/>
      <c r="M981" s="583"/>
      <c r="N981" s="583"/>
      <c r="O981" s="583"/>
      <c r="P981" s="583"/>
      <c r="Q981" s="583"/>
      <c r="R981" s="583"/>
      <c r="S981" s="583"/>
      <c r="T981" s="583"/>
      <c r="U981" s="583"/>
      <c r="V981" s="583"/>
      <c r="W981" s="583"/>
      <c r="X981" s="583"/>
      <c r="Y981" s="583"/>
      <c r="Z981" s="583"/>
      <c r="AA981" s="583"/>
      <c r="AB981" s="583"/>
      <c r="AC981" s="583"/>
      <c r="AD981" s="583"/>
      <c r="AE981" s="583"/>
      <c r="AF981" s="583"/>
    </row>
    <row r="982" ht="19.5" customHeight="1">
      <c r="A982" s="647"/>
      <c r="B982" s="647"/>
      <c r="C982" s="647"/>
      <c r="D982" s="649"/>
      <c r="E982" s="647"/>
      <c r="F982" s="649"/>
      <c r="G982" s="649"/>
      <c r="H982" s="647"/>
      <c r="I982" s="583"/>
      <c r="J982" s="583"/>
      <c r="K982" s="583"/>
      <c r="L982" s="583"/>
      <c r="M982" s="583"/>
      <c r="N982" s="583"/>
      <c r="O982" s="583"/>
      <c r="P982" s="583"/>
      <c r="Q982" s="583"/>
      <c r="R982" s="583"/>
      <c r="S982" s="583"/>
      <c r="T982" s="583"/>
      <c r="U982" s="583"/>
      <c r="V982" s="583"/>
      <c r="W982" s="583"/>
      <c r="X982" s="583"/>
      <c r="Y982" s="583"/>
      <c r="Z982" s="583"/>
      <c r="AA982" s="583"/>
      <c r="AB982" s="583"/>
      <c r="AC982" s="583"/>
      <c r="AD982" s="583"/>
      <c r="AE982" s="583"/>
      <c r="AF982" s="583"/>
    </row>
    <row r="983" ht="19.5" customHeight="1">
      <c r="A983" s="647"/>
      <c r="B983" s="647"/>
      <c r="C983" s="647"/>
      <c r="D983" s="649"/>
      <c r="E983" s="647"/>
      <c r="F983" s="649"/>
      <c r="G983" s="649"/>
      <c r="H983" s="647"/>
      <c r="I983" s="583"/>
      <c r="J983" s="583"/>
      <c r="K983" s="583"/>
      <c r="L983" s="583"/>
      <c r="M983" s="583"/>
      <c r="N983" s="583"/>
      <c r="O983" s="583"/>
      <c r="P983" s="583"/>
      <c r="Q983" s="583"/>
      <c r="R983" s="583"/>
      <c r="S983" s="583"/>
      <c r="T983" s="583"/>
      <c r="U983" s="583"/>
      <c r="V983" s="583"/>
      <c r="W983" s="583"/>
      <c r="X983" s="583"/>
      <c r="Y983" s="583"/>
      <c r="Z983" s="583"/>
      <c r="AA983" s="583"/>
      <c r="AB983" s="583"/>
      <c r="AC983" s="583"/>
      <c r="AD983" s="583"/>
      <c r="AE983" s="583"/>
      <c r="AF983" s="583"/>
    </row>
    <row r="984" ht="19.5" customHeight="1">
      <c r="A984" s="647"/>
      <c r="B984" s="647"/>
      <c r="C984" s="647"/>
      <c r="D984" s="649"/>
      <c r="E984" s="647"/>
      <c r="F984" s="649"/>
      <c r="G984" s="649"/>
      <c r="H984" s="647"/>
      <c r="I984" s="583"/>
      <c r="J984" s="583"/>
      <c r="K984" s="583"/>
      <c r="L984" s="583"/>
      <c r="M984" s="583"/>
      <c r="N984" s="583"/>
      <c r="O984" s="583"/>
      <c r="P984" s="583"/>
      <c r="Q984" s="583"/>
      <c r="R984" s="583"/>
      <c r="S984" s="583"/>
      <c r="T984" s="583"/>
      <c r="U984" s="583"/>
      <c r="V984" s="583"/>
      <c r="W984" s="583"/>
      <c r="X984" s="583"/>
      <c r="Y984" s="583"/>
      <c r="Z984" s="583"/>
      <c r="AA984" s="583"/>
      <c r="AB984" s="583"/>
      <c r="AC984" s="583"/>
      <c r="AD984" s="583"/>
      <c r="AE984" s="583"/>
      <c r="AF984" s="583"/>
    </row>
    <row r="985" ht="19.5" customHeight="1">
      <c r="A985" s="647"/>
      <c r="B985" s="647"/>
      <c r="C985" s="647"/>
      <c r="D985" s="649"/>
      <c r="E985" s="647"/>
      <c r="F985" s="649"/>
      <c r="G985" s="649"/>
      <c r="H985" s="647"/>
      <c r="I985" s="583"/>
      <c r="J985" s="583"/>
      <c r="K985" s="583"/>
      <c r="L985" s="583"/>
      <c r="M985" s="583"/>
      <c r="N985" s="583"/>
      <c r="O985" s="583"/>
      <c r="P985" s="583"/>
      <c r="Q985" s="583"/>
      <c r="R985" s="583"/>
      <c r="S985" s="583"/>
      <c r="T985" s="583"/>
      <c r="U985" s="583"/>
      <c r="V985" s="583"/>
      <c r="W985" s="583"/>
      <c r="X985" s="583"/>
      <c r="Y985" s="583"/>
      <c r="Z985" s="583"/>
      <c r="AA985" s="583"/>
      <c r="AB985" s="583"/>
      <c r="AC985" s="583"/>
      <c r="AD985" s="583"/>
      <c r="AE985" s="583"/>
      <c r="AF985" s="583"/>
    </row>
    <row r="986" ht="19.5" customHeight="1">
      <c r="A986" s="647"/>
      <c r="B986" s="647"/>
      <c r="C986" s="647"/>
      <c r="D986" s="649"/>
      <c r="E986" s="647"/>
      <c r="F986" s="649"/>
      <c r="G986" s="649"/>
      <c r="H986" s="647"/>
      <c r="I986" s="583"/>
      <c r="J986" s="583"/>
      <c r="K986" s="583"/>
      <c r="L986" s="583"/>
      <c r="M986" s="583"/>
      <c r="N986" s="583"/>
      <c r="O986" s="583"/>
      <c r="P986" s="583"/>
      <c r="Q986" s="583"/>
      <c r="R986" s="583"/>
      <c r="S986" s="583"/>
      <c r="T986" s="583"/>
      <c r="U986" s="583"/>
      <c r="V986" s="583"/>
      <c r="W986" s="583"/>
      <c r="X986" s="583"/>
      <c r="Y986" s="583"/>
      <c r="Z986" s="583"/>
      <c r="AA986" s="583"/>
      <c r="AB986" s="583"/>
      <c r="AC986" s="583"/>
      <c r="AD986" s="583"/>
      <c r="AE986" s="583"/>
      <c r="AF986" s="583"/>
    </row>
    <row r="987" ht="19.5" customHeight="1">
      <c r="A987" s="647"/>
      <c r="B987" s="647"/>
      <c r="C987" s="647"/>
      <c r="D987" s="649"/>
      <c r="E987" s="647"/>
      <c r="F987" s="649"/>
      <c r="G987" s="649"/>
      <c r="H987" s="647"/>
      <c r="I987" s="583"/>
      <c r="J987" s="583"/>
      <c r="K987" s="583"/>
      <c r="L987" s="583"/>
      <c r="M987" s="583"/>
      <c r="N987" s="583"/>
      <c r="O987" s="583"/>
      <c r="P987" s="583"/>
      <c r="Q987" s="583"/>
      <c r="R987" s="583"/>
      <c r="S987" s="583"/>
      <c r="T987" s="583"/>
      <c r="U987" s="583"/>
      <c r="V987" s="583"/>
      <c r="W987" s="583"/>
      <c r="X987" s="583"/>
      <c r="Y987" s="583"/>
      <c r="Z987" s="583"/>
      <c r="AA987" s="583"/>
      <c r="AB987" s="583"/>
      <c r="AC987" s="583"/>
      <c r="AD987" s="583"/>
      <c r="AE987" s="583"/>
      <c r="AF987" s="583"/>
    </row>
    <row r="988" ht="19.5" customHeight="1">
      <c r="A988" s="647"/>
      <c r="B988" s="647"/>
      <c r="C988" s="647"/>
      <c r="D988" s="649"/>
      <c r="E988" s="647"/>
      <c r="F988" s="649"/>
      <c r="G988" s="649"/>
      <c r="H988" s="647"/>
      <c r="I988" s="583"/>
      <c r="J988" s="583"/>
      <c r="K988" s="583"/>
      <c r="L988" s="583"/>
      <c r="M988" s="583"/>
      <c r="N988" s="583"/>
      <c r="O988" s="583"/>
      <c r="P988" s="583"/>
      <c r="Q988" s="583"/>
      <c r="R988" s="583"/>
      <c r="S988" s="583"/>
      <c r="T988" s="583"/>
      <c r="U988" s="583"/>
      <c r="V988" s="583"/>
      <c r="W988" s="583"/>
      <c r="X988" s="583"/>
      <c r="Y988" s="583"/>
      <c r="Z988" s="583"/>
      <c r="AA988" s="583"/>
      <c r="AB988" s="583"/>
      <c r="AC988" s="583"/>
      <c r="AD988" s="583"/>
      <c r="AE988" s="583"/>
      <c r="AF988" s="583"/>
    </row>
    <row r="989" ht="19.5" customHeight="1">
      <c r="A989" s="647"/>
      <c r="B989" s="647"/>
      <c r="C989" s="647"/>
      <c r="D989" s="649"/>
      <c r="E989" s="647"/>
      <c r="F989" s="649"/>
      <c r="G989" s="649"/>
      <c r="H989" s="647"/>
      <c r="I989" s="583"/>
      <c r="J989" s="583"/>
      <c r="K989" s="583"/>
      <c r="L989" s="583"/>
      <c r="M989" s="583"/>
      <c r="N989" s="583"/>
      <c r="O989" s="583"/>
      <c r="P989" s="583"/>
      <c r="Q989" s="583"/>
      <c r="R989" s="583"/>
      <c r="S989" s="583"/>
      <c r="T989" s="583"/>
      <c r="U989" s="583"/>
      <c r="V989" s="583"/>
      <c r="W989" s="583"/>
      <c r="X989" s="583"/>
      <c r="Y989" s="583"/>
      <c r="Z989" s="583"/>
      <c r="AA989" s="583"/>
      <c r="AB989" s="583"/>
      <c r="AC989" s="583"/>
      <c r="AD989" s="583"/>
      <c r="AE989" s="583"/>
      <c r="AF989" s="583"/>
    </row>
    <row r="990" ht="19.5" customHeight="1">
      <c r="A990" s="647"/>
      <c r="B990" s="647"/>
      <c r="C990" s="647"/>
      <c r="D990" s="649"/>
      <c r="E990" s="647"/>
      <c r="F990" s="649"/>
      <c r="G990" s="649"/>
      <c r="H990" s="647"/>
      <c r="I990" s="583"/>
      <c r="J990" s="583"/>
      <c r="K990" s="583"/>
      <c r="L990" s="583"/>
      <c r="M990" s="583"/>
      <c r="N990" s="583"/>
      <c r="O990" s="583"/>
      <c r="P990" s="583"/>
      <c r="Q990" s="583"/>
      <c r="R990" s="583"/>
      <c r="S990" s="583"/>
      <c r="T990" s="583"/>
      <c r="U990" s="583"/>
      <c r="V990" s="583"/>
      <c r="W990" s="583"/>
      <c r="X990" s="583"/>
      <c r="Y990" s="583"/>
      <c r="Z990" s="583"/>
      <c r="AA990" s="583"/>
      <c r="AB990" s="583"/>
      <c r="AC990" s="583"/>
      <c r="AD990" s="583"/>
      <c r="AE990" s="583"/>
      <c r="AF990" s="583"/>
    </row>
    <row r="991" ht="19.5" customHeight="1">
      <c r="A991" s="647"/>
      <c r="B991" s="647"/>
      <c r="C991" s="647"/>
      <c r="D991" s="649"/>
      <c r="E991" s="647"/>
      <c r="F991" s="649"/>
      <c r="G991" s="649"/>
      <c r="H991" s="647"/>
      <c r="I991" s="583"/>
      <c r="J991" s="583"/>
      <c r="K991" s="583"/>
      <c r="L991" s="583"/>
      <c r="M991" s="583"/>
      <c r="N991" s="583"/>
      <c r="O991" s="583"/>
      <c r="P991" s="583"/>
      <c r="Q991" s="583"/>
      <c r="R991" s="583"/>
      <c r="S991" s="583"/>
      <c r="T991" s="583"/>
      <c r="U991" s="583"/>
      <c r="V991" s="583"/>
      <c r="W991" s="583"/>
      <c r="X991" s="583"/>
      <c r="Y991" s="583"/>
      <c r="Z991" s="583"/>
      <c r="AA991" s="583"/>
      <c r="AB991" s="583"/>
      <c r="AC991" s="583"/>
      <c r="AD991" s="583"/>
      <c r="AE991" s="583"/>
      <c r="AF991" s="583"/>
    </row>
    <row r="992" ht="19.5" customHeight="1">
      <c r="A992" s="647"/>
      <c r="B992" s="647"/>
      <c r="C992" s="647"/>
      <c r="D992" s="649"/>
      <c r="E992" s="647"/>
      <c r="F992" s="649"/>
      <c r="G992" s="649"/>
      <c r="H992" s="647"/>
      <c r="I992" s="583"/>
      <c r="J992" s="583"/>
      <c r="K992" s="583"/>
      <c r="L992" s="583"/>
      <c r="M992" s="583"/>
      <c r="N992" s="583"/>
      <c r="O992" s="583"/>
      <c r="P992" s="583"/>
      <c r="Q992" s="583"/>
      <c r="R992" s="583"/>
      <c r="S992" s="583"/>
      <c r="T992" s="583"/>
      <c r="U992" s="583"/>
      <c r="V992" s="583"/>
      <c r="W992" s="583"/>
      <c r="X992" s="583"/>
      <c r="Y992" s="583"/>
      <c r="Z992" s="583"/>
      <c r="AA992" s="583"/>
      <c r="AB992" s="583"/>
      <c r="AC992" s="583"/>
      <c r="AD992" s="583"/>
      <c r="AE992" s="583"/>
      <c r="AF992" s="583"/>
    </row>
    <row r="993" ht="19.5" customHeight="1">
      <c r="A993" s="647"/>
      <c r="B993" s="647"/>
      <c r="C993" s="647"/>
      <c r="D993" s="649"/>
      <c r="E993" s="647"/>
      <c r="F993" s="649"/>
      <c r="G993" s="649"/>
      <c r="H993" s="647"/>
      <c r="I993" s="583"/>
      <c r="J993" s="583"/>
      <c r="K993" s="583"/>
      <c r="L993" s="583"/>
      <c r="M993" s="583"/>
      <c r="N993" s="583"/>
      <c r="O993" s="583"/>
      <c r="P993" s="583"/>
      <c r="Q993" s="583"/>
      <c r="R993" s="583"/>
      <c r="S993" s="583"/>
      <c r="T993" s="583"/>
      <c r="U993" s="583"/>
      <c r="V993" s="583"/>
      <c r="W993" s="583"/>
      <c r="X993" s="583"/>
      <c r="Y993" s="583"/>
      <c r="Z993" s="583"/>
      <c r="AA993" s="583"/>
      <c r="AB993" s="583"/>
      <c r="AC993" s="583"/>
      <c r="AD993" s="583"/>
      <c r="AE993" s="583"/>
      <c r="AF993" s="583"/>
    </row>
    <row r="994" ht="19.5" customHeight="1">
      <c r="A994" s="647"/>
      <c r="B994" s="647"/>
      <c r="C994" s="647"/>
      <c r="D994" s="649"/>
      <c r="E994" s="647"/>
      <c r="F994" s="649"/>
      <c r="G994" s="649"/>
      <c r="H994" s="647"/>
      <c r="I994" s="583"/>
      <c r="J994" s="583"/>
      <c r="K994" s="583"/>
      <c r="L994" s="583"/>
      <c r="M994" s="583"/>
      <c r="N994" s="583"/>
      <c r="O994" s="583"/>
      <c r="P994" s="583"/>
      <c r="Q994" s="583"/>
      <c r="R994" s="583"/>
      <c r="S994" s="583"/>
      <c r="T994" s="583"/>
      <c r="U994" s="583"/>
      <c r="V994" s="583"/>
      <c r="W994" s="583"/>
      <c r="X994" s="583"/>
      <c r="Y994" s="583"/>
      <c r="Z994" s="583"/>
      <c r="AA994" s="583"/>
      <c r="AB994" s="583"/>
      <c r="AC994" s="583"/>
      <c r="AD994" s="583"/>
      <c r="AE994" s="583"/>
      <c r="AF994" s="583"/>
    </row>
    <row r="995" ht="19.5" customHeight="1">
      <c r="A995" s="647"/>
      <c r="B995" s="647"/>
      <c r="C995" s="647"/>
      <c r="D995" s="649"/>
      <c r="E995" s="647"/>
      <c r="F995" s="649"/>
      <c r="G995" s="649"/>
      <c r="H995" s="647"/>
      <c r="I995" s="583"/>
      <c r="J995" s="583"/>
      <c r="K995" s="583"/>
      <c r="L995" s="583"/>
      <c r="M995" s="583"/>
      <c r="N995" s="583"/>
      <c r="O995" s="583"/>
      <c r="P995" s="583"/>
      <c r="Q995" s="583"/>
      <c r="R995" s="583"/>
      <c r="S995" s="583"/>
      <c r="T995" s="583"/>
      <c r="U995" s="583"/>
      <c r="V995" s="583"/>
      <c r="W995" s="583"/>
      <c r="X995" s="583"/>
      <c r="Y995" s="583"/>
      <c r="Z995" s="583"/>
      <c r="AA995" s="583"/>
      <c r="AB995" s="583"/>
      <c r="AC995" s="583"/>
      <c r="AD995" s="583"/>
      <c r="AE995" s="583"/>
      <c r="AF995" s="583"/>
    </row>
    <row r="996" ht="19.5" customHeight="1">
      <c r="A996" s="647"/>
      <c r="B996" s="647"/>
      <c r="C996" s="647"/>
      <c r="D996" s="649"/>
      <c r="E996" s="647"/>
      <c r="F996" s="649"/>
      <c r="G996" s="649"/>
      <c r="H996" s="647"/>
      <c r="I996" s="583"/>
      <c r="J996" s="583"/>
      <c r="K996" s="583"/>
      <c r="L996" s="583"/>
      <c r="M996" s="583"/>
      <c r="N996" s="583"/>
      <c r="O996" s="583"/>
      <c r="P996" s="583"/>
      <c r="Q996" s="583"/>
      <c r="R996" s="583"/>
      <c r="S996" s="583"/>
      <c r="T996" s="583"/>
      <c r="U996" s="583"/>
      <c r="V996" s="583"/>
      <c r="W996" s="583"/>
      <c r="X996" s="583"/>
      <c r="Y996" s="583"/>
      <c r="Z996" s="583"/>
      <c r="AA996" s="583"/>
      <c r="AB996" s="583"/>
      <c r="AC996" s="583"/>
      <c r="AD996" s="583"/>
      <c r="AE996" s="583"/>
      <c r="AF996" s="583"/>
    </row>
    <row r="997" ht="19.5" customHeight="1">
      <c r="A997" s="647"/>
      <c r="B997" s="647"/>
      <c r="C997" s="647"/>
      <c r="D997" s="649"/>
      <c r="E997" s="647"/>
      <c r="F997" s="649"/>
      <c r="G997" s="649"/>
      <c r="H997" s="647"/>
      <c r="I997" s="583"/>
      <c r="J997" s="583"/>
      <c r="K997" s="583"/>
      <c r="L997" s="583"/>
      <c r="M997" s="583"/>
      <c r="N997" s="583"/>
      <c r="O997" s="583"/>
      <c r="P997" s="583"/>
      <c r="Q997" s="583"/>
      <c r="R997" s="583"/>
      <c r="S997" s="583"/>
      <c r="T997" s="583"/>
      <c r="U997" s="583"/>
      <c r="V997" s="583"/>
      <c r="W997" s="583"/>
      <c r="X997" s="583"/>
      <c r="Y997" s="583"/>
      <c r="Z997" s="583"/>
      <c r="AA997" s="583"/>
      <c r="AB997" s="583"/>
      <c r="AC997" s="583"/>
      <c r="AD997" s="583"/>
      <c r="AE997" s="583"/>
      <c r="AF997" s="583"/>
    </row>
    <row r="998" ht="19.5" customHeight="1">
      <c r="A998" s="647"/>
      <c r="B998" s="647"/>
      <c r="C998" s="647"/>
      <c r="D998" s="649"/>
      <c r="E998" s="647"/>
      <c r="F998" s="649"/>
      <c r="G998" s="649"/>
      <c r="H998" s="647"/>
      <c r="I998" s="583"/>
      <c r="J998" s="583"/>
      <c r="K998" s="583"/>
      <c r="L998" s="583"/>
      <c r="M998" s="583"/>
      <c r="N998" s="583"/>
      <c r="O998" s="583"/>
      <c r="P998" s="583"/>
      <c r="Q998" s="583"/>
      <c r="R998" s="583"/>
      <c r="S998" s="583"/>
      <c r="T998" s="583"/>
      <c r="U998" s="583"/>
      <c r="V998" s="583"/>
      <c r="W998" s="583"/>
      <c r="X998" s="583"/>
      <c r="Y998" s="583"/>
      <c r="Z998" s="583"/>
      <c r="AA998" s="583"/>
      <c r="AB998" s="583"/>
      <c r="AC998" s="583"/>
      <c r="AD998" s="583"/>
      <c r="AE998" s="583"/>
      <c r="AF998" s="583"/>
    </row>
    <row r="999" ht="19.5" customHeight="1">
      <c r="A999" s="647"/>
      <c r="B999" s="647"/>
      <c r="C999" s="647"/>
      <c r="D999" s="649"/>
      <c r="E999" s="647"/>
      <c r="F999" s="649"/>
      <c r="G999" s="649"/>
      <c r="H999" s="647"/>
      <c r="I999" s="583"/>
      <c r="J999" s="583"/>
      <c r="K999" s="583"/>
      <c r="L999" s="583"/>
      <c r="M999" s="583"/>
      <c r="N999" s="583"/>
      <c r="O999" s="583"/>
      <c r="P999" s="583"/>
      <c r="Q999" s="583"/>
      <c r="R999" s="583"/>
      <c r="S999" s="583"/>
      <c r="T999" s="583"/>
      <c r="U999" s="583"/>
      <c r="V999" s="583"/>
      <c r="W999" s="583"/>
      <c r="X999" s="583"/>
      <c r="Y999" s="583"/>
      <c r="Z999" s="583"/>
      <c r="AA999" s="583"/>
      <c r="AB999" s="583"/>
      <c r="AC999" s="583"/>
      <c r="AD999" s="583"/>
      <c r="AE999" s="583"/>
      <c r="AF999" s="583"/>
    </row>
    <row r="1000" ht="19.5" customHeight="1">
      <c r="A1000" s="647"/>
      <c r="B1000" s="647"/>
      <c r="C1000" s="647"/>
      <c r="D1000" s="649"/>
      <c r="E1000" s="647"/>
      <c r="F1000" s="649"/>
      <c r="G1000" s="649"/>
      <c r="H1000" s="647"/>
      <c r="I1000" s="583"/>
      <c r="J1000" s="583"/>
      <c r="K1000" s="583"/>
      <c r="L1000" s="583"/>
      <c r="M1000" s="583"/>
      <c r="N1000" s="583"/>
      <c r="O1000" s="583"/>
      <c r="P1000" s="583"/>
      <c r="Q1000" s="583"/>
      <c r="R1000" s="583"/>
      <c r="S1000" s="583"/>
      <c r="T1000" s="583"/>
      <c r="U1000" s="583"/>
      <c r="V1000" s="583"/>
      <c r="W1000" s="583"/>
      <c r="X1000" s="583"/>
      <c r="Y1000" s="583"/>
      <c r="Z1000" s="583"/>
      <c r="AA1000" s="583"/>
      <c r="AB1000" s="583"/>
      <c r="AC1000" s="583"/>
      <c r="AD1000" s="583"/>
      <c r="AE1000" s="583"/>
      <c r="AF1000" s="583"/>
    </row>
    <row r="1001" ht="19.5" customHeight="1">
      <c r="A1001" s="647"/>
      <c r="B1001" s="647"/>
      <c r="C1001" s="647"/>
      <c r="D1001" s="649"/>
      <c r="E1001" s="647"/>
      <c r="F1001" s="649"/>
      <c r="G1001" s="649"/>
      <c r="H1001" s="647"/>
      <c r="I1001" s="583"/>
      <c r="J1001" s="583"/>
      <c r="K1001" s="583"/>
      <c r="L1001" s="583"/>
      <c r="M1001" s="583"/>
      <c r="N1001" s="583"/>
      <c r="O1001" s="583"/>
      <c r="P1001" s="583"/>
      <c r="Q1001" s="583"/>
      <c r="R1001" s="583"/>
      <c r="S1001" s="583"/>
      <c r="T1001" s="583"/>
      <c r="U1001" s="583"/>
      <c r="V1001" s="583"/>
      <c r="W1001" s="583"/>
      <c r="X1001" s="583"/>
      <c r="Y1001" s="583"/>
      <c r="Z1001" s="583"/>
      <c r="AA1001" s="583"/>
      <c r="AB1001" s="583"/>
      <c r="AC1001" s="583"/>
      <c r="AD1001" s="583"/>
      <c r="AE1001" s="583"/>
      <c r="AF1001" s="583"/>
    </row>
    <row r="1002" ht="19.5" customHeight="1">
      <c r="A1002" s="647"/>
      <c r="B1002" s="647"/>
      <c r="C1002" s="647"/>
      <c r="D1002" s="649"/>
      <c r="E1002" s="647"/>
      <c r="F1002" s="649"/>
      <c r="G1002" s="649"/>
      <c r="H1002" s="647"/>
      <c r="I1002" s="583"/>
      <c r="J1002" s="583"/>
      <c r="K1002" s="583"/>
      <c r="L1002" s="583"/>
      <c r="M1002" s="583"/>
      <c r="N1002" s="583"/>
      <c r="O1002" s="583"/>
      <c r="P1002" s="583"/>
      <c r="Q1002" s="583"/>
      <c r="R1002" s="583"/>
      <c r="S1002" s="583"/>
      <c r="T1002" s="583"/>
      <c r="U1002" s="583"/>
      <c r="V1002" s="583"/>
      <c r="W1002" s="583"/>
      <c r="X1002" s="583"/>
      <c r="Y1002" s="583"/>
      <c r="Z1002" s="583"/>
      <c r="AA1002" s="583"/>
      <c r="AB1002" s="583"/>
      <c r="AC1002" s="583"/>
      <c r="AD1002" s="583"/>
      <c r="AE1002" s="583"/>
      <c r="AF1002" s="583"/>
    </row>
    <row r="1003" ht="19.5" customHeight="1">
      <c r="A1003" s="647"/>
      <c r="B1003" s="647"/>
      <c r="C1003" s="647"/>
      <c r="D1003" s="649"/>
      <c r="E1003" s="647"/>
      <c r="F1003" s="649"/>
      <c r="G1003" s="649"/>
      <c r="H1003" s="647"/>
      <c r="I1003" s="583"/>
      <c r="J1003" s="583"/>
      <c r="K1003" s="583"/>
      <c r="L1003" s="583"/>
      <c r="M1003" s="583"/>
      <c r="N1003" s="583"/>
      <c r="O1003" s="583"/>
      <c r="P1003" s="583"/>
      <c r="Q1003" s="583"/>
      <c r="R1003" s="583"/>
      <c r="S1003" s="583"/>
      <c r="T1003" s="583"/>
      <c r="U1003" s="583"/>
      <c r="V1003" s="583"/>
      <c r="W1003" s="583"/>
      <c r="X1003" s="583"/>
      <c r="Y1003" s="583"/>
      <c r="Z1003" s="583"/>
      <c r="AA1003" s="583"/>
      <c r="AB1003" s="583"/>
      <c r="AC1003" s="583"/>
      <c r="AD1003" s="583"/>
      <c r="AE1003" s="583"/>
      <c r="AF1003" s="583"/>
    </row>
    <row r="1004" ht="19.5" customHeight="1">
      <c r="A1004" s="647"/>
      <c r="B1004" s="647"/>
      <c r="C1004" s="647"/>
      <c r="D1004" s="649"/>
      <c r="E1004" s="647"/>
      <c r="F1004" s="649"/>
      <c r="G1004" s="649"/>
      <c r="H1004" s="647"/>
      <c r="I1004" s="583"/>
      <c r="J1004" s="583"/>
      <c r="K1004" s="583"/>
      <c r="L1004" s="583"/>
      <c r="M1004" s="583"/>
      <c r="N1004" s="583"/>
      <c r="O1004" s="583"/>
      <c r="P1004" s="583"/>
      <c r="Q1004" s="583"/>
      <c r="R1004" s="583"/>
      <c r="S1004" s="583"/>
      <c r="T1004" s="583"/>
      <c r="U1004" s="583"/>
      <c r="V1004" s="583"/>
      <c r="W1004" s="583"/>
      <c r="X1004" s="583"/>
      <c r="Y1004" s="583"/>
      <c r="Z1004" s="583"/>
      <c r="AA1004" s="583"/>
      <c r="AB1004" s="583"/>
      <c r="AC1004" s="583"/>
      <c r="AD1004" s="583"/>
      <c r="AE1004" s="583"/>
      <c r="AF1004" s="583"/>
    </row>
    <row r="1005" ht="19.5" customHeight="1">
      <c r="A1005" s="647"/>
      <c r="B1005" s="647"/>
      <c r="C1005" s="647"/>
      <c r="D1005" s="649"/>
      <c r="E1005" s="647"/>
      <c r="F1005" s="649"/>
      <c r="G1005" s="649"/>
      <c r="H1005" s="647"/>
      <c r="I1005" s="583"/>
      <c r="J1005" s="583"/>
      <c r="K1005" s="583"/>
      <c r="L1005" s="583"/>
      <c r="M1005" s="583"/>
      <c r="N1005" s="583"/>
      <c r="O1005" s="583"/>
      <c r="P1005" s="583"/>
      <c r="Q1005" s="583"/>
      <c r="R1005" s="583"/>
      <c r="S1005" s="583"/>
      <c r="T1005" s="583"/>
      <c r="U1005" s="583"/>
      <c r="V1005" s="583"/>
      <c r="W1005" s="583"/>
      <c r="X1005" s="583"/>
      <c r="Y1005" s="583"/>
      <c r="Z1005" s="583"/>
      <c r="AA1005" s="583"/>
      <c r="AB1005" s="583"/>
      <c r="AC1005" s="583"/>
      <c r="AD1005" s="583"/>
      <c r="AE1005" s="583"/>
      <c r="AF1005" s="583"/>
    </row>
    <row r="1006" ht="19.5" customHeight="1">
      <c r="A1006" s="647"/>
      <c r="B1006" s="647"/>
      <c r="C1006" s="647"/>
      <c r="D1006" s="649"/>
      <c r="E1006" s="647"/>
      <c r="F1006" s="649"/>
      <c r="G1006" s="649"/>
      <c r="H1006" s="647"/>
      <c r="I1006" s="583"/>
      <c r="J1006" s="583"/>
      <c r="K1006" s="583"/>
      <c r="L1006" s="583"/>
      <c r="M1006" s="583"/>
      <c r="N1006" s="583"/>
      <c r="O1006" s="583"/>
      <c r="P1006" s="583"/>
      <c r="Q1006" s="583"/>
      <c r="R1006" s="583"/>
      <c r="S1006" s="583"/>
      <c r="T1006" s="583"/>
      <c r="U1006" s="583"/>
      <c r="V1006" s="583"/>
      <c r="W1006" s="583"/>
      <c r="X1006" s="583"/>
      <c r="Y1006" s="583"/>
      <c r="Z1006" s="583"/>
      <c r="AA1006" s="583"/>
      <c r="AB1006" s="583"/>
      <c r="AC1006" s="583"/>
      <c r="AD1006" s="583"/>
      <c r="AE1006" s="583"/>
      <c r="AF1006" s="583"/>
    </row>
    <row r="1007" ht="19.5" customHeight="1">
      <c r="A1007" s="647"/>
      <c r="B1007" s="647"/>
      <c r="C1007" s="647"/>
      <c r="D1007" s="649"/>
      <c r="E1007" s="647"/>
      <c r="F1007" s="649"/>
      <c r="G1007" s="649"/>
      <c r="H1007" s="647"/>
      <c r="I1007" s="583"/>
      <c r="J1007" s="583"/>
      <c r="K1007" s="583"/>
      <c r="L1007" s="583"/>
      <c r="M1007" s="583"/>
      <c r="N1007" s="583"/>
      <c r="O1007" s="583"/>
      <c r="P1007" s="583"/>
      <c r="Q1007" s="583"/>
      <c r="R1007" s="583"/>
      <c r="S1007" s="583"/>
      <c r="T1007" s="583"/>
      <c r="U1007" s="583"/>
      <c r="V1007" s="583"/>
      <c r="W1007" s="583"/>
      <c r="X1007" s="583"/>
      <c r="Y1007" s="583"/>
      <c r="Z1007" s="583"/>
      <c r="AA1007" s="583"/>
      <c r="AB1007" s="583"/>
      <c r="AC1007" s="583"/>
      <c r="AD1007" s="583"/>
      <c r="AE1007" s="583"/>
      <c r="AF1007" s="583"/>
    </row>
    <row r="1008" ht="19.5" customHeight="1">
      <c r="A1008" s="647"/>
      <c r="B1008" s="647"/>
      <c r="C1008" s="647"/>
      <c r="D1008" s="649"/>
      <c r="E1008" s="647"/>
      <c r="F1008" s="649"/>
      <c r="G1008" s="649"/>
      <c r="H1008" s="647"/>
      <c r="I1008" s="583"/>
      <c r="J1008" s="583"/>
      <c r="K1008" s="583"/>
      <c r="L1008" s="583"/>
      <c r="M1008" s="583"/>
      <c r="N1008" s="583"/>
      <c r="O1008" s="583"/>
      <c r="P1008" s="583"/>
      <c r="Q1008" s="583"/>
      <c r="R1008" s="583"/>
      <c r="S1008" s="583"/>
      <c r="T1008" s="583"/>
      <c r="U1008" s="583"/>
      <c r="V1008" s="583"/>
      <c r="W1008" s="583"/>
      <c r="X1008" s="583"/>
      <c r="Y1008" s="583"/>
      <c r="Z1008" s="583"/>
      <c r="AA1008" s="583"/>
      <c r="AB1008" s="583"/>
      <c r="AC1008" s="583"/>
      <c r="AD1008" s="583"/>
      <c r="AE1008" s="583"/>
      <c r="AF1008" s="583"/>
    </row>
    <row r="1009" ht="19.5" customHeight="1">
      <c r="A1009" s="647"/>
      <c r="B1009" s="647"/>
      <c r="C1009" s="647"/>
      <c r="D1009" s="649"/>
      <c r="E1009" s="647"/>
      <c r="F1009" s="649"/>
      <c r="G1009" s="649"/>
      <c r="H1009" s="647"/>
      <c r="I1009" s="583"/>
      <c r="J1009" s="583"/>
      <c r="K1009" s="583"/>
      <c r="L1009" s="583"/>
      <c r="M1009" s="583"/>
      <c r="N1009" s="583"/>
      <c r="O1009" s="583"/>
      <c r="P1009" s="583"/>
      <c r="Q1009" s="583"/>
      <c r="R1009" s="583"/>
      <c r="S1009" s="583"/>
      <c r="T1009" s="583"/>
      <c r="U1009" s="583"/>
      <c r="V1009" s="583"/>
      <c r="W1009" s="583"/>
      <c r="X1009" s="583"/>
      <c r="Y1009" s="583"/>
      <c r="Z1009" s="583"/>
      <c r="AA1009" s="583"/>
      <c r="AB1009" s="583"/>
      <c r="AC1009" s="583"/>
      <c r="AD1009" s="583"/>
      <c r="AE1009" s="583"/>
      <c r="AF1009" s="583"/>
    </row>
    <row r="1010" ht="19.5" customHeight="1">
      <c r="A1010" s="647"/>
      <c r="B1010" s="647"/>
      <c r="C1010" s="647"/>
      <c r="D1010" s="649"/>
      <c r="E1010" s="647"/>
      <c r="F1010" s="649"/>
      <c r="G1010" s="649"/>
      <c r="H1010" s="647"/>
      <c r="I1010" s="583"/>
      <c r="J1010" s="583"/>
      <c r="K1010" s="583"/>
      <c r="L1010" s="583"/>
      <c r="M1010" s="583"/>
      <c r="N1010" s="583"/>
      <c r="O1010" s="583"/>
      <c r="P1010" s="583"/>
      <c r="Q1010" s="583"/>
      <c r="R1010" s="583"/>
      <c r="S1010" s="583"/>
      <c r="T1010" s="583"/>
      <c r="U1010" s="583"/>
      <c r="V1010" s="583"/>
      <c r="W1010" s="583"/>
      <c r="X1010" s="583"/>
      <c r="Y1010" s="583"/>
      <c r="Z1010" s="583"/>
      <c r="AA1010" s="583"/>
      <c r="AB1010" s="583"/>
      <c r="AC1010" s="583"/>
      <c r="AD1010" s="583"/>
      <c r="AE1010" s="583"/>
      <c r="AF1010" s="583"/>
    </row>
    <row r="1011" ht="19.5" customHeight="1">
      <c r="A1011" s="647"/>
      <c r="B1011" s="647"/>
      <c r="C1011" s="647"/>
      <c r="D1011" s="649"/>
      <c r="E1011" s="647"/>
      <c r="F1011" s="649"/>
      <c r="G1011" s="649"/>
      <c r="H1011" s="647"/>
      <c r="I1011" s="583"/>
      <c r="J1011" s="583"/>
      <c r="K1011" s="583"/>
      <c r="L1011" s="583"/>
      <c r="M1011" s="583"/>
      <c r="N1011" s="583"/>
      <c r="O1011" s="583"/>
      <c r="P1011" s="583"/>
      <c r="Q1011" s="583"/>
      <c r="R1011" s="583"/>
      <c r="S1011" s="583"/>
      <c r="T1011" s="583"/>
      <c r="U1011" s="583"/>
      <c r="V1011" s="583"/>
      <c r="W1011" s="583"/>
      <c r="X1011" s="583"/>
      <c r="Y1011" s="583"/>
      <c r="Z1011" s="583"/>
      <c r="AA1011" s="583"/>
      <c r="AB1011" s="583"/>
      <c r="AC1011" s="583"/>
      <c r="AD1011" s="583"/>
      <c r="AE1011" s="583"/>
      <c r="AF1011" s="583"/>
    </row>
    <row r="1012" ht="19.5" customHeight="1">
      <c r="A1012" s="647"/>
      <c r="B1012" s="647"/>
      <c r="C1012" s="647"/>
      <c r="D1012" s="649"/>
      <c r="E1012" s="647"/>
      <c r="F1012" s="649"/>
      <c r="G1012" s="649"/>
      <c r="H1012" s="647"/>
      <c r="I1012" s="583"/>
      <c r="J1012" s="583"/>
      <c r="K1012" s="583"/>
      <c r="L1012" s="583"/>
      <c r="M1012" s="583"/>
      <c r="N1012" s="583"/>
      <c r="O1012" s="583"/>
      <c r="P1012" s="583"/>
      <c r="Q1012" s="583"/>
      <c r="R1012" s="583"/>
      <c r="S1012" s="583"/>
      <c r="T1012" s="583"/>
      <c r="U1012" s="583"/>
      <c r="V1012" s="583"/>
      <c r="W1012" s="583"/>
      <c r="X1012" s="583"/>
      <c r="Y1012" s="583"/>
      <c r="Z1012" s="583"/>
      <c r="AA1012" s="583"/>
      <c r="AB1012" s="583"/>
      <c r="AC1012" s="583"/>
      <c r="AD1012" s="583"/>
      <c r="AE1012" s="583"/>
      <c r="AF1012" s="583"/>
    </row>
    <row r="1013" ht="19.5" customHeight="1">
      <c r="A1013" s="647"/>
      <c r="B1013" s="647"/>
      <c r="C1013" s="647"/>
      <c r="D1013" s="649"/>
      <c r="E1013" s="647"/>
      <c r="F1013" s="649"/>
      <c r="G1013" s="649"/>
      <c r="H1013" s="647"/>
      <c r="I1013" s="583"/>
      <c r="J1013" s="583"/>
      <c r="K1013" s="583"/>
      <c r="L1013" s="583"/>
      <c r="M1013" s="583"/>
      <c r="N1013" s="583"/>
      <c r="O1013" s="583"/>
      <c r="P1013" s="583"/>
      <c r="Q1013" s="583"/>
      <c r="R1013" s="583"/>
      <c r="S1013" s="583"/>
      <c r="T1013" s="583"/>
      <c r="U1013" s="583"/>
      <c r="V1013" s="583"/>
      <c r="W1013" s="583"/>
      <c r="X1013" s="583"/>
      <c r="Y1013" s="583"/>
      <c r="Z1013" s="583"/>
      <c r="AA1013" s="583"/>
      <c r="AB1013" s="583"/>
      <c r="AC1013" s="583"/>
      <c r="AD1013" s="583"/>
      <c r="AE1013" s="583"/>
      <c r="AF1013" s="583"/>
    </row>
    <row r="1014" ht="19.5" customHeight="1">
      <c r="A1014" s="647"/>
      <c r="B1014" s="647"/>
      <c r="C1014" s="647"/>
      <c r="D1014" s="649"/>
      <c r="E1014" s="647"/>
      <c r="F1014" s="649"/>
      <c r="G1014" s="649"/>
      <c r="H1014" s="647"/>
      <c r="I1014" s="583"/>
      <c r="J1014" s="583"/>
      <c r="K1014" s="583"/>
      <c r="L1014" s="583"/>
      <c r="M1014" s="583"/>
      <c r="N1014" s="583"/>
      <c r="O1014" s="583"/>
      <c r="P1014" s="583"/>
      <c r="Q1014" s="583"/>
      <c r="R1014" s="583"/>
      <c r="S1014" s="583"/>
      <c r="T1014" s="583"/>
      <c r="U1014" s="583"/>
      <c r="V1014" s="583"/>
      <c r="W1014" s="583"/>
      <c r="X1014" s="583"/>
      <c r="Y1014" s="583"/>
      <c r="Z1014" s="583"/>
      <c r="AA1014" s="583"/>
      <c r="AB1014" s="583"/>
      <c r="AC1014" s="583"/>
      <c r="AD1014" s="583"/>
      <c r="AE1014" s="583"/>
      <c r="AF1014" s="583"/>
    </row>
    <row r="1015" ht="19.5" customHeight="1">
      <c r="A1015" s="647"/>
      <c r="B1015" s="647"/>
      <c r="C1015" s="647"/>
      <c r="D1015" s="649"/>
      <c r="E1015" s="647"/>
      <c r="F1015" s="649"/>
      <c r="G1015" s="649"/>
      <c r="H1015" s="647"/>
      <c r="I1015" s="583"/>
      <c r="J1015" s="583"/>
      <c r="K1015" s="583"/>
      <c r="L1015" s="583"/>
      <c r="M1015" s="583"/>
      <c r="N1015" s="583"/>
      <c r="O1015" s="583"/>
      <c r="P1015" s="583"/>
      <c r="Q1015" s="583"/>
      <c r="R1015" s="583"/>
      <c r="S1015" s="583"/>
      <c r="T1015" s="583"/>
      <c r="U1015" s="583"/>
      <c r="V1015" s="583"/>
      <c r="W1015" s="583"/>
      <c r="X1015" s="583"/>
      <c r="Y1015" s="583"/>
      <c r="Z1015" s="583"/>
      <c r="AA1015" s="583"/>
      <c r="AB1015" s="583"/>
      <c r="AC1015" s="583"/>
      <c r="AD1015" s="583"/>
      <c r="AE1015" s="583"/>
      <c r="AF1015" s="583"/>
    </row>
    <row r="1016" ht="19.5" customHeight="1">
      <c r="A1016" s="647"/>
      <c r="B1016" s="647"/>
      <c r="C1016" s="647"/>
      <c r="D1016" s="649"/>
      <c r="E1016" s="647"/>
      <c r="F1016" s="649"/>
      <c r="G1016" s="649"/>
      <c r="H1016" s="647"/>
      <c r="I1016" s="583"/>
      <c r="J1016" s="583"/>
      <c r="K1016" s="583"/>
      <c r="L1016" s="583"/>
      <c r="M1016" s="583"/>
      <c r="N1016" s="583"/>
      <c r="O1016" s="583"/>
      <c r="P1016" s="583"/>
      <c r="Q1016" s="583"/>
      <c r="R1016" s="583"/>
      <c r="S1016" s="583"/>
      <c r="T1016" s="583"/>
      <c r="U1016" s="583"/>
      <c r="V1016" s="583"/>
      <c r="W1016" s="583"/>
      <c r="X1016" s="583"/>
      <c r="Y1016" s="583"/>
      <c r="Z1016" s="583"/>
      <c r="AA1016" s="583"/>
      <c r="AB1016" s="583"/>
      <c r="AC1016" s="583"/>
      <c r="AD1016" s="583"/>
      <c r="AE1016" s="583"/>
      <c r="AF1016" s="583"/>
    </row>
    <row r="1017" ht="19.5" customHeight="1">
      <c r="A1017" s="647"/>
      <c r="B1017" s="647"/>
      <c r="C1017" s="647"/>
      <c r="D1017" s="649"/>
      <c r="E1017" s="647"/>
      <c r="F1017" s="649"/>
      <c r="G1017" s="649"/>
      <c r="H1017" s="647"/>
      <c r="I1017" s="583"/>
      <c r="J1017" s="583"/>
      <c r="K1017" s="583"/>
      <c r="L1017" s="583"/>
      <c r="M1017" s="583"/>
      <c r="N1017" s="583"/>
      <c r="O1017" s="583"/>
      <c r="P1017" s="583"/>
      <c r="Q1017" s="583"/>
      <c r="R1017" s="583"/>
      <c r="S1017" s="583"/>
      <c r="T1017" s="583"/>
      <c r="U1017" s="583"/>
      <c r="V1017" s="583"/>
      <c r="W1017" s="583"/>
      <c r="X1017" s="583"/>
      <c r="Y1017" s="583"/>
      <c r="Z1017" s="583"/>
      <c r="AA1017" s="583"/>
      <c r="AB1017" s="583"/>
      <c r="AC1017" s="583"/>
      <c r="AD1017" s="583"/>
      <c r="AE1017" s="583"/>
      <c r="AF1017" s="583"/>
    </row>
    <row r="1018" ht="19.5" customHeight="1">
      <c r="A1018" s="647"/>
      <c r="B1018" s="647"/>
      <c r="C1018" s="647"/>
      <c r="D1018" s="649"/>
      <c r="E1018" s="647"/>
      <c r="F1018" s="649"/>
      <c r="G1018" s="649"/>
      <c r="H1018" s="647"/>
      <c r="I1018" s="583"/>
      <c r="J1018" s="583"/>
      <c r="K1018" s="583"/>
      <c r="L1018" s="583"/>
      <c r="M1018" s="583"/>
      <c r="N1018" s="583"/>
      <c r="O1018" s="583"/>
      <c r="P1018" s="583"/>
      <c r="Q1018" s="583"/>
      <c r="R1018" s="583"/>
      <c r="S1018" s="583"/>
      <c r="T1018" s="583"/>
      <c r="U1018" s="583"/>
      <c r="V1018" s="583"/>
      <c r="W1018" s="583"/>
      <c r="X1018" s="583"/>
      <c r="Y1018" s="583"/>
      <c r="Z1018" s="583"/>
      <c r="AA1018" s="583"/>
      <c r="AB1018" s="583"/>
      <c r="AC1018" s="583"/>
      <c r="AD1018" s="583"/>
      <c r="AE1018" s="583"/>
      <c r="AF1018" s="583"/>
    </row>
    <row r="1019" ht="19.5" customHeight="1">
      <c r="A1019" s="647"/>
      <c r="B1019" s="647"/>
      <c r="C1019" s="647"/>
      <c r="D1019" s="649"/>
      <c r="E1019" s="647"/>
      <c r="F1019" s="649"/>
      <c r="G1019" s="649"/>
      <c r="H1019" s="647"/>
      <c r="I1019" s="583"/>
      <c r="J1019" s="583"/>
      <c r="K1019" s="583"/>
      <c r="L1019" s="583"/>
      <c r="M1019" s="583"/>
      <c r="N1019" s="583"/>
      <c r="O1019" s="583"/>
      <c r="P1019" s="583"/>
      <c r="Q1019" s="583"/>
      <c r="R1019" s="583"/>
      <c r="S1019" s="583"/>
      <c r="T1019" s="583"/>
      <c r="U1019" s="583"/>
      <c r="V1019" s="583"/>
      <c r="W1019" s="583"/>
      <c r="X1019" s="583"/>
      <c r="Y1019" s="583"/>
      <c r="Z1019" s="583"/>
      <c r="AA1019" s="583"/>
      <c r="AB1019" s="583"/>
      <c r="AC1019" s="583"/>
      <c r="AD1019" s="583"/>
      <c r="AE1019" s="583"/>
      <c r="AF1019" s="583"/>
    </row>
    <row r="1020" ht="19.5" customHeight="1">
      <c r="A1020" s="647"/>
      <c r="B1020" s="647"/>
      <c r="C1020" s="647"/>
      <c r="D1020" s="649"/>
      <c r="E1020" s="647"/>
      <c r="F1020" s="649"/>
      <c r="G1020" s="649"/>
      <c r="H1020" s="647"/>
      <c r="I1020" s="583"/>
      <c r="J1020" s="583"/>
      <c r="K1020" s="583"/>
      <c r="L1020" s="583"/>
      <c r="M1020" s="583"/>
      <c r="N1020" s="583"/>
      <c r="O1020" s="583"/>
      <c r="P1020" s="583"/>
      <c r="Q1020" s="583"/>
      <c r="R1020" s="583"/>
      <c r="S1020" s="583"/>
      <c r="T1020" s="583"/>
      <c r="U1020" s="583"/>
      <c r="V1020" s="583"/>
      <c r="W1020" s="583"/>
      <c r="X1020" s="583"/>
      <c r="Y1020" s="583"/>
      <c r="Z1020" s="583"/>
      <c r="AA1020" s="583"/>
      <c r="AB1020" s="583"/>
      <c r="AC1020" s="583"/>
      <c r="AD1020" s="583"/>
      <c r="AE1020" s="583"/>
      <c r="AF1020" s="583"/>
    </row>
    <row r="1021" ht="19.5" customHeight="1">
      <c r="A1021" s="647"/>
      <c r="B1021" s="647"/>
      <c r="C1021" s="647"/>
      <c r="D1021" s="649"/>
      <c r="E1021" s="647"/>
      <c r="F1021" s="649"/>
      <c r="G1021" s="649"/>
      <c r="H1021" s="647"/>
      <c r="I1021" s="583"/>
      <c r="J1021" s="583"/>
      <c r="K1021" s="583"/>
      <c r="L1021" s="583"/>
      <c r="M1021" s="583"/>
      <c r="N1021" s="583"/>
      <c r="O1021" s="583"/>
      <c r="P1021" s="583"/>
      <c r="Q1021" s="583"/>
      <c r="R1021" s="583"/>
      <c r="S1021" s="583"/>
      <c r="T1021" s="583"/>
      <c r="U1021" s="583"/>
      <c r="V1021" s="583"/>
      <c r="W1021" s="583"/>
      <c r="X1021" s="583"/>
      <c r="Y1021" s="583"/>
      <c r="Z1021" s="583"/>
      <c r="AA1021" s="583"/>
      <c r="AB1021" s="583"/>
      <c r="AC1021" s="583"/>
      <c r="AD1021" s="583"/>
      <c r="AE1021" s="583"/>
      <c r="AF1021" s="583"/>
    </row>
    <row r="1022" ht="19.5" customHeight="1">
      <c r="A1022" s="647"/>
      <c r="B1022" s="647"/>
      <c r="C1022" s="647"/>
      <c r="D1022" s="649"/>
      <c r="E1022" s="647"/>
      <c r="F1022" s="649"/>
      <c r="G1022" s="649"/>
      <c r="H1022" s="647"/>
      <c r="I1022" s="583"/>
      <c r="J1022" s="583"/>
      <c r="K1022" s="583"/>
      <c r="L1022" s="583"/>
      <c r="M1022" s="583"/>
      <c r="N1022" s="583"/>
      <c r="O1022" s="583"/>
      <c r="P1022" s="583"/>
      <c r="Q1022" s="583"/>
      <c r="R1022" s="583"/>
      <c r="S1022" s="583"/>
      <c r="T1022" s="583"/>
      <c r="U1022" s="583"/>
      <c r="V1022" s="583"/>
      <c r="W1022" s="583"/>
      <c r="X1022" s="583"/>
      <c r="Y1022" s="583"/>
      <c r="Z1022" s="583"/>
      <c r="AA1022" s="583"/>
      <c r="AB1022" s="583"/>
      <c r="AC1022" s="583"/>
      <c r="AD1022" s="583"/>
      <c r="AE1022" s="583"/>
      <c r="AF1022" s="583"/>
    </row>
  </sheetData>
  <mergeCells count="22">
    <mergeCell ref="D9:H9"/>
    <mergeCell ref="D11:H11"/>
    <mergeCell ref="D12:E12"/>
    <mergeCell ref="D13:H13"/>
    <mergeCell ref="D14:E14"/>
    <mergeCell ref="H46:K46"/>
    <mergeCell ref="H47:K47"/>
    <mergeCell ref="G57:J57"/>
    <mergeCell ref="H60:K60"/>
    <mergeCell ref="H61:K61"/>
    <mergeCell ref="H62:K62"/>
    <mergeCell ref="G63:J63"/>
    <mergeCell ref="G64:J64"/>
    <mergeCell ref="F66:K66"/>
    <mergeCell ref="F67:K68"/>
    <mergeCell ref="H48:K48"/>
    <mergeCell ref="G49:J49"/>
    <mergeCell ref="G50:J50"/>
    <mergeCell ref="H53:K53"/>
    <mergeCell ref="H54:K54"/>
    <mergeCell ref="H55:K55"/>
    <mergeCell ref="G56:J56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0.38"/>
    <col customWidth="1" min="2" max="2" width="2.0"/>
    <col customWidth="1" min="3" max="3" width="0.5"/>
    <col customWidth="1" min="4" max="4" width="14.5"/>
    <col customWidth="1" min="5" max="5" width="10.63"/>
    <col customWidth="1" min="6" max="6" width="4.38"/>
    <col customWidth="1" min="7" max="7" width="4.88"/>
    <col customWidth="1" min="8" max="8" width="0.38"/>
    <col customWidth="1" min="9" max="9" width="5.38"/>
    <col customWidth="1" min="10" max="10" width="8.88"/>
    <col customWidth="1" min="11" max="11" width="4.38"/>
    <col customWidth="1" min="12" max="12" width="5.13"/>
    <col customWidth="1" min="13" max="13" width="5.5"/>
    <col customWidth="1" min="14" max="14" width="4.63"/>
    <col customWidth="1" min="15" max="15" width="5.13"/>
    <col customWidth="1" min="16" max="16" width="4.75"/>
    <col customWidth="1" min="17" max="17" width="31.5"/>
    <col customWidth="1" min="18" max="32" width="9.0"/>
  </cols>
  <sheetData>
    <row r="1" ht="11.25" customHeight="1">
      <c r="A1" s="7"/>
      <c r="B1" s="6"/>
      <c r="C1" s="7"/>
      <c r="D1" s="7"/>
      <c r="E1" s="7"/>
      <c r="F1" s="7"/>
      <c r="G1" s="7"/>
      <c r="H1" s="7"/>
      <c r="I1" s="7"/>
      <c r="J1" s="7"/>
      <c r="K1" s="8"/>
      <c r="L1" s="8"/>
      <c r="M1" s="8"/>
      <c r="N1" s="8"/>
      <c r="O1" s="8"/>
      <c r="P1" s="9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1"/>
      <c r="AE1" s="11"/>
      <c r="AF1" s="11"/>
    </row>
    <row r="2" ht="14.25" customHeight="1">
      <c r="A2" s="14"/>
      <c r="B2" s="651"/>
      <c r="C2" s="14"/>
      <c r="D2" s="14"/>
      <c r="E2" s="14"/>
      <c r="F2" s="14"/>
      <c r="G2" s="14"/>
      <c r="H2" s="14"/>
      <c r="I2" s="14"/>
      <c r="J2" s="14"/>
      <c r="K2" s="15"/>
      <c r="L2" s="15"/>
      <c r="M2" s="15"/>
      <c r="N2" s="15"/>
      <c r="O2" s="15"/>
      <c r="P2" s="16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8"/>
      <c r="AE2" s="18"/>
      <c r="AF2" s="18"/>
    </row>
    <row r="3" ht="19.5" customHeight="1">
      <c r="A3" s="20"/>
      <c r="B3" s="652"/>
      <c r="C3" s="20"/>
      <c r="D3" s="20"/>
      <c r="E3" s="20"/>
      <c r="F3" s="21"/>
      <c r="G3" s="21"/>
      <c r="H3" s="21"/>
      <c r="I3" s="21"/>
      <c r="J3" s="20"/>
      <c r="K3" s="22"/>
      <c r="L3" s="22"/>
      <c r="M3" s="22"/>
      <c r="N3" s="22"/>
      <c r="O3" s="22"/>
      <c r="P3" s="23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5"/>
      <c r="AE3" s="25"/>
      <c r="AF3" s="25"/>
    </row>
    <row r="4" ht="3.0" hidden="1" customHeight="1">
      <c r="A4" s="26"/>
      <c r="B4" s="27"/>
      <c r="C4" s="28"/>
      <c r="D4" s="28"/>
      <c r="E4" s="28"/>
      <c r="F4" s="653"/>
      <c r="G4" s="653"/>
      <c r="H4" s="653"/>
      <c r="I4" s="653"/>
      <c r="J4" s="28"/>
      <c r="K4" s="654"/>
      <c r="L4" s="654"/>
      <c r="M4" s="654"/>
      <c r="N4" s="654"/>
      <c r="O4" s="654"/>
      <c r="P4" s="655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</row>
    <row r="5" ht="3.0" hidden="1" customHeight="1">
      <c r="A5" s="5"/>
      <c r="B5" s="2"/>
      <c r="C5" s="5"/>
      <c r="D5" s="5"/>
      <c r="E5" s="75"/>
      <c r="F5" s="3"/>
      <c r="G5" s="3"/>
      <c r="H5" s="3"/>
      <c r="I5" s="3"/>
      <c r="J5" s="75"/>
      <c r="K5" s="3"/>
      <c r="L5" s="3"/>
      <c r="M5" s="3"/>
      <c r="N5" s="3"/>
      <c r="O5" s="3"/>
      <c r="P5" s="4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</row>
    <row r="6" ht="3.0" hidden="1" customHeight="1">
      <c r="A6" s="5"/>
      <c r="B6" s="2"/>
      <c r="C6" s="5"/>
      <c r="D6" s="5"/>
      <c r="E6" s="75"/>
      <c r="F6" s="3"/>
      <c r="G6" s="3"/>
      <c r="H6" s="3"/>
      <c r="I6" s="3"/>
      <c r="J6" s="75"/>
      <c r="K6" s="3"/>
      <c r="L6" s="3"/>
      <c r="M6" s="3"/>
      <c r="N6" s="3"/>
      <c r="O6" s="3"/>
      <c r="P6" s="4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</row>
    <row r="7" ht="3.0" hidden="1" customHeight="1">
      <c r="A7" s="5"/>
      <c r="B7" s="2"/>
      <c r="C7" s="5"/>
      <c r="D7" s="5"/>
      <c r="E7" s="75"/>
      <c r="F7" s="3"/>
      <c r="G7" s="3"/>
      <c r="H7" s="3"/>
      <c r="I7" s="3"/>
      <c r="J7" s="75"/>
      <c r="K7" s="3"/>
      <c r="L7" s="3"/>
      <c r="M7" s="3"/>
      <c r="N7" s="3"/>
      <c r="O7" s="3"/>
      <c r="P7" s="4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</row>
    <row r="8" ht="3.0" hidden="1" customHeight="1">
      <c r="A8" s="5"/>
      <c r="B8" s="2"/>
      <c r="C8" s="5"/>
      <c r="D8" s="5"/>
      <c r="E8" s="75"/>
      <c r="F8" s="3"/>
      <c r="G8" s="3"/>
      <c r="H8" s="3"/>
      <c r="I8" s="3"/>
      <c r="J8" s="75"/>
      <c r="K8" s="3"/>
      <c r="L8" s="3"/>
      <c r="M8" s="3"/>
      <c r="N8" s="3"/>
      <c r="O8" s="3"/>
      <c r="P8" s="4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</row>
    <row r="9" ht="3.0" hidden="1" customHeight="1">
      <c r="A9" s="5"/>
      <c r="B9" s="2"/>
      <c r="C9" s="5"/>
      <c r="D9" s="5"/>
      <c r="E9" s="75"/>
      <c r="F9" s="3"/>
      <c r="G9" s="3"/>
      <c r="H9" s="3"/>
      <c r="I9" s="3"/>
      <c r="J9" s="75"/>
      <c r="K9" s="3"/>
      <c r="L9" s="3"/>
      <c r="M9" s="3"/>
      <c r="N9" s="3"/>
      <c r="O9" s="3"/>
      <c r="P9" s="4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</row>
    <row r="10" ht="3.0" hidden="1" customHeight="1">
      <c r="A10" s="5"/>
      <c r="B10" s="2"/>
      <c r="C10" s="5"/>
      <c r="D10" s="5"/>
      <c r="E10" s="75"/>
      <c r="F10" s="3"/>
      <c r="G10" s="3"/>
      <c r="H10" s="3"/>
      <c r="I10" s="3"/>
      <c r="J10" s="75"/>
      <c r="K10" s="3"/>
      <c r="L10" s="3"/>
      <c r="M10" s="3"/>
      <c r="N10" s="3"/>
      <c r="O10" s="3"/>
      <c r="P10" s="4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</row>
    <row r="11" ht="3.0" hidden="1" customHeight="1">
      <c r="A11" s="5"/>
      <c r="B11" s="2"/>
      <c r="C11" s="5"/>
      <c r="D11" s="5"/>
      <c r="E11" s="75"/>
      <c r="F11" s="3"/>
      <c r="G11" s="3"/>
      <c r="H11" s="3"/>
      <c r="I11" s="3"/>
      <c r="J11" s="75"/>
      <c r="K11" s="3"/>
      <c r="L11" s="3"/>
      <c r="M11" s="3"/>
      <c r="N11" s="3"/>
      <c r="O11" s="3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</row>
    <row r="12" ht="0.75" hidden="1" customHeight="1">
      <c r="A12" s="5"/>
      <c r="B12" s="2"/>
      <c r="C12" s="5"/>
      <c r="D12" s="5"/>
      <c r="E12" s="75"/>
      <c r="F12" s="3"/>
      <c r="G12" s="3"/>
      <c r="H12" s="3"/>
      <c r="I12" s="3"/>
      <c r="J12" s="75"/>
      <c r="K12" s="3"/>
      <c r="L12" s="3"/>
      <c r="M12" s="3"/>
      <c r="N12" s="3"/>
      <c r="O12" s="3"/>
      <c r="P12" s="4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</row>
    <row r="13" ht="12.75" customHeight="1">
      <c r="A13" s="5"/>
      <c r="B13" s="2"/>
      <c r="C13" s="5"/>
      <c r="D13" s="656" t="s">
        <v>233</v>
      </c>
      <c r="E13" s="75" t="s">
        <v>234</v>
      </c>
      <c r="F13" s="3"/>
      <c r="G13" s="3" t="s">
        <v>235</v>
      </c>
      <c r="H13" s="3"/>
      <c r="I13" s="3"/>
      <c r="J13" s="75"/>
      <c r="K13" s="3"/>
      <c r="L13" s="3"/>
      <c r="M13" s="3"/>
      <c r="N13" s="3"/>
      <c r="O13" s="3"/>
      <c r="P13" s="4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</row>
    <row r="14" ht="15.75" customHeight="1">
      <c r="A14" s="41"/>
      <c r="B14" s="43"/>
      <c r="C14" s="41" t="s">
        <v>236</v>
      </c>
      <c r="D14" s="45">
        <v>260.0</v>
      </c>
      <c r="E14" s="657"/>
      <c r="F14" s="47"/>
      <c r="G14" s="658">
        <v>45834.0</v>
      </c>
      <c r="H14" s="47"/>
      <c r="I14" s="47"/>
      <c r="J14" s="659"/>
      <c r="K14" s="47"/>
      <c r="L14" s="47"/>
      <c r="M14" s="47"/>
      <c r="N14" s="47"/>
      <c r="O14" s="47"/>
      <c r="P14" s="660"/>
    </row>
    <row r="15" ht="15.0" customHeight="1">
      <c r="A15" s="41"/>
      <c r="B15" s="43"/>
      <c r="C15" s="41" t="s">
        <v>237</v>
      </c>
      <c r="D15" s="45">
        <v>180.0</v>
      </c>
      <c r="E15" s="657"/>
      <c r="F15" s="47"/>
      <c r="G15" s="47"/>
      <c r="H15" s="47"/>
      <c r="I15" s="47"/>
      <c r="J15" s="657"/>
      <c r="K15" s="47"/>
      <c r="L15" s="47"/>
      <c r="M15" s="47"/>
      <c r="N15" s="47"/>
      <c r="O15" s="47"/>
      <c r="P15" s="660"/>
    </row>
    <row r="16" ht="15.0" customHeight="1">
      <c r="A16" s="41"/>
      <c r="B16" s="43"/>
      <c r="C16" s="41" t="s">
        <v>238</v>
      </c>
      <c r="D16" s="45">
        <v>335.0</v>
      </c>
      <c r="E16" s="657"/>
      <c r="F16" s="47"/>
      <c r="G16" s="47"/>
      <c r="H16" s="47"/>
      <c r="I16" s="47"/>
      <c r="J16" s="657"/>
      <c r="K16" s="47"/>
      <c r="L16" s="47"/>
      <c r="M16" s="47"/>
      <c r="N16" s="47"/>
      <c r="O16" s="47"/>
      <c r="P16" s="660"/>
    </row>
    <row r="17">
      <c r="A17" s="69"/>
      <c r="B17" s="661"/>
      <c r="C17" s="69" t="s">
        <v>239</v>
      </c>
      <c r="D17" s="662">
        <f>SUM(D14:D16)</f>
        <v>775</v>
      </c>
      <c r="E17" s="657"/>
      <c r="F17" s="47"/>
      <c r="G17" s="47"/>
      <c r="H17" s="47"/>
      <c r="I17" s="47"/>
      <c r="J17" s="657"/>
      <c r="K17" s="47"/>
      <c r="L17" s="47"/>
      <c r="M17" s="47"/>
      <c r="N17" s="47"/>
      <c r="O17" s="47"/>
      <c r="P17" s="660"/>
    </row>
    <row r="18" ht="14.25" hidden="1" customHeight="1">
      <c r="A18" s="5"/>
      <c r="B18" s="2"/>
      <c r="C18" s="5"/>
      <c r="D18" s="5"/>
      <c r="E18" s="75"/>
      <c r="F18" s="3"/>
      <c r="G18" s="3"/>
      <c r="H18" s="3"/>
      <c r="I18" s="3"/>
      <c r="J18" s="75"/>
      <c r="K18" s="3"/>
      <c r="L18" s="3"/>
      <c r="M18" s="3"/>
      <c r="N18" s="3"/>
      <c r="O18" s="3"/>
      <c r="P18" s="4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</row>
    <row r="19" ht="14.25" hidden="1" customHeight="1">
      <c r="A19" s="5"/>
      <c r="B19" s="2"/>
      <c r="C19" s="5"/>
      <c r="D19" s="5"/>
      <c r="E19" s="75"/>
      <c r="F19" s="3"/>
      <c r="G19" s="3"/>
      <c r="H19" s="3"/>
      <c r="I19" s="3"/>
      <c r="J19" s="75"/>
      <c r="K19" s="5"/>
      <c r="L19" s="3"/>
      <c r="M19" s="3"/>
      <c r="N19" s="3"/>
      <c r="O19" s="3"/>
      <c r="P19" s="4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</row>
    <row r="20" ht="14.25" hidden="1" customHeight="1">
      <c r="A20" s="5"/>
      <c r="B20" s="2"/>
      <c r="C20" s="5"/>
      <c r="D20" s="5"/>
      <c r="E20" s="75"/>
      <c r="F20" s="3"/>
      <c r="G20" s="3"/>
      <c r="H20" s="3"/>
      <c r="I20" s="3"/>
      <c r="J20" s="75"/>
      <c r="K20" s="5"/>
      <c r="L20" s="3"/>
      <c r="M20" s="3"/>
      <c r="N20" s="3"/>
      <c r="O20" s="3"/>
      <c r="P20" s="4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</row>
    <row r="21" ht="19.5" hidden="1" customHeight="1">
      <c r="A21" s="5"/>
      <c r="B21" s="2"/>
      <c r="C21" s="5"/>
      <c r="D21" s="663" t="s">
        <v>240</v>
      </c>
      <c r="E21" s="664">
        <v>1.0</v>
      </c>
      <c r="F21" s="665"/>
      <c r="G21" s="666"/>
      <c r="H21" s="665"/>
      <c r="I21" s="667"/>
      <c r="J21" s="668"/>
      <c r="K21" s="669"/>
      <c r="L21" s="453"/>
      <c r="M21" s="453"/>
      <c r="N21" s="453"/>
      <c r="O21" s="3"/>
      <c r="P21" s="4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</row>
    <row r="22" ht="27.0" hidden="1" customHeight="1">
      <c r="A22" s="90"/>
      <c r="B22" s="2"/>
      <c r="C22" s="90"/>
      <c r="D22" s="670"/>
      <c r="E22" s="671"/>
      <c r="F22" s="672" t="s">
        <v>16</v>
      </c>
      <c r="G22" s="673" t="s">
        <v>17</v>
      </c>
      <c r="H22" s="665"/>
      <c r="I22" s="674" t="s">
        <v>18</v>
      </c>
      <c r="J22" s="675" t="s">
        <v>241</v>
      </c>
      <c r="K22" s="676"/>
      <c r="L22" s="676"/>
      <c r="M22" s="676"/>
      <c r="N22" s="676"/>
      <c r="O22" s="122" t="s">
        <v>242</v>
      </c>
      <c r="P22" s="677" t="s">
        <v>243</v>
      </c>
      <c r="Q22" s="678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</row>
    <row r="23" ht="14.25" hidden="1" customHeight="1">
      <c r="A23" s="90"/>
      <c r="B23" s="2"/>
      <c r="C23" s="90"/>
      <c r="D23" s="679" t="s">
        <v>13</v>
      </c>
      <c r="E23" s="671"/>
      <c r="F23" s="680"/>
      <c r="G23" s="681"/>
      <c r="H23" s="665"/>
      <c r="I23" s="681"/>
      <c r="J23" s="675" t="s">
        <v>244</v>
      </c>
      <c r="K23" s="214"/>
      <c r="L23" s="682"/>
      <c r="M23" s="682"/>
      <c r="N23" s="682"/>
      <c r="O23" s="683"/>
      <c r="P23" s="684" t="s">
        <v>245</v>
      </c>
      <c r="Q23" s="68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</row>
    <row r="24" ht="3.75" hidden="1" customHeight="1">
      <c r="A24" s="90"/>
      <c r="B24" s="2"/>
      <c r="C24" s="90"/>
      <c r="D24" s="97"/>
      <c r="E24" s="98"/>
      <c r="F24" s="99"/>
      <c r="G24" s="99"/>
      <c r="H24" s="99"/>
      <c r="I24" s="100"/>
      <c r="J24" s="101"/>
      <c r="K24" s="90"/>
      <c r="L24" s="102"/>
      <c r="M24" s="102"/>
      <c r="N24" s="102"/>
      <c r="O24" s="103"/>
      <c r="P24" s="4"/>
      <c r="Q24" s="90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</row>
    <row r="25" ht="30.0" hidden="1" customHeight="1">
      <c r="A25" s="90"/>
      <c r="B25" s="2"/>
      <c r="C25" s="90"/>
      <c r="D25" s="686"/>
      <c r="E25" s="687" t="s">
        <v>15</v>
      </c>
      <c r="F25" s="688"/>
      <c r="G25" s="688"/>
      <c r="H25" s="688"/>
      <c r="I25" s="689"/>
      <c r="J25" s="690"/>
      <c r="K25" s="691" t="s">
        <v>20</v>
      </c>
      <c r="L25" s="692"/>
      <c r="M25" s="692"/>
      <c r="N25" s="692"/>
      <c r="O25" s="683"/>
      <c r="P25" s="684"/>
      <c r="Q25" s="693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</row>
    <row r="26" ht="19.5" hidden="1" customHeight="1">
      <c r="A26" s="90"/>
      <c r="B26" s="2"/>
      <c r="C26" s="90"/>
      <c r="D26" s="257" t="s">
        <v>25</v>
      </c>
      <c r="E26" s="257" t="s">
        <v>26</v>
      </c>
      <c r="F26" s="694"/>
      <c r="G26" s="694"/>
      <c r="H26" s="694"/>
      <c r="I26" s="695"/>
      <c r="J26" s="696"/>
      <c r="K26" s="697"/>
      <c r="L26" s="692"/>
      <c r="M26" s="692"/>
      <c r="N26" s="692"/>
      <c r="O26" s="683"/>
      <c r="P26" s="684"/>
      <c r="Q26" s="698" t="s">
        <v>30</v>
      </c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</row>
    <row r="27" ht="3.75" hidden="1" customHeight="1">
      <c r="A27" s="90"/>
      <c r="B27" s="2"/>
      <c r="C27" s="90"/>
      <c r="D27" s="97"/>
      <c r="E27" s="98"/>
      <c r="F27" s="99"/>
      <c r="G27" s="99"/>
      <c r="H27" s="99"/>
      <c r="I27" s="100"/>
      <c r="J27" s="101"/>
      <c r="K27" s="90"/>
      <c r="L27" s="102"/>
      <c r="M27" s="102"/>
      <c r="N27" s="102"/>
      <c r="O27" s="699"/>
      <c r="P27" s="684"/>
      <c r="Q27" s="90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</row>
    <row r="28" ht="15.75" hidden="1" customHeight="1">
      <c r="A28" s="124"/>
      <c r="B28" s="2"/>
      <c r="C28" s="124"/>
      <c r="D28" s="185"/>
      <c r="E28" s="260"/>
      <c r="F28" s="187"/>
      <c r="G28" s="187"/>
      <c r="H28" s="187"/>
      <c r="I28" s="164"/>
      <c r="J28" s="266"/>
      <c r="K28" s="183"/>
      <c r="L28" s="183"/>
      <c r="M28" s="183"/>
      <c r="N28" s="183"/>
      <c r="O28" s="699" t="str">
        <f>I28/VLOOKUP(K28,Sheet1!$D$7:$N$16,G28+1,FALSE)</f>
        <v>#N/A</v>
      </c>
      <c r="P28" s="684" t="str">
        <f t="shared" ref="P28:P49" si="1">I28-#REF!</f>
        <v>#REF!</v>
      </c>
      <c r="Q28" s="700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</row>
    <row r="29" ht="3.75" hidden="1" customHeight="1">
      <c r="A29" s="137"/>
      <c r="B29" s="661"/>
      <c r="C29" s="137"/>
      <c r="D29" s="138"/>
      <c r="E29" s="252"/>
      <c r="F29" s="140"/>
      <c r="G29" s="140"/>
      <c r="H29" s="140"/>
      <c r="I29" s="701"/>
      <c r="J29" s="141"/>
      <c r="K29" s="183"/>
      <c r="L29" s="183"/>
      <c r="M29" s="183"/>
      <c r="N29" s="183"/>
      <c r="O29" s="699" t="str">
        <f>I29/VLOOKUP(K29,Sheet1!$D$7:$N$16,G29+1,FALSE)</f>
        <v>#N/A</v>
      </c>
      <c r="P29" s="684" t="str">
        <f t="shared" si="1"/>
        <v>#REF!</v>
      </c>
      <c r="Q29" s="702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</row>
    <row r="30" ht="15.75" hidden="1" customHeight="1">
      <c r="A30" s="149"/>
      <c r="B30" s="703"/>
      <c r="C30" s="149"/>
      <c r="D30" s="704"/>
      <c r="E30" s="260"/>
      <c r="F30" s="187"/>
      <c r="G30" s="187"/>
      <c r="H30" s="187"/>
      <c r="I30" s="164"/>
      <c r="J30" s="266"/>
      <c r="K30" s="183"/>
      <c r="L30" s="183"/>
      <c r="M30" s="183"/>
      <c r="N30" s="183"/>
      <c r="O30" s="699" t="str">
        <f>I30/VLOOKUP(K30,Sheet1!$D$7:$N$16,G30+1,FALSE)</f>
        <v>#N/A</v>
      </c>
      <c r="P30" s="684" t="str">
        <f t="shared" si="1"/>
        <v>#REF!</v>
      </c>
      <c r="Q30" s="702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</row>
    <row r="31" ht="3.75" hidden="1" customHeight="1">
      <c r="A31" s="152"/>
      <c r="B31" s="705"/>
      <c r="C31" s="153"/>
      <c r="D31" s="138"/>
      <c r="E31" s="263"/>
      <c r="F31" s="194"/>
      <c r="G31" s="194"/>
      <c r="H31" s="194"/>
      <c r="I31" s="164"/>
      <c r="J31" s="267"/>
      <c r="K31" s="183"/>
      <c r="L31" s="183"/>
      <c r="M31" s="183"/>
      <c r="N31" s="183"/>
      <c r="O31" s="699" t="str">
        <f>I31/VLOOKUP(K31,Sheet1!$D$7:$N$16,G31+1,FALSE)</f>
        <v>#N/A</v>
      </c>
      <c r="P31" s="684" t="str">
        <f t="shared" si="1"/>
        <v>#REF!</v>
      </c>
      <c r="Q31" s="702"/>
      <c r="R31" s="158"/>
      <c r="S31" s="158"/>
      <c r="T31" s="158"/>
      <c r="U31" s="158"/>
      <c r="V31" s="158"/>
      <c r="W31" s="158"/>
      <c r="X31" s="158"/>
      <c r="Y31" s="158"/>
      <c r="Z31" s="158"/>
      <c r="AA31" s="158"/>
      <c r="AB31" s="158"/>
      <c r="AC31" s="158"/>
      <c r="AD31" s="158"/>
      <c r="AE31" s="158"/>
      <c r="AF31" s="158"/>
    </row>
    <row r="32" ht="15.75" hidden="1" customHeight="1">
      <c r="A32" s="149"/>
      <c r="B32" s="703"/>
      <c r="C32" s="149"/>
      <c r="D32" s="185"/>
      <c r="E32" s="264"/>
      <c r="F32" s="187"/>
      <c r="G32" s="187"/>
      <c r="H32" s="187"/>
      <c r="I32" s="164"/>
      <c r="J32" s="706"/>
      <c r="K32" s="183"/>
      <c r="L32" s="183"/>
      <c r="M32" s="183"/>
      <c r="N32" s="183"/>
      <c r="O32" s="699" t="str">
        <f>I32/VLOOKUP(K32,Sheet1!$D$7:$N$16,G32+1,FALSE)</f>
        <v>#N/A</v>
      </c>
      <c r="P32" s="684" t="str">
        <f t="shared" si="1"/>
        <v>#REF!</v>
      </c>
      <c r="Q32" s="702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</row>
    <row r="33" ht="3.75" hidden="1" customHeight="1">
      <c r="A33" s="162"/>
      <c r="B33" s="707"/>
      <c r="C33" s="162"/>
      <c r="D33" s="138"/>
      <c r="E33" s="708"/>
      <c r="F33" s="140"/>
      <c r="G33" s="140"/>
      <c r="H33" s="140"/>
      <c r="I33" s="701"/>
      <c r="J33" s="141"/>
      <c r="K33" s="183"/>
      <c r="L33" s="183"/>
      <c r="M33" s="183"/>
      <c r="N33" s="183"/>
      <c r="O33" s="699" t="str">
        <f>I33/VLOOKUP(K33,Sheet1!$D$7:$N$16,G33+1,FALSE)</f>
        <v>#N/A</v>
      </c>
      <c r="P33" s="684" t="str">
        <f t="shared" si="1"/>
        <v>#REF!</v>
      </c>
      <c r="Q33" s="702"/>
      <c r="R33" s="148"/>
      <c r="S33" s="148"/>
      <c r="T33" s="148"/>
      <c r="U33" s="148"/>
      <c r="V33" s="148"/>
      <c r="W33" s="148"/>
      <c r="X33" s="148"/>
      <c r="Y33" s="148"/>
      <c r="Z33" s="148"/>
      <c r="AA33" s="148"/>
      <c r="AB33" s="148"/>
      <c r="AC33" s="148"/>
      <c r="AD33" s="148"/>
      <c r="AE33" s="148"/>
      <c r="AF33" s="148"/>
    </row>
    <row r="34" ht="15.75" hidden="1" customHeight="1">
      <c r="A34" s="149"/>
      <c r="B34" s="703"/>
      <c r="C34" s="149"/>
      <c r="D34" s="185"/>
      <c r="E34" s="264"/>
      <c r="F34" s="187"/>
      <c r="G34" s="187"/>
      <c r="H34" s="187"/>
      <c r="I34" s="164"/>
      <c r="J34" s="266"/>
      <c r="K34" s="183"/>
      <c r="L34" s="183"/>
      <c r="M34" s="183"/>
      <c r="N34" s="183"/>
      <c r="O34" s="699" t="str">
        <f>I34/VLOOKUP(K34,Sheet1!$D$7:$N$16,G34+1,FALSE)</f>
        <v>#N/A</v>
      </c>
      <c r="P34" s="684" t="str">
        <f t="shared" si="1"/>
        <v>#REF!</v>
      </c>
      <c r="Q34" s="702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</row>
    <row r="35" ht="3.75" hidden="1" customHeight="1">
      <c r="A35" s="162"/>
      <c r="B35" s="707"/>
      <c r="C35" s="162"/>
      <c r="D35" s="138"/>
      <c r="E35" s="321"/>
      <c r="F35" s="102"/>
      <c r="G35" s="102"/>
      <c r="H35" s="102"/>
      <c r="I35" s="247"/>
      <c r="J35" s="156"/>
      <c r="K35" s="183"/>
      <c r="L35" s="183"/>
      <c r="M35" s="183"/>
      <c r="N35" s="183"/>
      <c r="O35" s="699" t="str">
        <f>I35/VLOOKUP(K35,Sheet1!$D$7:$N$16,G35+1,FALSE)</f>
        <v>#N/A</v>
      </c>
      <c r="P35" s="684" t="str">
        <f t="shared" si="1"/>
        <v>#REF!</v>
      </c>
      <c r="Q35" s="702"/>
      <c r="R35" s="148"/>
      <c r="S35" s="148"/>
      <c r="T35" s="148"/>
      <c r="U35" s="148"/>
      <c r="V35" s="148"/>
      <c r="W35" s="148"/>
      <c r="X35" s="148"/>
      <c r="Y35" s="148"/>
      <c r="Z35" s="148"/>
      <c r="AA35" s="148"/>
      <c r="AB35" s="148"/>
      <c r="AC35" s="148"/>
      <c r="AD35" s="148"/>
      <c r="AE35" s="148"/>
      <c r="AF35" s="148"/>
    </row>
    <row r="36" ht="15.75" hidden="1" customHeight="1">
      <c r="A36" s="90"/>
      <c r="B36" s="2"/>
      <c r="C36" s="90"/>
      <c r="D36" s="185"/>
      <c r="E36" s="264"/>
      <c r="F36" s="187"/>
      <c r="G36" s="187"/>
      <c r="H36" s="187"/>
      <c r="I36" s="164"/>
      <c r="J36" s="706"/>
      <c r="K36" s="183"/>
      <c r="L36" s="183"/>
      <c r="M36" s="183"/>
      <c r="N36" s="183"/>
      <c r="O36" s="699" t="str">
        <f>I36/VLOOKUP(K36,Sheet1!$D$7:$N$16,G36+1,FALSE)</f>
        <v>#N/A</v>
      </c>
      <c r="P36" s="684" t="str">
        <f t="shared" si="1"/>
        <v>#REF!</v>
      </c>
      <c r="Q36" s="702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</row>
    <row r="37" ht="3.75" hidden="1" customHeight="1">
      <c r="A37" s="168"/>
      <c r="B37" s="661"/>
      <c r="C37" s="168"/>
      <c r="D37" s="138"/>
      <c r="E37" s="708"/>
      <c r="F37" s="140"/>
      <c r="G37" s="140"/>
      <c r="H37" s="140"/>
      <c r="I37" s="701"/>
      <c r="J37" s="141"/>
      <c r="K37" s="183"/>
      <c r="L37" s="183"/>
      <c r="M37" s="183"/>
      <c r="N37" s="183"/>
      <c r="O37" s="699" t="str">
        <f>I37/VLOOKUP(K37,Sheet1!$D$7:$N$16,G37+1,FALSE)</f>
        <v>#N/A</v>
      </c>
      <c r="P37" s="684" t="str">
        <f t="shared" si="1"/>
        <v>#REF!</v>
      </c>
      <c r="Q37" s="702"/>
      <c r="R37" s="148"/>
      <c r="S37" s="148"/>
      <c r="T37" s="148"/>
      <c r="U37" s="148"/>
      <c r="V37" s="148"/>
      <c r="W37" s="148"/>
      <c r="X37" s="148"/>
      <c r="Y37" s="148"/>
      <c r="Z37" s="148"/>
      <c r="AA37" s="148"/>
      <c r="AB37" s="148"/>
      <c r="AC37" s="148"/>
      <c r="AD37" s="148"/>
      <c r="AE37" s="148"/>
      <c r="AF37" s="148"/>
    </row>
    <row r="38" ht="15.75" hidden="1" customHeight="1">
      <c r="A38" s="90"/>
      <c r="B38" s="2"/>
      <c r="C38" s="90"/>
      <c r="D38" s="709"/>
      <c r="E38" s="710"/>
      <c r="F38" s="711"/>
      <c r="G38" s="187"/>
      <c r="H38" s="179"/>
      <c r="I38" s="712"/>
      <c r="J38" s="713"/>
      <c r="K38" s="183"/>
      <c r="L38" s="183"/>
      <c r="M38" s="183"/>
      <c r="N38" s="183"/>
      <c r="O38" s="699" t="str">
        <f>I38/VLOOKUP(K38,Sheet1!$D$7:$N$16,G38+1,FALSE)</f>
        <v>#N/A</v>
      </c>
      <c r="P38" s="684" t="str">
        <f t="shared" si="1"/>
        <v>#REF!</v>
      </c>
      <c r="Q38" s="702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</row>
    <row r="39" ht="3.75" hidden="1" customHeight="1">
      <c r="A39" s="90"/>
      <c r="B39" s="2"/>
      <c r="C39" s="90"/>
      <c r="D39" s="171"/>
      <c r="E39" s="714"/>
      <c r="F39" s="173"/>
      <c r="G39" s="173"/>
      <c r="H39" s="715"/>
      <c r="I39" s="716"/>
      <c r="J39" s="174"/>
      <c r="K39" s="183"/>
      <c r="L39" s="183"/>
      <c r="M39" s="183"/>
      <c r="N39" s="183"/>
      <c r="O39" s="699" t="str">
        <f>I39/VLOOKUP(K39,Sheet1!$D$7:$N$16,G39+1,FALSE)</f>
        <v>#N/A</v>
      </c>
      <c r="P39" s="684" t="str">
        <f t="shared" si="1"/>
        <v>#REF!</v>
      </c>
      <c r="Q39" s="702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</row>
    <row r="40" ht="15.75" hidden="1" customHeight="1">
      <c r="A40" s="90"/>
      <c r="B40" s="2"/>
      <c r="C40" s="90"/>
      <c r="D40" s="260"/>
      <c r="E40" s="266"/>
      <c r="F40" s="187"/>
      <c r="G40" s="187"/>
      <c r="H40" s="187"/>
      <c r="I40" s="164"/>
      <c r="J40" s="266"/>
      <c r="K40" s="183"/>
      <c r="L40" s="183"/>
      <c r="M40" s="183"/>
      <c r="N40" s="183"/>
      <c r="O40" s="699" t="str">
        <f>I40/VLOOKUP(K40,Sheet1!$D$7:$N$16,G40+1,FALSE)</f>
        <v>#N/A</v>
      </c>
      <c r="P40" s="684" t="str">
        <f t="shared" si="1"/>
        <v>#REF!</v>
      </c>
      <c r="Q40" s="702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</row>
    <row r="41" ht="3.75" hidden="1" customHeight="1">
      <c r="A41" s="90"/>
      <c r="B41" s="2"/>
      <c r="C41" s="90"/>
      <c r="D41" s="171"/>
      <c r="E41" s="714"/>
      <c r="F41" s="173"/>
      <c r="G41" s="173"/>
      <c r="H41" s="715"/>
      <c r="I41" s="716"/>
      <c r="J41" s="174"/>
      <c r="K41" s="183"/>
      <c r="L41" s="183"/>
      <c r="M41" s="183"/>
      <c r="N41" s="183"/>
      <c r="O41" s="699" t="str">
        <f>I41/VLOOKUP(K41,Sheet1!$D$7:$N$16,G41+1,FALSE)</f>
        <v>#N/A</v>
      </c>
      <c r="P41" s="684" t="str">
        <f t="shared" si="1"/>
        <v>#REF!</v>
      </c>
      <c r="Q41" s="702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</row>
    <row r="42" ht="15.75" hidden="1" customHeight="1">
      <c r="A42" s="90"/>
      <c r="B42" s="2"/>
      <c r="C42" s="90"/>
      <c r="D42" s="709"/>
      <c r="E42" s="710"/>
      <c r="F42" s="711"/>
      <c r="G42" s="187"/>
      <c r="H42" s="179"/>
      <c r="I42" s="717"/>
      <c r="J42" s="713"/>
      <c r="K42" s="183"/>
      <c r="L42" s="183"/>
      <c r="M42" s="183"/>
      <c r="N42" s="183"/>
      <c r="O42" s="699" t="str">
        <f>I42/VLOOKUP(K42,Sheet1!$D$7:$N$16,G42+1,FALSE)</f>
        <v>#N/A</v>
      </c>
      <c r="P42" s="684" t="str">
        <f t="shared" si="1"/>
        <v>#REF!</v>
      </c>
      <c r="Q42" s="702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</row>
    <row r="43" ht="3.75" hidden="1" customHeight="1">
      <c r="A43" s="90"/>
      <c r="B43" s="2"/>
      <c r="C43" s="90"/>
      <c r="D43" s="138"/>
      <c r="E43" s="252"/>
      <c r="F43" s="102"/>
      <c r="G43" s="102"/>
      <c r="H43" s="102"/>
      <c r="I43" s="247"/>
      <c r="J43" s="156"/>
      <c r="K43" s="183"/>
      <c r="L43" s="183"/>
      <c r="M43" s="183"/>
      <c r="N43" s="183"/>
      <c r="O43" s="699" t="str">
        <f>I43/VLOOKUP(K43,Sheet1!$D$7:$N$16,G43+1,FALSE)</f>
        <v>#N/A</v>
      </c>
      <c r="P43" s="684" t="str">
        <f t="shared" si="1"/>
        <v>#REF!</v>
      </c>
      <c r="Q43" s="702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</row>
    <row r="44" ht="15.75" hidden="1" customHeight="1">
      <c r="A44" s="90"/>
      <c r="B44" s="2"/>
      <c r="C44" s="90"/>
      <c r="D44" s="185"/>
      <c r="E44" s="266"/>
      <c r="F44" s="187"/>
      <c r="G44" s="718"/>
      <c r="H44" s="187"/>
      <c r="I44" s="164"/>
      <c r="J44" s="266"/>
      <c r="K44" s="183"/>
      <c r="L44" s="183"/>
      <c r="M44" s="183"/>
      <c r="N44" s="183"/>
      <c r="O44" s="699" t="str">
        <f>I44/VLOOKUP(K44,Sheet1!$D$7:$N$16,G44+1,FALSE)</f>
        <v>#N/A</v>
      </c>
      <c r="P44" s="684" t="str">
        <f t="shared" si="1"/>
        <v>#REF!</v>
      </c>
      <c r="Q44" s="702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</row>
    <row r="45" ht="3.75" hidden="1" customHeight="1">
      <c r="A45" s="191"/>
      <c r="B45" s="719"/>
      <c r="C45" s="192"/>
      <c r="D45" s="138"/>
      <c r="E45" s="267"/>
      <c r="F45" s="194"/>
      <c r="G45" s="194"/>
      <c r="H45" s="194"/>
      <c r="I45" s="164"/>
      <c r="J45" s="267"/>
      <c r="K45" s="183"/>
      <c r="L45" s="183"/>
      <c r="M45" s="183"/>
      <c r="N45" s="183"/>
      <c r="O45" s="699" t="str">
        <f>I45/VLOOKUP(K45,Sheet1!$D$7:$N$16,G45+1,FALSE)</f>
        <v>#N/A</v>
      </c>
      <c r="P45" s="684" t="str">
        <f t="shared" si="1"/>
        <v>#REF!</v>
      </c>
      <c r="Q45" s="702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</row>
    <row r="46" ht="15.75" hidden="1" customHeight="1">
      <c r="A46" s="90"/>
      <c r="B46" s="2"/>
      <c r="C46" s="90"/>
      <c r="D46" s="185"/>
      <c r="E46" s="266"/>
      <c r="F46" s="187"/>
      <c r="G46" s="187"/>
      <c r="H46" s="187"/>
      <c r="I46" s="164"/>
      <c r="J46" s="266"/>
      <c r="K46" s="183"/>
      <c r="L46" s="183"/>
      <c r="M46" s="183"/>
      <c r="N46" s="183"/>
      <c r="O46" s="699" t="str">
        <f>I46/VLOOKUP(K46,Sheet1!$D$7:$N$16,G46+1,FALSE)</f>
        <v>#N/A</v>
      </c>
      <c r="P46" s="684" t="str">
        <f t="shared" si="1"/>
        <v>#REF!</v>
      </c>
      <c r="Q46" s="702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</row>
    <row r="47" ht="3.75" hidden="1" customHeight="1">
      <c r="A47" s="90"/>
      <c r="B47" s="2"/>
      <c r="C47" s="90"/>
      <c r="D47" s="138"/>
      <c r="E47" s="252"/>
      <c r="F47" s="102"/>
      <c r="G47" s="102"/>
      <c r="H47" s="102"/>
      <c r="I47" s="247"/>
      <c r="J47" s="156"/>
      <c r="K47" s="183"/>
      <c r="L47" s="183"/>
      <c r="M47" s="183"/>
      <c r="N47" s="183"/>
      <c r="O47" s="699" t="str">
        <f>I47/VLOOKUP(K47,Sheet1!$D$7:$N$16,G47+1,FALSE)</f>
        <v>#N/A</v>
      </c>
      <c r="P47" s="684" t="str">
        <f t="shared" si="1"/>
        <v>#REF!</v>
      </c>
      <c r="Q47" s="702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</row>
    <row r="48" ht="15.75" hidden="1" customHeight="1">
      <c r="A48" s="90"/>
      <c r="B48" s="2"/>
      <c r="C48" s="90"/>
      <c r="D48" s="185"/>
      <c r="E48" s="266"/>
      <c r="F48" s="187"/>
      <c r="G48" s="187"/>
      <c r="H48" s="187"/>
      <c r="I48" s="164"/>
      <c r="J48" s="266"/>
      <c r="K48" s="183"/>
      <c r="L48" s="183"/>
      <c r="M48" s="183"/>
      <c r="N48" s="183"/>
      <c r="O48" s="699" t="str">
        <f>I48/VLOOKUP(K48,Sheet1!$D$7:$N$16,G48+1,FALSE)</f>
        <v>#N/A</v>
      </c>
      <c r="P48" s="684" t="str">
        <f t="shared" si="1"/>
        <v>#REF!</v>
      </c>
      <c r="Q48" s="697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</row>
    <row r="49" ht="3.75" hidden="1" customHeight="1">
      <c r="A49" s="90"/>
      <c r="B49" s="2"/>
      <c r="C49" s="90"/>
      <c r="D49" s="90"/>
      <c r="E49" s="156"/>
      <c r="F49" s="102"/>
      <c r="G49" s="102"/>
      <c r="H49" s="102"/>
      <c r="I49" s="102"/>
      <c r="J49" s="156"/>
      <c r="K49" s="720"/>
      <c r="L49" s="201"/>
      <c r="M49" s="201"/>
      <c r="N49" s="201"/>
      <c r="O49" s="699" t="str">
        <f>I49/VLOOKUP(K49,Sheet1!$D$7:$N$16,G49+1,FALSE)</f>
        <v>#N/A</v>
      </c>
      <c r="P49" s="684" t="str">
        <f t="shared" si="1"/>
        <v>#REF!</v>
      </c>
      <c r="Q49" s="720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</row>
    <row r="50" ht="30.0" hidden="1" customHeight="1">
      <c r="A50" s="90"/>
      <c r="B50" s="2"/>
      <c r="C50" s="90"/>
      <c r="D50" s="686" t="s">
        <v>246</v>
      </c>
      <c r="E50" s="687" t="s">
        <v>15</v>
      </c>
      <c r="F50" s="721" t="s">
        <v>16</v>
      </c>
      <c r="G50" s="722" t="s">
        <v>17</v>
      </c>
      <c r="H50" s="723"/>
      <c r="I50" s="724"/>
      <c r="J50" s="725" t="s">
        <v>241</v>
      </c>
      <c r="K50" s="691"/>
      <c r="L50" s="692"/>
      <c r="M50" s="692"/>
      <c r="N50" s="692"/>
      <c r="O50" s="699"/>
      <c r="P50" s="684"/>
      <c r="Q50" s="693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</row>
    <row r="51" ht="14.25" hidden="1" customHeight="1">
      <c r="A51" s="90"/>
      <c r="B51" s="2"/>
      <c r="C51" s="90"/>
      <c r="D51" s="257" t="s">
        <v>25</v>
      </c>
      <c r="E51" s="257" t="s">
        <v>26</v>
      </c>
      <c r="F51" s="680"/>
      <c r="G51" s="681"/>
      <c r="H51" s="723"/>
      <c r="I51" s="681"/>
      <c r="J51" s="725" t="s">
        <v>244</v>
      </c>
      <c r="K51" s="697"/>
      <c r="L51" s="692"/>
      <c r="M51" s="692"/>
      <c r="N51" s="692"/>
      <c r="O51" s="699"/>
      <c r="P51" s="684"/>
      <c r="Q51" s="698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</row>
    <row r="52" ht="3.75" hidden="1" customHeight="1">
      <c r="A52" s="191"/>
      <c r="B52" s="719"/>
      <c r="C52" s="192"/>
      <c r="D52" s="203"/>
      <c r="E52" s="203"/>
      <c r="F52" s="726"/>
      <c r="G52" s="726"/>
      <c r="H52" s="726"/>
      <c r="I52" s="727"/>
      <c r="J52" s="728"/>
      <c r="K52" s="192"/>
      <c r="L52" s="194"/>
      <c r="M52" s="194"/>
      <c r="N52" s="194"/>
      <c r="O52" s="699"/>
      <c r="P52" s="684" t="str">
        <f t="shared" ref="P52:P74" si="2">I52-#REF!</f>
        <v>#REF!</v>
      </c>
      <c r="Q52" s="192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D52" s="158"/>
      <c r="AE52" s="158"/>
      <c r="AF52" s="158"/>
    </row>
    <row r="53" ht="15.75" hidden="1" customHeight="1">
      <c r="A53" s="124"/>
      <c r="B53" s="2"/>
      <c r="C53" s="124"/>
      <c r="D53" s="185" t="s">
        <v>6</v>
      </c>
      <c r="E53" s="260"/>
      <c r="F53" s="187">
        <v>2.0</v>
      </c>
      <c r="G53" s="187">
        <v>5.0</v>
      </c>
      <c r="H53" s="187"/>
      <c r="I53" s="729">
        <v>120160.0</v>
      </c>
      <c r="J53" s="266" t="s">
        <v>247</v>
      </c>
      <c r="K53" s="183">
        <v>5.0</v>
      </c>
      <c r="L53" s="183"/>
      <c r="M53" s="183"/>
      <c r="N53" s="183"/>
      <c r="O53" s="699" t="str">
        <f>I53/VLOOKUP(K53,Sheet1!$D$7:$N$16,G53+1,FALSE)</f>
        <v>#N/A</v>
      </c>
      <c r="P53" s="684" t="str">
        <f t="shared" si="2"/>
        <v>#REF!</v>
      </c>
      <c r="Q53" s="730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</row>
    <row r="54" ht="3.75" hidden="1" customHeight="1">
      <c r="A54" s="124"/>
      <c r="B54" s="2"/>
      <c r="C54" s="124"/>
      <c r="D54" s="138"/>
      <c r="E54" s="321"/>
      <c r="F54" s="102"/>
      <c r="G54" s="102"/>
      <c r="H54" s="102"/>
      <c r="I54" s="247"/>
      <c r="J54" s="267"/>
      <c r="K54" s="183"/>
      <c r="L54" s="183"/>
      <c r="M54" s="183"/>
      <c r="N54" s="183"/>
      <c r="O54" s="699" t="str">
        <f>I54/VLOOKUP(K54,Sheet1!$D$7:$N$16,G54+1,FALSE)</f>
        <v>#N/A</v>
      </c>
      <c r="P54" s="684" t="str">
        <f t="shared" si="2"/>
        <v>#REF!</v>
      </c>
      <c r="Q54" s="702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</row>
    <row r="55" ht="15.75" hidden="1" customHeight="1">
      <c r="A55" s="90"/>
      <c r="B55" s="2"/>
      <c r="C55" s="90"/>
      <c r="D55" s="185" t="s">
        <v>248</v>
      </c>
      <c r="E55" s="264"/>
      <c r="F55" s="187">
        <v>2.0</v>
      </c>
      <c r="G55" s="187">
        <v>6.0</v>
      </c>
      <c r="H55" s="187"/>
      <c r="I55" s="164">
        <v>130.0</v>
      </c>
      <c r="J55" s="266" t="s">
        <v>247</v>
      </c>
      <c r="K55" s="183">
        <v>5.0</v>
      </c>
      <c r="L55" s="183"/>
      <c r="M55" s="183"/>
      <c r="N55" s="183"/>
      <c r="O55" s="699" t="str">
        <f>I55/VLOOKUP(K55,Sheet1!$D$7:$N$16,G55+1,FALSE)</f>
        <v>#N/A</v>
      </c>
      <c r="P55" s="684" t="str">
        <f t="shared" si="2"/>
        <v>#REF!</v>
      </c>
      <c r="Q55" s="702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</row>
    <row r="56" ht="3.75" hidden="1" customHeight="1">
      <c r="A56" s="90"/>
      <c r="B56" s="2"/>
      <c r="C56" s="90"/>
      <c r="D56" s="138"/>
      <c r="E56" s="321"/>
      <c r="F56" s="102"/>
      <c r="G56" s="102"/>
      <c r="H56" s="102"/>
      <c r="I56" s="247"/>
      <c r="J56" s="267"/>
      <c r="K56" s="183"/>
      <c r="L56" s="183"/>
      <c r="M56" s="183"/>
      <c r="N56" s="183"/>
      <c r="O56" s="699" t="str">
        <f>I56/VLOOKUP(K56,Sheet1!$D$7:$N$16,G56+1,FALSE)</f>
        <v>#N/A</v>
      </c>
      <c r="P56" s="684" t="str">
        <f t="shared" si="2"/>
        <v>#REF!</v>
      </c>
      <c r="Q56" s="702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</row>
    <row r="57" ht="15.75" hidden="1" customHeight="1">
      <c r="A57" s="90"/>
      <c r="B57" s="2"/>
      <c r="C57" s="90"/>
      <c r="D57" s="185" t="s">
        <v>249</v>
      </c>
      <c r="E57" s="264"/>
      <c r="F57" s="187">
        <v>1.0</v>
      </c>
      <c r="G57" s="187">
        <v>3.0</v>
      </c>
      <c r="H57" s="187"/>
      <c r="I57" s="164">
        <v>140.0</v>
      </c>
      <c r="J57" s="266">
        <v>6.0</v>
      </c>
      <c r="K57" s="183">
        <v>6.0</v>
      </c>
      <c r="L57" s="183"/>
      <c r="M57" s="183"/>
      <c r="N57" s="183"/>
      <c r="O57" s="699">
        <f>I57/VLOOKUP(K57,Sheet1!$D$7:$N$16,G57+1,FALSE)</f>
        <v>171.7791411</v>
      </c>
      <c r="P57" s="684" t="str">
        <f t="shared" si="2"/>
        <v>#REF!</v>
      </c>
      <c r="Q57" s="702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</row>
    <row r="58" ht="3.75" hidden="1" customHeight="1">
      <c r="A58" s="90"/>
      <c r="B58" s="2"/>
      <c r="C58" s="90"/>
      <c r="D58" s="138"/>
      <c r="E58" s="321"/>
      <c r="F58" s="102"/>
      <c r="G58" s="102"/>
      <c r="H58" s="102"/>
      <c r="I58" s="247"/>
      <c r="J58" s="156"/>
      <c r="K58" s="183"/>
      <c r="L58" s="183"/>
      <c r="M58" s="183"/>
      <c r="N58" s="183"/>
      <c r="O58" s="699" t="str">
        <f>I58/VLOOKUP(K58,Sheet1!$D$7:$N$16,G58+1,FALSE)</f>
        <v>#N/A</v>
      </c>
      <c r="P58" s="684" t="str">
        <f t="shared" si="2"/>
        <v>#REF!</v>
      </c>
      <c r="Q58" s="702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</row>
    <row r="59" ht="15.75" hidden="1" customHeight="1">
      <c r="A59" s="90"/>
      <c r="B59" s="2"/>
      <c r="C59" s="90"/>
      <c r="D59" s="185" t="s">
        <v>249</v>
      </c>
      <c r="E59" s="264"/>
      <c r="F59" s="187">
        <v>2.0</v>
      </c>
      <c r="G59" s="187">
        <v>5.0</v>
      </c>
      <c r="H59" s="187"/>
      <c r="I59" s="164">
        <v>120.0</v>
      </c>
      <c r="J59" s="706">
        <v>-0.12</v>
      </c>
      <c r="K59" s="183">
        <v>6.5</v>
      </c>
      <c r="L59" s="183"/>
      <c r="M59" s="183"/>
      <c r="N59" s="183"/>
      <c r="O59" s="699">
        <f>I59/VLOOKUP(K59,Sheet1!$D$7:$N$16,G59+1,FALSE)</f>
        <v>154.340836</v>
      </c>
      <c r="P59" s="684" t="str">
        <f t="shared" si="2"/>
        <v>#REF!</v>
      </c>
      <c r="Q59" s="702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</row>
    <row r="60" ht="3.75" hidden="1" customHeight="1">
      <c r="A60" s="90"/>
      <c r="B60" s="2"/>
      <c r="C60" s="90"/>
      <c r="D60" s="138"/>
      <c r="E60" s="321"/>
      <c r="F60" s="102"/>
      <c r="G60" s="102"/>
      <c r="H60" s="102"/>
      <c r="I60" s="247"/>
      <c r="J60" s="267"/>
      <c r="K60" s="183"/>
      <c r="L60" s="183"/>
      <c r="M60" s="183"/>
      <c r="N60" s="183"/>
      <c r="O60" s="699" t="str">
        <f>I60/VLOOKUP(K60,Sheet1!$D$7:$N$16,G60+1,FALSE)</f>
        <v>#N/A</v>
      </c>
      <c r="P60" s="684" t="str">
        <f t="shared" si="2"/>
        <v>#REF!</v>
      </c>
      <c r="Q60" s="702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</row>
    <row r="61" ht="15.75" hidden="1" customHeight="1">
      <c r="A61" s="90"/>
      <c r="B61" s="2"/>
      <c r="C61" s="90"/>
      <c r="D61" s="709" t="s">
        <v>250</v>
      </c>
      <c r="E61" s="710"/>
      <c r="F61" s="711">
        <v>2.0</v>
      </c>
      <c r="G61" s="731" t="s">
        <v>251</v>
      </c>
      <c r="H61" s="179"/>
      <c r="I61" s="712"/>
      <c r="J61" s="713">
        <v>8.0</v>
      </c>
      <c r="K61" s="183">
        <v>8.0</v>
      </c>
      <c r="L61" s="183"/>
      <c r="M61" s="183"/>
      <c r="N61" s="183"/>
      <c r="O61" s="699" t="str">
        <f>I61/VLOOKUP(K61,Sheet1!$D$7:$N$16,G61+1,FALSE)</f>
        <v>#REF!</v>
      </c>
      <c r="P61" s="684" t="str">
        <f t="shared" si="2"/>
        <v>#REF!</v>
      </c>
      <c r="Q61" s="702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</row>
    <row r="62" ht="3.75" hidden="1" customHeight="1">
      <c r="A62" s="90"/>
      <c r="B62" s="2"/>
      <c r="C62" s="90"/>
      <c r="D62" s="138"/>
      <c r="E62" s="321"/>
      <c r="F62" s="102"/>
      <c r="G62" s="102"/>
      <c r="H62" s="102"/>
      <c r="I62" s="247"/>
      <c r="J62" s="156"/>
      <c r="K62" s="183"/>
      <c r="L62" s="183"/>
      <c r="M62" s="183"/>
      <c r="N62" s="183"/>
      <c r="O62" s="699" t="str">
        <f>I62/VLOOKUP(K62,Sheet1!$D$7:$N$16,G62+1,FALSE)</f>
        <v>#N/A</v>
      </c>
      <c r="P62" s="684" t="str">
        <f t="shared" si="2"/>
        <v>#REF!</v>
      </c>
      <c r="Q62" s="702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</row>
    <row r="63" ht="15.75" hidden="1" customHeight="1">
      <c r="A63" s="90"/>
      <c r="B63" s="2"/>
      <c r="C63" s="90"/>
      <c r="D63" s="185" t="s">
        <v>252</v>
      </c>
      <c r="E63" s="260"/>
      <c r="F63" s="187">
        <v>3.0</v>
      </c>
      <c r="G63" s="187" t="s">
        <v>41</v>
      </c>
      <c r="H63" s="187"/>
      <c r="I63" s="164"/>
      <c r="J63" s="266">
        <v>8.0</v>
      </c>
      <c r="K63" s="183">
        <v>8.0</v>
      </c>
      <c r="L63" s="183"/>
      <c r="M63" s="183"/>
      <c r="N63" s="183"/>
      <c r="O63" s="699" t="str">
        <f>I63/VLOOKUP(K63,Sheet1!$D$7:$N$16,G63+1,FALSE)</f>
        <v>#VALUE!</v>
      </c>
      <c r="P63" s="684" t="str">
        <f t="shared" si="2"/>
        <v>#REF!</v>
      </c>
      <c r="Q63" s="702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</row>
    <row r="64" ht="3.75" hidden="1" customHeight="1">
      <c r="A64" s="90"/>
      <c r="B64" s="2"/>
      <c r="C64" s="90"/>
      <c r="D64" s="138"/>
      <c r="E64" s="321"/>
      <c r="F64" s="102"/>
      <c r="G64" s="102"/>
      <c r="H64" s="102"/>
      <c r="I64" s="247"/>
      <c r="J64" s="156"/>
      <c r="K64" s="183"/>
      <c r="L64" s="183"/>
      <c r="M64" s="183"/>
      <c r="N64" s="183"/>
      <c r="O64" s="699" t="str">
        <f>I64/VLOOKUP(K64,Sheet1!$D$7:$N$16,G64+1,FALSE)</f>
        <v>#N/A</v>
      </c>
      <c r="P64" s="684" t="str">
        <f t="shared" si="2"/>
        <v>#REF!</v>
      </c>
      <c r="Q64" s="702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</row>
    <row r="65" ht="20.25" hidden="1" customHeight="1">
      <c r="A65" s="90"/>
      <c r="B65" s="2"/>
      <c r="C65" s="90"/>
      <c r="D65" s="185" t="s">
        <v>253</v>
      </c>
      <c r="E65" s="260"/>
      <c r="F65" s="187">
        <v>3.0</v>
      </c>
      <c r="G65" s="731" t="s">
        <v>251</v>
      </c>
      <c r="H65" s="187"/>
      <c r="I65" s="164"/>
      <c r="J65" s="266">
        <v>8.0</v>
      </c>
      <c r="K65" s="183">
        <v>8.0</v>
      </c>
      <c r="L65" s="183"/>
      <c r="M65" s="183"/>
      <c r="N65" s="183"/>
      <c r="O65" s="699" t="str">
        <f>I65/VLOOKUP(K65,Sheet1!$D$7:$N$16,G65+1,FALSE)</f>
        <v>#REF!</v>
      </c>
      <c r="P65" s="684" t="str">
        <f t="shared" si="2"/>
        <v>#REF!</v>
      </c>
      <c r="Q65" s="702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</row>
    <row r="66" ht="3.75" hidden="1" customHeight="1">
      <c r="A66" s="191"/>
      <c r="B66" s="719"/>
      <c r="C66" s="192"/>
      <c r="D66" s="138"/>
      <c r="E66" s="321"/>
      <c r="F66" s="102"/>
      <c r="G66" s="102"/>
      <c r="H66" s="102"/>
      <c r="I66" s="247"/>
      <c r="J66" s="267"/>
      <c r="K66" s="183"/>
      <c r="L66" s="183"/>
      <c r="M66" s="183"/>
      <c r="N66" s="183"/>
      <c r="O66" s="699" t="str">
        <f>I66/VLOOKUP(K66,Sheet1!$D$7:$N$16,G66+1,FALSE)</f>
        <v>#N/A</v>
      </c>
      <c r="P66" s="684" t="str">
        <f t="shared" si="2"/>
        <v>#REF!</v>
      </c>
      <c r="Q66" s="702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</row>
    <row r="67" ht="15.75" hidden="1" customHeight="1">
      <c r="A67" s="90"/>
      <c r="B67" s="2"/>
      <c r="C67" s="90"/>
      <c r="D67" s="185" t="s">
        <v>88</v>
      </c>
      <c r="E67" s="264"/>
      <c r="F67" s="187">
        <v>3.0</v>
      </c>
      <c r="G67" s="731" t="s">
        <v>251</v>
      </c>
      <c r="H67" s="187"/>
      <c r="I67" s="164"/>
      <c r="J67" s="266">
        <v>9.0</v>
      </c>
      <c r="K67" s="183">
        <v>9.0</v>
      </c>
      <c r="L67" s="183"/>
      <c r="M67" s="183"/>
      <c r="N67" s="183"/>
      <c r="O67" s="699" t="str">
        <f>I67/VLOOKUP(K67,Sheet1!$D$7:$N$16,G67+1,FALSE)</f>
        <v>#REF!</v>
      </c>
      <c r="P67" s="684" t="str">
        <f t="shared" si="2"/>
        <v>#REF!</v>
      </c>
      <c r="Q67" s="702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</row>
    <row r="68" ht="3.75" hidden="1" customHeight="1">
      <c r="A68" s="90"/>
      <c r="B68" s="2"/>
      <c r="C68" s="90"/>
      <c r="D68" s="138"/>
      <c r="E68" s="263"/>
      <c r="F68" s="194"/>
      <c r="G68" s="194"/>
      <c r="H68" s="194"/>
      <c r="I68" s="164"/>
      <c r="J68" s="267"/>
      <c r="K68" s="183"/>
      <c r="L68" s="183"/>
      <c r="M68" s="183"/>
      <c r="N68" s="183"/>
      <c r="O68" s="699" t="str">
        <f>I68/VLOOKUP(K68,Sheet1!$D$7:$N$16,G68+1,FALSE)</f>
        <v>#N/A</v>
      </c>
      <c r="P68" s="684" t="str">
        <f t="shared" si="2"/>
        <v>#REF!</v>
      </c>
      <c r="Q68" s="702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</row>
    <row r="69" ht="15.75" hidden="1" customHeight="1">
      <c r="A69" s="90"/>
      <c r="B69" s="2"/>
      <c r="C69" s="90"/>
      <c r="D69" s="185" t="s">
        <v>254</v>
      </c>
      <c r="E69" s="266"/>
      <c r="F69" s="187">
        <v>3.0</v>
      </c>
      <c r="G69" s="731" t="s">
        <v>251</v>
      </c>
      <c r="H69" s="187"/>
      <c r="I69" s="164"/>
      <c r="J69" s="266">
        <v>9.0</v>
      </c>
      <c r="K69" s="183">
        <v>9.0</v>
      </c>
      <c r="L69" s="183"/>
      <c r="M69" s="183"/>
      <c r="N69" s="183"/>
      <c r="O69" s="699" t="str">
        <f>I69/VLOOKUP(K69,Sheet1!$D$7:$N$16,G69+1,FALSE)</f>
        <v>#REF!</v>
      </c>
      <c r="P69" s="684" t="str">
        <f t="shared" si="2"/>
        <v>#REF!</v>
      </c>
      <c r="Q69" s="702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</row>
    <row r="70" ht="3.75" hidden="1" customHeight="1">
      <c r="A70" s="191"/>
      <c r="B70" s="719"/>
      <c r="C70" s="192"/>
      <c r="D70" s="138"/>
      <c r="E70" s="252"/>
      <c r="F70" s="102"/>
      <c r="G70" s="102"/>
      <c r="H70" s="102"/>
      <c r="I70" s="247"/>
      <c r="J70" s="156"/>
      <c r="K70" s="183"/>
      <c r="L70" s="183"/>
      <c r="M70" s="183"/>
      <c r="N70" s="183"/>
      <c r="O70" s="699" t="str">
        <f>I70/VLOOKUP(K70,Sheet1!$D$7:$N$16,G70+1,FALSE)</f>
        <v>#N/A</v>
      </c>
      <c r="P70" s="684" t="str">
        <f t="shared" si="2"/>
        <v>#REF!</v>
      </c>
      <c r="Q70" s="702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</row>
    <row r="71" ht="15.75" hidden="1" customHeight="1">
      <c r="A71" s="90"/>
      <c r="B71" s="2"/>
      <c r="C71" s="90"/>
      <c r="D71" s="185" t="s">
        <v>255</v>
      </c>
      <c r="E71" s="260"/>
      <c r="F71" s="187">
        <v>3.0</v>
      </c>
      <c r="G71" s="731" t="s">
        <v>251</v>
      </c>
      <c r="H71" s="187"/>
      <c r="I71" s="164"/>
      <c r="J71" s="266">
        <v>9.0</v>
      </c>
      <c r="K71" s="183">
        <v>9.0</v>
      </c>
      <c r="L71" s="183"/>
      <c r="M71" s="183"/>
      <c r="N71" s="183"/>
      <c r="O71" s="699" t="str">
        <f>I71/VLOOKUP(K71,Sheet1!$D$7:$N$16,G71+1,FALSE)</f>
        <v>#REF!</v>
      </c>
      <c r="P71" s="684" t="str">
        <f t="shared" si="2"/>
        <v>#REF!</v>
      </c>
      <c r="Q71" s="702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</row>
    <row r="72" ht="3.75" hidden="1" customHeight="1">
      <c r="A72" s="90"/>
      <c r="B72" s="2"/>
      <c r="C72" s="90"/>
      <c r="D72" s="138"/>
      <c r="E72" s="267"/>
      <c r="F72" s="194"/>
      <c r="G72" s="194"/>
      <c r="H72" s="194"/>
      <c r="I72" s="164"/>
      <c r="J72" s="267"/>
      <c r="K72" s="183"/>
      <c r="L72" s="183"/>
      <c r="M72" s="183"/>
      <c r="N72" s="183"/>
      <c r="O72" s="699" t="str">
        <f>I72/VLOOKUP(K72,Sheet1!$D$7:$N$16,G72+1,FALSE)</f>
        <v>#N/A</v>
      </c>
      <c r="P72" s="684" t="str">
        <f t="shared" si="2"/>
        <v>#REF!</v>
      </c>
      <c r="Q72" s="702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</row>
    <row r="73" ht="15.75" hidden="1" customHeight="1">
      <c r="A73" s="90"/>
      <c r="B73" s="2"/>
      <c r="C73" s="90"/>
      <c r="D73" s="185" t="s">
        <v>256</v>
      </c>
      <c r="E73" s="266"/>
      <c r="F73" s="187">
        <v>3.0</v>
      </c>
      <c r="G73" s="187" t="s">
        <v>16</v>
      </c>
      <c r="H73" s="187"/>
      <c r="I73" s="164"/>
      <c r="J73" s="266">
        <v>9.0</v>
      </c>
      <c r="K73" s="183">
        <v>9.0</v>
      </c>
      <c r="L73" s="183"/>
      <c r="M73" s="183"/>
      <c r="N73" s="183"/>
      <c r="O73" s="699" t="str">
        <f>I73/VLOOKUP(K73,Sheet1!$D$7:$N$16,G73+1,FALSE)</f>
        <v>#VALUE!</v>
      </c>
      <c r="P73" s="684" t="str">
        <f t="shared" si="2"/>
        <v>#REF!</v>
      </c>
      <c r="Q73" s="697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</row>
    <row r="74" ht="3.75" hidden="1" customHeight="1">
      <c r="A74" s="90"/>
      <c r="B74" s="2"/>
      <c r="C74" s="90"/>
      <c r="D74" s="90"/>
      <c r="E74" s="156"/>
      <c r="F74" s="102"/>
      <c r="G74" s="102"/>
      <c r="H74" s="102"/>
      <c r="I74" s="102"/>
      <c r="J74" s="156"/>
      <c r="K74" s="720"/>
      <c r="L74" s="201"/>
      <c r="M74" s="201"/>
      <c r="N74" s="201"/>
      <c r="O74" s="699" t="str">
        <f>I74/VLOOKUP(K74,Sheet1!$D$7:$N$16,G74+1,FALSE)</f>
        <v>#N/A</v>
      </c>
      <c r="P74" s="684" t="str">
        <f t="shared" si="2"/>
        <v>#REF!</v>
      </c>
      <c r="Q74" s="720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</row>
    <row r="75" ht="30.75" hidden="1" customHeight="1">
      <c r="A75" s="90"/>
      <c r="B75" s="2"/>
      <c r="C75" s="90"/>
      <c r="D75" s="686" t="s">
        <v>257</v>
      </c>
      <c r="E75" s="687" t="s">
        <v>15</v>
      </c>
      <c r="F75" s="721" t="s">
        <v>16</v>
      </c>
      <c r="G75" s="722" t="s">
        <v>17</v>
      </c>
      <c r="H75" s="723"/>
      <c r="I75" s="724"/>
      <c r="J75" s="725" t="s">
        <v>241</v>
      </c>
      <c r="K75" s="691"/>
      <c r="L75" s="692"/>
      <c r="M75" s="692"/>
      <c r="N75" s="692"/>
      <c r="O75" s="699"/>
      <c r="P75" s="684"/>
      <c r="Q75" s="693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</row>
    <row r="76" ht="14.25" hidden="1" customHeight="1">
      <c r="A76" s="90"/>
      <c r="B76" s="2"/>
      <c r="C76" s="90"/>
      <c r="D76" s="257" t="s">
        <v>25</v>
      </c>
      <c r="E76" s="257" t="s">
        <v>26</v>
      </c>
      <c r="F76" s="680"/>
      <c r="G76" s="681"/>
      <c r="H76" s="723"/>
      <c r="I76" s="681"/>
      <c r="J76" s="725" t="s">
        <v>244</v>
      </c>
      <c r="K76" s="697"/>
      <c r="L76" s="692"/>
      <c r="M76" s="692"/>
      <c r="N76" s="692"/>
      <c r="O76" s="699"/>
      <c r="P76" s="684"/>
      <c r="Q76" s="698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</row>
    <row r="77" ht="3.75" hidden="1" customHeight="1">
      <c r="A77" s="191"/>
      <c r="B77" s="719"/>
      <c r="C77" s="192"/>
      <c r="D77" s="203"/>
      <c r="E77" s="203"/>
      <c r="F77" s="726"/>
      <c r="G77" s="726"/>
      <c r="H77" s="726"/>
      <c r="I77" s="727"/>
      <c r="J77" s="728"/>
      <c r="K77" s="192"/>
      <c r="L77" s="194"/>
      <c r="M77" s="194"/>
      <c r="N77" s="194"/>
      <c r="O77" s="699"/>
      <c r="P77" s="684" t="str">
        <f t="shared" ref="P77:P99" si="3">I77-#REF!</f>
        <v>#REF!</v>
      </c>
      <c r="Q77" s="192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</row>
    <row r="78" ht="15.75" hidden="1" customHeight="1">
      <c r="A78" s="124"/>
      <c r="B78" s="2"/>
      <c r="C78" s="124"/>
      <c r="D78" s="185"/>
      <c r="E78" s="732"/>
      <c r="F78" s="187"/>
      <c r="G78" s="187"/>
      <c r="H78" s="187"/>
      <c r="I78" s="164"/>
      <c r="J78" s="266"/>
      <c r="K78" s="183"/>
      <c r="L78" s="183"/>
      <c r="M78" s="183"/>
      <c r="N78" s="183"/>
      <c r="O78" s="699" t="str">
        <f>I78/VLOOKUP(K78,Sheet1!$D$7:$N$16,G78+1,FALSE)</f>
        <v>#N/A</v>
      </c>
      <c r="P78" s="684" t="str">
        <f t="shared" si="3"/>
        <v>#REF!</v>
      </c>
      <c r="Q78" s="730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</row>
    <row r="79" ht="3.75" hidden="1" customHeight="1">
      <c r="A79" s="124"/>
      <c r="B79" s="2"/>
      <c r="C79" s="124"/>
      <c r="D79" s="138"/>
      <c r="E79" s="252"/>
      <c r="F79" s="102"/>
      <c r="G79" s="102"/>
      <c r="H79" s="102"/>
      <c r="I79" s="247"/>
      <c r="J79" s="156"/>
      <c r="K79" s="183"/>
      <c r="L79" s="183"/>
      <c r="M79" s="183"/>
      <c r="N79" s="183"/>
      <c r="O79" s="699" t="str">
        <f>I79/VLOOKUP(K79,Sheet1!$D$7:$N$16,G79+1,FALSE)</f>
        <v>#N/A</v>
      </c>
      <c r="P79" s="684" t="str">
        <f t="shared" si="3"/>
        <v>#REF!</v>
      </c>
      <c r="Q79" s="702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</row>
    <row r="80" ht="15.75" hidden="1" customHeight="1">
      <c r="A80" s="90"/>
      <c r="B80" s="2"/>
      <c r="C80" s="90"/>
      <c r="D80" s="185"/>
      <c r="E80" s="224"/>
      <c r="F80" s="187"/>
      <c r="G80" s="187"/>
      <c r="H80" s="187"/>
      <c r="I80" s="164"/>
      <c r="J80" s="266"/>
      <c r="K80" s="183"/>
      <c r="L80" s="183"/>
      <c r="M80" s="183"/>
      <c r="N80" s="183"/>
      <c r="O80" s="699" t="str">
        <f>I80/VLOOKUP(K80,Sheet1!$D$7:$N$16,G80+1,FALSE)</f>
        <v>#N/A</v>
      </c>
      <c r="P80" s="684" t="str">
        <f t="shared" si="3"/>
        <v>#REF!</v>
      </c>
      <c r="Q80" s="702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</row>
    <row r="81" ht="3.75" hidden="1" customHeight="1">
      <c r="A81" s="90"/>
      <c r="B81" s="2"/>
      <c r="C81" s="90"/>
      <c r="D81" s="138"/>
      <c r="E81" s="252"/>
      <c r="F81" s="102"/>
      <c r="G81" s="102"/>
      <c r="H81" s="102"/>
      <c r="I81" s="247"/>
      <c r="J81" s="156"/>
      <c r="K81" s="183"/>
      <c r="L81" s="183"/>
      <c r="M81" s="183"/>
      <c r="N81" s="183"/>
      <c r="O81" s="699" t="str">
        <f>I81/VLOOKUP(K81,Sheet1!$D$7:$N$16,G81+1,FALSE)</f>
        <v>#N/A</v>
      </c>
      <c r="P81" s="684" t="str">
        <f t="shared" si="3"/>
        <v>#REF!</v>
      </c>
      <c r="Q81" s="702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</row>
    <row r="82" ht="15.75" hidden="1" customHeight="1">
      <c r="A82" s="90"/>
      <c r="B82" s="2"/>
      <c r="C82" s="90"/>
      <c r="D82" s="185"/>
      <c r="E82" s="264"/>
      <c r="F82" s="187"/>
      <c r="G82" s="187"/>
      <c r="H82" s="187"/>
      <c r="I82" s="164"/>
      <c r="J82" s="266"/>
      <c r="K82" s="183"/>
      <c r="L82" s="183"/>
      <c r="M82" s="183"/>
      <c r="N82" s="183"/>
      <c r="O82" s="699" t="str">
        <f>I82/VLOOKUP(K82,Sheet1!$D$7:$N$16,G82+1,FALSE)</f>
        <v>#N/A</v>
      </c>
      <c r="P82" s="684" t="str">
        <f t="shared" si="3"/>
        <v>#REF!</v>
      </c>
      <c r="Q82" s="702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</row>
    <row r="83" ht="3.75" hidden="1" customHeight="1">
      <c r="A83" s="90"/>
      <c r="B83" s="2"/>
      <c r="C83" s="90"/>
      <c r="D83" s="138"/>
      <c r="E83" s="252"/>
      <c r="F83" s="102"/>
      <c r="G83" s="102"/>
      <c r="H83" s="102"/>
      <c r="I83" s="247"/>
      <c r="J83" s="156"/>
      <c r="K83" s="183"/>
      <c r="L83" s="183"/>
      <c r="M83" s="183"/>
      <c r="N83" s="183"/>
      <c r="O83" s="699" t="str">
        <f>I83/VLOOKUP(K83,Sheet1!$D$7:$N$16,G83+1,FALSE)</f>
        <v>#N/A</v>
      </c>
      <c r="P83" s="684" t="str">
        <f t="shared" si="3"/>
        <v>#REF!</v>
      </c>
      <c r="Q83" s="702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</row>
    <row r="84" ht="15.75" hidden="1" customHeight="1">
      <c r="A84" s="90"/>
      <c r="B84" s="2"/>
      <c r="C84" s="90"/>
      <c r="D84" s="185"/>
      <c r="E84" s="260"/>
      <c r="F84" s="187"/>
      <c r="G84" s="187"/>
      <c r="H84" s="187"/>
      <c r="I84" s="164"/>
      <c r="J84" s="266"/>
      <c r="K84" s="183"/>
      <c r="L84" s="183"/>
      <c r="M84" s="183"/>
      <c r="N84" s="183"/>
      <c r="O84" s="699" t="str">
        <f>I84/VLOOKUP(K84,Sheet1!$D$7:$N$16,G84+1,FALSE)</f>
        <v>#N/A</v>
      </c>
      <c r="P84" s="684" t="str">
        <f t="shared" si="3"/>
        <v>#REF!</v>
      </c>
      <c r="Q84" s="702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</row>
    <row r="85" ht="3.75" hidden="1" customHeight="1">
      <c r="A85" s="90"/>
      <c r="B85" s="2"/>
      <c r="C85" s="90"/>
      <c r="D85" s="138"/>
      <c r="E85" s="252"/>
      <c r="F85" s="102"/>
      <c r="G85" s="102"/>
      <c r="H85" s="102"/>
      <c r="I85" s="247"/>
      <c r="J85" s="156"/>
      <c r="K85" s="183"/>
      <c r="L85" s="183"/>
      <c r="M85" s="183"/>
      <c r="N85" s="183"/>
      <c r="O85" s="699" t="str">
        <f>I85/VLOOKUP(K85,Sheet1!$D$7:$N$16,G85+1,FALSE)</f>
        <v>#N/A</v>
      </c>
      <c r="P85" s="684" t="str">
        <f t="shared" si="3"/>
        <v>#REF!</v>
      </c>
      <c r="Q85" s="702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</row>
    <row r="86" ht="15.75" hidden="1" customHeight="1">
      <c r="A86" s="90"/>
      <c r="B86" s="2"/>
      <c r="C86" s="90"/>
      <c r="D86" s="185"/>
      <c r="E86" s="260"/>
      <c r="F86" s="187"/>
      <c r="G86" s="187"/>
      <c r="H86" s="187"/>
      <c r="I86" s="164"/>
      <c r="J86" s="266"/>
      <c r="K86" s="183"/>
      <c r="L86" s="183"/>
      <c r="M86" s="183"/>
      <c r="N86" s="183"/>
      <c r="O86" s="699" t="str">
        <f>I86/VLOOKUP(K86,Sheet1!$D$7:$N$16,G86+1,FALSE)</f>
        <v>#N/A</v>
      </c>
      <c r="P86" s="684" t="str">
        <f t="shared" si="3"/>
        <v>#REF!</v>
      </c>
      <c r="Q86" s="702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</row>
    <row r="87" ht="3.75" hidden="1" customHeight="1">
      <c r="A87" s="90"/>
      <c r="B87" s="2"/>
      <c r="C87" s="90"/>
      <c r="D87" s="138"/>
      <c r="E87" s="252"/>
      <c r="F87" s="102"/>
      <c r="G87" s="102"/>
      <c r="H87" s="102"/>
      <c r="I87" s="247"/>
      <c r="J87" s="156"/>
      <c r="K87" s="183"/>
      <c r="L87" s="183"/>
      <c r="M87" s="183"/>
      <c r="N87" s="183"/>
      <c r="O87" s="699" t="str">
        <f>I87/VLOOKUP(K87,Sheet1!$D$7:$N$16,G87+1,FALSE)</f>
        <v>#N/A</v>
      </c>
      <c r="P87" s="684" t="str">
        <f t="shared" si="3"/>
        <v>#REF!</v>
      </c>
      <c r="Q87" s="702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</row>
    <row r="88" ht="15.75" hidden="1" customHeight="1">
      <c r="A88" s="90"/>
      <c r="B88" s="2"/>
      <c r="C88" s="90"/>
      <c r="D88" s="185"/>
      <c r="E88" s="260"/>
      <c r="F88" s="187"/>
      <c r="G88" s="187"/>
      <c r="H88" s="187"/>
      <c r="I88" s="164"/>
      <c r="J88" s="266"/>
      <c r="K88" s="183"/>
      <c r="L88" s="183"/>
      <c r="M88" s="183"/>
      <c r="N88" s="183"/>
      <c r="O88" s="699" t="str">
        <f>I88/VLOOKUP(K88,Sheet1!$D$7:$N$16,G88+1,FALSE)</f>
        <v>#N/A</v>
      </c>
      <c r="P88" s="684" t="str">
        <f t="shared" si="3"/>
        <v>#REF!</v>
      </c>
      <c r="Q88" s="702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</row>
    <row r="89" ht="3.75" hidden="1" customHeight="1">
      <c r="A89" s="90"/>
      <c r="B89" s="2"/>
      <c r="C89" s="90"/>
      <c r="D89" s="138"/>
      <c r="E89" s="252"/>
      <c r="F89" s="102"/>
      <c r="G89" s="102"/>
      <c r="H89" s="102"/>
      <c r="I89" s="247"/>
      <c r="J89" s="267"/>
      <c r="K89" s="183"/>
      <c r="L89" s="183"/>
      <c r="M89" s="183"/>
      <c r="N89" s="183"/>
      <c r="O89" s="699" t="str">
        <f>I89/VLOOKUP(K89,Sheet1!$D$7:$N$16,G89+1,FALSE)</f>
        <v>#N/A</v>
      </c>
      <c r="P89" s="684" t="str">
        <f t="shared" si="3"/>
        <v>#REF!</v>
      </c>
      <c r="Q89" s="702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</row>
    <row r="90" ht="20.25" hidden="1" customHeight="1">
      <c r="A90" s="90"/>
      <c r="B90" s="2"/>
      <c r="C90" s="90"/>
      <c r="D90" s="185"/>
      <c r="E90" s="264"/>
      <c r="F90" s="187"/>
      <c r="G90" s="187"/>
      <c r="H90" s="187"/>
      <c r="I90" s="164"/>
      <c r="J90" s="266"/>
      <c r="K90" s="183"/>
      <c r="L90" s="183"/>
      <c r="M90" s="183"/>
      <c r="N90" s="183"/>
      <c r="O90" s="699" t="str">
        <f>I90/VLOOKUP(K90,Sheet1!$D$7:$N$16,G90+1,FALSE)</f>
        <v>#N/A</v>
      </c>
      <c r="P90" s="684" t="str">
        <f t="shared" si="3"/>
        <v>#REF!</v>
      </c>
      <c r="Q90" s="702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</row>
    <row r="91" ht="3.75" hidden="1" customHeight="1">
      <c r="A91" s="191"/>
      <c r="B91" s="719"/>
      <c r="C91" s="192"/>
      <c r="D91" s="138"/>
      <c r="E91" s="252"/>
      <c r="F91" s="102"/>
      <c r="G91" s="102"/>
      <c r="H91" s="102"/>
      <c r="I91" s="247"/>
      <c r="J91" s="156"/>
      <c r="K91" s="183"/>
      <c r="L91" s="183"/>
      <c r="M91" s="183"/>
      <c r="N91" s="183"/>
      <c r="O91" s="699" t="str">
        <f>I91/VLOOKUP(K91,Sheet1!$D$7:$N$16,G91+1,FALSE)</f>
        <v>#N/A</v>
      </c>
      <c r="P91" s="684" t="str">
        <f t="shared" si="3"/>
        <v>#REF!</v>
      </c>
      <c r="Q91" s="702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</row>
    <row r="92" ht="15.75" hidden="1" customHeight="1">
      <c r="A92" s="90"/>
      <c r="B92" s="2"/>
      <c r="C92" s="90"/>
      <c r="D92" s="185"/>
      <c r="E92" s="260"/>
      <c r="F92" s="187"/>
      <c r="G92" s="187"/>
      <c r="H92" s="187"/>
      <c r="I92" s="164"/>
      <c r="J92" s="266"/>
      <c r="K92" s="183"/>
      <c r="L92" s="183"/>
      <c r="M92" s="183"/>
      <c r="N92" s="183"/>
      <c r="O92" s="699" t="str">
        <f>I92/VLOOKUP(K92,Sheet1!$D$7:$N$16,G92+1,FALSE)</f>
        <v>#N/A</v>
      </c>
      <c r="P92" s="684" t="str">
        <f t="shared" si="3"/>
        <v>#REF!</v>
      </c>
      <c r="Q92" s="702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</row>
    <row r="93" ht="3.75" hidden="1" customHeight="1">
      <c r="A93" s="90"/>
      <c r="B93" s="2"/>
      <c r="C93" s="90"/>
      <c r="D93" s="138"/>
      <c r="E93" s="252"/>
      <c r="F93" s="102"/>
      <c r="G93" s="102"/>
      <c r="H93" s="102"/>
      <c r="I93" s="247"/>
      <c r="J93" s="156"/>
      <c r="K93" s="183"/>
      <c r="L93" s="183"/>
      <c r="M93" s="183"/>
      <c r="N93" s="183"/>
      <c r="O93" s="699" t="str">
        <f>I93/VLOOKUP(K93,Sheet1!$D$7:$N$16,G93+1,FALSE)</f>
        <v>#N/A</v>
      </c>
      <c r="P93" s="684" t="str">
        <f t="shared" si="3"/>
        <v>#REF!</v>
      </c>
      <c r="Q93" s="702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</row>
    <row r="94" ht="15.75" hidden="1" customHeight="1">
      <c r="A94" s="90"/>
      <c r="B94" s="2"/>
      <c r="C94" s="90"/>
      <c r="D94" s="185"/>
      <c r="E94" s="266"/>
      <c r="F94" s="187"/>
      <c r="G94" s="187"/>
      <c r="H94" s="187"/>
      <c r="I94" s="164"/>
      <c r="J94" s="266"/>
      <c r="K94" s="183"/>
      <c r="L94" s="183"/>
      <c r="M94" s="183"/>
      <c r="N94" s="183"/>
      <c r="O94" s="699" t="str">
        <f>I94/VLOOKUP(K94,Sheet1!$D$7:$N$16,G94+1,FALSE)</f>
        <v>#N/A</v>
      </c>
      <c r="P94" s="684" t="str">
        <f t="shared" si="3"/>
        <v>#REF!</v>
      </c>
      <c r="Q94" s="702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</row>
    <row r="95" ht="3.75" hidden="1" customHeight="1">
      <c r="A95" s="191"/>
      <c r="B95" s="719"/>
      <c r="C95" s="192"/>
      <c r="D95" s="138"/>
      <c r="E95" s="267"/>
      <c r="F95" s="194"/>
      <c r="G95" s="194"/>
      <c r="H95" s="194"/>
      <c r="I95" s="164"/>
      <c r="J95" s="267"/>
      <c r="K95" s="183"/>
      <c r="L95" s="183"/>
      <c r="M95" s="183"/>
      <c r="N95" s="183"/>
      <c r="O95" s="699" t="str">
        <f>I95/VLOOKUP(K95,Sheet1!$D$7:$N$16,G95+1,FALSE)</f>
        <v>#N/A</v>
      </c>
      <c r="P95" s="684" t="str">
        <f t="shared" si="3"/>
        <v>#REF!</v>
      </c>
      <c r="Q95" s="702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</row>
    <row r="96" ht="15.75" hidden="1" customHeight="1">
      <c r="A96" s="90"/>
      <c r="B96" s="2"/>
      <c r="C96" s="90"/>
      <c r="D96" s="185"/>
      <c r="E96" s="266"/>
      <c r="F96" s="187"/>
      <c r="G96" s="187"/>
      <c r="H96" s="187"/>
      <c r="I96" s="164"/>
      <c r="J96" s="266"/>
      <c r="K96" s="183"/>
      <c r="L96" s="183"/>
      <c r="M96" s="183"/>
      <c r="N96" s="183"/>
      <c r="O96" s="699" t="str">
        <f>I96/VLOOKUP(K96,Sheet1!$D$7:$N$16,G96+1,FALSE)</f>
        <v>#N/A</v>
      </c>
      <c r="P96" s="684" t="str">
        <f t="shared" si="3"/>
        <v>#REF!</v>
      </c>
      <c r="Q96" s="702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</row>
    <row r="97" ht="3.75" hidden="1" customHeight="1">
      <c r="A97" s="90"/>
      <c r="B97" s="2"/>
      <c r="C97" s="90"/>
      <c r="D97" s="252"/>
      <c r="E97" s="252"/>
      <c r="F97" s="102"/>
      <c r="G97" s="102"/>
      <c r="H97" s="102"/>
      <c r="I97" s="247"/>
      <c r="J97" s="156"/>
      <c r="K97" s="733"/>
      <c r="L97" s="734"/>
      <c r="M97" s="734"/>
      <c r="N97" s="734"/>
      <c r="O97" s="699" t="str">
        <f>I97/VLOOKUP(K97,Sheet1!$D$7:$N$16,G97+1,FALSE)</f>
        <v>#N/A</v>
      </c>
      <c r="P97" s="684" t="str">
        <f t="shared" si="3"/>
        <v>#REF!</v>
      </c>
      <c r="Q97" s="702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</row>
    <row r="98" ht="0.75" hidden="1" customHeight="1">
      <c r="A98" s="90"/>
      <c r="B98" s="2"/>
      <c r="C98" s="90"/>
      <c r="D98" s="274"/>
      <c r="E98" s="266"/>
      <c r="F98" s="187"/>
      <c r="G98" s="187"/>
      <c r="H98" s="187"/>
      <c r="I98" s="164"/>
      <c r="J98" s="266"/>
      <c r="K98" s="733"/>
      <c r="L98" s="734"/>
      <c r="M98" s="734"/>
      <c r="N98" s="734"/>
      <c r="O98" s="699" t="str">
        <f>I98/VLOOKUP(K98,Sheet1!$D$7:$N$16,G98+1,FALSE)</f>
        <v>#N/A</v>
      </c>
      <c r="P98" s="684" t="str">
        <f t="shared" si="3"/>
        <v>#REF!</v>
      </c>
      <c r="Q98" s="697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</row>
    <row r="99" ht="3.75" hidden="1" customHeight="1">
      <c r="A99" s="90"/>
      <c r="B99" s="2"/>
      <c r="C99" s="90"/>
      <c r="D99" s="90"/>
      <c r="E99" s="156"/>
      <c r="F99" s="102"/>
      <c r="G99" s="102"/>
      <c r="H99" s="102"/>
      <c r="I99" s="102"/>
      <c r="J99" s="156"/>
      <c r="K99" s="720"/>
      <c r="L99" s="201"/>
      <c r="M99" s="201"/>
      <c r="N99" s="201"/>
      <c r="O99" s="699"/>
      <c r="P99" s="684" t="str">
        <f t="shared" si="3"/>
        <v>#REF!</v>
      </c>
      <c r="Q99" s="720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</row>
    <row r="100" ht="30.0" hidden="1" customHeight="1">
      <c r="A100" s="90"/>
      <c r="B100" s="2"/>
      <c r="C100" s="90"/>
      <c r="D100" s="686" t="s">
        <v>258</v>
      </c>
      <c r="E100" s="687" t="s">
        <v>15</v>
      </c>
      <c r="F100" s="721" t="s">
        <v>16</v>
      </c>
      <c r="G100" s="722" t="s">
        <v>17</v>
      </c>
      <c r="H100" s="723"/>
      <c r="I100" s="724"/>
      <c r="J100" s="725" t="s">
        <v>241</v>
      </c>
      <c r="K100" s="691"/>
      <c r="L100" s="692"/>
      <c r="M100" s="692"/>
      <c r="N100" s="692"/>
      <c r="O100" s="699"/>
      <c r="P100" s="684"/>
      <c r="Q100" s="693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</row>
    <row r="101" ht="14.25" hidden="1" customHeight="1">
      <c r="A101" s="90"/>
      <c r="B101" s="2"/>
      <c r="C101" s="90"/>
      <c r="D101" s="257" t="s">
        <v>25</v>
      </c>
      <c r="E101" s="257" t="s">
        <v>26</v>
      </c>
      <c r="F101" s="680"/>
      <c r="G101" s="681"/>
      <c r="H101" s="723"/>
      <c r="I101" s="681"/>
      <c r="J101" s="725" t="s">
        <v>244</v>
      </c>
      <c r="K101" s="697"/>
      <c r="L101" s="692"/>
      <c r="M101" s="692"/>
      <c r="N101" s="692"/>
      <c r="O101" s="699"/>
      <c r="P101" s="684"/>
      <c r="Q101" s="698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</row>
    <row r="102" ht="3.75" hidden="1" customHeight="1">
      <c r="A102" s="191"/>
      <c r="B102" s="719"/>
      <c r="C102" s="192"/>
      <c r="D102" s="203"/>
      <c r="E102" s="203"/>
      <c r="F102" s="726"/>
      <c r="G102" s="726"/>
      <c r="H102" s="726"/>
      <c r="I102" s="727"/>
      <c r="J102" s="728"/>
      <c r="K102" s="192"/>
      <c r="L102" s="194"/>
      <c r="M102" s="194"/>
      <c r="N102" s="194"/>
      <c r="O102" s="699" t="str">
        <f>I102/VLOOKUP(K102,Sheet1!$D$7:$N$16,G102+1,FALSE)</f>
        <v>#N/A</v>
      </c>
      <c r="P102" s="684" t="str">
        <f t="shared" ref="P102:P122" si="4">I102-#REF!</f>
        <v>#REF!</v>
      </c>
      <c r="Q102" s="192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</row>
    <row r="103" ht="15.75" hidden="1" customHeight="1">
      <c r="A103" s="124"/>
      <c r="B103" s="2"/>
      <c r="C103" s="124"/>
      <c r="D103" s="185" t="s">
        <v>6</v>
      </c>
      <c r="E103" s="260"/>
      <c r="F103" s="187">
        <v>1.0</v>
      </c>
      <c r="G103" s="187">
        <v>5.0</v>
      </c>
      <c r="H103" s="187"/>
      <c r="I103" s="164">
        <v>170.0</v>
      </c>
      <c r="J103" s="266">
        <v>7.0</v>
      </c>
      <c r="K103" s="164">
        <v>6.5</v>
      </c>
      <c r="L103" s="164"/>
      <c r="M103" s="164"/>
      <c r="N103" s="164"/>
      <c r="O103" s="699">
        <f>I103/VLOOKUP(K103,Sheet1!$D$7:$N$16,G103+1,FALSE)</f>
        <v>218.6495177</v>
      </c>
      <c r="P103" s="684" t="str">
        <f t="shared" si="4"/>
        <v>#REF!</v>
      </c>
      <c r="Q103" s="700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</row>
    <row r="104" ht="3.75" hidden="1" customHeight="1">
      <c r="A104" s="124"/>
      <c r="B104" s="2"/>
      <c r="C104" s="124"/>
      <c r="D104" s="138"/>
      <c r="E104" s="252"/>
      <c r="F104" s="140"/>
      <c r="G104" s="140"/>
      <c r="H104" s="140"/>
      <c r="I104" s="701"/>
      <c r="J104" s="141"/>
      <c r="K104" s="164"/>
      <c r="L104" s="164"/>
      <c r="M104" s="164"/>
      <c r="N104" s="164"/>
      <c r="O104" s="699" t="str">
        <f>I104/VLOOKUP(K104,Sheet1!$D$7:$N$16,G104+1,FALSE)</f>
        <v>#N/A</v>
      </c>
      <c r="P104" s="684" t="str">
        <f t="shared" si="4"/>
        <v>#REF!</v>
      </c>
      <c r="Q104" s="702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</row>
    <row r="105" ht="15.0" hidden="1" customHeight="1">
      <c r="A105" s="124"/>
      <c r="B105" s="2"/>
      <c r="C105" s="124"/>
      <c r="D105" s="704" t="s">
        <v>6</v>
      </c>
      <c r="E105" s="260"/>
      <c r="F105" s="187">
        <v>2.0</v>
      </c>
      <c r="G105" s="187">
        <v>5.0</v>
      </c>
      <c r="H105" s="187"/>
      <c r="I105" s="164">
        <v>155.0</v>
      </c>
      <c r="J105" s="706">
        <v>-0.1</v>
      </c>
      <c r="K105" s="164">
        <v>6.0</v>
      </c>
      <c r="L105" s="164"/>
      <c r="M105" s="164"/>
      <c r="N105" s="164"/>
      <c r="O105" s="699">
        <f>I105/VLOOKUP(K105,Sheet1!$D$7:$N$16,G105+1,FALSE)</f>
        <v>202.6143791</v>
      </c>
      <c r="P105" s="684" t="str">
        <f t="shared" si="4"/>
        <v>#REF!</v>
      </c>
      <c r="Q105" s="702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</row>
    <row r="106" ht="3.75" hidden="1" customHeight="1">
      <c r="A106" s="124"/>
      <c r="B106" s="2"/>
      <c r="C106" s="124"/>
      <c r="D106" s="138"/>
      <c r="E106" s="252"/>
      <c r="F106" s="102"/>
      <c r="G106" s="102"/>
      <c r="H106" s="102"/>
      <c r="I106" s="247"/>
      <c r="J106" s="156"/>
      <c r="K106" s="164"/>
      <c r="L106" s="164"/>
      <c r="M106" s="164"/>
      <c r="N106" s="164"/>
      <c r="O106" s="699" t="str">
        <f>I106/VLOOKUP(K106,Sheet1!$D$7:$N$16,G106+1,FALSE)</f>
        <v>#N/A</v>
      </c>
      <c r="P106" s="684" t="str">
        <f t="shared" si="4"/>
        <v>#REF!</v>
      </c>
      <c r="Q106" s="702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</row>
    <row r="107" ht="15.75" hidden="1" customHeight="1">
      <c r="A107" s="124"/>
      <c r="B107" s="2"/>
      <c r="C107" s="124"/>
      <c r="D107" s="704"/>
      <c r="E107" s="260"/>
      <c r="F107" s="187"/>
      <c r="G107" s="187"/>
      <c r="H107" s="187"/>
      <c r="I107" s="164"/>
      <c r="J107" s="706"/>
      <c r="K107" s="164"/>
      <c r="L107" s="164"/>
      <c r="M107" s="164"/>
      <c r="N107" s="164"/>
      <c r="O107" s="699" t="str">
        <f>I107/VLOOKUP(K107,Sheet1!$D$7:$N$16,G107+1,FALSE)</f>
        <v>#N/A</v>
      </c>
      <c r="P107" s="684" t="str">
        <f t="shared" si="4"/>
        <v>#REF!</v>
      </c>
      <c r="Q107" s="702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</row>
    <row r="108" ht="3.75" hidden="1" customHeight="1">
      <c r="A108" s="124"/>
      <c r="B108" s="2"/>
      <c r="C108" s="124"/>
      <c r="D108" s="138"/>
      <c r="E108" s="252"/>
      <c r="F108" s="102"/>
      <c r="G108" s="102"/>
      <c r="H108" s="102"/>
      <c r="I108" s="247"/>
      <c r="J108" s="156"/>
      <c r="K108" s="164"/>
      <c r="L108" s="164"/>
      <c r="M108" s="164"/>
      <c r="N108" s="164"/>
      <c r="O108" s="699" t="str">
        <f>I108/VLOOKUP(K108,Sheet1!$D$7:$N$16,G108+1,FALSE)</f>
        <v>#N/A</v>
      </c>
      <c r="P108" s="684" t="str">
        <f t="shared" si="4"/>
        <v>#REF!</v>
      </c>
      <c r="Q108" s="702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</row>
    <row r="109" ht="15.75" hidden="1" customHeight="1">
      <c r="A109" s="124"/>
      <c r="B109" s="2"/>
      <c r="C109" s="124"/>
      <c r="D109" s="185" t="s">
        <v>51</v>
      </c>
      <c r="E109" s="260"/>
      <c r="F109" s="187">
        <v>1.0</v>
      </c>
      <c r="G109" s="187">
        <v>2.0</v>
      </c>
      <c r="H109" s="187"/>
      <c r="I109" s="164">
        <v>145.0</v>
      </c>
      <c r="J109" s="266">
        <v>6.0</v>
      </c>
      <c r="K109" s="164">
        <v>7.5</v>
      </c>
      <c r="L109" s="164"/>
      <c r="M109" s="164"/>
      <c r="N109" s="164"/>
      <c r="O109" s="699">
        <f>I109/VLOOKUP(K109,Sheet1!$D$7:$N$16,G109+1,FALSE)</f>
        <v>165.2421652</v>
      </c>
      <c r="P109" s="684" t="str">
        <f t="shared" si="4"/>
        <v>#REF!</v>
      </c>
      <c r="Q109" s="702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</row>
    <row r="110" ht="3.75" hidden="1" customHeight="1">
      <c r="A110" s="90"/>
      <c r="B110" s="2"/>
      <c r="C110" s="90"/>
      <c r="D110" s="138"/>
      <c r="E110" s="252"/>
      <c r="F110" s="102"/>
      <c r="G110" s="102"/>
      <c r="H110" s="102"/>
      <c r="I110" s="247"/>
      <c r="J110" s="156"/>
      <c r="K110" s="164"/>
      <c r="L110" s="164"/>
      <c r="M110" s="164"/>
      <c r="N110" s="164"/>
      <c r="O110" s="699" t="str">
        <f>I110/VLOOKUP(K110,Sheet1!$D$7:$N$16,G110+1,FALSE)</f>
        <v>#N/A</v>
      </c>
      <c r="P110" s="684" t="str">
        <f t="shared" si="4"/>
        <v>#REF!</v>
      </c>
      <c r="Q110" s="702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</row>
    <row r="111" ht="15.75" hidden="1" customHeight="1">
      <c r="A111" s="90"/>
      <c r="B111" s="2"/>
      <c r="C111" s="90"/>
      <c r="D111" s="185" t="s">
        <v>51</v>
      </c>
      <c r="E111" s="260"/>
      <c r="F111" s="187">
        <v>4.0</v>
      </c>
      <c r="G111" s="187">
        <v>4.0</v>
      </c>
      <c r="H111" s="187"/>
      <c r="I111" s="164">
        <v>125.0</v>
      </c>
      <c r="J111" s="706">
        <v>-0.12</v>
      </c>
      <c r="K111" s="164">
        <v>6.5</v>
      </c>
      <c r="L111" s="164"/>
      <c r="M111" s="164"/>
      <c r="N111" s="164"/>
      <c r="O111" s="699">
        <f>I111/VLOOKUP(K111,Sheet1!$D$7:$N$16,G111+1,FALSE)</f>
        <v>155.7632399</v>
      </c>
      <c r="P111" s="684" t="str">
        <f t="shared" si="4"/>
        <v>#REF!</v>
      </c>
      <c r="Q111" s="702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</row>
    <row r="112" ht="3.75" hidden="1" customHeight="1">
      <c r="A112" s="191"/>
      <c r="B112" s="719"/>
      <c r="C112" s="192"/>
      <c r="D112" s="138"/>
      <c r="E112" s="252"/>
      <c r="F112" s="102"/>
      <c r="G112" s="102"/>
      <c r="H112" s="102"/>
      <c r="I112" s="247"/>
      <c r="J112" s="156"/>
      <c r="K112" s="164"/>
      <c r="L112" s="164"/>
      <c r="M112" s="164"/>
      <c r="N112" s="164"/>
      <c r="O112" s="699" t="str">
        <f>I112/VLOOKUP(K112,Sheet1!$D$7:$N$16,G112+1,FALSE)</f>
        <v>#N/A</v>
      </c>
      <c r="P112" s="684" t="str">
        <f t="shared" si="4"/>
        <v>#REF!</v>
      </c>
      <c r="Q112" s="702"/>
      <c r="R112" s="158"/>
      <c r="S112" s="158"/>
      <c r="T112" s="158"/>
      <c r="U112" s="158"/>
      <c r="V112" s="158"/>
      <c r="W112" s="158"/>
      <c r="X112" s="158"/>
      <c r="Y112" s="158"/>
      <c r="Z112" s="158"/>
      <c r="AA112" s="158"/>
      <c r="AB112" s="158"/>
      <c r="AC112" s="158"/>
      <c r="AD112" s="158"/>
      <c r="AE112" s="158"/>
      <c r="AF112" s="158"/>
    </row>
    <row r="113" ht="15.75" hidden="1" customHeight="1">
      <c r="A113" s="90"/>
      <c r="B113" s="2"/>
      <c r="C113" s="90"/>
      <c r="D113" s="185" t="s">
        <v>259</v>
      </c>
      <c r="E113" s="260"/>
      <c r="F113" s="187">
        <v>2.0</v>
      </c>
      <c r="G113" s="731" t="s">
        <v>260</v>
      </c>
      <c r="H113" s="187"/>
      <c r="I113" s="164"/>
      <c r="J113" s="266"/>
      <c r="K113" s="164">
        <v>7.0</v>
      </c>
      <c r="L113" s="164"/>
      <c r="M113" s="164"/>
      <c r="N113" s="164"/>
      <c r="O113" s="699" t="str">
        <f>I113/VLOOKUP(K113,Sheet1!$D$7:$N$16,G113+1,FALSE)</f>
        <v>#REF!</v>
      </c>
      <c r="P113" s="684" t="str">
        <f t="shared" si="4"/>
        <v>#REF!</v>
      </c>
      <c r="Q113" s="702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</row>
    <row r="114" ht="3.75" hidden="1" customHeight="1">
      <c r="A114" s="90"/>
      <c r="B114" s="2"/>
      <c r="C114" s="90"/>
      <c r="D114" s="138"/>
      <c r="E114" s="252"/>
      <c r="F114" s="102"/>
      <c r="G114" s="102"/>
      <c r="H114" s="102"/>
      <c r="I114" s="247"/>
      <c r="J114" s="156"/>
      <c r="K114" s="164"/>
      <c r="L114" s="164"/>
      <c r="M114" s="164"/>
      <c r="N114" s="164"/>
      <c r="O114" s="699" t="str">
        <f>I114/VLOOKUP(K114,Sheet1!$D$7:$N$16,G114+1,FALSE)</f>
        <v>#N/A</v>
      </c>
      <c r="P114" s="684" t="str">
        <f t="shared" si="4"/>
        <v>#REF!</v>
      </c>
      <c r="Q114" s="702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</row>
    <row r="115" ht="15.75" hidden="1" customHeight="1">
      <c r="A115" s="90"/>
      <c r="B115" s="2"/>
      <c r="C115" s="90"/>
      <c r="D115" s="185" t="s">
        <v>261</v>
      </c>
      <c r="E115" s="260"/>
      <c r="F115" s="187">
        <v>1.0</v>
      </c>
      <c r="G115" s="731" t="s">
        <v>260</v>
      </c>
      <c r="H115" s="187"/>
      <c r="I115" s="164"/>
      <c r="J115" s="266"/>
      <c r="K115" s="164">
        <v>7.0</v>
      </c>
      <c r="L115" s="164"/>
      <c r="M115" s="164"/>
      <c r="N115" s="164"/>
      <c r="O115" s="699" t="str">
        <f>I115/VLOOKUP(K115,Sheet1!$D$7:$N$16,G115+1,FALSE)</f>
        <v>#REF!</v>
      </c>
      <c r="P115" s="684" t="str">
        <f t="shared" si="4"/>
        <v>#REF!</v>
      </c>
      <c r="Q115" s="702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</row>
    <row r="116" ht="3.75" hidden="1" customHeight="1">
      <c r="A116" s="90"/>
      <c r="B116" s="2"/>
      <c r="C116" s="90"/>
      <c r="D116" s="138"/>
      <c r="E116" s="252"/>
      <c r="F116" s="102"/>
      <c r="G116" s="102"/>
      <c r="H116" s="102"/>
      <c r="I116" s="247"/>
      <c r="J116" s="156"/>
      <c r="K116" s="164"/>
      <c r="L116" s="164"/>
      <c r="M116" s="164"/>
      <c r="N116" s="164"/>
      <c r="O116" s="699" t="str">
        <f>I116/VLOOKUP(K116,Sheet1!$D$7:$N$16,G116+1,FALSE)</f>
        <v>#N/A</v>
      </c>
      <c r="P116" s="684" t="str">
        <f t="shared" si="4"/>
        <v>#REF!</v>
      </c>
      <c r="Q116" s="702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</row>
    <row r="117" ht="15.75" hidden="1" customHeight="1">
      <c r="A117" s="90"/>
      <c r="B117" s="2"/>
      <c r="C117" s="90"/>
      <c r="D117" s="185" t="s">
        <v>262</v>
      </c>
      <c r="E117" s="260"/>
      <c r="F117" s="187">
        <v>1.0</v>
      </c>
      <c r="G117" s="731" t="s">
        <v>260</v>
      </c>
      <c r="H117" s="187"/>
      <c r="I117" s="247"/>
      <c r="J117" s="735"/>
      <c r="K117" s="164">
        <v>7.0</v>
      </c>
      <c r="L117" s="164"/>
      <c r="M117" s="164"/>
      <c r="N117" s="164"/>
      <c r="O117" s="699" t="str">
        <f>I117/VLOOKUP(K117,Sheet1!$D$7:$N$16,G117+1,FALSE)</f>
        <v>#REF!</v>
      </c>
      <c r="P117" s="684" t="str">
        <f t="shared" si="4"/>
        <v>#REF!</v>
      </c>
      <c r="Q117" s="702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</row>
    <row r="118" ht="3.75" hidden="1" customHeight="1">
      <c r="A118" s="90"/>
      <c r="B118" s="2"/>
      <c r="C118" s="90"/>
      <c r="D118" s="138"/>
      <c r="E118" s="252"/>
      <c r="F118" s="102"/>
      <c r="G118" s="102"/>
      <c r="H118" s="102"/>
      <c r="I118" s="247"/>
      <c r="J118" s="156"/>
      <c r="K118" s="164"/>
      <c r="L118" s="164"/>
      <c r="M118" s="164"/>
      <c r="N118" s="164"/>
      <c r="O118" s="699" t="str">
        <f>I118/VLOOKUP(K118,Sheet1!$D$7:$N$16,G118+1,FALSE)</f>
        <v>#N/A</v>
      </c>
      <c r="P118" s="684" t="str">
        <f t="shared" si="4"/>
        <v>#REF!</v>
      </c>
      <c r="Q118" s="702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</row>
    <row r="119" ht="15.75" hidden="1" customHeight="1">
      <c r="A119" s="90"/>
      <c r="B119" s="2"/>
      <c r="C119" s="90"/>
      <c r="D119" s="185" t="s">
        <v>263</v>
      </c>
      <c r="E119" s="260"/>
      <c r="F119" s="187">
        <v>1.0</v>
      </c>
      <c r="G119" s="187">
        <v>15.0</v>
      </c>
      <c r="H119" s="187"/>
      <c r="I119" s="247"/>
      <c r="J119" s="266"/>
      <c r="K119" s="164">
        <v>7.0</v>
      </c>
      <c r="L119" s="164"/>
      <c r="M119" s="164"/>
      <c r="N119" s="164"/>
      <c r="O119" s="699" t="str">
        <f>I119/VLOOKUP(K119,Sheet1!$D$7:$N$16,G119+1,FALSE)</f>
        <v>#REF!</v>
      </c>
      <c r="P119" s="684" t="str">
        <f t="shared" si="4"/>
        <v>#REF!</v>
      </c>
      <c r="Q119" s="702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</row>
    <row r="120" ht="3.75" hidden="1" customHeight="1">
      <c r="A120" s="90"/>
      <c r="B120" s="2"/>
      <c r="C120" s="90"/>
      <c r="D120" s="138"/>
      <c r="E120" s="252"/>
      <c r="F120" s="102"/>
      <c r="G120" s="102"/>
      <c r="H120" s="102"/>
      <c r="I120" s="247"/>
      <c r="J120" s="156"/>
      <c r="K120" s="164"/>
      <c r="L120" s="164"/>
      <c r="M120" s="164"/>
      <c r="N120" s="164"/>
      <c r="O120" s="699" t="str">
        <f>I120/VLOOKUP(K120,Sheet1!$D$7:$N$16,G120+1,FALSE)</f>
        <v>#N/A</v>
      </c>
      <c r="P120" s="684" t="str">
        <f t="shared" si="4"/>
        <v>#REF!</v>
      </c>
      <c r="Q120" s="702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</row>
    <row r="121" ht="15.75" hidden="1" customHeight="1">
      <c r="A121" s="90"/>
      <c r="B121" s="2"/>
      <c r="C121" s="90"/>
      <c r="D121" s="185"/>
      <c r="E121" s="266"/>
      <c r="F121" s="187"/>
      <c r="G121" s="187"/>
      <c r="H121" s="187"/>
      <c r="I121" s="164"/>
      <c r="J121" s="266"/>
      <c r="K121" s="164"/>
      <c r="L121" s="164"/>
      <c r="M121" s="164"/>
      <c r="N121" s="164"/>
      <c r="O121" s="699" t="str">
        <f>I121/VLOOKUP(K121,Sheet1!$D$7:$N$16,G121+1,FALSE)</f>
        <v>#N/A</v>
      </c>
      <c r="P121" s="684" t="str">
        <f t="shared" si="4"/>
        <v>#REF!</v>
      </c>
      <c r="Q121" s="697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</row>
    <row r="122" ht="3.75" hidden="1" customHeight="1">
      <c r="A122" s="124"/>
      <c r="B122" s="2"/>
      <c r="C122" s="124"/>
      <c r="D122" s="252"/>
      <c r="E122" s="252"/>
      <c r="F122" s="102"/>
      <c r="G122" s="102"/>
      <c r="H122" s="102"/>
      <c r="I122" s="102"/>
      <c r="J122" s="156"/>
      <c r="K122" s="259"/>
      <c r="L122" s="201"/>
      <c r="M122" s="201"/>
      <c r="N122" s="201"/>
      <c r="O122" s="699" t="str">
        <f>I122/VLOOKUP(K122,Sheet1!$D$7:$N$16,G122+1,FALSE)</f>
        <v>#N/A</v>
      </c>
      <c r="P122" s="684" t="str">
        <f t="shared" si="4"/>
        <v>#REF!</v>
      </c>
      <c r="Q122" s="259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</row>
    <row r="123" ht="30.75" hidden="1" customHeight="1">
      <c r="A123" s="90"/>
      <c r="B123" s="2"/>
      <c r="C123" s="90"/>
      <c r="D123" s="686" t="s">
        <v>264</v>
      </c>
      <c r="E123" s="687" t="s">
        <v>15</v>
      </c>
      <c r="F123" s="721" t="s">
        <v>16</v>
      </c>
      <c r="G123" s="722" t="s">
        <v>17</v>
      </c>
      <c r="H123" s="723"/>
      <c r="I123" s="724"/>
      <c r="J123" s="725" t="s">
        <v>241</v>
      </c>
      <c r="K123" s="691"/>
      <c r="L123" s="692"/>
      <c r="M123" s="692"/>
      <c r="N123" s="692"/>
      <c r="O123" s="699"/>
      <c r="P123" s="684"/>
      <c r="Q123" s="693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</row>
    <row r="124" ht="14.25" hidden="1" customHeight="1">
      <c r="A124" s="90"/>
      <c r="B124" s="2"/>
      <c r="C124" s="90"/>
      <c r="D124" s="257" t="s">
        <v>25</v>
      </c>
      <c r="E124" s="257" t="s">
        <v>26</v>
      </c>
      <c r="F124" s="680"/>
      <c r="G124" s="681"/>
      <c r="H124" s="723"/>
      <c r="I124" s="681"/>
      <c r="J124" s="725" t="s">
        <v>244</v>
      </c>
      <c r="K124" s="697"/>
      <c r="L124" s="692"/>
      <c r="M124" s="692"/>
      <c r="N124" s="692"/>
      <c r="O124" s="699"/>
      <c r="P124" s="684"/>
      <c r="Q124" s="698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</row>
    <row r="125" ht="3.75" hidden="1" customHeight="1">
      <c r="A125" s="124"/>
      <c r="B125" s="2"/>
      <c r="C125" s="124"/>
      <c r="D125" s="252"/>
      <c r="E125" s="252"/>
      <c r="F125" s="102"/>
      <c r="G125" s="102"/>
      <c r="H125" s="102"/>
      <c r="I125" s="102"/>
      <c r="J125" s="156"/>
      <c r="K125" s="259"/>
      <c r="L125" s="201"/>
      <c r="M125" s="201"/>
      <c r="N125" s="201"/>
      <c r="O125" s="699" t="str">
        <f>I125/VLOOKUP(K125,Sheet1!$D$7:$N$16,G125+1,FALSE)</f>
        <v>#N/A</v>
      </c>
      <c r="P125" s="684" t="str">
        <f t="shared" ref="P125:P138" si="5">I125-#REF!</f>
        <v>#REF!</v>
      </c>
      <c r="Q125" s="259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</row>
    <row r="126" ht="14.25" hidden="1" customHeight="1">
      <c r="A126" s="124"/>
      <c r="B126" s="2"/>
      <c r="C126" s="124"/>
      <c r="D126" s="185" t="s">
        <v>10</v>
      </c>
      <c r="E126" s="260"/>
      <c r="F126" s="187">
        <v>1.0</v>
      </c>
      <c r="G126" s="187">
        <v>5.0</v>
      </c>
      <c r="H126" s="187"/>
      <c r="I126" s="164">
        <v>250.0</v>
      </c>
      <c r="J126" s="266">
        <v>7.0</v>
      </c>
      <c r="K126" s="164">
        <v>8.0</v>
      </c>
      <c r="L126" s="164"/>
      <c r="M126" s="164"/>
      <c r="N126" s="164"/>
      <c r="O126" s="699">
        <f>I126/VLOOKUP(K126,Sheet1!$D$7:$N$16,G126+1,FALSE)</f>
        <v>306.7484663</v>
      </c>
      <c r="P126" s="684" t="str">
        <f t="shared" si="5"/>
        <v>#REF!</v>
      </c>
      <c r="Q126" s="736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</row>
    <row r="127" ht="3.75" hidden="1" customHeight="1">
      <c r="A127" s="124"/>
      <c r="B127" s="2"/>
      <c r="C127" s="124"/>
      <c r="D127" s="138"/>
      <c r="E127" s="252"/>
      <c r="F127" s="102"/>
      <c r="G127" s="102"/>
      <c r="H127" s="102"/>
      <c r="I127" s="247"/>
      <c r="J127" s="156"/>
      <c r="K127" s="164"/>
      <c r="L127" s="164"/>
      <c r="M127" s="164"/>
      <c r="N127" s="164"/>
      <c r="O127" s="699" t="str">
        <f>I127/VLOOKUP(K127,Sheet1!$D$7:$N$16,G127+1,FALSE)</f>
        <v>#N/A</v>
      </c>
      <c r="P127" s="684" t="str">
        <f t="shared" si="5"/>
        <v>#REF!</v>
      </c>
      <c r="Q127" s="702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</row>
    <row r="128" ht="14.25" hidden="1" customHeight="1">
      <c r="A128" s="124"/>
      <c r="B128" s="2"/>
      <c r="C128" s="124"/>
      <c r="D128" s="185" t="s">
        <v>10</v>
      </c>
      <c r="E128" s="260"/>
      <c r="F128" s="187">
        <v>2.0</v>
      </c>
      <c r="G128" s="187">
        <v>7.0</v>
      </c>
      <c r="H128" s="187"/>
      <c r="I128" s="164">
        <v>200.0</v>
      </c>
      <c r="J128" s="706">
        <v>-0.12</v>
      </c>
      <c r="K128" s="164">
        <v>7.5</v>
      </c>
      <c r="L128" s="164"/>
      <c r="M128" s="164"/>
      <c r="N128" s="164"/>
      <c r="O128" s="699">
        <f>I128/VLOOKUP(K128,Sheet1!$D$7:$N$16,G128+1,FALSE)</f>
        <v>265.7807309</v>
      </c>
      <c r="P128" s="684" t="str">
        <f t="shared" si="5"/>
        <v>#REF!</v>
      </c>
      <c r="Q128" s="702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</row>
    <row r="129" ht="3.75" hidden="1" customHeight="1">
      <c r="A129" s="124"/>
      <c r="B129" s="2"/>
      <c r="C129" s="124"/>
      <c r="D129" s="138"/>
      <c r="E129" s="252"/>
      <c r="F129" s="102"/>
      <c r="G129" s="102"/>
      <c r="H129" s="102"/>
      <c r="I129" s="247"/>
      <c r="J129" s="156"/>
      <c r="K129" s="164"/>
      <c r="L129" s="164"/>
      <c r="M129" s="164"/>
      <c r="N129" s="164"/>
      <c r="O129" s="699" t="str">
        <f>I129/VLOOKUP(K129,Sheet1!$D$7:$N$16,G129+1,FALSE)</f>
        <v>#N/A</v>
      </c>
      <c r="P129" s="684" t="str">
        <f t="shared" si="5"/>
        <v>#REF!</v>
      </c>
      <c r="Q129" s="702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</row>
    <row r="130" ht="14.25" hidden="1" customHeight="1">
      <c r="A130" s="124"/>
      <c r="B130" s="2"/>
      <c r="C130" s="124"/>
      <c r="D130" s="185"/>
      <c r="E130" s="260"/>
      <c r="F130" s="187"/>
      <c r="G130" s="187"/>
      <c r="H130" s="187"/>
      <c r="I130" s="164"/>
      <c r="J130" s="706"/>
      <c r="K130" s="164"/>
      <c r="L130" s="164"/>
      <c r="M130" s="164"/>
      <c r="N130" s="164"/>
      <c r="O130" s="699" t="str">
        <f>I130/VLOOKUP(K130,Sheet1!$D$7:$N$16,G130+1,FALSE)</f>
        <v>#N/A</v>
      </c>
      <c r="P130" s="684" t="str">
        <f t="shared" si="5"/>
        <v>#REF!</v>
      </c>
      <c r="Q130" s="702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</row>
    <row r="131" ht="3.75" hidden="1" customHeight="1">
      <c r="A131" s="124"/>
      <c r="B131" s="2"/>
      <c r="C131" s="124"/>
      <c r="D131" s="138"/>
      <c r="E131" s="252"/>
      <c r="F131" s="102"/>
      <c r="G131" s="102"/>
      <c r="H131" s="102"/>
      <c r="I131" s="247"/>
      <c r="J131" s="156"/>
      <c r="K131" s="164"/>
      <c r="L131" s="164"/>
      <c r="M131" s="164"/>
      <c r="N131" s="164"/>
      <c r="O131" s="699" t="str">
        <f>I131/VLOOKUP(K131,Sheet1!$D$7:$N$16,G131+1,FALSE)</f>
        <v>#N/A</v>
      </c>
      <c r="P131" s="684" t="str">
        <f t="shared" si="5"/>
        <v>#REF!</v>
      </c>
      <c r="Q131" s="702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</row>
    <row r="132" ht="14.25" hidden="1" customHeight="1">
      <c r="A132" s="124"/>
      <c r="B132" s="2"/>
      <c r="C132" s="124"/>
      <c r="D132" s="185"/>
      <c r="E132" s="260"/>
      <c r="F132" s="187"/>
      <c r="G132" s="187"/>
      <c r="H132" s="187"/>
      <c r="I132" s="164"/>
      <c r="J132" s="266"/>
      <c r="K132" s="164"/>
      <c r="L132" s="164"/>
      <c r="M132" s="164"/>
      <c r="N132" s="164"/>
      <c r="O132" s="699" t="str">
        <f>I132/VLOOKUP(K132,Sheet1!$D$7:$N$16,G132+1,FALSE)</f>
        <v>#N/A</v>
      </c>
      <c r="P132" s="684" t="str">
        <f t="shared" si="5"/>
        <v>#REF!</v>
      </c>
      <c r="Q132" s="702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</row>
    <row r="133" ht="3.75" hidden="1" customHeight="1">
      <c r="A133" s="124"/>
      <c r="B133" s="2"/>
      <c r="C133" s="124"/>
      <c r="D133" s="138"/>
      <c r="E133" s="252"/>
      <c r="F133" s="102"/>
      <c r="G133" s="102"/>
      <c r="H133" s="102"/>
      <c r="I133" s="247"/>
      <c r="J133" s="156"/>
      <c r="K133" s="164"/>
      <c r="L133" s="164"/>
      <c r="M133" s="164"/>
      <c r="N133" s="164"/>
      <c r="O133" s="699" t="str">
        <f>I133/VLOOKUP(K133,Sheet1!$D$7:$N$16,G133+1,FALSE)</f>
        <v>#N/A</v>
      </c>
      <c r="P133" s="684" t="str">
        <f t="shared" si="5"/>
        <v>#REF!</v>
      </c>
      <c r="Q133" s="702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</row>
    <row r="134" ht="14.25" hidden="1" customHeight="1">
      <c r="A134" s="124"/>
      <c r="B134" s="2"/>
      <c r="C134" s="124"/>
      <c r="D134" s="185" t="s">
        <v>265</v>
      </c>
      <c r="E134" s="264"/>
      <c r="F134" s="187">
        <v>3.0</v>
      </c>
      <c r="G134" s="187">
        <v>7.0</v>
      </c>
      <c r="H134" s="187"/>
      <c r="I134" s="164">
        <v>110.0</v>
      </c>
      <c r="J134" s="266">
        <v>7.0</v>
      </c>
      <c r="K134" s="164">
        <v>7.0</v>
      </c>
      <c r="L134" s="164"/>
      <c r="M134" s="164"/>
      <c r="N134" s="164"/>
      <c r="O134" s="699">
        <f>I134/VLOOKUP(K134,Sheet1!$D$7:$N$16,G134+1,FALSE)</f>
        <v>148.6486486</v>
      </c>
      <c r="P134" s="684" t="str">
        <f t="shared" si="5"/>
        <v>#REF!</v>
      </c>
      <c r="Q134" s="702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</row>
    <row r="135" ht="3.75" hidden="1" customHeight="1">
      <c r="A135" s="261"/>
      <c r="B135" s="719"/>
      <c r="C135" s="262"/>
      <c r="D135" s="138"/>
      <c r="E135" s="252"/>
      <c r="F135" s="102"/>
      <c r="G135" s="102"/>
      <c r="H135" s="102"/>
      <c r="I135" s="247"/>
      <c r="J135" s="156"/>
      <c r="K135" s="164"/>
      <c r="L135" s="164"/>
      <c r="M135" s="164"/>
      <c r="N135" s="164"/>
      <c r="O135" s="699" t="str">
        <f>I135/VLOOKUP(K135,Sheet1!$D$7:$N$16,G135+1,FALSE)</f>
        <v>#N/A</v>
      </c>
      <c r="P135" s="684" t="str">
        <f t="shared" si="5"/>
        <v>#REF!</v>
      </c>
      <c r="Q135" s="702"/>
      <c r="R135" s="158"/>
      <c r="S135" s="158"/>
      <c r="T135" s="158"/>
      <c r="U135" s="158"/>
      <c r="V135" s="158"/>
      <c r="W135" s="158"/>
      <c r="X135" s="158"/>
      <c r="Y135" s="158"/>
      <c r="Z135" s="158"/>
      <c r="AA135" s="158"/>
      <c r="AB135" s="158"/>
      <c r="AC135" s="158"/>
      <c r="AD135" s="158"/>
      <c r="AE135" s="158"/>
      <c r="AF135" s="158"/>
    </row>
    <row r="136" ht="14.25" hidden="1" customHeight="1">
      <c r="A136" s="124"/>
      <c r="B136" s="2"/>
      <c r="C136" s="124"/>
      <c r="D136" s="185"/>
      <c r="E136" s="260"/>
      <c r="F136" s="187"/>
      <c r="G136" s="187"/>
      <c r="H136" s="187"/>
      <c r="I136" s="164"/>
      <c r="J136" s="266"/>
      <c r="K136" s="164"/>
      <c r="L136" s="164"/>
      <c r="M136" s="164"/>
      <c r="N136" s="164"/>
      <c r="O136" s="699" t="str">
        <f>I136/VLOOKUP(K136,Sheet1!$D$7:$N$16,G136+1,FALSE)</f>
        <v>#N/A</v>
      </c>
      <c r="P136" s="684" t="str">
        <f t="shared" si="5"/>
        <v>#REF!</v>
      </c>
      <c r="Q136" s="702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</row>
    <row r="137" ht="3.75" hidden="1" customHeight="1">
      <c r="A137" s="261"/>
      <c r="B137" s="719"/>
      <c r="C137" s="262"/>
      <c r="D137" s="138"/>
      <c r="E137" s="252"/>
      <c r="F137" s="102"/>
      <c r="G137" s="102"/>
      <c r="H137" s="102"/>
      <c r="I137" s="247"/>
      <c r="J137" s="156"/>
      <c r="K137" s="164"/>
      <c r="L137" s="164"/>
      <c r="M137" s="164"/>
      <c r="N137" s="164"/>
      <c r="O137" s="699" t="str">
        <f>I137/VLOOKUP(K137,Sheet1!$D$7:$N$16,G137+1,FALSE)</f>
        <v>#N/A</v>
      </c>
      <c r="P137" s="684" t="str">
        <f t="shared" si="5"/>
        <v>#REF!</v>
      </c>
      <c r="Q137" s="702"/>
      <c r="R137" s="158"/>
      <c r="S137" s="158"/>
      <c r="T137" s="158"/>
      <c r="U137" s="158"/>
      <c r="V137" s="158"/>
      <c r="W137" s="158"/>
      <c r="X137" s="158"/>
      <c r="Y137" s="158"/>
      <c r="Z137" s="158"/>
      <c r="AA137" s="158"/>
      <c r="AB137" s="158"/>
      <c r="AC137" s="158"/>
      <c r="AD137" s="158"/>
      <c r="AE137" s="158"/>
      <c r="AF137" s="158"/>
    </row>
    <row r="138" ht="15.75" hidden="1" customHeight="1">
      <c r="A138" s="124"/>
      <c r="B138" s="2"/>
      <c r="C138" s="124"/>
      <c r="D138" s="185" t="s">
        <v>266</v>
      </c>
      <c r="E138" s="260"/>
      <c r="F138" s="187">
        <v>3.0</v>
      </c>
      <c r="G138" s="731" t="s">
        <v>260</v>
      </c>
      <c r="H138" s="187"/>
      <c r="I138" s="247"/>
      <c r="J138" s="266">
        <v>8.0</v>
      </c>
      <c r="K138" s="164"/>
      <c r="L138" s="164"/>
      <c r="M138" s="164"/>
      <c r="N138" s="164"/>
      <c r="O138" s="699" t="str">
        <f>I138/VLOOKUP(K138,Sheet1!$D$7:$N$16,G138+1,FALSE)</f>
        <v>#REF!</v>
      </c>
      <c r="P138" s="684" t="str">
        <f t="shared" si="5"/>
        <v>#REF!</v>
      </c>
      <c r="Q138" s="702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</row>
    <row r="139" ht="3.75" hidden="1" customHeight="1">
      <c r="A139" s="124"/>
      <c r="B139" s="2"/>
      <c r="C139" s="124"/>
      <c r="D139" s="263"/>
      <c r="E139" s="252"/>
      <c r="F139" s="102"/>
      <c r="G139" s="102"/>
      <c r="H139" s="102"/>
      <c r="I139" s="247"/>
      <c r="J139" s="156"/>
      <c r="K139" s="164"/>
      <c r="L139" s="164"/>
      <c r="M139" s="164"/>
      <c r="N139" s="164"/>
      <c r="O139" s="699" t="str">
        <f>I139/VLOOKUP(K139,Sheet1!$D$7:$N$16,G139+1,FALSE)</f>
        <v>#N/A</v>
      </c>
      <c r="P139" s="684"/>
      <c r="Q139" s="702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</row>
    <row r="140" ht="14.25" hidden="1" customHeight="1">
      <c r="A140" s="90"/>
      <c r="B140" s="2"/>
      <c r="C140" s="90"/>
      <c r="D140" s="185" t="s">
        <v>267</v>
      </c>
      <c r="E140" s="264"/>
      <c r="F140" s="187">
        <v>3.0</v>
      </c>
      <c r="G140" s="731" t="s">
        <v>260</v>
      </c>
      <c r="H140" s="187"/>
      <c r="I140" s="164"/>
      <c r="J140" s="266">
        <v>8.0</v>
      </c>
      <c r="K140" s="164"/>
      <c r="L140" s="164"/>
      <c r="M140" s="164"/>
      <c r="N140" s="164"/>
      <c r="O140" s="699" t="str">
        <f>I140/VLOOKUP(K140,Sheet1!$D$7:$N$16,G140+1,FALSE)</f>
        <v>#REF!</v>
      </c>
      <c r="P140" s="684"/>
      <c r="Q140" s="702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</row>
    <row r="141" ht="3.75" hidden="1" customHeight="1">
      <c r="A141" s="261"/>
      <c r="B141" s="719"/>
      <c r="C141" s="262"/>
      <c r="D141" s="263"/>
      <c r="E141" s="263"/>
      <c r="F141" s="194"/>
      <c r="G141" s="194"/>
      <c r="H141" s="194"/>
      <c r="I141" s="164"/>
      <c r="J141" s="267"/>
      <c r="K141" s="164"/>
      <c r="L141" s="164"/>
      <c r="M141" s="164"/>
      <c r="N141" s="164"/>
      <c r="O141" s="699" t="str">
        <f>I141/VLOOKUP(K141,Sheet1!$D$7:$N$16,G141+1,FALSE)</f>
        <v>#N/A</v>
      </c>
      <c r="P141" s="684"/>
      <c r="Q141" s="702"/>
      <c r="R141" s="158"/>
      <c r="S141" s="158"/>
      <c r="T141" s="158"/>
      <c r="U141" s="158"/>
      <c r="V141" s="158"/>
      <c r="W141" s="158"/>
      <c r="X141" s="158"/>
      <c r="Y141" s="158"/>
      <c r="Z141" s="158"/>
      <c r="AA141" s="158"/>
      <c r="AB141" s="158"/>
      <c r="AC141" s="158"/>
      <c r="AD141" s="158"/>
      <c r="AE141" s="158"/>
      <c r="AF141" s="158"/>
    </row>
    <row r="142" ht="15.75" hidden="1" customHeight="1">
      <c r="A142" s="90"/>
      <c r="B142" s="2"/>
      <c r="C142" s="90"/>
      <c r="D142" s="185" t="s">
        <v>268</v>
      </c>
      <c r="E142" s="266"/>
      <c r="F142" s="187">
        <v>3.0</v>
      </c>
      <c r="G142" s="731" t="s">
        <v>251</v>
      </c>
      <c r="H142" s="187"/>
      <c r="I142" s="164"/>
      <c r="J142" s="266">
        <v>9.0</v>
      </c>
      <c r="K142" s="164"/>
      <c r="L142" s="164"/>
      <c r="M142" s="164"/>
      <c r="N142" s="164"/>
      <c r="O142" s="699" t="str">
        <f>I142/VLOOKUP(K142,Sheet1!$D$7:$N$16,G142+1,FALSE)</f>
        <v>#REF!</v>
      </c>
      <c r="P142" s="684"/>
      <c r="Q142" s="702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</row>
    <row r="143" ht="3.75" hidden="1" customHeight="1">
      <c r="A143" s="90"/>
      <c r="B143" s="2"/>
      <c r="C143" s="90"/>
      <c r="D143" s="138"/>
      <c r="E143" s="252"/>
      <c r="F143" s="102"/>
      <c r="G143" s="102"/>
      <c r="H143" s="102"/>
      <c r="I143" s="247"/>
      <c r="J143" s="156"/>
      <c r="K143" s="164"/>
      <c r="L143" s="164"/>
      <c r="M143" s="164"/>
      <c r="N143" s="164"/>
      <c r="O143" s="699" t="str">
        <f>I143/VLOOKUP(K143,Sheet1!$D$7:$N$16,G143+1,FALSE)</f>
        <v>#N/A</v>
      </c>
      <c r="P143" s="684"/>
      <c r="Q143" s="702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</row>
    <row r="144" ht="15.75" hidden="1" customHeight="1">
      <c r="A144" s="90"/>
      <c r="B144" s="2"/>
      <c r="C144" s="90"/>
      <c r="D144" s="185" t="s">
        <v>269</v>
      </c>
      <c r="E144" s="266"/>
      <c r="F144" s="187">
        <v>3.0</v>
      </c>
      <c r="G144" s="731" t="s">
        <v>260</v>
      </c>
      <c r="H144" s="187"/>
      <c r="I144" s="164"/>
      <c r="J144" s="266">
        <v>9.0</v>
      </c>
      <c r="K144" s="164"/>
      <c r="L144" s="164"/>
      <c r="M144" s="164"/>
      <c r="N144" s="164"/>
      <c r="O144" s="699" t="str">
        <f>I144/VLOOKUP(K144,Sheet1!$D$7:$N$16,G144+1,FALSE)</f>
        <v>#REF!</v>
      </c>
      <c r="P144" s="684"/>
      <c r="Q144" s="702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</row>
    <row r="145" ht="3.75" hidden="1" customHeight="1">
      <c r="A145" s="191"/>
      <c r="B145" s="719"/>
      <c r="C145" s="192"/>
      <c r="D145" s="138"/>
      <c r="E145" s="252"/>
      <c r="F145" s="102"/>
      <c r="G145" s="102"/>
      <c r="H145" s="102"/>
      <c r="I145" s="247"/>
      <c r="J145" s="156"/>
      <c r="K145" s="164"/>
      <c r="L145" s="164"/>
      <c r="M145" s="164"/>
      <c r="N145" s="164"/>
      <c r="O145" s="699" t="str">
        <f>I145/VLOOKUP(K145,Sheet1!$D$7:$N$16,G145+1,FALSE)</f>
        <v>#N/A</v>
      </c>
      <c r="P145" s="684"/>
      <c r="Q145" s="702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</row>
    <row r="146" ht="15.75" hidden="1" customHeight="1">
      <c r="A146" s="90"/>
      <c r="B146" s="2"/>
      <c r="C146" s="90"/>
      <c r="D146" s="185" t="s">
        <v>270</v>
      </c>
      <c r="E146" s="260"/>
      <c r="F146" s="187">
        <v>3.0</v>
      </c>
      <c r="G146" s="731" t="s">
        <v>260</v>
      </c>
      <c r="H146" s="187"/>
      <c r="I146" s="164"/>
      <c r="J146" s="266">
        <v>9.0</v>
      </c>
      <c r="K146" s="164"/>
      <c r="L146" s="164"/>
      <c r="M146" s="164"/>
      <c r="N146" s="164"/>
      <c r="O146" s="699" t="str">
        <f>I146/VLOOKUP(K146,Sheet1!$D$7:$N$16,G146+1,FALSE)</f>
        <v>#REF!</v>
      </c>
      <c r="P146" s="684"/>
      <c r="Q146" s="702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</row>
    <row r="147" ht="3.75" hidden="1" customHeight="1">
      <c r="A147" s="90"/>
      <c r="B147" s="2"/>
      <c r="C147" s="90"/>
      <c r="D147" s="263"/>
      <c r="E147" s="252"/>
      <c r="F147" s="102"/>
      <c r="G147" s="102"/>
      <c r="H147" s="102"/>
      <c r="I147" s="247"/>
      <c r="J147" s="156"/>
      <c r="K147" s="164"/>
      <c r="L147" s="164"/>
      <c r="M147" s="164"/>
      <c r="N147" s="164"/>
      <c r="O147" s="699" t="str">
        <f>I147/VLOOKUP(K147,Sheet1!$D$7:$N$16,G147+1,FALSE)</f>
        <v>#N/A</v>
      </c>
      <c r="P147" s="684"/>
      <c r="Q147" s="702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</row>
    <row r="148" ht="15.75" hidden="1" customHeight="1">
      <c r="A148" s="90"/>
      <c r="B148" s="2"/>
      <c r="C148" s="90"/>
      <c r="D148" s="185" t="s">
        <v>256</v>
      </c>
      <c r="E148" s="266"/>
      <c r="F148" s="187">
        <v>3.0</v>
      </c>
      <c r="G148" s="187" t="s">
        <v>16</v>
      </c>
      <c r="H148" s="187"/>
      <c r="I148" s="164"/>
      <c r="J148" s="266">
        <v>9.0</v>
      </c>
      <c r="K148" s="164"/>
      <c r="L148" s="164"/>
      <c r="M148" s="164"/>
      <c r="N148" s="164"/>
      <c r="O148" s="699" t="str">
        <f>I148/VLOOKUP(K148,Sheet1!$D$7:$N$16,G148+1,FALSE)</f>
        <v>#VALUE!</v>
      </c>
      <c r="P148" s="684"/>
      <c r="Q148" s="697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</row>
    <row r="149" ht="3.75" hidden="1" customHeight="1">
      <c r="A149" s="191"/>
      <c r="B149" s="719"/>
      <c r="C149" s="192"/>
      <c r="D149" s="192"/>
      <c r="E149" s="267"/>
      <c r="F149" s="194"/>
      <c r="G149" s="194"/>
      <c r="H149" s="194"/>
      <c r="I149" s="194"/>
      <c r="J149" s="267"/>
      <c r="K149" s="273"/>
      <c r="L149" s="737"/>
      <c r="M149" s="737"/>
      <c r="N149" s="737"/>
      <c r="O149" s="271"/>
      <c r="P149" s="272"/>
      <c r="Q149" s="273"/>
      <c r="R149" s="158"/>
      <c r="S149" s="158"/>
      <c r="T149" s="158"/>
      <c r="U149" s="158"/>
      <c r="V149" s="158"/>
      <c r="W149" s="158"/>
      <c r="X149" s="158"/>
      <c r="Y149" s="158"/>
      <c r="Z149" s="158"/>
      <c r="AA149" s="158"/>
      <c r="AB149" s="158"/>
      <c r="AC149" s="158"/>
      <c r="AD149" s="158"/>
      <c r="AE149" s="158"/>
      <c r="AF149" s="158"/>
    </row>
    <row r="150" ht="14.25" hidden="1" customHeight="1">
      <c r="A150" s="5"/>
      <c r="B150" s="2"/>
      <c r="C150" s="5"/>
      <c r="D150" s="738"/>
      <c r="E150" s="739"/>
      <c r="F150" s="683"/>
      <c r="G150" s="683"/>
      <c r="H150" s="683"/>
      <c r="I150" s="683"/>
      <c r="J150" s="739"/>
      <c r="K150" s="738"/>
      <c r="L150" s="683"/>
      <c r="M150" s="683"/>
      <c r="N150" s="683"/>
      <c r="O150" s="740"/>
      <c r="P150" s="4"/>
      <c r="Q150" s="738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</row>
    <row r="151" ht="14.25" hidden="1" customHeight="1">
      <c r="A151" s="5"/>
      <c r="B151" s="2"/>
      <c r="C151" s="5"/>
      <c r="D151" s="738"/>
      <c r="E151" s="739"/>
      <c r="F151" s="683"/>
      <c r="G151" s="683"/>
      <c r="H151" s="683"/>
      <c r="I151" s="683"/>
      <c r="J151" s="739"/>
      <c r="K151" s="738"/>
      <c r="L151" s="683"/>
      <c r="M151" s="683"/>
      <c r="N151" s="683"/>
      <c r="O151" s="741"/>
      <c r="P151" s="4"/>
      <c r="Q151" s="738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</row>
    <row r="152" ht="14.25" hidden="1" customHeight="1">
      <c r="A152" s="5"/>
      <c r="B152" s="2"/>
      <c r="C152" s="5"/>
      <c r="D152" s="738"/>
      <c r="E152" s="739"/>
      <c r="F152" s="683"/>
      <c r="G152" s="683"/>
      <c r="H152" s="683"/>
      <c r="I152" s="683"/>
      <c r="J152" s="739"/>
      <c r="K152" s="738"/>
      <c r="L152" s="683"/>
      <c r="M152" s="683"/>
      <c r="N152" s="683"/>
      <c r="O152" s="741"/>
      <c r="P152" s="4"/>
      <c r="Q152" s="738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</row>
    <row r="153" ht="14.25" hidden="1" customHeight="1">
      <c r="A153" s="5"/>
      <c r="B153" s="2"/>
      <c r="C153" s="5"/>
      <c r="D153" s="738"/>
      <c r="E153" s="739"/>
      <c r="F153" s="683"/>
      <c r="G153" s="683"/>
      <c r="H153" s="683"/>
      <c r="I153" s="683"/>
      <c r="J153" s="739"/>
      <c r="K153" s="738"/>
      <c r="L153" s="683"/>
      <c r="M153" s="683"/>
      <c r="N153" s="683"/>
      <c r="O153" s="741"/>
      <c r="P153" s="4"/>
      <c r="Q153" s="738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</row>
    <row r="154" ht="14.25" hidden="1" customHeight="1">
      <c r="A154" s="5"/>
      <c r="B154" s="2"/>
      <c r="C154" s="5"/>
      <c r="D154" s="738"/>
      <c r="E154" s="739"/>
      <c r="F154" s="683"/>
      <c r="G154" s="683"/>
      <c r="H154" s="683"/>
      <c r="I154" s="683"/>
      <c r="J154" s="739"/>
      <c r="K154" s="738"/>
      <c r="L154" s="683"/>
      <c r="M154" s="683"/>
      <c r="N154" s="683"/>
      <c r="O154" s="741"/>
      <c r="P154" s="4"/>
      <c r="Q154" s="738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</row>
    <row r="155" ht="14.25" hidden="1" customHeight="1">
      <c r="A155" s="5"/>
      <c r="B155" s="2"/>
      <c r="C155" s="5"/>
      <c r="D155" s="738"/>
      <c r="E155" s="739"/>
      <c r="F155" s="683"/>
      <c r="G155" s="683"/>
      <c r="H155" s="683"/>
      <c r="I155" s="683"/>
      <c r="J155" s="739"/>
      <c r="K155" s="738"/>
      <c r="L155" s="683"/>
      <c r="M155" s="683"/>
      <c r="N155" s="683"/>
      <c r="O155" s="741"/>
      <c r="P155" s="4"/>
      <c r="Q155" s="738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</row>
    <row r="156" ht="14.25" hidden="1" customHeight="1">
      <c r="A156" s="5"/>
      <c r="B156" s="2"/>
      <c r="C156" s="5"/>
      <c r="D156" s="5"/>
      <c r="E156" s="75"/>
      <c r="F156" s="3"/>
      <c r="G156" s="3"/>
      <c r="H156" s="3"/>
      <c r="I156" s="3"/>
      <c r="J156" s="75"/>
      <c r="K156" s="5"/>
      <c r="L156" s="3"/>
      <c r="M156" s="3"/>
      <c r="N156" s="3"/>
      <c r="O156" s="3"/>
      <c r="P156" s="4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</row>
    <row r="157" ht="19.5" hidden="1" customHeight="1">
      <c r="A157" s="5"/>
      <c r="B157" s="2"/>
      <c r="C157" s="5"/>
      <c r="D157" s="663" t="s">
        <v>240</v>
      </c>
      <c r="E157" s="664">
        <v>2.0</v>
      </c>
      <c r="F157" s="665"/>
      <c r="G157" s="666"/>
      <c r="H157" s="665"/>
      <c r="I157" s="667"/>
      <c r="J157" s="668"/>
      <c r="K157" s="669"/>
      <c r="L157" s="453"/>
      <c r="M157" s="453"/>
      <c r="N157" s="453"/>
      <c r="O157" s="3"/>
      <c r="P157" s="4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</row>
    <row r="158" ht="27.0" hidden="1" customHeight="1">
      <c r="A158" s="90"/>
      <c r="B158" s="2"/>
      <c r="C158" s="90"/>
      <c r="D158" s="670"/>
      <c r="E158" s="671"/>
      <c r="F158" s="672" t="s">
        <v>16</v>
      </c>
      <c r="G158" s="673" t="s">
        <v>17</v>
      </c>
      <c r="H158" s="665"/>
      <c r="I158" s="674" t="s">
        <v>18</v>
      </c>
      <c r="J158" s="675" t="s">
        <v>241</v>
      </c>
      <c r="K158" s="676"/>
      <c r="L158" s="676"/>
      <c r="M158" s="676"/>
      <c r="N158" s="676"/>
      <c r="O158" s="122" t="s">
        <v>242</v>
      </c>
      <c r="P158" s="677" t="s">
        <v>243</v>
      </c>
      <c r="Q158" s="678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</row>
    <row r="159" ht="14.25" hidden="1" customHeight="1">
      <c r="A159" s="90"/>
      <c r="B159" s="2"/>
      <c r="C159" s="90"/>
      <c r="D159" s="679" t="s">
        <v>13</v>
      </c>
      <c r="E159" s="671"/>
      <c r="F159" s="680"/>
      <c r="G159" s="681"/>
      <c r="H159" s="665"/>
      <c r="I159" s="681"/>
      <c r="J159" s="675" t="s">
        <v>244</v>
      </c>
      <c r="K159" s="214"/>
      <c r="L159" s="682"/>
      <c r="M159" s="682"/>
      <c r="N159" s="682"/>
      <c r="O159" s="683"/>
      <c r="P159" s="684" t="s">
        <v>245</v>
      </c>
      <c r="Q159" s="68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</row>
    <row r="160" ht="3.75" hidden="1" customHeight="1">
      <c r="A160" s="90"/>
      <c r="B160" s="2"/>
      <c r="C160" s="90"/>
      <c r="D160" s="97"/>
      <c r="E160" s="98"/>
      <c r="F160" s="99"/>
      <c r="G160" s="99"/>
      <c r="H160" s="99"/>
      <c r="I160" s="100"/>
      <c r="J160" s="101"/>
      <c r="K160" s="90"/>
      <c r="L160" s="102"/>
      <c r="M160" s="102"/>
      <c r="N160" s="102"/>
      <c r="O160" s="103"/>
      <c r="P160" s="4"/>
      <c r="Q160" s="90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</row>
    <row r="161" ht="30.0" hidden="1" customHeight="1">
      <c r="A161" s="90"/>
      <c r="B161" s="2"/>
      <c r="C161" s="90"/>
      <c r="D161" s="686" t="s">
        <v>271</v>
      </c>
      <c r="E161" s="687" t="s">
        <v>15</v>
      </c>
      <c r="F161" s="688"/>
      <c r="G161" s="688"/>
      <c r="H161" s="688"/>
      <c r="I161" s="689"/>
      <c r="J161" s="690"/>
      <c r="K161" s="691" t="s">
        <v>20</v>
      </c>
      <c r="L161" s="692"/>
      <c r="M161" s="692"/>
      <c r="N161" s="692"/>
      <c r="O161" s="683"/>
      <c r="P161" s="684"/>
      <c r="Q161" s="693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</row>
    <row r="162" ht="19.5" hidden="1" customHeight="1">
      <c r="A162" s="90"/>
      <c r="B162" s="2"/>
      <c r="C162" s="90"/>
      <c r="D162" s="257" t="s">
        <v>25</v>
      </c>
      <c r="E162" s="257" t="s">
        <v>26</v>
      </c>
      <c r="F162" s="694"/>
      <c r="G162" s="694"/>
      <c r="H162" s="694"/>
      <c r="I162" s="695"/>
      <c r="J162" s="696"/>
      <c r="K162" s="697"/>
      <c r="L162" s="692"/>
      <c r="M162" s="692"/>
      <c r="N162" s="692"/>
      <c r="O162" s="683"/>
      <c r="P162" s="684"/>
      <c r="Q162" s="698" t="s">
        <v>30</v>
      </c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</row>
    <row r="163" ht="3.75" hidden="1" customHeight="1">
      <c r="A163" s="90"/>
      <c r="B163" s="2"/>
      <c r="C163" s="90"/>
      <c r="D163" s="97"/>
      <c r="E163" s="98"/>
      <c r="F163" s="99"/>
      <c r="G163" s="99"/>
      <c r="H163" s="99"/>
      <c r="I163" s="100"/>
      <c r="J163" s="101"/>
      <c r="K163" s="90"/>
      <c r="L163" s="102"/>
      <c r="M163" s="102"/>
      <c r="N163" s="102"/>
      <c r="O163" s="699"/>
      <c r="P163" s="684"/>
      <c r="Q163" s="90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</row>
    <row r="164" ht="15.75" hidden="1" customHeight="1">
      <c r="A164" s="124"/>
      <c r="B164" s="2"/>
      <c r="C164" s="124"/>
      <c r="D164" s="185" t="s">
        <v>6</v>
      </c>
      <c r="E164" s="260"/>
      <c r="F164" s="187">
        <v>1.0</v>
      </c>
      <c r="G164" s="187">
        <v>6.0</v>
      </c>
      <c r="H164" s="187"/>
      <c r="I164" s="164">
        <v>170.0</v>
      </c>
      <c r="J164" s="266">
        <v>5.0</v>
      </c>
      <c r="K164" s="183">
        <v>5.0</v>
      </c>
      <c r="L164" s="183"/>
      <c r="M164" s="183"/>
      <c r="N164" s="183"/>
      <c r="O164" s="699" t="str">
        <f>I164/VLOOKUP(K164,Sheet1!$D$7:$N$16,G164+1,FALSE)</f>
        <v>#N/A</v>
      </c>
      <c r="P164" s="684" t="str">
        <f t="shared" ref="P164:P185" si="6">I164-#REF!</f>
        <v>#REF!</v>
      </c>
      <c r="Q164" s="700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</row>
    <row r="165" ht="3.75" hidden="1" customHeight="1">
      <c r="A165" s="137"/>
      <c r="B165" s="661"/>
      <c r="C165" s="137"/>
      <c r="D165" s="138"/>
      <c r="E165" s="252"/>
      <c r="F165" s="140"/>
      <c r="G165" s="140"/>
      <c r="H165" s="140"/>
      <c r="I165" s="701"/>
      <c r="J165" s="141"/>
      <c r="K165" s="183"/>
      <c r="L165" s="183"/>
      <c r="M165" s="183"/>
      <c r="N165" s="183"/>
      <c r="O165" s="699" t="str">
        <f>I165/VLOOKUP(K165,Sheet1!$D$7:$N$16,G165+1,FALSE)</f>
        <v>#N/A</v>
      </c>
      <c r="P165" s="684" t="str">
        <f t="shared" si="6"/>
        <v>#REF!</v>
      </c>
      <c r="Q165" s="702"/>
      <c r="R165" s="148"/>
      <c r="S165" s="148"/>
      <c r="T165" s="148"/>
      <c r="U165" s="148"/>
      <c r="V165" s="148"/>
      <c r="W165" s="148"/>
      <c r="X165" s="148"/>
      <c r="Y165" s="148"/>
      <c r="Z165" s="148"/>
      <c r="AA165" s="148"/>
      <c r="AB165" s="148"/>
      <c r="AC165" s="148"/>
      <c r="AD165" s="148"/>
      <c r="AE165" s="148"/>
      <c r="AF165" s="148"/>
    </row>
    <row r="166" ht="15.75" hidden="1" customHeight="1">
      <c r="A166" s="149"/>
      <c r="B166" s="703"/>
      <c r="C166" s="149"/>
      <c r="D166" s="704" t="s">
        <v>6</v>
      </c>
      <c r="E166" s="260"/>
      <c r="F166" s="187">
        <v>1.0</v>
      </c>
      <c r="G166" s="187">
        <v>6.0</v>
      </c>
      <c r="H166" s="187"/>
      <c r="I166" s="164">
        <v>180.0</v>
      </c>
      <c r="J166" s="266">
        <v>6.5</v>
      </c>
      <c r="K166" s="183">
        <v>6.0</v>
      </c>
      <c r="L166" s="183"/>
      <c r="M166" s="183"/>
      <c r="N166" s="183"/>
      <c r="O166" s="699">
        <f>I166/VLOOKUP(K166,Sheet1!$D$7:$N$16,G166+1,FALSE)</f>
        <v>243.2432432</v>
      </c>
      <c r="P166" s="684" t="str">
        <f t="shared" si="6"/>
        <v>#REF!</v>
      </c>
      <c r="Q166" s="702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</row>
    <row r="167" ht="3.75" hidden="1" customHeight="1">
      <c r="A167" s="152"/>
      <c r="B167" s="705"/>
      <c r="C167" s="153"/>
      <c r="D167" s="138"/>
      <c r="E167" s="263"/>
      <c r="F167" s="194"/>
      <c r="G167" s="194"/>
      <c r="H167" s="194"/>
      <c r="I167" s="164"/>
      <c r="J167" s="267"/>
      <c r="K167" s="183"/>
      <c r="L167" s="183"/>
      <c r="M167" s="183"/>
      <c r="N167" s="183"/>
      <c r="O167" s="699" t="str">
        <f>I167/VLOOKUP(K167,Sheet1!$D$7:$N$16,G167+1,FALSE)</f>
        <v>#N/A</v>
      </c>
      <c r="P167" s="684" t="str">
        <f t="shared" si="6"/>
        <v>#REF!</v>
      </c>
      <c r="Q167" s="702"/>
      <c r="R167" s="158"/>
      <c r="S167" s="158"/>
      <c r="T167" s="158"/>
      <c r="U167" s="158"/>
      <c r="V167" s="158"/>
      <c r="W167" s="158"/>
      <c r="X167" s="158"/>
      <c r="Y167" s="158"/>
      <c r="Z167" s="158"/>
      <c r="AA167" s="158"/>
      <c r="AB167" s="158"/>
      <c r="AC167" s="158"/>
      <c r="AD167" s="158"/>
      <c r="AE167" s="158"/>
      <c r="AF167" s="158"/>
    </row>
    <row r="168" ht="15.75" hidden="1" customHeight="1">
      <c r="A168" s="149"/>
      <c r="B168" s="703"/>
      <c r="C168" s="149"/>
      <c r="D168" s="185" t="s">
        <v>6</v>
      </c>
      <c r="E168" s="264"/>
      <c r="F168" s="187">
        <v>1.0</v>
      </c>
      <c r="G168" s="187">
        <v>6.0</v>
      </c>
      <c r="H168" s="187"/>
      <c r="I168" s="164">
        <v>160.0</v>
      </c>
      <c r="J168" s="706">
        <v>-0.12</v>
      </c>
      <c r="K168" s="183">
        <v>5.0</v>
      </c>
      <c r="L168" s="183"/>
      <c r="M168" s="183"/>
      <c r="N168" s="183"/>
      <c r="O168" s="699" t="str">
        <f>I168/VLOOKUP(K168,Sheet1!$D$7:$N$16,G168+1,FALSE)</f>
        <v>#N/A</v>
      </c>
      <c r="P168" s="684" t="str">
        <f t="shared" si="6"/>
        <v>#REF!</v>
      </c>
      <c r="Q168" s="702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</row>
    <row r="169" ht="3.75" hidden="1" customHeight="1">
      <c r="A169" s="162"/>
      <c r="B169" s="707"/>
      <c r="C169" s="162"/>
      <c r="D169" s="138"/>
      <c r="E169" s="708"/>
      <c r="F169" s="140"/>
      <c r="G169" s="140"/>
      <c r="H169" s="140"/>
      <c r="I169" s="701"/>
      <c r="J169" s="141"/>
      <c r="K169" s="183"/>
      <c r="L169" s="183"/>
      <c r="M169" s="183"/>
      <c r="N169" s="183"/>
      <c r="O169" s="699" t="str">
        <f>I169/VLOOKUP(K169,Sheet1!$D$7:$N$16,G169+1,FALSE)</f>
        <v>#N/A</v>
      </c>
      <c r="P169" s="684" t="str">
        <f t="shared" si="6"/>
        <v>#REF!</v>
      </c>
      <c r="Q169" s="702"/>
      <c r="R169" s="148"/>
      <c r="S169" s="148"/>
      <c r="T169" s="148"/>
      <c r="U169" s="148"/>
      <c r="V169" s="148"/>
      <c r="W169" s="148"/>
      <c r="X169" s="148"/>
      <c r="Y169" s="148"/>
      <c r="Z169" s="148"/>
      <c r="AA169" s="148"/>
      <c r="AB169" s="148"/>
      <c r="AC169" s="148"/>
      <c r="AD169" s="148"/>
      <c r="AE169" s="148"/>
      <c r="AF169" s="148"/>
    </row>
    <row r="170" ht="15.75" hidden="1" customHeight="1">
      <c r="A170" s="149"/>
      <c r="B170" s="703"/>
      <c r="C170" s="149"/>
      <c r="D170" s="185" t="s">
        <v>249</v>
      </c>
      <c r="E170" s="264"/>
      <c r="F170" s="187">
        <v>1.0</v>
      </c>
      <c r="G170" s="187">
        <v>3.0</v>
      </c>
      <c r="H170" s="187"/>
      <c r="I170" s="164">
        <v>142.5</v>
      </c>
      <c r="J170" s="266">
        <v>6.0</v>
      </c>
      <c r="K170" s="183">
        <v>7.0</v>
      </c>
      <c r="L170" s="183"/>
      <c r="M170" s="183"/>
      <c r="N170" s="183"/>
      <c r="O170" s="699">
        <f>I170/VLOOKUP(K170,Sheet1!$D$7:$N$16,G170+1,FALSE)</f>
        <v>169.6428571</v>
      </c>
      <c r="P170" s="684" t="str">
        <f t="shared" si="6"/>
        <v>#REF!</v>
      </c>
      <c r="Q170" s="702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</row>
    <row r="171" ht="3.75" hidden="1" customHeight="1">
      <c r="A171" s="162"/>
      <c r="B171" s="707"/>
      <c r="C171" s="162"/>
      <c r="D171" s="138"/>
      <c r="E171" s="321"/>
      <c r="F171" s="102"/>
      <c r="G171" s="102"/>
      <c r="H171" s="102"/>
      <c r="I171" s="247"/>
      <c r="J171" s="156"/>
      <c r="K171" s="183"/>
      <c r="L171" s="183"/>
      <c r="M171" s="183"/>
      <c r="N171" s="183"/>
      <c r="O171" s="699" t="str">
        <f>I171/VLOOKUP(K171,Sheet1!$D$7:$N$16,G171+1,FALSE)</f>
        <v>#N/A</v>
      </c>
      <c r="P171" s="684" t="str">
        <f t="shared" si="6"/>
        <v>#REF!</v>
      </c>
      <c r="Q171" s="702"/>
      <c r="R171" s="148"/>
      <c r="S171" s="148"/>
      <c r="T171" s="148"/>
      <c r="U171" s="148"/>
      <c r="V171" s="148"/>
      <c r="W171" s="148"/>
      <c r="X171" s="148"/>
      <c r="Y171" s="148"/>
      <c r="Z171" s="148"/>
      <c r="AA171" s="148"/>
      <c r="AB171" s="148"/>
      <c r="AC171" s="148"/>
      <c r="AD171" s="148"/>
      <c r="AE171" s="148"/>
      <c r="AF171" s="148"/>
    </row>
    <row r="172" ht="15.75" hidden="1" customHeight="1">
      <c r="A172" s="90"/>
      <c r="B172" s="2"/>
      <c r="C172" s="90"/>
      <c r="D172" s="185" t="s">
        <v>249</v>
      </c>
      <c r="E172" s="264"/>
      <c r="F172" s="187">
        <v>3.0</v>
      </c>
      <c r="G172" s="187">
        <v>5.0</v>
      </c>
      <c r="H172" s="187"/>
      <c r="I172" s="164">
        <v>125.0</v>
      </c>
      <c r="J172" s="706">
        <v>-0.12</v>
      </c>
      <c r="K172" s="183">
        <v>6.0</v>
      </c>
      <c r="L172" s="183"/>
      <c r="M172" s="183"/>
      <c r="N172" s="183"/>
      <c r="O172" s="699">
        <f>I172/VLOOKUP(K172,Sheet1!$D$7:$N$16,G172+1,FALSE)</f>
        <v>163.3986928</v>
      </c>
      <c r="P172" s="684" t="str">
        <f t="shared" si="6"/>
        <v>#REF!</v>
      </c>
      <c r="Q172" s="702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</row>
    <row r="173" ht="3.75" hidden="1" customHeight="1">
      <c r="A173" s="168"/>
      <c r="B173" s="661"/>
      <c r="C173" s="168"/>
      <c r="D173" s="138"/>
      <c r="E173" s="708"/>
      <c r="F173" s="140"/>
      <c r="G173" s="140"/>
      <c r="H173" s="140"/>
      <c r="I173" s="701"/>
      <c r="J173" s="141"/>
      <c r="K173" s="183"/>
      <c r="L173" s="183"/>
      <c r="M173" s="183"/>
      <c r="N173" s="183"/>
      <c r="O173" s="699" t="str">
        <f>I173/VLOOKUP(K173,Sheet1!$D$7:$N$16,G173+1,FALSE)</f>
        <v>#N/A</v>
      </c>
      <c r="P173" s="684" t="str">
        <f t="shared" si="6"/>
        <v>#REF!</v>
      </c>
      <c r="Q173" s="702"/>
      <c r="R173" s="148"/>
      <c r="S173" s="148"/>
      <c r="T173" s="148"/>
      <c r="U173" s="148"/>
      <c r="V173" s="148"/>
      <c r="W173" s="148"/>
      <c r="X173" s="148"/>
      <c r="Y173" s="148"/>
      <c r="Z173" s="148"/>
      <c r="AA173" s="148"/>
      <c r="AB173" s="148"/>
      <c r="AC173" s="148"/>
      <c r="AD173" s="148"/>
      <c r="AE173" s="148"/>
      <c r="AF173" s="148"/>
    </row>
    <row r="174" ht="15.75" hidden="1" customHeight="1">
      <c r="A174" s="90"/>
      <c r="B174" s="2"/>
      <c r="C174" s="90"/>
      <c r="D174" s="709" t="s">
        <v>250</v>
      </c>
      <c r="E174" s="710"/>
      <c r="F174" s="711">
        <v>3.0</v>
      </c>
      <c r="G174" s="731" t="s">
        <v>251</v>
      </c>
      <c r="H174" s="179"/>
      <c r="I174" s="742" t="s">
        <v>272</v>
      </c>
      <c r="J174" s="713">
        <v>8.0</v>
      </c>
      <c r="K174" s="183">
        <v>8.0</v>
      </c>
      <c r="L174" s="183"/>
      <c r="M174" s="183"/>
      <c r="N174" s="183"/>
      <c r="O174" s="699" t="str">
        <f>I174/VLOOKUP(K174,Sheet1!$D$7:$N$16,G174+1,FALSE)</f>
        <v>#REF!</v>
      </c>
      <c r="P174" s="684" t="str">
        <f t="shared" si="6"/>
        <v>#REF!</v>
      </c>
      <c r="Q174" s="702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</row>
    <row r="175" ht="3.75" hidden="1" customHeight="1">
      <c r="A175" s="90"/>
      <c r="B175" s="2"/>
      <c r="C175" s="90"/>
      <c r="D175" s="171"/>
      <c r="E175" s="714"/>
      <c r="F175" s="173"/>
      <c r="G175" s="173"/>
      <c r="H175" s="715"/>
      <c r="I175" s="716"/>
      <c r="J175" s="174"/>
      <c r="K175" s="183"/>
      <c r="L175" s="183"/>
      <c r="M175" s="183"/>
      <c r="N175" s="183"/>
      <c r="O175" s="699" t="str">
        <f>I175/VLOOKUP(K175,Sheet1!$D$7:$N$16,G175+1,FALSE)</f>
        <v>#N/A</v>
      </c>
      <c r="P175" s="684" t="str">
        <f t="shared" si="6"/>
        <v>#REF!</v>
      </c>
      <c r="Q175" s="702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</row>
    <row r="176" ht="15.75" hidden="1" customHeight="1">
      <c r="A176" s="90"/>
      <c r="B176" s="2"/>
      <c r="C176" s="90"/>
      <c r="D176" s="260" t="s">
        <v>273</v>
      </c>
      <c r="E176" s="266"/>
      <c r="F176" s="187">
        <v>3.0</v>
      </c>
      <c r="G176" s="731" t="s">
        <v>251</v>
      </c>
      <c r="H176" s="187"/>
      <c r="I176" s="164">
        <v>135.0</v>
      </c>
      <c r="J176" s="266">
        <v>8.0</v>
      </c>
      <c r="K176" s="183">
        <v>8.0</v>
      </c>
      <c r="L176" s="183"/>
      <c r="M176" s="183"/>
      <c r="N176" s="183"/>
      <c r="O176" s="699" t="str">
        <f>I176/VLOOKUP(K176,Sheet1!$D$7:$N$16,G176+1,FALSE)</f>
        <v>#REF!</v>
      </c>
      <c r="P176" s="684" t="str">
        <f t="shared" si="6"/>
        <v>#REF!</v>
      </c>
      <c r="Q176" s="702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</row>
    <row r="177" ht="3.75" hidden="1" customHeight="1">
      <c r="A177" s="90"/>
      <c r="B177" s="2"/>
      <c r="C177" s="90"/>
      <c r="D177" s="171"/>
      <c r="E177" s="714"/>
      <c r="F177" s="173"/>
      <c r="G177" s="173"/>
      <c r="H177" s="715"/>
      <c r="I177" s="716"/>
      <c r="J177" s="174"/>
      <c r="K177" s="183"/>
      <c r="L177" s="183"/>
      <c r="M177" s="183"/>
      <c r="N177" s="183"/>
      <c r="O177" s="699" t="str">
        <f>I177/VLOOKUP(K177,Sheet1!$D$7:$N$16,G177+1,FALSE)</f>
        <v>#N/A</v>
      </c>
      <c r="P177" s="684" t="str">
        <f t="shared" si="6"/>
        <v>#REF!</v>
      </c>
      <c r="Q177" s="702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</row>
    <row r="178" ht="15.75" hidden="1" customHeight="1">
      <c r="A178" s="90"/>
      <c r="B178" s="2"/>
      <c r="C178" s="90"/>
      <c r="D178" s="709" t="s">
        <v>274</v>
      </c>
      <c r="E178" s="710"/>
      <c r="F178" s="711">
        <v>3.0</v>
      </c>
      <c r="G178" s="731" t="s">
        <v>251</v>
      </c>
      <c r="H178" s="179"/>
      <c r="I178" s="717"/>
      <c r="J178" s="713">
        <v>8.0</v>
      </c>
      <c r="K178" s="183">
        <v>8.0</v>
      </c>
      <c r="L178" s="183"/>
      <c r="M178" s="183"/>
      <c r="N178" s="183"/>
      <c r="O178" s="699" t="str">
        <f>I178/VLOOKUP(K178,Sheet1!$D$7:$N$16,G178+1,FALSE)</f>
        <v>#REF!</v>
      </c>
      <c r="P178" s="684" t="str">
        <f t="shared" si="6"/>
        <v>#REF!</v>
      </c>
      <c r="Q178" s="702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</row>
    <row r="179" ht="3.75" hidden="1" customHeight="1">
      <c r="A179" s="90"/>
      <c r="B179" s="2"/>
      <c r="C179" s="90"/>
      <c r="D179" s="138"/>
      <c r="E179" s="252"/>
      <c r="F179" s="102"/>
      <c r="G179" s="102"/>
      <c r="H179" s="102"/>
      <c r="I179" s="247"/>
      <c r="J179" s="156"/>
      <c r="K179" s="183"/>
      <c r="L179" s="183"/>
      <c r="M179" s="183"/>
      <c r="N179" s="183"/>
      <c r="O179" s="699" t="str">
        <f>I179/VLOOKUP(K179,Sheet1!$D$7:$N$16,G179+1,FALSE)</f>
        <v>#N/A</v>
      </c>
      <c r="P179" s="684" t="str">
        <f t="shared" si="6"/>
        <v>#REF!</v>
      </c>
      <c r="Q179" s="702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</row>
    <row r="180" ht="15.75" hidden="1" customHeight="1">
      <c r="A180" s="90"/>
      <c r="B180" s="2"/>
      <c r="C180" s="90"/>
      <c r="D180" s="185"/>
      <c r="E180" s="266"/>
      <c r="F180" s="187"/>
      <c r="G180" s="718"/>
      <c r="H180" s="187"/>
      <c r="I180" s="164"/>
      <c r="J180" s="266"/>
      <c r="K180" s="183"/>
      <c r="L180" s="183"/>
      <c r="M180" s="183"/>
      <c r="N180" s="183"/>
      <c r="O180" s="699" t="str">
        <f>I180/VLOOKUP(K180,Sheet1!$D$7:$N$16,G180+1,FALSE)</f>
        <v>#N/A</v>
      </c>
      <c r="P180" s="684" t="str">
        <f t="shared" si="6"/>
        <v>#REF!</v>
      </c>
      <c r="Q180" s="702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</row>
    <row r="181" ht="3.75" hidden="1" customHeight="1">
      <c r="A181" s="191"/>
      <c r="B181" s="719"/>
      <c r="C181" s="192"/>
      <c r="D181" s="138"/>
      <c r="E181" s="267"/>
      <c r="F181" s="194"/>
      <c r="G181" s="194"/>
      <c r="H181" s="194"/>
      <c r="I181" s="164"/>
      <c r="J181" s="267"/>
      <c r="K181" s="183"/>
      <c r="L181" s="183"/>
      <c r="M181" s="183"/>
      <c r="N181" s="183"/>
      <c r="O181" s="699" t="str">
        <f>I181/VLOOKUP(K181,Sheet1!$D$7:$N$16,G181+1,FALSE)</f>
        <v>#N/A</v>
      </c>
      <c r="P181" s="684" t="str">
        <f t="shared" si="6"/>
        <v>#REF!</v>
      </c>
      <c r="Q181" s="702"/>
      <c r="R181" s="158"/>
      <c r="S181" s="158"/>
      <c r="T181" s="158"/>
      <c r="U181" s="158"/>
      <c r="V181" s="158"/>
      <c r="W181" s="158"/>
      <c r="X181" s="158"/>
      <c r="Y181" s="158"/>
      <c r="Z181" s="158"/>
      <c r="AA181" s="158"/>
      <c r="AB181" s="158"/>
      <c r="AC181" s="158"/>
      <c r="AD181" s="158"/>
      <c r="AE181" s="158"/>
      <c r="AF181" s="158"/>
    </row>
    <row r="182" ht="15.75" hidden="1" customHeight="1">
      <c r="A182" s="90"/>
      <c r="B182" s="2"/>
      <c r="C182" s="90"/>
      <c r="D182" s="185"/>
      <c r="E182" s="266"/>
      <c r="F182" s="187"/>
      <c r="G182" s="187"/>
      <c r="H182" s="187"/>
      <c r="I182" s="164"/>
      <c r="J182" s="266"/>
      <c r="K182" s="183"/>
      <c r="L182" s="183"/>
      <c r="M182" s="183"/>
      <c r="N182" s="183"/>
      <c r="O182" s="699" t="str">
        <f>I182/VLOOKUP(K182,Sheet1!$D$7:$N$16,G182+1,FALSE)</f>
        <v>#N/A</v>
      </c>
      <c r="P182" s="684" t="str">
        <f t="shared" si="6"/>
        <v>#REF!</v>
      </c>
      <c r="Q182" s="702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</row>
    <row r="183" ht="3.75" hidden="1" customHeight="1">
      <c r="A183" s="90"/>
      <c r="B183" s="2"/>
      <c r="C183" s="90"/>
      <c r="D183" s="138"/>
      <c r="E183" s="252"/>
      <c r="F183" s="102"/>
      <c r="G183" s="102"/>
      <c r="H183" s="102"/>
      <c r="I183" s="247"/>
      <c r="J183" s="156"/>
      <c r="K183" s="183"/>
      <c r="L183" s="183"/>
      <c r="M183" s="183"/>
      <c r="N183" s="183"/>
      <c r="O183" s="699" t="str">
        <f>I183/VLOOKUP(K183,Sheet1!$D$7:$N$16,G183+1,FALSE)</f>
        <v>#N/A</v>
      </c>
      <c r="P183" s="684" t="str">
        <f t="shared" si="6"/>
        <v>#REF!</v>
      </c>
      <c r="Q183" s="702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</row>
    <row r="184" ht="15.75" hidden="1" customHeight="1">
      <c r="A184" s="90"/>
      <c r="B184" s="2"/>
      <c r="C184" s="90"/>
      <c r="D184" s="185"/>
      <c r="E184" s="266"/>
      <c r="F184" s="187"/>
      <c r="G184" s="187"/>
      <c r="H184" s="187"/>
      <c r="I184" s="164"/>
      <c r="J184" s="266"/>
      <c r="K184" s="183"/>
      <c r="L184" s="183"/>
      <c r="M184" s="183"/>
      <c r="N184" s="183"/>
      <c r="O184" s="699" t="str">
        <f>I184/VLOOKUP(K184,Sheet1!$D$7:$N$16,G184+1,FALSE)</f>
        <v>#N/A</v>
      </c>
      <c r="P184" s="684" t="str">
        <f t="shared" si="6"/>
        <v>#REF!</v>
      </c>
      <c r="Q184" s="697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</row>
    <row r="185" ht="3.75" hidden="1" customHeight="1">
      <c r="A185" s="90"/>
      <c r="B185" s="2"/>
      <c r="C185" s="90"/>
      <c r="D185" s="90"/>
      <c r="E185" s="156"/>
      <c r="F185" s="102"/>
      <c r="G185" s="102"/>
      <c r="H185" s="102"/>
      <c r="I185" s="102"/>
      <c r="J185" s="156"/>
      <c r="K185" s="720"/>
      <c r="L185" s="201"/>
      <c r="M185" s="201"/>
      <c r="N185" s="201"/>
      <c r="O185" s="699" t="str">
        <f>I185/VLOOKUP(K185,Sheet1!$D$7:$N$16,G185+1,FALSE)</f>
        <v>#N/A</v>
      </c>
      <c r="P185" s="684" t="str">
        <f t="shared" si="6"/>
        <v>#REF!</v>
      </c>
      <c r="Q185" s="720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</row>
    <row r="186" ht="30.0" hidden="1" customHeight="1">
      <c r="A186" s="90"/>
      <c r="B186" s="2"/>
      <c r="C186" s="90"/>
      <c r="D186" s="686" t="s">
        <v>246</v>
      </c>
      <c r="E186" s="687" t="s">
        <v>15</v>
      </c>
      <c r="F186" s="721" t="s">
        <v>16</v>
      </c>
      <c r="G186" s="722" t="s">
        <v>17</v>
      </c>
      <c r="H186" s="723"/>
      <c r="I186" s="724"/>
      <c r="J186" s="725" t="s">
        <v>241</v>
      </c>
      <c r="K186" s="691"/>
      <c r="L186" s="692"/>
      <c r="M186" s="692"/>
      <c r="N186" s="692"/>
      <c r="O186" s="699"/>
      <c r="P186" s="684"/>
      <c r="Q186" s="693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</row>
    <row r="187" ht="14.25" hidden="1" customHeight="1">
      <c r="A187" s="90"/>
      <c r="B187" s="2"/>
      <c r="C187" s="90"/>
      <c r="D187" s="257" t="s">
        <v>25</v>
      </c>
      <c r="E187" s="257" t="s">
        <v>26</v>
      </c>
      <c r="F187" s="680"/>
      <c r="G187" s="681"/>
      <c r="H187" s="723"/>
      <c r="I187" s="681"/>
      <c r="J187" s="725" t="s">
        <v>244</v>
      </c>
      <c r="K187" s="697"/>
      <c r="L187" s="692"/>
      <c r="M187" s="692"/>
      <c r="N187" s="692"/>
      <c r="O187" s="699"/>
      <c r="P187" s="684"/>
      <c r="Q187" s="698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</row>
    <row r="188" ht="3.75" hidden="1" customHeight="1">
      <c r="A188" s="191"/>
      <c r="B188" s="719"/>
      <c r="C188" s="192"/>
      <c r="D188" s="203"/>
      <c r="E188" s="203"/>
      <c r="F188" s="726"/>
      <c r="G188" s="726"/>
      <c r="H188" s="726"/>
      <c r="I188" s="727"/>
      <c r="J188" s="728"/>
      <c r="K188" s="192"/>
      <c r="L188" s="194"/>
      <c r="M188" s="194"/>
      <c r="N188" s="194"/>
      <c r="O188" s="699"/>
      <c r="P188" s="684" t="str">
        <f t="shared" ref="P188:P210" si="7">I188-#REF!</f>
        <v>#REF!</v>
      </c>
      <c r="Q188" s="192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</row>
    <row r="189" ht="15.75" hidden="1" customHeight="1">
      <c r="A189" s="124"/>
      <c r="B189" s="2"/>
      <c r="C189" s="124"/>
      <c r="D189" s="185" t="s">
        <v>248</v>
      </c>
      <c r="E189" s="743"/>
      <c r="F189" s="187">
        <v>1.0</v>
      </c>
      <c r="G189" s="187">
        <v>6.0</v>
      </c>
      <c r="H189" s="187"/>
      <c r="I189" s="164">
        <v>190.0</v>
      </c>
      <c r="J189" s="266">
        <v>6.0</v>
      </c>
      <c r="K189" s="183">
        <v>6.0</v>
      </c>
      <c r="L189" s="183"/>
      <c r="M189" s="183"/>
      <c r="N189" s="183"/>
      <c r="O189" s="699">
        <f>I189/VLOOKUP(K189,Sheet1!$D$7:$N$16,G189+1,FALSE)</f>
        <v>256.7567568</v>
      </c>
      <c r="P189" s="684" t="str">
        <f t="shared" si="7"/>
        <v>#REF!</v>
      </c>
      <c r="Q189" s="730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</row>
    <row r="190" ht="3.75" hidden="1" customHeight="1">
      <c r="A190" s="124"/>
      <c r="B190" s="2"/>
      <c r="C190" s="124"/>
      <c r="D190" s="138"/>
      <c r="E190" s="321"/>
      <c r="F190" s="102"/>
      <c r="G190" s="102"/>
      <c r="H190" s="102"/>
      <c r="I190" s="247"/>
      <c r="J190" s="267"/>
      <c r="K190" s="183"/>
      <c r="L190" s="183"/>
      <c r="M190" s="183"/>
      <c r="N190" s="183"/>
      <c r="O190" s="699" t="str">
        <f>I190/VLOOKUP(K190,Sheet1!$D$7:$N$16,G190+1,FALSE)</f>
        <v>#N/A</v>
      </c>
      <c r="P190" s="684" t="str">
        <f t="shared" si="7"/>
        <v>#REF!</v>
      </c>
      <c r="Q190" s="702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</row>
    <row r="191" ht="15.75" hidden="1" customHeight="1">
      <c r="A191" s="90"/>
      <c r="B191" s="2"/>
      <c r="C191" s="90"/>
      <c r="D191" s="185" t="s">
        <v>248</v>
      </c>
      <c r="E191" s="264"/>
      <c r="F191" s="187">
        <v>2.0</v>
      </c>
      <c r="G191" s="187">
        <v>6.0</v>
      </c>
      <c r="H191" s="187"/>
      <c r="I191" s="164">
        <v>170.0</v>
      </c>
      <c r="J191" s="706">
        <v>-0.12</v>
      </c>
      <c r="K191" s="183">
        <v>5.0</v>
      </c>
      <c r="L191" s="183"/>
      <c r="M191" s="183"/>
      <c r="N191" s="183"/>
      <c r="O191" s="699" t="str">
        <f>I191/VLOOKUP(K191,Sheet1!$D$7:$N$16,G191+1,FALSE)</f>
        <v>#N/A</v>
      </c>
      <c r="P191" s="684" t="str">
        <f t="shared" si="7"/>
        <v>#REF!</v>
      </c>
      <c r="Q191" s="702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</row>
    <row r="192" ht="3.75" hidden="1" customHeight="1">
      <c r="A192" s="90"/>
      <c r="B192" s="2"/>
      <c r="C192" s="90"/>
      <c r="D192" s="138"/>
      <c r="E192" s="321"/>
      <c r="F192" s="102"/>
      <c r="G192" s="102"/>
      <c r="H192" s="102"/>
      <c r="I192" s="247"/>
      <c r="J192" s="267"/>
      <c r="K192" s="183"/>
      <c r="L192" s="183"/>
      <c r="M192" s="183"/>
      <c r="N192" s="183"/>
      <c r="O192" s="699" t="str">
        <f>I192/VLOOKUP(K192,Sheet1!$D$7:$N$16,G192+1,FALSE)</f>
        <v>#N/A</v>
      </c>
      <c r="P192" s="684" t="str">
        <f t="shared" si="7"/>
        <v>#REF!</v>
      </c>
      <c r="Q192" s="702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</row>
    <row r="193" ht="15.75" hidden="1" customHeight="1">
      <c r="A193" s="90"/>
      <c r="B193" s="2"/>
      <c r="C193" s="90"/>
      <c r="D193" s="185" t="s">
        <v>252</v>
      </c>
      <c r="E193" s="260"/>
      <c r="F193" s="187">
        <v>3.0</v>
      </c>
      <c r="G193" s="187" t="s">
        <v>41</v>
      </c>
      <c r="H193" s="187"/>
      <c r="I193" s="164"/>
      <c r="J193" s="266">
        <v>8.0</v>
      </c>
      <c r="K193" s="183">
        <v>8.0</v>
      </c>
      <c r="L193" s="183"/>
      <c r="M193" s="183"/>
      <c r="N193" s="183"/>
      <c r="O193" s="699" t="str">
        <f>I193/VLOOKUP(K193,Sheet1!$D$7:$N$16,G193+1,FALSE)</f>
        <v>#VALUE!</v>
      </c>
      <c r="P193" s="684" t="str">
        <f t="shared" si="7"/>
        <v>#REF!</v>
      </c>
      <c r="Q193" s="702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</row>
    <row r="194" ht="3.75" hidden="1" customHeight="1">
      <c r="A194" s="90"/>
      <c r="B194" s="2"/>
      <c r="C194" s="90"/>
      <c r="D194" s="138"/>
      <c r="E194" s="321"/>
      <c r="F194" s="102"/>
      <c r="G194" s="102"/>
      <c r="H194" s="102"/>
      <c r="I194" s="247"/>
      <c r="J194" s="156"/>
      <c r="K194" s="183"/>
      <c r="L194" s="183"/>
      <c r="M194" s="183"/>
      <c r="N194" s="183"/>
      <c r="O194" s="699" t="str">
        <f>I194/VLOOKUP(K194,Sheet1!$D$7:$N$16,G194+1,FALSE)</f>
        <v>#N/A</v>
      </c>
      <c r="P194" s="684" t="str">
        <f t="shared" si="7"/>
        <v>#REF!</v>
      </c>
      <c r="Q194" s="702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</row>
    <row r="195" ht="15.75" hidden="1" customHeight="1">
      <c r="A195" s="90"/>
      <c r="B195" s="2"/>
      <c r="C195" s="90"/>
      <c r="D195" s="185" t="s">
        <v>253</v>
      </c>
      <c r="E195" s="260"/>
      <c r="F195" s="187">
        <v>3.0</v>
      </c>
      <c r="G195" s="731" t="s">
        <v>251</v>
      </c>
      <c r="H195" s="187"/>
      <c r="I195" s="164"/>
      <c r="J195" s="266">
        <v>8.0</v>
      </c>
      <c r="K195" s="183">
        <v>8.0</v>
      </c>
      <c r="L195" s="183"/>
      <c r="M195" s="183"/>
      <c r="N195" s="183"/>
      <c r="O195" s="699" t="str">
        <f>I195/VLOOKUP(K195,Sheet1!$D$7:$N$16,G195+1,FALSE)</f>
        <v>#REF!</v>
      </c>
      <c r="P195" s="684" t="str">
        <f t="shared" si="7"/>
        <v>#REF!</v>
      </c>
      <c r="Q195" s="702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</row>
    <row r="196" ht="3.75" hidden="1" customHeight="1">
      <c r="A196" s="90"/>
      <c r="B196" s="2"/>
      <c r="C196" s="90"/>
      <c r="D196" s="138"/>
      <c r="E196" s="321"/>
      <c r="F196" s="102"/>
      <c r="G196" s="102"/>
      <c r="H196" s="102"/>
      <c r="I196" s="247"/>
      <c r="J196" s="267"/>
      <c r="K196" s="183"/>
      <c r="L196" s="183"/>
      <c r="M196" s="183"/>
      <c r="N196" s="183"/>
      <c r="O196" s="699" t="str">
        <f>I196/VLOOKUP(K196,Sheet1!$D$7:$N$16,G196+1,FALSE)</f>
        <v>#N/A</v>
      </c>
      <c r="P196" s="684" t="str">
        <f t="shared" si="7"/>
        <v>#REF!</v>
      </c>
      <c r="Q196" s="702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</row>
    <row r="197" ht="15.75" hidden="1" customHeight="1">
      <c r="A197" s="90"/>
      <c r="B197" s="2"/>
      <c r="C197" s="90"/>
      <c r="D197" s="185"/>
      <c r="E197" s="264"/>
      <c r="F197" s="187"/>
      <c r="G197" s="187"/>
      <c r="H197" s="187"/>
      <c r="I197" s="164"/>
      <c r="J197" s="706"/>
      <c r="K197" s="183"/>
      <c r="L197" s="183"/>
      <c r="M197" s="183"/>
      <c r="N197" s="183"/>
      <c r="O197" s="699" t="str">
        <f>I197/VLOOKUP(K197,Sheet1!$D$7:$N$16,G197+1,FALSE)</f>
        <v>#N/A</v>
      </c>
      <c r="P197" s="684" t="str">
        <f t="shared" si="7"/>
        <v>#REF!</v>
      </c>
      <c r="Q197" s="702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</row>
    <row r="198" ht="3.75" hidden="1" customHeight="1">
      <c r="A198" s="90"/>
      <c r="B198" s="2"/>
      <c r="C198" s="90"/>
      <c r="D198" s="138"/>
      <c r="E198" s="321"/>
      <c r="F198" s="102"/>
      <c r="G198" s="102"/>
      <c r="H198" s="102"/>
      <c r="I198" s="247"/>
      <c r="J198" s="267"/>
      <c r="K198" s="183"/>
      <c r="L198" s="183"/>
      <c r="M198" s="183"/>
      <c r="N198" s="183"/>
      <c r="O198" s="699" t="str">
        <f>I198/VLOOKUP(K198,Sheet1!$D$7:$N$16,G198+1,FALSE)</f>
        <v>#N/A</v>
      </c>
      <c r="P198" s="684" t="str">
        <f t="shared" si="7"/>
        <v>#REF!</v>
      </c>
      <c r="Q198" s="702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</row>
    <row r="199" ht="15.75" hidden="1" customHeight="1">
      <c r="A199" s="90"/>
      <c r="B199" s="2"/>
      <c r="C199" s="90"/>
      <c r="D199" s="185" t="s">
        <v>88</v>
      </c>
      <c r="E199" s="264"/>
      <c r="F199" s="187">
        <v>3.0</v>
      </c>
      <c r="G199" s="731" t="s">
        <v>251</v>
      </c>
      <c r="H199" s="187"/>
      <c r="I199" s="164"/>
      <c r="J199" s="266">
        <v>9.0</v>
      </c>
      <c r="K199" s="183">
        <v>8.0</v>
      </c>
      <c r="L199" s="183"/>
      <c r="M199" s="183"/>
      <c r="N199" s="183"/>
      <c r="O199" s="699" t="str">
        <f>I199/VLOOKUP(K199,Sheet1!$D$7:$N$16,G199+1,FALSE)</f>
        <v>#REF!</v>
      </c>
      <c r="P199" s="684" t="str">
        <f t="shared" si="7"/>
        <v>#REF!</v>
      </c>
      <c r="Q199" s="702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</row>
    <row r="200" ht="3.75" hidden="1" customHeight="1">
      <c r="A200" s="90"/>
      <c r="B200" s="2"/>
      <c r="C200" s="90"/>
      <c r="D200" s="138"/>
      <c r="E200" s="321"/>
      <c r="F200" s="102"/>
      <c r="G200" s="102"/>
      <c r="H200" s="102"/>
      <c r="I200" s="247"/>
      <c r="J200" s="267"/>
      <c r="K200" s="183"/>
      <c r="L200" s="183"/>
      <c r="M200" s="183"/>
      <c r="N200" s="183"/>
      <c r="O200" s="699" t="str">
        <f>I200/VLOOKUP(K200,Sheet1!$D$7:$N$16,G200+1,FALSE)</f>
        <v>#N/A</v>
      </c>
      <c r="P200" s="684" t="str">
        <f t="shared" si="7"/>
        <v>#REF!</v>
      </c>
      <c r="Q200" s="702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</row>
    <row r="201" ht="20.25" hidden="1" customHeight="1">
      <c r="A201" s="90"/>
      <c r="B201" s="2"/>
      <c r="C201" s="90"/>
      <c r="D201" s="185"/>
      <c r="E201" s="264"/>
      <c r="F201" s="187"/>
      <c r="G201" s="187"/>
      <c r="H201" s="187"/>
      <c r="I201" s="164"/>
      <c r="J201" s="266"/>
      <c r="K201" s="183"/>
      <c r="L201" s="183"/>
      <c r="M201" s="183"/>
      <c r="N201" s="183"/>
      <c r="O201" s="699" t="str">
        <f>I201/VLOOKUP(K201,Sheet1!$D$7:$N$16,G201+1,FALSE)</f>
        <v>#N/A</v>
      </c>
      <c r="P201" s="684" t="str">
        <f t="shared" si="7"/>
        <v>#REF!</v>
      </c>
      <c r="Q201" s="702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</row>
    <row r="202" ht="3.75" hidden="1" customHeight="1">
      <c r="A202" s="191"/>
      <c r="B202" s="719"/>
      <c r="C202" s="192"/>
      <c r="D202" s="138"/>
      <c r="E202" s="263"/>
      <c r="F202" s="194"/>
      <c r="G202" s="194"/>
      <c r="H202" s="194"/>
      <c r="I202" s="164"/>
      <c r="J202" s="267"/>
      <c r="K202" s="183"/>
      <c r="L202" s="183"/>
      <c r="M202" s="183"/>
      <c r="N202" s="183"/>
      <c r="O202" s="699" t="str">
        <f>I202/VLOOKUP(K202,Sheet1!$D$7:$N$16,G202+1,FALSE)</f>
        <v>#N/A</v>
      </c>
      <c r="P202" s="684" t="str">
        <f t="shared" si="7"/>
        <v>#REF!</v>
      </c>
      <c r="Q202" s="702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</row>
    <row r="203" ht="15.75" hidden="1" customHeight="1">
      <c r="A203" s="90"/>
      <c r="B203" s="2"/>
      <c r="C203" s="90"/>
      <c r="D203" s="185" t="s">
        <v>254</v>
      </c>
      <c r="E203" s="266"/>
      <c r="F203" s="187">
        <v>3.0</v>
      </c>
      <c r="G203" s="731" t="s">
        <v>251</v>
      </c>
      <c r="H203" s="187"/>
      <c r="I203" s="164"/>
      <c r="J203" s="266">
        <v>9.0</v>
      </c>
      <c r="K203" s="183">
        <v>9.0</v>
      </c>
      <c r="L203" s="183"/>
      <c r="M203" s="183"/>
      <c r="N203" s="183"/>
      <c r="O203" s="699" t="str">
        <f>I203/VLOOKUP(K203,Sheet1!$D$7:$N$16,G203+1,FALSE)</f>
        <v>#REF!</v>
      </c>
      <c r="P203" s="684" t="str">
        <f t="shared" si="7"/>
        <v>#REF!</v>
      </c>
      <c r="Q203" s="702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</row>
    <row r="204" ht="3.75" hidden="1" customHeight="1">
      <c r="A204" s="90"/>
      <c r="B204" s="2"/>
      <c r="C204" s="90"/>
      <c r="D204" s="138"/>
      <c r="E204" s="252"/>
      <c r="F204" s="102"/>
      <c r="G204" s="102"/>
      <c r="H204" s="102"/>
      <c r="I204" s="247"/>
      <c r="J204" s="156"/>
      <c r="K204" s="183"/>
      <c r="L204" s="183"/>
      <c r="M204" s="183"/>
      <c r="N204" s="183"/>
      <c r="O204" s="699" t="str">
        <f>I204/VLOOKUP(K204,Sheet1!$D$7:$N$16,G204+1,FALSE)</f>
        <v>#N/A</v>
      </c>
      <c r="P204" s="684" t="str">
        <f t="shared" si="7"/>
        <v>#REF!</v>
      </c>
      <c r="Q204" s="702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</row>
    <row r="205" ht="15.75" hidden="1" customHeight="1">
      <c r="A205" s="90"/>
      <c r="B205" s="2"/>
      <c r="C205" s="90"/>
      <c r="D205" s="185" t="s">
        <v>255</v>
      </c>
      <c r="E205" s="260"/>
      <c r="F205" s="187">
        <v>3.0</v>
      </c>
      <c r="G205" s="731" t="s">
        <v>251</v>
      </c>
      <c r="H205" s="187"/>
      <c r="I205" s="164"/>
      <c r="J205" s="266">
        <v>9.0</v>
      </c>
      <c r="K205" s="183">
        <v>9.0</v>
      </c>
      <c r="L205" s="183"/>
      <c r="M205" s="183"/>
      <c r="N205" s="183"/>
      <c r="O205" s="699" t="str">
        <f>I205/VLOOKUP(K205,Sheet1!$D$7:$N$16,G205+1,FALSE)</f>
        <v>#REF!</v>
      </c>
      <c r="P205" s="684" t="str">
        <f t="shared" si="7"/>
        <v>#REF!</v>
      </c>
      <c r="Q205" s="702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</row>
    <row r="206" ht="3.75" hidden="1" customHeight="1">
      <c r="A206" s="191"/>
      <c r="B206" s="719"/>
      <c r="C206" s="192"/>
      <c r="D206" s="138"/>
      <c r="E206" s="267"/>
      <c r="F206" s="194"/>
      <c r="G206" s="194"/>
      <c r="H206" s="194"/>
      <c r="I206" s="164"/>
      <c r="J206" s="267"/>
      <c r="K206" s="183"/>
      <c r="L206" s="183"/>
      <c r="M206" s="183"/>
      <c r="N206" s="183"/>
      <c r="O206" s="699" t="str">
        <f>I206/VLOOKUP(K206,Sheet1!$D$7:$N$16,G206+1,FALSE)</f>
        <v>#N/A</v>
      </c>
      <c r="P206" s="684" t="str">
        <f t="shared" si="7"/>
        <v>#REF!</v>
      </c>
      <c r="Q206" s="702"/>
      <c r="R206" s="158"/>
      <c r="S206" s="158"/>
      <c r="T206" s="158"/>
      <c r="U206" s="158"/>
      <c r="V206" s="158"/>
      <c r="W206" s="158"/>
      <c r="X206" s="158"/>
      <c r="Y206" s="158"/>
      <c r="Z206" s="158"/>
      <c r="AA206" s="158"/>
      <c r="AB206" s="158"/>
      <c r="AC206" s="158"/>
      <c r="AD206" s="158"/>
      <c r="AE206" s="158"/>
      <c r="AF206" s="158"/>
    </row>
    <row r="207" ht="15.75" hidden="1" customHeight="1">
      <c r="A207" s="90"/>
      <c r="B207" s="2"/>
      <c r="C207" s="90"/>
      <c r="D207" s="185" t="s">
        <v>256</v>
      </c>
      <c r="E207" s="266"/>
      <c r="F207" s="187">
        <v>3.0</v>
      </c>
      <c r="G207" s="187" t="s">
        <v>16</v>
      </c>
      <c r="H207" s="187"/>
      <c r="I207" s="164"/>
      <c r="J207" s="266">
        <v>9.0</v>
      </c>
      <c r="K207" s="183">
        <v>9.0</v>
      </c>
      <c r="L207" s="183"/>
      <c r="M207" s="183"/>
      <c r="N207" s="183"/>
      <c r="O207" s="699" t="str">
        <f>I207/VLOOKUP(K207,Sheet1!$D$7:$N$16,G207+1,FALSE)</f>
        <v>#VALUE!</v>
      </c>
      <c r="P207" s="684" t="str">
        <f t="shared" si="7"/>
        <v>#REF!</v>
      </c>
      <c r="Q207" s="702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</row>
    <row r="208" ht="3.75" hidden="1" customHeight="1">
      <c r="A208" s="90"/>
      <c r="B208" s="2"/>
      <c r="C208" s="90"/>
      <c r="D208" s="138"/>
      <c r="E208" s="252"/>
      <c r="F208" s="102"/>
      <c r="G208" s="102"/>
      <c r="H208" s="102"/>
      <c r="I208" s="247"/>
      <c r="J208" s="156"/>
      <c r="K208" s="183"/>
      <c r="L208" s="183"/>
      <c r="M208" s="183"/>
      <c r="N208" s="183"/>
      <c r="O208" s="699" t="str">
        <f>I208/VLOOKUP(K208,Sheet1!$D$7:$N$16,G208+1,FALSE)</f>
        <v>#N/A</v>
      </c>
      <c r="P208" s="684" t="str">
        <f t="shared" si="7"/>
        <v>#REF!</v>
      </c>
      <c r="Q208" s="702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</row>
    <row r="209" ht="15.75" hidden="1" customHeight="1">
      <c r="A209" s="90"/>
      <c r="B209" s="2"/>
      <c r="C209" s="90"/>
      <c r="D209" s="185"/>
      <c r="E209" s="266"/>
      <c r="F209" s="187"/>
      <c r="G209" s="187"/>
      <c r="H209" s="187"/>
      <c r="I209" s="164"/>
      <c r="J209" s="266"/>
      <c r="K209" s="183"/>
      <c r="L209" s="183"/>
      <c r="M209" s="183"/>
      <c r="N209" s="183"/>
      <c r="O209" s="699" t="str">
        <f>I209/VLOOKUP(K209,Sheet1!$D$7:$N$16,G209+1,FALSE)</f>
        <v>#N/A</v>
      </c>
      <c r="P209" s="684" t="str">
        <f t="shared" si="7"/>
        <v>#REF!</v>
      </c>
      <c r="Q209" s="697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</row>
    <row r="210" ht="3.75" hidden="1" customHeight="1">
      <c r="A210" s="90"/>
      <c r="B210" s="2"/>
      <c r="C210" s="90"/>
      <c r="D210" s="90"/>
      <c r="E210" s="156"/>
      <c r="F210" s="102"/>
      <c r="G210" s="102"/>
      <c r="H210" s="102"/>
      <c r="I210" s="102"/>
      <c r="J210" s="156"/>
      <c r="K210" s="720"/>
      <c r="L210" s="201"/>
      <c r="M210" s="201"/>
      <c r="N210" s="201"/>
      <c r="O210" s="699" t="str">
        <f>I210/VLOOKUP(K210,Sheet1!$D$7:$N$16,G210+1,FALSE)</f>
        <v>#N/A</v>
      </c>
      <c r="P210" s="684" t="str">
        <f t="shared" si="7"/>
        <v>#REF!</v>
      </c>
      <c r="Q210" s="720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</row>
    <row r="211" ht="30.75" hidden="1" customHeight="1">
      <c r="A211" s="90"/>
      <c r="B211" s="2"/>
      <c r="C211" s="90"/>
      <c r="D211" s="686" t="s">
        <v>257</v>
      </c>
      <c r="E211" s="687" t="s">
        <v>15</v>
      </c>
      <c r="F211" s="721" t="s">
        <v>16</v>
      </c>
      <c r="G211" s="722" t="s">
        <v>17</v>
      </c>
      <c r="H211" s="723"/>
      <c r="I211" s="724"/>
      <c r="J211" s="725" t="s">
        <v>241</v>
      </c>
      <c r="K211" s="691"/>
      <c r="L211" s="692"/>
      <c r="M211" s="692"/>
      <c r="N211" s="692"/>
      <c r="O211" s="699"/>
      <c r="P211" s="684"/>
      <c r="Q211" s="693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</row>
    <row r="212" ht="14.25" hidden="1" customHeight="1">
      <c r="A212" s="90"/>
      <c r="B212" s="2"/>
      <c r="C212" s="90"/>
      <c r="D212" s="257" t="s">
        <v>25</v>
      </c>
      <c r="E212" s="257" t="s">
        <v>26</v>
      </c>
      <c r="F212" s="680"/>
      <c r="G212" s="681"/>
      <c r="H212" s="723"/>
      <c r="I212" s="681"/>
      <c r="J212" s="725" t="s">
        <v>244</v>
      </c>
      <c r="K212" s="697"/>
      <c r="L212" s="692"/>
      <c r="M212" s="692"/>
      <c r="N212" s="692"/>
      <c r="O212" s="699"/>
      <c r="P212" s="684"/>
      <c r="Q212" s="698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</row>
    <row r="213" ht="3.75" hidden="1" customHeight="1">
      <c r="A213" s="191"/>
      <c r="B213" s="719"/>
      <c r="C213" s="192"/>
      <c r="D213" s="203"/>
      <c r="E213" s="203"/>
      <c r="F213" s="726"/>
      <c r="G213" s="726"/>
      <c r="H213" s="726"/>
      <c r="I213" s="727"/>
      <c r="J213" s="728"/>
      <c r="K213" s="192"/>
      <c r="L213" s="194"/>
      <c r="M213" s="194"/>
      <c r="N213" s="194"/>
      <c r="O213" s="699"/>
      <c r="P213" s="684" t="str">
        <f t="shared" ref="P213:P235" si="8">I213-#REF!</f>
        <v>#REF!</v>
      </c>
      <c r="Q213" s="192"/>
      <c r="R213" s="158"/>
      <c r="S213" s="158"/>
      <c r="T213" s="158"/>
      <c r="U213" s="158"/>
      <c r="V213" s="158"/>
      <c r="W213" s="158"/>
      <c r="X213" s="158"/>
      <c r="Y213" s="158"/>
      <c r="Z213" s="158"/>
      <c r="AA213" s="158"/>
      <c r="AB213" s="158"/>
      <c r="AC213" s="158"/>
      <c r="AD213" s="158"/>
      <c r="AE213" s="158"/>
      <c r="AF213" s="158"/>
    </row>
    <row r="214" ht="15.75" hidden="1" customHeight="1">
      <c r="A214" s="124"/>
      <c r="B214" s="2"/>
      <c r="C214" s="124"/>
      <c r="D214" s="185"/>
      <c r="E214" s="732"/>
      <c r="F214" s="187"/>
      <c r="G214" s="187"/>
      <c r="H214" s="187"/>
      <c r="I214" s="164"/>
      <c r="J214" s="266"/>
      <c r="K214" s="183"/>
      <c r="L214" s="183"/>
      <c r="M214" s="183"/>
      <c r="N214" s="183"/>
      <c r="O214" s="699" t="str">
        <f>I214/VLOOKUP(K214,Sheet1!$D$7:$N$16,G214+1,FALSE)</f>
        <v>#N/A</v>
      </c>
      <c r="P214" s="684" t="str">
        <f t="shared" si="8"/>
        <v>#REF!</v>
      </c>
      <c r="Q214" s="730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</row>
    <row r="215" ht="3.75" hidden="1" customHeight="1">
      <c r="A215" s="124"/>
      <c r="B215" s="2"/>
      <c r="C215" s="124"/>
      <c r="D215" s="138"/>
      <c r="E215" s="252"/>
      <c r="F215" s="102"/>
      <c r="G215" s="102"/>
      <c r="H215" s="102"/>
      <c r="I215" s="247"/>
      <c r="J215" s="156"/>
      <c r="K215" s="183"/>
      <c r="L215" s="183"/>
      <c r="M215" s="183"/>
      <c r="N215" s="183"/>
      <c r="O215" s="699" t="str">
        <f>I215/VLOOKUP(K215,Sheet1!$D$7:$N$16,G215+1,FALSE)</f>
        <v>#N/A</v>
      </c>
      <c r="P215" s="684" t="str">
        <f t="shared" si="8"/>
        <v>#REF!</v>
      </c>
      <c r="Q215" s="702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</row>
    <row r="216" ht="15.75" hidden="1" customHeight="1">
      <c r="A216" s="90"/>
      <c r="B216" s="2"/>
      <c r="C216" s="90"/>
      <c r="D216" s="185" t="s">
        <v>51</v>
      </c>
      <c r="E216" s="224"/>
      <c r="F216" s="187">
        <v>4.0</v>
      </c>
      <c r="G216" s="187">
        <v>4.0</v>
      </c>
      <c r="H216" s="187"/>
      <c r="I216" s="164">
        <v>130.0</v>
      </c>
      <c r="J216" s="266">
        <v>7.0</v>
      </c>
      <c r="K216" s="183">
        <v>7.0</v>
      </c>
      <c r="L216" s="183"/>
      <c r="M216" s="183"/>
      <c r="N216" s="183"/>
      <c r="O216" s="699">
        <f>I216/VLOOKUP(K216,Sheet1!$D$7:$N$16,G216+1,FALSE)</f>
        <v>159.5092025</v>
      </c>
      <c r="P216" s="684" t="str">
        <f t="shared" si="8"/>
        <v>#REF!</v>
      </c>
      <c r="Q216" s="702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</row>
    <row r="217" ht="3.75" hidden="1" customHeight="1">
      <c r="A217" s="90"/>
      <c r="B217" s="2"/>
      <c r="C217" s="90"/>
      <c r="D217" s="138"/>
      <c r="E217" s="252"/>
      <c r="F217" s="102"/>
      <c r="G217" s="102"/>
      <c r="H217" s="102"/>
      <c r="I217" s="247"/>
      <c r="J217" s="156"/>
      <c r="K217" s="183"/>
      <c r="L217" s="183"/>
      <c r="M217" s="183"/>
      <c r="N217" s="183"/>
      <c r="O217" s="699" t="str">
        <f>I217/VLOOKUP(K217,Sheet1!$D$7:$N$16,G217+1,FALSE)</f>
        <v>#N/A</v>
      </c>
      <c r="P217" s="684" t="str">
        <f t="shared" si="8"/>
        <v>#REF!</v>
      </c>
      <c r="Q217" s="702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</row>
    <row r="218" ht="15.75" hidden="1" customHeight="1">
      <c r="A218" s="90"/>
      <c r="B218" s="2"/>
      <c r="C218" s="90"/>
      <c r="D218" s="185" t="s">
        <v>119</v>
      </c>
      <c r="E218" s="264"/>
      <c r="F218" s="187">
        <v>3.0</v>
      </c>
      <c r="G218" s="187">
        <v>12.0</v>
      </c>
      <c r="H218" s="187"/>
      <c r="I218" s="164">
        <v>90.0</v>
      </c>
      <c r="J218" s="266">
        <v>8.0</v>
      </c>
      <c r="K218" s="183">
        <v>9.0</v>
      </c>
      <c r="L218" s="183"/>
      <c r="M218" s="183"/>
      <c r="N218" s="183"/>
      <c r="O218" s="699" t="str">
        <f>I218/VLOOKUP(K218,Sheet1!$D$7:$N$16,G218+1,FALSE)</f>
        <v>#REF!</v>
      </c>
      <c r="P218" s="684" t="str">
        <f t="shared" si="8"/>
        <v>#REF!</v>
      </c>
      <c r="Q218" s="702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</row>
    <row r="219" ht="3.75" hidden="1" customHeight="1">
      <c r="A219" s="90"/>
      <c r="B219" s="2"/>
      <c r="C219" s="90"/>
      <c r="D219" s="138"/>
      <c r="E219" s="252"/>
      <c r="F219" s="102"/>
      <c r="G219" s="102"/>
      <c r="H219" s="102"/>
      <c r="I219" s="247"/>
      <c r="J219" s="156"/>
      <c r="K219" s="183"/>
      <c r="L219" s="183"/>
      <c r="M219" s="183"/>
      <c r="N219" s="183"/>
      <c r="O219" s="699" t="str">
        <f>I219/VLOOKUP(K219,Sheet1!$D$7:$N$16,G219+1,FALSE)</f>
        <v>#N/A</v>
      </c>
      <c r="P219" s="684" t="str">
        <f t="shared" si="8"/>
        <v>#REF!</v>
      </c>
      <c r="Q219" s="702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</row>
    <row r="220" ht="15.75" hidden="1" customHeight="1">
      <c r="A220" s="90"/>
      <c r="B220" s="2"/>
      <c r="C220" s="90"/>
      <c r="D220" s="185" t="s">
        <v>275</v>
      </c>
      <c r="E220" s="260"/>
      <c r="F220" s="187">
        <v>3.0</v>
      </c>
      <c r="G220" s="731" t="s">
        <v>251</v>
      </c>
      <c r="H220" s="187"/>
      <c r="I220" s="164"/>
      <c r="J220" s="266">
        <v>8.0</v>
      </c>
      <c r="K220" s="183">
        <v>8.0</v>
      </c>
      <c r="L220" s="183"/>
      <c r="M220" s="183"/>
      <c r="N220" s="183"/>
      <c r="O220" s="699" t="str">
        <f>I220/VLOOKUP(K220,Sheet1!$D$7:$N$16,G220+1,FALSE)</f>
        <v>#REF!</v>
      </c>
      <c r="P220" s="684" t="str">
        <f t="shared" si="8"/>
        <v>#REF!</v>
      </c>
      <c r="Q220" s="702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</row>
    <row r="221" ht="3.75" hidden="1" customHeight="1">
      <c r="A221" s="90"/>
      <c r="B221" s="2"/>
      <c r="C221" s="90"/>
      <c r="D221" s="138"/>
      <c r="E221" s="252"/>
      <c r="F221" s="102"/>
      <c r="G221" s="102"/>
      <c r="H221" s="102"/>
      <c r="I221" s="247"/>
      <c r="J221" s="156"/>
      <c r="K221" s="183"/>
      <c r="L221" s="183"/>
      <c r="M221" s="183"/>
      <c r="N221" s="183"/>
      <c r="O221" s="699" t="str">
        <f>I221/VLOOKUP(K221,Sheet1!$D$7:$N$16,G221+1,FALSE)</f>
        <v>#N/A</v>
      </c>
      <c r="P221" s="684" t="str">
        <f t="shared" si="8"/>
        <v>#REF!</v>
      </c>
      <c r="Q221" s="702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</row>
    <row r="222" ht="15.75" hidden="1" customHeight="1">
      <c r="A222" s="90"/>
      <c r="B222" s="2"/>
      <c r="C222" s="90"/>
      <c r="D222" s="185" t="s">
        <v>276</v>
      </c>
      <c r="E222" s="260"/>
      <c r="F222" s="187">
        <v>3.0</v>
      </c>
      <c r="G222" s="731" t="s">
        <v>251</v>
      </c>
      <c r="H222" s="187"/>
      <c r="I222" s="164"/>
      <c r="J222" s="266">
        <v>8.0</v>
      </c>
      <c r="K222" s="183"/>
      <c r="L222" s="183"/>
      <c r="M222" s="183"/>
      <c r="N222" s="183"/>
      <c r="O222" s="699" t="str">
        <f>I222/VLOOKUP(K222,Sheet1!$D$7:$N$16,G222+1,FALSE)</f>
        <v>#REF!</v>
      </c>
      <c r="P222" s="684" t="str">
        <f t="shared" si="8"/>
        <v>#REF!</v>
      </c>
      <c r="Q222" s="702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</row>
    <row r="223" ht="3.75" hidden="1" customHeight="1">
      <c r="A223" s="90"/>
      <c r="B223" s="2"/>
      <c r="C223" s="90"/>
      <c r="D223" s="138"/>
      <c r="E223" s="252"/>
      <c r="F223" s="102"/>
      <c r="G223" s="102"/>
      <c r="H223" s="102"/>
      <c r="I223" s="247"/>
      <c r="J223" s="156"/>
      <c r="K223" s="183"/>
      <c r="L223" s="183"/>
      <c r="M223" s="183"/>
      <c r="N223" s="183"/>
      <c r="O223" s="699" t="str">
        <f>I223/VLOOKUP(K223,Sheet1!$D$7:$N$16,G223+1,FALSE)</f>
        <v>#N/A</v>
      </c>
      <c r="P223" s="684" t="str">
        <f t="shared" si="8"/>
        <v>#REF!</v>
      </c>
      <c r="Q223" s="702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</row>
    <row r="224" ht="15.75" hidden="1" customHeight="1">
      <c r="A224" s="90"/>
      <c r="B224" s="2"/>
      <c r="C224" s="90"/>
      <c r="D224" s="185" t="s">
        <v>277</v>
      </c>
      <c r="E224" s="260"/>
      <c r="F224" s="187">
        <v>3.0</v>
      </c>
      <c r="G224" s="731" t="s">
        <v>251</v>
      </c>
      <c r="H224" s="187"/>
      <c r="I224" s="164"/>
      <c r="J224" s="266">
        <v>8.0</v>
      </c>
      <c r="K224" s="183">
        <v>8.0</v>
      </c>
      <c r="L224" s="183"/>
      <c r="M224" s="183"/>
      <c r="N224" s="183"/>
      <c r="O224" s="699" t="str">
        <f>I224/VLOOKUP(K224,Sheet1!$D$7:$N$16,G224+1,FALSE)</f>
        <v>#REF!</v>
      </c>
      <c r="P224" s="684" t="str">
        <f t="shared" si="8"/>
        <v>#REF!</v>
      </c>
      <c r="Q224" s="702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</row>
    <row r="225" ht="3.75" hidden="1" customHeight="1">
      <c r="A225" s="90"/>
      <c r="B225" s="2"/>
      <c r="C225" s="90"/>
      <c r="D225" s="138"/>
      <c r="E225" s="252"/>
      <c r="F225" s="102"/>
      <c r="G225" s="102"/>
      <c r="H225" s="102"/>
      <c r="I225" s="247"/>
      <c r="J225" s="267"/>
      <c r="K225" s="183"/>
      <c r="L225" s="183"/>
      <c r="M225" s="183"/>
      <c r="N225" s="183"/>
      <c r="O225" s="699" t="str">
        <f>I225/VLOOKUP(K225,Sheet1!$D$7:$N$16,G225+1,FALSE)</f>
        <v>#N/A</v>
      </c>
      <c r="P225" s="684" t="str">
        <f t="shared" si="8"/>
        <v>#REF!</v>
      </c>
      <c r="Q225" s="702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</row>
    <row r="226" ht="20.25" hidden="1" customHeight="1">
      <c r="A226" s="90"/>
      <c r="B226" s="2"/>
      <c r="C226" s="90"/>
      <c r="D226" s="185" t="s">
        <v>54</v>
      </c>
      <c r="E226" s="264"/>
      <c r="F226" s="187">
        <v>3.0</v>
      </c>
      <c r="G226" s="731" t="s">
        <v>251</v>
      </c>
      <c r="H226" s="187"/>
      <c r="I226" s="164"/>
      <c r="J226" s="266">
        <v>8.0</v>
      </c>
      <c r="K226" s="183">
        <v>8.0</v>
      </c>
      <c r="L226" s="183"/>
      <c r="M226" s="183"/>
      <c r="N226" s="183"/>
      <c r="O226" s="699" t="str">
        <f>I226/VLOOKUP(K226,Sheet1!$D$7:$N$16,G226+1,FALSE)</f>
        <v>#REF!</v>
      </c>
      <c r="P226" s="684" t="str">
        <f t="shared" si="8"/>
        <v>#REF!</v>
      </c>
      <c r="Q226" s="702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</row>
    <row r="227" ht="3.75" hidden="1" customHeight="1">
      <c r="A227" s="191"/>
      <c r="B227" s="719"/>
      <c r="C227" s="192"/>
      <c r="D227" s="138"/>
      <c r="E227" s="252"/>
      <c r="F227" s="102"/>
      <c r="G227" s="102"/>
      <c r="H227" s="102"/>
      <c r="I227" s="247"/>
      <c r="J227" s="156"/>
      <c r="K227" s="183"/>
      <c r="L227" s="183"/>
      <c r="M227" s="183"/>
      <c r="N227" s="183"/>
      <c r="O227" s="699" t="str">
        <f>I227/VLOOKUP(K227,Sheet1!$D$7:$N$16,G227+1,FALSE)</f>
        <v>#N/A</v>
      </c>
      <c r="P227" s="684" t="str">
        <f t="shared" si="8"/>
        <v>#REF!</v>
      </c>
      <c r="Q227" s="702"/>
      <c r="R227" s="158"/>
      <c r="S227" s="158"/>
      <c r="T227" s="158"/>
      <c r="U227" s="158"/>
      <c r="V227" s="158"/>
      <c r="W227" s="158"/>
      <c r="X227" s="158"/>
      <c r="Y227" s="158"/>
      <c r="Z227" s="158"/>
      <c r="AA227" s="158"/>
      <c r="AB227" s="158"/>
      <c r="AC227" s="158"/>
      <c r="AD227" s="158"/>
      <c r="AE227" s="158"/>
      <c r="AF227" s="158"/>
    </row>
    <row r="228" ht="15.75" hidden="1" customHeight="1">
      <c r="A228" s="90"/>
      <c r="B228" s="2"/>
      <c r="C228" s="90"/>
      <c r="D228" s="185" t="s">
        <v>278</v>
      </c>
      <c r="E228" s="260"/>
      <c r="F228" s="187">
        <v>3.0</v>
      </c>
      <c r="G228" s="731" t="s">
        <v>251</v>
      </c>
      <c r="H228" s="187"/>
      <c r="I228" s="164"/>
      <c r="J228" s="266">
        <v>8.0</v>
      </c>
      <c r="K228" s="183">
        <v>7.0</v>
      </c>
      <c r="L228" s="183"/>
      <c r="M228" s="183"/>
      <c r="N228" s="183"/>
      <c r="O228" s="699" t="str">
        <f>I228/VLOOKUP(K228,Sheet1!$D$7:$N$16,G228+1,FALSE)</f>
        <v>#REF!</v>
      </c>
      <c r="P228" s="684" t="str">
        <f t="shared" si="8"/>
        <v>#REF!</v>
      </c>
      <c r="Q228" s="702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</row>
    <row r="229" ht="3.75" hidden="1" customHeight="1">
      <c r="A229" s="90"/>
      <c r="B229" s="2"/>
      <c r="C229" s="90"/>
      <c r="D229" s="138"/>
      <c r="E229" s="252"/>
      <c r="F229" s="102"/>
      <c r="G229" s="102"/>
      <c r="H229" s="102"/>
      <c r="I229" s="247"/>
      <c r="J229" s="156"/>
      <c r="K229" s="183"/>
      <c r="L229" s="183"/>
      <c r="M229" s="183"/>
      <c r="N229" s="183"/>
      <c r="O229" s="699" t="str">
        <f>I229/VLOOKUP(K229,Sheet1!$D$7:$N$16,G229+1,FALSE)</f>
        <v>#N/A</v>
      </c>
      <c r="P229" s="684" t="str">
        <f t="shared" si="8"/>
        <v>#REF!</v>
      </c>
      <c r="Q229" s="702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</row>
    <row r="230" ht="15.75" hidden="1" customHeight="1">
      <c r="A230" s="90"/>
      <c r="B230" s="2"/>
      <c r="C230" s="90"/>
      <c r="D230" s="185"/>
      <c r="E230" s="266"/>
      <c r="F230" s="187"/>
      <c r="G230" s="187"/>
      <c r="H230" s="187"/>
      <c r="I230" s="164"/>
      <c r="J230" s="266"/>
      <c r="K230" s="183"/>
      <c r="L230" s="183"/>
      <c r="M230" s="183"/>
      <c r="N230" s="183"/>
      <c r="O230" s="699" t="str">
        <f>I230/VLOOKUP(K230,Sheet1!$D$7:$N$16,G230+1,FALSE)</f>
        <v>#N/A</v>
      </c>
      <c r="P230" s="684" t="str">
        <f t="shared" si="8"/>
        <v>#REF!</v>
      </c>
      <c r="Q230" s="702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</row>
    <row r="231" ht="3.75" hidden="1" customHeight="1">
      <c r="A231" s="191"/>
      <c r="B231" s="719"/>
      <c r="C231" s="192"/>
      <c r="D231" s="138"/>
      <c r="E231" s="267"/>
      <c r="F231" s="194"/>
      <c r="G231" s="194"/>
      <c r="H231" s="194"/>
      <c r="I231" s="164"/>
      <c r="J231" s="267"/>
      <c r="K231" s="183"/>
      <c r="L231" s="183"/>
      <c r="M231" s="183"/>
      <c r="N231" s="183"/>
      <c r="O231" s="699" t="str">
        <f>I231/VLOOKUP(K231,Sheet1!$D$7:$N$16,G231+1,FALSE)</f>
        <v>#N/A</v>
      </c>
      <c r="P231" s="684" t="str">
        <f t="shared" si="8"/>
        <v>#REF!</v>
      </c>
      <c r="Q231" s="702"/>
      <c r="R231" s="158"/>
      <c r="S231" s="158"/>
      <c r="T231" s="158"/>
      <c r="U231" s="158"/>
      <c r="V231" s="158"/>
      <c r="W231" s="158"/>
      <c r="X231" s="158"/>
      <c r="Y231" s="158"/>
      <c r="Z231" s="158"/>
      <c r="AA231" s="158"/>
      <c r="AB231" s="158"/>
      <c r="AC231" s="158"/>
      <c r="AD231" s="158"/>
      <c r="AE231" s="158"/>
      <c r="AF231" s="158"/>
    </row>
    <row r="232" ht="15.75" hidden="1" customHeight="1">
      <c r="A232" s="90"/>
      <c r="B232" s="2"/>
      <c r="C232" s="90"/>
      <c r="D232" s="185"/>
      <c r="E232" s="266"/>
      <c r="F232" s="187"/>
      <c r="G232" s="187"/>
      <c r="H232" s="187"/>
      <c r="I232" s="164"/>
      <c r="J232" s="266"/>
      <c r="K232" s="183"/>
      <c r="L232" s="183"/>
      <c r="M232" s="183"/>
      <c r="N232" s="183"/>
      <c r="O232" s="699" t="str">
        <f>I232/VLOOKUP(K232,Sheet1!$D$7:$N$16,G232+1,FALSE)</f>
        <v>#N/A</v>
      </c>
      <c r="P232" s="684" t="str">
        <f t="shared" si="8"/>
        <v>#REF!</v>
      </c>
      <c r="Q232" s="702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</row>
    <row r="233" ht="3.75" hidden="1" customHeight="1">
      <c r="A233" s="90"/>
      <c r="B233" s="2"/>
      <c r="C233" s="90"/>
      <c r="D233" s="252"/>
      <c r="E233" s="252"/>
      <c r="F233" s="102"/>
      <c r="G233" s="102"/>
      <c r="H233" s="102"/>
      <c r="I233" s="247"/>
      <c r="J233" s="156"/>
      <c r="K233" s="733"/>
      <c r="L233" s="734"/>
      <c r="M233" s="734"/>
      <c r="N233" s="734"/>
      <c r="O233" s="699" t="str">
        <f>I233/VLOOKUP(K233,Sheet1!$D$7:$N$16,G233+1,FALSE)</f>
        <v>#N/A</v>
      </c>
      <c r="P233" s="684" t="str">
        <f t="shared" si="8"/>
        <v>#REF!</v>
      </c>
      <c r="Q233" s="702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</row>
    <row r="234" ht="0.75" hidden="1" customHeight="1">
      <c r="A234" s="90"/>
      <c r="B234" s="2"/>
      <c r="C234" s="90"/>
      <c r="D234" s="274"/>
      <c r="E234" s="266"/>
      <c r="F234" s="187"/>
      <c r="G234" s="187"/>
      <c r="H234" s="187"/>
      <c r="I234" s="164"/>
      <c r="J234" s="266"/>
      <c r="K234" s="733"/>
      <c r="L234" s="734"/>
      <c r="M234" s="734"/>
      <c r="N234" s="734"/>
      <c r="O234" s="699" t="str">
        <f>I234/VLOOKUP(K234,Sheet1!$D$7:$N$16,G234+1,FALSE)</f>
        <v>#N/A</v>
      </c>
      <c r="P234" s="684" t="str">
        <f t="shared" si="8"/>
        <v>#REF!</v>
      </c>
      <c r="Q234" s="697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</row>
    <row r="235" ht="3.75" hidden="1" customHeight="1">
      <c r="A235" s="90"/>
      <c r="B235" s="2"/>
      <c r="C235" s="90"/>
      <c r="D235" s="90"/>
      <c r="E235" s="156"/>
      <c r="F235" s="102"/>
      <c r="G235" s="102"/>
      <c r="H235" s="102"/>
      <c r="I235" s="102"/>
      <c r="J235" s="156"/>
      <c r="K235" s="720"/>
      <c r="L235" s="201"/>
      <c r="M235" s="201"/>
      <c r="N235" s="201"/>
      <c r="O235" s="699"/>
      <c r="P235" s="684" t="str">
        <f t="shared" si="8"/>
        <v>#REF!</v>
      </c>
      <c r="Q235" s="720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</row>
    <row r="236" ht="30.0" hidden="1" customHeight="1">
      <c r="A236" s="90"/>
      <c r="B236" s="2"/>
      <c r="C236" s="90"/>
      <c r="D236" s="686" t="s">
        <v>279</v>
      </c>
      <c r="E236" s="687" t="s">
        <v>15</v>
      </c>
      <c r="F236" s="721" t="s">
        <v>16</v>
      </c>
      <c r="G236" s="722" t="s">
        <v>17</v>
      </c>
      <c r="H236" s="723"/>
      <c r="I236" s="724"/>
      <c r="J236" s="725" t="s">
        <v>241</v>
      </c>
      <c r="K236" s="691"/>
      <c r="L236" s="692"/>
      <c r="M236" s="692"/>
      <c r="N236" s="692"/>
      <c r="O236" s="699"/>
      <c r="P236" s="684"/>
      <c r="Q236" s="693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</row>
    <row r="237" ht="14.25" hidden="1" customHeight="1">
      <c r="A237" s="90"/>
      <c r="B237" s="2"/>
      <c r="C237" s="90"/>
      <c r="D237" s="257" t="s">
        <v>25</v>
      </c>
      <c r="E237" s="257" t="s">
        <v>26</v>
      </c>
      <c r="F237" s="680"/>
      <c r="G237" s="681"/>
      <c r="H237" s="723"/>
      <c r="I237" s="681"/>
      <c r="J237" s="725" t="s">
        <v>244</v>
      </c>
      <c r="K237" s="697"/>
      <c r="L237" s="692"/>
      <c r="M237" s="692"/>
      <c r="N237" s="692"/>
      <c r="O237" s="699"/>
      <c r="P237" s="684"/>
      <c r="Q237" s="698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</row>
    <row r="238" ht="3.75" hidden="1" customHeight="1">
      <c r="A238" s="191"/>
      <c r="B238" s="719"/>
      <c r="C238" s="192"/>
      <c r="D238" s="203"/>
      <c r="E238" s="203"/>
      <c r="F238" s="726"/>
      <c r="G238" s="726"/>
      <c r="H238" s="726"/>
      <c r="I238" s="727"/>
      <c r="J238" s="728"/>
      <c r="K238" s="192"/>
      <c r="L238" s="194"/>
      <c r="M238" s="194"/>
      <c r="N238" s="194"/>
      <c r="O238" s="699" t="str">
        <f>I238/VLOOKUP(K238,Sheet1!$D$7:$N$16,G238+1,FALSE)</f>
        <v>#N/A</v>
      </c>
      <c r="P238" s="684" t="str">
        <f t="shared" ref="P238:P258" si="9">I238-#REF!</f>
        <v>#REF!</v>
      </c>
      <c r="Q238" s="192"/>
      <c r="R238" s="158"/>
      <c r="S238" s="158"/>
      <c r="T238" s="158"/>
      <c r="U238" s="158"/>
      <c r="V238" s="158"/>
      <c r="W238" s="158"/>
      <c r="X238" s="158"/>
      <c r="Y238" s="158"/>
      <c r="Z238" s="158"/>
      <c r="AA238" s="158"/>
      <c r="AB238" s="158"/>
      <c r="AC238" s="158"/>
      <c r="AD238" s="158"/>
      <c r="AE238" s="158"/>
      <c r="AF238" s="158"/>
    </row>
    <row r="239" ht="15.75" hidden="1" customHeight="1">
      <c r="A239" s="124"/>
      <c r="B239" s="2"/>
      <c r="C239" s="124"/>
      <c r="D239" s="185" t="s">
        <v>6</v>
      </c>
      <c r="E239" s="260"/>
      <c r="F239" s="187">
        <v>1.0</v>
      </c>
      <c r="G239" s="187">
        <v>5.0</v>
      </c>
      <c r="H239" s="187"/>
      <c r="I239" s="164">
        <v>190.0</v>
      </c>
      <c r="J239" s="266">
        <v>7.0</v>
      </c>
      <c r="K239" s="164">
        <v>8.0</v>
      </c>
      <c r="L239" s="164"/>
      <c r="M239" s="164"/>
      <c r="N239" s="164"/>
      <c r="O239" s="699">
        <f>I239/VLOOKUP(K239,Sheet1!$D$7:$N$16,G239+1,FALSE)</f>
        <v>233.1288344</v>
      </c>
      <c r="P239" s="684" t="str">
        <f t="shared" si="9"/>
        <v>#REF!</v>
      </c>
      <c r="Q239" s="700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</row>
    <row r="240" ht="3.75" hidden="1" customHeight="1">
      <c r="A240" s="124"/>
      <c r="B240" s="2"/>
      <c r="C240" s="124"/>
      <c r="D240" s="138"/>
      <c r="E240" s="252"/>
      <c r="F240" s="140"/>
      <c r="G240" s="140"/>
      <c r="H240" s="140"/>
      <c r="I240" s="701"/>
      <c r="J240" s="141"/>
      <c r="K240" s="164"/>
      <c r="L240" s="164"/>
      <c r="M240" s="164"/>
      <c r="N240" s="164"/>
      <c r="O240" s="699" t="str">
        <f>I240/VLOOKUP(K240,Sheet1!$D$7:$N$16,G240+1,FALSE)</f>
        <v>#N/A</v>
      </c>
      <c r="P240" s="684" t="str">
        <f t="shared" si="9"/>
        <v>#REF!</v>
      </c>
      <c r="Q240" s="702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</row>
    <row r="241" ht="15.0" hidden="1" customHeight="1">
      <c r="A241" s="124"/>
      <c r="B241" s="2"/>
      <c r="C241" s="124"/>
      <c r="D241" s="704" t="s">
        <v>6</v>
      </c>
      <c r="E241" s="260"/>
      <c r="F241" s="187">
        <v>3.0</v>
      </c>
      <c r="G241" s="187">
        <v>5.0</v>
      </c>
      <c r="H241" s="187"/>
      <c r="I241" s="164">
        <v>170.0</v>
      </c>
      <c r="J241" s="266">
        <v>-10.0</v>
      </c>
      <c r="K241" s="164">
        <v>8.0</v>
      </c>
      <c r="L241" s="164"/>
      <c r="M241" s="164"/>
      <c r="N241" s="164"/>
      <c r="O241" s="699">
        <f>I241/VLOOKUP(K241,Sheet1!$D$7:$N$16,G241+1,FALSE)</f>
        <v>208.5889571</v>
      </c>
      <c r="P241" s="684" t="str">
        <f t="shared" si="9"/>
        <v>#REF!</v>
      </c>
      <c r="Q241" s="702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</row>
    <row r="242" ht="3.75" hidden="1" customHeight="1">
      <c r="A242" s="124"/>
      <c r="B242" s="2"/>
      <c r="C242" s="124"/>
      <c r="D242" s="138"/>
      <c r="E242" s="252"/>
      <c r="F242" s="102"/>
      <c r="G242" s="102"/>
      <c r="H242" s="102"/>
      <c r="I242" s="247"/>
      <c r="J242" s="156"/>
      <c r="K242" s="164"/>
      <c r="L242" s="164"/>
      <c r="M242" s="164"/>
      <c r="N242" s="164"/>
      <c r="O242" s="699" t="str">
        <f>I242/VLOOKUP(K242,Sheet1!$D$7:$N$16,G242+1,FALSE)</f>
        <v>#N/A</v>
      </c>
      <c r="P242" s="684" t="str">
        <f t="shared" si="9"/>
        <v>#REF!</v>
      </c>
      <c r="Q242" s="702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</row>
    <row r="243" ht="15.75" hidden="1" customHeight="1">
      <c r="A243" s="124"/>
      <c r="B243" s="2"/>
      <c r="C243" s="124"/>
      <c r="D243" s="704"/>
      <c r="E243" s="260"/>
      <c r="F243" s="187"/>
      <c r="G243" s="187"/>
      <c r="H243" s="187"/>
      <c r="I243" s="164"/>
      <c r="J243" s="706"/>
      <c r="K243" s="164"/>
      <c r="L243" s="164"/>
      <c r="M243" s="164"/>
      <c r="N243" s="164"/>
      <c r="O243" s="699" t="str">
        <f>I243/VLOOKUP(K243,Sheet1!$D$7:$N$16,G243+1,FALSE)</f>
        <v>#N/A</v>
      </c>
      <c r="P243" s="684" t="str">
        <f t="shared" si="9"/>
        <v>#REF!</v>
      </c>
      <c r="Q243" s="702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</row>
    <row r="244" ht="3.75" hidden="1" customHeight="1">
      <c r="A244" s="124"/>
      <c r="B244" s="2"/>
      <c r="C244" s="124"/>
      <c r="D244" s="138"/>
      <c r="E244" s="252"/>
      <c r="F244" s="102"/>
      <c r="G244" s="102"/>
      <c r="H244" s="102"/>
      <c r="I244" s="247"/>
      <c r="J244" s="156"/>
      <c r="K244" s="164"/>
      <c r="L244" s="164"/>
      <c r="M244" s="164"/>
      <c r="N244" s="164"/>
      <c r="O244" s="699" t="str">
        <f>I244/VLOOKUP(K244,Sheet1!$D$7:$N$16,G244+1,FALSE)</f>
        <v>#N/A</v>
      </c>
      <c r="P244" s="684" t="str">
        <f t="shared" si="9"/>
        <v>#REF!</v>
      </c>
      <c r="Q244" s="702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</row>
    <row r="245" ht="15.75" hidden="1" customHeight="1">
      <c r="A245" s="124"/>
      <c r="B245" s="2"/>
      <c r="C245" s="124"/>
      <c r="D245" s="185" t="s">
        <v>51</v>
      </c>
      <c r="E245" s="260"/>
      <c r="F245" s="187">
        <v>1.0</v>
      </c>
      <c r="G245" s="187">
        <v>2.0</v>
      </c>
      <c r="H245" s="187"/>
      <c r="I245" s="164">
        <v>147.5</v>
      </c>
      <c r="J245" s="266">
        <v>6.0</v>
      </c>
      <c r="K245" s="164">
        <v>7.0</v>
      </c>
      <c r="L245" s="164"/>
      <c r="M245" s="164"/>
      <c r="N245" s="164"/>
      <c r="O245" s="699">
        <f>I245/VLOOKUP(K245,Sheet1!$D$7:$N$16,G245+1,FALSE)</f>
        <v>170.5202312</v>
      </c>
      <c r="P245" s="684" t="str">
        <f t="shared" si="9"/>
        <v>#REF!</v>
      </c>
      <c r="Q245" s="702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</row>
    <row r="246" ht="3.75" hidden="1" customHeight="1">
      <c r="A246" s="90"/>
      <c r="B246" s="2"/>
      <c r="C246" s="90"/>
      <c r="D246" s="138"/>
      <c r="E246" s="252"/>
      <c r="F246" s="102"/>
      <c r="G246" s="102"/>
      <c r="H246" s="102"/>
      <c r="I246" s="247"/>
      <c r="J246" s="156"/>
      <c r="K246" s="164"/>
      <c r="L246" s="164"/>
      <c r="M246" s="164"/>
      <c r="N246" s="164"/>
      <c r="O246" s="699" t="str">
        <f>I246/VLOOKUP(K246,Sheet1!$D$7:$N$16,G246+1,FALSE)</f>
        <v>#N/A</v>
      </c>
      <c r="P246" s="684" t="str">
        <f t="shared" si="9"/>
        <v>#REF!</v>
      </c>
      <c r="Q246" s="702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</row>
    <row r="247" ht="15.75" hidden="1" customHeight="1">
      <c r="A247" s="90"/>
      <c r="B247" s="2"/>
      <c r="C247" s="90"/>
      <c r="D247" s="185" t="s">
        <v>51</v>
      </c>
      <c r="E247" s="260"/>
      <c r="F247" s="187">
        <v>4.0</v>
      </c>
      <c r="G247" s="187">
        <v>4.0</v>
      </c>
      <c r="H247" s="187"/>
      <c r="I247" s="164">
        <v>127.5</v>
      </c>
      <c r="J247" s="706">
        <v>-0.12</v>
      </c>
      <c r="K247" s="164">
        <v>6.5</v>
      </c>
      <c r="L247" s="164"/>
      <c r="M247" s="164"/>
      <c r="N247" s="164"/>
      <c r="O247" s="699">
        <f>I247/VLOOKUP(K247,Sheet1!$D$7:$N$16,G247+1,FALSE)</f>
        <v>158.8785047</v>
      </c>
      <c r="P247" s="684" t="str">
        <f t="shared" si="9"/>
        <v>#REF!</v>
      </c>
      <c r="Q247" s="702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</row>
    <row r="248" ht="3.75" hidden="1" customHeight="1">
      <c r="A248" s="191"/>
      <c r="B248" s="719"/>
      <c r="C248" s="192"/>
      <c r="D248" s="138"/>
      <c r="E248" s="252"/>
      <c r="F248" s="102"/>
      <c r="G248" s="102"/>
      <c r="H248" s="102"/>
      <c r="I248" s="247"/>
      <c r="J248" s="156"/>
      <c r="K248" s="164"/>
      <c r="L248" s="164"/>
      <c r="M248" s="164"/>
      <c r="N248" s="164"/>
      <c r="O248" s="699" t="str">
        <f>I248/VLOOKUP(K248,Sheet1!$D$7:$N$16,G248+1,FALSE)</f>
        <v>#N/A</v>
      </c>
      <c r="P248" s="684" t="str">
        <f t="shared" si="9"/>
        <v>#REF!</v>
      </c>
      <c r="Q248" s="702"/>
      <c r="R248" s="158"/>
      <c r="S248" s="158"/>
      <c r="T248" s="158"/>
      <c r="U248" s="158"/>
      <c r="V248" s="158"/>
      <c r="W248" s="158"/>
      <c r="X248" s="158"/>
      <c r="Y248" s="158"/>
      <c r="Z248" s="158"/>
      <c r="AA248" s="158"/>
      <c r="AB248" s="158"/>
      <c r="AC248" s="158"/>
      <c r="AD248" s="158"/>
      <c r="AE248" s="158"/>
      <c r="AF248" s="158"/>
    </row>
    <row r="249" ht="15.75" hidden="1" customHeight="1">
      <c r="A249" s="90"/>
      <c r="B249" s="2"/>
      <c r="C249" s="90"/>
      <c r="D249" s="185" t="s">
        <v>259</v>
      </c>
      <c r="E249" s="260"/>
      <c r="F249" s="187">
        <v>3.0</v>
      </c>
      <c r="G249" s="731" t="s">
        <v>260</v>
      </c>
      <c r="H249" s="187"/>
      <c r="I249" s="164"/>
      <c r="J249" s="266">
        <v>7.0</v>
      </c>
      <c r="K249" s="164">
        <v>8.0</v>
      </c>
      <c r="L249" s="164"/>
      <c r="M249" s="164"/>
      <c r="N249" s="164"/>
      <c r="O249" s="699" t="str">
        <f>I249/VLOOKUP(K249,Sheet1!$D$7:$N$16,G249+1,FALSE)</f>
        <v>#REF!</v>
      </c>
      <c r="P249" s="684" t="str">
        <f t="shared" si="9"/>
        <v>#REF!</v>
      </c>
      <c r="Q249" s="702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</row>
    <row r="250" ht="3.75" hidden="1" customHeight="1">
      <c r="A250" s="90"/>
      <c r="B250" s="2"/>
      <c r="C250" s="90"/>
      <c r="D250" s="138"/>
      <c r="E250" s="252"/>
      <c r="F250" s="102"/>
      <c r="G250" s="102"/>
      <c r="H250" s="102"/>
      <c r="I250" s="247"/>
      <c r="J250" s="156"/>
      <c r="K250" s="164"/>
      <c r="L250" s="164"/>
      <c r="M250" s="164"/>
      <c r="N250" s="164"/>
      <c r="O250" s="699" t="str">
        <f>I250/VLOOKUP(K250,Sheet1!$D$7:$N$16,G250+1,FALSE)</f>
        <v>#N/A</v>
      </c>
      <c r="P250" s="684" t="str">
        <f t="shared" si="9"/>
        <v>#REF!</v>
      </c>
      <c r="Q250" s="702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</row>
    <row r="251" ht="15.75" hidden="1" customHeight="1">
      <c r="A251" s="90"/>
      <c r="B251" s="2"/>
      <c r="C251" s="90"/>
      <c r="D251" s="185" t="s">
        <v>261</v>
      </c>
      <c r="E251" s="260"/>
      <c r="F251" s="187">
        <v>3.0</v>
      </c>
      <c r="G251" s="731" t="s">
        <v>260</v>
      </c>
      <c r="H251" s="187"/>
      <c r="I251" s="164"/>
      <c r="J251" s="266">
        <v>8.0</v>
      </c>
      <c r="K251" s="164">
        <v>8.0</v>
      </c>
      <c r="L251" s="164"/>
      <c r="M251" s="164"/>
      <c r="N251" s="164"/>
      <c r="O251" s="699" t="str">
        <f>I251/VLOOKUP(K251,Sheet1!$D$7:$N$16,G251+1,FALSE)</f>
        <v>#REF!</v>
      </c>
      <c r="P251" s="684" t="str">
        <f t="shared" si="9"/>
        <v>#REF!</v>
      </c>
      <c r="Q251" s="702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</row>
    <row r="252" ht="3.75" hidden="1" customHeight="1">
      <c r="A252" s="90"/>
      <c r="B252" s="2"/>
      <c r="C252" s="90"/>
      <c r="D252" s="138"/>
      <c r="E252" s="252"/>
      <c r="F252" s="102"/>
      <c r="G252" s="102"/>
      <c r="H252" s="102"/>
      <c r="I252" s="247"/>
      <c r="J252" s="156"/>
      <c r="K252" s="164"/>
      <c r="L252" s="164"/>
      <c r="M252" s="164"/>
      <c r="N252" s="164"/>
      <c r="O252" s="699" t="str">
        <f>I252/VLOOKUP(K252,Sheet1!$D$7:$N$16,G252+1,FALSE)</f>
        <v>#N/A</v>
      </c>
      <c r="P252" s="684" t="str">
        <f t="shared" si="9"/>
        <v>#REF!</v>
      </c>
      <c r="Q252" s="702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</row>
    <row r="253" ht="15.75" hidden="1" customHeight="1">
      <c r="A253" s="90"/>
      <c r="B253" s="2"/>
      <c r="C253" s="90"/>
      <c r="D253" s="185" t="s">
        <v>262</v>
      </c>
      <c r="E253" s="260"/>
      <c r="F253" s="187">
        <v>3.0</v>
      </c>
      <c r="G253" s="731" t="s">
        <v>260</v>
      </c>
      <c r="H253" s="187"/>
      <c r="I253" s="247"/>
      <c r="J253" s="735">
        <v>8.0</v>
      </c>
      <c r="K253" s="164">
        <v>8.0</v>
      </c>
      <c r="L253" s="164"/>
      <c r="M253" s="164"/>
      <c r="N253" s="164"/>
      <c r="O253" s="699" t="str">
        <f>I253/VLOOKUP(K253,Sheet1!$D$7:$N$16,G253+1,FALSE)</f>
        <v>#REF!</v>
      </c>
      <c r="P253" s="684" t="str">
        <f t="shared" si="9"/>
        <v>#REF!</v>
      </c>
      <c r="Q253" s="702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</row>
    <row r="254" ht="3.75" hidden="1" customHeight="1">
      <c r="A254" s="90"/>
      <c r="B254" s="2"/>
      <c r="C254" s="90"/>
      <c r="D254" s="138"/>
      <c r="E254" s="252"/>
      <c r="F254" s="102"/>
      <c r="G254" s="102"/>
      <c r="H254" s="102"/>
      <c r="I254" s="247"/>
      <c r="J254" s="156"/>
      <c r="K254" s="164"/>
      <c r="L254" s="164"/>
      <c r="M254" s="164"/>
      <c r="N254" s="164"/>
      <c r="O254" s="699" t="str">
        <f>I254/VLOOKUP(K254,Sheet1!$D$7:$N$16,G254+1,FALSE)</f>
        <v>#N/A</v>
      </c>
      <c r="P254" s="684" t="str">
        <f t="shared" si="9"/>
        <v>#REF!</v>
      </c>
      <c r="Q254" s="702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</row>
    <row r="255" ht="15.75" hidden="1" customHeight="1">
      <c r="A255" s="90"/>
      <c r="B255" s="2"/>
      <c r="C255" s="90"/>
      <c r="D255" s="185" t="s">
        <v>263</v>
      </c>
      <c r="E255" s="260"/>
      <c r="F255" s="187">
        <v>2.0</v>
      </c>
      <c r="G255" s="187">
        <v>15.0</v>
      </c>
      <c r="H255" s="187"/>
      <c r="I255" s="247"/>
      <c r="J255" s="266">
        <v>8.0</v>
      </c>
      <c r="K255" s="164">
        <v>6.0</v>
      </c>
      <c r="L255" s="164"/>
      <c r="M255" s="164"/>
      <c r="N255" s="164"/>
      <c r="O255" s="699" t="str">
        <f>I255/VLOOKUP(K255,Sheet1!$D$7:$N$16,G255+1,FALSE)</f>
        <v>#REF!</v>
      </c>
      <c r="P255" s="684" t="str">
        <f t="shared" si="9"/>
        <v>#REF!</v>
      </c>
      <c r="Q255" s="702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</row>
    <row r="256" ht="3.75" hidden="1" customHeight="1">
      <c r="A256" s="90"/>
      <c r="B256" s="2"/>
      <c r="C256" s="90"/>
      <c r="D256" s="138"/>
      <c r="E256" s="252"/>
      <c r="F256" s="102"/>
      <c r="G256" s="102"/>
      <c r="H256" s="102"/>
      <c r="I256" s="247"/>
      <c r="J256" s="156"/>
      <c r="K256" s="164"/>
      <c r="L256" s="164"/>
      <c r="M256" s="164"/>
      <c r="N256" s="164"/>
      <c r="O256" s="699" t="str">
        <f>I256/VLOOKUP(K256,Sheet1!$D$7:$N$16,G256+1,FALSE)</f>
        <v>#N/A</v>
      </c>
      <c r="P256" s="684" t="str">
        <f t="shared" si="9"/>
        <v>#REF!</v>
      </c>
      <c r="Q256" s="702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</row>
    <row r="257" ht="15.75" hidden="1" customHeight="1">
      <c r="A257" s="90"/>
      <c r="B257" s="2"/>
      <c r="C257" s="90"/>
      <c r="D257" s="185"/>
      <c r="E257" s="266"/>
      <c r="F257" s="187"/>
      <c r="G257" s="187"/>
      <c r="H257" s="187"/>
      <c r="I257" s="164"/>
      <c r="J257" s="266"/>
      <c r="K257" s="164"/>
      <c r="L257" s="164"/>
      <c r="M257" s="164"/>
      <c r="N257" s="164"/>
      <c r="O257" s="699" t="str">
        <f>I257/VLOOKUP(K257,Sheet1!$D$7:$N$16,G257+1,FALSE)</f>
        <v>#N/A</v>
      </c>
      <c r="P257" s="684" t="str">
        <f t="shared" si="9"/>
        <v>#REF!</v>
      </c>
      <c r="Q257" s="697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</row>
    <row r="258" ht="3.75" hidden="1" customHeight="1">
      <c r="A258" s="124"/>
      <c r="B258" s="2"/>
      <c r="C258" s="124"/>
      <c r="D258" s="252"/>
      <c r="E258" s="252"/>
      <c r="F258" s="102"/>
      <c r="G258" s="102"/>
      <c r="H258" s="102"/>
      <c r="I258" s="102"/>
      <c r="J258" s="156"/>
      <c r="K258" s="259"/>
      <c r="L258" s="201"/>
      <c r="M258" s="201"/>
      <c r="N258" s="201"/>
      <c r="O258" s="699" t="str">
        <f>I258/VLOOKUP(K258,Sheet1!$D$7:$N$16,G258+1,FALSE)</f>
        <v>#N/A</v>
      </c>
      <c r="P258" s="684" t="str">
        <f t="shared" si="9"/>
        <v>#REF!</v>
      </c>
      <c r="Q258" s="259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</row>
    <row r="259" ht="30.75" hidden="1" customHeight="1">
      <c r="A259" s="90"/>
      <c r="B259" s="2"/>
      <c r="C259" s="90"/>
      <c r="D259" s="686" t="s">
        <v>280</v>
      </c>
      <c r="E259" s="687" t="s">
        <v>15</v>
      </c>
      <c r="F259" s="721" t="s">
        <v>16</v>
      </c>
      <c r="G259" s="722" t="s">
        <v>17</v>
      </c>
      <c r="H259" s="723"/>
      <c r="I259" s="724"/>
      <c r="J259" s="725" t="s">
        <v>241</v>
      </c>
      <c r="K259" s="691"/>
      <c r="L259" s="692"/>
      <c r="M259" s="692"/>
      <c r="N259" s="692"/>
      <c r="O259" s="699"/>
      <c r="P259" s="684"/>
      <c r="Q259" s="693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</row>
    <row r="260" ht="14.25" hidden="1" customHeight="1">
      <c r="A260" s="90"/>
      <c r="B260" s="2"/>
      <c r="C260" s="90"/>
      <c r="D260" s="257" t="s">
        <v>25</v>
      </c>
      <c r="E260" s="257" t="s">
        <v>26</v>
      </c>
      <c r="F260" s="680"/>
      <c r="G260" s="681"/>
      <c r="H260" s="723"/>
      <c r="I260" s="681"/>
      <c r="J260" s="725" t="s">
        <v>244</v>
      </c>
      <c r="K260" s="697"/>
      <c r="L260" s="692"/>
      <c r="M260" s="692"/>
      <c r="N260" s="692"/>
      <c r="O260" s="699"/>
      <c r="P260" s="684"/>
      <c r="Q260" s="698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</row>
    <row r="261" ht="3.75" hidden="1" customHeight="1">
      <c r="A261" s="124"/>
      <c r="B261" s="2"/>
      <c r="C261" s="124"/>
      <c r="D261" s="252"/>
      <c r="E261" s="252"/>
      <c r="F261" s="102"/>
      <c r="G261" s="102"/>
      <c r="H261" s="102"/>
      <c r="I261" s="102"/>
      <c r="J261" s="156"/>
      <c r="K261" s="259"/>
      <c r="L261" s="201"/>
      <c r="M261" s="201"/>
      <c r="N261" s="201"/>
      <c r="O261" s="699" t="str">
        <f>I261/VLOOKUP(K261,Sheet1!$D$7:$N$16,G261+1,FALSE)</f>
        <v>#N/A</v>
      </c>
      <c r="P261" s="684" t="str">
        <f t="shared" ref="P261:P274" si="10">I261-#REF!</f>
        <v>#REF!</v>
      </c>
      <c r="Q261" s="259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</row>
    <row r="262" ht="14.25" hidden="1" customHeight="1">
      <c r="A262" s="124"/>
      <c r="B262" s="2"/>
      <c r="C262" s="124"/>
      <c r="D262" s="185" t="s">
        <v>10</v>
      </c>
      <c r="E262" s="260"/>
      <c r="F262" s="187">
        <v>1.0</v>
      </c>
      <c r="G262" s="187">
        <v>5.0</v>
      </c>
      <c r="H262" s="187"/>
      <c r="I262" s="164"/>
      <c r="J262" s="266">
        <v>7.0</v>
      </c>
      <c r="K262" s="164"/>
      <c r="L262" s="164"/>
      <c r="M262" s="164"/>
      <c r="N262" s="164"/>
      <c r="O262" s="699" t="str">
        <f>I262/VLOOKUP(K262,Sheet1!$D$7:$N$16,G262+1,FALSE)</f>
        <v>#N/A</v>
      </c>
      <c r="P262" s="684" t="str">
        <f t="shared" si="10"/>
        <v>#REF!</v>
      </c>
      <c r="Q262" s="736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</row>
    <row r="263" ht="3.75" hidden="1" customHeight="1">
      <c r="A263" s="124"/>
      <c r="B263" s="2"/>
      <c r="C263" s="124"/>
      <c r="D263" s="138"/>
      <c r="E263" s="252"/>
      <c r="F263" s="102"/>
      <c r="G263" s="102"/>
      <c r="H263" s="102"/>
      <c r="I263" s="247"/>
      <c r="J263" s="156"/>
      <c r="K263" s="164"/>
      <c r="L263" s="164"/>
      <c r="M263" s="164"/>
      <c r="N263" s="164"/>
      <c r="O263" s="699" t="str">
        <f>I263/VLOOKUP(K263,Sheet1!$D$7:$N$16,G263+1,FALSE)</f>
        <v>#N/A</v>
      </c>
      <c r="P263" s="684" t="str">
        <f t="shared" si="10"/>
        <v>#REF!</v>
      </c>
      <c r="Q263" s="702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</row>
    <row r="264" ht="14.25" hidden="1" customHeight="1">
      <c r="A264" s="124"/>
      <c r="B264" s="2"/>
      <c r="C264" s="124"/>
      <c r="D264" s="185" t="s">
        <v>10</v>
      </c>
      <c r="E264" s="260"/>
      <c r="F264" s="187">
        <v>3.0</v>
      </c>
      <c r="G264" s="187">
        <v>7.0</v>
      </c>
      <c r="H264" s="187"/>
      <c r="I264" s="164"/>
      <c r="J264" s="706">
        <v>-0.12</v>
      </c>
      <c r="K264" s="164"/>
      <c r="L264" s="164"/>
      <c r="M264" s="164"/>
      <c r="N264" s="164"/>
      <c r="O264" s="699" t="str">
        <f>I264/VLOOKUP(K264,Sheet1!$D$7:$N$16,G264+1,FALSE)</f>
        <v>#N/A</v>
      </c>
      <c r="P264" s="684" t="str">
        <f t="shared" si="10"/>
        <v>#REF!</v>
      </c>
      <c r="Q264" s="702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</row>
    <row r="265" ht="3.75" hidden="1" customHeight="1">
      <c r="A265" s="124"/>
      <c r="B265" s="2"/>
      <c r="C265" s="124"/>
      <c r="D265" s="138"/>
      <c r="E265" s="252"/>
      <c r="F265" s="102"/>
      <c r="G265" s="102"/>
      <c r="H265" s="102"/>
      <c r="I265" s="247"/>
      <c r="J265" s="156"/>
      <c r="K265" s="164"/>
      <c r="L265" s="164"/>
      <c r="M265" s="164"/>
      <c r="N265" s="164"/>
      <c r="O265" s="699" t="str">
        <f>I265/VLOOKUP(K265,Sheet1!$D$7:$N$16,G265+1,FALSE)</f>
        <v>#N/A</v>
      </c>
      <c r="P265" s="684" t="str">
        <f t="shared" si="10"/>
        <v>#REF!</v>
      </c>
      <c r="Q265" s="702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</row>
    <row r="266" ht="14.25" hidden="1" customHeight="1">
      <c r="A266" s="124"/>
      <c r="B266" s="2"/>
      <c r="C266" s="124"/>
      <c r="D266" s="185"/>
      <c r="E266" s="260"/>
      <c r="F266" s="187"/>
      <c r="G266" s="187"/>
      <c r="H266" s="187"/>
      <c r="I266" s="164"/>
      <c r="J266" s="706"/>
      <c r="K266" s="164"/>
      <c r="L266" s="164"/>
      <c r="M266" s="164"/>
      <c r="N266" s="164"/>
      <c r="O266" s="699" t="str">
        <f>I266/VLOOKUP(K266,Sheet1!$D$7:$N$16,G266+1,FALSE)</f>
        <v>#N/A</v>
      </c>
      <c r="P266" s="684" t="str">
        <f t="shared" si="10"/>
        <v>#REF!</v>
      </c>
      <c r="Q266" s="702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</row>
    <row r="267" ht="3.75" hidden="1" customHeight="1">
      <c r="A267" s="124"/>
      <c r="B267" s="2"/>
      <c r="C267" s="124"/>
      <c r="D267" s="138"/>
      <c r="E267" s="252"/>
      <c r="F267" s="102"/>
      <c r="G267" s="102"/>
      <c r="H267" s="102"/>
      <c r="I267" s="247"/>
      <c r="J267" s="156"/>
      <c r="K267" s="164"/>
      <c r="L267" s="164"/>
      <c r="M267" s="164"/>
      <c r="N267" s="164"/>
      <c r="O267" s="699" t="str">
        <f>I267/VLOOKUP(K267,Sheet1!$D$7:$N$16,G267+1,FALSE)</f>
        <v>#N/A</v>
      </c>
      <c r="P267" s="684" t="str">
        <f t="shared" si="10"/>
        <v>#REF!</v>
      </c>
      <c r="Q267" s="702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</row>
    <row r="268" ht="14.25" hidden="1" customHeight="1">
      <c r="A268" s="124"/>
      <c r="B268" s="2"/>
      <c r="C268" s="124"/>
      <c r="D268" s="185"/>
      <c r="E268" s="260"/>
      <c r="F268" s="187"/>
      <c r="G268" s="187"/>
      <c r="H268" s="187"/>
      <c r="I268" s="164"/>
      <c r="J268" s="266"/>
      <c r="K268" s="164"/>
      <c r="L268" s="164"/>
      <c r="M268" s="164"/>
      <c r="N268" s="164"/>
      <c r="O268" s="699" t="str">
        <f>I268/VLOOKUP(K268,Sheet1!$D$7:$N$16,G268+1,FALSE)</f>
        <v>#N/A</v>
      </c>
      <c r="P268" s="684" t="str">
        <f t="shared" si="10"/>
        <v>#REF!</v>
      </c>
      <c r="Q268" s="702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</row>
    <row r="269" ht="3.75" hidden="1" customHeight="1">
      <c r="A269" s="124"/>
      <c r="B269" s="2"/>
      <c r="C269" s="124"/>
      <c r="D269" s="138"/>
      <c r="E269" s="252"/>
      <c r="F269" s="102"/>
      <c r="G269" s="102"/>
      <c r="H269" s="102"/>
      <c r="I269" s="247"/>
      <c r="J269" s="156"/>
      <c r="K269" s="164"/>
      <c r="L269" s="164"/>
      <c r="M269" s="164"/>
      <c r="N269" s="164"/>
      <c r="O269" s="699" t="str">
        <f>I269/VLOOKUP(K269,Sheet1!$D$7:$N$16,G269+1,FALSE)</f>
        <v>#N/A</v>
      </c>
      <c r="P269" s="684" t="str">
        <f t="shared" si="10"/>
        <v>#REF!</v>
      </c>
      <c r="Q269" s="702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</row>
    <row r="270" ht="14.25" hidden="1" customHeight="1">
      <c r="A270" s="124"/>
      <c r="B270" s="2"/>
      <c r="C270" s="124"/>
      <c r="D270" s="185" t="s">
        <v>265</v>
      </c>
      <c r="E270" s="264"/>
      <c r="F270" s="187">
        <v>3.0</v>
      </c>
      <c r="G270" s="187">
        <v>7.0</v>
      </c>
      <c r="H270" s="187"/>
      <c r="I270" s="164"/>
      <c r="J270" s="266">
        <v>7.0</v>
      </c>
      <c r="K270" s="164"/>
      <c r="L270" s="164"/>
      <c r="M270" s="164"/>
      <c r="N270" s="164"/>
      <c r="O270" s="699" t="str">
        <f>I270/VLOOKUP(K270,Sheet1!$D$7:$N$16,G270+1,FALSE)</f>
        <v>#N/A</v>
      </c>
      <c r="P270" s="684" t="str">
        <f t="shared" si="10"/>
        <v>#REF!</v>
      </c>
      <c r="Q270" s="702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</row>
    <row r="271" ht="3.75" hidden="1" customHeight="1">
      <c r="A271" s="261"/>
      <c r="B271" s="719"/>
      <c r="C271" s="262"/>
      <c r="D271" s="138"/>
      <c r="E271" s="252"/>
      <c r="F271" s="102"/>
      <c r="G271" s="102"/>
      <c r="H271" s="102"/>
      <c r="I271" s="247"/>
      <c r="J271" s="156"/>
      <c r="K271" s="164"/>
      <c r="L271" s="164"/>
      <c r="M271" s="164"/>
      <c r="N271" s="164"/>
      <c r="O271" s="699" t="str">
        <f>I271/VLOOKUP(K271,Sheet1!$D$7:$N$16,G271+1,FALSE)</f>
        <v>#N/A</v>
      </c>
      <c r="P271" s="684" t="str">
        <f t="shared" si="10"/>
        <v>#REF!</v>
      </c>
      <c r="Q271" s="702"/>
      <c r="R271" s="158"/>
      <c r="S271" s="158"/>
      <c r="T271" s="158"/>
      <c r="U271" s="158"/>
      <c r="V271" s="158"/>
      <c r="W271" s="158"/>
      <c r="X271" s="158"/>
      <c r="Y271" s="158"/>
      <c r="Z271" s="158"/>
      <c r="AA271" s="158"/>
      <c r="AB271" s="158"/>
      <c r="AC271" s="158"/>
      <c r="AD271" s="158"/>
      <c r="AE271" s="158"/>
      <c r="AF271" s="158"/>
    </row>
    <row r="272" ht="14.25" hidden="1" customHeight="1">
      <c r="A272" s="124"/>
      <c r="B272" s="2"/>
      <c r="C272" s="124"/>
      <c r="D272" s="185"/>
      <c r="E272" s="260"/>
      <c r="F272" s="187"/>
      <c r="G272" s="187"/>
      <c r="H272" s="187"/>
      <c r="I272" s="164"/>
      <c r="J272" s="266"/>
      <c r="K272" s="164"/>
      <c r="L272" s="164"/>
      <c r="M272" s="164"/>
      <c r="N272" s="164"/>
      <c r="O272" s="699" t="str">
        <f>I272/VLOOKUP(K272,Sheet1!$D$7:$N$16,G272+1,FALSE)</f>
        <v>#N/A</v>
      </c>
      <c r="P272" s="684" t="str">
        <f t="shared" si="10"/>
        <v>#REF!</v>
      </c>
      <c r="Q272" s="702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</row>
    <row r="273" ht="3.75" hidden="1" customHeight="1">
      <c r="A273" s="261"/>
      <c r="B273" s="719"/>
      <c r="C273" s="262"/>
      <c r="D273" s="138"/>
      <c r="E273" s="252"/>
      <c r="F273" s="102"/>
      <c r="G273" s="102"/>
      <c r="H273" s="102"/>
      <c r="I273" s="247"/>
      <c r="J273" s="156"/>
      <c r="K273" s="164"/>
      <c r="L273" s="164"/>
      <c r="M273" s="164"/>
      <c r="N273" s="164"/>
      <c r="O273" s="699" t="str">
        <f>I273/VLOOKUP(K273,Sheet1!$D$7:$N$16,G273+1,FALSE)</f>
        <v>#N/A</v>
      </c>
      <c r="P273" s="684" t="str">
        <f t="shared" si="10"/>
        <v>#REF!</v>
      </c>
      <c r="Q273" s="702"/>
      <c r="R273" s="158"/>
      <c r="S273" s="158"/>
      <c r="T273" s="158"/>
      <c r="U273" s="158"/>
      <c r="V273" s="158"/>
      <c r="W273" s="158"/>
      <c r="X273" s="158"/>
      <c r="Y273" s="158"/>
      <c r="Z273" s="158"/>
      <c r="AA273" s="158"/>
      <c r="AB273" s="158"/>
      <c r="AC273" s="158"/>
      <c r="AD273" s="158"/>
      <c r="AE273" s="158"/>
      <c r="AF273" s="158"/>
    </row>
    <row r="274" ht="15.75" hidden="1" customHeight="1">
      <c r="A274" s="124"/>
      <c r="B274" s="2"/>
      <c r="C274" s="124"/>
      <c r="D274" s="185" t="s">
        <v>266</v>
      </c>
      <c r="E274" s="260"/>
      <c r="F274" s="187">
        <v>3.0</v>
      </c>
      <c r="G274" s="731" t="s">
        <v>260</v>
      </c>
      <c r="H274" s="187"/>
      <c r="I274" s="247"/>
      <c r="J274" s="266">
        <v>8.0</v>
      </c>
      <c r="K274" s="164"/>
      <c r="L274" s="164"/>
      <c r="M274" s="164"/>
      <c r="N274" s="164"/>
      <c r="O274" s="699" t="str">
        <f>I274/VLOOKUP(K274,Sheet1!$D$7:$N$16,G274+1,FALSE)</f>
        <v>#REF!</v>
      </c>
      <c r="P274" s="684" t="str">
        <f t="shared" si="10"/>
        <v>#REF!</v>
      </c>
      <c r="Q274" s="702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</row>
    <row r="275" ht="3.75" hidden="1" customHeight="1">
      <c r="A275" s="124"/>
      <c r="B275" s="2"/>
      <c r="C275" s="124"/>
      <c r="D275" s="263"/>
      <c r="E275" s="252"/>
      <c r="F275" s="102"/>
      <c r="G275" s="102"/>
      <c r="H275" s="102"/>
      <c r="I275" s="247"/>
      <c r="J275" s="156"/>
      <c r="K275" s="164"/>
      <c r="L275" s="164"/>
      <c r="M275" s="164"/>
      <c r="N275" s="164"/>
      <c r="O275" s="699" t="str">
        <f>I275/VLOOKUP(K275,Sheet1!$D$7:$N$16,G275+1,FALSE)</f>
        <v>#N/A</v>
      </c>
      <c r="P275" s="684"/>
      <c r="Q275" s="702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</row>
    <row r="276" ht="14.25" hidden="1" customHeight="1">
      <c r="A276" s="90"/>
      <c r="B276" s="2"/>
      <c r="C276" s="90"/>
      <c r="D276" s="185" t="s">
        <v>267</v>
      </c>
      <c r="E276" s="264"/>
      <c r="F276" s="187">
        <v>3.0</v>
      </c>
      <c r="G276" s="731" t="s">
        <v>260</v>
      </c>
      <c r="H276" s="187"/>
      <c r="I276" s="164"/>
      <c r="J276" s="266">
        <v>8.0</v>
      </c>
      <c r="K276" s="164"/>
      <c r="L276" s="164"/>
      <c r="M276" s="164"/>
      <c r="N276" s="164"/>
      <c r="O276" s="699" t="str">
        <f>I276/VLOOKUP(K276,Sheet1!$D$7:$N$16,G276+1,FALSE)</f>
        <v>#REF!</v>
      </c>
      <c r="P276" s="684"/>
      <c r="Q276" s="702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</row>
    <row r="277" ht="3.75" hidden="1" customHeight="1">
      <c r="A277" s="261"/>
      <c r="B277" s="719"/>
      <c r="C277" s="262"/>
      <c r="D277" s="263"/>
      <c r="E277" s="263"/>
      <c r="F277" s="194"/>
      <c r="G277" s="194"/>
      <c r="H277" s="194"/>
      <c r="I277" s="164"/>
      <c r="J277" s="267"/>
      <c r="K277" s="164"/>
      <c r="L277" s="164"/>
      <c r="M277" s="164"/>
      <c r="N277" s="164"/>
      <c r="O277" s="699" t="str">
        <f>I277/VLOOKUP(K277,Sheet1!$D$7:$N$16,G277+1,FALSE)</f>
        <v>#N/A</v>
      </c>
      <c r="P277" s="684"/>
      <c r="Q277" s="702"/>
      <c r="R277" s="158"/>
      <c r="S277" s="158"/>
      <c r="T277" s="158"/>
      <c r="U277" s="158"/>
      <c r="V277" s="158"/>
      <c r="W277" s="158"/>
      <c r="X277" s="158"/>
      <c r="Y277" s="158"/>
      <c r="Z277" s="158"/>
      <c r="AA277" s="158"/>
      <c r="AB277" s="158"/>
      <c r="AC277" s="158"/>
      <c r="AD277" s="158"/>
      <c r="AE277" s="158"/>
      <c r="AF277" s="158"/>
    </row>
    <row r="278" ht="15.75" hidden="1" customHeight="1">
      <c r="A278" s="90"/>
      <c r="B278" s="2"/>
      <c r="C278" s="90"/>
      <c r="D278" s="185" t="s">
        <v>268</v>
      </c>
      <c r="E278" s="266"/>
      <c r="F278" s="187">
        <v>3.0</v>
      </c>
      <c r="G278" s="731" t="s">
        <v>251</v>
      </c>
      <c r="H278" s="187"/>
      <c r="I278" s="164"/>
      <c r="J278" s="266">
        <v>9.0</v>
      </c>
      <c r="K278" s="164"/>
      <c r="L278" s="164"/>
      <c r="M278" s="164"/>
      <c r="N278" s="164"/>
      <c r="O278" s="699" t="str">
        <f>I278/VLOOKUP(K278,Sheet1!$D$7:$N$16,G278+1,FALSE)</f>
        <v>#REF!</v>
      </c>
      <c r="P278" s="684"/>
      <c r="Q278" s="702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</row>
    <row r="279" ht="3.75" hidden="1" customHeight="1">
      <c r="A279" s="90"/>
      <c r="B279" s="2"/>
      <c r="C279" s="90"/>
      <c r="D279" s="138"/>
      <c r="E279" s="252"/>
      <c r="F279" s="102"/>
      <c r="G279" s="102"/>
      <c r="H279" s="102"/>
      <c r="I279" s="247"/>
      <c r="J279" s="156"/>
      <c r="K279" s="164"/>
      <c r="L279" s="164"/>
      <c r="M279" s="164"/>
      <c r="N279" s="164"/>
      <c r="O279" s="699" t="str">
        <f>I279/VLOOKUP(K279,Sheet1!$D$7:$N$16,G279+1,FALSE)</f>
        <v>#N/A</v>
      </c>
      <c r="P279" s="684"/>
      <c r="Q279" s="702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</row>
    <row r="280" ht="15.75" hidden="1" customHeight="1">
      <c r="A280" s="90"/>
      <c r="B280" s="2"/>
      <c r="C280" s="90"/>
      <c r="D280" s="185" t="s">
        <v>269</v>
      </c>
      <c r="E280" s="266"/>
      <c r="F280" s="187">
        <v>3.0</v>
      </c>
      <c r="G280" s="731" t="s">
        <v>260</v>
      </c>
      <c r="H280" s="187"/>
      <c r="I280" s="164"/>
      <c r="J280" s="266">
        <v>9.0</v>
      </c>
      <c r="K280" s="164"/>
      <c r="L280" s="164"/>
      <c r="M280" s="164"/>
      <c r="N280" s="164"/>
      <c r="O280" s="699" t="str">
        <f>I280/VLOOKUP(K280,Sheet1!$D$7:$N$16,G280+1,FALSE)</f>
        <v>#REF!</v>
      </c>
      <c r="P280" s="684"/>
      <c r="Q280" s="702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</row>
    <row r="281" ht="3.75" hidden="1" customHeight="1">
      <c r="A281" s="191"/>
      <c r="B281" s="719"/>
      <c r="C281" s="192"/>
      <c r="D281" s="138"/>
      <c r="E281" s="252"/>
      <c r="F281" s="102"/>
      <c r="G281" s="102"/>
      <c r="H281" s="102"/>
      <c r="I281" s="247"/>
      <c r="J281" s="156"/>
      <c r="K281" s="164"/>
      <c r="L281" s="164"/>
      <c r="M281" s="164"/>
      <c r="N281" s="164"/>
      <c r="O281" s="699" t="str">
        <f>I281/VLOOKUP(K281,Sheet1!$D$7:$N$16,G281+1,FALSE)</f>
        <v>#N/A</v>
      </c>
      <c r="P281" s="684"/>
      <c r="Q281" s="702"/>
      <c r="R281" s="158"/>
      <c r="S281" s="158"/>
      <c r="T281" s="158"/>
      <c r="U281" s="158"/>
      <c r="V281" s="158"/>
      <c r="W281" s="158"/>
      <c r="X281" s="158"/>
      <c r="Y281" s="158"/>
      <c r="Z281" s="158"/>
      <c r="AA281" s="158"/>
      <c r="AB281" s="158"/>
      <c r="AC281" s="158"/>
      <c r="AD281" s="158"/>
      <c r="AE281" s="158"/>
      <c r="AF281" s="158"/>
    </row>
    <row r="282" ht="15.75" hidden="1" customHeight="1">
      <c r="A282" s="90"/>
      <c r="B282" s="2"/>
      <c r="C282" s="90"/>
      <c r="D282" s="185" t="s">
        <v>270</v>
      </c>
      <c r="E282" s="260"/>
      <c r="F282" s="187">
        <v>3.0</v>
      </c>
      <c r="G282" s="731" t="s">
        <v>260</v>
      </c>
      <c r="H282" s="187"/>
      <c r="I282" s="164"/>
      <c r="J282" s="266">
        <v>9.0</v>
      </c>
      <c r="K282" s="164"/>
      <c r="L282" s="164"/>
      <c r="M282" s="164"/>
      <c r="N282" s="164"/>
      <c r="O282" s="699" t="str">
        <f>I282/VLOOKUP(K282,Sheet1!$D$7:$N$16,G282+1,FALSE)</f>
        <v>#REF!</v>
      </c>
      <c r="P282" s="684"/>
      <c r="Q282" s="702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</row>
    <row r="283" ht="3.75" hidden="1" customHeight="1">
      <c r="A283" s="90"/>
      <c r="B283" s="2"/>
      <c r="C283" s="90"/>
      <c r="D283" s="263"/>
      <c r="E283" s="252"/>
      <c r="F283" s="102"/>
      <c r="G283" s="102"/>
      <c r="H283" s="102"/>
      <c r="I283" s="247"/>
      <c r="J283" s="156"/>
      <c r="K283" s="164"/>
      <c r="L283" s="164"/>
      <c r="M283" s="164"/>
      <c r="N283" s="164"/>
      <c r="O283" s="699" t="str">
        <f>I283/VLOOKUP(K283,Sheet1!$D$7:$N$16,G283+1,FALSE)</f>
        <v>#N/A</v>
      </c>
      <c r="P283" s="684"/>
      <c r="Q283" s="702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</row>
    <row r="284" ht="15.75" hidden="1" customHeight="1">
      <c r="A284" s="90"/>
      <c r="B284" s="2"/>
      <c r="C284" s="90"/>
      <c r="D284" s="185" t="s">
        <v>256</v>
      </c>
      <c r="E284" s="266"/>
      <c r="F284" s="187">
        <v>3.0</v>
      </c>
      <c r="G284" s="187" t="s">
        <v>16</v>
      </c>
      <c r="H284" s="187"/>
      <c r="I284" s="164"/>
      <c r="J284" s="266">
        <v>9.0</v>
      </c>
      <c r="K284" s="164"/>
      <c r="L284" s="164"/>
      <c r="M284" s="164"/>
      <c r="N284" s="164"/>
      <c r="O284" s="699" t="str">
        <f>I284/VLOOKUP(K284,Sheet1!$D$7:$N$16,G284+1,FALSE)</f>
        <v>#VALUE!</v>
      </c>
      <c r="P284" s="684"/>
      <c r="Q284" s="697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</row>
    <row r="285" ht="3.75" hidden="1" customHeight="1">
      <c r="A285" s="191"/>
      <c r="B285" s="719"/>
      <c r="C285" s="192"/>
      <c r="D285" s="192"/>
      <c r="E285" s="267"/>
      <c r="F285" s="194"/>
      <c r="G285" s="194"/>
      <c r="H285" s="194"/>
      <c r="I285" s="194"/>
      <c r="J285" s="267"/>
      <c r="K285" s="273"/>
      <c r="L285" s="737"/>
      <c r="M285" s="737"/>
      <c r="N285" s="737"/>
      <c r="O285" s="271"/>
      <c r="P285" s="272"/>
      <c r="Q285" s="273"/>
      <c r="R285" s="158"/>
      <c r="S285" s="158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</row>
    <row r="286" ht="14.25" hidden="1" customHeight="1">
      <c r="A286" s="5"/>
      <c r="B286" s="2"/>
      <c r="C286" s="5"/>
      <c r="D286" s="738"/>
      <c r="E286" s="739"/>
      <c r="F286" s="683"/>
      <c r="G286" s="683"/>
      <c r="H286" s="683"/>
      <c r="I286" s="683"/>
      <c r="J286" s="739"/>
      <c r="K286" s="738"/>
      <c r="L286" s="683"/>
      <c r="M286" s="683"/>
      <c r="N286" s="683"/>
      <c r="O286" s="740"/>
      <c r="P286" s="4"/>
      <c r="Q286" s="738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</row>
    <row r="287" ht="14.25" hidden="1" customHeight="1">
      <c r="A287" s="5"/>
      <c r="B287" s="2"/>
      <c r="C287" s="5"/>
      <c r="D287" s="738"/>
      <c r="E287" s="739"/>
      <c r="F287" s="683"/>
      <c r="G287" s="683"/>
      <c r="H287" s="683"/>
      <c r="I287" s="683"/>
      <c r="J287" s="739"/>
      <c r="K287" s="738"/>
      <c r="L287" s="683"/>
      <c r="M287" s="683"/>
      <c r="N287" s="683"/>
      <c r="O287" s="741"/>
      <c r="P287" s="4"/>
      <c r="Q287" s="738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</row>
    <row r="288" ht="14.25" hidden="1" customHeight="1">
      <c r="A288" s="5"/>
      <c r="B288" s="2"/>
      <c r="C288" s="5"/>
      <c r="D288" s="738"/>
      <c r="E288" s="739"/>
      <c r="F288" s="683"/>
      <c r="G288" s="683"/>
      <c r="H288" s="683"/>
      <c r="I288" s="683"/>
      <c r="J288" s="739"/>
      <c r="K288" s="738"/>
      <c r="L288" s="683"/>
      <c r="M288" s="683"/>
      <c r="N288" s="683"/>
      <c r="O288" s="741"/>
      <c r="P288" s="4"/>
      <c r="Q288" s="738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</row>
    <row r="289" ht="14.25" hidden="1" customHeight="1">
      <c r="A289" s="5"/>
      <c r="B289" s="2"/>
      <c r="C289" s="5"/>
      <c r="D289" s="738"/>
      <c r="E289" s="739"/>
      <c r="F289" s="683"/>
      <c r="G289" s="683"/>
      <c r="H289" s="683"/>
      <c r="I289" s="683"/>
      <c r="J289" s="739"/>
      <c r="K289" s="738"/>
      <c r="L289" s="683"/>
      <c r="M289" s="683"/>
      <c r="N289" s="683"/>
      <c r="O289" s="741"/>
      <c r="P289" s="4"/>
      <c r="Q289" s="738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</row>
    <row r="290" ht="14.25" hidden="1" customHeight="1">
      <c r="A290" s="5"/>
      <c r="B290" s="2"/>
      <c r="C290" s="5"/>
      <c r="D290" s="738"/>
      <c r="E290" s="739"/>
      <c r="F290" s="683"/>
      <c r="G290" s="683"/>
      <c r="H290" s="683"/>
      <c r="I290" s="683"/>
      <c r="J290" s="739"/>
      <c r="K290" s="738"/>
      <c r="L290" s="683"/>
      <c r="M290" s="683"/>
      <c r="N290" s="683"/>
      <c r="O290" s="741"/>
      <c r="P290" s="4"/>
      <c r="Q290" s="738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</row>
    <row r="291" ht="14.25" hidden="1" customHeight="1">
      <c r="A291" s="5"/>
      <c r="B291" s="2"/>
      <c r="C291" s="5"/>
      <c r="D291" s="738"/>
      <c r="E291" s="739"/>
      <c r="F291" s="683"/>
      <c r="G291" s="683"/>
      <c r="H291" s="683"/>
      <c r="I291" s="683"/>
      <c r="J291" s="739"/>
      <c r="K291" s="738"/>
      <c r="L291" s="683"/>
      <c r="M291" s="683"/>
      <c r="N291" s="683"/>
      <c r="O291" s="741"/>
      <c r="P291" s="4"/>
      <c r="Q291" s="738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</row>
    <row r="292" ht="14.25" hidden="1" customHeight="1">
      <c r="A292" s="5"/>
      <c r="B292" s="2"/>
      <c r="C292" s="5"/>
      <c r="D292" s="5"/>
      <c r="E292" s="75"/>
      <c r="F292" s="3"/>
      <c r="G292" s="3"/>
      <c r="H292" s="3"/>
      <c r="I292" s="3"/>
      <c r="J292" s="75"/>
      <c r="K292" s="5"/>
      <c r="L292" s="3"/>
      <c r="M292" s="3"/>
      <c r="N292" s="3"/>
      <c r="O292" s="3"/>
      <c r="P292" s="4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</row>
    <row r="293" ht="19.5" hidden="1" customHeight="1">
      <c r="A293" s="5"/>
      <c r="B293" s="2"/>
      <c r="C293" s="5"/>
      <c r="D293" s="663" t="s">
        <v>240</v>
      </c>
      <c r="E293" s="664">
        <v>3.0</v>
      </c>
      <c r="F293" s="665"/>
      <c r="G293" s="666"/>
      <c r="H293" s="665"/>
      <c r="I293" s="667"/>
      <c r="J293" s="668"/>
      <c r="K293" s="669"/>
      <c r="L293" s="453"/>
      <c r="M293" s="453"/>
      <c r="N293" s="453"/>
      <c r="O293" s="3"/>
      <c r="P293" s="4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</row>
    <row r="294" ht="27.0" hidden="1" customHeight="1">
      <c r="A294" s="90"/>
      <c r="B294" s="2"/>
      <c r="C294" s="90"/>
      <c r="D294" s="670"/>
      <c r="E294" s="671"/>
      <c r="F294" s="672" t="s">
        <v>16</v>
      </c>
      <c r="G294" s="673" t="s">
        <v>17</v>
      </c>
      <c r="H294" s="665"/>
      <c r="I294" s="674" t="s">
        <v>18</v>
      </c>
      <c r="J294" s="675" t="s">
        <v>241</v>
      </c>
      <c r="K294" s="676"/>
      <c r="L294" s="676"/>
      <c r="M294" s="676"/>
      <c r="N294" s="676"/>
      <c r="O294" s="122" t="s">
        <v>242</v>
      </c>
      <c r="P294" s="677" t="s">
        <v>243</v>
      </c>
      <c r="Q294" s="678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</row>
    <row r="295" ht="14.25" hidden="1" customHeight="1">
      <c r="A295" s="90"/>
      <c r="B295" s="2"/>
      <c r="C295" s="90"/>
      <c r="D295" s="679" t="s">
        <v>13</v>
      </c>
      <c r="E295" s="671"/>
      <c r="F295" s="680"/>
      <c r="G295" s="681"/>
      <c r="H295" s="665"/>
      <c r="I295" s="681"/>
      <c r="J295" s="675" t="s">
        <v>244</v>
      </c>
      <c r="K295" s="214"/>
      <c r="L295" s="682"/>
      <c r="M295" s="682"/>
      <c r="N295" s="682"/>
      <c r="O295" s="683"/>
      <c r="P295" s="684" t="s">
        <v>245</v>
      </c>
      <c r="Q295" s="68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</row>
    <row r="296" ht="3.75" hidden="1" customHeight="1">
      <c r="A296" s="90"/>
      <c r="B296" s="2"/>
      <c r="C296" s="90"/>
      <c r="D296" s="97"/>
      <c r="E296" s="98"/>
      <c r="F296" s="99"/>
      <c r="G296" s="99"/>
      <c r="H296" s="99"/>
      <c r="I296" s="100"/>
      <c r="J296" s="101"/>
      <c r="K296" s="90"/>
      <c r="L296" s="102"/>
      <c r="M296" s="102"/>
      <c r="N296" s="102"/>
      <c r="O296" s="103"/>
      <c r="P296" s="4"/>
      <c r="Q296" s="90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</row>
    <row r="297" ht="30.0" hidden="1" customHeight="1">
      <c r="A297" s="90"/>
      <c r="B297" s="2"/>
      <c r="C297" s="90"/>
      <c r="D297" s="686" t="s">
        <v>271</v>
      </c>
      <c r="E297" s="687" t="s">
        <v>15</v>
      </c>
      <c r="F297" s="688"/>
      <c r="G297" s="688"/>
      <c r="H297" s="688"/>
      <c r="I297" s="689"/>
      <c r="J297" s="690"/>
      <c r="K297" s="691" t="s">
        <v>20</v>
      </c>
      <c r="L297" s="692"/>
      <c r="M297" s="692"/>
      <c r="N297" s="692"/>
      <c r="O297" s="683"/>
      <c r="P297" s="684"/>
      <c r="Q297" s="693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</row>
    <row r="298" ht="19.5" hidden="1" customHeight="1">
      <c r="A298" s="90"/>
      <c r="B298" s="2"/>
      <c r="C298" s="90"/>
      <c r="D298" s="257" t="s">
        <v>25</v>
      </c>
      <c r="E298" s="257" t="s">
        <v>26</v>
      </c>
      <c r="F298" s="694"/>
      <c r="G298" s="694"/>
      <c r="H298" s="694"/>
      <c r="I298" s="695"/>
      <c r="J298" s="696"/>
      <c r="K298" s="697"/>
      <c r="L298" s="692"/>
      <c r="M298" s="692"/>
      <c r="N298" s="692"/>
      <c r="O298" s="683"/>
      <c r="P298" s="684"/>
      <c r="Q298" s="698" t="s">
        <v>30</v>
      </c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</row>
    <row r="299" ht="3.75" hidden="1" customHeight="1">
      <c r="A299" s="90"/>
      <c r="B299" s="2"/>
      <c r="C299" s="90"/>
      <c r="D299" s="97"/>
      <c r="E299" s="98"/>
      <c r="F299" s="99"/>
      <c r="G299" s="99"/>
      <c r="H299" s="99"/>
      <c r="I299" s="100"/>
      <c r="J299" s="101"/>
      <c r="K299" s="90"/>
      <c r="L299" s="102"/>
      <c r="M299" s="102"/>
      <c r="N299" s="102"/>
      <c r="O299" s="699"/>
      <c r="P299" s="684"/>
      <c r="Q299" s="90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</row>
    <row r="300" ht="15.75" hidden="1" customHeight="1">
      <c r="A300" s="124"/>
      <c r="B300" s="2"/>
      <c r="C300" s="124"/>
      <c r="D300" s="185" t="s">
        <v>6</v>
      </c>
      <c r="E300" s="260"/>
      <c r="F300" s="187">
        <v>1.0</v>
      </c>
      <c r="G300" s="187">
        <v>6.0</v>
      </c>
      <c r="H300" s="187"/>
      <c r="I300" s="164">
        <v>170.0</v>
      </c>
      <c r="J300" s="266">
        <v>5.0</v>
      </c>
      <c r="K300" s="183">
        <v>6.0</v>
      </c>
      <c r="L300" s="183"/>
      <c r="M300" s="183"/>
      <c r="N300" s="183"/>
      <c r="O300" s="699">
        <f>I300/VLOOKUP(K300,Sheet1!$D$7:$N$16,G300+1,FALSE)</f>
        <v>229.7297297</v>
      </c>
      <c r="P300" s="684" t="str">
        <f t="shared" ref="P300:P321" si="11">I300-#REF!</f>
        <v>#REF!</v>
      </c>
      <c r="Q300" s="700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</row>
    <row r="301" ht="3.75" hidden="1" customHeight="1">
      <c r="A301" s="137"/>
      <c r="B301" s="661"/>
      <c r="C301" s="137"/>
      <c r="D301" s="138"/>
      <c r="E301" s="252"/>
      <c r="F301" s="140"/>
      <c r="G301" s="140"/>
      <c r="H301" s="140"/>
      <c r="I301" s="701"/>
      <c r="J301" s="141"/>
      <c r="K301" s="183"/>
      <c r="L301" s="183"/>
      <c r="M301" s="183"/>
      <c r="N301" s="183"/>
      <c r="O301" s="699" t="str">
        <f>I301/VLOOKUP(K301,Sheet1!$D$7:$N$16,G301+1,FALSE)</f>
        <v>#N/A</v>
      </c>
      <c r="P301" s="684" t="str">
        <f t="shared" si="11"/>
        <v>#REF!</v>
      </c>
      <c r="Q301" s="702"/>
      <c r="R301" s="148"/>
      <c r="S301" s="148"/>
      <c r="T301" s="148"/>
      <c r="U301" s="148"/>
      <c r="V301" s="148"/>
      <c r="W301" s="148"/>
      <c r="X301" s="148"/>
      <c r="Y301" s="148"/>
      <c r="Z301" s="148"/>
      <c r="AA301" s="148"/>
      <c r="AB301" s="148"/>
      <c r="AC301" s="148"/>
      <c r="AD301" s="148"/>
      <c r="AE301" s="148"/>
      <c r="AF301" s="148"/>
    </row>
    <row r="302" ht="15.75" hidden="1" customHeight="1">
      <c r="A302" s="149"/>
      <c r="B302" s="703"/>
      <c r="C302" s="149"/>
      <c r="D302" s="704" t="s">
        <v>6</v>
      </c>
      <c r="E302" s="260"/>
      <c r="F302" s="187">
        <v>1.0</v>
      </c>
      <c r="G302" s="187">
        <v>6.0</v>
      </c>
      <c r="H302" s="187"/>
      <c r="I302" s="164">
        <v>190.0</v>
      </c>
      <c r="J302" s="266">
        <v>6.5</v>
      </c>
      <c r="K302" s="183">
        <v>7.5</v>
      </c>
      <c r="L302" s="183"/>
      <c r="M302" s="183"/>
      <c r="N302" s="183"/>
      <c r="O302" s="699">
        <f>I302/VLOOKUP(K302,Sheet1!$D$7:$N$16,G302+1,FALSE)</f>
        <v>244.3729904</v>
      </c>
      <c r="P302" s="684" t="str">
        <f t="shared" si="11"/>
        <v>#REF!</v>
      </c>
      <c r="Q302" s="702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</row>
    <row r="303" ht="3.75" hidden="1" customHeight="1">
      <c r="A303" s="152"/>
      <c r="B303" s="705"/>
      <c r="C303" s="153"/>
      <c r="D303" s="138"/>
      <c r="E303" s="263"/>
      <c r="F303" s="194"/>
      <c r="G303" s="194"/>
      <c r="H303" s="194"/>
      <c r="I303" s="164"/>
      <c r="J303" s="267"/>
      <c r="K303" s="183"/>
      <c r="L303" s="183"/>
      <c r="M303" s="183"/>
      <c r="N303" s="183"/>
      <c r="O303" s="699" t="str">
        <f>I303/VLOOKUP(K303,Sheet1!$D$7:$N$16,G303+1,FALSE)</f>
        <v>#N/A</v>
      </c>
      <c r="P303" s="684" t="str">
        <f t="shared" si="11"/>
        <v>#REF!</v>
      </c>
      <c r="Q303" s="702"/>
      <c r="R303" s="158"/>
      <c r="S303" s="158"/>
      <c r="T303" s="158"/>
      <c r="U303" s="158"/>
      <c r="V303" s="158"/>
      <c r="W303" s="158"/>
      <c r="X303" s="158"/>
      <c r="Y303" s="158"/>
      <c r="Z303" s="158"/>
      <c r="AA303" s="158"/>
      <c r="AB303" s="158"/>
      <c r="AC303" s="158"/>
      <c r="AD303" s="158"/>
      <c r="AE303" s="158"/>
      <c r="AF303" s="158"/>
    </row>
    <row r="304" ht="15.75" hidden="1" customHeight="1">
      <c r="A304" s="149"/>
      <c r="B304" s="703"/>
      <c r="C304" s="149"/>
      <c r="D304" s="185" t="s">
        <v>6</v>
      </c>
      <c r="E304" s="264"/>
      <c r="F304" s="187">
        <v>1.0</v>
      </c>
      <c r="G304" s="187">
        <v>6.0</v>
      </c>
      <c r="H304" s="187"/>
      <c r="I304" s="164">
        <v>165.0</v>
      </c>
      <c r="J304" s="706">
        <v>-0.12</v>
      </c>
      <c r="K304" s="183">
        <v>7.5</v>
      </c>
      <c r="L304" s="183"/>
      <c r="M304" s="183"/>
      <c r="N304" s="183"/>
      <c r="O304" s="699">
        <f>I304/VLOOKUP(K304,Sheet1!$D$7:$N$16,G304+1,FALSE)</f>
        <v>212.2186495</v>
      </c>
      <c r="P304" s="684" t="str">
        <f t="shared" si="11"/>
        <v>#REF!</v>
      </c>
      <c r="Q304" s="702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</row>
    <row r="305" ht="3.75" hidden="1" customHeight="1">
      <c r="A305" s="162"/>
      <c r="B305" s="707"/>
      <c r="C305" s="162"/>
      <c r="D305" s="138"/>
      <c r="E305" s="708"/>
      <c r="F305" s="140"/>
      <c r="G305" s="140"/>
      <c r="H305" s="140"/>
      <c r="I305" s="701"/>
      <c r="J305" s="141"/>
      <c r="K305" s="183"/>
      <c r="L305" s="183"/>
      <c r="M305" s="183"/>
      <c r="N305" s="183"/>
      <c r="O305" s="699" t="str">
        <f>I305/VLOOKUP(K305,Sheet1!$D$7:$N$16,G305+1,FALSE)</f>
        <v>#N/A</v>
      </c>
      <c r="P305" s="684" t="str">
        <f t="shared" si="11"/>
        <v>#REF!</v>
      </c>
      <c r="Q305" s="702"/>
      <c r="R305" s="148"/>
      <c r="S305" s="148"/>
      <c r="T305" s="148"/>
      <c r="U305" s="148"/>
      <c r="V305" s="148"/>
      <c r="W305" s="148"/>
      <c r="X305" s="148"/>
      <c r="Y305" s="148"/>
      <c r="Z305" s="148"/>
      <c r="AA305" s="148"/>
      <c r="AB305" s="148"/>
      <c r="AC305" s="148"/>
      <c r="AD305" s="148"/>
      <c r="AE305" s="148"/>
      <c r="AF305" s="148"/>
    </row>
    <row r="306" ht="15.75" hidden="1" customHeight="1">
      <c r="A306" s="149"/>
      <c r="B306" s="703"/>
      <c r="C306" s="149"/>
      <c r="D306" s="185" t="s">
        <v>51</v>
      </c>
      <c r="E306" s="264"/>
      <c r="F306" s="187">
        <v>1.0</v>
      </c>
      <c r="G306" s="187">
        <v>3.0</v>
      </c>
      <c r="H306" s="187"/>
      <c r="I306" s="164">
        <v>145.0</v>
      </c>
      <c r="J306" s="266">
        <v>6.5</v>
      </c>
      <c r="K306" s="183">
        <v>7.5</v>
      </c>
      <c r="L306" s="183"/>
      <c r="M306" s="183"/>
      <c r="N306" s="183"/>
      <c r="O306" s="699">
        <f>I306/VLOOKUP(K306,Sheet1!$D$7:$N$16,G306+1,FALSE)</f>
        <v>170.0879765</v>
      </c>
      <c r="P306" s="684" t="str">
        <f t="shared" si="11"/>
        <v>#REF!</v>
      </c>
      <c r="Q306" s="702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</row>
    <row r="307" ht="3.75" hidden="1" customHeight="1">
      <c r="A307" s="162"/>
      <c r="B307" s="707"/>
      <c r="C307" s="162"/>
      <c r="D307" s="138"/>
      <c r="E307" s="321"/>
      <c r="F307" s="102"/>
      <c r="G307" s="102"/>
      <c r="H307" s="102"/>
      <c r="I307" s="247"/>
      <c r="J307" s="156"/>
      <c r="K307" s="183"/>
      <c r="L307" s="183"/>
      <c r="M307" s="183"/>
      <c r="N307" s="183"/>
      <c r="O307" s="699" t="str">
        <f>I307/VLOOKUP(K307,Sheet1!$D$7:$N$16,G307+1,FALSE)</f>
        <v>#N/A</v>
      </c>
      <c r="P307" s="684" t="str">
        <f t="shared" si="11"/>
        <v>#REF!</v>
      </c>
      <c r="Q307" s="702"/>
      <c r="R307" s="148"/>
      <c r="S307" s="148"/>
      <c r="T307" s="148"/>
      <c r="U307" s="148"/>
      <c r="V307" s="148"/>
      <c r="W307" s="148"/>
      <c r="X307" s="148"/>
      <c r="Y307" s="148"/>
      <c r="Z307" s="148"/>
      <c r="AA307" s="148"/>
      <c r="AB307" s="148"/>
      <c r="AC307" s="148"/>
      <c r="AD307" s="148"/>
      <c r="AE307" s="148"/>
      <c r="AF307" s="148"/>
    </row>
    <row r="308" ht="15.75" hidden="1" customHeight="1">
      <c r="A308" s="90"/>
      <c r="B308" s="2"/>
      <c r="C308" s="90"/>
      <c r="D308" s="185" t="s">
        <v>249</v>
      </c>
      <c r="E308" s="264"/>
      <c r="F308" s="187">
        <v>3.0</v>
      </c>
      <c r="G308" s="187">
        <v>5.0</v>
      </c>
      <c r="H308" s="187"/>
      <c r="I308" s="164">
        <v>127.5</v>
      </c>
      <c r="J308" s="706">
        <v>-0.12</v>
      </c>
      <c r="K308" s="183">
        <v>7.0</v>
      </c>
      <c r="L308" s="183"/>
      <c r="M308" s="183"/>
      <c r="N308" s="183"/>
      <c r="O308" s="699">
        <f>I308/VLOOKUP(K308,Sheet1!$D$7:$N$16,G308+1,FALSE)</f>
        <v>161.3924051</v>
      </c>
      <c r="P308" s="684" t="str">
        <f t="shared" si="11"/>
        <v>#REF!</v>
      </c>
      <c r="Q308" s="702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</row>
    <row r="309" ht="3.75" hidden="1" customHeight="1">
      <c r="A309" s="168"/>
      <c r="B309" s="661"/>
      <c r="C309" s="168"/>
      <c r="D309" s="138"/>
      <c r="E309" s="708"/>
      <c r="F309" s="140"/>
      <c r="G309" s="140"/>
      <c r="H309" s="140"/>
      <c r="I309" s="701"/>
      <c r="J309" s="141"/>
      <c r="K309" s="183"/>
      <c r="L309" s="183"/>
      <c r="M309" s="183"/>
      <c r="N309" s="183"/>
      <c r="O309" s="699" t="str">
        <f>I309/VLOOKUP(K309,Sheet1!$D$7:$N$16,G309+1,FALSE)</f>
        <v>#N/A</v>
      </c>
      <c r="P309" s="684" t="str">
        <f t="shared" si="11"/>
        <v>#REF!</v>
      </c>
      <c r="Q309" s="702"/>
      <c r="R309" s="148"/>
      <c r="S309" s="148"/>
      <c r="T309" s="148"/>
      <c r="U309" s="148"/>
      <c r="V309" s="148"/>
      <c r="W309" s="148"/>
      <c r="X309" s="148"/>
      <c r="Y309" s="148"/>
      <c r="Z309" s="148"/>
      <c r="AA309" s="148"/>
      <c r="AB309" s="148"/>
      <c r="AC309" s="148"/>
      <c r="AD309" s="148"/>
      <c r="AE309" s="148"/>
      <c r="AF309" s="148"/>
    </row>
    <row r="310" ht="15.75" hidden="1" customHeight="1">
      <c r="A310" s="90"/>
      <c r="B310" s="2"/>
      <c r="C310" s="90"/>
      <c r="D310" s="709" t="s">
        <v>250</v>
      </c>
      <c r="E310" s="710"/>
      <c r="F310" s="711">
        <v>3.0</v>
      </c>
      <c r="G310" s="731" t="s">
        <v>251</v>
      </c>
      <c r="H310" s="179"/>
      <c r="I310" s="742"/>
      <c r="J310" s="713">
        <v>8.0</v>
      </c>
      <c r="K310" s="183">
        <v>8.0</v>
      </c>
      <c r="L310" s="183"/>
      <c r="M310" s="183"/>
      <c r="N310" s="183"/>
      <c r="O310" s="699" t="str">
        <f>I310/VLOOKUP(K310,Sheet1!$D$7:$N$16,G310+1,FALSE)</f>
        <v>#REF!</v>
      </c>
      <c r="P310" s="684" t="str">
        <f t="shared" si="11"/>
        <v>#REF!</v>
      </c>
      <c r="Q310" s="702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</row>
    <row r="311" ht="3.75" hidden="1" customHeight="1">
      <c r="A311" s="90"/>
      <c r="B311" s="2"/>
      <c r="C311" s="90"/>
      <c r="D311" s="171"/>
      <c r="E311" s="714"/>
      <c r="F311" s="173"/>
      <c r="G311" s="173"/>
      <c r="H311" s="715"/>
      <c r="I311" s="716"/>
      <c r="J311" s="174"/>
      <c r="K311" s="183"/>
      <c r="L311" s="183"/>
      <c r="M311" s="183"/>
      <c r="N311" s="183"/>
      <c r="O311" s="699" t="str">
        <f>I311/VLOOKUP(K311,Sheet1!$D$7:$N$16,G311+1,FALSE)</f>
        <v>#N/A</v>
      </c>
      <c r="P311" s="684" t="str">
        <f t="shared" si="11"/>
        <v>#REF!</v>
      </c>
      <c r="Q311" s="702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</row>
    <row r="312" ht="15.75" hidden="1" customHeight="1">
      <c r="A312" s="90"/>
      <c r="B312" s="2"/>
      <c r="C312" s="90"/>
      <c r="D312" s="260" t="s">
        <v>273</v>
      </c>
      <c r="E312" s="266"/>
      <c r="F312" s="187">
        <v>3.0</v>
      </c>
      <c r="G312" s="731" t="s">
        <v>251</v>
      </c>
      <c r="H312" s="187"/>
      <c r="I312" s="164"/>
      <c r="J312" s="266">
        <v>8.0</v>
      </c>
      <c r="K312" s="183"/>
      <c r="L312" s="183"/>
      <c r="M312" s="183"/>
      <c r="N312" s="183"/>
      <c r="O312" s="699" t="str">
        <f>I312/VLOOKUP(K312,Sheet1!$D$7:$N$16,G312+1,FALSE)</f>
        <v>#REF!</v>
      </c>
      <c r="P312" s="684" t="str">
        <f t="shared" si="11"/>
        <v>#REF!</v>
      </c>
      <c r="Q312" s="702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</row>
    <row r="313" ht="3.75" hidden="1" customHeight="1">
      <c r="A313" s="90"/>
      <c r="B313" s="2"/>
      <c r="C313" s="90"/>
      <c r="D313" s="171"/>
      <c r="E313" s="714"/>
      <c r="F313" s="173"/>
      <c r="G313" s="173"/>
      <c r="H313" s="715"/>
      <c r="I313" s="716"/>
      <c r="J313" s="174"/>
      <c r="K313" s="183"/>
      <c r="L313" s="183"/>
      <c r="M313" s="183"/>
      <c r="N313" s="183"/>
      <c r="O313" s="699" t="str">
        <f>I313/VLOOKUP(K313,Sheet1!$D$7:$N$16,G313+1,FALSE)</f>
        <v>#N/A</v>
      </c>
      <c r="P313" s="684" t="str">
        <f t="shared" si="11"/>
        <v>#REF!</v>
      </c>
      <c r="Q313" s="702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</row>
    <row r="314" ht="15.75" hidden="1" customHeight="1">
      <c r="A314" s="90"/>
      <c r="B314" s="2"/>
      <c r="C314" s="90"/>
      <c r="D314" s="709" t="s">
        <v>274</v>
      </c>
      <c r="E314" s="710"/>
      <c r="F314" s="711">
        <v>3.0</v>
      </c>
      <c r="G314" s="731" t="s">
        <v>251</v>
      </c>
      <c r="H314" s="179"/>
      <c r="I314" s="717"/>
      <c r="J314" s="713">
        <v>8.0</v>
      </c>
      <c r="K314" s="183"/>
      <c r="L314" s="183"/>
      <c r="M314" s="183"/>
      <c r="N314" s="183"/>
      <c r="O314" s="699" t="str">
        <f>I314/VLOOKUP(K314,Sheet1!$D$7:$N$16,G314+1,FALSE)</f>
        <v>#REF!</v>
      </c>
      <c r="P314" s="684" t="str">
        <f t="shared" si="11"/>
        <v>#REF!</v>
      </c>
      <c r="Q314" s="702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</row>
    <row r="315" ht="3.75" hidden="1" customHeight="1">
      <c r="A315" s="90"/>
      <c r="B315" s="2"/>
      <c r="C315" s="90"/>
      <c r="D315" s="138"/>
      <c r="E315" s="252"/>
      <c r="F315" s="102"/>
      <c r="G315" s="102"/>
      <c r="H315" s="102"/>
      <c r="I315" s="247"/>
      <c r="J315" s="156"/>
      <c r="K315" s="183"/>
      <c r="L315" s="183"/>
      <c r="M315" s="183"/>
      <c r="N315" s="183"/>
      <c r="O315" s="699" t="str">
        <f>I315/VLOOKUP(K315,Sheet1!$D$7:$N$16,G315+1,FALSE)</f>
        <v>#N/A</v>
      </c>
      <c r="P315" s="684" t="str">
        <f t="shared" si="11"/>
        <v>#REF!</v>
      </c>
      <c r="Q315" s="702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</row>
    <row r="316" ht="15.75" hidden="1" customHeight="1">
      <c r="A316" s="90"/>
      <c r="B316" s="2"/>
      <c r="C316" s="90"/>
      <c r="D316" s="185"/>
      <c r="E316" s="266"/>
      <c r="F316" s="187"/>
      <c r="G316" s="718"/>
      <c r="H316" s="187"/>
      <c r="I316" s="164"/>
      <c r="J316" s="266"/>
      <c r="K316" s="183"/>
      <c r="L316" s="183"/>
      <c r="M316" s="183"/>
      <c r="N316" s="183"/>
      <c r="O316" s="699" t="str">
        <f>I316/VLOOKUP(K316,Sheet1!$D$7:$N$16,G316+1,FALSE)</f>
        <v>#N/A</v>
      </c>
      <c r="P316" s="684" t="str">
        <f t="shared" si="11"/>
        <v>#REF!</v>
      </c>
      <c r="Q316" s="702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</row>
    <row r="317" ht="3.75" hidden="1" customHeight="1">
      <c r="A317" s="191"/>
      <c r="B317" s="719"/>
      <c r="C317" s="192"/>
      <c r="D317" s="138"/>
      <c r="E317" s="267"/>
      <c r="F317" s="194"/>
      <c r="G317" s="194"/>
      <c r="H317" s="194"/>
      <c r="I317" s="164"/>
      <c r="J317" s="267"/>
      <c r="K317" s="183"/>
      <c r="L317" s="183"/>
      <c r="M317" s="183"/>
      <c r="N317" s="183"/>
      <c r="O317" s="699" t="str">
        <f>I317/VLOOKUP(K317,Sheet1!$D$7:$N$16,G317+1,FALSE)</f>
        <v>#N/A</v>
      </c>
      <c r="P317" s="684" t="str">
        <f t="shared" si="11"/>
        <v>#REF!</v>
      </c>
      <c r="Q317" s="702"/>
      <c r="R317" s="158"/>
      <c r="S317" s="158"/>
      <c r="T317" s="158"/>
      <c r="U317" s="158"/>
      <c r="V317" s="158"/>
      <c r="W317" s="158"/>
      <c r="X317" s="158"/>
      <c r="Y317" s="158"/>
      <c r="Z317" s="158"/>
      <c r="AA317" s="158"/>
      <c r="AB317" s="158"/>
      <c r="AC317" s="158"/>
      <c r="AD317" s="158"/>
      <c r="AE317" s="158"/>
      <c r="AF317" s="158"/>
    </row>
    <row r="318" ht="15.75" hidden="1" customHeight="1">
      <c r="A318" s="90"/>
      <c r="B318" s="2"/>
      <c r="C318" s="90"/>
      <c r="D318" s="185"/>
      <c r="E318" s="266"/>
      <c r="F318" s="187"/>
      <c r="G318" s="187"/>
      <c r="H318" s="187"/>
      <c r="I318" s="164"/>
      <c r="J318" s="266"/>
      <c r="K318" s="183"/>
      <c r="L318" s="183"/>
      <c r="M318" s="183"/>
      <c r="N318" s="183"/>
      <c r="O318" s="699" t="str">
        <f>I318/VLOOKUP(K318,Sheet1!$D$7:$N$16,G318+1,FALSE)</f>
        <v>#N/A</v>
      </c>
      <c r="P318" s="684" t="str">
        <f t="shared" si="11"/>
        <v>#REF!</v>
      </c>
      <c r="Q318" s="702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</row>
    <row r="319" ht="3.75" hidden="1" customHeight="1">
      <c r="A319" s="90"/>
      <c r="B319" s="2"/>
      <c r="C319" s="90"/>
      <c r="D319" s="138"/>
      <c r="E319" s="252"/>
      <c r="F319" s="102"/>
      <c r="G319" s="102"/>
      <c r="H319" s="102"/>
      <c r="I319" s="247"/>
      <c r="J319" s="156"/>
      <c r="K319" s="183"/>
      <c r="L319" s="183"/>
      <c r="M319" s="183"/>
      <c r="N319" s="183"/>
      <c r="O319" s="699" t="str">
        <f>I319/VLOOKUP(K319,Sheet1!$D$7:$N$16,G319+1,FALSE)</f>
        <v>#N/A</v>
      </c>
      <c r="P319" s="684" t="str">
        <f t="shared" si="11"/>
        <v>#REF!</v>
      </c>
      <c r="Q319" s="702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</row>
    <row r="320" ht="15.75" hidden="1" customHeight="1">
      <c r="A320" s="90"/>
      <c r="B320" s="2"/>
      <c r="C320" s="90"/>
      <c r="D320" s="185"/>
      <c r="E320" s="266"/>
      <c r="F320" s="187"/>
      <c r="G320" s="187"/>
      <c r="H320" s="187"/>
      <c r="I320" s="164"/>
      <c r="J320" s="266"/>
      <c r="K320" s="183"/>
      <c r="L320" s="183"/>
      <c r="M320" s="183"/>
      <c r="N320" s="183"/>
      <c r="O320" s="699" t="str">
        <f>I320/VLOOKUP(K320,Sheet1!$D$7:$N$16,G320+1,FALSE)</f>
        <v>#N/A</v>
      </c>
      <c r="P320" s="684" t="str">
        <f t="shared" si="11"/>
        <v>#REF!</v>
      </c>
      <c r="Q320" s="697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</row>
    <row r="321" ht="3.75" hidden="1" customHeight="1">
      <c r="A321" s="90"/>
      <c r="B321" s="2"/>
      <c r="C321" s="90"/>
      <c r="D321" s="90"/>
      <c r="E321" s="156"/>
      <c r="F321" s="102"/>
      <c r="G321" s="102"/>
      <c r="H321" s="102"/>
      <c r="I321" s="102"/>
      <c r="J321" s="156"/>
      <c r="K321" s="720"/>
      <c r="L321" s="201"/>
      <c r="M321" s="201"/>
      <c r="N321" s="201"/>
      <c r="O321" s="699" t="str">
        <f>I321/VLOOKUP(K321,Sheet1!$D$7:$N$16,G321+1,FALSE)</f>
        <v>#N/A</v>
      </c>
      <c r="P321" s="684" t="str">
        <f t="shared" si="11"/>
        <v>#REF!</v>
      </c>
      <c r="Q321" s="720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</row>
    <row r="322" ht="30.0" hidden="1" customHeight="1">
      <c r="A322" s="90"/>
      <c r="B322" s="2"/>
      <c r="C322" s="90"/>
      <c r="D322" s="686" t="s">
        <v>246</v>
      </c>
      <c r="E322" s="687" t="s">
        <v>15</v>
      </c>
      <c r="F322" s="721" t="s">
        <v>16</v>
      </c>
      <c r="G322" s="722" t="s">
        <v>17</v>
      </c>
      <c r="H322" s="723"/>
      <c r="I322" s="724"/>
      <c r="J322" s="725" t="s">
        <v>241</v>
      </c>
      <c r="K322" s="691"/>
      <c r="L322" s="692"/>
      <c r="M322" s="692"/>
      <c r="N322" s="692"/>
      <c r="O322" s="699"/>
      <c r="P322" s="684"/>
      <c r="Q322" s="693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</row>
    <row r="323" ht="14.25" hidden="1" customHeight="1">
      <c r="A323" s="90"/>
      <c r="B323" s="2"/>
      <c r="C323" s="90"/>
      <c r="D323" s="257" t="s">
        <v>25</v>
      </c>
      <c r="E323" s="257" t="s">
        <v>26</v>
      </c>
      <c r="F323" s="680"/>
      <c r="G323" s="681"/>
      <c r="H323" s="723"/>
      <c r="I323" s="681"/>
      <c r="J323" s="725" t="s">
        <v>244</v>
      </c>
      <c r="K323" s="697"/>
      <c r="L323" s="692"/>
      <c r="M323" s="692"/>
      <c r="N323" s="692"/>
      <c r="O323" s="699"/>
      <c r="P323" s="684"/>
      <c r="Q323" s="698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</row>
    <row r="324" ht="3.75" hidden="1" customHeight="1">
      <c r="A324" s="191"/>
      <c r="B324" s="719"/>
      <c r="C324" s="192"/>
      <c r="D324" s="203"/>
      <c r="E324" s="203"/>
      <c r="F324" s="726"/>
      <c r="G324" s="726"/>
      <c r="H324" s="726"/>
      <c r="I324" s="727"/>
      <c r="J324" s="728"/>
      <c r="K324" s="192"/>
      <c r="L324" s="194"/>
      <c r="M324" s="194"/>
      <c r="N324" s="194"/>
      <c r="O324" s="699"/>
      <c r="P324" s="684" t="str">
        <f t="shared" ref="P324:P346" si="12">I324-#REF!</f>
        <v>#REF!</v>
      </c>
      <c r="Q324" s="192"/>
      <c r="R324" s="158"/>
      <c r="S324" s="158"/>
      <c r="T324" s="158"/>
      <c r="U324" s="158"/>
      <c r="V324" s="158"/>
      <c r="W324" s="158"/>
      <c r="X324" s="158"/>
      <c r="Y324" s="158"/>
      <c r="Z324" s="158"/>
      <c r="AA324" s="158"/>
      <c r="AB324" s="158"/>
      <c r="AC324" s="158"/>
      <c r="AD324" s="158"/>
      <c r="AE324" s="158"/>
      <c r="AF324" s="158"/>
    </row>
    <row r="325" ht="15.75" hidden="1" customHeight="1">
      <c r="A325" s="124"/>
      <c r="B325" s="2"/>
      <c r="C325" s="124"/>
      <c r="D325" s="185" t="s">
        <v>248</v>
      </c>
      <c r="E325" s="743"/>
      <c r="F325" s="187">
        <v>1.0</v>
      </c>
      <c r="G325" s="187">
        <v>6.0</v>
      </c>
      <c r="H325" s="187"/>
      <c r="I325" s="164">
        <v>200.0</v>
      </c>
      <c r="J325" s="266">
        <v>6.0</v>
      </c>
      <c r="K325" s="183">
        <v>8.0</v>
      </c>
      <c r="L325" s="183"/>
      <c r="M325" s="183"/>
      <c r="N325" s="183"/>
      <c r="O325" s="699">
        <f>I325/VLOOKUP(K325,Sheet1!$D$7:$N$16,G325+1,FALSE)</f>
        <v>253.164557</v>
      </c>
      <c r="P325" s="684" t="str">
        <f t="shared" si="12"/>
        <v>#REF!</v>
      </c>
      <c r="Q325" s="730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</row>
    <row r="326" ht="3.75" hidden="1" customHeight="1">
      <c r="A326" s="124"/>
      <c r="B326" s="2"/>
      <c r="C326" s="124"/>
      <c r="D326" s="138"/>
      <c r="E326" s="321"/>
      <c r="F326" s="102"/>
      <c r="G326" s="102"/>
      <c r="H326" s="102"/>
      <c r="I326" s="247"/>
      <c r="J326" s="267"/>
      <c r="K326" s="183"/>
      <c r="L326" s="183"/>
      <c r="M326" s="183"/>
      <c r="N326" s="183"/>
      <c r="O326" s="699" t="str">
        <f>I326/VLOOKUP(K326,Sheet1!$D$7:$N$16,G326+1,FALSE)</f>
        <v>#N/A</v>
      </c>
      <c r="P326" s="684" t="str">
        <f t="shared" si="12"/>
        <v>#REF!</v>
      </c>
      <c r="Q326" s="702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</row>
    <row r="327" ht="15.75" hidden="1" customHeight="1">
      <c r="A327" s="90"/>
      <c r="B327" s="2"/>
      <c r="C327" s="90"/>
      <c r="D327" s="185" t="s">
        <v>248</v>
      </c>
      <c r="E327" s="264"/>
      <c r="F327" s="187">
        <v>2.0</v>
      </c>
      <c r="G327" s="187">
        <v>6.0</v>
      </c>
      <c r="H327" s="187"/>
      <c r="I327" s="164">
        <v>175.0</v>
      </c>
      <c r="J327" s="706">
        <v>-0.12</v>
      </c>
      <c r="K327" s="183">
        <v>6.5</v>
      </c>
      <c r="L327" s="183"/>
      <c r="M327" s="183"/>
      <c r="N327" s="183"/>
      <c r="O327" s="699">
        <f>I327/VLOOKUP(K327,Sheet1!$D$7:$N$16,G327+1,FALSE)</f>
        <v>232.5581395</v>
      </c>
      <c r="P327" s="684" t="str">
        <f t="shared" si="12"/>
        <v>#REF!</v>
      </c>
      <c r="Q327" s="702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</row>
    <row r="328" ht="3.75" hidden="1" customHeight="1">
      <c r="A328" s="90"/>
      <c r="B328" s="2"/>
      <c r="C328" s="90"/>
      <c r="D328" s="138"/>
      <c r="E328" s="321"/>
      <c r="F328" s="102"/>
      <c r="G328" s="102"/>
      <c r="H328" s="102"/>
      <c r="I328" s="247"/>
      <c r="J328" s="267"/>
      <c r="K328" s="183"/>
      <c r="L328" s="183"/>
      <c r="M328" s="183"/>
      <c r="N328" s="183"/>
      <c r="O328" s="699" t="str">
        <f>I328/VLOOKUP(K328,Sheet1!$D$7:$N$16,G328+1,FALSE)</f>
        <v>#N/A</v>
      </c>
      <c r="P328" s="684" t="str">
        <f t="shared" si="12"/>
        <v>#REF!</v>
      </c>
      <c r="Q328" s="702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</row>
    <row r="329" ht="15.75" hidden="1" customHeight="1">
      <c r="A329" s="90"/>
      <c r="B329" s="2"/>
      <c r="C329" s="90"/>
      <c r="D329" s="185" t="s">
        <v>252</v>
      </c>
      <c r="E329" s="260"/>
      <c r="F329" s="187">
        <v>3.0</v>
      </c>
      <c r="G329" s="187" t="s">
        <v>41</v>
      </c>
      <c r="H329" s="187"/>
      <c r="I329" s="164"/>
      <c r="J329" s="266">
        <v>8.0</v>
      </c>
      <c r="K329" s="183">
        <v>8.0</v>
      </c>
      <c r="L329" s="183"/>
      <c r="M329" s="183"/>
      <c r="N329" s="183"/>
      <c r="O329" s="699" t="str">
        <f>I329/VLOOKUP(K329,Sheet1!$D$7:$N$16,G329+1,FALSE)</f>
        <v>#VALUE!</v>
      </c>
      <c r="P329" s="684" t="str">
        <f t="shared" si="12"/>
        <v>#REF!</v>
      </c>
      <c r="Q329" s="702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</row>
    <row r="330" ht="3.75" hidden="1" customHeight="1">
      <c r="A330" s="90"/>
      <c r="B330" s="2"/>
      <c r="C330" s="90"/>
      <c r="D330" s="138"/>
      <c r="E330" s="321"/>
      <c r="F330" s="102"/>
      <c r="G330" s="102"/>
      <c r="H330" s="102"/>
      <c r="I330" s="247"/>
      <c r="J330" s="156"/>
      <c r="K330" s="183"/>
      <c r="L330" s="183"/>
      <c r="M330" s="183"/>
      <c r="N330" s="183"/>
      <c r="O330" s="699" t="str">
        <f>I330/VLOOKUP(K330,Sheet1!$D$7:$N$16,G330+1,FALSE)</f>
        <v>#N/A</v>
      </c>
      <c r="P330" s="684" t="str">
        <f t="shared" si="12"/>
        <v>#REF!</v>
      </c>
      <c r="Q330" s="702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</row>
    <row r="331" ht="15.75" hidden="1" customHeight="1">
      <c r="A331" s="90"/>
      <c r="B331" s="2"/>
      <c r="C331" s="90"/>
      <c r="D331" s="185" t="s">
        <v>253</v>
      </c>
      <c r="E331" s="260"/>
      <c r="F331" s="187">
        <v>3.0</v>
      </c>
      <c r="G331" s="731" t="s">
        <v>251</v>
      </c>
      <c r="H331" s="187"/>
      <c r="I331" s="164"/>
      <c r="J331" s="266">
        <v>8.0</v>
      </c>
      <c r="K331" s="183">
        <v>8.0</v>
      </c>
      <c r="L331" s="183"/>
      <c r="M331" s="183"/>
      <c r="N331" s="183"/>
      <c r="O331" s="699" t="str">
        <f>I331/VLOOKUP(K331,Sheet1!$D$7:$N$16,G331+1,FALSE)</f>
        <v>#REF!</v>
      </c>
      <c r="P331" s="684" t="str">
        <f t="shared" si="12"/>
        <v>#REF!</v>
      </c>
      <c r="Q331" s="702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</row>
    <row r="332" ht="3.75" hidden="1" customHeight="1">
      <c r="A332" s="90"/>
      <c r="B332" s="2"/>
      <c r="C332" s="90"/>
      <c r="D332" s="138"/>
      <c r="E332" s="321"/>
      <c r="F332" s="102"/>
      <c r="G332" s="102"/>
      <c r="H332" s="102"/>
      <c r="I332" s="247"/>
      <c r="J332" s="267"/>
      <c r="K332" s="183"/>
      <c r="L332" s="183"/>
      <c r="M332" s="183"/>
      <c r="N332" s="183"/>
      <c r="O332" s="699" t="str">
        <f>I332/VLOOKUP(K332,Sheet1!$D$7:$N$16,G332+1,FALSE)</f>
        <v>#N/A</v>
      </c>
      <c r="P332" s="684" t="str">
        <f t="shared" si="12"/>
        <v>#REF!</v>
      </c>
      <c r="Q332" s="702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</row>
    <row r="333" ht="15.75" hidden="1" customHeight="1">
      <c r="A333" s="90"/>
      <c r="B333" s="2"/>
      <c r="C333" s="90"/>
      <c r="D333" s="185"/>
      <c r="E333" s="264"/>
      <c r="F333" s="187"/>
      <c r="G333" s="187"/>
      <c r="H333" s="187"/>
      <c r="I333" s="164"/>
      <c r="J333" s="706"/>
      <c r="K333" s="183"/>
      <c r="L333" s="183"/>
      <c r="M333" s="183"/>
      <c r="N333" s="183"/>
      <c r="O333" s="699" t="str">
        <f>I333/VLOOKUP(K333,Sheet1!$D$7:$N$16,G333+1,FALSE)</f>
        <v>#N/A</v>
      </c>
      <c r="P333" s="684" t="str">
        <f t="shared" si="12"/>
        <v>#REF!</v>
      </c>
      <c r="Q333" s="702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</row>
    <row r="334" ht="3.75" hidden="1" customHeight="1">
      <c r="A334" s="90"/>
      <c r="B334" s="2"/>
      <c r="C334" s="90"/>
      <c r="D334" s="138"/>
      <c r="E334" s="321"/>
      <c r="F334" s="102"/>
      <c r="G334" s="102"/>
      <c r="H334" s="102"/>
      <c r="I334" s="247"/>
      <c r="J334" s="267"/>
      <c r="K334" s="183"/>
      <c r="L334" s="183"/>
      <c r="M334" s="183"/>
      <c r="N334" s="183"/>
      <c r="O334" s="699" t="str">
        <f>I334/VLOOKUP(K334,Sheet1!$D$7:$N$16,G334+1,FALSE)</f>
        <v>#N/A</v>
      </c>
      <c r="P334" s="684" t="str">
        <f t="shared" si="12"/>
        <v>#REF!</v>
      </c>
      <c r="Q334" s="702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</row>
    <row r="335" ht="15.75" hidden="1" customHeight="1">
      <c r="A335" s="90"/>
      <c r="B335" s="2"/>
      <c r="C335" s="90"/>
      <c r="D335" s="185" t="s">
        <v>88</v>
      </c>
      <c r="E335" s="264"/>
      <c r="F335" s="187">
        <v>3.0</v>
      </c>
      <c r="G335" s="731" t="s">
        <v>251</v>
      </c>
      <c r="H335" s="187"/>
      <c r="I335" s="164"/>
      <c r="J335" s="266">
        <v>9.0</v>
      </c>
      <c r="K335" s="183">
        <v>9.0</v>
      </c>
      <c r="L335" s="183"/>
      <c r="M335" s="183"/>
      <c r="N335" s="183"/>
      <c r="O335" s="699" t="str">
        <f>I335/VLOOKUP(K335,Sheet1!$D$7:$N$16,G335+1,FALSE)</f>
        <v>#REF!</v>
      </c>
      <c r="P335" s="684" t="str">
        <f t="shared" si="12"/>
        <v>#REF!</v>
      </c>
      <c r="Q335" s="702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</row>
    <row r="336" ht="3.75" hidden="1" customHeight="1">
      <c r="A336" s="90"/>
      <c r="B336" s="2"/>
      <c r="C336" s="90"/>
      <c r="D336" s="138"/>
      <c r="E336" s="321"/>
      <c r="F336" s="102"/>
      <c r="G336" s="102"/>
      <c r="H336" s="102"/>
      <c r="I336" s="247"/>
      <c r="J336" s="267"/>
      <c r="K336" s="183"/>
      <c r="L336" s="183"/>
      <c r="M336" s="183"/>
      <c r="N336" s="183"/>
      <c r="O336" s="699" t="str">
        <f>I336/VLOOKUP(K336,Sheet1!$D$7:$N$16,G336+1,FALSE)</f>
        <v>#N/A</v>
      </c>
      <c r="P336" s="684" t="str">
        <f t="shared" si="12"/>
        <v>#REF!</v>
      </c>
      <c r="Q336" s="702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</row>
    <row r="337" ht="20.25" hidden="1" customHeight="1">
      <c r="A337" s="90"/>
      <c r="B337" s="2"/>
      <c r="C337" s="90"/>
      <c r="D337" s="185"/>
      <c r="E337" s="264"/>
      <c r="F337" s="187"/>
      <c r="G337" s="187"/>
      <c r="H337" s="187"/>
      <c r="I337" s="164"/>
      <c r="J337" s="266"/>
      <c r="K337" s="183"/>
      <c r="L337" s="183"/>
      <c r="M337" s="183"/>
      <c r="N337" s="183"/>
      <c r="O337" s="699" t="str">
        <f>I337/VLOOKUP(K337,Sheet1!$D$7:$N$16,G337+1,FALSE)</f>
        <v>#N/A</v>
      </c>
      <c r="P337" s="684" t="str">
        <f t="shared" si="12"/>
        <v>#REF!</v>
      </c>
      <c r="Q337" s="702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</row>
    <row r="338" ht="3.75" hidden="1" customHeight="1">
      <c r="A338" s="191"/>
      <c r="B338" s="719"/>
      <c r="C338" s="192"/>
      <c r="D338" s="138"/>
      <c r="E338" s="263"/>
      <c r="F338" s="194"/>
      <c r="G338" s="194"/>
      <c r="H338" s="194"/>
      <c r="I338" s="164"/>
      <c r="J338" s="267"/>
      <c r="K338" s="183"/>
      <c r="L338" s="183"/>
      <c r="M338" s="183"/>
      <c r="N338" s="183"/>
      <c r="O338" s="699" t="str">
        <f>I338/VLOOKUP(K338,Sheet1!$D$7:$N$16,G338+1,FALSE)</f>
        <v>#N/A</v>
      </c>
      <c r="P338" s="684" t="str">
        <f t="shared" si="12"/>
        <v>#REF!</v>
      </c>
      <c r="Q338" s="702"/>
      <c r="R338" s="158"/>
      <c r="S338" s="158"/>
      <c r="T338" s="158"/>
      <c r="U338" s="158"/>
      <c r="V338" s="158"/>
      <c r="W338" s="158"/>
      <c r="X338" s="158"/>
      <c r="Y338" s="158"/>
      <c r="Z338" s="158"/>
      <c r="AA338" s="158"/>
      <c r="AB338" s="158"/>
      <c r="AC338" s="158"/>
      <c r="AD338" s="158"/>
      <c r="AE338" s="158"/>
      <c r="AF338" s="158"/>
    </row>
    <row r="339" ht="15.75" hidden="1" customHeight="1">
      <c r="A339" s="90"/>
      <c r="B339" s="2"/>
      <c r="C339" s="90"/>
      <c r="D339" s="185" t="s">
        <v>254</v>
      </c>
      <c r="E339" s="266"/>
      <c r="F339" s="187">
        <v>3.0</v>
      </c>
      <c r="G339" s="731" t="s">
        <v>251</v>
      </c>
      <c r="H339" s="187"/>
      <c r="I339" s="164"/>
      <c r="J339" s="266">
        <v>9.0</v>
      </c>
      <c r="K339" s="183">
        <v>9.0</v>
      </c>
      <c r="L339" s="183"/>
      <c r="M339" s="183"/>
      <c r="N339" s="183"/>
      <c r="O339" s="699" t="str">
        <f>I339/VLOOKUP(K339,Sheet1!$D$7:$N$16,G339+1,FALSE)</f>
        <v>#REF!</v>
      </c>
      <c r="P339" s="684" t="str">
        <f t="shared" si="12"/>
        <v>#REF!</v>
      </c>
      <c r="Q339" s="702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</row>
    <row r="340" ht="3.75" hidden="1" customHeight="1">
      <c r="A340" s="90"/>
      <c r="B340" s="2"/>
      <c r="C340" s="90"/>
      <c r="D340" s="138"/>
      <c r="E340" s="252"/>
      <c r="F340" s="102"/>
      <c r="G340" s="102"/>
      <c r="H340" s="102"/>
      <c r="I340" s="247"/>
      <c r="J340" s="156"/>
      <c r="K340" s="183"/>
      <c r="L340" s="183"/>
      <c r="M340" s="183"/>
      <c r="N340" s="183"/>
      <c r="O340" s="699" t="str">
        <f>I340/VLOOKUP(K340,Sheet1!$D$7:$N$16,G340+1,FALSE)</f>
        <v>#N/A</v>
      </c>
      <c r="P340" s="684" t="str">
        <f t="shared" si="12"/>
        <v>#REF!</v>
      </c>
      <c r="Q340" s="702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</row>
    <row r="341" ht="15.75" hidden="1" customHeight="1">
      <c r="A341" s="90"/>
      <c r="B341" s="2"/>
      <c r="C341" s="90"/>
      <c r="D341" s="185" t="s">
        <v>255</v>
      </c>
      <c r="E341" s="260"/>
      <c r="F341" s="187">
        <v>3.0</v>
      </c>
      <c r="G341" s="731" t="s">
        <v>251</v>
      </c>
      <c r="H341" s="187"/>
      <c r="I341" s="164"/>
      <c r="J341" s="266">
        <v>9.0</v>
      </c>
      <c r="K341" s="183">
        <v>9.0</v>
      </c>
      <c r="L341" s="183"/>
      <c r="M341" s="183"/>
      <c r="N341" s="183"/>
      <c r="O341" s="699" t="str">
        <f>I341/VLOOKUP(K341,Sheet1!$D$7:$N$16,G341+1,FALSE)</f>
        <v>#REF!</v>
      </c>
      <c r="P341" s="684" t="str">
        <f t="shared" si="12"/>
        <v>#REF!</v>
      </c>
      <c r="Q341" s="702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</row>
    <row r="342" ht="3.75" hidden="1" customHeight="1">
      <c r="A342" s="191"/>
      <c r="B342" s="719"/>
      <c r="C342" s="192"/>
      <c r="D342" s="138"/>
      <c r="E342" s="267"/>
      <c r="F342" s="194"/>
      <c r="G342" s="194"/>
      <c r="H342" s="194"/>
      <c r="I342" s="164"/>
      <c r="J342" s="267"/>
      <c r="K342" s="183"/>
      <c r="L342" s="183"/>
      <c r="M342" s="183"/>
      <c r="N342" s="183"/>
      <c r="O342" s="699" t="str">
        <f>I342/VLOOKUP(K342,Sheet1!$D$7:$N$16,G342+1,FALSE)</f>
        <v>#N/A</v>
      </c>
      <c r="P342" s="684" t="str">
        <f t="shared" si="12"/>
        <v>#REF!</v>
      </c>
      <c r="Q342" s="702"/>
      <c r="R342" s="158"/>
      <c r="S342" s="158"/>
      <c r="T342" s="158"/>
      <c r="U342" s="158"/>
      <c r="V342" s="158"/>
      <c r="W342" s="158"/>
      <c r="X342" s="158"/>
      <c r="Y342" s="158"/>
      <c r="Z342" s="158"/>
      <c r="AA342" s="158"/>
      <c r="AB342" s="158"/>
      <c r="AC342" s="158"/>
      <c r="AD342" s="158"/>
      <c r="AE342" s="158"/>
      <c r="AF342" s="158"/>
    </row>
    <row r="343" ht="15.75" hidden="1" customHeight="1">
      <c r="A343" s="90"/>
      <c r="B343" s="2"/>
      <c r="C343" s="90"/>
      <c r="D343" s="185" t="s">
        <v>256</v>
      </c>
      <c r="E343" s="266"/>
      <c r="F343" s="187">
        <v>3.0</v>
      </c>
      <c r="G343" s="187" t="s">
        <v>16</v>
      </c>
      <c r="H343" s="187"/>
      <c r="I343" s="164"/>
      <c r="J343" s="266">
        <v>9.0</v>
      </c>
      <c r="K343" s="183">
        <v>9.0</v>
      </c>
      <c r="L343" s="183"/>
      <c r="M343" s="183"/>
      <c r="N343" s="183"/>
      <c r="O343" s="699" t="str">
        <f>I343/VLOOKUP(K343,Sheet1!$D$7:$N$16,G343+1,FALSE)</f>
        <v>#VALUE!</v>
      </c>
      <c r="P343" s="684" t="str">
        <f t="shared" si="12"/>
        <v>#REF!</v>
      </c>
      <c r="Q343" s="702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</row>
    <row r="344" ht="3.75" hidden="1" customHeight="1">
      <c r="A344" s="90"/>
      <c r="B344" s="2"/>
      <c r="C344" s="90"/>
      <c r="D344" s="138"/>
      <c r="E344" s="252"/>
      <c r="F344" s="102"/>
      <c r="G344" s="102"/>
      <c r="H344" s="102"/>
      <c r="I344" s="247"/>
      <c r="J344" s="156"/>
      <c r="K344" s="183"/>
      <c r="L344" s="183"/>
      <c r="M344" s="183"/>
      <c r="N344" s="183"/>
      <c r="O344" s="699" t="str">
        <f>I344/VLOOKUP(K344,Sheet1!$D$7:$N$16,G344+1,FALSE)</f>
        <v>#N/A</v>
      </c>
      <c r="P344" s="684" t="str">
        <f t="shared" si="12"/>
        <v>#REF!</v>
      </c>
      <c r="Q344" s="702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</row>
    <row r="345" ht="15.75" hidden="1" customHeight="1">
      <c r="A345" s="90"/>
      <c r="B345" s="2"/>
      <c r="C345" s="90"/>
      <c r="D345" s="185"/>
      <c r="E345" s="266"/>
      <c r="F345" s="187"/>
      <c r="G345" s="187"/>
      <c r="H345" s="187"/>
      <c r="I345" s="164"/>
      <c r="J345" s="266"/>
      <c r="K345" s="183"/>
      <c r="L345" s="183"/>
      <c r="M345" s="183"/>
      <c r="N345" s="183"/>
      <c r="O345" s="699" t="str">
        <f>I345/VLOOKUP(K345,Sheet1!$D$7:$N$16,G345+1,FALSE)</f>
        <v>#N/A</v>
      </c>
      <c r="P345" s="684" t="str">
        <f t="shared" si="12"/>
        <v>#REF!</v>
      </c>
      <c r="Q345" s="697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</row>
    <row r="346" ht="3.75" hidden="1" customHeight="1">
      <c r="A346" s="90"/>
      <c r="B346" s="2"/>
      <c r="C346" s="90"/>
      <c r="D346" s="90"/>
      <c r="E346" s="156"/>
      <c r="F346" s="102"/>
      <c r="G346" s="102"/>
      <c r="H346" s="102"/>
      <c r="I346" s="102"/>
      <c r="J346" s="156"/>
      <c r="K346" s="720"/>
      <c r="L346" s="201"/>
      <c r="M346" s="201"/>
      <c r="N346" s="201"/>
      <c r="O346" s="699" t="str">
        <f>I346/VLOOKUP(K346,Sheet1!$D$7:$N$16,G346+1,FALSE)</f>
        <v>#N/A</v>
      </c>
      <c r="P346" s="684" t="str">
        <f t="shared" si="12"/>
        <v>#REF!</v>
      </c>
      <c r="Q346" s="720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</row>
    <row r="347" ht="30.75" hidden="1" customHeight="1">
      <c r="A347" s="90"/>
      <c r="B347" s="2"/>
      <c r="C347" s="90"/>
      <c r="D347" s="686" t="s">
        <v>257</v>
      </c>
      <c r="E347" s="687" t="s">
        <v>15</v>
      </c>
      <c r="F347" s="721" t="s">
        <v>16</v>
      </c>
      <c r="G347" s="722" t="s">
        <v>17</v>
      </c>
      <c r="H347" s="723"/>
      <c r="I347" s="724"/>
      <c r="J347" s="725" t="s">
        <v>241</v>
      </c>
      <c r="K347" s="691"/>
      <c r="L347" s="692"/>
      <c r="M347" s="692"/>
      <c r="N347" s="692"/>
      <c r="O347" s="699"/>
      <c r="P347" s="684"/>
      <c r="Q347" s="693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</row>
    <row r="348" ht="14.25" hidden="1" customHeight="1">
      <c r="A348" s="90"/>
      <c r="B348" s="2"/>
      <c r="C348" s="90"/>
      <c r="D348" s="257" t="s">
        <v>25</v>
      </c>
      <c r="E348" s="257" t="s">
        <v>26</v>
      </c>
      <c r="F348" s="680"/>
      <c r="G348" s="681"/>
      <c r="H348" s="723"/>
      <c r="I348" s="681"/>
      <c r="J348" s="725" t="s">
        <v>244</v>
      </c>
      <c r="K348" s="697"/>
      <c r="L348" s="692"/>
      <c r="M348" s="692"/>
      <c r="N348" s="692"/>
      <c r="O348" s="699"/>
      <c r="P348" s="684"/>
      <c r="Q348" s="698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</row>
    <row r="349" ht="3.75" hidden="1" customHeight="1">
      <c r="A349" s="191"/>
      <c r="B349" s="719"/>
      <c r="C349" s="192"/>
      <c r="D349" s="203"/>
      <c r="E349" s="203"/>
      <c r="F349" s="726"/>
      <c r="G349" s="726"/>
      <c r="H349" s="726"/>
      <c r="I349" s="727"/>
      <c r="J349" s="728"/>
      <c r="K349" s="192"/>
      <c r="L349" s="194"/>
      <c r="M349" s="194"/>
      <c r="N349" s="194"/>
      <c r="O349" s="699"/>
      <c r="P349" s="684" t="str">
        <f t="shared" ref="P349:P371" si="13">I349-#REF!</f>
        <v>#REF!</v>
      </c>
      <c r="Q349" s="192"/>
      <c r="R349" s="158"/>
      <c r="S349" s="158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</row>
    <row r="350" ht="15.75" hidden="1" customHeight="1">
      <c r="A350" s="124"/>
      <c r="B350" s="2"/>
      <c r="C350" s="124"/>
      <c r="D350" s="185"/>
      <c r="E350" s="732"/>
      <c r="F350" s="187"/>
      <c r="G350" s="187"/>
      <c r="H350" s="187"/>
      <c r="I350" s="164"/>
      <c r="J350" s="266"/>
      <c r="K350" s="183"/>
      <c r="L350" s="183"/>
      <c r="M350" s="183"/>
      <c r="N350" s="183"/>
      <c r="O350" s="699" t="str">
        <f>I350/VLOOKUP(K350,Sheet1!$D$7:$N$16,G350+1,FALSE)</f>
        <v>#N/A</v>
      </c>
      <c r="P350" s="684" t="str">
        <f t="shared" si="13"/>
        <v>#REF!</v>
      </c>
      <c r="Q350" s="730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</row>
    <row r="351" ht="3.75" hidden="1" customHeight="1">
      <c r="A351" s="124"/>
      <c r="B351" s="2"/>
      <c r="C351" s="124"/>
      <c r="D351" s="138"/>
      <c r="E351" s="252"/>
      <c r="F351" s="102"/>
      <c r="G351" s="102"/>
      <c r="H351" s="102"/>
      <c r="I351" s="247"/>
      <c r="J351" s="156"/>
      <c r="K351" s="183"/>
      <c r="L351" s="183"/>
      <c r="M351" s="183"/>
      <c r="N351" s="183"/>
      <c r="O351" s="699" t="str">
        <f>I351/VLOOKUP(K351,Sheet1!$D$7:$N$16,G351+1,FALSE)</f>
        <v>#N/A</v>
      </c>
      <c r="P351" s="684" t="str">
        <f t="shared" si="13"/>
        <v>#REF!</v>
      </c>
      <c r="Q351" s="702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</row>
    <row r="352" ht="15.75" hidden="1" customHeight="1">
      <c r="A352" s="90"/>
      <c r="B352" s="2"/>
      <c r="C352" s="90"/>
      <c r="D352" s="185" t="s">
        <v>51</v>
      </c>
      <c r="E352" s="224"/>
      <c r="F352" s="187">
        <v>4.0</v>
      </c>
      <c r="G352" s="187">
        <v>4.0</v>
      </c>
      <c r="H352" s="187"/>
      <c r="I352" s="164">
        <v>132.5</v>
      </c>
      <c r="J352" s="266">
        <v>7.0</v>
      </c>
      <c r="K352" s="183">
        <v>7.0</v>
      </c>
      <c r="L352" s="183"/>
      <c r="M352" s="183"/>
      <c r="N352" s="183"/>
      <c r="O352" s="699">
        <f>I352/VLOOKUP(K352,Sheet1!$D$7:$N$16,G352+1,FALSE)</f>
        <v>162.5766871</v>
      </c>
      <c r="P352" s="684" t="str">
        <f t="shared" si="13"/>
        <v>#REF!</v>
      </c>
      <c r="Q352" s="702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</row>
    <row r="353" ht="3.75" hidden="1" customHeight="1">
      <c r="A353" s="90"/>
      <c r="B353" s="2"/>
      <c r="C353" s="90"/>
      <c r="D353" s="138"/>
      <c r="E353" s="252"/>
      <c r="F353" s="102"/>
      <c r="G353" s="102"/>
      <c r="H353" s="102"/>
      <c r="I353" s="247"/>
      <c r="J353" s="156"/>
      <c r="K353" s="183"/>
      <c r="L353" s="183"/>
      <c r="M353" s="183"/>
      <c r="N353" s="183"/>
      <c r="O353" s="699" t="str">
        <f>I353/VLOOKUP(K353,Sheet1!$D$7:$N$16,G353+1,FALSE)</f>
        <v>#N/A</v>
      </c>
      <c r="P353" s="684" t="str">
        <f t="shared" si="13"/>
        <v>#REF!</v>
      </c>
      <c r="Q353" s="702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</row>
    <row r="354" ht="15.75" hidden="1" customHeight="1">
      <c r="A354" s="90"/>
      <c r="B354" s="2"/>
      <c r="C354" s="90"/>
      <c r="D354" s="185" t="s">
        <v>119</v>
      </c>
      <c r="E354" s="264"/>
      <c r="F354" s="187">
        <v>3.0</v>
      </c>
      <c r="G354" s="187">
        <v>12.0</v>
      </c>
      <c r="H354" s="187"/>
      <c r="I354" s="164">
        <v>80.0</v>
      </c>
      <c r="J354" s="266">
        <v>8.0</v>
      </c>
      <c r="K354" s="183">
        <v>8.0</v>
      </c>
      <c r="L354" s="183"/>
      <c r="M354" s="183"/>
      <c r="N354" s="183"/>
      <c r="O354" s="699" t="str">
        <f>I354/VLOOKUP(K354,Sheet1!$D$7:$N$16,G354+1,FALSE)</f>
        <v>#REF!</v>
      </c>
      <c r="P354" s="684" t="str">
        <f t="shared" si="13"/>
        <v>#REF!</v>
      </c>
      <c r="Q354" s="702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</row>
    <row r="355" ht="3.75" hidden="1" customHeight="1">
      <c r="A355" s="90"/>
      <c r="B355" s="2"/>
      <c r="C355" s="90"/>
      <c r="D355" s="138"/>
      <c r="E355" s="252"/>
      <c r="F355" s="102"/>
      <c r="G355" s="102"/>
      <c r="H355" s="102"/>
      <c r="I355" s="247"/>
      <c r="J355" s="156"/>
      <c r="K355" s="183"/>
      <c r="L355" s="183"/>
      <c r="M355" s="183"/>
      <c r="N355" s="183"/>
      <c r="O355" s="699" t="str">
        <f>I355/VLOOKUP(K355,Sheet1!$D$7:$N$16,G355+1,FALSE)</f>
        <v>#N/A</v>
      </c>
      <c r="P355" s="684" t="str">
        <f t="shared" si="13"/>
        <v>#REF!</v>
      </c>
      <c r="Q355" s="702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</row>
    <row r="356" ht="15.75" hidden="1" customHeight="1">
      <c r="A356" s="90"/>
      <c r="B356" s="2"/>
      <c r="C356" s="90"/>
      <c r="D356" s="185" t="s">
        <v>275</v>
      </c>
      <c r="E356" s="260"/>
      <c r="F356" s="187">
        <v>3.0</v>
      </c>
      <c r="G356" s="731" t="s">
        <v>251</v>
      </c>
      <c r="H356" s="187"/>
      <c r="I356" s="164"/>
      <c r="J356" s="266">
        <v>8.0</v>
      </c>
      <c r="K356" s="183">
        <v>9.0</v>
      </c>
      <c r="L356" s="183"/>
      <c r="M356" s="183"/>
      <c r="N356" s="183"/>
      <c r="O356" s="699" t="str">
        <f>I356/VLOOKUP(K356,Sheet1!$D$7:$N$16,G356+1,FALSE)</f>
        <v>#REF!</v>
      </c>
      <c r="P356" s="684" t="str">
        <f t="shared" si="13"/>
        <v>#REF!</v>
      </c>
      <c r="Q356" s="702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</row>
    <row r="357" ht="3.75" hidden="1" customHeight="1">
      <c r="A357" s="90"/>
      <c r="B357" s="2"/>
      <c r="C357" s="90"/>
      <c r="D357" s="138"/>
      <c r="E357" s="252"/>
      <c r="F357" s="102"/>
      <c r="G357" s="102"/>
      <c r="H357" s="102"/>
      <c r="I357" s="247"/>
      <c r="J357" s="156"/>
      <c r="K357" s="183"/>
      <c r="L357" s="183"/>
      <c r="M357" s="183"/>
      <c r="N357" s="183"/>
      <c r="O357" s="699" t="str">
        <f>I357/VLOOKUP(K357,Sheet1!$D$7:$N$16,G357+1,FALSE)</f>
        <v>#N/A</v>
      </c>
      <c r="P357" s="684" t="str">
        <f t="shared" si="13"/>
        <v>#REF!</v>
      </c>
      <c r="Q357" s="702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</row>
    <row r="358" ht="15.75" hidden="1" customHeight="1">
      <c r="A358" s="90"/>
      <c r="B358" s="2"/>
      <c r="C358" s="90"/>
      <c r="D358" s="185" t="s">
        <v>276</v>
      </c>
      <c r="E358" s="260"/>
      <c r="F358" s="187">
        <v>3.0</v>
      </c>
      <c r="G358" s="731" t="s">
        <v>251</v>
      </c>
      <c r="H358" s="187"/>
      <c r="I358" s="164"/>
      <c r="J358" s="266">
        <v>8.0</v>
      </c>
      <c r="K358" s="183"/>
      <c r="L358" s="183"/>
      <c r="M358" s="183"/>
      <c r="N358" s="183"/>
      <c r="O358" s="699" t="str">
        <f>I358/VLOOKUP(K358,Sheet1!$D$7:$N$16,G358+1,FALSE)</f>
        <v>#REF!</v>
      </c>
      <c r="P358" s="684" t="str">
        <f t="shared" si="13"/>
        <v>#REF!</v>
      </c>
      <c r="Q358" s="702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</row>
    <row r="359" ht="3.75" hidden="1" customHeight="1">
      <c r="A359" s="90"/>
      <c r="B359" s="2"/>
      <c r="C359" s="90"/>
      <c r="D359" s="138"/>
      <c r="E359" s="252"/>
      <c r="F359" s="102"/>
      <c r="G359" s="102"/>
      <c r="H359" s="102"/>
      <c r="I359" s="247"/>
      <c r="J359" s="156"/>
      <c r="K359" s="183"/>
      <c r="L359" s="183"/>
      <c r="M359" s="183"/>
      <c r="N359" s="183"/>
      <c r="O359" s="699" t="str">
        <f>I359/VLOOKUP(K359,Sheet1!$D$7:$N$16,G359+1,FALSE)</f>
        <v>#N/A</v>
      </c>
      <c r="P359" s="684" t="str">
        <f t="shared" si="13"/>
        <v>#REF!</v>
      </c>
      <c r="Q359" s="702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</row>
    <row r="360" ht="15.75" hidden="1" customHeight="1">
      <c r="A360" s="90"/>
      <c r="B360" s="2"/>
      <c r="C360" s="90"/>
      <c r="D360" s="185" t="s">
        <v>277</v>
      </c>
      <c r="E360" s="260"/>
      <c r="F360" s="187">
        <v>3.0</v>
      </c>
      <c r="G360" s="731" t="s">
        <v>251</v>
      </c>
      <c r="H360" s="187"/>
      <c r="I360" s="164"/>
      <c r="J360" s="266">
        <v>8.0</v>
      </c>
      <c r="K360" s="183">
        <v>9.0</v>
      </c>
      <c r="L360" s="183"/>
      <c r="M360" s="183"/>
      <c r="N360" s="183"/>
      <c r="O360" s="699" t="str">
        <f>I360/VLOOKUP(K360,Sheet1!$D$7:$N$16,G360+1,FALSE)</f>
        <v>#REF!</v>
      </c>
      <c r="P360" s="684" t="str">
        <f t="shared" si="13"/>
        <v>#REF!</v>
      </c>
      <c r="Q360" s="702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</row>
    <row r="361" ht="3.75" hidden="1" customHeight="1">
      <c r="A361" s="90"/>
      <c r="B361" s="2"/>
      <c r="C361" s="90"/>
      <c r="D361" s="138"/>
      <c r="E361" s="252"/>
      <c r="F361" s="102"/>
      <c r="G361" s="102"/>
      <c r="H361" s="102"/>
      <c r="I361" s="247"/>
      <c r="J361" s="267"/>
      <c r="K361" s="183"/>
      <c r="L361" s="183"/>
      <c r="M361" s="183"/>
      <c r="N361" s="183"/>
      <c r="O361" s="699" t="str">
        <f>I361/VLOOKUP(K361,Sheet1!$D$7:$N$16,G361+1,FALSE)</f>
        <v>#N/A</v>
      </c>
      <c r="P361" s="684" t="str">
        <f t="shared" si="13"/>
        <v>#REF!</v>
      </c>
      <c r="Q361" s="702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</row>
    <row r="362" ht="20.25" hidden="1" customHeight="1">
      <c r="A362" s="90"/>
      <c r="B362" s="2"/>
      <c r="C362" s="90"/>
      <c r="D362" s="185" t="s">
        <v>54</v>
      </c>
      <c r="E362" s="264"/>
      <c r="F362" s="187">
        <v>3.0</v>
      </c>
      <c r="G362" s="731" t="s">
        <v>251</v>
      </c>
      <c r="H362" s="187"/>
      <c r="I362" s="164"/>
      <c r="J362" s="266">
        <v>8.0</v>
      </c>
      <c r="K362" s="183">
        <v>8.0</v>
      </c>
      <c r="L362" s="183"/>
      <c r="M362" s="183"/>
      <c r="N362" s="183"/>
      <c r="O362" s="699" t="str">
        <f>I362/VLOOKUP(K362,Sheet1!$D$7:$N$16,G362+1,FALSE)</f>
        <v>#REF!</v>
      </c>
      <c r="P362" s="684" t="str">
        <f t="shared" si="13"/>
        <v>#REF!</v>
      </c>
      <c r="Q362" s="702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</row>
    <row r="363" ht="3.75" hidden="1" customHeight="1">
      <c r="A363" s="191"/>
      <c r="B363" s="719"/>
      <c r="C363" s="192"/>
      <c r="D363" s="138"/>
      <c r="E363" s="252"/>
      <c r="F363" s="102"/>
      <c r="G363" s="102"/>
      <c r="H363" s="102"/>
      <c r="I363" s="247"/>
      <c r="J363" s="156"/>
      <c r="K363" s="183"/>
      <c r="L363" s="183"/>
      <c r="M363" s="183"/>
      <c r="N363" s="183"/>
      <c r="O363" s="699" t="str">
        <f>I363/VLOOKUP(K363,Sheet1!$D$7:$N$16,G363+1,FALSE)</f>
        <v>#N/A</v>
      </c>
      <c r="P363" s="684" t="str">
        <f t="shared" si="13"/>
        <v>#REF!</v>
      </c>
      <c r="Q363" s="702"/>
      <c r="R363" s="158"/>
      <c r="S363" s="158"/>
      <c r="T363" s="158"/>
      <c r="U363" s="158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</row>
    <row r="364" ht="15.75" hidden="1" customHeight="1">
      <c r="A364" s="90"/>
      <c r="B364" s="2"/>
      <c r="C364" s="90"/>
      <c r="D364" s="185" t="s">
        <v>278</v>
      </c>
      <c r="E364" s="260"/>
      <c r="F364" s="187">
        <v>3.0</v>
      </c>
      <c r="G364" s="731" t="s">
        <v>251</v>
      </c>
      <c r="H364" s="187"/>
      <c r="I364" s="164"/>
      <c r="J364" s="266">
        <v>8.0</v>
      </c>
      <c r="K364" s="183">
        <v>7.0</v>
      </c>
      <c r="L364" s="183"/>
      <c r="M364" s="183"/>
      <c r="N364" s="183"/>
      <c r="O364" s="699" t="str">
        <f>I364/VLOOKUP(K364,Sheet1!$D$7:$N$16,G364+1,FALSE)</f>
        <v>#REF!</v>
      </c>
      <c r="P364" s="684" t="str">
        <f t="shared" si="13"/>
        <v>#REF!</v>
      </c>
      <c r="Q364" s="702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</row>
    <row r="365" ht="3.75" hidden="1" customHeight="1">
      <c r="A365" s="90"/>
      <c r="B365" s="2"/>
      <c r="C365" s="90"/>
      <c r="D365" s="138"/>
      <c r="E365" s="252"/>
      <c r="F365" s="102"/>
      <c r="G365" s="102"/>
      <c r="H365" s="102"/>
      <c r="I365" s="247"/>
      <c r="J365" s="156"/>
      <c r="K365" s="183"/>
      <c r="L365" s="183"/>
      <c r="M365" s="183"/>
      <c r="N365" s="183"/>
      <c r="O365" s="699" t="str">
        <f>I365/VLOOKUP(K365,Sheet1!$D$7:$N$16,G365+1,FALSE)</f>
        <v>#N/A</v>
      </c>
      <c r="P365" s="684" t="str">
        <f t="shared" si="13"/>
        <v>#REF!</v>
      </c>
      <c r="Q365" s="702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</row>
    <row r="366" ht="15.75" hidden="1" customHeight="1">
      <c r="A366" s="90"/>
      <c r="B366" s="2"/>
      <c r="C366" s="90"/>
      <c r="D366" s="185"/>
      <c r="E366" s="266"/>
      <c r="F366" s="187"/>
      <c r="G366" s="187"/>
      <c r="H366" s="187"/>
      <c r="I366" s="164"/>
      <c r="J366" s="266"/>
      <c r="K366" s="183"/>
      <c r="L366" s="183"/>
      <c r="M366" s="183"/>
      <c r="N366" s="183"/>
      <c r="O366" s="699" t="str">
        <f>I366/VLOOKUP(K366,Sheet1!$D$7:$N$16,G366+1,FALSE)</f>
        <v>#N/A</v>
      </c>
      <c r="P366" s="684" t="str">
        <f t="shared" si="13"/>
        <v>#REF!</v>
      </c>
      <c r="Q366" s="702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</row>
    <row r="367" ht="3.75" hidden="1" customHeight="1">
      <c r="A367" s="191"/>
      <c r="B367" s="719"/>
      <c r="C367" s="192"/>
      <c r="D367" s="138"/>
      <c r="E367" s="267"/>
      <c r="F367" s="194"/>
      <c r="G367" s="194"/>
      <c r="H367" s="194"/>
      <c r="I367" s="164"/>
      <c r="J367" s="267"/>
      <c r="K367" s="183"/>
      <c r="L367" s="183"/>
      <c r="M367" s="183"/>
      <c r="N367" s="183"/>
      <c r="O367" s="699" t="str">
        <f>I367/VLOOKUP(K367,Sheet1!$D$7:$N$16,G367+1,FALSE)</f>
        <v>#N/A</v>
      </c>
      <c r="P367" s="684" t="str">
        <f t="shared" si="13"/>
        <v>#REF!</v>
      </c>
      <c r="Q367" s="702"/>
      <c r="R367" s="158"/>
      <c r="S367" s="158"/>
      <c r="T367" s="158"/>
      <c r="U367" s="158"/>
      <c r="V367" s="158"/>
      <c r="W367" s="158"/>
      <c r="X367" s="158"/>
      <c r="Y367" s="158"/>
      <c r="Z367" s="158"/>
      <c r="AA367" s="158"/>
      <c r="AB367" s="158"/>
      <c r="AC367" s="158"/>
      <c r="AD367" s="158"/>
      <c r="AE367" s="158"/>
      <c r="AF367" s="158"/>
    </row>
    <row r="368" ht="15.75" hidden="1" customHeight="1">
      <c r="A368" s="90"/>
      <c r="B368" s="2"/>
      <c r="C368" s="90"/>
      <c r="D368" s="185"/>
      <c r="E368" s="266"/>
      <c r="F368" s="187"/>
      <c r="G368" s="187"/>
      <c r="H368" s="187"/>
      <c r="I368" s="164"/>
      <c r="J368" s="266"/>
      <c r="K368" s="183"/>
      <c r="L368" s="183"/>
      <c r="M368" s="183"/>
      <c r="N368" s="183"/>
      <c r="O368" s="699" t="str">
        <f>I368/VLOOKUP(K368,Sheet1!$D$7:$N$16,G368+1,FALSE)</f>
        <v>#N/A</v>
      </c>
      <c r="P368" s="684" t="str">
        <f t="shared" si="13"/>
        <v>#REF!</v>
      </c>
      <c r="Q368" s="702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</row>
    <row r="369" ht="3.75" hidden="1" customHeight="1">
      <c r="A369" s="90"/>
      <c r="B369" s="2"/>
      <c r="C369" s="90"/>
      <c r="D369" s="252"/>
      <c r="E369" s="252"/>
      <c r="F369" s="102"/>
      <c r="G369" s="102"/>
      <c r="H369" s="102"/>
      <c r="I369" s="247"/>
      <c r="J369" s="156"/>
      <c r="K369" s="733"/>
      <c r="L369" s="734"/>
      <c r="M369" s="734"/>
      <c r="N369" s="734"/>
      <c r="O369" s="699" t="str">
        <f>I369/VLOOKUP(K369,Sheet1!$D$7:$N$16,G369+1,FALSE)</f>
        <v>#N/A</v>
      </c>
      <c r="P369" s="684" t="str">
        <f t="shared" si="13"/>
        <v>#REF!</v>
      </c>
      <c r="Q369" s="702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</row>
    <row r="370" ht="0.75" hidden="1" customHeight="1">
      <c r="A370" s="90"/>
      <c r="B370" s="2"/>
      <c r="C370" s="90"/>
      <c r="D370" s="274"/>
      <c r="E370" s="266"/>
      <c r="F370" s="187"/>
      <c r="G370" s="187"/>
      <c r="H370" s="187"/>
      <c r="I370" s="164"/>
      <c r="J370" s="266"/>
      <c r="K370" s="733"/>
      <c r="L370" s="734"/>
      <c r="M370" s="734"/>
      <c r="N370" s="734"/>
      <c r="O370" s="699" t="str">
        <f>I370/VLOOKUP(K370,Sheet1!$D$7:$N$16,G370+1,FALSE)</f>
        <v>#N/A</v>
      </c>
      <c r="P370" s="684" t="str">
        <f t="shared" si="13"/>
        <v>#REF!</v>
      </c>
      <c r="Q370" s="697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</row>
    <row r="371" ht="3.75" hidden="1" customHeight="1">
      <c r="A371" s="90"/>
      <c r="B371" s="2"/>
      <c r="C371" s="90"/>
      <c r="D371" s="90"/>
      <c r="E371" s="156"/>
      <c r="F371" s="102"/>
      <c r="G371" s="102"/>
      <c r="H371" s="102"/>
      <c r="I371" s="102"/>
      <c r="J371" s="156"/>
      <c r="K371" s="720"/>
      <c r="L371" s="201"/>
      <c r="M371" s="201"/>
      <c r="N371" s="201"/>
      <c r="O371" s="699"/>
      <c r="P371" s="684" t="str">
        <f t="shared" si="13"/>
        <v>#REF!</v>
      </c>
      <c r="Q371" s="720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</row>
    <row r="372" ht="30.0" hidden="1" customHeight="1">
      <c r="A372" s="90"/>
      <c r="B372" s="2"/>
      <c r="C372" s="90"/>
      <c r="D372" s="686" t="s">
        <v>281</v>
      </c>
      <c r="E372" s="687" t="s">
        <v>15</v>
      </c>
      <c r="F372" s="721" t="s">
        <v>16</v>
      </c>
      <c r="G372" s="722" t="s">
        <v>17</v>
      </c>
      <c r="H372" s="723"/>
      <c r="I372" s="724"/>
      <c r="J372" s="725" t="s">
        <v>241</v>
      </c>
      <c r="K372" s="691"/>
      <c r="L372" s="692"/>
      <c r="M372" s="692"/>
      <c r="N372" s="692"/>
      <c r="O372" s="699"/>
      <c r="P372" s="684"/>
      <c r="Q372" s="693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</row>
    <row r="373" ht="14.25" hidden="1" customHeight="1">
      <c r="A373" s="90"/>
      <c r="B373" s="2"/>
      <c r="C373" s="90"/>
      <c r="D373" s="257" t="s">
        <v>25</v>
      </c>
      <c r="E373" s="257" t="s">
        <v>26</v>
      </c>
      <c r="F373" s="680"/>
      <c r="G373" s="681"/>
      <c r="H373" s="723"/>
      <c r="I373" s="681"/>
      <c r="J373" s="725" t="s">
        <v>244</v>
      </c>
      <c r="K373" s="697"/>
      <c r="L373" s="692"/>
      <c r="M373" s="692"/>
      <c r="N373" s="692"/>
      <c r="O373" s="699"/>
      <c r="P373" s="684"/>
      <c r="Q373" s="698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</row>
    <row r="374" ht="3.75" hidden="1" customHeight="1">
      <c r="A374" s="191"/>
      <c r="B374" s="719"/>
      <c r="C374" s="192"/>
      <c r="D374" s="203"/>
      <c r="E374" s="203"/>
      <c r="F374" s="726"/>
      <c r="G374" s="726"/>
      <c r="H374" s="726"/>
      <c r="I374" s="727"/>
      <c r="J374" s="728"/>
      <c r="K374" s="192"/>
      <c r="L374" s="194"/>
      <c r="M374" s="194"/>
      <c r="N374" s="194"/>
      <c r="O374" s="699" t="str">
        <f>I374/VLOOKUP(K374,Sheet1!$D$7:$N$16,G374+1,FALSE)</f>
        <v>#N/A</v>
      </c>
      <c r="P374" s="684" t="str">
        <f t="shared" ref="P374:P394" si="14">I374-#REF!</f>
        <v>#REF!</v>
      </c>
      <c r="Q374" s="192"/>
      <c r="R374" s="158"/>
      <c r="S374" s="158"/>
      <c r="T374" s="158"/>
      <c r="U374" s="158"/>
      <c r="V374" s="158"/>
      <c r="W374" s="158"/>
      <c r="X374" s="158"/>
      <c r="Y374" s="158"/>
      <c r="Z374" s="158"/>
      <c r="AA374" s="158"/>
      <c r="AB374" s="158"/>
      <c r="AC374" s="158"/>
      <c r="AD374" s="158"/>
      <c r="AE374" s="158"/>
      <c r="AF374" s="158"/>
    </row>
    <row r="375" ht="15.75" hidden="1" customHeight="1">
      <c r="A375" s="124"/>
      <c r="B375" s="2"/>
      <c r="C375" s="124"/>
      <c r="D375" s="185" t="s">
        <v>6</v>
      </c>
      <c r="E375" s="260"/>
      <c r="F375" s="187">
        <v>1.0</v>
      </c>
      <c r="G375" s="187">
        <v>5.0</v>
      </c>
      <c r="H375" s="187"/>
      <c r="I375" s="164">
        <v>200.0</v>
      </c>
      <c r="J375" s="266">
        <v>7.0</v>
      </c>
      <c r="K375" s="164">
        <v>8.0</v>
      </c>
      <c r="L375" s="164"/>
      <c r="M375" s="164"/>
      <c r="N375" s="164"/>
      <c r="O375" s="699">
        <f>I375/VLOOKUP(K375,Sheet1!$D$7:$N$16,G375+1,FALSE)</f>
        <v>245.398773</v>
      </c>
      <c r="P375" s="684" t="str">
        <f t="shared" si="14"/>
        <v>#REF!</v>
      </c>
      <c r="Q375" s="700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</row>
    <row r="376" ht="3.75" hidden="1" customHeight="1">
      <c r="A376" s="124"/>
      <c r="B376" s="2"/>
      <c r="C376" s="124"/>
      <c r="D376" s="138"/>
      <c r="E376" s="252"/>
      <c r="F376" s="140"/>
      <c r="G376" s="140"/>
      <c r="H376" s="140"/>
      <c r="I376" s="701"/>
      <c r="J376" s="141"/>
      <c r="K376" s="164"/>
      <c r="L376" s="164"/>
      <c r="M376" s="164"/>
      <c r="N376" s="164"/>
      <c r="O376" s="699" t="str">
        <f>I376/VLOOKUP(K376,Sheet1!$D$7:$N$16,G376+1,FALSE)</f>
        <v>#N/A</v>
      </c>
      <c r="P376" s="684" t="str">
        <f t="shared" si="14"/>
        <v>#REF!</v>
      </c>
      <c r="Q376" s="702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</row>
    <row r="377" ht="15.0" hidden="1" customHeight="1">
      <c r="A377" s="124"/>
      <c r="B377" s="2"/>
      <c r="C377" s="124"/>
      <c r="D377" s="704" t="s">
        <v>6</v>
      </c>
      <c r="E377" s="260"/>
      <c r="F377" s="187">
        <v>3.0</v>
      </c>
      <c r="G377" s="187">
        <v>5.0</v>
      </c>
      <c r="H377" s="187"/>
      <c r="I377" s="164">
        <v>175.0</v>
      </c>
      <c r="J377" s="706">
        <v>-0.12</v>
      </c>
      <c r="K377" s="164">
        <v>6.5</v>
      </c>
      <c r="L377" s="164"/>
      <c r="M377" s="164"/>
      <c r="N377" s="164"/>
      <c r="O377" s="699">
        <f>I377/VLOOKUP(K377,Sheet1!$D$7:$N$16,G377+1,FALSE)</f>
        <v>225.0803859</v>
      </c>
      <c r="P377" s="684" t="str">
        <f t="shared" si="14"/>
        <v>#REF!</v>
      </c>
      <c r="Q377" s="702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</row>
    <row r="378" ht="3.75" hidden="1" customHeight="1">
      <c r="A378" s="124"/>
      <c r="B378" s="2"/>
      <c r="C378" s="124"/>
      <c r="D378" s="138"/>
      <c r="E378" s="252"/>
      <c r="F378" s="102"/>
      <c r="G378" s="102"/>
      <c r="H378" s="102"/>
      <c r="I378" s="247"/>
      <c r="J378" s="156"/>
      <c r="K378" s="164"/>
      <c r="L378" s="164"/>
      <c r="M378" s="164"/>
      <c r="N378" s="164"/>
      <c r="O378" s="699" t="str">
        <f>I378/VLOOKUP(K378,Sheet1!$D$7:$N$16,G378+1,FALSE)</f>
        <v>#N/A</v>
      </c>
      <c r="P378" s="684" t="str">
        <f t="shared" si="14"/>
        <v>#REF!</v>
      </c>
      <c r="Q378" s="702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</row>
    <row r="379" ht="15.75" hidden="1" customHeight="1">
      <c r="A379" s="124"/>
      <c r="B379" s="2"/>
      <c r="C379" s="124"/>
      <c r="D379" s="704"/>
      <c r="E379" s="260"/>
      <c r="F379" s="187"/>
      <c r="G379" s="187"/>
      <c r="H379" s="187"/>
      <c r="I379" s="164"/>
      <c r="J379" s="706"/>
      <c r="K379" s="164"/>
      <c r="L379" s="164"/>
      <c r="M379" s="164"/>
      <c r="N379" s="164"/>
      <c r="O379" s="699" t="str">
        <f>I379/VLOOKUP(K379,Sheet1!$D$7:$N$16,G379+1,FALSE)</f>
        <v>#N/A</v>
      </c>
      <c r="P379" s="684" t="str">
        <f t="shared" si="14"/>
        <v>#REF!</v>
      </c>
      <c r="Q379" s="702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</row>
    <row r="380" ht="3.75" hidden="1" customHeight="1">
      <c r="A380" s="124"/>
      <c r="B380" s="2"/>
      <c r="C380" s="124"/>
      <c r="D380" s="138"/>
      <c r="E380" s="252"/>
      <c r="F380" s="102"/>
      <c r="G380" s="102"/>
      <c r="H380" s="102"/>
      <c r="I380" s="247"/>
      <c r="J380" s="156"/>
      <c r="K380" s="164"/>
      <c r="L380" s="164"/>
      <c r="M380" s="164"/>
      <c r="N380" s="164"/>
      <c r="O380" s="699" t="str">
        <f>I380/VLOOKUP(K380,Sheet1!$D$7:$N$16,G380+1,FALSE)</f>
        <v>#N/A</v>
      </c>
      <c r="P380" s="684" t="str">
        <f t="shared" si="14"/>
        <v>#REF!</v>
      </c>
      <c r="Q380" s="702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</row>
    <row r="381" ht="15.75" hidden="1" customHeight="1">
      <c r="A381" s="124"/>
      <c r="B381" s="2"/>
      <c r="C381" s="124"/>
      <c r="D381" s="185" t="s">
        <v>51</v>
      </c>
      <c r="E381" s="260"/>
      <c r="F381" s="187">
        <v>1.0</v>
      </c>
      <c r="G381" s="187">
        <v>2.0</v>
      </c>
      <c r="H381" s="187"/>
      <c r="I381" s="164">
        <v>150.0</v>
      </c>
      <c r="J381" s="266">
        <v>7.0</v>
      </c>
      <c r="K381" s="164">
        <v>7.5</v>
      </c>
      <c r="L381" s="164"/>
      <c r="M381" s="164"/>
      <c r="N381" s="164"/>
      <c r="O381" s="699">
        <f>I381/VLOOKUP(K381,Sheet1!$D$7:$N$16,G381+1,FALSE)</f>
        <v>170.9401709</v>
      </c>
      <c r="P381" s="684" t="str">
        <f t="shared" si="14"/>
        <v>#REF!</v>
      </c>
      <c r="Q381" s="702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</row>
    <row r="382" ht="3.75" hidden="1" customHeight="1">
      <c r="A382" s="90"/>
      <c r="B382" s="2"/>
      <c r="C382" s="90"/>
      <c r="D382" s="138"/>
      <c r="E382" s="252"/>
      <c r="F382" s="102"/>
      <c r="G382" s="102"/>
      <c r="H382" s="102"/>
      <c r="I382" s="247"/>
      <c r="J382" s="156"/>
      <c r="K382" s="164"/>
      <c r="L382" s="164"/>
      <c r="M382" s="164"/>
      <c r="N382" s="164"/>
      <c r="O382" s="699" t="str">
        <f>I382/VLOOKUP(K382,Sheet1!$D$7:$N$16,G382+1,FALSE)</f>
        <v>#N/A</v>
      </c>
      <c r="P382" s="684" t="str">
        <f t="shared" si="14"/>
        <v>#REF!</v>
      </c>
      <c r="Q382" s="702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</row>
    <row r="383" ht="15.75" hidden="1" customHeight="1">
      <c r="A383" s="90"/>
      <c r="B383" s="2"/>
      <c r="C383" s="90"/>
      <c r="D383" s="185" t="s">
        <v>51</v>
      </c>
      <c r="E383" s="260"/>
      <c r="F383" s="187">
        <v>4.0</v>
      </c>
      <c r="G383" s="187">
        <v>4.0</v>
      </c>
      <c r="H383" s="187"/>
      <c r="I383" s="164">
        <v>130.0</v>
      </c>
      <c r="J383" s="706">
        <v>-0.12</v>
      </c>
      <c r="K383" s="164">
        <v>6.5</v>
      </c>
      <c r="L383" s="164"/>
      <c r="M383" s="164"/>
      <c r="N383" s="164"/>
      <c r="O383" s="699">
        <f>I383/VLOOKUP(K383,Sheet1!$D$7:$N$16,G383+1,FALSE)</f>
        <v>161.9937695</v>
      </c>
      <c r="P383" s="684" t="str">
        <f t="shared" si="14"/>
        <v>#REF!</v>
      </c>
      <c r="Q383" s="702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</row>
    <row r="384" ht="3.75" hidden="1" customHeight="1">
      <c r="A384" s="191"/>
      <c r="B384" s="719"/>
      <c r="C384" s="192"/>
      <c r="D384" s="138"/>
      <c r="E384" s="252"/>
      <c r="F384" s="102"/>
      <c r="G384" s="102"/>
      <c r="H384" s="102"/>
      <c r="I384" s="247"/>
      <c r="J384" s="156"/>
      <c r="K384" s="164"/>
      <c r="L384" s="164"/>
      <c r="M384" s="164"/>
      <c r="N384" s="164"/>
      <c r="O384" s="699" t="str">
        <f>I384/VLOOKUP(K384,Sheet1!$D$7:$N$16,G384+1,FALSE)</f>
        <v>#N/A</v>
      </c>
      <c r="P384" s="684" t="str">
        <f t="shared" si="14"/>
        <v>#REF!</v>
      </c>
      <c r="Q384" s="702"/>
      <c r="R384" s="158"/>
      <c r="S384" s="158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</row>
    <row r="385" ht="15.75" hidden="1" customHeight="1">
      <c r="A385" s="90"/>
      <c r="B385" s="2"/>
      <c r="C385" s="90"/>
      <c r="D385" s="185" t="s">
        <v>259</v>
      </c>
      <c r="E385" s="260"/>
      <c r="F385" s="187">
        <v>3.0</v>
      </c>
      <c r="G385" s="731" t="s">
        <v>260</v>
      </c>
      <c r="H385" s="187"/>
      <c r="I385" s="164"/>
      <c r="J385" s="266">
        <v>7.0</v>
      </c>
      <c r="K385" s="164">
        <v>7.0</v>
      </c>
      <c r="L385" s="164"/>
      <c r="M385" s="164"/>
      <c r="N385" s="164"/>
      <c r="O385" s="699" t="str">
        <f>I385/VLOOKUP(K385,Sheet1!$D$7:$N$16,G385+1,FALSE)</f>
        <v>#REF!</v>
      </c>
      <c r="P385" s="684" t="str">
        <f t="shared" si="14"/>
        <v>#REF!</v>
      </c>
      <c r="Q385" s="702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</row>
    <row r="386" ht="3.75" hidden="1" customHeight="1">
      <c r="A386" s="90"/>
      <c r="B386" s="2"/>
      <c r="C386" s="90"/>
      <c r="D386" s="138"/>
      <c r="E386" s="252"/>
      <c r="F386" s="102"/>
      <c r="G386" s="102"/>
      <c r="H386" s="102"/>
      <c r="I386" s="247"/>
      <c r="J386" s="156"/>
      <c r="K386" s="164"/>
      <c r="L386" s="164"/>
      <c r="M386" s="164"/>
      <c r="N386" s="164"/>
      <c r="O386" s="699" t="str">
        <f>I386/VLOOKUP(K386,Sheet1!$D$7:$N$16,G386+1,FALSE)</f>
        <v>#N/A</v>
      </c>
      <c r="P386" s="684" t="str">
        <f t="shared" si="14"/>
        <v>#REF!</v>
      </c>
      <c r="Q386" s="702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</row>
    <row r="387" ht="15.75" hidden="1" customHeight="1">
      <c r="A387" s="90"/>
      <c r="B387" s="2"/>
      <c r="C387" s="90"/>
      <c r="D387" s="185" t="s">
        <v>261</v>
      </c>
      <c r="E387" s="260"/>
      <c r="F387" s="187">
        <v>3.0</v>
      </c>
      <c r="G387" s="731" t="s">
        <v>260</v>
      </c>
      <c r="H387" s="187"/>
      <c r="I387" s="164"/>
      <c r="J387" s="266">
        <v>8.0</v>
      </c>
      <c r="K387" s="164">
        <v>8.0</v>
      </c>
      <c r="L387" s="164"/>
      <c r="M387" s="164"/>
      <c r="N387" s="164"/>
      <c r="O387" s="699" t="str">
        <f>I387/VLOOKUP(K387,Sheet1!$D$7:$N$16,G387+1,FALSE)</f>
        <v>#REF!</v>
      </c>
      <c r="P387" s="684" t="str">
        <f t="shared" si="14"/>
        <v>#REF!</v>
      </c>
      <c r="Q387" s="702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</row>
    <row r="388" ht="3.75" hidden="1" customHeight="1">
      <c r="A388" s="90"/>
      <c r="B388" s="2"/>
      <c r="C388" s="90"/>
      <c r="D388" s="138"/>
      <c r="E388" s="252"/>
      <c r="F388" s="102"/>
      <c r="G388" s="102"/>
      <c r="H388" s="102"/>
      <c r="I388" s="247"/>
      <c r="J388" s="156"/>
      <c r="K388" s="164"/>
      <c r="L388" s="164"/>
      <c r="M388" s="164"/>
      <c r="N388" s="164"/>
      <c r="O388" s="699" t="str">
        <f>I388/VLOOKUP(K388,Sheet1!$D$7:$N$16,G388+1,FALSE)</f>
        <v>#N/A</v>
      </c>
      <c r="P388" s="684" t="str">
        <f t="shared" si="14"/>
        <v>#REF!</v>
      </c>
      <c r="Q388" s="702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</row>
    <row r="389" ht="15.75" hidden="1" customHeight="1">
      <c r="A389" s="90"/>
      <c r="B389" s="2"/>
      <c r="C389" s="90"/>
      <c r="D389" s="185" t="s">
        <v>262</v>
      </c>
      <c r="E389" s="260"/>
      <c r="F389" s="187">
        <v>3.0</v>
      </c>
      <c r="G389" s="731" t="s">
        <v>260</v>
      </c>
      <c r="H389" s="187"/>
      <c r="I389" s="247"/>
      <c r="J389" s="735">
        <v>8.0</v>
      </c>
      <c r="K389" s="164">
        <v>8.0</v>
      </c>
      <c r="L389" s="164"/>
      <c r="M389" s="164"/>
      <c r="N389" s="164"/>
      <c r="O389" s="699" t="str">
        <f>I389/VLOOKUP(K389,Sheet1!$D$7:$N$16,G389+1,FALSE)</f>
        <v>#REF!</v>
      </c>
      <c r="P389" s="684" t="str">
        <f t="shared" si="14"/>
        <v>#REF!</v>
      </c>
      <c r="Q389" s="702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</row>
    <row r="390" ht="3.75" hidden="1" customHeight="1">
      <c r="A390" s="90"/>
      <c r="B390" s="2"/>
      <c r="C390" s="90"/>
      <c r="D390" s="138"/>
      <c r="E390" s="252"/>
      <c r="F390" s="102"/>
      <c r="G390" s="102"/>
      <c r="H390" s="102"/>
      <c r="I390" s="247"/>
      <c r="J390" s="156"/>
      <c r="K390" s="164"/>
      <c r="L390" s="164"/>
      <c r="M390" s="164"/>
      <c r="N390" s="164"/>
      <c r="O390" s="699" t="str">
        <f>I390/VLOOKUP(K390,Sheet1!$D$7:$N$16,G390+1,FALSE)</f>
        <v>#N/A</v>
      </c>
      <c r="P390" s="684" t="str">
        <f t="shared" si="14"/>
        <v>#REF!</v>
      </c>
      <c r="Q390" s="702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</row>
    <row r="391" ht="15.75" hidden="1" customHeight="1">
      <c r="A391" s="90"/>
      <c r="B391" s="2"/>
      <c r="C391" s="90"/>
      <c r="D391" s="185" t="s">
        <v>263</v>
      </c>
      <c r="E391" s="260"/>
      <c r="F391" s="187">
        <v>2.0</v>
      </c>
      <c r="G391" s="187">
        <v>15.0</v>
      </c>
      <c r="H391" s="187"/>
      <c r="I391" s="247"/>
      <c r="J391" s="266">
        <v>8.0</v>
      </c>
      <c r="K391" s="164"/>
      <c r="L391" s="164"/>
      <c r="M391" s="164"/>
      <c r="N391" s="164"/>
      <c r="O391" s="699" t="str">
        <f>I391/VLOOKUP(K391,Sheet1!$D$7:$N$16,G391+1,FALSE)</f>
        <v>#REF!</v>
      </c>
      <c r="P391" s="684" t="str">
        <f t="shared" si="14"/>
        <v>#REF!</v>
      </c>
      <c r="Q391" s="702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</row>
    <row r="392" ht="3.75" hidden="1" customHeight="1">
      <c r="A392" s="90"/>
      <c r="B392" s="2"/>
      <c r="C392" s="90"/>
      <c r="D392" s="138"/>
      <c r="E392" s="252"/>
      <c r="F392" s="102"/>
      <c r="G392" s="102"/>
      <c r="H392" s="102"/>
      <c r="I392" s="247"/>
      <c r="J392" s="156"/>
      <c r="K392" s="164"/>
      <c r="L392" s="164"/>
      <c r="M392" s="164"/>
      <c r="N392" s="164"/>
      <c r="O392" s="699" t="str">
        <f>I392/VLOOKUP(K392,Sheet1!$D$7:$N$16,G392+1,FALSE)</f>
        <v>#N/A</v>
      </c>
      <c r="P392" s="684" t="str">
        <f t="shared" si="14"/>
        <v>#REF!</v>
      </c>
      <c r="Q392" s="702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</row>
    <row r="393" ht="15.75" hidden="1" customHeight="1">
      <c r="A393" s="90"/>
      <c r="B393" s="2"/>
      <c r="C393" s="90"/>
      <c r="D393" s="185"/>
      <c r="E393" s="266"/>
      <c r="F393" s="187"/>
      <c r="G393" s="187"/>
      <c r="H393" s="187"/>
      <c r="I393" s="164"/>
      <c r="J393" s="266"/>
      <c r="K393" s="164"/>
      <c r="L393" s="164"/>
      <c r="M393" s="164"/>
      <c r="N393" s="164"/>
      <c r="O393" s="699" t="str">
        <f>I393/VLOOKUP(K393,Sheet1!$D$7:$N$16,G393+1,FALSE)</f>
        <v>#N/A</v>
      </c>
      <c r="P393" s="684" t="str">
        <f t="shared" si="14"/>
        <v>#REF!</v>
      </c>
      <c r="Q393" s="697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</row>
    <row r="394" ht="3.75" hidden="1" customHeight="1">
      <c r="A394" s="124"/>
      <c r="B394" s="2"/>
      <c r="C394" s="124"/>
      <c r="D394" s="252"/>
      <c r="E394" s="252"/>
      <c r="F394" s="102"/>
      <c r="G394" s="102"/>
      <c r="H394" s="102"/>
      <c r="I394" s="102"/>
      <c r="J394" s="156"/>
      <c r="K394" s="259"/>
      <c r="L394" s="201"/>
      <c r="M394" s="201"/>
      <c r="N394" s="201"/>
      <c r="O394" s="699" t="str">
        <f>I394/VLOOKUP(K394,Sheet1!$D$7:$N$16,G394+1,FALSE)</f>
        <v>#N/A</v>
      </c>
      <c r="P394" s="684" t="str">
        <f t="shared" si="14"/>
        <v>#REF!</v>
      </c>
      <c r="Q394" s="259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</row>
    <row r="395" ht="30.75" hidden="1" customHeight="1">
      <c r="A395" s="90"/>
      <c r="B395" s="2"/>
      <c r="C395" s="90"/>
      <c r="D395" s="686" t="s">
        <v>279</v>
      </c>
      <c r="E395" s="687" t="s">
        <v>15</v>
      </c>
      <c r="F395" s="721" t="s">
        <v>16</v>
      </c>
      <c r="G395" s="722" t="s">
        <v>17</v>
      </c>
      <c r="H395" s="723"/>
      <c r="I395" s="724"/>
      <c r="J395" s="725" t="s">
        <v>241</v>
      </c>
      <c r="K395" s="691"/>
      <c r="L395" s="692"/>
      <c r="M395" s="692"/>
      <c r="N395" s="692"/>
      <c r="O395" s="699"/>
      <c r="P395" s="684"/>
      <c r="Q395" s="693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</row>
    <row r="396" ht="14.25" hidden="1" customHeight="1">
      <c r="A396" s="90"/>
      <c r="B396" s="2"/>
      <c r="C396" s="90"/>
      <c r="D396" s="257" t="s">
        <v>25</v>
      </c>
      <c r="E396" s="257" t="s">
        <v>26</v>
      </c>
      <c r="F396" s="680"/>
      <c r="G396" s="681"/>
      <c r="H396" s="723"/>
      <c r="I396" s="681"/>
      <c r="J396" s="725" t="s">
        <v>244</v>
      </c>
      <c r="K396" s="697"/>
      <c r="L396" s="692"/>
      <c r="M396" s="692"/>
      <c r="N396" s="692"/>
      <c r="O396" s="699"/>
      <c r="P396" s="684"/>
      <c r="Q396" s="698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</row>
    <row r="397" ht="3.75" hidden="1" customHeight="1">
      <c r="A397" s="124"/>
      <c r="B397" s="2"/>
      <c r="C397" s="124"/>
      <c r="D397" s="252"/>
      <c r="E397" s="252"/>
      <c r="F397" s="102"/>
      <c r="G397" s="102"/>
      <c r="H397" s="102"/>
      <c r="I397" s="102"/>
      <c r="J397" s="156"/>
      <c r="K397" s="259"/>
      <c r="L397" s="201"/>
      <c r="M397" s="201"/>
      <c r="N397" s="201"/>
      <c r="O397" s="699" t="str">
        <f>I397/VLOOKUP(K397,Sheet1!$D$7:$N$16,G397+1,FALSE)</f>
        <v>#N/A</v>
      </c>
      <c r="P397" s="684" t="str">
        <f t="shared" ref="P397:P410" si="15">I397-#REF!</f>
        <v>#REF!</v>
      </c>
      <c r="Q397" s="259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</row>
    <row r="398" ht="14.25" hidden="1" customHeight="1">
      <c r="A398" s="124"/>
      <c r="B398" s="2"/>
      <c r="C398" s="124"/>
      <c r="D398" s="185" t="s">
        <v>10</v>
      </c>
      <c r="E398" s="260"/>
      <c r="F398" s="187">
        <v>1.0</v>
      </c>
      <c r="G398" s="187">
        <v>5.0</v>
      </c>
      <c r="H398" s="187"/>
      <c r="I398" s="164">
        <v>260.0</v>
      </c>
      <c r="J398" s="266">
        <v>7.0</v>
      </c>
      <c r="K398" s="164">
        <v>8.0</v>
      </c>
      <c r="L398" s="164"/>
      <c r="M398" s="164"/>
      <c r="N398" s="164"/>
      <c r="O398" s="699">
        <f>I398/VLOOKUP(K398,Sheet1!$D$7:$N$16,G398+1,FALSE)</f>
        <v>319.0184049</v>
      </c>
      <c r="P398" s="684" t="str">
        <f t="shared" si="15"/>
        <v>#REF!</v>
      </c>
      <c r="Q398" s="736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</row>
    <row r="399" ht="3.75" hidden="1" customHeight="1">
      <c r="A399" s="124"/>
      <c r="B399" s="2"/>
      <c r="C399" s="124"/>
      <c r="D399" s="138"/>
      <c r="E399" s="252"/>
      <c r="F399" s="102"/>
      <c r="G399" s="102"/>
      <c r="H399" s="102"/>
      <c r="I399" s="247"/>
      <c r="J399" s="156"/>
      <c r="K399" s="164"/>
      <c r="L399" s="164"/>
      <c r="M399" s="164"/>
      <c r="N399" s="164"/>
      <c r="O399" s="699" t="str">
        <f>I399/VLOOKUP(K399,Sheet1!$D$7:$N$16,G399+1,FALSE)</f>
        <v>#N/A</v>
      </c>
      <c r="P399" s="684" t="str">
        <f t="shared" si="15"/>
        <v>#REF!</v>
      </c>
      <c r="Q399" s="702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</row>
    <row r="400" ht="14.25" hidden="1" customHeight="1">
      <c r="A400" s="124"/>
      <c r="B400" s="2"/>
      <c r="C400" s="124"/>
      <c r="D400" s="185" t="s">
        <v>10</v>
      </c>
      <c r="E400" s="260"/>
      <c r="F400" s="187">
        <v>3.0</v>
      </c>
      <c r="G400" s="187">
        <v>7.0</v>
      </c>
      <c r="H400" s="187"/>
      <c r="I400" s="164">
        <v>215.0</v>
      </c>
      <c r="J400" s="706">
        <v>-0.12</v>
      </c>
      <c r="K400" s="164">
        <v>7.0</v>
      </c>
      <c r="L400" s="164"/>
      <c r="M400" s="164"/>
      <c r="N400" s="164"/>
      <c r="O400" s="699">
        <f>I400/VLOOKUP(K400,Sheet1!$D$7:$N$16,G400+1,FALSE)</f>
        <v>290.5405405</v>
      </c>
      <c r="P400" s="684" t="str">
        <f t="shared" si="15"/>
        <v>#REF!</v>
      </c>
      <c r="Q400" s="702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</row>
    <row r="401" ht="3.75" hidden="1" customHeight="1">
      <c r="A401" s="124"/>
      <c r="B401" s="2"/>
      <c r="C401" s="124"/>
      <c r="D401" s="138"/>
      <c r="E401" s="252"/>
      <c r="F401" s="102"/>
      <c r="G401" s="102"/>
      <c r="H401" s="102"/>
      <c r="I401" s="247"/>
      <c r="J401" s="156"/>
      <c r="K401" s="164"/>
      <c r="L401" s="164"/>
      <c r="M401" s="164"/>
      <c r="N401" s="164"/>
      <c r="O401" s="699" t="str">
        <f>I401/VLOOKUP(K401,Sheet1!$D$7:$N$16,G401+1,FALSE)</f>
        <v>#N/A</v>
      </c>
      <c r="P401" s="684" t="str">
        <f t="shared" si="15"/>
        <v>#REF!</v>
      </c>
      <c r="Q401" s="702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</row>
    <row r="402" ht="14.25" hidden="1" customHeight="1">
      <c r="A402" s="124"/>
      <c r="B402" s="2"/>
      <c r="C402" s="124"/>
      <c r="D402" s="185"/>
      <c r="E402" s="260"/>
      <c r="F402" s="187"/>
      <c r="G402" s="187"/>
      <c r="H402" s="187"/>
      <c r="I402" s="164"/>
      <c r="J402" s="706"/>
      <c r="K402" s="164"/>
      <c r="L402" s="164"/>
      <c r="M402" s="164"/>
      <c r="N402" s="164"/>
      <c r="O402" s="699" t="str">
        <f>I402/VLOOKUP(K402,Sheet1!$D$7:$N$16,G402+1,FALSE)</f>
        <v>#N/A</v>
      </c>
      <c r="P402" s="684" t="str">
        <f t="shared" si="15"/>
        <v>#REF!</v>
      </c>
      <c r="Q402" s="702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</row>
    <row r="403" ht="3.75" hidden="1" customHeight="1">
      <c r="A403" s="124"/>
      <c r="B403" s="2"/>
      <c r="C403" s="124"/>
      <c r="D403" s="138"/>
      <c r="E403" s="252"/>
      <c r="F403" s="102"/>
      <c r="G403" s="102"/>
      <c r="H403" s="102"/>
      <c r="I403" s="247"/>
      <c r="J403" s="156"/>
      <c r="K403" s="164"/>
      <c r="L403" s="164"/>
      <c r="M403" s="164"/>
      <c r="N403" s="164"/>
      <c r="O403" s="699" t="str">
        <f>I403/VLOOKUP(K403,Sheet1!$D$7:$N$16,G403+1,FALSE)</f>
        <v>#N/A</v>
      </c>
      <c r="P403" s="684" t="str">
        <f t="shared" si="15"/>
        <v>#REF!</v>
      </c>
      <c r="Q403" s="702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</row>
    <row r="404" ht="14.25" hidden="1" customHeight="1">
      <c r="A404" s="124"/>
      <c r="B404" s="2"/>
      <c r="C404" s="124"/>
      <c r="D404" s="185"/>
      <c r="E404" s="260"/>
      <c r="F404" s="187"/>
      <c r="G404" s="187"/>
      <c r="H404" s="187"/>
      <c r="I404" s="164"/>
      <c r="J404" s="266"/>
      <c r="K404" s="164"/>
      <c r="L404" s="164"/>
      <c r="M404" s="164"/>
      <c r="N404" s="164"/>
      <c r="O404" s="699" t="str">
        <f>I404/VLOOKUP(K404,Sheet1!$D$7:$N$16,G404+1,FALSE)</f>
        <v>#N/A</v>
      </c>
      <c r="P404" s="684" t="str">
        <f t="shared" si="15"/>
        <v>#REF!</v>
      </c>
      <c r="Q404" s="702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</row>
    <row r="405" ht="3.75" hidden="1" customHeight="1">
      <c r="A405" s="124"/>
      <c r="B405" s="2"/>
      <c r="C405" s="124"/>
      <c r="D405" s="138"/>
      <c r="E405" s="252"/>
      <c r="F405" s="102"/>
      <c r="G405" s="102"/>
      <c r="H405" s="102"/>
      <c r="I405" s="247"/>
      <c r="J405" s="156"/>
      <c r="K405" s="164"/>
      <c r="L405" s="164"/>
      <c r="M405" s="164"/>
      <c r="N405" s="164"/>
      <c r="O405" s="699" t="str">
        <f>I405/VLOOKUP(K405,Sheet1!$D$7:$N$16,G405+1,FALSE)</f>
        <v>#N/A</v>
      </c>
      <c r="P405" s="684" t="str">
        <f t="shared" si="15"/>
        <v>#REF!</v>
      </c>
      <c r="Q405" s="702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</row>
    <row r="406" ht="14.25" hidden="1" customHeight="1">
      <c r="A406" s="124"/>
      <c r="B406" s="2"/>
      <c r="C406" s="124"/>
      <c r="D406" s="185" t="s">
        <v>265</v>
      </c>
      <c r="E406" s="264"/>
      <c r="F406" s="187">
        <v>3.0</v>
      </c>
      <c r="G406" s="187">
        <v>7.0</v>
      </c>
      <c r="H406" s="187"/>
      <c r="I406" s="164">
        <v>120.0</v>
      </c>
      <c r="J406" s="266">
        <v>7.0</v>
      </c>
      <c r="K406" s="164">
        <v>7.0</v>
      </c>
      <c r="L406" s="164"/>
      <c r="M406" s="164"/>
      <c r="N406" s="164"/>
      <c r="O406" s="699">
        <f>I406/VLOOKUP(K406,Sheet1!$D$7:$N$16,G406+1,FALSE)</f>
        <v>162.1621622</v>
      </c>
      <c r="P406" s="684" t="str">
        <f t="shared" si="15"/>
        <v>#REF!</v>
      </c>
      <c r="Q406" s="702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</row>
    <row r="407" ht="3.75" hidden="1" customHeight="1">
      <c r="A407" s="261"/>
      <c r="B407" s="719"/>
      <c r="C407" s="262"/>
      <c r="D407" s="138"/>
      <c r="E407" s="252"/>
      <c r="F407" s="102"/>
      <c r="G407" s="102"/>
      <c r="H407" s="102"/>
      <c r="I407" s="247"/>
      <c r="J407" s="156"/>
      <c r="K407" s="164"/>
      <c r="L407" s="164"/>
      <c r="M407" s="164"/>
      <c r="N407" s="164"/>
      <c r="O407" s="699" t="str">
        <f>I407/VLOOKUP(K407,Sheet1!$D$7:$N$16,G407+1,FALSE)</f>
        <v>#N/A</v>
      </c>
      <c r="P407" s="684" t="str">
        <f t="shared" si="15"/>
        <v>#REF!</v>
      </c>
      <c r="Q407" s="702"/>
      <c r="R407" s="158"/>
      <c r="S407" s="158"/>
      <c r="T407" s="158"/>
      <c r="U407" s="158"/>
      <c r="V407" s="158"/>
      <c r="W407" s="158"/>
      <c r="X407" s="158"/>
      <c r="Y407" s="158"/>
      <c r="Z407" s="158"/>
      <c r="AA407" s="158"/>
      <c r="AB407" s="158"/>
      <c r="AC407" s="158"/>
      <c r="AD407" s="158"/>
      <c r="AE407" s="158"/>
      <c r="AF407" s="158"/>
    </row>
    <row r="408" ht="14.25" hidden="1" customHeight="1">
      <c r="A408" s="124"/>
      <c r="B408" s="2"/>
      <c r="C408" s="124"/>
      <c r="D408" s="185"/>
      <c r="E408" s="260"/>
      <c r="F408" s="187"/>
      <c r="G408" s="187"/>
      <c r="H408" s="187"/>
      <c r="I408" s="164"/>
      <c r="J408" s="266"/>
      <c r="K408" s="164"/>
      <c r="L408" s="164"/>
      <c r="M408" s="164"/>
      <c r="N408" s="164"/>
      <c r="O408" s="699" t="str">
        <f>I408/VLOOKUP(K408,Sheet1!$D$7:$N$16,G408+1,FALSE)</f>
        <v>#N/A</v>
      </c>
      <c r="P408" s="684" t="str">
        <f t="shared" si="15"/>
        <v>#REF!</v>
      </c>
      <c r="Q408" s="702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</row>
    <row r="409" ht="3.75" hidden="1" customHeight="1">
      <c r="A409" s="261"/>
      <c r="B409" s="719"/>
      <c r="C409" s="262"/>
      <c r="D409" s="138"/>
      <c r="E409" s="252"/>
      <c r="F409" s="102"/>
      <c r="G409" s="102"/>
      <c r="H409" s="102"/>
      <c r="I409" s="247"/>
      <c r="J409" s="156"/>
      <c r="K409" s="164"/>
      <c r="L409" s="164"/>
      <c r="M409" s="164"/>
      <c r="N409" s="164"/>
      <c r="O409" s="699" t="str">
        <f>I409/VLOOKUP(K409,Sheet1!$D$7:$N$16,G409+1,FALSE)</f>
        <v>#N/A</v>
      </c>
      <c r="P409" s="684" t="str">
        <f t="shared" si="15"/>
        <v>#REF!</v>
      </c>
      <c r="Q409" s="702"/>
      <c r="R409" s="158"/>
      <c r="S409" s="158"/>
      <c r="T409" s="158"/>
      <c r="U409" s="158"/>
      <c r="V409" s="158"/>
      <c r="W409" s="158"/>
      <c r="X409" s="158"/>
      <c r="Y409" s="158"/>
      <c r="Z409" s="158"/>
      <c r="AA409" s="158"/>
      <c r="AB409" s="158"/>
      <c r="AC409" s="158"/>
      <c r="AD409" s="158"/>
      <c r="AE409" s="158"/>
      <c r="AF409" s="158"/>
    </row>
    <row r="410" ht="15.75" hidden="1" customHeight="1">
      <c r="A410" s="124"/>
      <c r="B410" s="2"/>
      <c r="C410" s="124"/>
      <c r="D410" s="185" t="s">
        <v>266</v>
      </c>
      <c r="E410" s="260"/>
      <c r="F410" s="187">
        <v>3.0</v>
      </c>
      <c r="G410" s="731" t="s">
        <v>260</v>
      </c>
      <c r="H410" s="187"/>
      <c r="I410" s="247"/>
      <c r="J410" s="266">
        <v>8.0</v>
      </c>
      <c r="K410" s="164"/>
      <c r="L410" s="164"/>
      <c r="M410" s="164"/>
      <c r="N410" s="164"/>
      <c r="O410" s="699" t="str">
        <f>I410/VLOOKUP(K410,Sheet1!$D$7:$N$16,G410+1,FALSE)</f>
        <v>#REF!</v>
      </c>
      <c r="P410" s="684" t="str">
        <f t="shared" si="15"/>
        <v>#REF!</v>
      </c>
      <c r="Q410" s="702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</row>
    <row r="411" ht="3.75" hidden="1" customHeight="1">
      <c r="A411" s="124"/>
      <c r="B411" s="2"/>
      <c r="C411" s="124"/>
      <c r="D411" s="263"/>
      <c r="E411" s="252"/>
      <c r="F411" s="102"/>
      <c r="G411" s="102"/>
      <c r="H411" s="102"/>
      <c r="I411" s="247"/>
      <c r="J411" s="156"/>
      <c r="K411" s="164"/>
      <c r="L411" s="164"/>
      <c r="M411" s="164"/>
      <c r="N411" s="164"/>
      <c r="O411" s="699" t="str">
        <f>I411/VLOOKUP(K411,Sheet1!$D$7:$N$16,G411+1,FALSE)</f>
        <v>#N/A</v>
      </c>
      <c r="P411" s="684"/>
      <c r="Q411" s="702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</row>
    <row r="412" ht="14.25" hidden="1" customHeight="1">
      <c r="A412" s="90"/>
      <c r="B412" s="2"/>
      <c r="C412" s="90"/>
      <c r="D412" s="185" t="s">
        <v>267</v>
      </c>
      <c r="E412" s="264"/>
      <c r="F412" s="187">
        <v>3.0</v>
      </c>
      <c r="G412" s="731" t="s">
        <v>260</v>
      </c>
      <c r="H412" s="187"/>
      <c r="I412" s="164">
        <v>30.0</v>
      </c>
      <c r="J412" s="266">
        <v>8.0</v>
      </c>
      <c r="K412" s="164">
        <v>8.0</v>
      </c>
      <c r="L412" s="164"/>
      <c r="M412" s="164"/>
      <c r="N412" s="164"/>
      <c r="O412" s="699" t="str">
        <f>I412/VLOOKUP(K412,Sheet1!$D$7:$N$16,G412+1,FALSE)</f>
        <v>#REF!</v>
      </c>
      <c r="P412" s="684"/>
      <c r="Q412" s="702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</row>
    <row r="413" ht="3.75" hidden="1" customHeight="1">
      <c r="A413" s="261"/>
      <c r="B413" s="719"/>
      <c r="C413" s="262"/>
      <c r="D413" s="263"/>
      <c r="E413" s="263"/>
      <c r="F413" s="194"/>
      <c r="G413" s="194"/>
      <c r="H413" s="194"/>
      <c r="I413" s="164"/>
      <c r="J413" s="267"/>
      <c r="K413" s="164"/>
      <c r="L413" s="164"/>
      <c r="M413" s="164"/>
      <c r="N413" s="164"/>
      <c r="O413" s="699" t="str">
        <f>I413/VLOOKUP(K413,Sheet1!$D$7:$N$16,G413+1,FALSE)</f>
        <v>#N/A</v>
      </c>
      <c r="P413" s="684"/>
      <c r="Q413" s="702"/>
      <c r="R413" s="158"/>
      <c r="S413" s="158"/>
      <c r="T413" s="158"/>
      <c r="U413" s="158"/>
      <c r="V413" s="158"/>
      <c r="W413" s="158"/>
      <c r="X413" s="158"/>
      <c r="Y413" s="158"/>
      <c r="Z413" s="158"/>
      <c r="AA413" s="158"/>
      <c r="AB413" s="158"/>
      <c r="AC413" s="158"/>
      <c r="AD413" s="158"/>
      <c r="AE413" s="158"/>
      <c r="AF413" s="158"/>
    </row>
    <row r="414" ht="15.75" hidden="1" customHeight="1">
      <c r="A414" s="90"/>
      <c r="B414" s="2"/>
      <c r="C414" s="90"/>
      <c r="D414" s="185" t="s">
        <v>268</v>
      </c>
      <c r="E414" s="266"/>
      <c r="F414" s="187">
        <v>3.0</v>
      </c>
      <c r="G414" s="731" t="s">
        <v>251</v>
      </c>
      <c r="H414" s="187"/>
      <c r="I414" s="164">
        <v>90.0</v>
      </c>
      <c r="J414" s="266">
        <v>9.0</v>
      </c>
      <c r="K414" s="164">
        <v>8.0</v>
      </c>
      <c r="L414" s="164"/>
      <c r="M414" s="164"/>
      <c r="N414" s="164"/>
      <c r="O414" s="699" t="str">
        <f>I414/VLOOKUP(K414,Sheet1!$D$7:$N$16,G414+1,FALSE)</f>
        <v>#REF!</v>
      </c>
      <c r="P414" s="684"/>
      <c r="Q414" s="702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</row>
    <row r="415" ht="3.75" hidden="1" customHeight="1">
      <c r="A415" s="90"/>
      <c r="B415" s="2"/>
      <c r="C415" s="90"/>
      <c r="D415" s="138"/>
      <c r="E415" s="252"/>
      <c r="F415" s="102"/>
      <c r="G415" s="102"/>
      <c r="H415" s="102"/>
      <c r="I415" s="247"/>
      <c r="J415" s="156"/>
      <c r="K415" s="164"/>
      <c r="L415" s="164"/>
      <c r="M415" s="164"/>
      <c r="N415" s="164"/>
      <c r="O415" s="699" t="str">
        <f>I415/VLOOKUP(K415,Sheet1!$D$7:$N$16,G415+1,FALSE)</f>
        <v>#N/A</v>
      </c>
      <c r="P415" s="684"/>
      <c r="Q415" s="702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</row>
    <row r="416" ht="15.75" hidden="1" customHeight="1">
      <c r="A416" s="90"/>
      <c r="B416" s="2"/>
      <c r="C416" s="90"/>
      <c r="D416" s="185" t="s">
        <v>269</v>
      </c>
      <c r="E416" s="266"/>
      <c r="F416" s="187">
        <v>3.0</v>
      </c>
      <c r="G416" s="731" t="s">
        <v>260</v>
      </c>
      <c r="H416" s="187"/>
      <c r="I416" s="164"/>
      <c r="J416" s="266">
        <v>9.0</v>
      </c>
      <c r="K416" s="164"/>
      <c r="L416" s="164"/>
      <c r="M416" s="164"/>
      <c r="N416" s="164"/>
      <c r="O416" s="699" t="str">
        <f>I416/VLOOKUP(K416,Sheet1!$D$7:$N$16,G416+1,FALSE)</f>
        <v>#REF!</v>
      </c>
      <c r="P416" s="684"/>
      <c r="Q416" s="702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</row>
    <row r="417" ht="3.75" hidden="1" customHeight="1">
      <c r="A417" s="191"/>
      <c r="B417" s="719"/>
      <c r="C417" s="192"/>
      <c r="D417" s="138"/>
      <c r="E417" s="252"/>
      <c r="F417" s="102"/>
      <c r="G417" s="102"/>
      <c r="H417" s="102"/>
      <c r="I417" s="247"/>
      <c r="J417" s="156"/>
      <c r="K417" s="164"/>
      <c r="L417" s="164"/>
      <c r="M417" s="164"/>
      <c r="N417" s="164"/>
      <c r="O417" s="699" t="str">
        <f>I417/VLOOKUP(K417,Sheet1!$D$7:$N$16,G417+1,FALSE)</f>
        <v>#N/A</v>
      </c>
      <c r="P417" s="684"/>
      <c r="Q417" s="702"/>
      <c r="R417" s="158"/>
      <c r="S417" s="158"/>
      <c r="T417" s="158"/>
      <c r="U417" s="158"/>
      <c r="V417" s="158"/>
      <c r="W417" s="158"/>
      <c r="X417" s="158"/>
      <c r="Y417" s="158"/>
      <c r="Z417" s="158"/>
      <c r="AA417" s="158"/>
      <c r="AB417" s="158"/>
      <c r="AC417" s="158"/>
      <c r="AD417" s="158"/>
      <c r="AE417" s="158"/>
      <c r="AF417" s="158"/>
    </row>
    <row r="418" ht="15.75" hidden="1" customHeight="1">
      <c r="A418" s="90"/>
      <c r="B418" s="2"/>
      <c r="C418" s="90"/>
      <c r="D418" s="185" t="s">
        <v>270</v>
      </c>
      <c r="E418" s="260"/>
      <c r="F418" s="187">
        <v>3.0</v>
      </c>
      <c r="G418" s="731" t="s">
        <v>260</v>
      </c>
      <c r="H418" s="187"/>
      <c r="I418" s="164"/>
      <c r="J418" s="266">
        <v>9.0</v>
      </c>
      <c r="K418" s="164"/>
      <c r="L418" s="164"/>
      <c r="M418" s="164"/>
      <c r="N418" s="164"/>
      <c r="O418" s="699" t="str">
        <f>I418/VLOOKUP(K418,Sheet1!$D$7:$N$16,G418+1,FALSE)</f>
        <v>#REF!</v>
      </c>
      <c r="P418" s="684"/>
      <c r="Q418" s="702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</row>
    <row r="419" ht="3.75" hidden="1" customHeight="1">
      <c r="A419" s="90"/>
      <c r="B419" s="2"/>
      <c r="C419" s="90"/>
      <c r="D419" s="263"/>
      <c r="E419" s="252"/>
      <c r="F419" s="102"/>
      <c r="G419" s="102"/>
      <c r="H419" s="102"/>
      <c r="I419" s="247"/>
      <c r="J419" s="156"/>
      <c r="K419" s="164"/>
      <c r="L419" s="164"/>
      <c r="M419" s="164"/>
      <c r="N419" s="164"/>
      <c r="O419" s="699" t="str">
        <f>I419/VLOOKUP(K419,Sheet1!$D$7:$N$16,G419+1,FALSE)</f>
        <v>#N/A</v>
      </c>
      <c r="P419" s="684"/>
      <c r="Q419" s="702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</row>
    <row r="420" ht="15.75" hidden="1" customHeight="1">
      <c r="A420" s="90"/>
      <c r="B420" s="2"/>
      <c r="C420" s="90"/>
      <c r="D420" s="185" t="s">
        <v>256</v>
      </c>
      <c r="E420" s="266"/>
      <c r="F420" s="187">
        <v>3.0</v>
      </c>
      <c r="G420" s="187" t="s">
        <v>16</v>
      </c>
      <c r="H420" s="187"/>
      <c r="I420" s="164"/>
      <c r="J420" s="266">
        <v>9.0</v>
      </c>
      <c r="K420" s="164"/>
      <c r="L420" s="164"/>
      <c r="M420" s="164"/>
      <c r="N420" s="164"/>
      <c r="O420" s="699" t="str">
        <f>I420/VLOOKUP(K420,Sheet1!$D$7:$N$16,G420+1,FALSE)</f>
        <v>#VALUE!</v>
      </c>
      <c r="P420" s="684"/>
      <c r="Q420" s="697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</row>
    <row r="421" ht="3.75" hidden="1" customHeight="1">
      <c r="A421" s="191"/>
      <c r="B421" s="719"/>
      <c r="C421" s="192"/>
      <c r="D421" s="192"/>
      <c r="E421" s="267"/>
      <c r="F421" s="194"/>
      <c r="G421" s="194"/>
      <c r="H421" s="194"/>
      <c r="I421" s="194"/>
      <c r="J421" s="267"/>
      <c r="K421" s="273"/>
      <c r="L421" s="737"/>
      <c r="M421" s="737"/>
      <c r="N421" s="737"/>
      <c r="O421" s="271"/>
      <c r="P421" s="272"/>
      <c r="Q421" s="273"/>
      <c r="R421" s="158"/>
      <c r="S421" s="158"/>
      <c r="T421" s="158"/>
      <c r="U421" s="158"/>
      <c r="V421" s="158"/>
      <c r="W421" s="158"/>
      <c r="X421" s="158"/>
      <c r="Y421" s="158"/>
      <c r="Z421" s="158"/>
      <c r="AA421" s="158"/>
      <c r="AB421" s="158"/>
      <c r="AC421" s="158"/>
      <c r="AD421" s="158"/>
      <c r="AE421" s="158"/>
      <c r="AF421" s="158"/>
    </row>
    <row r="422" ht="14.25" hidden="1" customHeight="1">
      <c r="A422" s="5"/>
      <c r="B422" s="2"/>
      <c r="C422" s="5"/>
      <c r="D422" s="738"/>
      <c r="E422" s="739"/>
      <c r="F422" s="683"/>
      <c r="G422" s="683"/>
      <c r="H422" s="683"/>
      <c r="I422" s="683"/>
      <c r="J422" s="739"/>
      <c r="K422" s="738"/>
      <c r="L422" s="683"/>
      <c r="M422" s="683"/>
      <c r="N422" s="683"/>
      <c r="O422" s="740"/>
      <c r="P422" s="4"/>
      <c r="Q422" s="738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</row>
    <row r="423" ht="14.25" hidden="1" customHeight="1">
      <c r="A423" s="5"/>
      <c r="B423" s="2"/>
      <c r="C423" s="5"/>
      <c r="D423" s="738"/>
      <c r="E423" s="739"/>
      <c r="F423" s="683"/>
      <c r="G423" s="683"/>
      <c r="H423" s="683"/>
      <c r="I423" s="683"/>
      <c r="J423" s="739"/>
      <c r="K423" s="738"/>
      <c r="L423" s="683"/>
      <c r="M423" s="683"/>
      <c r="N423" s="683"/>
      <c r="O423" s="741"/>
      <c r="P423" s="4"/>
      <c r="Q423" s="738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</row>
    <row r="424" ht="14.25" hidden="1" customHeight="1">
      <c r="A424" s="5"/>
      <c r="B424" s="2"/>
      <c r="C424" s="5"/>
      <c r="D424" s="738"/>
      <c r="E424" s="739"/>
      <c r="F424" s="683"/>
      <c r="G424" s="683"/>
      <c r="H424" s="683"/>
      <c r="I424" s="683"/>
      <c r="J424" s="739"/>
      <c r="K424" s="738"/>
      <c r="L424" s="683"/>
      <c r="M424" s="683"/>
      <c r="N424" s="683"/>
      <c r="O424" s="741"/>
      <c r="P424" s="4"/>
      <c r="Q424" s="738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</row>
    <row r="425" ht="14.25" hidden="1" customHeight="1">
      <c r="A425" s="5"/>
      <c r="B425" s="2"/>
      <c r="C425" s="5"/>
      <c r="D425" s="738"/>
      <c r="E425" s="739"/>
      <c r="F425" s="683"/>
      <c r="G425" s="683"/>
      <c r="H425" s="683"/>
      <c r="I425" s="683"/>
      <c r="J425" s="739"/>
      <c r="K425" s="738"/>
      <c r="L425" s="683"/>
      <c r="M425" s="683"/>
      <c r="N425" s="683"/>
      <c r="O425" s="741"/>
      <c r="P425" s="4"/>
      <c r="Q425" s="738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</row>
    <row r="426" ht="14.25" hidden="1" customHeight="1">
      <c r="A426" s="5"/>
      <c r="B426" s="2"/>
      <c r="C426" s="5"/>
      <c r="D426" s="738"/>
      <c r="E426" s="739"/>
      <c r="F426" s="683"/>
      <c r="G426" s="683"/>
      <c r="H426" s="683"/>
      <c r="I426" s="683"/>
      <c r="J426" s="739"/>
      <c r="K426" s="738"/>
      <c r="L426" s="683"/>
      <c r="M426" s="683"/>
      <c r="N426" s="683"/>
      <c r="O426" s="741"/>
      <c r="P426" s="4"/>
      <c r="Q426" s="738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</row>
    <row r="427" ht="14.25" hidden="1" customHeight="1">
      <c r="A427" s="5"/>
      <c r="B427" s="2"/>
      <c r="C427" s="5"/>
      <c r="D427" s="738"/>
      <c r="E427" s="739"/>
      <c r="F427" s="683"/>
      <c r="G427" s="683"/>
      <c r="H427" s="683"/>
      <c r="I427" s="683"/>
      <c r="J427" s="739"/>
      <c r="K427" s="738"/>
      <c r="L427" s="683"/>
      <c r="M427" s="683"/>
      <c r="N427" s="683"/>
      <c r="O427" s="741"/>
      <c r="P427" s="4"/>
      <c r="Q427" s="738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</row>
    <row r="428" ht="14.25" hidden="1" customHeight="1">
      <c r="A428" s="5"/>
      <c r="B428" s="2"/>
      <c r="C428" s="5"/>
      <c r="D428" s="5"/>
      <c r="E428" s="75"/>
      <c r="F428" s="3"/>
      <c r="G428" s="3"/>
      <c r="H428" s="3"/>
      <c r="I428" s="3"/>
      <c r="J428" s="75"/>
      <c r="K428" s="5"/>
      <c r="L428" s="3"/>
      <c r="M428" s="3"/>
      <c r="N428" s="3"/>
      <c r="O428" s="3"/>
      <c r="P428" s="4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</row>
    <row r="429" ht="19.5" hidden="1" customHeight="1">
      <c r="A429" s="5"/>
      <c r="B429" s="2"/>
      <c r="C429" s="5"/>
      <c r="D429" s="663" t="s">
        <v>240</v>
      </c>
      <c r="E429" s="664">
        <v>4.0</v>
      </c>
      <c r="F429" s="665"/>
      <c r="G429" s="666"/>
      <c r="H429" s="665"/>
      <c r="I429" s="667"/>
      <c r="J429" s="668"/>
      <c r="K429" s="669"/>
      <c r="L429" s="453"/>
      <c r="M429" s="453"/>
      <c r="N429" s="453"/>
      <c r="O429" s="3"/>
      <c r="P429" s="4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</row>
    <row r="430" ht="27.0" hidden="1" customHeight="1">
      <c r="A430" s="90"/>
      <c r="B430" s="2"/>
      <c r="C430" s="90"/>
      <c r="D430" s="670"/>
      <c r="E430" s="671"/>
      <c r="F430" s="672" t="s">
        <v>16</v>
      </c>
      <c r="G430" s="673" t="s">
        <v>17</v>
      </c>
      <c r="H430" s="665"/>
      <c r="I430" s="674" t="s">
        <v>18</v>
      </c>
      <c r="J430" s="675" t="s">
        <v>241</v>
      </c>
      <c r="K430" s="676"/>
      <c r="L430" s="676"/>
      <c r="M430" s="676"/>
      <c r="N430" s="676"/>
      <c r="O430" s="122" t="s">
        <v>242</v>
      </c>
      <c r="P430" s="677" t="s">
        <v>243</v>
      </c>
      <c r="Q430" s="678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</row>
    <row r="431" ht="14.25" hidden="1" customHeight="1">
      <c r="A431" s="90"/>
      <c r="B431" s="2"/>
      <c r="C431" s="90"/>
      <c r="D431" s="679" t="s">
        <v>13</v>
      </c>
      <c r="E431" s="671"/>
      <c r="F431" s="680"/>
      <c r="G431" s="681"/>
      <c r="H431" s="665"/>
      <c r="I431" s="681"/>
      <c r="J431" s="675" t="s">
        <v>244</v>
      </c>
      <c r="K431" s="214"/>
      <c r="L431" s="682"/>
      <c r="M431" s="682"/>
      <c r="N431" s="682"/>
      <c r="O431" s="683"/>
      <c r="P431" s="684" t="s">
        <v>245</v>
      </c>
      <c r="Q431" s="68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</row>
    <row r="432" ht="3.75" hidden="1" customHeight="1">
      <c r="A432" s="90"/>
      <c r="B432" s="2"/>
      <c r="C432" s="90"/>
      <c r="D432" s="97"/>
      <c r="E432" s="98"/>
      <c r="F432" s="99"/>
      <c r="G432" s="99"/>
      <c r="H432" s="99"/>
      <c r="I432" s="100"/>
      <c r="J432" s="101"/>
      <c r="K432" s="90"/>
      <c r="L432" s="102"/>
      <c r="M432" s="102"/>
      <c r="N432" s="102"/>
      <c r="O432" s="103"/>
      <c r="P432" s="4"/>
      <c r="Q432" s="90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</row>
    <row r="433" ht="30.0" hidden="1" customHeight="1">
      <c r="A433" s="90"/>
      <c r="B433" s="2"/>
      <c r="C433" s="90"/>
      <c r="D433" s="686" t="s">
        <v>271</v>
      </c>
      <c r="E433" s="687" t="s">
        <v>15</v>
      </c>
      <c r="F433" s="688"/>
      <c r="G433" s="688"/>
      <c r="H433" s="688"/>
      <c r="I433" s="689"/>
      <c r="J433" s="690"/>
      <c r="K433" s="691" t="s">
        <v>20</v>
      </c>
      <c r="L433" s="692"/>
      <c r="M433" s="692"/>
      <c r="N433" s="692"/>
      <c r="O433" s="683"/>
      <c r="P433" s="684"/>
      <c r="Q433" s="693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</row>
    <row r="434" ht="19.5" hidden="1" customHeight="1">
      <c r="A434" s="90"/>
      <c r="B434" s="2"/>
      <c r="C434" s="90"/>
      <c r="D434" s="257" t="s">
        <v>25</v>
      </c>
      <c r="E434" s="257" t="s">
        <v>26</v>
      </c>
      <c r="F434" s="694"/>
      <c r="G434" s="694"/>
      <c r="H434" s="694"/>
      <c r="I434" s="695"/>
      <c r="J434" s="696"/>
      <c r="K434" s="697"/>
      <c r="L434" s="692"/>
      <c r="M434" s="692"/>
      <c r="N434" s="692"/>
      <c r="O434" s="683"/>
      <c r="P434" s="684"/>
      <c r="Q434" s="698" t="s">
        <v>30</v>
      </c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</row>
    <row r="435" ht="3.75" hidden="1" customHeight="1">
      <c r="A435" s="90"/>
      <c r="B435" s="2"/>
      <c r="C435" s="90"/>
      <c r="D435" s="97"/>
      <c r="E435" s="98"/>
      <c r="F435" s="99"/>
      <c r="G435" s="99"/>
      <c r="H435" s="99"/>
      <c r="I435" s="100"/>
      <c r="J435" s="101"/>
      <c r="K435" s="90"/>
      <c r="L435" s="102"/>
      <c r="M435" s="102"/>
      <c r="N435" s="102"/>
      <c r="O435" s="699"/>
      <c r="P435" s="684"/>
      <c r="Q435" s="90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</row>
    <row r="436" ht="15.75" hidden="1" customHeight="1">
      <c r="A436" s="124"/>
      <c r="B436" s="2"/>
      <c r="C436" s="124"/>
      <c r="D436" s="185" t="s">
        <v>282</v>
      </c>
      <c r="E436" s="260"/>
      <c r="F436" s="187">
        <v>1.0</v>
      </c>
      <c r="G436" s="187">
        <v>6.0</v>
      </c>
      <c r="H436" s="187"/>
      <c r="I436" s="164">
        <v>145.0</v>
      </c>
      <c r="J436" s="266">
        <v>6.0</v>
      </c>
      <c r="K436" s="183">
        <v>5.0</v>
      </c>
      <c r="L436" s="183"/>
      <c r="M436" s="183"/>
      <c r="N436" s="183"/>
      <c r="O436" s="699" t="str">
        <f>I436/VLOOKUP(K436,Sheet1!$D$7:$N$16,G436+1,FALSE)</f>
        <v>#N/A</v>
      </c>
      <c r="P436" s="684" t="str">
        <f t="shared" ref="P436:P457" si="16">I436-#REF!</f>
        <v>#REF!</v>
      </c>
      <c r="Q436" s="700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</row>
    <row r="437" ht="3.75" hidden="1" customHeight="1">
      <c r="A437" s="137"/>
      <c r="B437" s="661"/>
      <c r="C437" s="137"/>
      <c r="D437" s="138"/>
      <c r="E437" s="252"/>
      <c r="F437" s="140"/>
      <c r="G437" s="140"/>
      <c r="H437" s="140"/>
      <c r="I437" s="701"/>
      <c r="J437" s="141"/>
      <c r="K437" s="183"/>
      <c r="L437" s="183"/>
      <c r="M437" s="183"/>
      <c r="N437" s="183"/>
      <c r="O437" s="699" t="str">
        <f>I437/VLOOKUP(K437,Sheet1!$D$7:$N$16,G437+1,FALSE)</f>
        <v>#N/A</v>
      </c>
      <c r="P437" s="684" t="str">
        <f t="shared" si="16"/>
        <v>#REF!</v>
      </c>
      <c r="Q437" s="702"/>
      <c r="R437" s="148"/>
      <c r="S437" s="148"/>
      <c r="T437" s="148"/>
      <c r="U437" s="148"/>
      <c r="V437" s="148"/>
      <c r="W437" s="148"/>
      <c r="X437" s="148"/>
      <c r="Y437" s="148"/>
      <c r="Z437" s="148"/>
      <c r="AA437" s="148"/>
      <c r="AB437" s="148"/>
      <c r="AC437" s="148"/>
      <c r="AD437" s="148"/>
      <c r="AE437" s="148"/>
      <c r="AF437" s="148"/>
    </row>
    <row r="438" ht="15.75" hidden="1" customHeight="1">
      <c r="A438" s="149"/>
      <c r="B438" s="703"/>
      <c r="C438" s="149"/>
      <c r="D438" s="704" t="s">
        <v>282</v>
      </c>
      <c r="E438" s="260"/>
      <c r="F438" s="187">
        <v>1.0</v>
      </c>
      <c r="G438" s="187">
        <v>6.0</v>
      </c>
      <c r="H438" s="187"/>
      <c r="I438" s="164">
        <v>145.0</v>
      </c>
      <c r="J438" s="266">
        <v>7.0</v>
      </c>
      <c r="K438" s="183">
        <v>6.5</v>
      </c>
      <c r="L438" s="183"/>
      <c r="M438" s="183"/>
      <c r="N438" s="183"/>
      <c r="O438" s="699">
        <f>I438/VLOOKUP(K438,Sheet1!$D$7:$N$16,G438+1,FALSE)</f>
        <v>192.6910299</v>
      </c>
      <c r="P438" s="684" t="str">
        <f t="shared" si="16"/>
        <v>#REF!</v>
      </c>
      <c r="Q438" s="702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</row>
    <row r="439" ht="3.75" hidden="1" customHeight="1">
      <c r="A439" s="152"/>
      <c r="B439" s="705"/>
      <c r="C439" s="153"/>
      <c r="D439" s="138"/>
      <c r="E439" s="263"/>
      <c r="F439" s="194"/>
      <c r="G439" s="194"/>
      <c r="H439" s="194"/>
      <c r="I439" s="164"/>
      <c r="J439" s="267"/>
      <c r="K439" s="183"/>
      <c r="L439" s="183"/>
      <c r="M439" s="183"/>
      <c r="N439" s="183"/>
      <c r="O439" s="699" t="str">
        <f>I439/VLOOKUP(K439,Sheet1!$D$7:$N$16,G439+1,FALSE)</f>
        <v>#N/A</v>
      </c>
      <c r="P439" s="684" t="str">
        <f t="shared" si="16"/>
        <v>#REF!</v>
      </c>
      <c r="Q439" s="702"/>
      <c r="R439" s="158"/>
      <c r="S439" s="158"/>
      <c r="T439" s="158"/>
      <c r="U439" s="158"/>
      <c r="V439" s="158"/>
      <c r="W439" s="158"/>
      <c r="X439" s="158"/>
      <c r="Y439" s="158"/>
      <c r="Z439" s="158"/>
      <c r="AA439" s="158"/>
      <c r="AB439" s="158"/>
      <c r="AC439" s="158"/>
      <c r="AD439" s="158"/>
      <c r="AE439" s="158"/>
      <c r="AF439" s="158"/>
    </row>
    <row r="440" ht="15.75" hidden="1" customHeight="1">
      <c r="A440" s="149"/>
      <c r="B440" s="703"/>
      <c r="C440" s="149"/>
      <c r="D440" s="185" t="s">
        <v>6</v>
      </c>
      <c r="E440" s="264"/>
      <c r="F440" s="187">
        <v>1.0</v>
      </c>
      <c r="G440" s="187">
        <v>6.0</v>
      </c>
      <c r="H440" s="187"/>
      <c r="I440" s="164">
        <v>125.0</v>
      </c>
      <c r="J440" s="706">
        <v>-0.12</v>
      </c>
      <c r="K440" s="183">
        <v>6.0</v>
      </c>
      <c r="L440" s="183"/>
      <c r="M440" s="183"/>
      <c r="N440" s="183"/>
      <c r="O440" s="699">
        <f>I440/VLOOKUP(K440,Sheet1!$D$7:$N$16,G440+1,FALSE)</f>
        <v>168.9189189</v>
      </c>
      <c r="P440" s="684" t="str">
        <f t="shared" si="16"/>
        <v>#REF!</v>
      </c>
      <c r="Q440" s="702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</row>
    <row r="441" ht="3.75" hidden="1" customHeight="1">
      <c r="A441" s="162"/>
      <c r="B441" s="707"/>
      <c r="C441" s="162"/>
      <c r="D441" s="138"/>
      <c r="E441" s="708"/>
      <c r="F441" s="140"/>
      <c r="G441" s="140"/>
      <c r="H441" s="140"/>
      <c r="I441" s="701"/>
      <c r="J441" s="141"/>
      <c r="K441" s="183"/>
      <c r="L441" s="183"/>
      <c r="M441" s="183"/>
      <c r="N441" s="183"/>
      <c r="O441" s="699" t="str">
        <f>I441/VLOOKUP(K441,Sheet1!$D$7:$N$16,G441+1,FALSE)</f>
        <v>#N/A</v>
      </c>
      <c r="P441" s="684" t="str">
        <f t="shared" si="16"/>
        <v>#REF!</v>
      </c>
      <c r="Q441" s="702"/>
      <c r="R441" s="148"/>
      <c r="S441" s="148"/>
      <c r="T441" s="148"/>
      <c r="U441" s="148"/>
      <c r="V441" s="148"/>
      <c r="W441" s="148"/>
      <c r="X441" s="148"/>
      <c r="Y441" s="148"/>
      <c r="Z441" s="148"/>
      <c r="AA441" s="148"/>
      <c r="AB441" s="148"/>
      <c r="AC441" s="148"/>
      <c r="AD441" s="148"/>
      <c r="AE441" s="148"/>
      <c r="AF441" s="148"/>
    </row>
    <row r="442" ht="15.75" hidden="1" customHeight="1">
      <c r="A442" s="149"/>
      <c r="B442" s="703"/>
      <c r="C442" s="149"/>
      <c r="D442" s="185" t="s">
        <v>51</v>
      </c>
      <c r="E442" s="264"/>
      <c r="F442" s="187">
        <v>1.0</v>
      </c>
      <c r="G442" s="187">
        <v>3.0</v>
      </c>
      <c r="H442" s="187"/>
      <c r="I442" s="164">
        <v>150.0</v>
      </c>
      <c r="J442" s="266">
        <v>7.5</v>
      </c>
      <c r="K442" s="183">
        <v>9.5</v>
      </c>
      <c r="L442" s="183"/>
      <c r="M442" s="183"/>
      <c r="N442" s="183"/>
      <c r="O442" s="699">
        <f>I442/VLOOKUP(K442,Sheet1!$D$7:$N$16,G442+1,FALSE)</f>
        <v>165.1376147</v>
      </c>
      <c r="P442" s="684" t="str">
        <f t="shared" si="16"/>
        <v>#REF!</v>
      </c>
      <c r="Q442" s="702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</row>
    <row r="443" ht="3.75" hidden="1" customHeight="1">
      <c r="A443" s="162"/>
      <c r="B443" s="707"/>
      <c r="C443" s="162"/>
      <c r="D443" s="138"/>
      <c r="E443" s="321"/>
      <c r="F443" s="102"/>
      <c r="G443" s="102"/>
      <c r="H443" s="102"/>
      <c r="I443" s="247"/>
      <c r="J443" s="156"/>
      <c r="K443" s="183"/>
      <c r="L443" s="183"/>
      <c r="M443" s="183"/>
      <c r="N443" s="183"/>
      <c r="O443" s="699" t="str">
        <f>I443/VLOOKUP(K443,Sheet1!$D$7:$N$16,G443+1,FALSE)</f>
        <v>#N/A</v>
      </c>
      <c r="P443" s="684" t="str">
        <f t="shared" si="16"/>
        <v>#REF!</v>
      </c>
      <c r="Q443" s="702"/>
      <c r="R443" s="148"/>
      <c r="S443" s="148"/>
      <c r="T443" s="148"/>
      <c r="U443" s="148"/>
      <c r="V443" s="148"/>
      <c r="W443" s="148"/>
      <c r="X443" s="148"/>
      <c r="Y443" s="148"/>
      <c r="Z443" s="148"/>
      <c r="AA443" s="148"/>
      <c r="AB443" s="148"/>
      <c r="AC443" s="148"/>
      <c r="AD443" s="148"/>
      <c r="AE443" s="148"/>
      <c r="AF443" s="148"/>
    </row>
    <row r="444" ht="15.75" hidden="1" customHeight="1">
      <c r="A444" s="90"/>
      <c r="B444" s="2"/>
      <c r="C444" s="90"/>
      <c r="D444" s="185" t="s">
        <v>249</v>
      </c>
      <c r="E444" s="264"/>
      <c r="F444" s="187">
        <v>3.0</v>
      </c>
      <c r="G444" s="187">
        <v>5.0</v>
      </c>
      <c r="H444" s="187"/>
      <c r="I444" s="164">
        <v>130.0</v>
      </c>
      <c r="J444" s="706">
        <v>-0.12</v>
      </c>
      <c r="K444" s="183">
        <v>8.0</v>
      </c>
      <c r="L444" s="183"/>
      <c r="M444" s="183"/>
      <c r="N444" s="183"/>
      <c r="O444" s="699">
        <f>I444/VLOOKUP(K444,Sheet1!$D$7:$N$16,G444+1,FALSE)</f>
        <v>159.5092025</v>
      </c>
      <c r="P444" s="684" t="str">
        <f t="shared" si="16"/>
        <v>#REF!</v>
      </c>
      <c r="Q444" s="702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</row>
    <row r="445" ht="3.75" hidden="1" customHeight="1">
      <c r="A445" s="168"/>
      <c r="B445" s="661"/>
      <c r="C445" s="168"/>
      <c r="D445" s="138"/>
      <c r="E445" s="708"/>
      <c r="F445" s="140"/>
      <c r="G445" s="140"/>
      <c r="H445" s="140"/>
      <c r="I445" s="701"/>
      <c r="J445" s="141"/>
      <c r="K445" s="183"/>
      <c r="L445" s="183"/>
      <c r="M445" s="183"/>
      <c r="N445" s="183"/>
      <c r="O445" s="699" t="str">
        <f>I445/VLOOKUP(K445,Sheet1!$D$7:$N$16,G445+1,FALSE)</f>
        <v>#N/A</v>
      </c>
      <c r="P445" s="684" t="str">
        <f t="shared" si="16"/>
        <v>#REF!</v>
      </c>
      <c r="Q445" s="702"/>
      <c r="R445" s="148"/>
      <c r="S445" s="148"/>
      <c r="T445" s="148"/>
      <c r="U445" s="148"/>
      <c r="V445" s="148"/>
      <c r="W445" s="148"/>
      <c r="X445" s="148"/>
      <c r="Y445" s="148"/>
      <c r="Z445" s="148"/>
      <c r="AA445" s="148"/>
      <c r="AB445" s="148"/>
      <c r="AC445" s="148"/>
      <c r="AD445" s="148"/>
      <c r="AE445" s="148"/>
      <c r="AF445" s="148"/>
    </row>
    <row r="446" ht="15.75" hidden="1" customHeight="1">
      <c r="A446" s="90"/>
      <c r="B446" s="2"/>
      <c r="C446" s="90"/>
      <c r="D446" s="709"/>
      <c r="E446" s="710"/>
      <c r="F446" s="711"/>
      <c r="G446" s="187"/>
      <c r="H446" s="179"/>
      <c r="I446" s="742"/>
      <c r="J446" s="713"/>
      <c r="K446" s="183"/>
      <c r="L446" s="183"/>
      <c r="M446" s="183"/>
      <c r="N446" s="183"/>
      <c r="O446" s="699" t="str">
        <f>I446/VLOOKUP(K446,Sheet1!$D$7:$N$16,G446+1,FALSE)</f>
        <v>#N/A</v>
      </c>
      <c r="P446" s="684" t="str">
        <f t="shared" si="16"/>
        <v>#REF!</v>
      </c>
      <c r="Q446" s="702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</row>
    <row r="447" ht="3.75" hidden="1" customHeight="1">
      <c r="A447" s="90"/>
      <c r="B447" s="2"/>
      <c r="C447" s="90"/>
      <c r="D447" s="171"/>
      <c r="E447" s="714"/>
      <c r="F447" s="173"/>
      <c r="G447" s="173"/>
      <c r="H447" s="715"/>
      <c r="I447" s="716"/>
      <c r="J447" s="174"/>
      <c r="K447" s="183"/>
      <c r="L447" s="183"/>
      <c r="M447" s="183"/>
      <c r="N447" s="183"/>
      <c r="O447" s="699" t="str">
        <f>I447/VLOOKUP(K447,Sheet1!$D$7:$N$16,G447+1,FALSE)</f>
        <v>#N/A</v>
      </c>
      <c r="P447" s="684" t="str">
        <f t="shared" si="16"/>
        <v>#REF!</v>
      </c>
      <c r="Q447" s="702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</row>
    <row r="448" ht="15.75" hidden="1" customHeight="1">
      <c r="A448" s="90"/>
      <c r="B448" s="2"/>
      <c r="C448" s="90"/>
      <c r="D448" s="260"/>
      <c r="E448" s="266"/>
      <c r="F448" s="187"/>
      <c r="G448" s="187"/>
      <c r="H448" s="187"/>
      <c r="I448" s="164"/>
      <c r="J448" s="266"/>
      <c r="K448" s="183"/>
      <c r="L448" s="183"/>
      <c r="M448" s="183"/>
      <c r="N448" s="183"/>
      <c r="O448" s="699" t="str">
        <f>I448/VLOOKUP(K448,Sheet1!$D$7:$N$16,G448+1,FALSE)</f>
        <v>#N/A</v>
      </c>
      <c r="P448" s="684" t="str">
        <f t="shared" si="16"/>
        <v>#REF!</v>
      </c>
      <c r="Q448" s="702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</row>
    <row r="449" ht="3.75" hidden="1" customHeight="1">
      <c r="A449" s="90"/>
      <c r="B449" s="2"/>
      <c r="C449" s="90"/>
      <c r="D449" s="171"/>
      <c r="E449" s="714"/>
      <c r="F449" s="173"/>
      <c r="G449" s="173"/>
      <c r="H449" s="715"/>
      <c r="I449" s="716"/>
      <c r="J449" s="174"/>
      <c r="K449" s="183"/>
      <c r="L449" s="183"/>
      <c r="M449" s="183"/>
      <c r="N449" s="183"/>
      <c r="O449" s="699" t="str">
        <f>I449/VLOOKUP(K449,Sheet1!$D$7:$N$16,G449+1,FALSE)</f>
        <v>#N/A</v>
      </c>
      <c r="P449" s="684" t="str">
        <f t="shared" si="16"/>
        <v>#REF!</v>
      </c>
      <c r="Q449" s="702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</row>
    <row r="450" ht="15.75" hidden="1" customHeight="1">
      <c r="A450" s="90"/>
      <c r="B450" s="2"/>
      <c r="C450" s="90"/>
      <c r="D450" s="709"/>
      <c r="E450" s="710"/>
      <c r="F450" s="711"/>
      <c r="G450" s="187"/>
      <c r="H450" s="179"/>
      <c r="I450" s="717"/>
      <c r="J450" s="713"/>
      <c r="K450" s="183"/>
      <c r="L450" s="183"/>
      <c r="M450" s="183"/>
      <c r="N450" s="183"/>
      <c r="O450" s="699" t="str">
        <f>I450/VLOOKUP(K450,Sheet1!$D$7:$N$16,G450+1,FALSE)</f>
        <v>#N/A</v>
      </c>
      <c r="P450" s="684" t="str">
        <f t="shared" si="16"/>
        <v>#REF!</v>
      </c>
      <c r="Q450" s="702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</row>
    <row r="451" ht="3.75" hidden="1" customHeight="1">
      <c r="A451" s="90"/>
      <c r="B451" s="2"/>
      <c r="C451" s="90"/>
      <c r="D451" s="138"/>
      <c r="E451" s="252"/>
      <c r="F451" s="102"/>
      <c r="G451" s="102"/>
      <c r="H451" s="102"/>
      <c r="I451" s="247"/>
      <c r="J451" s="156"/>
      <c r="K451" s="183"/>
      <c r="L451" s="183"/>
      <c r="M451" s="183"/>
      <c r="N451" s="183"/>
      <c r="O451" s="699" t="str">
        <f>I451/VLOOKUP(K451,Sheet1!$D$7:$N$16,G451+1,FALSE)</f>
        <v>#N/A</v>
      </c>
      <c r="P451" s="684" t="str">
        <f t="shared" si="16"/>
        <v>#REF!</v>
      </c>
      <c r="Q451" s="702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</row>
    <row r="452" ht="15.75" hidden="1" customHeight="1">
      <c r="A452" s="90"/>
      <c r="B452" s="2"/>
      <c r="C452" s="90"/>
      <c r="D452" s="185"/>
      <c r="E452" s="266"/>
      <c r="F452" s="187"/>
      <c r="G452" s="718"/>
      <c r="H452" s="187"/>
      <c r="I452" s="164"/>
      <c r="J452" s="266"/>
      <c r="K452" s="183"/>
      <c r="L452" s="183"/>
      <c r="M452" s="183"/>
      <c r="N452" s="183"/>
      <c r="O452" s="699" t="str">
        <f>I452/VLOOKUP(K452,Sheet1!$D$7:$N$16,G452+1,FALSE)</f>
        <v>#N/A</v>
      </c>
      <c r="P452" s="684" t="str">
        <f t="shared" si="16"/>
        <v>#REF!</v>
      </c>
      <c r="Q452" s="702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</row>
    <row r="453" ht="3.75" hidden="1" customHeight="1">
      <c r="A453" s="191"/>
      <c r="B453" s="719"/>
      <c r="C453" s="192"/>
      <c r="D453" s="138"/>
      <c r="E453" s="267"/>
      <c r="F453" s="194"/>
      <c r="G453" s="194"/>
      <c r="H453" s="194"/>
      <c r="I453" s="164"/>
      <c r="J453" s="267"/>
      <c r="K453" s="183"/>
      <c r="L453" s="183"/>
      <c r="M453" s="183"/>
      <c r="N453" s="183"/>
      <c r="O453" s="699" t="str">
        <f>I453/VLOOKUP(K453,Sheet1!$D$7:$N$16,G453+1,FALSE)</f>
        <v>#N/A</v>
      </c>
      <c r="P453" s="684" t="str">
        <f t="shared" si="16"/>
        <v>#REF!</v>
      </c>
      <c r="Q453" s="702"/>
      <c r="R453" s="158"/>
      <c r="S453" s="158"/>
      <c r="T453" s="158"/>
      <c r="U453" s="158"/>
      <c r="V453" s="158"/>
      <c r="W453" s="158"/>
      <c r="X453" s="158"/>
      <c r="Y453" s="158"/>
      <c r="Z453" s="158"/>
      <c r="AA453" s="158"/>
      <c r="AB453" s="158"/>
      <c r="AC453" s="158"/>
      <c r="AD453" s="158"/>
      <c r="AE453" s="158"/>
      <c r="AF453" s="158"/>
    </row>
    <row r="454" ht="15.75" hidden="1" customHeight="1">
      <c r="A454" s="90"/>
      <c r="B454" s="2"/>
      <c r="C454" s="90"/>
      <c r="D454" s="185"/>
      <c r="E454" s="266"/>
      <c r="F454" s="187"/>
      <c r="G454" s="187"/>
      <c r="H454" s="187"/>
      <c r="I454" s="164"/>
      <c r="J454" s="266"/>
      <c r="K454" s="183"/>
      <c r="L454" s="183"/>
      <c r="M454" s="183"/>
      <c r="N454" s="183"/>
      <c r="O454" s="699" t="str">
        <f>I454/VLOOKUP(K454,Sheet1!$D$7:$N$16,G454+1,FALSE)</f>
        <v>#N/A</v>
      </c>
      <c r="P454" s="684" t="str">
        <f t="shared" si="16"/>
        <v>#REF!</v>
      </c>
      <c r="Q454" s="702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</row>
    <row r="455" ht="3.75" hidden="1" customHeight="1">
      <c r="A455" s="90"/>
      <c r="B455" s="2"/>
      <c r="C455" s="90"/>
      <c r="D455" s="138"/>
      <c r="E455" s="252"/>
      <c r="F455" s="102"/>
      <c r="G455" s="102"/>
      <c r="H455" s="102"/>
      <c r="I455" s="247"/>
      <c r="J455" s="156"/>
      <c r="K455" s="183"/>
      <c r="L455" s="183"/>
      <c r="M455" s="183"/>
      <c r="N455" s="183"/>
      <c r="O455" s="699" t="str">
        <f>I455/VLOOKUP(K455,Sheet1!$D$7:$N$16,G455+1,FALSE)</f>
        <v>#N/A</v>
      </c>
      <c r="P455" s="684" t="str">
        <f t="shared" si="16"/>
        <v>#REF!</v>
      </c>
      <c r="Q455" s="702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</row>
    <row r="456" ht="15.75" hidden="1" customHeight="1">
      <c r="A456" s="90"/>
      <c r="B456" s="2"/>
      <c r="C456" s="90"/>
      <c r="D456" s="185"/>
      <c r="E456" s="266"/>
      <c r="F456" s="187"/>
      <c r="G456" s="187"/>
      <c r="H456" s="187"/>
      <c r="I456" s="164"/>
      <c r="J456" s="266"/>
      <c r="K456" s="183"/>
      <c r="L456" s="183"/>
      <c r="M456" s="183"/>
      <c r="N456" s="183"/>
      <c r="O456" s="699" t="str">
        <f>I456/VLOOKUP(K456,Sheet1!$D$7:$N$16,G456+1,FALSE)</f>
        <v>#N/A</v>
      </c>
      <c r="P456" s="684" t="str">
        <f t="shared" si="16"/>
        <v>#REF!</v>
      </c>
      <c r="Q456" s="697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</row>
    <row r="457" ht="3.75" hidden="1" customHeight="1">
      <c r="A457" s="90"/>
      <c r="B457" s="2"/>
      <c r="C457" s="90"/>
      <c r="D457" s="90"/>
      <c r="E457" s="156"/>
      <c r="F457" s="102"/>
      <c r="G457" s="102"/>
      <c r="H457" s="102"/>
      <c r="I457" s="102"/>
      <c r="J457" s="156"/>
      <c r="K457" s="720"/>
      <c r="L457" s="201"/>
      <c r="M457" s="201"/>
      <c r="N457" s="201"/>
      <c r="O457" s="699" t="str">
        <f>I457/VLOOKUP(K457,Sheet1!$D$7:$N$16,G457+1,FALSE)</f>
        <v>#N/A</v>
      </c>
      <c r="P457" s="684" t="str">
        <f t="shared" si="16"/>
        <v>#REF!</v>
      </c>
      <c r="Q457" s="720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</row>
    <row r="458" ht="30.0" hidden="1" customHeight="1">
      <c r="A458" s="90"/>
      <c r="B458" s="2"/>
      <c r="C458" s="90"/>
      <c r="D458" s="686" t="s">
        <v>246</v>
      </c>
      <c r="E458" s="687" t="s">
        <v>15</v>
      </c>
      <c r="F458" s="721" t="s">
        <v>16</v>
      </c>
      <c r="G458" s="722" t="s">
        <v>17</v>
      </c>
      <c r="H458" s="723"/>
      <c r="I458" s="724"/>
      <c r="J458" s="725" t="s">
        <v>241</v>
      </c>
      <c r="K458" s="691"/>
      <c r="L458" s="692"/>
      <c r="M458" s="692"/>
      <c r="N458" s="692"/>
      <c r="O458" s="699"/>
      <c r="P458" s="684"/>
      <c r="Q458" s="693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</row>
    <row r="459" ht="14.25" hidden="1" customHeight="1">
      <c r="A459" s="90"/>
      <c r="B459" s="2"/>
      <c r="C459" s="90"/>
      <c r="D459" s="257" t="s">
        <v>25</v>
      </c>
      <c r="E459" s="257" t="s">
        <v>26</v>
      </c>
      <c r="F459" s="680"/>
      <c r="G459" s="681"/>
      <c r="H459" s="723"/>
      <c r="I459" s="681"/>
      <c r="J459" s="725" t="s">
        <v>244</v>
      </c>
      <c r="K459" s="697"/>
      <c r="L459" s="692"/>
      <c r="M459" s="692"/>
      <c r="N459" s="692"/>
      <c r="O459" s="699"/>
      <c r="P459" s="684"/>
      <c r="Q459" s="698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</row>
    <row r="460" ht="3.75" hidden="1" customHeight="1">
      <c r="A460" s="191"/>
      <c r="B460" s="719"/>
      <c r="C460" s="192"/>
      <c r="D460" s="203"/>
      <c r="E460" s="203"/>
      <c r="F460" s="726"/>
      <c r="G460" s="726"/>
      <c r="H460" s="726"/>
      <c r="I460" s="727"/>
      <c r="J460" s="728"/>
      <c r="K460" s="192"/>
      <c r="L460" s="194"/>
      <c r="M460" s="194"/>
      <c r="N460" s="194"/>
      <c r="O460" s="699"/>
      <c r="P460" s="684" t="str">
        <f t="shared" ref="P460:P482" si="17">I460-#REF!</f>
        <v>#REF!</v>
      </c>
      <c r="Q460" s="192"/>
      <c r="R460" s="158"/>
      <c r="S460" s="158"/>
      <c r="T460" s="158"/>
      <c r="U460" s="158"/>
      <c r="V460" s="158"/>
      <c r="W460" s="158"/>
      <c r="X460" s="158"/>
      <c r="Y460" s="158"/>
      <c r="Z460" s="158"/>
      <c r="AA460" s="158"/>
      <c r="AB460" s="158"/>
      <c r="AC460" s="158"/>
      <c r="AD460" s="158"/>
      <c r="AE460" s="158"/>
      <c r="AF460" s="158"/>
    </row>
    <row r="461" ht="15.75" hidden="1" customHeight="1">
      <c r="A461" s="124"/>
      <c r="B461" s="2"/>
      <c r="C461" s="124"/>
      <c r="D461" s="185" t="s">
        <v>248</v>
      </c>
      <c r="E461" s="743"/>
      <c r="F461" s="187">
        <v>1.0</v>
      </c>
      <c r="G461" s="187">
        <v>6.0</v>
      </c>
      <c r="H461" s="187"/>
      <c r="I461" s="164">
        <v>210.0</v>
      </c>
      <c r="J461" s="266">
        <v>6.0</v>
      </c>
      <c r="K461" s="183">
        <v>7.0</v>
      </c>
      <c r="L461" s="183"/>
      <c r="M461" s="183"/>
      <c r="N461" s="183"/>
      <c r="O461" s="699">
        <f>I461/VLOOKUP(K461,Sheet1!$D$7:$N$16,G461+1,FALSE)</f>
        <v>274.5098039</v>
      </c>
      <c r="P461" s="684" t="str">
        <f t="shared" si="17"/>
        <v>#REF!</v>
      </c>
      <c r="Q461" s="730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</row>
    <row r="462" ht="3.75" hidden="1" customHeight="1">
      <c r="A462" s="124"/>
      <c r="B462" s="2"/>
      <c r="C462" s="124"/>
      <c r="D462" s="138"/>
      <c r="E462" s="321"/>
      <c r="F462" s="102"/>
      <c r="G462" s="102"/>
      <c r="H462" s="102"/>
      <c r="I462" s="247"/>
      <c r="J462" s="267"/>
      <c r="K462" s="183"/>
      <c r="L462" s="183"/>
      <c r="M462" s="183"/>
      <c r="N462" s="183"/>
      <c r="O462" s="699" t="str">
        <f>I462/VLOOKUP(K462,Sheet1!$D$7:$N$16,G462+1,FALSE)</f>
        <v>#N/A</v>
      </c>
      <c r="P462" s="684" t="str">
        <f t="shared" si="17"/>
        <v>#REF!</v>
      </c>
      <c r="Q462" s="702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</row>
    <row r="463" ht="15.75" hidden="1" customHeight="1">
      <c r="A463" s="90"/>
      <c r="B463" s="2"/>
      <c r="C463" s="90"/>
      <c r="D463" s="185" t="s">
        <v>248</v>
      </c>
      <c r="E463" s="264"/>
      <c r="F463" s="187">
        <v>2.0</v>
      </c>
      <c r="G463" s="187">
        <v>6.0</v>
      </c>
      <c r="H463" s="187"/>
      <c r="I463" s="164">
        <v>180.0</v>
      </c>
      <c r="J463" s="706">
        <v>-0.12</v>
      </c>
      <c r="K463" s="183">
        <v>6.0</v>
      </c>
      <c r="L463" s="183"/>
      <c r="M463" s="183"/>
      <c r="N463" s="183"/>
      <c r="O463" s="699">
        <f>I463/VLOOKUP(K463,Sheet1!$D$7:$N$16,G463+1,FALSE)</f>
        <v>243.2432432</v>
      </c>
      <c r="P463" s="684" t="str">
        <f t="shared" si="17"/>
        <v>#REF!</v>
      </c>
      <c r="Q463" s="702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</row>
    <row r="464" ht="3.75" hidden="1" customHeight="1">
      <c r="A464" s="90"/>
      <c r="B464" s="2"/>
      <c r="C464" s="90"/>
      <c r="D464" s="138"/>
      <c r="E464" s="321"/>
      <c r="F464" s="102"/>
      <c r="G464" s="102"/>
      <c r="H464" s="102"/>
      <c r="I464" s="247"/>
      <c r="J464" s="267"/>
      <c r="K464" s="183"/>
      <c r="L464" s="183"/>
      <c r="M464" s="183"/>
      <c r="N464" s="183"/>
      <c r="O464" s="699" t="str">
        <f>I464/VLOOKUP(K464,Sheet1!$D$7:$N$16,G464+1,FALSE)</f>
        <v>#N/A</v>
      </c>
      <c r="P464" s="684" t="str">
        <f t="shared" si="17"/>
        <v>#REF!</v>
      </c>
      <c r="Q464" s="702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</row>
    <row r="465" ht="15.75" hidden="1" customHeight="1">
      <c r="A465" s="90"/>
      <c r="B465" s="2"/>
      <c r="C465" s="90"/>
      <c r="D465" s="185" t="s">
        <v>51</v>
      </c>
      <c r="E465" s="224"/>
      <c r="F465" s="187">
        <v>4.0</v>
      </c>
      <c r="G465" s="187">
        <v>4.0</v>
      </c>
      <c r="H465" s="187"/>
      <c r="I465" s="164">
        <v>132.5</v>
      </c>
      <c r="J465" s="744" t="s">
        <v>283</v>
      </c>
      <c r="K465" s="183">
        <v>7.5</v>
      </c>
      <c r="L465" s="183"/>
      <c r="M465" s="183"/>
      <c r="N465" s="183"/>
      <c r="O465" s="699">
        <f>I465/VLOOKUP(K465,Sheet1!$D$7:$N$16,G465+1,FALSE)</f>
        <v>160.1208459</v>
      </c>
      <c r="P465" s="684" t="str">
        <f t="shared" si="17"/>
        <v>#REF!</v>
      </c>
      <c r="Q465" s="702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</row>
    <row r="466" ht="3.75" hidden="1" customHeight="1">
      <c r="A466" s="90"/>
      <c r="B466" s="2"/>
      <c r="C466" s="90"/>
      <c r="D466" s="138"/>
      <c r="E466" s="321"/>
      <c r="F466" s="102"/>
      <c r="G466" s="102"/>
      <c r="H466" s="102"/>
      <c r="I466" s="247"/>
      <c r="J466" s="156"/>
      <c r="K466" s="183"/>
      <c r="L466" s="183"/>
      <c r="M466" s="183"/>
      <c r="N466" s="183"/>
      <c r="O466" s="699" t="str">
        <f>I466/VLOOKUP(K466,Sheet1!$D$7:$N$16,G466+1,FALSE)</f>
        <v>#N/A</v>
      </c>
      <c r="P466" s="684" t="str">
        <f t="shared" si="17"/>
        <v>#REF!</v>
      </c>
      <c r="Q466" s="702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</row>
    <row r="467" ht="15.75" hidden="1" customHeight="1">
      <c r="A467" s="90"/>
      <c r="B467" s="2"/>
      <c r="C467" s="90"/>
      <c r="D467" s="185" t="s">
        <v>253</v>
      </c>
      <c r="E467" s="260"/>
      <c r="F467" s="187">
        <v>3.0</v>
      </c>
      <c r="G467" s="731" t="s">
        <v>251</v>
      </c>
      <c r="H467" s="187"/>
      <c r="I467" s="164"/>
      <c r="J467" s="266">
        <v>8.0</v>
      </c>
      <c r="K467" s="183">
        <v>8.0</v>
      </c>
      <c r="L467" s="183"/>
      <c r="M467" s="183"/>
      <c r="N467" s="183"/>
      <c r="O467" s="699" t="str">
        <f>I467/VLOOKUP(K467,Sheet1!$D$7:$N$16,G467+1,FALSE)</f>
        <v>#REF!</v>
      </c>
      <c r="P467" s="684" t="str">
        <f t="shared" si="17"/>
        <v>#REF!</v>
      </c>
      <c r="Q467" s="702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</row>
    <row r="468" ht="3.75" hidden="1" customHeight="1">
      <c r="A468" s="90"/>
      <c r="B468" s="2"/>
      <c r="C468" s="90"/>
      <c r="D468" s="138"/>
      <c r="E468" s="321"/>
      <c r="F468" s="102"/>
      <c r="G468" s="102"/>
      <c r="H468" s="102"/>
      <c r="I468" s="247"/>
      <c r="J468" s="267"/>
      <c r="K468" s="183"/>
      <c r="L468" s="183"/>
      <c r="M468" s="183"/>
      <c r="N468" s="183"/>
      <c r="O468" s="699" t="str">
        <f>I468/VLOOKUP(K468,Sheet1!$D$7:$N$16,G468+1,FALSE)</f>
        <v>#N/A</v>
      </c>
      <c r="P468" s="684" t="str">
        <f t="shared" si="17"/>
        <v>#REF!</v>
      </c>
      <c r="Q468" s="702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</row>
    <row r="469" ht="15.75" hidden="1" customHeight="1">
      <c r="A469" s="90"/>
      <c r="B469" s="2"/>
      <c r="C469" s="90"/>
      <c r="D469" s="185"/>
      <c r="E469" s="264"/>
      <c r="F469" s="187"/>
      <c r="G469" s="187"/>
      <c r="H469" s="187"/>
      <c r="I469" s="164"/>
      <c r="J469" s="706"/>
      <c r="K469" s="183"/>
      <c r="L469" s="183"/>
      <c r="M469" s="183"/>
      <c r="N469" s="183"/>
      <c r="O469" s="699" t="str">
        <f>I469/VLOOKUP(K469,Sheet1!$D$7:$N$16,G469+1,FALSE)</f>
        <v>#N/A</v>
      </c>
      <c r="P469" s="684" t="str">
        <f t="shared" si="17"/>
        <v>#REF!</v>
      </c>
      <c r="Q469" s="702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</row>
    <row r="470" ht="3.75" hidden="1" customHeight="1">
      <c r="A470" s="90"/>
      <c r="B470" s="2"/>
      <c r="C470" s="90"/>
      <c r="D470" s="138"/>
      <c r="E470" s="321"/>
      <c r="F470" s="102"/>
      <c r="G470" s="102"/>
      <c r="H470" s="102"/>
      <c r="I470" s="247"/>
      <c r="J470" s="267"/>
      <c r="K470" s="183"/>
      <c r="L470" s="183"/>
      <c r="M470" s="183"/>
      <c r="N470" s="183"/>
      <c r="O470" s="699" t="str">
        <f>I470/VLOOKUP(K470,Sheet1!$D$7:$N$16,G470+1,FALSE)</f>
        <v>#N/A</v>
      </c>
      <c r="P470" s="684" t="str">
        <f t="shared" si="17"/>
        <v>#REF!</v>
      </c>
      <c r="Q470" s="702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</row>
    <row r="471" ht="15.75" hidden="1" customHeight="1">
      <c r="A471" s="90"/>
      <c r="B471" s="2"/>
      <c r="C471" s="90"/>
      <c r="D471" s="185" t="s">
        <v>88</v>
      </c>
      <c r="E471" s="264"/>
      <c r="F471" s="187">
        <v>3.0</v>
      </c>
      <c r="G471" s="731" t="s">
        <v>251</v>
      </c>
      <c r="H471" s="187"/>
      <c r="I471" s="164"/>
      <c r="J471" s="266">
        <v>9.0</v>
      </c>
      <c r="K471" s="183">
        <v>9.0</v>
      </c>
      <c r="L471" s="183"/>
      <c r="M471" s="183"/>
      <c r="N471" s="183"/>
      <c r="O471" s="699" t="str">
        <f>I471/VLOOKUP(K471,Sheet1!$D$7:$N$16,G471+1,FALSE)</f>
        <v>#REF!</v>
      </c>
      <c r="P471" s="684" t="str">
        <f t="shared" si="17"/>
        <v>#REF!</v>
      </c>
      <c r="Q471" s="702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</row>
    <row r="472" ht="3.75" hidden="1" customHeight="1">
      <c r="A472" s="90"/>
      <c r="B472" s="2"/>
      <c r="C472" s="90"/>
      <c r="D472" s="138"/>
      <c r="E472" s="321"/>
      <c r="F472" s="102"/>
      <c r="G472" s="102"/>
      <c r="H472" s="102"/>
      <c r="I472" s="247"/>
      <c r="J472" s="267"/>
      <c r="K472" s="183"/>
      <c r="L472" s="183"/>
      <c r="M472" s="183"/>
      <c r="N472" s="183"/>
      <c r="O472" s="699" t="str">
        <f>I472/VLOOKUP(K472,Sheet1!$D$7:$N$16,G472+1,FALSE)</f>
        <v>#N/A</v>
      </c>
      <c r="P472" s="684" t="str">
        <f t="shared" si="17"/>
        <v>#REF!</v>
      </c>
      <c r="Q472" s="702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</row>
    <row r="473" ht="20.25" hidden="1" customHeight="1">
      <c r="A473" s="90"/>
      <c r="B473" s="2"/>
      <c r="C473" s="90"/>
      <c r="D473" s="185"/>
      <c r="E473" s="264"/>
      <c r="F473" s="187"/>
      <c r="G473" s="187"/>
      <c r="H473" s="187"/>
      <c r="I473" s="164"/>
      <c r="J473" s="266"/>
      <c r="K473" s="183"/>
      <c r="L473" s="183"/>
      <c r="M473" s="183"/>
      <c r="N473" s="183"/>
      <c r="O473" s="699" t="str">
        <f>I473/VLOOKUP(K473,Sheet1!$D$7:$N$16,G473+1,FALSE)</f>
        <v>#N/A</v>
      </c>
      <c r="P473" s="684" t="str">
        <f t="shared" si="17"/>
        <v>#REF!</v>
      </c>
      <c r="Q473" s="702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</row>
    <row r="474" ht="3.75" hidden="1" customHeight="1">
      <c r="A474" s="191"/>
      <c r="B474" s="719"/>
      <c r="C474" s="192"/>
      <c r="D474" s="138"/>
      <c r="E474" s="263"/>
      <c r="F474" s="194"/>
      <c r="G474" s="194"/>
      <c r="H474" s="194"/>
      <c r="I474" s="164"/>
      <c r="J474" s="267"/>
      <c r="K474" s="183"/>
      <c r="L474" s="183"/>
      <c r="M474" s="183"/>
      <c r="N474" s="183"/>
      <c r="O474" s="699" t="str">
        <f>I474/VLOOKUP(K474,Sheet1!$D$7:$N$16,G474+1,FALSE)</f>
        <v>#N/A</v>
      </c>
      <c r="P474" s="684" t="str">
        <f t="shared" si="17"/>
        <v>#REF!</v>
      </c>
      <c r="Q474" s="702"/>
      <c r="R474" s="158"/>
      <c r="S474" s="158"/>
      <c r="T474" s="158"/>
      <c r="U474" s="158"/>
      <c r="V474" s="158"/>
      <c r="W474" s="158"/>
      <c r="X474" s="158"/>
      <c r="Y474" s="158"/>
      <c r="Z474" s="158"/>
      <c r="AA474" s="158"/>
      <c r="AB474" s="158"/>
      <c r="AC474" s="158"/>
      <c r="AD474" s="158"/>
      <c r="AE474" s="158"/>
      <c r="AF474" s="158"/>
    </row>
    <row r="475" ht="15.75" hidden="1" customHeight="1">
      <c r="A475" s="90"/>
      <c r="B475" s="2"/>
      <c r="C475" s="90"/>
      <c r="D475" s="185" t="s">
        <v>254</v>
      </c>
      <c r="E475" s="266"/>
      <c r="F475" s="187">
        <v>3.0</v>
      </c>
      <c r="G475" s="731" t="s">
        <v>251</v>
      </c>
      <c r="H475" s="187"/>
      <c r="I475" s="164"/>
      <c r="J475" s="266">
        <v>9.0</v>
      </c>
      <c r="K475" s="183">
        <v>9.0</v>
      </c>
      <c r="L475" s="183"/>
      <c r="M475" s="183"/>
      <c r="N475" s="183"/>
      <c r="O475" s="699" t="str">
        <f>I475/VLOOKUP(K475,Sheet1!$D$7:$N$16,G475+1,FALSE)</f>
        <v>#REF!</v>
      </c>
      <c r="P475" s="684" t="str">
        <f t="shared" si="17"/>
        <v>#REF!</v>
      </c>
      <c r="Q475" s="702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</row>
    <row r="476" ht="3.75" hidden="1" customHeight="1">
      <c r="A476" s="90"/>
      <c r="B476" s="2"/>
      <c r="C476" s="90"/>
      <c r="D476" s="138"/>
      <c r="E476" s="252"/>
      <c r="F476" s="102"/>
      <c r="G476" s="102"/>
      <c r="H476" s="102"/>
      <c r="I476" s="247"/>
      <c r="J476" s="156"/>
      <c r="K476" s="183"/>
      <c r="L476" s="183"/>
      <c r="M476" s="183"/>
      <c r="N476" s="183"/>
      <c r="O476" s="699" t="str">
        <f>I476/VLOOKUP(K476,Sheet1!$D$7:$N$16,G476+1,FALSE)</f>
        <v>#N/A</v>
      </c>
      <c r="P476" s="684" t="str">
        <f t="shared" si="17"/>
        <v>#REF!</v>
      </c>
      <c r="Q476" s="702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</row>
    <row r="477" ht="15.75" hidden="1" customHeight="1">
      <c r="A477" s="90"/>
      <c r="B477" s="2"/>
      <c r="C477" s="90"/>
      <c r="D477" s="185" t="s">
        <v>255</v>
      </c>
      <c r="E477" s="260"/>
      <c r="F477" s="187">
        <v>3.0</v>
      </c>
      <c r="G477" s="731" t="s">
        <v>251</v>
      </c>
      <c r="H477" s="187"/>
      <c r="I477" s="164"/>
      <c r="J477" s="266">
        <v>9.0</v>
      </c>
      <c r="K477" s="183"/>
      <c r="L477" s="183"/>
      <c r="M477" s="183"/>
      <c r="N477" s="183"/>
      <c r="O477" s="699" t="str">
        <f>I477/VLOOKUP(K477,Sheet1!$D$7:$N$16,G477+1,FALSE)</f>
        <v>#REF!</v>
      </c>
      <c r="P477" s="684" t="str">
        <f t="shared" si="17"/>
        <v>#REF!</v>
      </c>
      <c r="Q477" s="702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</row>
    <row r="478" ht="3.75" hidden="1" customHeight="1">
      <c r="A478" s="191"/>
      <c r="B478" s="719"/>
      <c r="C478" s="192"/>
      <c r="D478" s="138"/>
      <c r="E478" s="267"/>
      <c r="F478" s="194"/>
      <c r="G478" s="194"/>
      <c r="H478" s="194"/>
      <c r="I478" s="164"/>
      <c r="J478" s="267"/>
      <c r="K478" s="183"/>
      <c r="L478" s="183"/>
      <c r="M478" s="183"/>
      <c r="N478" s="183"/>
      <c r="O478" s="699" t="str">
        <f>I478/VLOOKUP(K478,Sheet1!$D$7:$N$16,G478+1,FALSE)</f>
        <v>#N/A</v>
      </c>
      <c r="P478" s="684" t="str">
        <f t="shared" si="17"/>
        <v>#REF!</v>
      </c>
      <c r="Q478" s="702"/>
      <c r="R478" s="158"/>
      <c r="S478" s="158"/>
      <c r="T478" s="158"/>
      <c r="U478" s="158"/>
      <c r="V478" s="158"/>
      <c r="W478" s="158"/>
      <c r="X478" s="158"/>
      <c r="Y478" s="158"/>
      <c r="Z478" s="158"/>
      <c r="AA478" s="158"/>
      <c r="AB478" s="158"/>
      <c r="AC478" s="158"/>
      <c r="AD478" s="158"/>
      <c r="AE478" s="158"/>
      <c r="AF478" s="158"/>
    </row>
    <row r="479" ht="15.75" hidden="1" customHeight="1">
      <c r="A479" s="90"/>
      <c r="B479" s="2"/>
      <c r="C479" s="90"/>
      <c r="D479" s="185" t="s">
        <v>256</v>
      </c>
      <c r="E479" s="266"/>
      <c r="F479" s="187">
        <v>3.0</v>
      </c>
      <c r="G479" s="187" t="s">
        <v>16</v>
      </c>
      <c r="H479" s="187"/>
      <c r="I479" s="164"/>
      <c r="J479" s="266">
        <v>9.0</v>
      </c>
      <c r="K479" s="183"/>
      <c r="L479" s="183"/>
      <c r="M479" s="183"/>
      <c r="N479" s="183"/>
      <c r="O479" s="699" t="str">
        <f>I479/VLOOKUP(K479,Sheet1!$D$7:$N$16,G479+1,FALSE)</f>
        <v>#VALUE!</v>
      </c>
      <c r="P479" s="684" t="str">
        <f t="shared" si="17"/>
        <v>#REF!</v>
      </c>
      <c r="Q479" s="702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</row>
    <row r="480" ht="3.75" hidden="1" customHeight="1">
      <c r="A480" s="90"/>
      <c r="B480" s="2"/>
      <c r="C480" s="90"/>
      <c r="D480" s="138"/>
      <c r="E480" s="252"/>
      <c r="F480" s="102"/>
      <c r="G480" s="102"/>
      <c r="H480" s="102"/>
      <c r="I480" s="247"/>
      <c r="J480" s="156"/>
      <c r="K480" s="183"/>
      <c r="L480" s="183"/>
      <c r="M480" s="183"/>
      <c r="N480" s="183"/>
      <c r="O480" s="699" t="str">
        <f>I480/VLOOKUP(K480,Sheet1!$D$7:$N$16,G480+1,FALSE)</f>
        <v>#N/A</v>
      </c>
      <c r="P480" s="684" t="str">
        <f t="shared" si="17"/>
        <v>#REF!</v>
      </c>
      <c r="Q480" s="702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</row>
    <row r="481" ht="15.75" hidden="1" customHeight="1">
      <c r="A481" s="90"/>
      <c r="B481" s="2"/>
      <c r="C481" s="90"/>
      <c r="D481" s="185"/>
      <c r="E481" s="266"/>
      <c r="F481" s="187"/>
      <c r="G481" s="187"/>
      <c r="H481" s="187"/>
      <c r="I481" s="164"/>
      <c r="J481" s="266"/>
      <c r="K481" s="183"/>
      <c r="L481" s="183"/>
      <c r="M481" s="183"/>
      <c r="N481" s="183"/>
      <c r="O481" s="699" t="str">
        <f>I481/VLOOKUP(K481,Sheet1!$D$7:$N$16,G481+1,FALSE)</f>
        <v>#N/A</v>
      </c>
      <c r="P481" s="684" t="str">
        <f t="shared" si="17"/>
        <v>#REF!</v>
      </c>
      <c r="Q481" s="697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</row>
    <row r="482" ht="3.75" hidden="1" customHeight="1">
      <c r="A482" s="90"/>
      <c r="B482" s="2"/>
      <c r="C482" s="90"/>
      <c r="D482" s="90"/>
      <c r="E482" s="156"/>
      <c r="F482" s="102"/>
      <c r="G482" s="102"/>
      <c r="H482" s="102"/>
      <c r="I482" s="102"/>
      <c r="J482" s="156"/>
      <c r="K482" s="720"/>
      <c r="L482" s="201"/>
      <c r="M482" s="201"/>
      <c r="N482" s="201"/>
      <c r="O482" s="699" t="str">
        <f>I482/VLOOKUP(K482,Sheet1!$D$7:$N$16,G482+1,FALSE)</f>
        <v>#N/A</v>
      </c>
      <c r="P482" s="684" t="str">
        <f t="shared" si="17"/>
        <v>#REF!</v>
      </c>
      <c r="Q482" s="720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</row>
    <row r="483" ht="30.75" hidden="1" customHeight="1">
      <c r="A483" s="90"/>
      <c r="B483" s="2"/>
      <c r="C483" s="90"/>
      <c r="D483" s="686" t="s">
        <v>257</v>
      </c>
      <c r="E483" s="687" t="s">
        <v>15</v>
      </c>
      <c r="F483" s="721" t="s">
        <v>16</v>
      </c>
      <c r="G483" s="722" t="s">
        <v>17</v>
      </c>
      <c r="H483" s="723"/>
      <c r="I483" s="724"/>
      <c r="J483" s="725" t="s">
        <v>241</v>
      </c>
      <c r="K483" s="691"/>
      <c r="L483" s="692"/>
      <c r="M483" s="692"/>
      <c r="N483" s="692"/>
      <c r="O483" s="699"/>
      <c r="P483" s="684"/>
      <c r="Q483" s="693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</row>
    <row r="484" ht="14.25" hidden="1" customHeight="1">
      <c r="A484" s="90"/>
      <c r="B484" s="2"/>
      <c r="C484" s="90"/>
      <c r="D484" s="257" t="s">
        <v>25</v>
      </c>
      <c r="E484" s="257" t="s">
        <v>26</v>
      </c>
      <c r="F484" s="680"/>
      <c r="G484" s="681"/>
      <c r="H484" s="723"/>
      <c r="I484" s="681"/>
      <c r="J484" s="725" t="s">
        <v>244</v>
      </c>
      <c r="K484" s="697"/>
      <c r="L484" s="692"/>
      <c r="M484" s="692"/>
      <c r="N484" s="692"/>
      <c r="O484" s="699"/>
      <c r="P484" s="684"/>
      <c r="Q484" s="698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</row>
    <row r="485" ht="3.75" hidden="1" customHeight="1">
      <c r="A485" s="191"/>
      <c r="B485" s="719"/>
      <c r="C485" s="192"/>
      <c r="D485" s="203"/>
      <c r="E485" s="203"/>
      <c r="F485" s="726"/>
      <c r="G485" s="726"/>
      <c r="H485" s="726"/>
      <c r="I485" s="727"/>
      <c r="J485" s="728"/>
      <c r="K485" s="192"/>
      <c r="L485" s="194"/>
      <c r="M485" s="194"/>
      <c r="N485" s="194"/>
      <c r="O485" s="699"/>
      <c r="P485" s="684" t="str">
        <f t="shared" ref="P485:P507" si="18">I485-#REF!</f>
        <v>#REF!</v>
      </c>
      <c r="Q485" s="192"/>
      <c r="R485" s="158"/>
      <c r="S485" s="158"/>
      <c r="T485" s="158"/>
      <c r="U485" s="158"/>
      <c r="V485" s="158"/>
      <c r="W485" s="158"/>
      <c r="X485" s="158"/>
      <c r="Y485" s="158"/>
      <c r="Z485" s="158"/>
      <c r="AA485" s="158"/>
      <c r="AB485" s="158"/>
      <c r="AC485" s="158"/>
      <c r="AD485" s="158"/>
      <c r="AE485" s="158"/>
      <c r="AF485" s="158"/>
    </row>
    <row r="486" ht="15.75" hidden="1" customHeight="1">
      <c r="A486" s="124"/>
      <c r="B486" s="2"/>
      <c r="C486" s="124"/>
      <c r="D486" s="185"/>
      <c r="E486" s="732"/>
      <c r="F486" s="187"/>
      <c r="G486" s="187"/>
      <c r="H486" s="187"/>
      <c r="I486" s="164"/>
      <c r="J486" s="266"/>
      <c r="K486" s="183"/>
      <c r="L486" s="183"/>
      <c r="M486" s="183"/>
      <c r="N486" s="183"/>
      <c r="O486" s="699" t="str">
        <f>I486/VLOOKUP(K486,Sheet1!$D$7:$N$16,G486+1,FALSE)</f>
        <v>#N/A</v>
      </c>
      <c r="P486" s="684" t="str">
        <f t="shared" si="18"/>
        <v>#REF!</v>
      </c>
      <c r="Q486" s="730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</row>
    <row r="487" ht="3.75" hidden="1" customHeight="1">
      <c r="A487" s="124"/>
      <c r="B487" s="2"/>
      <c r="C487" s="124"/>
      <c r="D487" s="138"/>
      <c r="E487" s="252"/>
      <c r="F487" s="102"/>
      <c r="G487" s="102"/>
      <c r="H487" s="102"/>
      <c r="I487" s="247"/>
      <c r="J487" s="156"/>
      <c r="K487" s="183"/>
      <c r="L487" s="183"/>
      <c r="M487" s="183"/>
      <c r="N487" s="183"/>
      <c r="O487" s="699" t="str">
        <f>I487/VLOOKUP(K487,Sheet1!$D$7:$N$16,G487+1,FALSE)</f>
        <v>#N/A</v>
      </c>
      <c r="P487" s="684" t="str">
        <f t="shared" si="18"/>
        <v>#REF!</v>
      </c>
      <c r="Q487" s="702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</row>
    <row r="488" ht="15.75" hidden="1" customHeight="1">
      <c r="A488" s="90"/>
      <c r="B488" s="2"/>
      <c r="C488" s="90"/>
      <c r="D488" s="185"/>
      <c r="E488" s="224"/>
      <c r="F488" s="187"/>
      <c r="G488" s="187"/>
      <c r="H488" s="187"/>
      <c r="I488" s="164"/>
      <c r="J488" s="266"/>
      <c r="K488" s="183"/>
      <c r="L488" s="183"/>
      <c r="M488" s="183"/>
      <c r="N488" s="183"/>
      <c r="O488" s="699" t="str">
        <f>I488/VLOOKUP(K488,Sheet1!$D$7:$N$16,G488+1,FALSE)</f>
        <v>#N/A</v>
      </c>
      <c r="P488" s="684" t="str">
        <f t="shared" si="18"/>
        <v>#REF!</v>
      </c>
      <c r="Q488" s="702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</row>
    <row r="489" ht="3.75" hidden="1" customHeight="1">
      <c r="A489" s="90"/>
      <c r="B489" s="2"/>
      <c r="C489" s="90"/>
      <c r="D489" s="138"/>
      <c r="E489" s="252"/>
      <c r="F489" s="102"/>
      <c r="G489" s="102"/>
      <c r="H489" s="102"/>
      <c r="I489" s="247"/>
      <c r="J489" s="156"/>
      <c r="K489" s="183"/>
      <c r="L489" s="183"/>
      <c r="M489" s="183"/>
      <c r="N489" s="183"/>
      <c r="O489" s="699" t="str">
        <f>I489/VLOOKUP(K489,Sheet1!$D$7:$N$16,G489+1,FALSE)</f>
        <v>#N/A</v>
      </c>
      <c r="P489" s="684" t="str">
        <f t="shared" si="18"/>
        <v>#REF!</v>
      </c>
      <c r="Q489" s="702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</row>
    <row r="490" ht="15.75" hidden="1" customHeight="1">
      <c r="A490" s="90"/>
      <c r="B490" s="2"/>
      <c r="C490" s="90"/>
      <c r="D490" s="185"/>
      <c r="E490" s="264"/>
      <c r="F490" s="187"/>
      <c r="G490" s="187"/>
      <c r="H490" s="187"/>
      <c r="I490" s="164"/>
      <c r="J490" s="266"/>
      <c r="K490" s="183"/>
      <c r="L490" s="183"/>
      <c r="M490" s="183"/>
      <c r="N490" s="183"/>
      <c r="O490" s="699" t="str">
        <f>I490/VLOOKUP(K490,Sheet1!$D$7:$N$16,G490+1,FALSE)</f>
        <v>#N/A</v>
      </c>
      <c r="P490" s="684" t="str">
        <f t="shared" si="18"/>
        <v>#REF!</v>
      </c>
      <c r="Q490" s="702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</row>
    <row r="491" ht="3.75" hidden="1" customHeight="1">
      <c r="A491" s="90"/>
      <c r="B491" s="2"/>
      <c r="C491" s="90"/>
      <c r="D491" s="138"/>
      <c r="E491" s="252"/>
      <c r="F491" s="102"/>
      <c r="G491" s="102"/>
      <c r="H491" s="102"/>
      <c r="I491" s="247"/>
      <c r="J491" s="156"/>
      <c r="K491" s="183"/>
      <c r="L491" s="183"/>
      <c r="M491" s="183"/>
      <c r="N491" s="183"/>
      <c r="O491" s="699" t="str">
        <f>I491/VLOOKUP(K491,Sheet1!$D$7:$N$16,G491+1,FALSE)</f>
        <v>#N/A</v>
      </c>
      <c r="P491" s="684" t="str">
        <f t="shared" si="18"/>
        <v>#REF!</v>
      </c>
      <c r="Q491" s="702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</row>
    <row r="492" ht="15.75" hidden="1" customHeight="1">
      <c r="A492" s="90"/>
      <c r="B492" s="2"/>
      <c r="C492" s="90"/>
      <c r="D492" s="185"/>
      <c r="E492" s="260"/>
      <c r="F492" s="187"/>
      <c r="G492" s="187"/>
      <c r="H492" s="187"/>
      <c r="I492" s="164"/>
      <c r="J492" s="266"/>
      <c r="K492" s="183"/>
      <c r="L492" s="183"/>
      <c r="M492" s="183"/>
      <c r="N492" s="183"/>
      <c r="O492" s="699" t="str">
        <f>I492/VLOOKUP(K492,Sheet1!$D$7:$N$16,G492+1,FALSE)</f>
        <v>#N/A</v>
      </c>
      <c r="P492" s="684" t="str">
        <f t="shared" si="18"/>
        <v>#REF!</v>
      </c>
      <c r="Q492" s="702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</row>
    <row r="493" ht="3.75" hidden="1" customHeight="1">
      <c r="A493" s="90"/>
      <c r="B493" s="2"/>
      <c r="C493" s="90"/>
      <c r="D493" s="138"/>
      <c r="E493" s="252"/>
      <c r="F493" s="102"/>
      <c r="G493" s="102"/>
      <c r="H493" s="102"/>
      <c r="I493" s="247"/>
      <c r="J493" s="156"/>
      <c r="K493" s="183"/>
      <c r="L493" s="183"/>
      <c r="M493" s="183"/>
      <c r="N493" s="183"/>
      <c r="O493" s="699" t="str">
        <f>I493/VLOOKUP(K493,Sheet1!$D$7:$N$16,G493+1,FALSE)</f>
        <v>#N/A</v>
      </c>
      <c r="P493" s="684" t="str">
        <f t="shared" si="18"/>
        <v>#REF!</v>
      </c>
      <c r="Q493" s="702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</row>
    <row r="494" ht="15.75" hidden="1" customHeight="1">
      <c r="A494" s="90"/>
      <c r="B494" s="2"/>
      <c r="C494" s="90"/>
      <c r="D494" s="185"/>
      <c r="E494" s="260"/>
      <c r="F494" s="187"/>
      <c r="G494" s="187"/>
      <c r="H494" s="187"/>
      <c r="I494" s="164"/>
      <c r="J494" s="266"/>
      <c r="K494" s="183"/>
      <c r="L494" s="183"/>
      <c r="M494" s="183"/>
      <c r="N494" s="183"/>
      <c r="O494" s="699" t="str">
        <f>I494/VLOOKUP(K494,Sheet1!$D$7:$N$16,G494+1,FALSE)</f>
        <v>#N/A</v>
      </c>
      <c r="P494" s="684" t="str">
        <f t="shared" si="18"/>
        <v>#REF!</v>
      </c>
      <c r="Q494" s="702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</row>
    <row r="495" ht="3.75" hidden="1" customHeight="1">
      <c r="A495" s="90"/>
      <c r="B495" s="2"/>
      <c r="C495" s="90"/>
      <c r="D495" s="138"/>
      <c r="E495" s="252"/>
      <c r="F495" s="102"/>
      <c r="G495" s="102"/>
      <c r="H495" s="102"/>
      <c r="I495" s="247"/>
      <c r="J495" s="156"/>
      <c r="K495" s="183"/>
      <c r="L495" s="183"/>
      <c r="M495" s="183"/>
      <c r="N495" s="183"/>
      <c r="O495" s="699" t="str">
        <f>I495/VLOOKUP(K495,Sheet1!$D$7:$N$16,G495+1,FALSE)</f>
        <v>#N/A</v>
      </c>
      <c r="P495" s="684" t="str">
        <f t="shared" si="18"/>
        <v>#REF!</v>
      </c>
      <c r="Q495" s="702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</row>
    <row r="496" ht="15.75" hidden="1" customHeight="1">
      <c r="A496" s="90"/>
      <c r="B496" s="2"/>
      <c r="C496" s="90"/>
      <c r="D496" s="185"/>
      <c r="E496" s="260"/>
      <c r="F496" s="187"/>
      <c r="G496" s="187"/>
      <c r="H496" s="187"/>
      <c r="I496" s="164"/>
      <c r="J496" s="266"/>
      <c r="K496" s="183"/>
      <c r="L496" s="183"/>
      <c r="M496" s="183"/>
      <c r="N496" s="183"/>
      <c r="O496" s="699" t="str">
        <f>I496/VLOOKUP(K496,Sheet1!$D$7:$N$16,G496+1,FALSE)</f>
        <v>#N/A</v>
      </c>
      <c r="P496" s="684" t="str">
        <f t="shared" si="18"/>
        <v>#REF!</v>
      </c>
      <c r="Q496" s="702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</row>
    <row r="497" ht="3.75" hidden="1" customHeight="1">
      <c r="A497" s="90"/>
      <c r="B497" s="2"/>
      <c r="C497" s="90"/>
      <c r="D497" s="138"/>
      <c r="E497" s="252"/>
      <c r="F497" s="102"/>
      <c r="G497" s="102"/>
      <c r="H497" s="102"/>
      <c r="I497" s="247"/>
      <c r="J497" s="267"/>
      <c r="K497" s="183"/>
      <c r="L497" s="183"/>
      <c r="M497" s="183"/>
      <c r="N497" s="183"/>
      <c r="O497" s="699" t="str">
        <f>I497/VLOOKUP(K497,Sheet1!$D$7:$N$16,G497+1,FALSE)</f>
        <v>#N/A</v>
      </c>
      <c r="P497" s="684" t="str">
        <f t="shared" si="18"/>
        <v>#REF!</v>
      </c>
      <c r="Q497" s="702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</row>
    <row r="498" ht="20.25" hidden="1" customHeight="1">
      <c r="A498" s="90"/>
      <c r="B498" s="2"/>
      <c r="C498" s="90"/>
      <c r="D498" s="185"/>
      <c r="E498" s="264"/>
      <c r="F498" s="187"/>
      <c r="G498" s="187"/>
      <c r="H498" s="187"/>
      <c r="I498" s="164"/>
      <c r="J498" s="266"/>
      <c r="K498" s="183"/>
      <c r="L498" s="183"/>
      <c r="M498" s="183"/>
      <c r="N498" s="183"/>
      <c r="O498" s="699" t="str">
        <f>I498/VLOOKUP(K498,Sheet1!$D$7:$N$16,G498+1,FALSE)</f>
        <v>#N/A</v>
      </c>
      <c r="P498" s="684" t="str">
        <f t="shared" si="18"/>
        <v>#REF!</v>
      </c>
      <c r="Q498" s="702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</row>
    <row r="499" ht="3.75" hidden="1" customHeight="1">
      <c r="A499" s="191"/>
      <c r="B499" s="719"/>
      <c r="C499" s="192"/>
      <c r="D499" s="138"/>
      <c r="E499" s="252"/>
      <c r="F499" s="102"/>
      <c r="G499" s="102"/>
      <c r="H499" s="102"/>
      <c r="I499" s="247"/>
      <c r="J499" s="156"/>
      <c r="K499" s="183"/>
      <c r="L499" s="183"/>
      <c r="M499" s="183"/>
      <c r="N499" s="183"/>
      <c r="O499" s="699" t="str">
        <f>I499/VLOOKUP(K499,Sheet1!$D$7:$N$16,G499+1,FALSE)</f>
        <v>#N/A</v>
      </c>
      <c r="P499" s="684" t="str">
        <f t="shared" si="18"/>
        <v>#REF!</v>
      </c>
      <c r="Q499" s="702"/>
      <c r="R499" s="158"/>
      <c r="S499" s="158"/>
      <c r="T499" s="158"/>
      <c r="U499" s="158"/>
      <c r="V499" s="158"/>
      <c r="W499" s="158"/>
      <c r="X499" s="158"/>
      <c r="Y499" s="158"/>
      <c r="Z499" s="158"/>
      <c r="AA499" s="158"/>
      <c r="AB499" s="158"/>
      <c r="AC499" s="158"/>
      <c r="AD499" s="158"/>
      <c r="AE499" s="158"/>
      <c r="AF499" s="158"/>
    </row>
    <row r="500" ht="15.75" hidden="1" customHeight="1">
      <c r="A500" s="90"/>
      <c r="B500" s="2"/>
      <c r="C500" s="90"/>
      <c r="D500" s="185"/>
      <c r="E500" s="260"/>
      <c r="F500" s="187"/>
      <c r="G500" s="187"/>
      <c r="H500" s="187"/>
      <c r="I500" s="164"/>
      <c r="J500" s="266"/>
      <c r="K500" s="183"/>
      <c r="L500" s="183"/>
      <c r="M500" s="183"/>
      <c r="N500" s="183"/>
      <c r="O500" s="699" t="str">
        <f>I500/VLOOKUP(K500,Sheet1!$D$7:$N$16,G500+1,FALSE)</f>
        <v>#N/A</v>
      </c>
      <c r="P500" s="684" t="str">
        <f t="shared" si="18"/>
        <v>#REF!</v>
      </c>
      <c r="Q500" s="702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</row>
    <row r="501" ht="3.75" hidden="1" customHeight="1">
      <c r="A501" s="90"/>
      <c r="B501" s="2"/>
      <c r="C501" s="90"/>
      <c r="D501" s="138"/>
      <c r="E501" s="252"/>
      <c r="F501" s="102"/>
      <c r="G501" s="102"/>
      <c r="H501" s="102"/>
      <c r="I501" s="247"/>
      <c r="J501" s="156"/>
      <c r="K501" s="183"/>
      <c r="L501" s="183"/>
      <c r="M501" s="183"/>
      <c r="N501" s="183"/>
      <c r="O501" s="699" t="str">
        <f>I501/VLOOKUP(K501,Sheet1!$D$7:$N$16,G501+1,FALSE)</f>
        <v>#N/A</v>
      </c>
      <c r="P501" s="684" t="str">
        <f t="shared" si="18"/>
        <v>#REF!</v>
      </c>
      <c r="Q501" s="702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</row>
    <row r="502" ht="15.75" hidden="1" customHeight="1">
      <c r="A502" s="90"/>
      <c r="B502" s="2"/>
      <c r="C502" s="90"/>
      <c r="D502" s="185"/>
      <c r="E502" s="266"/>
      <c r="F502" s="187"/>
      <c r="G502" s="187"/>
      <c r="H502" s="187"/>
      <c r="I502" s="164"/>
      <c r="J502" s="266"/>
      <c r="K502" s="183"/>
      <c r="L502" s="183"/>
      <c r="M502" s="183"/>
      <c r="N502" s="183"/>
      <c r="O502" s="699" t="str">
        <f>I502/VLOOKUP(K502,Sheet1!$D$7:$N$16,G502+1,FALSE)</f>
        <v>#N/A</v>
      </c>
      <c r="P502" s="684" t="str">
        <f t="shared" si="18"/>
        <v>#REF!</v>
      </c>
      <c r="Q502" s="702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</row>
    <row r="503" ht="3.75" hidden="1" customHeight="1">
      <c r="A503" s="191"/>
      <c r="B503" s="719"/>
      <c r="C503" s="192"/>
      <c r="D503" s="138"/>
      <c r="E503" s="267"/>
      <c r="F503" s="194"/>
      <c r="G503" s="194"/>
      <c r="H503" s="194"/>
      <c r="I503" s="164"/>
      <c r="J503" s="267"/>
      <c r="K503" s="183"/>
      <c r="L503" s="183"/>
      <c r="M503" s="183"/>
      <c r="N503" s="183"/>
      <c r="O503" s="699" t="str">
        <f>I503/VLOOKUP(K503,Sheet1!$D$7:$N$16,G503+1,FALSE)</f>
        <v>#N/A</v>
      </c>
      <c r="P503" s="684" t="str">
        <f t="shared" si="18"/>
        <v>#REF!</v>
      </c>
      <c r="Q503" s="702"/>
      <c r="R503" s="158"/>
      <c r="S503" s="158"/>
      <c r="T503" s="158"/>
      <c r="U503" s="158"/>
      <c r="V503" s="158"/>
      <c r="W503" s="158"/>
      <c r="X503" s="158"/>
      <c r="Y503" s="158"/>
      <c r="Z503" s="158"/>
      <c r="AA503" s="158"/>
      <c r="AB503" s="158"/>
      <c r="AC503" s="158"/>
      <c r="AD503" s="158"/>
      <c r="AE503" s="158"/>
      <c r="AF503" s="158"/>
    </row>
    <row r="504" ht="15.75" hidden="1" customHeight="1">
      <c r="A504" s="90"/>
      <c r="B504" s="2"/>
      <c r="C504" s="90"/>
      <c r="D504" s="185"/>
      <c r="E504" s="266"/>
      <c r="F504" s="187"/>
      <c r="G504" s="187"/>
      <c r="H504" s="187"/>
      <c r="I504" s="164"/>
      <c r="J504" s="266"/>
      <c r="K504" s="183"/>
      <c r="L504" s="183"/>
      <c r="M504" s="183"/>
      <c r="N504" s="183"/>
      <c r="O504" s="699" t="str">
        <f>I504/VLOOKUP(K504,Sheet1!$D$7:$N$16,G504+1,FALSE)</f>
        <v>#N/A</v>
      </c>
      <c r="P504" s="684" t="str">
        <f t="shared" si="18"/>
        <v>#REF!</v>
      </c>
      <c r="Q504" s="702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</row>
    <row r="505" ht="3.75" hidden="1" customHeight="1">
      <c r="A505" s="90"/>
      <c r="B505" s="2"/>
      <c r="C505" s="90"/>
      <c r="D505" s="252"/>
      <c r="E505" s="252"/>
      <c r="F505" s="102"/>
      <c r="G505" s="102"/>
      <c r="H505" s="102"/>
      <c r="I505" s="247"/>
      <c r="J505" s="156"/>
      <c r="K505" s="733"/>
      <c r="L505" s="734"/>
      <c r="M505" s="734"/>
      <c r="N505" s="734"/>
      <c r="O505" s="699" t="str">
        <f>I505/VLOOKUP(K505,Sheet1!$D$7:$N$16,G505+1,FALSE)</f>
        <v>#N/A</v>
      </c>
      <c r="P505" s="684" t="str">
        <f t="shared" si="18"/>
        <v>#REF!</v>
      </c>
      <c r="Q505" s="702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</row>
    <row r="506" ht="0.75" hidden="1" customHeight="1">
      <c r="A506" s="90"/>
      <c r="B506" s="2"/>
      <c r="C506" s="90"/>
      <c r="D506" s="274"/>
      <c r="E506" s="266"/>
      <c r="F506" s="187"/>
      <c r="G506" s="187"/>
      <c r="H506" s="187"/>
      <c r="I506" s="164"/>
      <c r="J506" s="266"/>
      <c r="K506" s="733"/>
      <c r="L506" s="734"/>
      <c r="M506" s="734"/>
      <c r="N506" s="734"/>
      <c r="O506" s="699" t="str">
        <f>I506/VLOOKUP(K506,Sheet1!$D$7:$N$16,G506+1,FALSE)</f>
        <v>#N/A</v>
      </c>
      <c r="P506" s="684" t="str">
        <f t="shared" si="18"/>
        <v>#REF!</v>
      </c>
      <c r="Q506" s="697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</row>
    <row r="507" ht="3.75" hidden="1" customHeight="1">
      <c r="A507" s="90"/>
      <c r="B507" s="2"/>
      <c r="C507" s="90"/>
      <c r="D507" s="90"/>
      <c r="E507" s="156"/>
      <c r="F507" s="102"/>
      <c r="G507" s="102"/>
      <c r="H507" s="102"/>
      <c r="I507" s="102"/>
      <c r="J507" s="156"/>
      <c r="K507" s="720"/>
      <c r="L507" s="201"/>
      <c r="M507" s="201"/>
      <c r="N507" s="201"/>
      <c r="O507" s="699"/>
      <c r="P507" s="684" t="str">
        <f t="shared" si="18"/>
        <v>#REF!</v>
      </c>
      <c r="Q507" s="720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</row>
    <row r="508" ht="30.0" hidden="1" customHeight="1">
      <c r="A508" s="90"/>
      <c r="B508" s="2"/>
      <c r="C508" s="90"/>
      <c r="D508" s="686" t="s">
        <v>257</v>
      </c>
      <c r="E508" s="687" t="s">
        <v>15</v>
      </c>
      <c r="F508" s="721" t="s">
        <v>16</v>
      </c>
      <c r="G508" s="722" t="s">
        <v>17</v>
      </c>
      <c r="H508" s="723"/>
      <c r="I508" s="724"/>
      <c r="J508" s="725" t="s">
        <v>241</v>
      </c>
      <c r="K508" s="691"/>
      <c r="L508" s="692"/>
      <c r="M508" s="692"/>
      <c r="N508" s="692"/>
      <c r="O508" s="699"/>
      <c r="P508" s="684"/>
      <c r="Q508" s="693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</row>
    <row r="509" ht="14.25" hidden="1" customHeight="1">
      <c r="A509" s="90"/>
      <c r="B509" s="2"/>
      <c r="C509" s="90"/>
      <c r="D509" s="257" t="s">
        <v>25</v>
      </c>
      <c r="E509" s="257" t="s">
        <v>26</v>
      </c>
      <c r="F509" s="680"/>
      <c r="G509" s="681"/>
      <c r="H509" s="723"/>
      <c r="I509" s="681"/>
      <c r="J509" s="725" t="s">
        <v>244</v>
      </c>
      <c r="K509" s="697"/>
      <c r="L509" s="692"/>
      <c r="M509" s="692"/>
      <c r="N509" s="692"/>
      <c r="O509" s="699"/>
      <c r="P509" s="684"/>
      <c r="Q509" s="698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</row>
    <row r="510" ht="3.75" hidden="1" customHeight="1">
      <c r="A510" s="191"/>
      <c r="B510" s="719"/>
      <c r="C510" s="192"/>
      <c r="D510" s="203"/>
      <c r="E510" s="203"/>
      <c r="F510" s="726"/>
      <c r="G510" s="726"/>
      <c r="H510" s="726"/>
      <c r="I510" s="727"/>
      <c r="J510" s="728"/>
      <c r="K510" s="192"/>
      <c r="L510" s="194"/>
      <c r="M510" s="194"/>
      <c r="N510" s="194"/>
      <c r="O510" s="699" t="str">
        <f>I510/VLOOKUP(K510,Sheet1!$D$7:$N$16,G510+1,FALSE)</f>
        <v>#N/A</v>
      </c>
      <c r="P510" s="684" t="str">
        <f t="shared" ref="P510:P530" si="19">I510-#REF!</f>
        <v>#REF!</v>
      </c>
      <c r="Q510" s="192"/>
      <c r="R510" s="158"/>
      <c r="S510" s="158"/>
      <c r="T510" s="158"/>
      <c r="U510" s="158"/>
      <c r="V510" s="158"/>
      <c r="W510" s="158"/>
      <c r="X510" s="158"/>
      <c r="Y510" s="158"/>
      <c r="Z510" s="158"/>
      <c r="AA510" s="158"/>
      <c r="AB510" s="158"/>
      <c r="AC510" s="158"/>
      <c r="AD510" s="158"/>
      <c r="AE510" s="158"/>
      <c r="AF510" s="158"/>
    </row>
    <row r="511" ht="15.75" hidden="1" customHeight="1">
      <c r="A511" s="124"/>
      <c r="B511" s="2"/>
      <c r="C511" s="124"/>
      <c r="D511" s="185" t="s">
        <v>6</v>
      </c>
      <c r="E511" s="260" t="s">
        <v>284</v>
      </c>
      <c r="F511" s="187">
        <v>1.0</v>
      </c>
      <c r="G511" s="187">
        <v>5.0</v>
      </c>
      <c r="H511" s="187"/>
      <c r="I511" s="164">
        <v>205.0</v>
      </c>
      <c r="J511" s="266">
        <v>7.0</v>
      </c>
      <c r="K511" s="164">
        <v>9.0</v>
      </c>
      <c r="L511" s="164"/>
      <c r="M511" s="164"/>
      <c r="N511" s="164"/>
      <c r="O511" s="699" t="str">
        <f>I511/VLOOKUP(U511,Sheet1!$W$1:$AG$10,G511+1,FALS</f>
        <v>#ERROR!</v>
      </c>
      <c r="P511" s="684" t="str">
        <f t="shared" si="19"/>
        <v>#REF!</v>
      </c>
      <c r="Q511" s="700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</row>
    <row r="512" ht="3.75" hidden="1" customHeight="1">
      <c r="A512" s="124"/>
      <c r="B512" s="2"/>
      <c r="C512" s="124"/>
      <c r="D512" s="138"/>
      <c r="E512" s="252"/>
      <c r="F512" s="140"/>
      <c r="G512" s="140"/>
      <c r="H512" s="140"/>
      <c r="I512" s="701"/>
      <c r="J512" s="141"/>
      <c r="K512" s="164"/>
      <c r="L512" s="164"/>
      <c r="M512" s="164"/>
      <c r="N512" s="164"/>
      <c r="O512" s="699" t="str">
        <f>I512/VLOOKUP(K512,Sheet1!$D$7:$N$16,G512+1,FALSE)</f>
        <v>#N/A</v>
      </c>
      <c r="P512" s="684" t="str">
        <f t="shared" si="19"/>
        <v>#REF!</v>
      </c>
      <c r="Q512" s="702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</row>
    <row r="513" ht="15.0" hidden="1" customHeight="1">
      <c r="A513" s="124"/>
      <c r="B513" s="2"/>
      <c r="C513" s="124"/>
      <c r="D513" s="704" t="s">
        <v>6</v>
      </c>
      <c r="E513" s="260"/>
      <c r="F513" s="187">
        <v>3.0</v>
      </c>
      <c r="G513" s="187">
        <v>5.0</v>
      </c>
      <c r="H513" s="187"/>
      <c r="I513" s="164"/>
      <c r="J513" s="706">
        <v>-0.12</v>
      </c>
      <c r="K513" s="164"/>
      <c r="L513" s="164"/>
      <c r="M513" s="164"/>
      <c r="N513" s="164"/>
      <c r="O513" s="699" t="str">
        <f>I513/VLOOKUP(K513,Sheet1!$D$7:$N$16,G513+1,FALSE)</f>
        <v>#N/A</v>
      </c>
      <c r="P513" s="684" t="str">
        <f t="shared" si="19"/>
        <v>#REF!</v>
      </c>
      <c r="Q513" s="702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</row>
    <row r="514" ht="3.75" hidden="1" customHeight="1">
      <c r="A514" s="124"/>
      <c r="B514" s="2"/>
      <c r="C514" s="124"/>
      <c r="D514" s="138"/>
      <c r="E514" s="252"/>
      <c r="F514" s="102"/>
      <c r="G514" s="102"/>
      <c r="H514" s="102"/>
      <c r="I514" s="247"/>
      <c r="J514" s="156"/>
      <c r="K514" s="164"/>
      <c r="L514" s="164"/>
      <c r="M514" s="164"/>
      <c r="N514" s="164"/>
      <c r="O514" s="699" t="str">
        <f>I514/VLOOKUP(K514,Sheet1!$D$7:$N$16,G514+1,FALSE)</f>
        <v>#N/A</v>
      </c>
      <c r="P514" s="684" t="str">
        <f t="shared" si="19"/>
        <v>#REF!</v>
      </c>
      <c r="Q514" s="702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</row>
    <row r="515" ht="15.75" hidden="1" customHeight="1">
      <c r="A515" s="124"/>
      <c r="B515" s="2"/>
      <c r="C515" s="124"/>
      <c r="D515" s="704"/>
      <c r="E515" s="260"/>
      <c r="F515" s="187"/>
      <c r="G515" s="187"/>
      <c r="H515" s="187"/>
      <c r="I515" s="164"/>
      <c r="J515" s="706"/>
      <c r="K515" s="164"/>
      <c r="L515" s="164"/>
      <c r="M515" s="164"/>
      <c r="N515" s="164"/>
      <c r="O515" s="699" t="str">
        <f>I515/VLOOKUP(K515,Sheet1!$D$7:$N$16,G515+1,FALSE)</f>
        <v>#N/A</v>
      </c>
      <c r="P515" s="684" t="str">
        <f t="shared" si="19"/>
        <v>#REF!</v>
      </c>
      <c r="Q515" s="702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</row>
    <row r="516" ht="3.75" hidden="1" customHeight="1">
      <c r="A516" s="124"/>
      <c r="B516" s="2"/>
      <c r="C516" s="124"/>
      <c r="D516" s="138"/>
      <c r="E516" s="252"/>
      <c r="F516" s="102"/>
      <c r="G516" s="102"/>
      <c r="H516" s="102"/>
      <c r="I516" s="247"/>
      <c r="J516" s="156"/>
      <c r="K516" s="164"/>
      <c r="L516" s="164"/>
      <c r="M516" s="164"/>
      <c r="N516" s="164"/>
      <c r="O516" s="699" t="str">
        <f>I516/VLOOKUP(K516,Sheet1!$D$7:$N$16,G516+1,FALSE)</f>
        <v>#N/A</v>
      </c>
      <c r="P516" s="684" t="str">
        <f t="shared" si="19"/>
        <v>#REF!</v>
      </c>
      <c r="Q516" s="702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</row>
    <row r="517" ht="15.75" hidden="1" customHeight="1">
      <c r="A517" s="124"/>
      <c r="B517" s="2"/>
      <c r="C517" s="124"/>
      <c r="D517" s="185" t="s">
        <v>51</v>
      </c>
      <c r="E517" s="260"/>
      <c r="F517" s="187">
        <v>1.0</v>
      </c>
      <c r="G517" s="187">
        <v>2.0</v>
      </c>
      <c r="H517" s="187"/>
      <c r="I517" s="164"/>
      <c r="J517" s="266">
        <v>7.0</v>
      </c>
      <c r="K517" s="164"/>
      <c r="L517" s="164"/>
      <c r="M517" s="164"/>
      <c r="N517" s="164"/>
      <c r="O517" s="699" t="str">
        <f>I517/VLOOKUP(K517,Sheet1!$D$7:$N$16,G517+1,FALSE)</f>
        <v>#N/A</v>
      </c>
      <c r="P517" s="684" t="str">
        <f t="shared" si="19"/>
        <v>#REF!</v>
      </c>
      <c r="Q517" s="702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</row>
    <row r="518" ht="3.75" hidden="1" customHeight="1">
      <c r="A518" s="90"/>
      <c r="B518" s="2"/>
      <c r="C518" s="90"/>
      <c r="D518" s="138"/>
      <c r="E518" s="252"/>
      <c r="F518" s="102"/>
      <c r="G518" s="102"/>
      <c r="H518" s="102"/>
      <c r="I518" s="247"/>
      <c r="J518" s="156"/>
      <c r="K518" s="164"/>
      <c r="L518" s="164"/>
      <c r="M518" s="164"/>
      <c r="N518" s="164"/>
      <c r="O518" s="699" t="str">
        <f>I518/VLOOKUP(K518,Sheet1!$D$7:$N$16,G518+1,FALSE)</f>
        <v>#N/A</v>
      </c>
      <c r="P518" s="684" t="str">
        <f t="shared" si="19"/>
        <v>#REF!</v>
      </c>
      <c r="Q518" s="702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</row>
    <row r="519" ht="15.75" hidden="1" customHeight="1">
      <c r="A519" s="90"/>
      <c r="B519" s="2"/>
      <c r="C519" s="90"/>
      <c r="D519" s="185" t="s">
        <v>51</v>
      </c>
      <c r="E519" s="260"/>
      <c r="F519" s="187">
        <v>4.0</v>
      </c>
      <c r="G519" s="187">
        <v>4.0</v>
      </c>
      <c r="H519" s="187"/>
      <c r="I519" s="164"/>
      <c r="J519" s="706">
        <v>-0.12</v>
      </c>
      <c r="K519" s="164"/>
      <c r="L519" s="164"/>
      <c r="M519" s="164"/>
      <c r="N519" s="164"/>
      <c r="O519" s="699" t="str">
        <f>I519/VLOOKUP(K519,Sheet1!$D$7:$N$16,G519+1,FALSE)</f>
        <v>#N/A</v>
      </c>
      <c r="P519" s="684" t="str">
        <f t="shared" si="19"/>
        <v>#REF!</v>
      </c>
      <c r="Q519" s="702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</row>
    <row r="520" ht="3.75" hidden="1" customHeight="1">
      <c r="A520" s="191"/>
      <c r="B520" s="719"/>
      <c r="C520" s="192"/>
      <c r="D520" s="138"/>
      <c r="E520" s="252"/>
      <c r="F520" s="102"/>
      <c r="G520" s="102"/>
      <c r="H520" s="102"/>
      <c r="I520" s="247"/>
      <c r="J520" s="156"/>
      <c r="K520" s="164"/>
      <c r="L520" s="164"/>
      <c r="M520" s="164"/>
      <c r="N520" s="164"/>
      <c r="O520" s="699" t="str">
        <f>I520/VLOOKUP(K520,Sheet1!$D$7:$N$16,G520+1,FALSE)</f>
        <v>#N/A</v>
      </c>
      <c r="P520" s="684" t="str">
        <f t="shared" si="19"/>
        <v>#REF!</v>
      </c>
      <c r="Q520" s="702"/>
      <c r="R520" s="158"/>
      <c r="S520" s="158"/>
      <c r="T520" s="158"/>
      <c r="U520" s="158"/>
      <c r="V520" s="158"/>
      <c r="W520" s="158"/>
      <c r="X520" s="158"/>
      <c r="Y520" s="158"/>
      <c r="Z520" s="158"/>
      <c r="AA520" s="158"/>
      <c r="AB520" s="158"/>
      <c r="AC520" s="158"/>
      <c r="AD520" s="158"/>
      <c r="AE520" s="158"/>
      <c r="AF520" s="158"/>
    </row>
    <row r="521" ht="15.75" hidden="1" customHeight="1">
      <c r="A521" s="90"/>
      <c r="B521" s="2"/>
      <c r="C521" s="90"/>
      <c r="D521" s="185" t="s">
        <v>259</v>
      </c>
      <c r="E521" s="260"/>
      <c r="F521" s="187">
        <v>3.0</v>
      </c>
      <c r="G521" s="731" t="s">
        <v>260</v>
      </c>
      <c r="H521" s="187"/>
      <c r="I521" s="164"/>
      <c r="J521" s="266">
        <v>7.0</v>
      </c>
      <c r="K521" s="164"/>
      <c r="L521" s="164"/>
      <c r="M521" s="164"/>
      <c r="N521" s="164"/>
      <c r="O521" s="699" t="str">
        <f>I521/VLOOKUP(K521,Sheet1!$D$7:$N$16,G521+1,FALSE)</f>
        <v>#REF!</v>
      </c>
      <c r="P521" s="684" t="str">
        <f t="shared" si="19"/>
        <v>#REF!</v>
      </c>
      <c r="Q521" s="702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</row>
    <row r="522" ht="3.75" hidden="1" customHeight="1">
      <c r="A522" s="90"/>
      <c r="B522" s="2"/>
      <c r="C522" s="90"/>
      <c r="D522" s="138"/>
      <c r="E522" s="252"/>
      <c r="F522" s="102"/>
      <c r="G522" s="102"/>
      <c r="H522" s="102"/>
      <c r="I522" s="247"/>
      <c r="J522" s="156"/>
      <c r="K522" s="164"/>
      <c r="L522" s="164"/>
      <c r="M522" s="164"/>
      <c r="N522" s="164"/>
      <c r="O522" s="699" t="str">
        <f>I522/VLOOKUP(K522,Sheet1!$D$7:$N$16,G522+1,FALSE)</f>
        <v>#N/A</v>
      </c>
      <c r="P522" s="684" t="str">
        <f t="shared" si="19"/>
        <v>#REF!</v>
      </c>
      <c r="Q522" s="702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</row>
    <row r="523" ht="15.75" hidden="1" customHeight="1">
      <c r="A523" s="90"/>
      <c r="B523" s="2"/>
      <c r="C523" s="90"/>
      <c r="D523" s="185" t="s">
        <v>261</v>
      </c>
      <c r="E523" s="260"/>
      <c r="F523" s="187">
        <v>3.0</v>
      </c>
      <c r="G523" s="731" t="s">
        <v>260</v>
      </c>
      <c r="H523" s="187"/>
      <c r="I523" s="164"/>
      <c r="J523" s="266">
        <v>8.0</v>
      </c>
      <c r="K523" s="164"/>
      <c r="L523" s="164"/>
      <c r="M523" s="164"/>
      <c r="N523" s="164"/>
      <c r="O523" s="699" t="str">
        <f>I523/VLOOKUP(K523,Sheet1!$D$7:$N$16,G523+1,FALSE)</f>
        <v>#REF!</v>
      </c>
      <c r="P523" s="684" t="str">
        <f t="shared" si="19"/>
        <v>#REF!</v>
      </c>
      <c r="Q523" s="702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</row>
    <row r="524" ht="3.75" hidden="1" customHeight="1">
      <c r="A524" s="90"/>
      <c r="B524" s="2"/>
      <c r="C524" s="90"/>
      <c r="D524" s="138"/>
      <c r="E524" s="252"/>
      <c r="F524" s="102"/>
      <c r="G524" s="102"/>
      <c r="H524" s="102"/>
      <c r="I524" s="247"/>
      <c r="J524" s="156"/>
      <c r="K524" s="164"/>
      <c r="L524" s="164"/>
      <c r="M524" s="164"/>
      <c r="N524" s="164"/>
      <c r="O524" s="699" t="str">
        <f>I524/VLOOKUP(K524,Sheet1!$D$7:$N$16,G524+1,FALSE)</f>
        <v>#N/A</v>
      </c>
      <c r="P524" s="684" t="str">
        <f t="shared" si="19"/>
        <v>#REF!</v>
      </c>
      <c r="Q524" s="702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</row>
    <row r="525" ht="15.75" hidden="1" customHeight="1">
      <c r="A525" s="90"/>
      <c r="B525" s="2"/>
      <c r="C525" s="90"/>
      <c r="D525" s="185" t="s">
        <v>262</v>
      </c>
      <c r="E525" s="260"/>
      <c r="F525" s="187">
        <v>3.0</v>
      </c>
      <c r="G525" s="731" t="s">
        <v>260</v>
      </c>
      <c r="H525" s="187"/>
      <c r="I525" s="247"/>
      <c r="J525" s="735">
        <v>8.0</v>
      </c>
      <c r="K525" s="164"/>
      <c r="L525" s="164"/>
      <c r="M525" s="164"/>
      <c r="N525" s="164"/>
      <c r="O525" s="699" t="str">
        <f>I525/VLOOKUP(K525,Sheet1!$D$7:$N$16,G525+1,FALSE)</f>
        <v>#REF!</v>
      </c>
      <c r="P525" s="684" t="str">
        <f t="shared" si="19"/>
        <v>#REF!</v>
      </c>
      <c r="Q525" s="702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</row>
    <row r="526" ht="3.75" hidden="1" customHeight="1">
      <c r="A526" s="90"/>
      <c r="B526" s="2"/>
      <c r="C526" s="90"/>
      <c r="D526" s="138"/>
      <c r="E526" s="252"/>
      <c r="F526" s="102"/>
      <c r="G526" s="102"/>
      <c r="H526" s="102"/>
      <c r="I526" s="247"/>
      <c r="J526" s="156"/>
      <c r="K526" s="164"/>
      <c r="L526" s="164"/>
      <c r="M526" s="164"/>
      <c r="N526" s="164"/>
      <c r="O526" s="699" t="str">
        <f>I526/VLOOKUP(K526,Sheet1!$D$7:$N$16,G526+1,FALSE)</f>
        <v>#N/A</v>
      </c>
      <c r="P526" s="684" t="str">
        <f t="shared" si="19"/>
        <v>#REF!</v>
      </c>
      <c r="Q526" s="702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</row>
    <row r="527" ht="15.75" hidden="1" customHeight="1">
      <c r="A527" s="90"/>
      <c r="B527" s="2"/>
      <c r="C527" s="90"/>
      <c r="D527" s="185" t="s">
        <v>263</v>
      </c>
      <c r="E527" s="260"/>
      <c r="F527" s="187">
        <v>2.0</v>
      </c>
      <c r="G527" s="187">
        <v>15.0</v>
      </c>
      <c r="H527" s="187"/>
      <c r="I527" s="247"/>
      <c r="J527" s="266">
        <v>8.0</v>
      </c>
      <c r="K527" s="164"/>
      <c r="L527" s="164"/>
      <c r="M527" s="164"/>
      <c r="N527" s="164"/>
      <c r="O527" s="699" t="str">
        <f>I527/VLOOKUP(K527,Sheet1!$D$7:$N$16,G527+1,FALSE)</f>
        <v>#REF!</v>
      </c>
      <c r="P527" s="684" t="str">
        <f t="shared" si="19"/>
        <v>#REF!</v>
      </c>
      <c r="Q527" s="702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</row>
    <row r="528" ht="3.75" hidden="1" customHeight="1">
      <c r="A528" s="90"/>
      <c r="B528" s="2"/>
      <c r="C528" s="90"/>
      <c r="D528" s="138"/>
      <c r="E528" s="252"/>
      <c r="F528" s="102"/>
      <c r="G528" s="102"/>
      <c r="H528" s="102"/>
      <c r="I528" s="247"/>
      <c r="J528" s="156"/>
      <c r="K528" s="164"/>
      <c r="L528" s="164"/>
      <c r="M528" s="164"/>
      <c r="N528" s="164"/>
      <c r="O528" s="699" t="str">
        <f>I528/VLOOKUP(K528,Sheet1!$D$7:$N$16,G528+1,FALSE)</f>
        <v>#N/A</v>
      </c>
      <c r="P528" s="684" t="str">
        <f t="shared" si="19"/>
        <v>#REF!</v>
      </c>
      <c r="Q528" s="702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</row>
    <row r="529" ht="15.75" hidden="1" customHeight="1">
      <c r="A529" s="90"/>
      <c r="B529" s="2"/>
      <c r="C529" s="90"/>
      <c r="D529" s="185"/>
      <c r="E529" s="266"/>
      <c r="F529" s="187"/>
      <c r="G529" s="187"/>
      <c r="H529" s="187"/>
      <c r="I529" s="164"/>
      <c r="J529" s="266"/>
      <c r="K529" s="164"/>
      <c r="L529" s="164"/>
      <c r="M529" s="164"/>
      <c r="N529" s="164"/>
      <c r="O529" s="699" t="str">
        <f>I529/VLOOKUP(K529,Sheet1!$D$7:$N$16,G529+1,FALSE)</f>
        <v>#N/A</v>
      </c>
      <c r="P529" s="684" t="str">
        <f t="shared" si="19"/>
        <v>#REF!</v>
      </c>
      <c r="Q529" s="697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</row>
    <row r="530" ht="3.75" hidden="1" customHeight="1">
      <c r="A530" s="124"/>
      <c r="B530" s="2"/>
      <c r="C530" s="124"/>
      <c r="D530" s="252"/>
      <c r="E530" s="252"/>
      <c r="F530" s="102"/>
      <c r="G530" s="102"/>
      <c r="H530" s="102"/>
      <c r="I530" s="102"/>
      <c r="J530" s="156"/>
      <c r="K530" s="259"/>
      <c r="L530" s="201"/>
      <c r="M530" s="201"/>
      <c r="N530" s="201"/>
      <c r="O530" s="699" t="str">
        <f>I530/VLOOKUP(K530,Sheet1!$D$7:$N$16,G530+1,FALSE)</f>
        <v>#N/A</v>
      </c>
      <c r="P530" s="684" t="str">
        <f t="shared" si="19"/>
        <v>#REF!</v>
      </c>
      <c r="Q530" s="259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</row>
    <row r="531" ht="30.75" hidden="1" customHeight="1">
      <c r="A531" s="90"/>
      <c r="B531" s="2"/>
      <c r="C531" s="90"/>
      <c r="D531" s="686" t="s">
        <v>89</v>
      </c>
      <c r="E531" s="687" t="s">
        <v>15</v>
      </c>
      <c r="F531" s="721" t="s">
        <v>16</v>
      </c>
      <c r="G531" s="722" t="s">
        <v>17</v>
      </c>
      <c r="H531" s="723"/>
      <c r="I531" s="724"/>
      <c r="J531" s="725" t="s">
        <v>241</v>
      </c>
      <c r="K531" s="691"/>
      <c r="L531" s="692"/>
      <c r="M531" s="692"/>
      <c r="N531" s="692"/>
      <c r="O531" s="699"/>
      <c r="P531" s="684"/>
      <c r="Q531" s="693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</row>
    <row r="532" ht="14.25" hidden="1" customHeight="1">
      <c r="A532" s="90"/>
      <c r="B532" s="2"/>
      <c r="C532" s="90"/>
      <c r="D532" s="257" t="s">
        <v>25</v>
      </c>
      <c r="E532" s="257" t="s">
        <v>26</v>
      </c>
      <c r="F532" s="680"/>
      <c r="G532" s="681"/>
      <c r="H532" s="723"/>
      <c r="I532" s="681"/>
      <c r="J532" s="725" t="s">
        <v>244</v>
      </c>
      <c r="K532" s="697"/>
      <c r="L532" s="692"/>
      <c r="M532" s="692"/>
      <c r="N532" s="692"/>
      <c r="O532" s="699"/>
      <c r="P532" s="684"/>
      <c r="Q532" s="698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</row>
    <row r="533" ht="3.75" hidden="1" customHeight="1">
      <c r="A533" s="124"/>
      <c r="B533" s="2"/>
      <c r="C533" s="124"/>
      <c r="D533" s="252"/>
      <c r="E533" s="252"/>
      <c r="F533" s="102"/>
      <c r="G533" s="102"/>
      <c r="H533" s="102"/>
      <c r="I533" s="102"/>
      <c r="J533" s="156"/>
      <c r="K533" s="259"/>
      <c r="L533" s="201"/>
      <c r="M533" s="201"/>
      <c r="N533" s="201"/>
      <c r="O533" s="699" t="str">
        <f>I533/VLOOKUP(K533,Sheet1!$D$7:$N$16,G533+1,FALSE)</f>
        <v>#N/A</v>
      </c>
      <c r="P533" s="684" t="str">
        <f t="shared" ref="P533:P546" si="20">I533-#REF!</f>
        <v>#REF!</v>
      </c>
      <c r="Q533" s="259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</row>
    <row r="534" ht="14.25" hidden="1" customHeight="1">
      <c r="A534" s="124"/>
      <c r="B534" s="2"/>
      <c r="C534" s="124"/>
      <c r="D534" s="185" t="s">
        <v>10</v>
      </c>
      <c r="E534" s="260"/>
      <c r="F534" s="187">
        <v>1.0</v>
      </c>
      <c r="G534" s="187">
        <v>5.0</v>
      </c>
      <c r="H534" s="187"/>
      <c r="I534" s="164"/>
      <c r="J534" s="266">
        <v>7.0</v>
      </c>
      <c r="K534" s="164"/>
      <c r="L534" s="164"/>
      <c r="M534" s="164"/>
      <c r="N534" s="164"/>
      <c r="O534" s="699" t="str">
        <f>I534/VLOOKUP(K534,Sheet1!$D$7:$N$16,G534+1,FALSE)</f>
        <v>#N/A</v>
      </c>
      <c r="P534" s="684" t="str">
        <f t="shared" si="20"/>
        <v>#REF!</v>
      </c>
      <c r="Q534" s="736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</row>
    <row r="535" ht="3.75" hidden="1" customHeight="1">
      <c r="A535" s="124"/>
      <c r="B535" s="2"/>
      <c r="C535" s="124"/>
      <c r="D535" s="138"/>
      <c r="E535" s="252"/>
      <c r="F535" s="102"/>
      <c r="G535" s="102"/>
      <c r="H535" s="102"/>
      <c r="I535" s="247"/>
      <c r="J535" s="156"/>
      <c r="K535" s="164"/>
      <c r="L535" s="164"/>
      <c r="M535" s="164"/>
      <c r="N535" s="164"/>
      <c r="O535" s="699" t="str">
        <f>I535/VLOOKUP(K535,Sheet1!$D$7:$N$16,G535+1,FALSE)</f>
        <v>#N/A</v>
      </c>
      <c r="P535" s="684" t="str">
        <f t="shared" si="20"/>
        <v>#REF!</v>
      </c>
      <c r="Q535" s="702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</row>
    <row r="536" ht="14.25" hidden="1" customHeight="1">
      <c r="A536" s="124"/>
      <c r="B536" s="2"/>
      <c r="C536" s="124"/>
      <c r="D536" s="185" t="s">
        <v>10</v>
      </c>
      <c r="E536" s="260"/>
      <c r="F536" s="187">
        <v>3.0</v>
      </c>
      <c r="G536" s="187">
        <v>7.0</v>
      </c>
      <c r="H536" s="187"/>
      <c r="I536" s="164"/>
      <c r="J536" s="706">
        <v>-0.12</v>
      </c>
      <c r="K536" s="164"/>
      <c r="L536" s="164"/>
      <c r="M536" s="164"/>
      <c r="N536" s="164"/>
      <c r="O536" s="699" t="str">
        <f>I536/VLOOKUP(K536,Sheet1!$D$7:$N$16,G536+1,FALSE)</f>
        <v>#N/A</v>
      </c>
      <c r="P536" s="684" t="str">
        <f t="shared" si="20"/>
        <v>#REF!</v>
      </c>
      <c r="Q536" s="702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</row>
    <row r="537" ht="3.75" hidden="1" customHeight="1">
      <c r="A537" s="124"/>
      <c r="B537" s="2"/>
      <c r="C537" s="124"/>
      <c r="D537" s="138"/>
      <c r="E537" s="252"/>
      <c r="F537" s="102"/>
      <c r="G537" s="102"/>
      <c r="H537" s="102"/>
      <c r="I537" s="247"/>
      <c r="J537" s="156"/>
      <c r="K537" s="164"/>
      <c r="L537" s="164"/>
      <c r="M537" s="164"/>
      <c r="N537" s="164"/>
      <c r="O537" s="699" t="str">
        <f>I537/VLOOKUP(K537,Sheet1!$D$7:$N$16,G537+1,FALSE)</f>
        <v>#N/A</v>
      </c>
      <c r="P537" s="684" t="str">
        <f t="shared" si="20"/>
        <v>#REF!</v>
      </c>
      <c r="Q537" s="702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</row>
    <row r="538" ht="14.25" hidden="1" customHeight="1">
      <c r="A538" s="124"/>
      <c r="B538" s="2"/>
      <c r="C538" s="124"/>
      <c r="D538" s="185"/>
      <c r="E538" s="260"/>
      <c r="F538" s="187"/>
      <c r="G538" s="187"/>
      <c r="H538" s="187"/>
      <c r="I538" s="164"/>
      <c r="J538" s="706"/>
      <c r="K538" s="164"/>
      <c r="L538" s="164"/>
      <c r="M538" s="164"/>
      <c r="N538" s="164"/>
      <c r="O538" s="699" t="str">
        <f>I538/VLOOKUP(K538,Sheet1!$D$7:$N$16,G538+1,FALSE)</f>
        <v>#N/A</v>
      </c>
      <c r="P538" s="684" t="str">
        <f t="shared" si="20"/>
        <v>#REF!</v>
      </c>
      <c r="Q538" s="702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</row>
    <row r="539" ht="3.75" hidden="1" customHeight="1">
      <c r="A539" s="124"/>
      <c r="B539" s="2"/>
      <c r="C539" s="124"/>
      <c r="D539" s="138"/>
      <c r="E539" s="252"/>
      <c r="F539" s="102"/>
      <c r="G539" s="102"/>
      <c r="H539" s="102"/>
      <c r="I539" s="247"/>
      <c r="J539" s="156"/>
      <c r="K539" s="164"/>
      <c r="L539" s="164"/>
      <c r="M539" s="164"/>
      <c r="N539" s="164"/>
      <c r="O539" s="699" t="str">
        <f>I539/VLOOKUP(K539,Sheet1!$D$7:$N$16,G539+1,FALSE)</f>
        <v>#N/A</v>
      </c>
      <c r="P539" s="684" t="str">
        <f t="shared" si="20"/>
        <v>#REF!</v>
      </c>
      <c r="Q539" s="702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</row>
    <row r="540" ht="14.25" hidden="1" customHeight="1">
      <c r="A540" s="124"/>
      <c r="B540" s="2"/>
      <c r="C540" s="124"/>
      <c r="D540" s="185"/>
      <c r="E540" s="260"/>
      <c r="F540" s="187"/>
      <c r="G540" s="187"/>
      <c r="H540" s="187"/>
      <c r="I540" s="164"/>
      <c r="J540" s="266"/>
      <c r="K540" s="164"/>
      <c r="L540" s="164"/>
      <c r="M540" s="164"/>
      <c r="N540" s="164"/>
      <c r="O540" s="699" t="str">
        <f>I540/VLOOKUP(K540,Sheet1!$D$7:$N$16,G540+1,FALSE)</f>
        <v>#N/A</v>
      </c>
      <c r="P540" s="684" t="str">
        <f t="shared" si="20"/>
        <v>#REF!</v>
      </c>
      <c r="Q540" s="702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</row>
    <row r="541" ht="3.75" hidden="1" customHeight="1">
      <c r="A541" s="124"/>
      <c r="B541" s="2"/>
      <c r="C541" s="124"/>
      <c r="D541" s="138"/>
      <c r="E541" s="252"/>
      <c r="F541" s="102"/>
      <c r="G541" s="102"/>
      <c r="H541" s="102"/>
      <c r="I541" s="247"/>
      <c r="J541" s="156"/>
      <c r="K541" s="164"/>
      <c r="L541" s="164"/>
      <c r="M541" s="164"/>
      <c r="N541" s="164"/>
      <c r="O541" s="699" t="str">
        <f>I541/VLOOKUP(K541,Sheet1!$D$7:$N$16,G541+1,FALSE)</f>
        <v>#N/A</v>
      </c>
      <c r="P541" s="684" t="str">
        <f t="shared" si="20"/>
        <v>#REF!</v>
      </c>
      <c r="Q541" s="702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</row>
    <row r="542" ht="14.25" hidden="1" customHeight="1">
      <c r="A542" s="124"/>
      <c r="B542" s="2"/>
      <c r="C542" s="124"/>
      <c r="D542" s="185" t="s">
        <v>265</v>
      </c>
      <c r="E542" s="264"/>
      <c r="F542" s="187">
        <v>3.0</v>
      </c>
      <c r="G542" s="187">
        <v>7.0</v>
      </c>
      <c r="H542" s="187"/>
      <c r="I542" s="164"/>
      <c r="J542" s="266">
        <v>7.0</v>
      </c>
      <c r="K542" s="164"/>
      <c r="L542" s="164"/>
      <c r="M542" s="164"/>
      <c r="N542" s="164"/>
      <c r="O542" s="699" t="str">
        <f>I542/VLOOKUP(K542,Sheet1!$D$7:$N$16,G542+1,FALSE)</f>
        <v>#N/A</v>
      </c>
      <c r="P542" s="684" t="str">
        <f t="shared" si="20"/>
        <v>#REF!</v>
      </c>
      <c r="Q542" s="702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</row>
    <row r="543" ht="3.75" hidden="1" customHeight="1">
      <c r="A543" s="261"/>
      <c r="B543" s="719"/>
      <c r="C543" s="262"/>
      <c r="D543" s="138"/>
      <c r="E543" s="252"/>
      <c r="F543" s="102"/>
      <c r="G543" s="102"/>
      <c r="H543" s="102"/>
      <c r="I543" s="247"/>
      <c r="J543" s="156"/>
      <c r="K543" s="164"/>
      <c r="L543" s="164"/>
      <c r="M543" s="164"/>
      <c r="N543" s="164"/>
      <c r="O543" s="699" t="str">
        <f>I543/VLOOKUP(K543,Sheet1!$D$7:$N$16,G543+1,FALSE)</f>
        <v>#N/A</v>
      </c>
      <c r="P543" s="684" t="str">
        <f t="shared" si="20"/>
        <v>#REF!</v>
      </c>
      <c r="Q543" s="702"/>
      <c r="R543" s="158"/>
      <c r="S543" s="158"/>
      <c r="T543" s="158"/>
      <c r="U543" s="158"/>
      <c r="V543" s="158"/>
      <c r="W543" s="158"/>
      <c r="X543" s="158"/>
      <c r="Y543" s="158"/>
      <c r="Z543" s="158"/>
      <c r="AA543" s="158"/>
      <c r="AB543" s="158"/>
      <c r="AC543" s="158"/>
      <c r="AD543" s="158"/>
      <c r="AE543" s="158"/>
      <c r="AF543" s="158"/>
    </row>
    <row r="544" ht="14.25" hidden="1" customHeight="1">
      <c r="A544" s="124"/>
      <c r="B544" s="2"/>
      <c r="C544" s="124"/>
      <c r="D544" s="185"/>
      <c r="E544" s="260"/>
      <c r="F544" s="187"/>
      <c r="G544" s="187"/>
      <c r="H544" s="187"/>
      <c r="I544" s="164"/>
      <c r="J544" s="266"/>
      <c r="K544" s="164"/>
      <c r="L544" s="164"/>
      <c r="M544" s="164"/>
      <c r="N544" s="164"/>
      <c r="O544" s="699" t="str">
        <f>I544/VLOOKUP(K544,Sheet1!$D$7:$N$16,G544+1,FALSE)</f>
        <v>#N/A</v>
      </c>
      <c r="P544" s="684" t="str">
        <f t="shared" si="20"/>
        <v>#REF!</v>
      </c>
      <c r="Q544" s="702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</row>
    <row r="545" ht="3.75" hidden="1" customHeight="1">
      <c r="A545" s="261"/>
      <c r="B545" s="719"/>
      <c r="C545" s="262"/>
      <c r="D545" s="138"/>
      <c r="E545" s="252"/>
      <c r="F545" s="102"/>
      <c r="G545" s="102"/>
      <c r="H545" s="102"/>
      <c r="I545" s="247"/>
      <c r="J545" s="156"/>
      <c r="K545" s="164"/>
      <c r="L545" s="164"/>
      <c r="M545" s="164"/>
      <c r="N545" s="164"/>
      <c r="O545" s="699" t="str">
        <f>I545/VLOOKUP(K545,Sheet1!$D$7:$N$16,G545+1,FALSE)</f>
        <v>#N/A</v>
      </c>
      <c r="P545" s="684" t="str">
        <f t="shared" si="20"/>
        <v>#REF!</v>
      </c>
      <c r="Q545" s="702"/>
      <c r="R545" s="158"/>
      <c r="S545" s="158"/>
      <c r="T545" s="158"/>
      <c r="U545" s="158"/>
      <c r="V545" s="158"/>
      <c r="W545" s="158"/>
      <c r="X545" s="158"/>
      <c r="Y545" s="158"/>
      <c r="Z545" s="158"/>
      <c r="AA545" s="158"/>
      <c r="AB545" s="158"/>
      <c r="AC545" s="158"/>
      <c r="AD545" s="158"/>
      <c r="AE545" s="158"/>
      <c r="AF545" s="158"/>
    </row>
    <row r="546" ht="15.75" hidden="1" customHeight="1">
      <c r="A546" s="124"/>
      <c r="B546" s="2"/>
      <c r="C546" s="124"/>
      <c r="D546" s="185" t="s">
        <v>266</v>
      </c>
      <c r="E546" s="260"/>
      <c r="F546" s="187">
        <v>3.0</v>
      </c>
      <c r="G546" s="731" t="s">
        <v>260</v>
      </c>
      <c r="H546" s="187"/>
      <c r="I546" s="247"/>
      <c r="J546" s="266">
        <v>8.0</v>
      </c>
      <c r="K546" s="164"/>
      <c r="L546" s="164"/>
      <c r="M546" s="164"/>
      <c r="N546" s="164"/>
      <c r="O546" s="699" t="str">
        <f>I546/VLOOKUP(K546,Sheet1!$D$7:$N$16,G546+1,FALSE)</f>
        <v>#REF!</v>
      </c>
      <c r="P546" s="684" t="str">
        <f t="shared" si="20"/>
        <v>#REF!</v>
      </c>
      <c r="Q546" s="702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</row>
    <row r="547" ht="3.75" hidden="1" customHeight="1">
      <c r="A547" s="124"/>
      <c r="B547" s="2"/>
      <c r="C547" s="124"/>
      <c r="D547" s="263"/>
      <c r="E547" s="252"/>
      <c r="F547" s="102"/>
      <c r="G547" s="102"/>
      <c r="H547" s="102"/>
      <c r="I547" s="247"/>
      <c r="J547" s="156"/>
      <c r="K547" s="164"/>
      <c r="L547" s="164"/>
      <c r="M547" s="164"/>
      <c r="N547" s="164"/>
      <c r="O547" s="699" t="str">
        <f>I547/VLOOKUP(K547,Sheet1!$D$7:$N$16,G547+1,FALSE)</f>
        <v>#N/A</v>
      </c>
      <c r="P547" s="684"/>
      <c r="Q547" s="702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</row>
    <row r="548" ht="14.25" hidden="1" customHeight="1">
      <c r="A548" s="90"/>
      <c r="B548" s="2"/>
      <c r="C548" s="90"/>
      <c r="D548" s="185" t="s">
        <v>267</v>
      </c>
      <c r="E548" s="264"/>
      <c r="F548" s="187">
        <v>3.0</v>
      </c>
      <c r="G548" s="731" t="s">
        <v>260</v>
      </c>
      <c r="H548" s="187"/>
      <c r="I548" s="164"/>
      <c r="J548" s="266">
        <v>8.0</v>
      </c>
      <c r="K548" s="164"/>
      <c r="L548" s="164"/>
      <c r="M548" s="164"/>
      <c r="N548" s="164"/>
      <c r="O548" s="699" t="str">
        <f>I548/VLOOKUP(K548,Sheet1!$D$7:$N$16,G548+1,FALSE)</f>
        <v>#REF!</v>
      </c>
      <c r="P548" s="684"/>
      <c r="Q548" s="702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</row>
    <row r="549" ht="3.75" hidden="1" customHeight="1">
      <c r="A549" s="261"/>
      <c r="B549" s="719"/>
      <c r="C549" s="262"/>
      <c r="D549" s="263"/>
      <c r="E549" s="263"/>
      <c r="F549" s="194"/>
      <c r="G549" s="194"/>
      <c r="H549" s="194"/>
      <c r="I549" s="164"/>
      <c r="J549" s="267"/>
      <c r="K549" s="164"/>
      <c r="L549" s="164"/>
      <c r="M549" s="164"/>
      <c r="N549" s="164"/>
      <c r="O549" s="699" t="str">
        <f>I549/VLOOKUP(K549,Sheet1!$D$7:$N$16,G549+1,FALSE)</f>
        <v>#N/A</v>
      </c>
      <c r="P549" s="684"/>
      <c r="Q549" s="702"/>
      <c r="R549" s="158"/>
      <c r="S549" s="158"/>
      <c r="T549" s="158"/>
      <c r="U549" s="158"/>
      <c r="V549" s="158"/>
      <c r="W549" s="158"/>
      <c r="X549" s="158"/>
      <c r="Y549" s="158"/>
      <c r="Z549" s="158"/>
      <c r="AA549" s="158"/>
      <c r="AB549" s="158"/>
      <c r="AC549" s="158"/>
      <c r="AD549" s="158"/>
      <c r="AE549" s="158"/>
      <c r="AF549" s="158"/>
    </row>
    <row r="550" ht="15.75" hidden="1" customHeight="1">
      <c r="A550" s="90"/>
      <c r="B550" s="2"/>
      <c r="C550" s="90"/>
      <c r="D550" s="185" t="s">
        <v>268</v>
      </c>
      <c r="E550" s="266"/>
      <c r="F550" s="187">
        <v>3.0</v>
      </c>
      <c r="G550" s="731" t="s">
        <v>251</v>
      </c>
      <c r="H550" s="187"/>
      <c r="I550" s="164"/>
      <c r="J550" s="266">
        <v>9.0</v>
      </c>
      <c r="K550" s="164"/>
      <c r="L550" s="164"/>
      <c r="M550" s="164"/>
      <c r="N550" s="164"/>
      <c r="O550" s="699" t="str">
        <f>I550/VLOOKUP(K550,Sheet1!$D$7:$N$16,G550+1,FALSE)</f>
        <v>#REF!</v>
      </c>
      <c r="P550" s="684"/>
      <c r="Q550" s="702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</row>
    <row r="551" ht="3.75" hidden="1" customHeight="1">
      <c r="A551" s="90"/>
      <c r="B551" s="2"/>
      <c r="C551" s="90"/>
      <c r="D551" s="138"/>
      <c r="E551" s="252"/>
      <c r="F551" s="102"/>
      <c r="G551" s="102"/>
      <c r="H551" s="102"/>
      <c r="I551" s="247"/>
      <c r="J551" s="156"/>
      <c r="K551" s="164"/>
      <c r="L551" s="164"/>
      <c r="M551" s="164"/>
      <c r="N551" s="164"/>
      <c r="O551" s="699" t="str">
        <f>I551/VLOOKUP(K551,Sheet1!$D$7:$N$16,G551+1,FALSE)</f>
        <v>#N/A</v>
      </c>
      <c r="P551" s="684"/>
      <c r="Q551" s="702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</row>
    <row r="552" ht="15.75" hidden="1" customHeight="1">
      <c r="A552" s="90"/>
      <c r="B552" s="2"/>
      <c r="C552" s="90"/>
      <c r="D552" s="185" t="s">
        <v>269</v>
      </c>
      <c r="E552" s="266"/>
      <c r="F552" s="187">
        <v>3.0</v>
      </c>
      <c r="G552" s="731" t="s">
        <v>260</v>
      </c>
      <c r="H552" s="187"/>
      <c r="I552" s="164"/>
      <c r="J552" s="266">
        <v>9.0</v>
      </c>
      <c r="K552" s="164"/>
      <c r="L552" s="164"/>
      <c r="M552" s="164"/>
      <c r="N552" s="164"/>
      <c r="O552" s="699" t="str">
        <f>I552/VLOOKUP(K552,Sheet1!$D$7:$N$16,G552+1,FALSE)</f>
        <v>#REF!</v>
      </c>
      <c r="P552" s="684"/>
      <c r="Q552" s="702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</row>
    <row r="553" ht="3.75" hidden="1" customHeight="1">
      <c r="A553" s="191"/>
      <c r="B553" s="719"/>
      <c r="C553" s="192"/>
      <c r="D553" s="138"/>
      <c r="E553" s="252"/>
      <c r="F553" s="102"/>
      <c r="G553" s="102"/>
      <c r="H553" s="102"/>
      <c r="I553" s="247"/>
      <c r="J553" s="156"/>
      <c r="K553" s="164"/>
      <c r="L553" s="164"/>
      <c r="M553" s="164"/>
      <c r="N553" s="164"/>
      <c r="O553" s="699" t="str">
        <f>I553/VLOOKUP(K553,Sheet1!$D$7:$N$16,G553+1,FALSE)</f>
        <v>#N/A</v>
      </c>
      <c r="P553" s="684"/>
      <c r="Q553" s="702"/>
      <c r="R553" s="158"/>
      <c r="S553" s="158"/>
      <c r="T553" s="158"/>
      <c r="U553" s="158"/>
      <c r="V553" s="158"/>
      <c r="W553" s="158"/>
      <c r="X553" s="158"/>
      <c r="Y553" s="158"/>
      <c r="Z553" s="158"/>
      <c r="AA553" s="158"/>
      <c r="AB553" s="158"/>
      <c r="AC553" s="158"/>
      <c r="AD553" s="158"/>
      <c r="AE553" s="158"/>
      <c r="AF553" s="158"/>
    </row>
    <row r="554" ht="15.75" hidden="1" customHeight="1">
      <c r="A554" s="90"/>
      <c r="B554" s="2"/>
      <c r="C554" s="90"/>
      <c r="D554" s="185" t="s">
        <v>270</v>
      </c>
      <c r="E554" s="260"/>
      <c r="F554" s="187">
        <v>3.0</v>
      </c>
      <c r="G554" s="731" t="s">
        <v>260</v>
      </c>
      <c r="H554" s="187"/>
      <c r="I554" s="164"/>
      <c r="J554" s="266">
        <v>9.0</v>
      </c>
      <c r="K554" s="164"/>
      <c r="L554" s="164"/>
      <c r="M554" s="164"/>
      <c r="N554" s="164"/>
      <c r="O554" s="699" t="str">
        <f>I554/VLOOKUP(K554,Sheet1!$D$7:$N$16,G554+1,FALSE)</f>
        <v>#REF!</v>
      </c>
      <c r="P554" s="684"/>
      <c r="Q554" s="702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</row>
    <row r="555" ht="3.75" hidden="1" customHeight="1">
      <c r="A555" s="90"/>
      <c r="B555" s="2"/>
      <c r="C555" s="90"/>
      <c r="D555" s="263"/>
      <c r="E555" s="252"/>
      <c r="F555" s="102"/>
      <c r="G555" s="102"/>
      <c r="H555" s="102"/>
      <c r="I555" s="247"/>
      <c r="J555" s="156"/>
      <c r="K555" s="164"/>
      <c r="L555" s="164"/>
      <c r="M555" s="164"/>
      <c r="N555" s="164"/>
      <c r="O555" s="699" t="str">
        <f>I555/VLOOKUP(K555,Sheet1!$D$7:$N$16,G555+1,FALSE)</f>
        <v>#N/A</v>
      </c>
      <c r="P555" s="684"/>
      <c r="Q555" s="702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</row>
    <row r="556" ht="15.75" hidden="1" customHeight="1">
      <c r="A556" s="90"/>
      <c r="B556" s="2"/>
      <c r="C556" s="90"/>
      <c r="D556" s="185" t="s">
        <v>256</v>
      </c>
      <c r="E556" s="266"/>
      <c r="F556" s="187">
        <v>3.0</v>
      </c>
      <c r="G556" s="187" t="s">
        <v>16</v>
      </c>
      <c r="H556" s="187"/>
      <c r="I556" s="164"/>
      <c r="J556" s="266">
        <v>9.0</v>
      </c>
      <c r="K556" s="164"/>
      <c r="L556" s="164"/>
      <c r="M556" s="164"/>
      <c r="N556" s="164"/>
      <c r="O556" s="699" t="str">
        <f>I556/VLOOKUP(K556,Sheet1!$D$7:$N$16,G556+1,FALSE)</f>
        <v>#VALUE!</v>
      </c>
      <c r="P556" s="684"/>
      <c r="Q556" s="697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</row>
    <row r="557" ht="3.75" hidden="1" customHeight="1">
      <c r="A557" s="191"/>
      <c r="B557" s="719"/>
      <c r="C557" s="192"/>
      <c r="D557" s="192"/>
      <c r="E557" s="267"/>
      <c r="F557" s="194"/>
      <c r="G557" s="194"/>
      <c r="H557" s="194"/>
      <c r="I557" s="194"/>
      <c r="J557" s="267"/>
      <c r="K557" s="273"/>
      <c r="L557" s="737"/>
      <c r="M557" s="737"/>
      <c r="N557" s="737"/>
      <c r="O557" s="271"/>
      <c r="P557" s="272"/>
      <c r="Q557" s="273"/>
      <c r="R557" s="158"/>
      <c r="S557" s="158"/>
      <c r="T557" s="158"/>
      <c r="U557" s="158"/>
      <c r="V557" s="158"/>
      <c r="W557" s="158"/>
      <c r="X557" s="158"/>
      <c r="Y557" s="158"/>
      <c r="Z557" s="158"/>
      <c r="AA557" s="158"/>
      <c r="AB557" s="158"/>
      <c r="AC557" s="158"/>
      <c r="AD557" s="158"/>
      <c r="AE557" s="158"/>
      <c r="AF557" s="158"/>
    </row>
    <row r="558" ht="14.25" hidden="1" customHeight="1">
      <c r="A558" s="5"/>
      <c r="B558" s="2"/>
      <c r="C558" s="5"/>
      <c r="D558" s="738"/>
      <c r="E558" s="739"/>
      <c r="F558" s="683"/>
      <c r="G558" s="683"/>
      <c r="H558" s="683"/>
      <c r="I558" s="683"/>
      <c r="J558" s="739"/>
      <c r="K558" s="738"/>
      <c r="L558" s="683"/>
      <c r="M558" s="683"/>
      <c r="N558" s="683"/>
      <c r="O558" s="740"/>
      <c r="P558" s="4"/>
      <c r="Q558" s="738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</row>
    <row r="559" ht="14.25" hidden="1" customHeight="1">
      <c r="A559" s="5"/>
      <c r="B559" s="2"/>
      <c r="C559" s="5"/>
      <c r="D559" s="738"/>
      <c r="E559" s="739"/>
      <c r="F559" s="683"/>
      <c r="G559" s="683"/>
      <c r="H559" s="683"/>
      <c r="I559" s="683"/>
      <c r="J559" s="739"/>
      <c r="K559" s="738"/>
      <c r="L559" s="683"/>
      <c r="M559" s="683"/>
      <c r="N559" s="683"/>
      <c r="O559" s="741"/>
      <c r="P559" s="4"/>
      <c r="Q559" s="738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</row>
    <row r="560" ht="14.25" hidden="1" customHeight="1">
      <c r="A560" s="5"/>
      <c r="B560" s="2"/>
      <c r="C560" s="5"/>
      <c r="D560" s="738"/>
      <c r="E560" s="739"/>
      <c r="F560" s="683"/>
      <c r="G560" s="683"/>
      <c r="H560" s="683"/>
      <c r="I560" s="683"/>
      <c r="J560" s="739"/>
      <c r="K560" s="738"/>
      <c r="L560" s="683"/>
      <c r="M560" s="683"/>
      <c r="N560" s="683"/>
      <c r="O560" s="741"/>
      <c r="P560" s="4"/>
      <c r="Q560" s="738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</row>
    <row r="561" ht="14.25" hidden="1" customHeight="1">
      <c r="A561" s="5"/>
      <c r="B561" s="2"/>
      <c r="C561" s="5"/>
      <c r="D561" s="738"/>
      <c r="E561" s="739"/>
      <c r="F561" s="683"/>
      <c r="G561" s="683"/>
      <c r="H561" s="683"/>
      <c r="I561" s="683"/>
      <c r="J561" s="739"/>
      <c r="K561" s="738"/>
      <c r="L561" s="683"/>
      <c r="M561" s="683"/>
      <c r="N561" s="683"/>
      <c r="O561" s="741"/>
      <c r="P561" s="4"/>
      <c r="Q561" s="738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</row>
    <row r="562" ht="14.25" hidden="1" customHeight="1">
      <c r="A562" s="5"/>
      <c r="B562" s="2"/>
      <c r="C562" s="5"/>
      <c r="D562" s="738"/>
      <c r="E562" s="739"/>
      <c r="F562" s="683"/>
      <c r="G562" s="683"/>
      <c r="H562" s="683"/>
      <c r="I562" s="683"/>
      <c r="J562" s="739"/>
      <c r="K562" s="738"/>
      <c r="L562" s="683"/>
      <c r="M562" s="683"/>
      <c r="N562" s="683"/>
      <c r="O562" s="741"/>
      <c r="P562" s="4"/>
      <c r="Q562" s="738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</row>
    <row r="563" ht="14.25" hidden="1" customHeight="1">
      <c r="A563" s="5"/>
      <c r="B563" s="2"/>
      <c r="C563" s="5"/>
      <c r="D563" s="738"/>
      <c r="E563" s="739"/>
      <c r="F563" s="683"/>
      <c r="G563" s="683"/>
      <c r="H563" s="683"/>
      <c r="I563" s="683"/>
      <c r="J563" s="739"/>
      <c r="K563" s="738"/>
      <c r="L563" s="683"/>
      <c r="M563" s="683"/>
      <c r="N563" s="683"/>
      <c r="O563" s="741"/>
      <c r="P563" s="4"/>
      <c r="Q563" s="738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</row>
    <row r="564" ht="14.25" hidden="1" customHeight="1">
      <c r="A564" s="5"/>
      <c r="B564" s="2"/>
      <c r="C564" s="5"/>
      <c r="D564" s="5"/>
      <c r="E564" s="75"/>
      <c r="F564" s="3"/>
      <c r="G564" s="3"/>
      <c r="H564" s="3"/>
      <c r="I564" s="3"/>
      <c r="J564" s="75"/>
      <c r="K564" s="5"/>
      <c r="L564" s="3"/>
      <c r="M564" s="3"/>
      <c r="N564" s="3"/>
      <c r="O564" s="3"/>
      <c r="P564" s="4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</row>
    <row r="565" ht="19.5" hidden="1" customHeight="1">
      <c r="A565" s="5"/>
      <c r="B565" s="2"/>
      <c r="C565" s="5"/>
      <c r="D565" s="663" t="s">
        <v>240</v>
      </c>
      <c r="E565" s="664">
        <v>0.0</v>
      </c>
      <c r="F565" s="665"/>
      <c r="G565" s="666"/>
      <c r="H565" s="665"/>
      <c r="I565" s="667"/>
      <c r="J565" s="668"/>
      <c r="K565" s="669"/>
      <c r="L565" s="453"/>
      <c r="M565" s="453"/>
      <c r="N565" s="453"/>
      <c r="O565" s="3"/>
      <c r="P565" s="4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</row>
    <row r="566" ht="27.0" hidden="1" customHeight="1">
      <c r="A566" s="90"/>
      <c r="B566" s="2"/>
      <c r="C566" s="90"/>
      <c r="D566" s="670"/>
      <c r="E566" s="671"/>
      <c r="F566" s="672" t="s">
        <v>16</v>
      </c>
      <c r="G566" s="673" t="s">
        <v>17</v>
      </c>
      <c r="H566" s="665"/>
      <c r="I566" s="674" t="s">
        <v>18</v>
      </c>
      <c r="J566" s="675" t="s">
        <v>241</v>
      </c>
      <c r="K566" s="676"/>
      <c r="L566" s="676"/>
      <c r="M566" s="676"/>
      <c r="N566" s="676"/>
      <c r="O566" s="122" t="s">
        <v>242</v>
      </c>
      <c r="P566" s="677" t="s">
        <v>243</v>
      </c>
      <c r="Q566" s="678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</row>
    <row r="567" ht="14.25" hidden="1" customHeight="1">
      <c r="A567" s="90"/>
      <c r="B567" s="2"/>
      <c r="C567" s="90"/>
      <c r="D567" s="679" t="s">
        <v>13</v>
      </c>
      <c r="E567" s="671"/>
      <c r="F567" s="680"/>
      <c r="G567" s="681"/>
      <c r="H567" s="665"/>
      <c r="I567" s="681"/>
      <c r="J567" s="675" t="s">
        <v>244</v>
      </c>
      <c r="K567" s="214"/>
      <c r="L567" s="682"/>
      <c r="M567" s="682"/>
      <c r="N567" s="682"/>
      <c r="O567" s="683"/>
      <c r="P567" s="684" t="s">
        <v>245</v>
      </c>
      <c r="Q567" s="68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</row>
    <row r="568" ht="3.75" hidden="1" customHeight="1">
      <c r="A568" s="90"/>
      <c r="B568" s="2"/>
      <c r="C568" s="90"/>
      <c r="D568" s="97"/>
      <c r="E568" s="98"/>
      <c r="F568" s="99"/>
      <c r="G568" s="99"/>
      <c r="H568" s="99"/>
      <c r="I568" s="100"/>
      <c r="J568" s="101"/>
      <c r="K568" s="90"/>
      <c r="L568" s="102"/>
      <c r="M568" s="102"/>
      <c r="N568" s="102"/>
      <c r="O568" s="103"/>
      <c r="P568" s="4"/>
      <c r="Q568" s="90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</row>
    <row r="569" ht="30.0" hidden="1" customHeight="1">
      <c r="A569" s="90"/>
      <c r="B569" s="2"/>
      <c r="C569" s="90"/>
      <c r="D569" s="686" t="s">
        <v>271</v>
      </c>
      <c r="E569" s="687" t="s">
        <v>15</v>
      </c>
      <c r="F569" s="688"/>
      <c r="G569" s="688"/>
      <c r="H569" s="688"/>
      <c r="I569" s="689"/>
      <c r="J569" s="690"/>
      <c r="K569" s="691" t="s">
        <v>20</v>
      </c>
      <c r="L569" s="692"/>
      <c r="M569" s="692"/>
      <c r="N569" s="692"/>
      <c r="O569" s="683"/>
      <c r="P569" s="684"/>
      <c r="Q569" s="693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</row>
    <row r="570" ht="19.5" hidden="1" customHeight="1">
      <c r="A570" s="90"/>
      <c r="B570" s="2"/>
      <c r="C570" s="90"/>
      <c r="D570" s="257" t="s">
        <v>25</v>
      </c>
      <c r="E570" s="257" t="s">
        <v>26</v>
      </c>
      <c r="F570" s="694"/>
      <c r="G570" s="694"/>
      <c r="H570" s="694"/>
      <c r="I570" s="695"/>
      <c r="J570" s="696"/>
      <c r="K570" s="697"/>
      <c r="L570" s="692"/>
      <c r="M570" s="692"/>
      <c r="N570" s="692"/>
      <c r="O570" s="683"/>
      <c r="P570" s="684"/>
      <c r="Q570" s="698" t="s">
        <v>30</v>
      </c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</row>
    <row r="571" ht="3.75" hidden="1" customHeight="1">
      <c r="A571" s="90"/>
      <c r="B571" s="2"/>
      <c r="C571" s="90"/>
      <c r="D571" s="97"/>
      <c r="E571" s="98"/>
      <c r="F571" s="99"/>
      <c r="G571" s="99"/>
      <c r="H571" s="99"/>
      <c r="I571" s="100"/>
      <c r="J571" s="101"/>
      <c r="K571" s="90"/>
      <c r="L571" s="102"/>
      <c r="M571" s="102"/>
      <c r="N571" s="102"/>
      <c r="O571" s="699"/>
      <c r="P571" s="684"/>
      <c r="Q571" s="90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</row>
    <row r="572" ht="15.75" hidden="1" customHeight="1">
      <c r="A572" s="124"/>
      <c r="B572" s="2"/>
      <c r="C572" s="124"/>
      <c r="D572" s="185" t="s">
        <v>285</v>
      </c>
      <c r="E572" s="260"/>
      <c r="F572" s="187">
        <v>1.0</v>
      </c>
      <c r="G572" s="187">
        <v>6.0</v>
      </c>
      <c r="H572" s="187"/>
      <c r="I572" s="164">
        <v>160.0</v>
      </c>
      <c r="J572" s="266">
        <v>5.0</v>
      </c>
      <c r="K572" s="183">
        <v>6.0</v>
      </c>
      <c r="L572" s="183"/>
      <c r="M572" s="183"/>
      <c r="N572" s="183"/>
      <c r="O572" s="699">
        <f>I572/VLOOKUP(K572,Sheet1!$D$7:$N$16,G572+1,FALSE)</f>
        <v>216.2162162</v>
      </c>
      <c r="P572" s="684" t="str">
        <f t="shared" ref="P572:P593" si="21">I572-#REF!</f>
        <v>#REF!</v>
      </c>
      <c r="Q572" s="700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</row>
    <row r="573" ht="3.75" hidden="1" customHeight="1">
      <c r="A573" s="137"/>
      <c r="B573" s="661"/>
      <c r="C573" s="137"/>
      <c r="D573" s="138"/>
      <c r="E573" s="252"/>
      <c r="F573" s="140"/>
      <c r="G573" s="140"/>
      <c r="H573" s="140"/>
      <c r="I573" s="701"/>
      <c r="J573" s="141"/>
      <c r="K573" s="183"/>
      <c r="L573" s="183"/>
      <c r="M573" s="183"/>
      <c r="N573" s="183"/>
      <c r="O573" s="699" t="str">
        <f>I573/VLOOKUP(K573,Sheet1!$D$7:$N$16,G573+1,FALSE)</f>
        <v>#N/A</v>
      </c>
      <c r="P573" s="684" t="str">
        <f t="shared" si="21"/>
        <v>#REF!</v>
      </c>
      <c r="Q573" s="702"/>
      <c r="R573" s="148"/>
      <c r="S573" s="148"/>
      <c r="T573" s="148"/>
      <c r="U573" s="148"/>
      <c r="V573" s="148"/>
      <c r="W573" s="148"/>
      <c r="X573" s="148"/>
      <c r="Y573" s="148"/>
      <c r="Z573" s="148"/>
      <c r="AA573" s="148"/>
      <c r="AB573" s="148"/>
      <c r="AC573" s="148"/>
      <c r="AD573" s="148"/>
      <c r="AE573" s="148"/>
      <c r="AF573" s="148"/>
    </row>
    <row r="574" ht="15.75" hidden="1" customHeight="1">
      <c r="A574" s="149"/>
      <c r="B574" s="703"/>
      <c r="C574" s="149"/>
      <c r="D574" s="185" t="s">
        <v>285</v>
      </c>
      <c r="E574" s="260"/>
      <c r="F574" s="187">
        <v>1.0</v>
      </c>
      <c r="G574" s="187">
        <v>6.0</v>
      </c>
      <c r="H574" s="187"/>
      <c r="I574" s="164">
        <v>170.0</v>
      </c>
      <c r="J574" s="266">
        <v>6.5</v>
      </c>
      <c r="K574" s="183">
        <v>7.5</v>
      </c>
      <c r="L574" s="183"/>
      <c r="M574" s="183"/>
      <c r="N574" s="183"/>
      <c r="O574" s="699">
        <f>I574/VLOOKUP(K574,Sheet1!$D$7:$N$16,G574+1,FALSE)</f>
        <v>218.6495177</v>
      </c>
      <c r="P574" s="684" t="str">
        <f t="shared" si="21"/>
        <v>#REF!</v>
      </c>
      <c r="Q574" s="702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</row>
    <row r="575" ht="3.75" hidden="1" customHeight="1">
      <c r="A575" s="152"/>
      <c r="B575" s="705"/>
      <c r="C575" s="153"/>
      <c r="D575" s="138"/>
      <c r="E575" s="263"/>
      <c r="F575" s="194"/>
      <c r="G575" s="194"/>
      <c r="H575" s="194"/>
      <c r="I575" s="164"/>
      <c r="J575" s="267"/>
      <c r="K575" s="183"/>
      <c r="L575" s="183"/>
      <c r="M575" s="183"/>
      <c r="N575" s="183"/>
      <c r="O575" s="699" t="str">
        <f>I575/VLOOKUP(K575,Sheet1!$D$7:$N$16,G575+1,FALSE)</f>
        <v>#N/A</v>
      </c>
      <c r="P575" s="684" t="str">
        <f t="shared" si="21"/>
        <v>#REF!</v>
      </c>
      <c r="Q575" s="702"/>
      <c r="R575" s="158"/>
      <c r="S575" s="158"/>
      <c r="T575" s="158"/>
      <c r="U575" s="158"/>
      <c r="V575" s="158"/>
      <c r="W575" s="158"/>
      <c r="X575" s="158"/>
      <c r="Y575" s="158"/>
      <c r="Z575" s="158"/>
      <c r="AA575" s="158"/>
      <c r="AB575" s="158"/>
      <c r="AC575" s="158"/>
      <c r="AD575" s="158"/>
      <c r="AE575" s="158"/>
      <c r="AF575" s="158"/>
    </row>
    <row r="576" ht="15.75" hidden="1" customHeight="1">
      <c r="A576" s="149"/>
      <c r="B576" s="703"/>
      <c r="C576" s="149"/>
      <c r="D576" s="185" t="s">
        <v>285</v>
      </c>
      <c r="E576" s="264"/>
      <c r="F576" s="187">
        <v>1.0</v>
      </c>
      <c r="G576" s="187">
        <v>6.0</v>
      </c>
      <c r="H576" s="187"/>
      <c r="I576" s="164">
        <v>150.0</v>
      </c>
      <c r="J576" s="706">
        <v>-0.1</v>
      </c>
      <c r="K576" s="183">
        <v>7.5</v>
      </c>
      <c r="L576" s="183"/>
      <c r="M576" s="183"/>
      <c r="N576" s="183"/>
      <c r="O576" s="699">
        <f>I576/VLOOKUP(K576,Sheet1!$D$7:$N$16,G576+1,FALSE)</f>
        <v>192.926045</v>
      </c>
      <c r="P576" s="684" t="str">
        <f t="shared" si="21"/>
        <v>#REF!</v>
      </c>
      <c r="Q576" s="702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</row>
    <row r="577" ht="3.75" hidden="1" customHeight="1">
      <c r="A577" s="162"/>
      <c r="B577" s="707"/>
      <c r="C577" s="162"/>
      <c r="D577" s="138"/>
      <c r="E577" s="708"/>
      <c r="F577" s="140"/>
      <c r="G577" s="140"/>
      <c r="H577" s="140"/>
      <c r="I577" s="701"/>
      <c r="J577" s="141"/>
      <c r="K577" s="183"/>
      <c r="L577" s="183"/>
      <c r="M577" s="183"/>
      <c r="N577" s="183"/>
      <c r="O577" s="699" t="str">
        <f>I577/VLOOKUP(K577,Sheet1!$D$7:$N$16,G577+1,FALSE)</f>
        <v>#N/A</v>
      </c>
      <c r="P577" s="684" t="str">
        <f t="shared" si="21"/>
        <v>#REF!</v>
      </c>
      <c r="Q577" s="702"/>
      <c r="R577" s="148"/>
      <c r="S577" s="148"/>
      <c r="T577" s="148"/>
      <c r="U577" s="148"/>
      <c r="V577" s="148"/>
      <c r="W577" s="148"/>
      <c r="X577" s="148"/>
      <c r="Y577" s="148"/>
      <c r="Z577" s="148"/>
      <c r="AA577" s="148"/>
      <c r="AB577" s="148"/>
      <c r="AC577" s="148"/>
      <c r="AD577" s="148"/>
      <c r="AE577" s="148"/>
      <c r="AF577" s="148"/>
    </row>
    <row r="578" ht="15.75" hidden="1" customHeight="1">
      <c r="A578" s="149"/>
      <c r="B578" s="703"/>
      <c r="C578" s="149"/>
      <c r="D578" s="185" t="s">
        <v>51</v>
      </c>
      <c r="E578" s="264"/>
      <c r="F578" s="187">
        <v>1.0</v>
      </c>
      <c r="G578" s="187">
        <v>3.0</v>
      </c>
      <c r="H578" s="187"/>
      <c r="I578" s="164">
        <v>142.5</v>
      </c>
      <c r="J578" s="266">
        <v>6.5</v>
      </c>
      <c r="K578" s="183">
        <v>7.0</v>
      </c>
      <c r="L578" s="183"/>
      <c r="M578" s="183"/>
      <c r="N578" s="183"/>
      <c r="O578" s="699">
        <f>I578/VLOOKUP(K578,Sheet1!$D$7:$N$16,G578+1,FALSE)</f>
        <v>169.6428571</v>
      </c>
      <c r="P578" s="684" t="str">
        <f t="shared" si="21"/>
        <v>#REF!</v>
      </c>
      <c r="Q578" s="702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</row>
    <row r="579" ht="3.75" hidden="1" customHeight="1">
      <c r="A579" s="162"/>
      <c r="B579" s="707"/>
      <c r="C579" s="162"/>
      <c r="D579" s="138"/>
      <c r="E579" s="321"/>
      <c r="F579" s="102"/>
      <c r="G579" s="102"/>
      <c r="H579" s="102"/>
      <c r="I579" s="247"/>
      <c r="J579" s="156"/>
      <c r="K579" s="183"/>
      <c r="L579" s="183"/>
      <c r="M579" s="183"/>
      <c r="N579" s="183"/>
      <c r="O579" s="699" t="str">
        <f>I579/VLOOKUP(K579,Sheet1!$D$7:$N$16,G579+1,FALSE)</f>
        <v>#N/A</v>
      </c>
      <c r="P579" s="684" t="str">
        <f t="shared" si="21"/>
        <v>#REF!</v>
      </c>
      <c r="Q579" s="702"/>
      <c r="R579" s="148"/>
      <c r="S579" s="148"/>
      <c r="T579" s="148"/>
      <c r="U579" s="148"/>
      <c r="V579" s="148"/>
      <c r="W579" s="148"/>
      <c r="X579" s="148"/>
      <c r="Y579" s="148"/>
      <c r="Z579" s="148"/>
      <c r="AA579" s="148"/>
      <c r="AB579" s="148"/>
      <c r="AC579" s="148"/>
      <c r="AD579" s="148"/>
      <c r="AE579" s="148"/>
      <c r="AF579" s="148"/>
    </row>
    <row r="580" ht="15.75" hidden="1" customHeight="1">
      <c r="A580" s="90"/>
      <c r="B580" s="2"/>
      <c r="C580" s="90"/>
      <c r="D580" s="185" t="s">
        <v>51</v>
      </c>
      <c r="E580" s="264"/>
      <c r="F580" s="187">
        <v>3.0</v>
      </c>
      <c r="G580" s="187">
        <v>5.0</v>
      </c>
      <c r="H580" s="187"/>
      <c r="I580" s="164">
        <v>125.0</v>
      </c>
      <c r="J580" s="706">
        <v>-0.12</v>
      </c>
      <c r="K580" s="183">
        <v>6.0</v>
      </c>
      <c r="L580" s="183"/>
      <c r="M580" s="183"/>
      <c r="N580" s="183"/>
      <c r="O580" s="699">
        <f>I580/VLOOKUP(K580,Sheet1!$D$7:$N$16,G580+1,FALSE)</f>
        <v>163.3986928</v>
      </c>
      <c r="P580" s="684" t="str">
        <f t="shared" si="21"/>
        <v>#REF!</v>
      </c>
      <c r="Q580" s="702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</row>
    <row r="581" ht="3.75" hidden="1" customHeight="1">
      <c r="A581" s="168"/>
      <c r="B581" s="661"/>
      <c r="C581" s="168"/>
      <c r="D581" s="138"/>
      <c r="E581" s="708"/>
      <c r="F581" s="140"/>
      <c r="G581" s="140"/>
      <c r="H581" s="140"/>
      <c r="I581" s="701"/>
      <c r="J581" s="141"/>
      <c r="K581" s="183"/>
      <c r="L581" s="183"/>
      <c r="M581" s="183"/>
      <c r="N581" s="183"/>
      <c r="O581" s="699" t="str">
        <f>I581/VLOOKUP(K581,Sheet1!$D$7:$N$16,G581+1,FALSE)</f>
        <v>#N/A</v>
      </c>
      <c r="P581" s="684" t="str">
        <f t="shared" si="21"/>
        <v>#REF!</v>
      </c>
      <c r="Q581" s="702"/>
      <c r="R581" s="148"/>
      <c r="S581" s="148"/>
      <c r="T581" s="148"/>
      <c r="U581" s="148"/>
      <c r="V581" s="148"/>
      <c r="W581" s="148"/>
      <c r="X581" s="148"/>
      <c r="Y581" s="148"/>
      <c r="Z581" s="148"/>
      <c r="AA581" s="148"/>
      <c r="AB581" s="148"/>
      <c r="AC581" s="148"/>
      <c r="AD581" s="148"/>
      <c r="AE581" s="148"/>
      <c r="AF581" s="148"/>
    </row>
    <row r="582" ht="15.75" hidden="1" customHeight="1">
      <c r="A582" s="90"/>
      <c r="B582" s="2"/>
      <c r="C582" s="90"/>
      <c r="D582" s="709" t="s">
        <v>286</v>
      </c>
      <c r="E582" s="710"/>
      <c r="F582" s="711">
        <v>3.0</v>
      </c>
      <c r="G582" s="731" t="s">
        <v>251</v>
      </c>
      <c r="H582" s="179"/>
      <c r="I582" s="742"/>
      <c r="J582" s="713">
        <v>8.0</v>
      </c>
      <c r="K582" s="183">
        <v>8.0</v>
      </c>
      <c r="L582" s="183"/>
      <c r="M582" s="183"/>
      <c r="N582" s="183"/>
      <c r="O582" s="699" t="str">
        <f>I582/VLOOKUP(K582,Sheet1!$D$7:$N$16,G582+1,FALSE)</f>
        <v>#REF!</v>
      </c>
      <c r="P582" s="684" t="str">
        <f t="shared" si="21"/>
        <v>#REF!</v>
      </c>
      <c r="Q582" s="702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</row>
    <row r="583" ht="3.75" hidden="1" customHeight="1">
      <c r="A583" s="90"/>
      <c r="B583" s="2"/>
      <c r="C583" s="90"/>
      <c r="D583" s="171"/>
      <c r="E583" s="714"/>
      <c r="F583" s="173"/>
      <c r="G583" s="173"/>
      <c r="H583" s="715"/>
      <c r="I583" s="716"/>
      <c r="J583" s="174"/>
      <c r="K583" s="183"/>
      <c r="L583" s="183"/>
      <c r="M583" s="183"/>
      <c r="N583" s="183"/>
      <c r="O583" s="699" t="str">
        <f>I583/VLOOKUP(K583,Sheet1!$D$7:$N$16,G583+1,FALSE)</f>
        <v>#N/A</v>
      </c>
      <c r="P583" s="684" t="str">
        <f t="shared" si="21"/>
        <v>#REF!</v>
      </c>
      <c r="Q583" s="702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</row>
    <row r="584" ht="15.75" hidden="1" customHeight="1">
      <c r="A584" s="90"/>
      <c r="B584" s="2"/>
      <c r="C584" s="90"/>
      <c r="D584" s="260" t="s">
        <v>273</v>
      </c>
      <c r="E584" s="266"/>
      <c r="F584" s="187">
        <v>3.0</v>
      </c>
      <c r="G584" s="731" t="s">
        <v>251</v>
      </c>
      <c r="H584" s="187"/>
      <c r="I584" s="164"/>
      <c r="J584" s="266">
        <v>8.0</v>
      </c>
      <c r="K584" s="183">
        <v>8.0</v>
      </c>
      <c r="L584" s="183"/>
      <c r="M584" s="183"/>
      <c r="N584" s="183"/>
      <c r="O584" s="699" t="str">
        <f>I584/VLOOKUP(K584,Sheet1!$D$7:$N$16,G584+1,FALSE)</f>
        <v>#REF!</v>
      </c>
      <c r="P584" s="684" t="str">
        <f t="shared" si="21"/>
        <v>#REF!</v>
      </c>
      <c r="Q584" s="702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</row>
    <row r="585" ht="3.75" hidden="1" customHeight="1">
      <c r="A585" s="90"/>
      <c r="B585" s="2"/>
      <c r="C585" s="90"/>
      <c r="D585" s="171"/>
      <c r="E585" s="714"/>
      <c r="F585" s="173"/>
      <c r="G585" s="173"/>
      <c r="H585" s="715"/>
      <c r="I585" s="716"/>
      <c r="J585" s="174"/>
      <c r="K585" s="183"/>
      <c r="L585" s="183"/>
      <c r="M585" s="183"/>
      <c r="N585" s="183"/>
      <c r="O585" s="699" t="str">
        <f>I585/VLOOKUP(K585,Sheet1!$D$7:$N$16,G585+1,FALSE)</f>
        <v>#N/A</v>
      </c>
      <c r="P585" s="684" t="str">
        <f t="shared" si="21"/>
        <v>#REF!</v>
      </c>
      <c r="Q585" s="702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</row>
    <row r="586" ht="15.75" hidden="1" customHeight="1">
      <c r="A586" s="90"/>
      <c r="B586" s="2"/>
      <c r="C586" s="90"/>
      <c r="D586" s="709" t="s">
        <v>274</v>
      </c>
      <c r="E586" s="710"/>
      <c r="F586" s="711">
        <v>3.0</v>
      </c>
      <c r="G586" s="731" t="s">
        <v>251</v>
      </c>
      <c r="H586" s="179"/>
      <c r="I586" s="717"/>
      <c r="J586" s="713">
        <v>8.0</v>
      </c>
      <c r="K586" s="183">
        <v>7.0</v>
      </c>
      <c r="L586" s="183"/>
      <c r="M586" s="183"/>
      <c r="N586" s="183"/>
      <c r="O586" s="699" t="str">
        <f>I586/VLOOKUP(K586,Sheet1!$D$7:$N$16,G586+1,FALSE)</f>
        <v>#REF!</v>
      </c>
      <c r="P586" s="684" t="str">
        <f t="shared" si="21"/>
        <v>#REF!</v>
      </c>
      <c r="Q586" s="702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</row>
    <row r="587" ht="3.75" hidden="1" customHeight="1">
      <c r="A587" s="90"/>
      <c r="B587" s="2"/>
      <c r="C587" s="90"/>
      <c r="D587" s="138"/>
      <c r="E587" s="252"/>
      <c r="F587" s="102"/>
      <c r="G587" s="102"/>
      <c r="H587" s="102"/>
      <c r="I587" s="247"/>
      <c r="J587" s="156"/>
      <c r="K587" s="183"/>
      <c r="L587" s="183"/>
      <c r="M587" s="183"/>
      <c r="N587" s="183"/>
      <c r="O587" s="699" t="str">
        <f>I587/VLOOKUP(K587,Sheet1!$D$7:$N$16,G587+1,FALSE)</f>
        <v>#N/A</v>
      </c>
      <c r="P587" s="684" t="str">
        <f t="shared" si="21"/>
        <v>#REF!</v>
      </c>
      <c r="Q587" s="702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</row>
    <row r="588" ht="15.75" hidden="1" customHeight="1">
      <c r="A588" s="90"/>
      <c r="B588" s="2"/>
      <c r="C588" s="90"/>
      <c r="D588" s="185"/>
      <c r="E588" s="266"/>
      <c r="F588" s="187"/>
      <c r="G588" s="718"/>
      <c r="H588" s="187"/>
      <c r="I588" s="164"/>
      <c r="J588" s="266"/>
      <c r="K588" s="183"/>
      <c r="L588" s="183"/>
      <c r="M588" s="183"/>
      <c r="N588" s="183"/>
      <c r="O588" s="699" t="str">
        <f>I588/VLOOKUP(K588,Sheet1!$D$7:$N$16,G588+1,FALSE)</f>
        <v>#N/A</v>
      </c>
      <c r="P588" s="684" t="str">
        <f t="shared" si="21"/>
        <v>#REF!</v>
      </c>
      <c r="Q588" s="702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</row>
    <row r="589" ht="3.75" hidden="1" customHeight="1">
      <c r="A589" s="191"/>
      <c r="B589" s="719"/>
      <c r="C589" s="192"/>
      <c r="D589" s="138"/>
      <c r="E589" s="267"/>
      <c r="F589" s="194"/>
      <c r="G589" s="194"/>
      <c r="H589" s="194"/>
      <c r="I589" s="164"/>
      <c r="J589" s="267"/>
      <c r="K589" s="183"/>
      <c r="L589" s="183"/>
      <c r="M589" s="183"/>
      <c r="N589" s="183"/>
      <c r="O589" s="699" t="str">
        <f>I589/VLOOKUP(K589,Sheet1!$D$7:$N$16,G589+1,FALSE)</f>
        <v>#N/A</v>
      </c>
      <c r="P589" s="684" t="str">
        <f t="shared" si="21"/>
        <v>#REF!</v>
      </c>
      <c r="Q589" s="702"/>
      <c r="R589" s="158"/>
      <c r="S589" s="158"/>
      <c r="T589" s="158"/>
      <c r="U589" s="158"/>
      <c r="V589" s="158"/>
      <c r="W589" s="158"/>
      <c r="X589" s="158"/>
      <c r="Y589" s="158"/>
      <c r="Z589" s="158"/>
      <c r="AA589" s="158"/>
      <c r="AB589" s="158"/>
      <c r="AC589" s="158"/>
      <c r="AD589" s="158"/>
      <c r="AE589" s="158"/>
      <c r="AF589" s="158"/>
    </row>
    <row r="590" ht="15.75" hidden="1" customHeight="1">
      <c r="A590" s="90"/>
      <c r="B590" s="2"/>
      <c r="C590" s="90"/>
      <c r="D590" s="185"/>
      <c r="E590" s="266"/>
      <c r="F590" s="187"/>
      <c r="G590" s="187"/>
      <c r="H590" s="187"/>
      <c r="I590" s="164"/>
      <c r="J590" s="266"/>
      <c r="K590" s="183"/>
      <c r="L590" s="183"/>
      <c r="M590" s="183"/>
      <c r="N590" s="183"/>
      <c r="O590" s="699" t="str">
        <f>I590/VLOOKUP(K590,Sheet1!$D$7:$N$16,G590+1,FALSE)</f>
        <v>#N/A</v>
      </c>
      <c r="P590" s="684" t="str">
        <f t="shared" si="21"/>
        <v>#REF!</v>
      </c>
      <c r="Q590" s="702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</row>
    <row r="591" ht="3.75" hidden="1" customHeight="1">
      <c r="A591" s="90"/>
      <c r="B591" s="2"/>
      <c r="C591" s="90"/>
      <c r="D591" s="138"/>
      <c r="E591" s="252"/>
      <c r="F591" s="102"/>
      <c r="G591" s="102"/>
      <c r="H591" s="102"/>
      <c r="I591" s="247"/>
      <c r="J591" s="156"/>
      <c r="K591" s="183"/>
      <c r="L591" s="183"/>
      <c r="M591" s="183"/>
      <c r="N591" s="183"/>
      <c r="O591" s="699" t="str">
        <f>I591/VLOOKUP(K591,Sheet1!$D$7:$N$16,G591+1,FALSE)</f>
        <v>#N/A</v>
      </c>
      <c r="P591" s="684" t="str">
        <f t="shared" si="21"/>
        <v>#REF!</v>
      </c>
      <c r="Q591" s="702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</row>
    <row r="592" ht="15.75" hidden="1" customHeight="1">
      <c r="A592" s="90"/>
      <c r="B592" s="2"/>
      <c r="C592" s="90"/>
      <c r="D592" s="185"/>
      <c r="E592" s="266"/>
      <c r="F592" s="187"/>
      <c r="G592" s="187"/>
      <c r="H592" s="187"/>
      <c r="I592" s="164"/>
      <c r="J592" s="266"/>
      <c r="K592" s="183"/>
      <c r="L592" s="183"/>
      <c r="M592" s="183"/>
      <c r="N592" s="183"/>
      <c r="O592" s="699" t="str">
        <f>I592/VLOOKUP(K592,Sheet1!$D$7:$N$16,G592+1,FALSE)</f>
        <v>#N/A</v>
      </c>
      <c r="P592" s="684" t="str">
        <f t="shared" si="21"/>
        <v>#REF!</v>
      </c>
      <c r="Q592" s="697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</row>
    <row r="593" ht="3.75" hidden="1" customHeight="1">
      <c r="A593" s="90"/>
      <c r="B593" s="2"/>
      <c r="C593" s="90"/>
      <c r="D593" s="90"/>
      <c r="E593" s="156"/>
      <c r="F593" s="102"/>
      <c r="G593" s="102"/>
      <c r="H593" s="102"/>
      <c r="I593" s="102"/>
      <c r="J593" s="156"/>
      <c r="K593" s="720"/>
      <c r="L593" s="201"/>
      <c r="M593" s="201"/>
      <c r="N593" s="201"/>
      <c r="O593" s="699" t="str">
        <f>I593/VLOOKUP(K593,Sheet1!$D$7:$N$16,G593+1,FALSE)</f>
        <v>#N/A</v>
      </c>
      <c r="P593" s="684" t="str">
        <f t="shared" si="21"/>
        <v>#REF!</v>
      </c>
      <c r="Q593" s="720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</row>
    <row r="594" ht="30.0" hidden="1" customHeight="1">
      <c r="A594" s="90"/>
      <c r="B594" s="2"/>
      <c r="C594" s="90"/>
      <c r="D594" s="686" t="s">
        <v>246</v>
      </c>
      <c r="E594" s="687" t="s">
        <v>15</v>
      </c>
      <c r="F594" s="721" t="s">
        <v>16</v>
      </c>
      <c r="G594" s="722" t="s">
        <v>17</v>
      </c>
      <c r="H594" s="723"/>
      <c r="I594" s="724"/>
      <c r="J594" s="725" t="s">
        <v>241</v>
      </c>
      <c r="K594" s="691"/>
      <c r="L594" s="692"/>
      <c r="M594" s="692"/>
      <c r="N594" s="692"/>
      <c r="O594" s="699"/>
      <c r="P594" s="684"/>
      <c r="Q594" s="693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</row>
    <row r="595" ht="14.25" hidden="1" customHeight="1">
      <c r="A595" s="90"/>
      <c r="B595" s="2"/>
      <c r="C595" s="90"/>
      <c r="D595" s="257" t="s">
        <v>25</v>
      </c>
      <c r="E595" s="257" t="s">
        <v>26</v>
      </c>
      <c r="F595" s="680"/>
      <c r="G595" s="681"/>
      <c r="H595" s="723"/>
      <c r="I595" s="681"/>
      <c r="J595" s="725" t="s">
        <v>244</v>
      </c>
      <c r="K595" s="697"/>
      <c r="L595" s="692"/>
      <c r="M595" s="692"/>
      <c r="N595" s="692"/>
      <c r="O595" s="699"/>
      <c r="P595" s="684"/>
      <c r="Q595" s="698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</row>
    <row r="596" ht="3.75" hidden="1" customHeight="1">
      <c r="A596" s="191"/>
      <c r="B596" s="719"/>
      <c r="C596" s="192"/>
      <c r="D596" s="203"/>
      <c r="E596" s="203"/>
      <c r="F596" s="726"/>
      <c r="G596" s="726"/>
      <c r="H596" s="726"/>
      <c r="I596" s="727"/>
      <c r="J596" s="728"/>
      <c r="K596" s="192"/>
      <c r="L596" s="194"/>
      <c r="M596" s="194"/>
      <c r="N596" s="194"/>
      <c r="O596" s="699"/>
      <c r="P596" s="684" t="str">
        <f t="shared" ref="P596:P618" si="22">I596-#REF!</f>
        <v>#REF!</v>
      </c>
      <c r="Q596" s="192"/>
      <c r="R596" s="158"/>
      <c r="S596" s="158"/>
      <c r="T596" s="158"/>
      <c r="U596" s="158"/>
      <c r="V596" s="158"/>
      <c r="W596" s="158"/>
      <c r="X596" s="158"/>
      <c r="Y596" s="158"/>
      <c r="Z596" s="158"/>
      <c r="AA596" s="158"/>
      <c r="AB596" s="158"/>
      <c r="AC596" s="158"/>
      <c r="AD596" s="158"/>
      <c r="AE596" s="158"/>
      <c r="AF596" s="158"/>
    </row>
    <row r="597" ht="15.75" hidden="1" customHeight="1">
      <c r="A597" s="124"/>
      <c r="B597" s="2"/>
      <c r="C597" s="124"/>
      <c r="D597" s="185" t="s">
        <v>248</v>
      </c>
      <c r="E597" s="743"/>
      <c r="F597" s="187">
        <v>1.0</v>
      </c>
      <c r="G597" s="187">
        <v>6.0</v>
      </c>
      <c r="H597" s="187"/>
      <c r="I597" s="164">
        <v>200.0</v>
      </c>
      <c r="J597" s="266">
        <v>6.0</v>
      </c>
      <c r="K597" s="183">
        <v>6.5</v>
      </c>
      <c r="L597" s="183"/>
      <c r="M597" s="183"/>
      <c r="N597" s="183"/>
      <c r="O597" s="699">
        <f>I597/VLOOKUP(K597,Sheet1!$D$7:$N$16,G597+1,FALSE)</f>
        <v>265.7807309</v>
      </c>
      <c r="P597" s="684" t="str">
        <f t="shared" si="22"/>
        <v>#REF!</v>
      </c>
      <c r="Q597" s="730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</row>
    <row r="598" ht="3.75" hidden="1" customHeight="1">
      <c r="A598" s="124"/>
      <c r="B598" s="2"/>
      <c r="C598" s="124"/>
      <c r="D598" s="138"/>
      <c r="E598" s="321"/>
      <c r="F598" s="102"/>
      <c r="G598" s="102"/>
      <c r="H598" s="102"/>
      <c r="I598" s="247"/>
      <c r="J598" s="267"/>
      <c r="K598" s="183"/>
      <c r="L598" s="183"/>
      <c r="M598" s="183"/>
      <c r="N598" s="183"/>
      <c r="O598" s="699" t="str">
        <f>I598/VLOOKUP(K598,Sheet1!$D$7:$N$16,G598+1,FALSE)</f>
        <v>#N/A</v>
      </c>
      <c r="P598" s="684" t="str">
        <f t="shared" si="22"/>
        <v>#REF!</v>
      </c>
      <c r="Q598" s="702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</row>
    <row r="599" ht="15.75" hidden="1" customHeight="1">
      <c r="A599" s="90"/>
      <c r="B599" s="2"/>
      <c r="C599" s="90"/>
      <c r="D599" s="185" t="s">
        <v>248</v>
      </c>
      <c r="E599" s="264"/>
      <c r="F599" s="187">
        <v>2.0</v>
      </c>
      <c r="G599" s="187">
        <v>6.0</v>
      </c>
      <c r="H599" s="187"/>
      <c r="I599" s="164">
        <v>180.0</v>
      </c>
      <c r="J599" s="706">
        <v>-0.12</v>
      </c>
      <c r="K599" s="183">
        <v>6.0</v>
      </c>
      <c r="L599" s="183"/>
      <c r="M599" s="183"/>
      <c r="N599" s="183"/>
      <c r="O599" s="699">
        <f>I599/VLOOKUP(K599,Sheet1!$D$7:$N$16,G599+1,FALSE)</f>
        <v>243.2432432</v>
      </c>
      <c r="P599" s="684" t="str">
        <f t="shared" si="22"/>
        <v>#REF!</v>
      </c>
      <c r="Q599" s="702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</row>
    <row r="600" ht="3.75" hidden="1" customHeight="1">
      <c r="A600" s="90"/>
      <c r="B600" s="2"/>
      <c r="C600" s="90"/>
      <c r="D600" s="138"/>
      <c r="E600" s="321"/>
      <c r="F600" s="102"/>
      <c r="G600" s="102"/>
      <c r="H600" s="102"/>
      <c r="I600" s="247"/>
      <c r="J600" s="267"/>
      <c r="K600" s="183"/>
      <c r="L600" s="183"/>
      <c r="M600" s="183"/>
      <c r="N600" s="183"/>
      <c r="O600" s="699" t="str">
        <f>I600/VLOOKUP(K600,Sheet1!$D$7:$N$16,G600+1,FALSE)</f>
        <v>#N/A</v>
      </c>
      <c r="P600" s="684" t="str">
        <f t="shared" si="22"/>
        <v>#REF!</v>
      </c>
      <c r="Q600" s="702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</row>
    <row r="601" ht="15.75" hidden="1" customHeight="1">
      <c r="A601" s="90"/>
      <c r="B601" s="2"/>
      <c r="C601" s="90"/>
      <c r="D601" s="185" t="s">
        <v>252</v>
      </c>
      <c r="E601" s="260"/>
      <c r="F601" s="187">
        <v>3.0</v>
      </c>
      <c r="G601" s="187" t="s">
        <v>41</v>
      </c>
      <c r="H601" s="187"/>
      <c r="I601" s="164"/>
      <c r="J601" s="266">
        <v>8.0</v>
      </c>
      <c r="K601" s="183">
        <v>9.0</v>
      </c>
      <c r="L601" s="183"/>
      <c r="M601" s="183"/>
      <c r="N601" s="183"/>
      <c r="O601" s="699" t="str">
        <f>I601/VLOOKUP(K601,Sheet1!$D$7:$N$16,G601+1,FALSE)</f>
        <v>#VALUE!</v>
      </c>
      <c r="P601" s="684" t="str">
        <f t="shared" si="22"/>
        <v>#REF!</v>
      </c>
      <c r="Q601" s="702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</row>
    <row r="602" ht="3.75" hidden="1" customHeight="1">
      <c r="A602" s="90"/>
      <c r="B602" s="2"/>
      <c r="C602" s="90"/>
      <c r="D602" s="138"/>
      <c r="E602" s="321"/>
      <c r="F602" s="102"/>
      <c r="G602" s="102"/>
      <c r="H602" s="102"/>
      <c r="I602" s="247"/>
      <c r="J602" s="156"/>
      <c r="K602" s="183"/>
      <c r="L602" s="183"/>
      <c r="M602" s="183"/>
      <c r="N602" s="183"/>
      <c r="O602" s="699" t="str">
        <f>I602/VLOOKUP(K602,Sheet1!$D$7:$N$16,G602+1,FALSE)</f>
        <v>#N/A</v>
      </c>
      <c r="P602" s="684" t="str">
        <f t="shared" si="22"/>
        <v>#REF!</v>
      </c>
      <c r="Q602" s="702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</row>
    <row r="603" ht="15.75" hidden="1" customHeight="1">
      <c r="A603" s="90"/>
      <c r="B603" s="2"/>
      <c r="C603" s="90"/>
      <c r="D603" s="185" t="s">
        <v>253</v>
      </c>
      <c r="E603" s="260"/>
      <c r="F603" s="187">
        <v>3.0</v>
      </c>
      <c r="G603" s="731" t="s">
        <v>251</v>
      </c>
      <c r="H603" s="187"/>
      <c r="I603" s="164"/>
      <c r="J603" s="266">
        <v>8.0</v>
      </c>
      <c r="K603" s="183">
        <v>8.0</v>
      </c>
      <c r="L603" s="183"/>
      <c r="M603" s="183"/>
      <c r="N603" s="183"/>
      <c r="O603" s="699" t="str">
        <f>I603/VLOOKUP(K603,Sheet1!$D$7:$N$16,G603+1,FALSE)</f>
        <v>#REF!</v>
      </c>
      <c r="P603" s="684" t="str">
        <f t="shared" si="22"/>
        <v>#REF!</v>
      </c>
      <c r="Q603" s="702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</row>
    <row r="604" ht="3.75" hidden="1" customHeight="1">
      <c r="A604" s="90"/>
      <c r="B604" s="2"/>
      <c r="C604" s="90"/>
      <c r="D604" s="138"/>
      <c r="E604" s="321"/>
      <c r="F604" s="102"/>
      <c r="G604" s="102"/>
      <c r="H604" s="102"/>
      <c r="I604" s="247"/>
      <c r="J604" s="267"/>
      <c r="K604" s="183"/>
      <c r="L604" s="183"/>
      <c r="M604" s="183"/>
      <c r="N604" s="183"/>
      <c r="O604" s="699" t="str">
        <f>I604/VLOOKUP(K604,Sheet1!$D$7:$N$16,G604+1,FALSE)</f>
        <v>#N/A</v>
      </c>
      <c r="P604" s="684" t="str">
        <f t="shared" si="22"/>
        <v>#REF!</v>
      </c>
      <c r="Q604" s="702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</row>
    <row r="605" ht="15.75" hidden="1" customHeight="1">
      <c r="A605" s="90"/>
      <c r="B605" s="2"/>
      <c r="C605" s="90"/>
      <c r="D605" s="185"/>
      <c r="E605" s="264"/>
      <c r="F605" s="187"/>
      <c r="G605" s="187"/>
      <c r="H605" s="187"/>
      <c r="I605" s="164"/>
      <c r="J605" s="706"/>
      <c r="K605" s="183"/>
      <c r="L605" s="183"/>
      <c r="M605" s="183"/>
      <c r="N605" s="183"/>
      <c r="O605" s="699" t="str">
        <f>I605/VLOOKUP(K605,Sheet1!$D$7:$N$16,G605+1,FALSE)</f>
        <v>#N/A</v>
      </c>
      <c r="P605" s="684" t="str">
        <f t="shared" si="22"/>
        <v>#REF!</v>
      </c>
      <c r="Q605" s="702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</row>
    <row r="606" ht="3.75" hidden="1" customHeight="1">
      <c r="A606" s="90"/>
      <c r="B606" s="2"/>
      <c r="C606" s="90"/>
      <c r="D606" s="138"/>
      <c r="E606" s="321"/>
      <c r="F606" s="102"/>
      <c r="G606" s="102"/>
      <c r="H606" s="102"/>
      <c r="I606" s="247"/>
      <c r="J606" s="267"/>
      <c r="K606" s="183"/>
      <c r="L606" s="183"/>
      <c r="M606" s="183"/>
      <c r="N606" s="183"/>
      <c r="O606" s="699" t="str">
        <f>I606/VLOOKUP(K606,Sheet1!$D$7:$N$16,G606+1,FALSE)</f>
        <v>#N/A</v>
      </c>
      <c r="P606" s="684" t="str">
        <f t="shared" si="22"/>
        <v>#REF!</v>
      </c>
      <c r="Q606" s="702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</row>
    <row r="607" ht="15.75" hidden="1" customHeight="1">
      <c r="A607" s="90"/>
      <c r="B607" s="2"/>
      <c r="C607" s="90"/>
      <c r="D607" s="185" t="s">
        <v>88</v>
      </c>
      <c r="E607" s="264"/>
      <c r="F607" s="187">
        <v>3.0</v>
      </c>
      <c r="G607" s="731" t="s">
        <v>251</v>
      </c>
      <c r="H607" s="187"/>
      <c r="I607" s="164"/>
      <c r="J607" s="266">
        <v>9.0</v>
      </c>
      <c r="K607" s="183">
        <v>9.0</v>
      </c>
      <c r="L607" s="183"/>
      <c r="M607" s="183"/>
      <c r="N607" s="183"/>
      <c r="O607" s="699" t="str">
        <f>I607/VLOOKUP(K607,Sheet1!$D$7:$N$16,G607+1,FALSE)</f>
        <v>#REF!</v>
      </c>
      <c r="P607" s="684" t="str">
        <f t="shared" si="22"/>
        <v>#REF!</v>
      </c>
      <c r="Q607" s="702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</row>
    <row r="608" ht="3.75" hidden="1" customHeight="1">
      <c r="A608" s="90"/>
      <c r="B608" s="2"/>
      <c r="C608" s="90"/>
      <c r="D608" s="138"/>
      <c r="E608" s="321"/>
      <c r="F608" s="102"/>
      <c r="G608" s="102"/>
      <c r="H608" s="102"/>
      <c r="I608" s="247"/>
      <c r="J608" s="267"/>
      <c r="K608" s="183"/>
      <c r="L608" s="183"/>
      <c r="M608" s="183"/>
      <c r="N608" s="183"/>
      <c r="O608" s="699" t="str">
        <f>I608/VLOOKUP(K608,Sheet1!$D$7:$N$16,G608+1,FALSE)</f>
        <v>#N/A</v>
      </c>
      <c r="P608" s="684" t="str">
        <f t="shared" si="22"/>
        <v>#REF!</v>
      </c>
      <c r="Q608" s="702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</row>
    <row r="609" ht="20.25" hidden="1" customHeight="1">
      <c r="A609" s="90"/>
      <c r="B609" s="2"/>
      <c r="C609" s="90"/>
      <c r="D609" s="185"/>
      <c r="E609" s="264"/>
      <c r="F609" s="187"/>
      <c r="G609" s="187"/>
      <c r="H609" s="187"/>
      <c r="I609" s="164"/>
      <c r="J609" s="266"/>
      <c r="K609" s="183"/>
      <c r="L609" s="183"/>
      <c r="M609" s="183"/>
      <c r="N609" s="183"/>
      <c r="O609" s="699" t="str">
        <f>I609/VLOOKUP(K609,Sheet1!$D$7:$N$16,G609+1,FALSE)</f>
        <v>#N/A</v>
      </c>
      <c r="P609" s="684" t="str">
        <f t="shared" si="22"/>
        <v>#REF!</v>
      </c>
      <c r="Q609" s="702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</row>
    <row r="610" ht="3.75" hidden="1" customHeight="1">
      <c r="A610" s="191"/>
      <c r="B610" s="719"/>
      <c r="C610" s="192"/>
      <c r="D610" s="138"/>
      <c r="E610" s="263"/>
      <c r="F610" s="194"/>
      <c r="G610" s="194"/>
      <c r="H610" s="194"/>
      <c r="I610" s="164"/>
      <c r="J610" s="267"/>
      <c r="K610" s="183"/>
      <c r="L610" s="183"/>
      <c r="M610" s="183"/>
      <c r="N610" s="183"/>
      <c r="O610" s="699" t="str">
        <f>I610/VLOOKUP(K610,Sheet1!$D$7:$N$16,G610+1,FALSE)</f>
        <v>#N/A</v>
      </c>
      <c r="P610" s="684" t="str">
        <f t="shared" si="22"/>
        <v>#REF!</v>
      </c>
      <c r="Q610" s="702"/>
      <c r="R610" s="158"/>
      <c r="S610" s="158"/>
      <c r="T610" s="158"/>
      <c r="U610" s="158"/>
      <c r="V610" s="158"/>
      <c r="W610" s="158"/>
      <c r="X610" s="158"/>
      <c r="Y610" s="158"/>
      <c r="Z610" s="158"/>
      <c r="AA610" s="158"/>
      <c r="AB610" s="158"/>
      <c r="AC610" s="158"/>
      <c r="AD610" s="158"/>
      <c r="AE610" s="158"/>
      <c r="AF610" s="158"/>
    </row>
    <row r="611" ht="15.75" hidden="1" customHeight="1">
      <c r="A611" s="90"/>
      <c r="B611" s="2"/>
      <c r="C611" s="90"/>
      <c r="D611" s="185" t="s">
        <v>254</v>
      </c>
      <c r="E611" s="266"/>
      <c r="F611" s="187">
        <v>3.0</v>
      </c>
      <c r="G611" s="731" t="s">
        <v>251</v>
      </c>
      <c r="H611" s="187"/>
      <c r="I611" s="164"/>
      <c r="J611" s="266">
        <v>9.0</v>
      </c>
      <c r="K611" s="183">
        <v>9.0</v>
      </c>
      <c r="L611" s="183"/>
      <c r="M611" s="183"/>
      <c r="N611" s="183"/>
      <c r="O611" s="699" t="str">
        <f>I611/VLOOKUP(K611,Sheet1!$D$7:$N$16,G611+1,FALSE)</f>
        <v>#REF!</v>
      </c>
      <c r="P611" s="684" t="str">
        <f t="shared" si="22"/>
        <v>#REF!</v>
      </c>
      <c r="Q611" s="702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</row>
    <row r="612" ht="3.75" hidden="1" customHeight="1">
      <c r="A612" s="90"/>
      <c r="B612" s="2"/>
      <c r="C612" s="90"/>
      <c r="D612" s="138"/>
      <c r="E612" s="252"/>
      <c r="F612" s="102"/>
      <c r="G612" s="102"/>
      <c r="H612" s="102"/>
      <c r="I612" s="247"/>
      <c r="J612" s="156"/>
      <c r="K612" s="183"/>
      <c r="L612" s="183"/>
      <c r="M612" s="183"/>
      <c r="N612" s="183"/>
      <c r="O612" s="699" t="str">
        <f>I612/VLOOKUP(K612,Sheet1!$D$7:$N$16,G612+1,FALSE)</f>
        <v>#N/A</v>
      </c>
      <c r="P612" s="684" t="str">
        <f t="shared" si="22"/>
        <v>#REF!</v>
      </c>
      <c r="Q612" s="702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</row>
    <row r="613" ht="15.75" hidden="1" customHeight="1">
      <c r="A613" s="90"/>
      <c r="B613" s="2"/>
      <c r="C613" s="90"/>
      <c r="D613" s="185" t="s">
        <v>255</v>
      </c>
      <c r="E613" s="260"/>
      <c r="F613" s="187">
        <v>3.0</v>
      </c>
      <c r="G613" s="731" t="s">
        <v>251</v>
      </c>
      <c r="H613" s="187"/>
      <c r="I613" s="164"/>
      <c r="J613" s="266">
        <v>9.0</v>
      </c>
      <c r="K613" s="183">
        <v>9.0</v>
      </c>
      <c r="L613" s="183"/>
      <c r="M613" s="183"/>
      <c r="N613" s="183"/>
      <c r="O613" s="699" t="str">
        <f>I613/VLOOKUP(K613,Sheet1!$D$7:$N$16,G613+1,FALSE)</f>
        <v>#REF!</v>
      </c>
      <c r="P613" s="684" t="str">
        <f t="shared" si="22"/>
        <v>#REF!</v>
      </c>
      <c r="Q613" s="702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</row>
    <row r="614" ht="3.75" hidden="1" customHeight="1">
      <c r="A614" s="191"/>
      <c r="B614" s="719"/>
      <c r="C614" s="192"/>
      <c r="D614" s="138"/>
      <c r="E614" s="267"/>
      <c r="F614" s="194"/>
      <c r="G614" s="194"/>
      <c r="H614" s="194"/>
      <c r="I614" s="164"/>
      <c r="J614" s="267"/>
      <c r="K614" s="183"/>
      <c r="L614" s="183"/>
      <c r="M614" s="183"/>
      <c r="N614" s="183"/>
      <c r="O614" s="699" t="str">
        <f>I614/VLOOKUP(K614,Sheet1!$D$7:$N$16,G614+1,FALSE)</f>
        <v>#N/A</v>
      </c>
      <c r="P614" s="684" t="str">
        <f t="shared" si="22"/>
        <v>#REF!</v>
      </c>
      <c r="Q614" s="702"/>
      <c r="R614" s="158"/>
      <c r="S614" s="158"/>
      <c r="T614" s="158"/>
      <c r="U614" s="158"/>
      <c r="V614" s="158"/>
      <c r="W614" s="158"/>
      <c r="X614" s="158"/>
      <c r="Y614" s="158"/>
      <c r="Z614" s="158"/>
      <c r="AA614" s="158"/>
      <c r="AB614" s="158"/>
      <c r="AC614" s="158"/>
      <c r="AD614" s="158"/>
      <c r="AE614" s="158"/>
      <c r="AF614" s="158"/>
    </row>
    <row r="615" ht="15.75" hidden="1" customHeight="1">
      <c r="A615" s="90"/>
      <c r="B615" s="2"/>
      <c r="C615" s="90"/>
      <c r="D615" s="185" t="s">
        <v>256</v>
      </c>
      <c r="E615" s="266"/>
      <c r="F615" s="187">
        <v>3.0</v>
      </c>
      <c r="G615" s="187" t="s">
        <v>16</v>
      </c>
      <c r="H615" s="187"/>
      <c r="I615" s="164"/>
      <c r="J615" s="266">
        <v>9.0</v>
      </c>
      <c r="K615" s="183">
        <v>9.0</v>
      </c>
      <c r="L615" s="183"/>
      <c r="M615" s="183"/>
      <c r="N615" s="183"/>
      <c r="O615" s="699" t="str">
        <f>I615/VLOOKUP(K615,Sheet1!$D$7:$N$16,G615+1,FALSE)</f>
        <v>#VALUE!</v>
      </c>
      <c r="P615" s="684" t="str">
        <f t="shared" si="22"/>
        <v>#REF!</v>
      </c>
      <c r="Q615" s="702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</row>
    <row r="616" ht="3.75" hidden="1" customHeight="1">
      <c r="A616" s="90"/>
      <c r="B616" s="2"/>
      <c r="C616" s="90"/>
      <c r="D616" s="138"/>
      <c r="E616" s="252"/>
      <c r="F616" s="102"/>
      <c r="G616" s="102"/>
      <c r="H616" s="102"/>
      <c r="I616" s="247"/>
      <c r="J616" s="156"/>
      <c r="K616" s="183"/>
      <c r="L616" s="183"/>
      <c r="M616" s="183"/>
      <c r="N616" s="183"/>
      <c r="O616" s="699" t="str">
        <f>I616/VLOOKUP(K616,Sheet1!$D$7:$N$16,G616+1,FALSE)</f>
        <v>#N/A</v>
      </c>
      <c r="P616" s="684" t="str">
        <f t="shared" si="22"/>
        <v>#REF!</v>
      </c>
      <c r="Q616" s="702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</row>
    <row r="617" ht="15.75" hidden="1" customHeight="1">
      <c r="A617" s="90"/>
      <c r="B617" s="2"/>
      <c r="C617" s="90"/>
      <c r="D617" s="185"/>
      <c r="E617" s="266"/>
      <c r="F617" s="187"/>
      <c r="G617" s="187"/>
      <c r="H617" s="187"/>
      <c r="I617" s="164"/>
      <c r="J617" s="266"/>
      <c r="K617" s="183"/>
      <c r="L617" s="183"/>
      <c r="M617" s="183"/>
      <c r="N617" s="183"/>
      <c r="O617" s="699" t="str">
        <f>I617/VLOOKUP(K617,Sheet1!$D$7:$N$16,G617+1,FALSE)</f>
        <v>#N/A</v>
      </c>
      <c r="P617" s="684" t="str">
        <f t="shared" si="22"/>
        <v>#REF!</v>
      </c>
      <c r="Q617" s="697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</row>
    <row r="618" ht="3.75" hidden="1" customHeight="1">
      <c r="A618" s="90"/>
      <c r="B618" s="2"/>
      <c r="C618" s="90"/>
      <c r="D618" s="90"/>
      <c r="E618" s="156"/>
      <c r="F618" s="102"/>
      <c r="G618" s="102"/>
      <c r="H618" s="102"/>
      <c r="I618" s="102"/>
      <c r="J618" s="156"/>
      <c r="K618" s="720"/>
      <c r="L618" s="201"/>
      <c r="M618" s="201"/>
      <c r="N618" s="201"/>
      <c r="O618" s="699" t="str">
        <f>I618/VLOOKUP(K618,Sheet1!$D$7:$N$16,G618+1,FALSE)</f>
        <v>#N/A</v>
      </c>
      <c r="P618" s="684" t="str">
        <f t="shared" si="22"/>
        <v>#REF!</v>
      </c>
      <c r="Q618" s="720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</row>
    <row r="619" ht="30.75" hidden="1" customHeight="1">
      <c r="A619" s="90"/>
      <c r="B619" s="2"/>
      <c r="C619" s="90"/>
      <c r="D619" s="686" t="s">
        <v>257</v>
      </c>
      <c r="E619" s="687" t="s">
        <v>15</v>
      </c>
      <c r="F619" s="721" t="s">
        <v>16</v>
      </c>
      <c r="G619" s="722" t="s">
        <v>17</v>
      </c>
      <c r="H619" s="723"/>
      <c r="I619" s="724"/>
      <c r="J619" s="725" t="s">
        <v>241</v>
      </c>
      <c r="K619" s="691"/>
      <c r="L619" s="692"/>
      <c r="M619" s="692"/>
      <c r="N619" s="692"/>
      <c r="O619" s="699"/>
      <c r="P619" s="684"/>
      <c r="Q619" s="693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</row>
    <row r="620" ht="14.25" hidden="1" customHeight="1">
      <c r="A620" s="90"/>
      <c r="B620" s="2"/>
      <c r="C620" s="90"/>
      <c r="D620" s="257" t="s">
        <v>25</v>
      </c>
      <c r="E620" s="257" t="s">
        <v>26</v>
      </c>
      <c r="F620" s="680"/>
      <c r="G620" s="681"/>
      <c r="H620" s="723"/>
      <c r="I620" s="681"/>
      <c r="J620" s="725" t="s">
        <v>244</v>
      </c>
      <c r="K620" s="697"/>
      <c r="L620" s="692"/>
      <c r="M620" s="692"/>
      <c r="N620" s="692"/>
      <c r="O620" s="699"/>
      <c r="P620" s="684"/>
      <c r="Q620" s="698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</row>
    <row r="621" ht="3.75" hidden="1" customHeight="1">
      <c r="A621" s="191"/>
      <c r="B621" s="719"/>
      <c r="C621" s="192"/>
      <c r="D621" s="203"/>
      <c r="E621" s="203"/>
      <c r="F621" s="726"/>
      <c r="G621" s="726"/>
      <c r="H621" s="726"/>
      <c r="I621" s="727"/>
      <c r="J621" s="728"/>
      <c r="K621" s="192"/>
      <c r="L621" s="194"/>
      <c r="M621" s="194"/>
      <c r="N621" s="194"/>
      <c r="O621" s="699"/>
      <c r="P621" s="684" t="str">
        <f t="shared" ref="P621:P643" si="23">I621-#REF!</f>
        <v>#REF!</v>
      </c>
      <c r="Q621" s="192"/>
      <c r="R621" s="158"/>
      <c r="S621" s="158"/>
      <c r="T621" s="158"/>
      <c r="U621" s="158"/>
      <c r="V621" s="158"/>
      <c r="W621" s="158"/>
      <c r="X621" s="158"/>
      <c r="Y621" s="158"/>
      <c r="Z621" s="158"/>
      <c r="AA621" s="158"/>
      <c r="AB621" s="158"/>
      <c r="AC621" s="158"/>
      <c r="AD621" s="158"/>
      <c r="AE621" s="158"/>
      <c r="AF621" s="158"/>
    </row>
    <row r="622" ht="15.75" hidden="1" customHeight="1">
      <c r="A622" s="124"/>
      <c r="B622" s="2"/>
      <c r="C622" s="124"/>
      <c r="D622" s="185" t="s">
        <v>287</v>
      </c>
      <c r="E622" s="732"/>
      <c r="F622" s="187">
        <v>2.0</v>
      </c>
      <c r="G622" s="187">
        <v>2.0</v>
      </c>
      <c r="H622" s="187"/>
      <c r="I622" s="164">
        <v>150.0</v>
      </c>
      <c r="J622" s="266">
        <v>5.0</v>
      </c>
      <c r="K622" s="183">
        <v>5.0</v>
      </c>
      <c r="L622" s="183"/>
      <c r="M622" s="183"/>
      <c r="N622" s="183"/>
      <c r="O622" s="699" t="str">
        <f>I622/VLOOKUP(K622,Sheet1!$D$7:$N$16,G622+1,FALSE)</f>
        <v>#N/A</v>
      </c>
      <c r="P622" s="684" t="str">
        <f t="shared" si="23"/>
        <v>#REF!</v>
      </c>
      <c r="Q622" s="730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</row>
    <row r="623" ht="3.75" hidden="1" customHeight="1">
      <c r="A623" s="124"/>
      <c r="B623" s="2"/>
      <c r="C623" s="124"/>
      <c r="D623" s="138"/>
      <c r="E623" s="252"/>
      <c r="F623" s="102"/>
      <c r="G623" s="102"/>
      <c r="H623" s="102"/>
      <c r="I623" s="247"/>
      <c r="J623" s="156"/>
      <c r="K623" s="183"/>
      <c r="L623" s="183"/>
      <c r="M623" s="183"/>
      <c r="N623" s="183"/>
      <c r="O623" s="699" t="str">
        <f>I623/VLOOKUP(K623,Sheet1!$D$7:$N$16,G623+1,FALSE)</f>
        <v>#N/A</v>
      </c>
      <c r="P623" s="684" t="str">
        <f t="shared" si="23"/>
        <v>#REF!</v>
      </c>
      <c r="Q623" s="702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</row>
    <row r="624" ht="15.75" hidden="1" customHeight="1">
      <c r="A624" s="90"/>
      <c r="B624" s="2"/>
      <c r="C624" s="90"/>
      <c r="D624" s="185" t="s">
        <v>51</v>
      </c>
      <c r="E624" s="224"/>
      <c r="F624" s="187">
        <v>4.0</v>
      </c>
      <c r="G624" s="187">
        <v>4.0</v>
      </c>
      <c r="H624" s="187"/>
      <c r="I624" s="164">
        <v>120.0</v>
      </c>
      <c r="J624" s="266">
        <v>7.0</v>
      </c>
      <c r="K624" s="183">
        <v>7.0</v>
      </c>
      <c r="L624" s="183"/>
      <c r="M624" s="183"/>
      <c r="N624" s="183"/>
      <c r="O624" s="699">
        <f>I624/VLOOKUP(K624,Sheet1!$D$7:$N$16,G624+1,FALSE)</f>
        <v>147.2392638</v>
      </c>
      <c r="P624" s="684" t="str">
        <f t="shared" si="23"/>
        <v>#REF!</v>
      </c>
      <c r="Q624" s="702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</row>
    <row r="625" ht="3.75" hidden="1" customHeight="1">
      <c r="A625" s="90"/>
      <c r="B625" s="2"/>
      <c r="C625" s="90"/>
      <c r="D625" s="138"/>
      <c r="E625" s="252"/>
      <c r="F625" s="102"/>
      <c r="G625" s="102"/>
      <c r="H625" s="102"/>
      <c r="I625" s="247"/>
      <c r="J625" s="156"/>
      <c r="K625" s="183"/>
      <c r="L625" s="183"/>
      <c r="M625" s="183"/>
      <c r="N625" s="183"/>
      <c r="O625" s="699" t="str">
        <f>I625/VLOOKUP(K625,Sheet1!$D$7:$N$16,G625+1,FALSE)</f>
        <v>#N/A</v>
      </c>
      <c r="P625" s="684" t="str">
        <f t="shared" si="23"/>
        <v>#REF!</v>
      </c>
      <c r="Q625" s="702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</row>
    <row r="626" ht="15.75" hidden="1" customHeight="1">
      <c r="A626" s="90"/>
      <c r="B626" s="2"/>
      <c r="C626" s="90"/>
      <c r="D626" s="185" t="s">
        <v>119</v>
      </c>
      <c r="E626" s="264"/>
      <c r="F626" s="187">
        <v>3.0</v>
      </c>
      <c r="G626" s="187">
        <v>12.0</v>
      </c>
      <c r="H626" s="187"/>
      <c r="I626" s="164">
        <v>70.0</v>
      </c>
      <c r="J626" s="266">
        <v>8.0</v>
      </c>
      <c r="K626" s="183">
        <v>8.0</v>
      </c>
      <c r="L626" s="183"/>
      <c r="M626" s="183"/>
      <c r="N626" s="183"/>
      <c r="O626" s="699" t="str">
        <f>I626/VLOOKUP(K626,Sheet1!$D$7:$N$16,G626+1,FALSE)</f>
        <v>#REF!</v>
      </c>
      <c r="P626" s="684" t="str">
        <f t="shared" si="23"/>
        <v>#REF!</v>
      </c>
      <c r="Q626" s="702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</row>
    <row r="627" ht="3.75" hidden="1" customHeight="1">
      <c r="A627" s="90"/>
      <c r="B627" s="2"/>
      <c r="C627" s="90"/>
      <c r="D627" s="138"/>
      <c r="E627" s="252"/>
      <c r="F627" s="102"/>
      <c r="G627" s="102"/>
      <c r="H627" s="102"/>
      <c r="I627" s="247"/>
      <c r="J627" s="156"/>
      <c r="K627" s="183"/>
      <c r="L627" s="183"/>
      <c r="M627" s="183"/>
      <c r="N627" s="183"/>
      <c r="O627" s="699" t="str">
        <f>I627/VLOOKUP(K627,Sheet1!$D$7:$N$16,G627+1,FALSE)</f>
        <v>#N/A</v>
      </c>
      <c r="P627" s="684" t="str">
        <f t="shared" si="23"/>
        <v>#REF!</v>
      </c>
      <c r="Q627" s="702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</row>
    <row r="628" ht="15.75" hidden="1" customHeight="1">
      <c r="A628" s="90"/>
      <c r="B628" s="2"/>
      <c r="C628" s="90"/>
      <c r="D628" s="185" t="s">
        <v>275</v>
      </c>
      <c r="E628" s="260"/>
      <c r="F628" s="187">
        <v>3.0</v>
      </c>
      <c r="G628" s="731" t="s">
        <v>251</v>
      </c>
      <c r="H628" s="187"/>
      <c r="I628" s="164"/>
      <c r="J628" s="266">
        <v>8.0</v>
      </c>
      <c r="K628" s="183">
        <v>8.0</v>
      </c>
      <c r="L628" s="183"/>
      <c r="M628" s="183"/>
      <c r="N628" s="183"/>
      <c r="O628" s="699" t="str">
        <f>I628/VLOOKUP(K628,Sheet1!$D$7:$N$16,G628+1,FALSE)</f>
        <v>#REF!</v>
      </c>
      <c r="P628" s="684" t="str">
        <f t="shared" si="23"/>
        <v>#REF!</v>
      </c>
      <c r="Q628" s="702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</row>
    <row r="629" ht="3.75" hidden="1" customHeight="1">
      <c r="A629" s="90"/>
      <c r="B629" s="2"/>
      <c r="C629" s="90"/>
      <c r="D629" s="138"/>
      <c r="E629" s="252"/>
      <c r="F629" s="102"/>
      <c r="G629" s="102"/>
      <c r="H629" s="102"/>
      <c r="I629" s="247"/>
      <c r="J629" s="156"/>
      <c r="K629" s="183"/>
      <c r="L629" s="183"/>
      <c r="M629" s="183"/>
      <c r="N629" s="183"/>
      <c r="O629" s="699" t="str">
        <f>I629/VLOOKUP(K629,Sheet1!$D$7:$N$16,G629+1,FALSE)</f>
        <v>#N/A</v>
      </c>
      <c r="P629" s="684" t="str">
        <f t="shared" si="23"/>
        <v>#REF!</v>
      </c>
      <c r="Q629" s="702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</row>
    <row r="630" ht="15.75" hidden="1" customHeight="1">
      <c r="A630" s="90"/>
      <c r="B630" s="2"/>
      <c r="C630" s="90"/>
      <c r="D630" s="185"/>
      <c r="E630" s="260"/>
      <c r="F630" s="187"/>
      <c r="G630" s="187"/>
      <c r="H630" s="187"/>
      <c r="I630" s="164"/>
      <c r="J630" s="266"/>
      <c r="K630" s="183"/>
      <c r="L630" s="183"/>
      <c r="M630" s="183"/>
      <c r="N630" s="183"/>
      <c r="O630" s="699" t="str">
        <f>I630/VLOOKUP(K630,Sheet1!$D$7:$N$16,G630+1,FALSE)</f>
        <v>#N/A</v>
      </c>
      <c r="P630" s="684" t="str">
        <f t="shared" si="23"/>
        <v>#REF!</v>
      </c>
      <c r="Q630" s="702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</row>
    <row r="631" ht="3.75" hidden="1" customHeight="1">
      <c r="A631" s="90"/>
      <c r="B631" s="2"/>
      <c r="C631" s="90"/>
      <c r="D631" s="138"/>
      <c r="E631" s="252"/>
      <c r="F631" s="102"/>
      <c r="G631" s="102"/>
      <c r="H631" s="102"/>
      <c r="I631" s="247"/>
      <c r="J631" s="156"/>
      <c r="K631" s="183"/>
      <c r="L631" s="183"/>
      <c r="M631" s="183"/>
      <c r="N631" s="183"/>
      <c r="O631" s="699" t="str">
        <f>I631/VLOOKUP(K631,Sheet1!$D$7:$N$16,G631+1,FALSE)</f>
        <v>#N/A</v>
      </c>
      <c r="P631" s="684" t="str">
        <f t="shared" si="23"/>
        <v>#REF!</v>
      </c>
      <c r="Q631" s="702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</row>
    <row r="632" ht="15.75" hidden="1" customHeight="1">
      <c r="A632" s="90"/>
      <c r="B632" s="2"/>
      <c r="C632" s="90"/>
      <c r="D632" s="185" t="s">
        <v>277</v>
      </c>
      <c r="E632" s="260"/>
      <c r="F632" s="187">
        <v>3.0</v>
      </c>
      <c r="G632" s="731" t="s">
        <v>251</v>
      </c>
      <c r="H632" s="187"/>
      <c r="I632" s="164"/>
      <c r="J632" s="266">
        <v>8.0</v>
      </c>
      <c r="K632" s="183">
        <v>8.0</v>
      </c>
      <c r="L632" s="183"/>
      <c r="M632" s="183"/>
      <c r="N632" s="183"/>
      <c r="O632" s="699" t="str">
        <f>I632/VLOOKUP(K632,Sheet1!$D$7:$N$16,G632+1,FALSE)</f>
        <v>#REF!</v>
      </c>
      <c r="P632" s="684" t="str">
        <f t="shared" si="23"/>
        <v>#REF!</v>
      </c>
      <c r="Q632" s="702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</row>
    <row r="633" ht="3.75" hidden="1" customHeight="1">
      <c r="A633" s="90"/>
      <c r="B633" s="2"/>
      <c r="C633" s="90"/>
      <c r="D633" s="138"/>
      <c r="E633" s="252"/>
      <c r="F633" s="102"/>
      <c r="G633" s="102"/>
      <c r="H633" s="102"/>
      <c r="I633" s="247"/>
      <c r="J633" s="267"/>
      <c r="K633" s="183"/>
      <c r="L633" s="183"/>
      <c r="M633" s="183"/>
      <c r="N633" s="183"/>
      <c r="O633" s="699" t="str">
        <f>I633/VLOOKUP(K633,Sheet1!$D$7:$N$16,G633+1,FALSE)</f>
        <v>#N/A</v>
      </c>
      <c r="P633" s="684" t="str">
        <f t="shared" si="23"/>
        <v>#REF!</v>
      </c>
      <c r="Q633" s="702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</row>
    <row r="634" ht="20.25" hidden="1" customHeight="1">
      <c r="A634" s="90"/>
      <c r="B634" s="2"/>
      <c r="C634" s="90"/>
      <c r="D634" s="185" t="s">
        <v>54</v>
      </c>
      <c r="E634" s="264"/>
      <c r="F634" s="187">
        <v>3.0</v>
      </c>
      <c r="G634" s="731" t="s">
        <v>251</v>
      </c>
      <c r="H634" s="187"/>
      <c r="I634" s="164"/>
      <c r="J634" s="266">
        <v>8.0</v>
      </c>
      <c r="K634" s="183">
        <v>8.0</v>
      </c>
      <c r="L634" s="183"/>
      <c r="M634" s="183"/>
      <c r="N634" s="183"/>
      <c r="O634" s="699" t="str">
        <f>I634/VLOOKUP(K634,Sheet1!$D$7:$N$16,G634+1,FALSE)</f>
        <v>#REF!</v>
      </c>
      <c r="P634" s="684" t="str">
        <f t="shared" si="23"/>
        <v>#REF!</v>
      </c>
      <c r="Q634" s="702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</row>
    <row r="635" ht="3.75" hidden="1" customHeight="1">
      <c r="A635" s="191"/>
      <c r="B635" s="719"/>
      <c r="C635" s="192"/>
      <c r="D635" s="138"/>
      <c r="E635" s="252"/>
      <c r="F635" s="102"/>
      <c r="G635" s="102"/>
      <c r="H635" s="102"/>
      <c r="I635" s="247"/>
      <c r="J635" s="156"/>
      <c r="K635" s="183"/>
      <c r="L635" s="183"/>
      <c r="M635" s="183"/>
      <c r="N635" s="183"/>
      <c r="O635" s="699" t="str">
        <f>I635/VLOOKUP(K635,Sheet1!$D$7:$N$16,G635+1,FALSE)</f>
        <v>#N/A</v>
      </c>
      <c r="P635" s="684" t="str">
        <f t="shared" si="23"/>
        <v>#REF!</v>
      </c>
      <c r="Q635" s="702"/>
      <c r="R635" s="158"/>
      <c r="S635" s="158"/>
      <c r="T635" s="158"/>
      <c r="U635" s="158"/>
      <c r="V635" s="158"/>
      <c r="W635" s="158"/>
      <c r="X635" s="158"/>
      <c r="Y635" s="158"/>
      <c r="Z635" s="158"/>
      <c r="AA635" s="158"/>
      <c r="AB635" s="158"/>
      <c r="AC635" s="158"/>
      <c r="AD635" s="158"/>
      <c r="AE635" s="158"/>
      <c r="AF635" s="158"/>
    </row>
    <row r="636" ht="15.75" hidden="1" customHeight="1">
      <c r="A636" s="90"/>
      <c r="B636" s="2"/>
      <c r="C636" s="90"/>
      <c r="D636" s="185" t="s">
        <v>278</v>
      </c>
      <c r="E636" s="260"/>
      <c r="F636" s="187">
        <v>3.0</v>
      </c>
      <c r="G636" s="731" t="s">
        <v>251</v>
      </c>
      <c r="H636" s="187"/>
      <c r="I636" s="164"/>
      <c r="J636" s="266">
        <v>8.0</v>
      </c>
      <c r="K636" s="183">
        <v>8.0</v>
      </c>
      <c r="L636" s="183"/>
      <c r="M636" s="183"/>
      <c r="N636" s="183"/>
      <c r="O636" s="699" t="str">
        <f>I636/VLOOKUP(K636,Sheet1!$D$7:$N$16,G636+1,FALSE)</f>
        <v>#REF!</v>
      </c>
      <c r="P636" s="684" t="str">
        <f t="shared" si="23"/>
        <v>#REF!</v>
      </c>
      <c r="Q636" s="702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</row>
    <row r="637" ht="3.75" hidden="1" customHeight="1">
      <c r="A637" s="90"/>
      <c r="B637" s="2"/>
      <c r="C637" s="90"/>
      <c r="D637" s="138"/>
      <c r="E637" s="252"/>
      <c r="F637" s="102"/>
      <c r="G637" s="102"/>
      <c r="H637" s="102"/>
      <c r="I637" s="247"/>
      <c r="J637" s="156"/>
      <c r="K637" s="183"/>
      <c r="L637" s="183"/>
      <c r="M637" s="183"/>
      <c r="N637" s="183"/>
      <c r="O637" s="699" t="str">
        <f>I637/VLOOKUP(K637,Sheet1!$D$7:$N$16,G637+1,FALSE)</f>
        <v>#N/A</v>
      </c>
      <c r="P637" s="684" t="str">
        <f t="shared" si="23"/>
        <v>#REF!</v>
      </c>
      <c r="Q637" s="702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</row>
    <row r="638" ht="15.75" hidden="1" customHeight="1">
      <c r="A638" s="90"/>
      <c r="B638" s="2"/>
      <c r="C638" s="90"/>
      <c r="D638" s="185"/>
      <c r="E638" s="266"/>
      <c r="F638" s="187"/>
      <c r="G638" s="187"/>
      <c r="H638" s="187"/>
      <c r="I638" s="164"/>
      <c r="J638" s="266"/>
      <c r="K638" s="183"/>
      <c r="L638" s="183"/>
      <c r="M638" s="183"/>
      <c r="N638" s="183"/>
      <c r="O638" s="699" t="str">
        <f>I638/VLOOKUP(K638,Sheet1!$D$7:$N$16,G638+1,FALSE)</f>
        <v>#N/A</v>
      </c>
      <c r="P638" s="684" t="str">
        <f t="shared" si="23"/>
        <v>#REF!</v>
      </c>
      <c r="Q638" s="702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</row>
    <row r="639" ht="3.75" hidden="1" customHeight="1">
      <c r="A639" s="191"/>
      <c r="B639" s="719"/>
      <c r="C639" s="192"/>
      <c r="D639" s="138"/>
      <c r="E639" s="267"/>
      <c r="F639" s="194"/>
      <c r="G639" s="194"/>
      <c r="H639" s="194"/>
      <c r="I639" s="164"/>
      <c r="J639" s="267"/>
      <c r="K639" s="183"/>
      <c r="L639" s="183"/>
      <c r="M639" s="183"/>
      <c r="N639" s="183"/>
      <c r="O639" s="699" t="str">
        <f>I639/VLOOKUP(K639,Sheet1!$D$7:$N$16,G639+1,FALSE)</f>
        <v>#N/A</v>
      </c>
      <c r="P639" s="684" t="str">
        <f t="shared" si="23"/>
        <v>#REF!</v>
      </c>
      <c r="Q639" s="702"/>
      <c r="R639" s="158"/>
      <c r="S639" s="158"/>
      <c r="T639" s="158"/>
      <c r="U639" s="158"/>
      <c r="V639" s="158"/>
      <c r="W639" s="158"/>
      <c r="X639" s="158"/>
      <c r="Y639" s="158"/>
      <c r="Z639" s="158"/>
      <c r="AA639" s="158"/>
      <c r="AB639" s="158"/>
      <c r="AC639" s="158"/>
      <c r="AD639" s="158"/>
      <c r="AE639" s="158"/>
      <c r="AF639" s="158"/>
    </row>
    <row r="640" ht="15.75" hidden="1" customHeight="1">
      <c r="A640" s="90"/>
      <c r="B640" s="2"/>
      <c r="C640" s="90"/>
      <c r="D640" s="185"/>
      <c r="E640" s="266"/>
      <c r="F640" s="187"/>
      <c r="G640" s="187"/>
      <c r="H640" s="187"/>
      <c r="I640" s="164"/>
      <c r="J640" s="266"/>
      <c r="K640" s="183"/>
      <c r="L640" s="183"/>
      <c r="M640" s="183"/>
      <c r="N640" s="183"/>
      <c r="O640" s="699" t="str">
        <f>I640/VLOOKUP(K640,Sheet1!$D$7:$N$16,G640+1,FALSE)</f>
        <v>#N/A</v>
      </c>
      <c r="P640" s="684" t="str">
        <f t="shared" si="23"/>
        <v>#REF!</v>
      </c>
      <c r="Q640" s="702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</row>
    <row r="641" ht="3.75" hidden="1" customHeight="1">
      <c r="A641" s="90"/>
      <c r="B641" s="2"/>
      <c r="C641" s="90"/>
      <c r="D641" s="252"/>
      <c r="E641" s="252"/>
      <c r="F641" s="102"/>
      <c r="G641" s="102"/>
      <c r="H641" s="102"/>
      <c r="I641" s="247"/>
      <c r="J641" s="156"/>
      <c r="K641" s="733"/>
      <c r="L641" s="734"/>
      <c r="M641" s="734"/>
      <c r="N641" s="734"/>
      <c r="O641" s="699" t="str">
        <f>I641/VLOOKUP(K641,Sheet1!$D$7:$N$16,G641+1,FALSE)</f>
        <v>#N/A</v>
      </c>
      <c r="P641" s="684" t="str">
        <f t="shared" si="23"/>
        <v>#REF!</v>
      </c>
      <c r="Q641" s="702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</row>
    <row r="642" ht="0.75" hidden="1" customHeight="1">
      <c r="A642" s="90"/>
      <c r="B642" s="2"/>
      <c r="C642" s="90"/>
      <c r="D642" s="274"/>
      <c r="E642" s="266"/>
      <c r="F642" s="187"/>
      <c r="G642" s="187"/>
      <c r="H642" s="187"/>
      <c r="I642" s="164"/>
      <c r="J642" s="266"/>
      <c r="K642" s="733"/>
      <c r="L642" s="734"/>
      <c r="M642" s="734"/>
      <c r="N642" s="734"/>
      <c r="O642" s="699" t="str">
        <f>I642/VLOOKUP(K642,Sheet1!$D$7:$N$16,G642+1,FALSE)</f>
        <v>#N/A</v>
      </c>
      <c r="P642" s="684" t="str">
        <f t="shared" si="23"/>
        <v>#REF!</v>
      </c>
      <c r="Q642" s="697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</row>
    <row r="643" ht="3.75" hidden="1" customHeight="1">
      <c r="A643" s="90"/>
      <c r="B643" s="2"/>
      <c r="C643" s="90"/>
      <c r="D643" s="90"/>
      <c r="E643" s="156"/>
      <c r="F643" s="102"/>
      <c r="G643" s="102"/>
      <c r="H643" s="102"/>
      <c r="I643" s="102"/>
      <c r="J643" s="156"/>
      <c r="K643" s="720"/>
      <c r="L643" s="201"/>
      <c r="M643" s="201"/>
      <c r="N643" s="201"/>
      <c r="O643" s="699"/>
      <c r="P643" s="684" t="str">
        <f t="shared" si="23"/>
        <v>#REF!</v>
      </c>
      <c r="Q643" s="720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</row>
    <row r="644" ht="30.0" hidden="1" customHeight="1">
      <c r="A644" s="90"/>
      <c r="B644" s="2"/>
      <c r="C644" s="90"/>
      <c r="D644" s="686" t="s">
        <v>281</v>
      </c>
      <c r="E644" s="687" t="s">
        <v>15</v>
      </c>
      <c r="F644" s="721" t="s">
        <v>16</v>
      </c>
      <c r="G644" s="722" t="s">
        <v>17</v>
      </c>
      <c r="H644" s="723"/>
      <c r="I644" s="724"/>
      <c r="J644" s="725" t="s">
        <v>288</v>
      </c>
      <c r="K644" s="691"/>
      <c r="L644" s="692"/>
      <c r="M644" s="692"/>
      <c r="N644" s="692"/>
      <c r="O644" s="699"/>
      <c r="P644" s="684"/>
      <c r="Q644" s="693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</row>
    <row r="645" ht="14.25" hidden="1" customHeight="1">
      <c r="A645" s="90"/>
      <c r="B645" s="2"/>
      <c r="C645" s="90"/>
      <c r="D645" s="257" t="s">
        <v>25</v>
      </c>
      <c r="E645" s="257" t="s">
        <v>26</v>
      </c>
      <c r="F645" s="680"/>
      <c r="G645" s="681"/>
      <c r="H645" s="723"/>
      <c r="I645" s="681"/>
      <c r="J645" s="725" t="s">
        <v>244</v>
      </c>
      <c r="K645" s="697"/>
      <c r="L645" s="692"/>
      <c r="M645" s="692"/>
      <c r="N645" s="692"/>
      <c r="O645" s="699"/>
      <c r="P645" s="684"/>
      <c r="Q645" s="698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</row>
    <row r="646" ht="3.75" hidden="1" customHeight="1">
      <c r="A646" s="191"/>
      <c r="B646" s="719"/>
      <c r="C646" s="192"/>
      <c r="D646" s="203"/>
      <c r="E646" s="203"/>
      <c r="F646" s="726"/>
      <c r="G646" s="726"/>
      <c r="H646" s="726"/>
      <c r="I646" s="727"/>
      <c r="J646" s="728"/>
      <c r="K646" s="192"/>
      <c r="L646" s="194"/>
      <c r="M646" s="194"/>
      <c r="N646" s="194"/>
      <c r="O646" s="699" t="str">
        <f>I646/VLOOKUP(K646,Sheet1!$D$7:$N$16,G646+1,FALSE)</f>
        <v>#N/A</v>
      </c>
      <c r="P646" s="684" t="str">
        <f t="shared" ref="P646:P666" si="24">I646-#REF!</f>
        <v>#REF!</v>
      </c>
      <c r="Q646" s="192"/>
      <c r="R646" s="158"/>
      <c r="S646" s="158"/>
      <c r="T646" s="158"/>
      <c r="U646" s="158"/>
      <c r="V646" s="158"/>
      <c r="W646" s="158"/>
      <c r="X646" s="158"/>
      <c r="Y646" s="158"/>
      <c r="Z646" s="158"/>
      <c r="AA646" s="158"/>
      <c r="AB646" s="158"/>
      <c r="AC646" s="158"/>
      <c r="AD646" s="158"/>
      <c r="AE646" s="158"/>
      <c r="AF646" s="158"/>
    </row>
    <row r="647" ht="15.75" hidden="1" customHeight="1">
      <c r="A647" s="124"/>
      <c r="B647" s="2"/>
      <c r="C647" s="124"/>
      <c r="D647" s="185" t="s">
        <v>6</v>
      </c>
      <c r="E647" s="260"/>
      <c r="F647" s="187">
        <v>1.0</v>
      </c>
      <c r="G647" s="187">
        <v>4.0</v>
      </c>
      <c r="H647" s="187"/>
      <c r="I647" s="164">
        <v>190.0</v>
      </c>
      <c r="J647" s="266">
        <v>6.5</v>
      </c>
      <c r="K647" s="164">
        <v>6.0</v>
      </c>
      <c r="L647" s="164"/>
      <c r="M647" s="164"/>
      <c r="N647" s="164"/>
      <c r="O647" s="699">
        <f>I647/VLOOKUP(K647,Sheet1!$D$7:$N$16,G647+1,FALSE)</f>
        <v>240.5063291</v>
      </c>
      <c r="P647" s="684" t="str">
        <f t="shared" si="24"/>
        <v>#REF!</v>
      </c>
      <c r="Q647" s="700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</row>
    <row r="648" ht="3.75" hidden="1" customHeight="1">
      <c r="A648" s="124"/>
      <c r="B648" s="2"/>
      <c r="C648" s="124"/>
      <c r="D648" s="138"/>
      <c r="E648" s="252"/>
      <c r="F648" s="140"/>
      <c r="G648" s="140"/>
      <c r="H648" s="140"/>
      <c r="I648" s="701"/>
      <c r="J648" s="141"/>
      <c r="K648" s="164"/>
      <c r="L648" s="164"/>
      <c r="M648" s="164"/>
      <c r="N648" s="164"/>
      <c r="O648" s="699" t="str">
        <f>I648/VLOOKUP(K648,Sheet1!$D$7:$N$16,G648+1,FALSE)</f>
        <v>#N/A</v>
      </c>
      <c r="P648" s="684" t="str">
        <f t="shared" si="24"/>
        <v>#REF!</v>
      </c>
      <c r="Q648" s="702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</row>
    <row r="649" ht="15.0" hidden="1" customHeight="1">
      <c r="A649" s="124"/>
      <c r="B649" s="2"/>
      <c r="C649" s="124"/>
      <c r="D649" s="704" t="s">
        <v>6</v>
      </c>
      <c r="E649" s="260"/>
      <c r="F649" s="187">
        <v>2.0</v>
      </c>
      <c r="G649" s="187">
        <v>4.0</v>
      </c>
      <c r="H649" s="187"/>
      <c r="I649" s="164">
        <v>170.0</v>
      </c>
      <c r="J649" s="706">
        <v>-0.12</v>
      </c>
      <c r="K649" s="164">
        <v>6.0</v>
      </c>
      <c r="L649" s="164"/>
      <c r="M649" s="164"/>
      <c r="N649" s="164"/>
      <c r="O649" s="699">
        <f>I649/VLOOKUP(K649,Sheet1!$D$7:$N$16,G649+1,FALSE)</f>
        <v>215.1898734</v>
      </c>
      <c r="P649" s="684" t="str">
        <f t="shared" si="24"/>
        <v>#REF!</v>
      </c>
      <c r="Q649" s="702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</row>
    <row r="650" ht="3.75" hidden="1" customHeight="1">
      <c r="A650" s="124"/>
      <c r="B650" s="2"/>
      <c r="C650" s="124"/>
      <c r="D650" s="138"/>
      <c r="E650" s="252"/>
      <c r="F650" s="102"/>
      <c r="G650" s="102"/>
      <c r="H650" s="102"/>
      <c r="I650" s="247"/>
      <c r="J650" s="156"/>
      <c r="K650" s="164"/>
      <c r="L650" s="164"/>
      <c r="M650" s="164"/>
      <c r="N650" s="164"/>
      <c r="O650" s="699" t="str">
        <f>I650/VLOOKUP(K650,Sheet1!$D$7:$N$16,G650+1,FALSE)</f>
        <v>#N/A</v>
      </c>
      <c r="P650" s="684" t="str">
        <f t="shared" si="24"/>
        <v>#REF!</v>
      </c>
      <c r="Q650" s="702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</row>
    <row r="651" ht="15.75" hidden="1" customHeight="1">
      <c r="A651" s="124"/>
      <c r="B651" s="2"/>
      <c r="C651" s="124"/>
      <c r="D651" s="704"/>
      <c r="E651" s="260"/>
      <c r="F651" s="187"/>
      <c r="G651" s="187"/>
      <c r="H651" s="187"/>
      <c r="I651" s="164"/>
      <c r="J651" s="706"/>
      <c r="K651" s="164"/>
      <c r="L651" s="164"/>
      <c r="M651" s="164"/>
      <c r="N651" s="164"/>
      <c r="O651" s="699" t="str">
        <f>I651/VLOOKUP(K651,Sheet1!$D$7:$N$16,G651+1,FALSE)</f>
        <v>#N/A</v>
      </c>
      <c r="P651" s="684" t="str">
        <f t="shared" si="24"/>
        <v>#REF!</v>
      </c>
      <c r="Q651" s="702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</row>
    <row r="652" ht="3.75" hidden="1" customHeight="1">
      <c r="A652" s="124"/>
      <c r="B652" s="2"/>
      <c r="C652" s="124"/>
      <c r="D652" s="138"/>
      <c r="E652" s="252"/>
      <c r="F652" s="102"/>
      <c r="G652" s="102"/>
      <c r="H652" s="102"/>
      <c r="I652" s="247"/>
      <c r="J652" s="156"/>
      <c r="K652" s="164"/>
      <c r="L652" s="164"/>
      <c r="M652" s="164"/>
      <c r="N652" s="164"/>
      <c r="O652" s="699" t="str">
        <f>I652/VLOOKUP(K652,Sheet1!$D$7:$N$16,G652+1,FALSE)</f>
        <v>#N/A</v>
      </c>
      <c r="P652" s="684" t="str">
        <f t="shared" si="24"/>
        <v>#REF!</v>
      </c>
      <c r="Q652" s="702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</row>
    <row r="653" ht="15.75" hidden="1" customHeight="1">
      <c r="A653" s="124"/>
      <c r="B653" s="2"/>
      <c r="C653" s="124"/>
      <c r="D653" s="185" t="s">
        <v>51</v>
      </c>
      <c r="E653" s="260"/>
      <c r="F653" s="187">
        <v>1.0</v>
      </c>
      <c r="G653" s="187">
        <v>2.0</v>
      </c>
      <c r="H653" s="187"/>
      <c r="I653" s="164">
        <v>77.5</v>
      </c>
      <c r="J653" s="266">
        <v>7.0</v>
      </c>
      <c r="K653" s="164">
        <v>9.0</v>
      </c>
      <c r="L653" s="164"/>
      <c r="M653" s="164"/>
      <c r="N653" s="164"/>
      <c r="O653" s="699">
        <f>I653/VLOOKUP(K653,Sheet1!$D$7:$N$16,G653+1,FALSE)</f>
        <v>83.63309353</v>
      </c>
      <c r="P653" s="684" t="str">
        <f t="shared" si="24"/>
        <v>#REF!</v>
      </c>
      <c r="Q653" s="702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</row>
    <row r="654" ht="3.75" hidden="1" customHeight="1">
      <c r="A654" s="90"/>
      <c r="B654" s="2"/>
      <c r="C654" s="90"/>
      <c r="D654" s="138"/>
      <c r="E654" s="252"/>
      <c r="F654" s="102"/>
      <c r="G654" s="102"/>
      <c r="H654" s="102"/>
      <c r="I654" s="247"/>
      <c r="J654" s="156"/>
      <c r="K654" s="164"/>
      <c r="L654" s="164"/>
      <c r="M654" s="164"/>
      <c r="N654" s="164"/>
      <c r="O654" s="699" t="str">
        <f>I654/VLOOKUP(K654,Sheet1!$D$7:$N$16,G654+1,FALSE)</f>
        <v>#N/A</v>
      </c>
      <c r="P654" s="684" t="str">
        <f t="shared" si="24"/>
        <v>#REF!</v>
      </c>
      <c r="Q654" s="702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</row>
    <row r="655" ht="15.75" hidden="1" customHeight="1">
      <c r="A655" s="90"/>
      <c r="B655" s="2"/>
      <c r="C655" s="90"/>
      <c r="D655" s="185" t="s">
        <v>51</v>
      </c>
      <c r="E655" s="260"/>
      <c r="F655" s="187">
        <v>4.0</v>
      </c>
      <c r="G655" s="187">
        <v>4.0</v>
      </c>
      <c r="H655" s="187"/>
      <c r="I655" s="164">
        <v>130.0</v>
      </c>
      <c r="J655" s="706">
        <v>-0.12</v>
      </c>
      <c r="K655" s="164">
        <v>6.0</v>
      </c>
      <c r="L655" s="164"/>
      <c r="M655" s="164"/>
      <c r="N655" s="164"/>
      <c r="O655" s="699">
        <f>I655/VLOOKUP(K655,Sheet1!$D$7:$N$16,G655+1,FALSE)</f>
        <v>164.556962</v>
      </c>
      <c r="P655" s="684" t="str">
        <f t="shared" si="24"/>
        <v>#REF!</v>
      </c>
      <c r="Q655" s="702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</row>
    <row r="656" ht="3.75" hidden="1" customHeight="1">
      <c r="A656" s="191"/>
      <c r="B656" s="719"/>
      <c r="C656" s="192"/>
      <c r="D656" s="138"/>
      <c r="E656" s="252"/>
      <c r="F656" s="102"/>
      <c r="G656" s="102"/>
      <c r="H656" s="102"/>
      <c r="I656" s="247"/>
      <c r="J656" s="156"/>
      <c r="K656" s="164"/>
      <c r="L656" s="164"/>
      <c r="M656" s="164"/>
      <c r="N656" s="164"/>
      <c r="O656" s="699" t="str">
        <f>I656/VLOOKUP(K656,Sheet1!$D$7:$N$16,G656+1,FALSE)</f>
        <v>#N/A</v>
      </c>
      <c r="P656" s="684" t="str">
        <f t="shared" si="24"/>
        <v>#REF!</v>
      </c>
      <c r="Q656" s="702"/>
      <c r="R656" s="158"/>
      <c r="S656" s="158"/>
      <c r="T656" s="158"/>
      <c r="U656" s="158"/>
      <c r="V656" s="158"/>
      <c r="W656" s="158"/>
      <c r="X656" s="158"/>
      <c r="Y656" s="158"/>
      <c r="Z656" s="158"/>
      <c r="AA656" s="158"/>
      <c r="AB656" s="158"/>
      <c r="AC656" s="158"/>
      <c r="AD656" s="158"/>
      <c r="AE656" s="158"/>
      <c r="AF656" s="158"/>
    </row>
    <row r="657" ht="15.75" hidden="1" customHeight="1">
      <c r="A657" s="90"/>
      <c r="B657" s="2"/>
      <c r="C657" s="90"/>
      <c r="D657" s="185" t="s">
        <v>259</v>
      </c>
      <c r="E657" s="260"/>
      <c r="F657" s="187">
        <v>3.0</v>
      </c>
      <c r="G657" s="731" t="s">
        <v>260</v>
      </c>
      <c r="H657" s="187"/>
      <c r="I657" s="164"/>
      <c r="J657" s="266">
        <v>7.0</v>
      </c>
      <c r="K657" s="164">
        <v>7.0</v>
      </c>
      <c r="L657" s="164"/>
      <c r="M657" s="164"/>
      <c r="N657" s="164"/>
      <c r="O657" s="699" t="str">
        <f>I657/VLOOKUP(K657,Sheet1!$D$7:$N$16,G657+1,FALSE)</f>
        <v>#REF!</v>
      </c>
      <c r="P657" s="684" t="str">
        <f t="shared" si="24"/>
        <v>#REF!</v>
      </c>
      <c r="Q657" s="702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</row>
    <row r="658" ht="3.75" hidden="1" customHeight="1">
      <c r="A658" s="90"/>
      <c r="B658" s="2"/>
      <c r="C658" s="90"/>
      <c r="D658" s="138"/>
      <c r="E658" s="252"/>
      <c r="F658" s="102"/>
      <c r="G658" s="102"/>
      <c r="H658" s="102"/>
      <c r="I658" s="247"/>
      <c r="J658" s="156"/>
      <c r="K658" s="164"/>
      <c r="L658" s="164"/>
      <c r="M658" s="164"/>
      <c r="N658" s="164"/>
      <c r="O658" s="699" t="str">
        <f>I658/VLOOKUP(K658,Sheet1!$D$7:$N$16,G658+1,FALSE)</f>
        <v>#N/A</v>
      </c>
      <c r="P658" s="684" t="str">
        <f t="shared" si="24"/>
        <v>#REF!</v>
      </c>
      <c r="Q658" s="702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</row>
    <row r="659" ht="15.75" hidden="1" customHeight="1">
      <c r="A659" s="90"/>
      <c r="B659" s="2"/>
      <c r="C659" s="90"/>
      <c r="D659" s="185" t="s">
        <v>261</v>
      </c>
      <c r="E659" s="260"/>
      <c r="F659" s="187">
        <v>3.0</v>
      </c>
      <c r="G659" s="731" t="s">
        <v>260</v>
      </c>
      <c r="H659" s="187"/>
      <c r="I659" s="164"/>
      <c r="J659" s="266">
        <v>8.0</v>
      </c>
      <c r="K659" s="164"/>
      <c r="L659" s="164"/>
      <c r="M659" s="164"/>
      <c r="N659" s="164"/>
      <c r="O659" s="699" t="str">
        <f>I659/VLOOKUP(K659,Sheet1!$D$7:$N$16,G659+1,FALSE)</f>
        <v>#REF!</v>
      </c>
      <c r="P659" s="684" t="str">
        <f t="shared" si="24"/>
        <v>#REF!</v>
      </c>
      <c r="Q659" s="702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</row>
    <row r="660" ht="3.75" hidden="1" customHeight="1">
      <c r="A660" s="90"/>
      <c r="B660" s="2"/>
      <c r="C660" s="90"/>
      <c r="D660" s="138"/>
      <c r="E660" s="252"/>
      <c r="F660" s="102"/>
      <c r="G660" s="102"/>
      <c r="H660" s="102"/>
      <c r="I660" s="247"/>
      <c r="J660" s="156"/>
      <c r="K660" s="164"/>
      <c r="L660" s="164"/>
      <c r="M660" s="164"/>
      <c r="N660" s="164"/>
      <c r="O660" s="699" t="str">
        <f>I660/VLOOKUP(K660,Sheet1!$D$7:$N$16,G660+1,FALSE)</f>
        <v>#N/A</v>
      </c>
      <c r="P660" s="684" t="str">
        <f t="shared" si="24"/>
        <v>#REF!</v>
      </c>
      <c r="Q660" s="702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</row>
    <row r="661" ht="15.75" hidden="1" customHeight="1">
      <c r="A661" s="90"/>
      <c r="B661" s="2"/>
      <c r="C661" s="90"/>
      <c r="D661" s="185" t="s">
        <v>262</v>
      </c>
      <c r="E661" s="260"/>
      <c r="F661" s="187">
        <v>3.0</v>
      </c>
      <c r="G661" s="731" t="s">
        <v>260</v>
      </c>
      <c r="H661" s="187"/>
      <c r="I661" s="247"/>
      <c r="J661" s="735">
        <v>8.0</v>
      </c>
      <c r="K661" s="164"/>
      <c r="L661" s="164"/>
      <c r="M661" s="164"/>
      <c r="N661" s="164"/>
      <c r="O661" s="699" t="str">
        <f>I661/VLOOKUP(K661,Sheet1!$D$7:$N$16,G661+1,FALSE)</f>
        <v>#REF!</v>
      </c>
      <c r="P661" s="684" t="str">
        <f t="shared" si="24"/>
        <v>#REF!</v>
      </c>
      <c r="Q661" s="702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</row>
    <row r="662" ht="3.75" hidden="1" customHeight="1">
      <c r="A662" s="90"/>
      <c r="B662" s="2"/>
      <c r="C662" s="90"/>
      <c r="D662" s="138"/>
      <c r="E662" s="252"/>
      <c r="F662" s="102"/>
      <c r="G662" s="102"/>
      <c r="H662" s="102"/>
      <c r="I662" s="247"/>
      <c r="J662" s="156"/>
      <c r="K662" s="164"/>
      <c r="L662" s="164"/>
      <c r="M662" s="164"/>
      <c r="N662" s="164"/>
      <c r="O662" s="699" t="str">
        <f>I662/VLOOKUP(K662,Sheet1!$D$7:$N$16,G662+1,FALSE)</f>
        <v>#N/A</v>
      </c>
      <c r="P662" s="684" t="str">
        <f t="shared" si="24"/>
        <v>#REF!</v>
      </c>
      <c r="Q662" s="702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</row>
    <row r="663" ht="15.75" hidden="1" customHeight="1">
      <c r="A663" s="90"/>
      <c r="B663" s="2"/>
      <c r="C663" s="90"/>
      <c r="D663" s="185" t="s">
        <v>263</v>
      </c>
      <c r="E663" s="260"/>
      <c r="F663" s="187">
        <v>2.0</v>
      </c>
      <c r="G663" s="187">
        <v>15.0</v>
      </c>
      <c r="H663" s="187"/>
      <c r="I663" s="247"/>
      <c r="J663" s="266">
        <v>8.0</v>
      </c>
      <c r="K663" s="164"/>
      <c r="L663" s="164"/>
      <c r="M663" s="164"/>
      <c r="N663" s="164"/>
      <c r="O663" s="699" t="str">
        <f>I663/VLOOKUP(K663,Sheet1!$D$7:$N$16,G663+1,FALSE)</f>
        <v>#REF!</v>
      </c>
      <c r="P663" s="684" t="str">
        <f t="shared" si="24"/>
        <v>#REF!</v>
      </c>
      <c r="Q663" s="702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</row>
    <row r="664" ht="3.75" hidden="1" customHeight="1">
      <c r="A664" s="90"/>
      <c r="B664" s="2"/>
      <c r="C664" s="90"/>
      <c r="D664" s="138"/>
      <c r="E664" s="252"/>
      <c r="F664" s="102"/>
      <c r="G664" s="102"/>
      <c r="H664" s="102"/>
      <c r="I664" s="247"/>
      <c r="J664" s="156"/>
      <c r="K664" s="164"/>
      <c r="L664" s="164"/>
      <c r="M664" s="164"/>
      <c r="N664" s="164"/>
      <c r="O664" s="699" t="str">
        <f>I664/VLOOKUP(K664,Sheet1!$D$7:$N$16,G664+1,FALSE)</f>
        <v>#N/A</v>
      </c>
      <c r="P664" s="684" t="str">
        <f t="shared" si="24"/>
        <v>#REF!</v>
      </c>
      <c r="Q664" s="702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</row>
    <row r="665" ht="15.75" hidden="1" customHeight="1">
      <c r="A665" s="90"/>
      <c r="B665" s="2"/>
      <c r="C665" s="90"/>
      <c r="D665" s="185"/>
      <c r="E665" s="266"/>
      <c r="F665" s="187"/>
      <c r="G665" s="187"/>
      <c r="H665" s="187"/>
      <c r="I665" s="164"/>
      <c r="J665" s="266"/>
      <c r="K665" s="164"/>
      <c r="L665" s="164"/>
      <c r="M665" s="164"/>
      <c r="N665" s="164"/>
      <c r="O665" s="699" t="str">
        <f>I665/VLOOKUP(K665,Sheet1!$D$7:$N$16,G665+1,FALSE)</f>
        <v>#N/A</v>
      </c>
      <c r="P665" s="684" t="str">
        <f t="shared" si="24"/>
        <v>#REF!</v>
      </c>
      <c r="Q665" s="697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</row>
    <row r="666" ht="3.75" hidden="1" customHeight="1">
      <c r="A666" s="124"/>
      <c r="B666" s="2"/>
      <c r="C666" s="124"/>
      <c r="D666" s="252"/>
      <c r="E666" s="252"/>
      <c r="F666" s="102"/>
      <c r="G666" s="102"/>
      <c r="H666" s="102"/>
      <c r="I666" s="102"/>
      <c r="J666" s="156"/>
      <c r="K666" s="259"/>
      <c r="L666" s="201"/>
      <c r="M666" s="201"/>
      <c r="N666" s="201"/>
      <c r="O666" s="699" t="str">
        <f>I666/VLOOKUP(K666,Sheet1!$D$7:$N$16,G666+1,FALSE)</f>
        <v>#N/A</v>
      </c>
      <c r="P666" s="684" t="str">
        <f t="shared" si="24"/>
        <v>#REF!</v>
      </c>
      <c r="Q666" s="259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</row>
    <row r="667" ht="30.75" hidden="1" customHeight="1">
      <c r="A667" s="90"/>
      <c r="B667" s="2"/>
      <c r="C667" s="90"/>
      <c r="D667" s="686" t="s">
        <v>279</v>
      </c>
      <c r="E667" s="687" t="s">
        <v>15</v>
      </c>
      <c r="F667" s="721" t="s">
        <v>16</v>
      </c>
      <c r="G667" s="722" t="s">
        <v>17</v>
      </c>
      <c r="H667" s="723"/>
      <c r="I667" s="724"/>
      <c r="J667" s="725" t="s">
        <v>241</v>
      </c>
      <c r="K667" s="691"/>
      <c r="L667" s="692"/>
      <c r="M667" s="692"/>
      <c r="N667" s="692"/>
      <c r="O667" s="699"/>
      <c r="P667" s="684"/>
      <c r="Q667" s="693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</row>
    <row r="668" ht="14.25" hidden="1" customHeight="1">
      <c r="A668" s="90"/>
      <c r="B668" s="2"/>
      <c r="C668" s="90"/>
      <c r="D668" s="257" t="s">
        <v>25</v>
      </c>
      <c r="E668" s="257" t="s">
        <v>26</v>
      </c>
      <c r="F668" s="680"/>
      <c r="G668" s="681"/>
      <c r="H668" s="723"/>
      <c r="I668" s="681"/>
      <c r="J668" s="725" t="s">
        <v>244</v>
      </c>
      <c r="K668" s="697"/>
      <c r="L668" s="692"/>
      <c r="M668" s="692"/>
      <c r="N668" s="692"/>
      <c r="O668" s="699"/>
      <c r="P668" s="684"/>
      <c r="Q668" s="698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</row>
    <row r="669" ht="3.75" hidden="1" customHeight="1">
      <c r="A669" s="124"/>
      <c r="B669" s="2"/>
      <c r="C669" s="124"/>
      <c r="D669" s="252"/>
      <c r="E669" s="252"/>
      <c r="F669" s="102"/>
      <c r="G669" s="102"/>
      <c r="H669" s="102"/>
      <c r="I669" s="102"/>
      <c r="J669" s="156"/>
      <c r="K669" s="259"/>
      <c r="L669" s="201"/>
      <c r="M669" s="201"/>
      <c r="N669" s="201"/>
      <c r="O669" s="699" t="str">
        <f>I669/VLOOKUP(K669,Sheet1!$D$7:$N$16,G669+1,FALSE)</f>
        <v>#N/A</v>
      </c>
      <c r="P669" s="684" t="str">
        <f t="shared" ref="P669:P682" si="25">I669-#REF!</f>
        <v>#REF!</v>
      </c>
      <c r="Q669" s="259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</row>
    <row r="670" ht="14.25" hidden="1" customHeight="1">
      <c r="A670" s="124"/>
      <c r="B670" s="2"/>
      <c r="C670" s="124"/>
      <c r="D670" s="185" t="s">
        <v>10</v>
      </c>
      <c r="E670" s="260"/>
      <c r="F670" s="187">
        <v>1.0</v>
      </c>
      <c r="G670" s="187">
        <v>1.0</v>
      </c>
      <c r="H670" s="187"/>
      <c r="I670" s="164">
        <v>275.0</v>
      </c>
      <c r="J670" s="266">
        <v>5.0</v>
      </c>
      <c r="K670" s="164">
        <v>6.0</v>
      </c>
      <c r="L670" s="164"/>
      <c r="M670" s="164"/>
      <c r="N670" s="164"/>
      <c r="O670" s="699">
        <f>I670/VLOOKUP(K670,Sheet1!$D$7:$N$16,G670+1,FALSE)</f>
        <v>317.9190751</v>
      </c>
      <c r="P670" s="684" t="str">
        <f t="shared" si="25"/>
        <v>#REF!</v>
      </c>
      <c r="Q670" s="736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</row>
    <row r="671" ht="3.75" hidden="1" customHeight="1">
      <c r="A671" s="124"/>
      <c r="B671" s="2"/>
      <c r="C671" s="124"/>
      <c r="D671" s="138"/>
      <c r="E671" s="252"/>
      <c r="F671" s="102"/>
      <c r="G671" s="102"/>
      <c r="H671" s="102"/>
      <c r="I671" s="247"/>
      <c r="J671" s="156"/>
      <c r="K671" s="164"/>
      <c r="L671" s="164"/>
      <c r="M671" s="164"/>
      <c r="N671" s="164"/>
      <c r="O671" s="699" t="str">
        <f>I671/VLOOKUP(K671,Sheet1!$D$7:$N$16,G671+1,FALSE)</f>
        <v>#N/A</v>
      </c>
      <c r="P671" s="684" t="str">
        <f t="shared" si="25"/>
        <v>#REF!</v>
      </c>
      <c r="Q671" s="702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</row>
    <row r="672" ht="14.25" hidden="1" customHeight="1">
      <c r="A672" s="124"/>
      <c r="B672" s="2"/>
      <c r="C672" s="124"/>
      <c r="D672" s="185" t="s">
        <v>10</v>
      </c>
      <c r="E672" s="260"/>
      <c r="F672" s="187">
        <v>1.0</v>
      </c>
      <c r="G672" s="187">
        <v>3.0</v>
      </c>
      <c r="H672" s="187"/>
      <c r="I672" s="164">
        <v>250.0</v>
      </c>
      <c r="J672" s="266">
        <v>6.0</v>
      </c>
      <c r="K672" s="164">
        <v>6.0</v>
      </c>
      <c r="L672" s="164"/>
      <c r="M672" s="164"/>
      <c r="N672" s="164"/>
      <c r="O672" s="699">
        <f>I672/VLOOKUP(K672,Sheet1!$D$7:$N$16,G672+1,FALSE)</f>
        <v>306.7484663</v>
      </c>
      <c r="P672" s="684" t="str">
        <f t="shared" si="25"/>
        <v>#REF!</v>
      </c>
      <c r="Q672" s="702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</row>
    <row r="673" ht="3.75" hidden="1" customHeight="1">
      <c r="A673" s="124"/>
      <c r="B673" s="2"/>
      <c r="C673" s="124"/>
      <c r="D673" s="138"/>
      <c r="E673" s="252"/>
      <c r="F673" s="102"/>
      <c r="G673" s="102"/>
      <c r="H673" s="102"/>
      <c r="I673" s="247"/>
      <c r="J673" s="156"/>
      <c r="K673" s="164"/>
      <c r="L673" s="164"/>
      <c r="M673" s="164"/>
      <c r="N673" s="164"/>
      <c r="O673" s="699" t="str">
        <f>I673/VLOOKUP(K673,Sheet1!$D$7:$N$16,G673+1,FALSE)</f>
        <v>#N/A</v>
      </c>
      <c r="P673" s="684" t="str">
        <f t="shared" si="25"/>
        <v>#REF!</v>
      </c>
      <c r="Q673" s="702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</row>
    <row r="674" ht="14.25" hidden="1" customHeight="1">
      <c r="A674" s="124"/>
      <c r="B674" s="2"/>
      <c r="C674" s="124"/>
      <c r="D674" s="185" t="s">
        <v>10</v>
      </c>
      <c r="E674" s="260"/>
      <c r="F674" s="187">
        <v>3.0</v>
      </c>
      <c r="G674" s="187">
        <v>3.0</v>
      </c>
      <c r="H674" s="187"/>
      <c r="I674" s="164">
        <v>225.0</v>
      </c>
      <c r="J674" s="706">
        <v>-0.1</v>
      </c>
      <c r="K674" s="164">
        <v>6.0</v>
      </c>
      <c r="L674" s="164"/>
      <c r="M674" s="164"/>
      <c r="N674" s="164"/>
      <c r="O674" s="699">
        <f>I674/VLOOKUP(K674,Sheet1!$D$7:$N$16,G674+1,FALSE)</f>
        <v>276.0736196</v>
      </c>
      <c r="P674" s="684" t="str">
        <f t="shared" si="25"/>
        <v>#REF!</v>
      </c>
      <c r="Q674" s="702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</row>
    <row r="675" ht="3.75" hidden="1" customHeight="1">
      <c r="A675" s="124"/>
      <c r="B675" s="2"/>
      <c r="C675" s="124"/>
      <c r="D675" s="138"/>
      <c r="E675" s="252"/>
      <c r="F675" s="102"/>
      <c r="G675" s="102"/>
      <c r="H675" s="102"/>
      <c r="I675" s="247"/>
      <c r="J675" s="156"/>
      <c r="K675" s="164"/>
      <c r="L675" s="164"/>
      <c r="M675" s="164"/>
      <c r="N675" s="164"/>
      <c r="O675" s="699" t="str">
        <f>I675/VLOOKUP(K675,Sheet1!$D$7:$N$16,G675+1,FALSE)</f>
        <v>#N/A</v>
      </c>
      <c r="P675" s="684" t="str">
        <f t="shared" si="25"/>
        <v>#REF!</v>
      </c>
      <c r="Q675" s="702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</row>
    <row r="676" ht="14.25" hidden="1" customHeight="1">
      <c r="A676" s="124"/>
      <c r="B676" s="2"/>
      <c r="C676" s="124"/>
      <c r="D676" s="185"/>
      <c r="E676" s="260"/>
      <c r="F676" s="187"/>
      <c r="G676" s="187"/>
      <c r="H676" s="187"/>
      <c r="I676" s="164"/>
      <c r="J676" s="266"/>
      <c r="K676" s="164"/>
      <c r="L676" s="164"/>
      <c r="M676" s="164"/>
      <c r="N676" s="164"/>
      <c r="O676" s="699" t="str">
        <f>I676/VLOOKUP(K676,Sheet1!$D$7:$N$16,G676+1,FALSE)</f>
        <v>#N/A</v>
      </c>
      <c r="P676" s="684" t="str">
        <f t="shared" si="25"/>
        <v>#REF!</v>
      </c>
      <c r="Q676" s="702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</row>
    <row r="677" ht="3.75" hidden="1" customHeight="1">
      <c r="A677" s="124"/>
      <c r="B677" s="2"/>
      <c r="C677" s="124"/>
      <c r="D677" s="138"/>
      <c r="E677" s="252"/>
      <c r="F677" s="102"/>
      <c r="G677" s="102"/>
      <c r="H677" s="102"/>
      <c r="I677" s="247"/>
      <c r="J677" s="156"/>
      <c r="K677" s="164"/>
      <c r="L677" s="164"/>
      <c r="M677" s="164"/>
      <c r="N677" s="164"/>
      <c r="O677" s="699" t="str">
        <f>I677/VLOOKUP(K677,Sheet1!$D$7:$N$16,G677+1,FALSE)</f>
        <v>#N/A</v>
      </c>
      <c r="P677" s="684" t="str">
        <f t="shared" si="25"/>
        <v>#REF!</v>
      </c>
      <c r="Q677" s="702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</row>
    <row r="678" ht="14.25" hidden="1" customHeight="1">
      <c r="A678" s="124"/>
      <c r="B678" s="2"/>
      <c r="C678" s="124"/>
      <c r="D678" s="185" t="s">
        <v>265</v>
      </c>
      <c r="E678" s="264"/>
      <c r="F678" s="187">
        <v>3.0</v>
      </c>
      <c r="G678" s="187">
        <v>7.0</v>
      </c>
      <c r="H678" s="187"/>
      <c r="I678" s="164">
        <v>110.0</v>
      </c>
      <c r="J678" s="266">
        <v>7.0</v>
      </c>
      <c r="K678" s="164">
        <v>6.0</v>
      </c>
      <c r="L678" s="164"/>
      <c r="M678" s="164"/>
      <c r="N678" s="164"/>
      <c r="O678" s="699">
        <f>I678/VLOOKUP(K678,Sheet1!$D$7:$N$16,G678+1,FALSE)</f>
        <v>153.8461538</v>
      </c>
      <c r="P678" s="684" t="str">
        <f t="shared" si="25"/>
        <v>#REF!</v>
      </c>
      <c r="Q678" s="702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</row>
    <row r="679" ht="3.75" hidden="1" customHeight="1">
      <c r="A679" s="261"/>
      <c r="B679" s="719"/>
      <c r="C679" s="262"/>
      <c r="D679" s="138"/>
      <c r="E679" s="252"/>
      <c r="F679" s="102"/>
      <c r="G679" s="102"/>
      <c r="H679" s="102"/>
      <c r="I679" s="247"/>
      <c r="J679" s="156"/>
      <c r="K679" s="164"/>
      <c r="L679" s="164"/>
      <c r="M679" s="164"/>
      <c r="N679" s="164"/>
      <c r="O679" s="699" t="str">
        <f>I679/VLOOKUP(K679,Sheet1!$D$7:$N$16,G679+1,FALSE)</f>
        <v>#N/A</v>
      </c>
      <c r="P679" s="684" t="str">
        <f t="shared" si="25"/>
        <v>#REF!</v>
      </c>
      <c r="Q679" s="702"/>
      <c r="R679" s="158"/>
      <c r="S679" s="158"/>
      <c r="T679" s="158"/>
      <c r="U679" s="158"/>
      <c r="V679" s="158"/>
      <c r="W679" s="158"/>
      <c r="X679" s="158"/>
      <c r="Y679" s="158"/>
      <c r="Z679" s="158"/>
      <c r="AA679" s="158"/>
      <c r="AB679" s="158"/>
      <c r="AC679" s="158"/>
      <c r="AD679" s="158"/>
      <c r="AE679" s="158"/>
      <c r="AF679" s="158"/>
    </row>
    <row r="680" ht="14.25" hidden="1" customHeight="1">
      <c r="A680" s="124"/>
      <c r="B680" s="2"/>
      <c r="C680" s="124"/>
      <c r="D680" s="185"/>
      <c r="E680" s="260"/>
      <c r="F680" s="187"/>
      <c r="G680" s="187"/>
      <c r="H680" s="187"/>
      <c r="I680" s="164"/>
      <c r="J680" s="266"/>
      <c r="K680" s="164"/>
      <c r="L680" s="164"/>
      <c r="M680" s="164"/>
      <c r="N680" s="164"/>
      <c r="O680" s="699" t="str">
        <f>I680/VLOOKUP(K680,Sheet1!$D$7:$N$16,G680+1,FALSE)</f>
        <v>#N/A</v>
      </c>
      <c r="P680" s="684" t="str">
        <f t="shared" si="25"/>
        <v>#REF!</v>
      </c>
      <c r="Q680" s="702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</row>
    <row r="681" ht="3.75" hidden="1" customHeight="1">
      <c r="A681" s="261"/>
      <c r="B681" s="719"/>
      <c r="C681" s="262"/>
      <c r="D681" s="138"/>
      <c r="E681" s="252"/>
      <c r="F681" s="102"/>
      <c r="G681" s="102"/>
      <c r="H681" s="102"/>
      <c r="I681" s="247"/>
      <c r="J681" s="156"/>
      <c r="K681" s="164"/>
      <c r="L681" s="164"/>
      <c r="M681" s="164"/>
      <c r="N681" s="164"/>
      <c r="O681" s="699" t="str">
        <f>I681/VLOOKUP(K681,Sheet1!$D$7:$N$16,G681+1,FALSE)</f>
        <v>#N/A</v>
      </c>
      <c r="P681" s="684" t="str">
        <f t="shared" si="25"/>
        <v>#REF!</v>
      </c>
      <c r="Q681" s="702"/>
      <c r="R681" s="158"/>
      <c r="S681" s="158"/>
      <c r="T681" s="158"/>
      <c r="U681" s="158"/>
      <c r="V681" s="158"/>
      <c r="W681" s="158"/>
      <c r="X681" s="158"/>
      <c r="Y681" s="158"/>
      <c r="Z681" s="158"/>
      <c r="AA681" s="158"/>
      <c r="AB681" s="158"/>
      <c r="AC681" s="158"/>
      <c r="AD681" s="158"/>
      <c r="AE681" s="158"/>
      <c r="AF681" s="158"/>
    </row>
    <row r="682" ht="15.75" hidden="1" customHeight="1">
      <c r="A682" s="124"/>
      <c r="B682" s="2"/>
      <c r="C682" s="124"/>
      <c r="D682" s="185" t="s">
        <v>266</v>
      </c>
      <c r="E682" s="260"/>
      <c r="F682" s="187">
        <v>3.0</v>
      </c>
      <c r="G682" s="731" t="s">
        <v>260</v>
      </c>
      <c r="H682" s="187"/>
      <c r="I682" s="247"/>
      <c r="J682" s="266">
        <v>8.0</v>
      </c>
      <c r="K682" s="164">
        <v>7.0</v>
      </c>
      <c r="L682" s="164"/>
      <c r="M682" s="164"/>
      <c r="N682" s="164"/>
      <c r="O682" s="699" t="str">
        <f>I682/VLOOKUP(K682,Sheet1!$D$7:$N$16,G682+1,FALSE)</f>
        <v>#REF!</v>
      </c>
      <c r="P682" s="684" t="str">
        <f t="shared" si="25"/>
        <v>#REF!</v>
      </c>
      <c r="Q682" s="702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</row>
    <row r="683" ht="3.75" hidden="1" customHeight="1">
      <c r="A683" s="124"/>
      <c r="B683" s="2"/>
      <c r="C683" s="124"/>
      <c r="D683" s="263"/>
      <c r="E683" s="252"/>
      <c r="F683" s="102"/>
      <c r="G683" s="102"/>
      <c r="H683" s="102"/>
      <c r="I683" s="247"/>
      <c r="J683" s="156"/>
      <c r="K683" s="164"/>
      <c r="L683" s="164"/>
      <c r="M683" s="164"/>
      <c r="N683" s="164"/>
      <c r="O683" s="699" t="str">
        <f>I683/VLOOKUP(K683,Sheet1!$D$7:$N$16,G683+1,FALSE)</f>
        <v>#N/A</v>
      </c>
      <c r="P683" s="684"/>
      <c r="Q683" s="702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</row>
    <row r="684" ht="14.25" hidden="1" customHeight="1">
      <c r="A684" s="90"/>
      <c r="B684" s="2"/>
      <c r="C684" s="90"/>
      <c r="D684" s="185" t="s">
        <v>267</v>
      </c>
      <c r="E684" s="264"/>
      <c r="F684" s="187">
        <v>3.0</v>
      </c>
      <c r="G684" s="731" t="s">
        <v>260</v>
      </c>
      <c r="H684" s="187"/>
      <c r="I684" s="164"/>
      <c r="J684" s="266">
        <v>8.0</v>
      </c>
      <c r="K684" s="164">
        <v>8.0</v>
      </c>
      <c r="L684" s="164"/>
      <c r="M684" s="164"/>
      <c r="N684" s="164"/>
      <c r="O684" s="699" t="str">
        <f>I684/VLOOKUP(K684,Sheet1!$D$7:$N$16,G684+1,FALSE)</f>
        <v>#REF!</v>
      </c>
      <c r="P684" s="684"/>
      <c r="Q684" s="702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</row>
    <row r="685" ht="3.75" hidden="1" customHeight="1">
      <c r="A685" s="261"/>
      <c r="B685" s="719"/>
      <c r="C685" s="262"/>
      <c r="D685" s="263"/>
      <c r="E685" s="263"/>
      <c r="F685" s="194"/>
      <c r="G685" s="194"/>
      <c r="H685" s="194"/>
      <c r="I685" s="164"/>
      <c r="J685" s="267"/>
      <c r="K685" s="164"/>
      <c r="L685" s="164"/>
      <c r="M685" s="164"/>
      <c r="N685" s="164"/>
      <c r="O685" s="699" t="str">
        <f>I685/VLOOKUP(K685,Sheet1!$D$7:$N$16,G685+1,FALSE)</f>
        <v>#N/A</v>
      </c>
      <c r="P685" s="684"/>
      <c r="Q685" s="702"/>
      <c r="R685" s="158"/>
      <c r="S685" s="158"/>
      <c r="T685" s="158"/>
      <c r="U685" s="158"/>
      <c r="V685" s="158"/>
      <c r="W685" s="158"/>
      <c r="X685" s="158"/>
      <c r="Y685" s="158"/>
      <c r="Z685" s="158"/>
      <c r="AA685" s="158"/>
      <c r="AB685" s="158"/>
      <c r="AC685" s="158"/>
      <c r="AD685" s="158"/>
      <c r="AE685" s="158"/>
      <c r="AF685" s="158"/>
    </row>
    <row r="686" ht="15.75" hidden="1" customHeight="1">
      <c r="A686" s="90"/>
      <c r="B686" s="2"/>
      <c r="C686" s="90"/>
      <c r="D686" s="185" t="s">
        <v>268</v>
      </c>
      <c r="E686" s="266"/>
      <c r="F686" s="187">
        <v>3.0</v>
      </c>
      <c r="G686" s="731" t="s">
        <v>251</v>
      </c>
      <c r="H686" s="187"/>
      <c r="I686" s="164"/>
      <c r="J686" s="266">
        <v>9.0</v>
      </c>
      <c r="K686" s="164">
        <v>9.0</v>
      </c>
      <c r="L686" s="164"/>
      <c r="M686" s="164"/>
      <c r="N686" s="164"/>
      <c r="O686" s="699" t="str">
        <f>I686/VLOOKUP(K686,Sheet1!$D$7:$N$16,G686+1,FALSE)</f>
        <v>#REF!</v>
      </c>
      <c r="P686" s="684"/>
      <c r="Q686" s="702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</row>
    <row r="687" ht="3.75" hidden="1" customHeight="1">
      <c r="A687" s="90"/>
      <c r="B687" s="2"/>
      <c r="C687" s="90"/>
      <c r="D687" s="138"/>
      <c r="E687" s="252"/>
      <c r="F687" s="102"/>
      <c r="G687" s="102"/>
      <c r="H687" s="102"/>
      <c r="I687" s="247"/>
      <c r="J687" s="156"/>
      <c r="K687" s="164"/>
      <c r="L687" s="164"/>
      <c r="M687" s="164"/>
      <c r="N687" s="164"/>
      <c r="O687" s="699" t="str">
        <f>I687/VLOOKUP(K687,Sheet1!$D$7:$N$16,G687+1,FALSE)</f>
        <v>#N/A</v>
      </c>
      <c r="P687" s="684"/>
      <c r="Q687" s="702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</row>
    <row r="688" ht="15.75" hidden="1" customHeight="1">
      <c r="A688" s="90"/>
      <c r="B688" s="2"/>
      <c r="C688" s="90"/>
      <c r="D688" s="185" t="s">
        <v>269</v>
      </c>
      <c r="E688" s="266"/>
      <c r="F688" s="187">
        <v>3.0</v>
      </c>
      <c r="G688" s="731" t="s">
        <v>260</v>
      </c>
      <c r="H688" s="187"/>
      <c r="I688" s="164"/>
      <c r="J688" s="266">
        <v>9.0</v>
      </c>
      <c r="K688" s="164">
        <v>8.0</v>
      </c>
      <c r="L688" s="164"/>
      <c r="M688" s="164"/>
      <c r="N688" s="164"/>
      <c r="O688" s="699" t="str">
        <f>I688/VLOOKUP(K688,Sheet1!$D$7:$N$16,G688+1,FALSE)</f>
        <v>#REF!</v>
      </c>
      <c r="P688" s="684"/>
      <c r="Q688" s="702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</row>
    <row r="689" ht="3.75" hidden="1" customHeight="1">
      <c r="A689" s="191"/>
      <c r="B689" s="719"/>
      <c r="C689" s="192"/>
      <c r="D689" s="138"/>
      <c r="E689" s="252"/>
      <c r="F689" s="102"/>
      <c r="G689" s="102"/>
      <c r="H689" s="102"/>
      <c r="I689" s="247"/>
      <c r="J689" s="156"/>
      <c r="K689" s="164"/>
      <c r="L689" s="164"/>
      <c r="M689" s="164"/>
      <c r="N689" s="164"/>
      <c r="O689" s="699" t="str">
        <f>I689/VLOOKUP(K689,Sheet1!$D$7:$N$16,G689+1,FALSE)</f>
        <v>#N/A</v>
      </c>
      <c r="P689" s="684"/>
      <c r="Q689" s="702"/>
      <c r="R689" s="158"/>
      <c r="S689" s="158"/>
      <c r="T689" s="158"/>
      <c r="U689" s="158"/>
      <c r="V689" s="158"/>
      <c r="W689" s="158"/>
      <c r="X689" s="158"/>
      <c r="Y689" s="158"/>
      <c r="Z689" s="158"/>
      <c r="AA689" s="158"/>
      <c r="AB689" s="158"/>
      <c r="AC689" s="158"/>
      <c r="AD689" s="158"/>
      <c r="AE689" s="158"/>
      <c r="AF689" s="158"/>
    </row>
    <row r="690" ht="15.75" hidden="1" customHeight="1">
      <c r="A690" s="90"/>
      <c r="B690" s="2"/>
      <c r="C690" s="90"/>
      <c r="D690" s="185" t="s">
        <v>270</v>
      </c>
      <c r="E690" s="260"/>
      <c r="F690" s="187">
        <v>3.0</v>
      </c>
      <c r="G690" s="731" t="s">
        <v>260</v>
      </c>
      <c r="H690" s="187"/>
      <c r="I690" s="164"/>
      <c r="J690" s="266">
        <v>9.0</v>
      </c>
      <c r="K690" s="164"/>
      <c r="L690" s="164"/>
      <c r="M690" s="164"/>
      <c r="N690" s="164"/>
      <c r="O690" s="699" t="str">
        <f>I690/VLOOKUP(K690,Sheet1!$D$7:$N$16,G690+1,FALSE)</f>
        <v>#REF!</v>
      </c>
      <c r="P690" s="684"/>
      <c r="Q690" s="702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</row>
    <row r="691" ht="3.75" hidden="1" customHeight="1">
      <c r="A691" s="90"/>
      <c r="B691" s="2"/>
      <c r="C691" s="90"/>
      <c r="D691" s="263"/>
      <c r="E691" s="252"/>
      <c r="F691" s="102"/>
      <c r="G691" s="102"/>
      <c r="H691" s="102"/>
      <c r="I691" s="247"/>
      <c r="J691" s="156"/>
      <c r="K691" s="164"/>
      <c r="L691" s="164"/>
      <c r="M691" s="164"/>
      <c r="N691" s="164"/>
      <c r="O691" s="699" t="str">
        <f>I691/VLOOKUP(K691,Sheet1!$D$7:$N$16,G691+1,FALSE)</f>
        <v>#N/A</v>
      </c>
      <c r="P691" s="684"/>
      <c r="Q691" s="702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</row>
    <row r="692" ht="15.75" hidden="1" customHeight="1">
      <c r="A692" s="90"/>
      <c r="B692" s="2"/>
      <c r="C692" s="90"/>
      <c r="D692" s="185" t="s">
        <v>256</v>
      </c>
      <c r="E692" s="266"/>
      <c r="F692" s="187">
        <v>3.0</v>
      </c>
      <c r="G692" s="187" t="s">
        <v>16</v>
      </c>
      <c r="H692" s="187"/>
      <c r="I692" s="164"/>
      <c r="J692" s="266">
        <v>9.0</v>
      </c>
      <c r="K692" s="164"/>
      <c r="L692" s="164"/>
      <c r="M692" s="164"/>
      <c r="N692" s="164"/>
      <c r="O692" s="699" t="str">
        <f>I692/VLOOKUP(K692,Sheet1!$D$7:$N$16,G692+1,FALSE)</f>
        <v>#VALUE!</v>
      </c>
      <c r="P692" s="684"/>
      <c r="Q692" s="697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</row>
    <row r="693" ht="3.75" hidden="1" customHeight="1">
      <c r="A693" s="191"/>
      <c r="B693" s="719"/>
      <c r="C693" s="192"/>
      <c r="D693" s="192"/>
      <c r="E693" s="267"/>
      <c r="F693" s="194"/>
      <c r="G693" s="194"/>
      <c r="H693" s="194"/>
      <c r="I693" s="194"/>
      <c r="J693" s="267"/>
      <c r="K693" s="273"/>
      <c r="L693" s="737"/>
      <c r="M693" s="737"/>
      <c r="N693" s="737"/>
      <c r="O693" s="271"/>
      <c r="P693" s="272"/>
      <c r="Q693" s="273"/>
      <c r="R693" s="158"/>
      <c r="S693" s="158"/>
      <c r="T693" s="158"/>
      <c r="U693" s="158"/>
      <c r="V693" s="158"/>
      <c r="W693" s="158"/>
      <c r="X693" s="158"/>
      <c r="Y693" s="158"/>
      <c r="Z693" s="158"/>
      <c r="AA693" s="158"/>
      <c r="AB693" s="158"/>
      <c r="AC693" s="158"/>
      <c r="AD693" s="158"/>
      <c r="AE693" s="158"/>
      <c r="AF693" s="158"/>
    </row>
    <row r="694" ht="14.25" hidden="1" customHeight="1">
      <c r="A694" s="5"/>
      <c r="B694" s="2"/>
      <c r="C694" s="5"/>
      <c r="D694" s="738"/>
      <c r="E694" s="739"/>
      <c r="F694" s="683"/>
      <c r="G694" s="683"/>
      <c r="H694" s="683"/>
      <c r="I694" s="683"/>
      <c r="J694" s="739"/>
      <c r="K694" s="738"/>
      <c r="L694" s="683"/>
      <c r="M694" s="683"/>
      <c r="N694" s="683"/>
      <c r="O694" s="740"/>
      <c r="P694" s="4"/>
      <c r="Q694" s="738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</row>
    <row r="695" ht="14.25" hidden="1" customHeight="1">
      <c r="A695" s="5"/>
      <c r="B695" s="2"/>
      <c r="C695" s="5"/>
      <c r="D695" s="738"/>
      <c r="E695" s="739"/>
      <c r="F695" s="683"/>
      <c r="G695" s="683"/>
      <c r="H695" s="683"/>
      <c r="I695" s="683"/>
      <c r="J695" s="739"/>
      <c r="K695" s="738"/>
      <c r="L695" s="683"/>
      <c r="M695" s="683"/>
      <c r="N695" s="683"/>
      <c r="O695" s="741"/>
      <c r="P695" s="4"/>
      <c r="Q695" s="738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</row>
    <row r="696" ht="14.25" hidden="1" customHeight="1">
      <c r="A696" s="5"/>
      <c r="B696" s="2"/>
      <c r="C696" s="5"/>
      <c r="D696" s="738"/>
      <c r="E696" s="739"/>
      <c r="F696" s="683"/>
      <c r="G696" s="683"/>
      <c r="H696" s="683"/>
      <c r="I696" s="683"/>
      <c r="J696" s="739"/>
      <c r="K696" s="738"/>
      <c r="L696" s="683"/>
      <c r="M696" s="683"/>
      <c r="N696" s="683"/>
      <c r="O696" s="741"/>
      <c r="P696" s="4"/>
      <c r="Q696" s="738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</row>
    <row r="697" ht="14.25" hidden="1" customHeight="1">
      <c r="A697" s="5"/>
      <c r="B697" s="2"/>
      <c r="C697" s="5"/>
      <c r="D697" s="738"/>
      <c r="E697" s="739"/>
      <c r="F697" s="683"/>
      <c r="G697" s="683"/>
      <c r="H697" s="683"/>
      <c r="I697" s="683"/>
      <c r="J697" s="739"/>
      <c r="K697" s="738"/>
      <c r="L697" s="683"/>
      <c r="M697" s="683"/>
      <c r="N697" s="683"/>
      <c r="O697" s="741"/>
      <c r="P697" s="4"/>
      <c r="Q697" s="738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</row>
    <row r="698" ht="14.25" hidden="1" customHeight="1">
      <c r="A698" s="5"/>
      <c r="B698" s="2"/>
      <c r="C698" s="5"/>
      <c r="D698" s="738"/>
      <c r="E698" s="739"/>
      <c r="F698" s="683"/>
      <c r="G698" s="683"/>
      <c r="H698" s="683"/>
      <c r="I698" s="683"/>
      <c r="J698" s="739"/>
      <c r="K698" s="738"/>
      <c r="L698" s="683"/>
      <c r="M698" s="683"/>
      <c r="N698" s="683"/>
      <c r="O698" s="741"/>
      <c r="P698" s="4"/>
      <c r="Q698" s="738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</row>
    <row r="699" ht="14.25" hidden="1" customHeight="1">
      <c r="A699" s="5"/>
      <c r="B699" s="2"/>
      <c r="C699" s="5"/>
      <c r="D699" s="738"/>
      <c r="E699" s="739"/>
      <c r="F699" s="683"/>
      <c r="G699" s="683"/>
      <c r="H699" s="683"/>
      <c r="I699" s="683"/>
      <c r="J699" s="739"/>
      <c r="K699" s="738"/>
      <c r="L699" s="683"/>
      <c r="M699" s="683"/>
      <c r="N699" s="683"/>
      <c r="O699" s="741"/>
      <c r="P699" s="4"/>
      <c r="Q699" s="738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</row>
    <row r="700" ht="14.25" hidden="1" customHeight="1">
      <c r="A700" s="5"/>
      <c r="B700" s="2"/>
      <c r="C700" s="5"/>
      <c r="D700" s="5"/>
      <c r="E700" s="75"/>
      <c r="F700" s="3"/>
      <c r="G700" s="3"/>
      <c r="H700" s="3"/>
      <c r="I700" s="3"/>
      <c r="J700" s="75"/>
      <c r="K700" s="5"/>
      <c r="L700" s="3"/>
      <c r="M700" s="3"/>
      <c r="N700" s="3"/>
      <c r="O700" s="3"/>
      <c r="P700" s="4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</row>
    <row r="701" ht="19.5" hidden="1" customHeight="1">
      <c r="A701" s="5"/>
      <c r="B701" s="2"/>
      <c r="C701" s="5"/>
      <c r="D701" s="663" t="s">
        <v>240</v>
      </c>
      <c r="E701" s="664">
        <v>1.0</v>
      </c>
      <c r="F701" s="665"/>
      <c r="G701" s="666"/>
      <c r="H701" s="665"/>
      <c r="I701" s="667"/>
      <c r="J701" s="668"/>
      <c r="K701" s="669"/>
      <c r="L701" s="453"/>
      <c r="M701" s="453"/>
      <c r="N701" s="453"/>
      <c r="O701" s="3"/>
      <c r="P701" s="4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</row>
    <row r="702" ht="27.0" hidden="1" customHeight="1">
      <c r="A702" s="90"/>
      <c r="B702" s="2"/>
      <c r="C702" s="90"/>
      <c r="D702" s="670"/>
      <c r="E702" s="671"/>
      <c r="F702" s="672" t="s">
        <v>16</v>
      </c>
      <c r="G702" s="673" t="s">
        <v>17</v>
      </c>
      <c r="H702" s="665"/>
      <c r="I702" s="674" t="s">
        <v>18</v>
      </c>
      <c r="J702" s="675" t="s">
        <v>241</v>
      </c>
      <c r="K702" s="676"/>
      <c r="L702" s="676"/>
      <c r="M702" s="676"/>
      <c r="N702" s="676"/>
      <c r="O702" s="122" t="s">
        <v>242</v>
      </c>
      <c r="P702" s="677" t="s">
        <v>243</v>
      </c>
      <c r="Q702" s="678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</row>
    <row r="703" ht="14.25" hidden="1" customHeight="1">
      <c r="A703" s="90"/>
      <c r="B703" s="2"/>
      <c r="C703" s="90"/>
      <c r="D703" s="679" t="s">
        <v>13</v>
      </c>
      <c r="E703" s="671"/>
      <c r="F703" s="680"/>
      <c r="G703" s="681"/>
      <c r="H703" s="665"/>
      <c r="I703" s="681"/>
      <c r="J703" s="675" t="s">
        <v>244</v>
      </c>
      <c r="K703" s="214"/>
      <c r="L703" s="682"/>
      <c r="M703" s="682"/>
      <c r="N703" s="682"/>
      <c r="O703" s="683"/>
      <c r="P703" s="684" t="s">
        <v>245</v>
      </c>
      <c r="Q703" s="68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</row>
    <row r="704" ht="3.75" hidden="1" customHeight="1">
      <c r="A704" s="90"/>
      <c r="B704" s="2"/>
      <c r="C704" s="90"/>
      <c r="D704" s="97"/>
      <c r="E704" s="98"/>
      <c r="F704" s="99"/>
      <c r="G704" s="99"/>
      <c r="H704" s="99"/>
      <c r="I704" s="100"/>
      <c r="J704" s="101"/>
      <c r="K704" s="90"/>
      <c r="L704" s="102"/>
      <c r="M704" s="102"/>
      <c r="N704" s="102"/>
      <c r="O704" s="103"/>
      <c r="P704" s="4"/>
      <c r="Q704" s="90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</row>
    <row r="705" ht="30.0" hidden="1" customHeight="1">
      <c r="A705" s="90"/>
      <c r="B705" s="2"/>
      <c r="C705" s="90"/>
      <c r="D705" s="686" t="s">
        <v>271</v>
      </c>
      <c r="E705" s="687" t="s">
        <v>15</v>
      </c>
      <c r="F705" s="688"/>
      <c r="G705" s="688"/>
      <c r="H705" s="688"/>
      <c r="I705" s="689"/>
      <c r="J705" s="690"/>
      <c r="K705" s="691" t="s">
        <v>20</v>
      </c>
      <c r="L705" s="692"/>
      <c r="M705" s="692"/>
      <c r="N705" s="692"/>
      <c r="O705" s="683"/>
      <c r="P705" s="684"/>
      <c r="Q705" s="693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</row>
    <row r="706" ht="19.5" hidden="1" customHeight="1">
      <c r="A706" s="90"/>
      <c r="B706" s="2"/>
      <c r="C706" s="90"/>
      <c r="D706" s="257" t="s">
        <v>25</v>
      </c>
      <c r="E706" s="257" t="s">
        <v>26</v>
      </c>
      <c r="F706" s="694"/>
      <c r="G706" s="694"/>
      <c r="H706" s="694"/>
      <c r="I706" s="695"/>
      <c r="J706" s="696"/>
      <c r="K706" s="697"/>
      <c r="L706" s="692"/>
      <c r="M706" s="692"/>
      <c r="N706" s="692"/>
      <c r="O706" s="683"/>
      <c r="P706" s="684"/>
      <c r="Q706" s="698" t="s">
        <v>30</v>
      </c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</row>
    <row r="707" ht="3.75" hidden="1" customHeight="1">
      <c r="A707" s="90"/>
      <c r="B707" s="2"/>
      <c r="C707" s="90"/>
      <c r="D707" s="97"/>
      <c r="E707" s="98"/>
      <c r="F707" s="99"/>
      <c r="G707" s="99"/>
      <c r="H707" s="99"/>
      <c r="I707" s="100"/>
      <c r="J707" s="101"/>
      <c r="K707" s="90"/>
      <c r="L707" s="102"/>
      <c r="M707" s="102"/>
      <c r="N707" s="102"/>
      <c r="O707" s="699"/>
      <c r="P707" s="684"/>
      <c r="Q707" s="90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</row>
    <row r="708" ht="15.75" hidden="1" customHeight="1">
      <c r="A708" s="124"/>
      <c r="B708" s="2"/>
      <c r="C708" s="124"/>
      <c r="D708" s="185" t="s">
        <v>6</v>
      </c>
      <c r="E708" s="260"/>
      <c r="F708" s="187">
        <v>1.0</v>
      </c>
      <c r="G708" s="187">
        <v>6.0</v>
      </c>
      <c r="H708" s="187"/>
      <c r="I708" s="164">
        <v>170.0</v>
      </c>
      <c r="J708" s="266">
        <v>5.0</v>
      </c>
      <c r="K708" s="183">
        <v>6.0</v>
      </c>
      <c r="L708" s="183"/>
      <c r="M708" s="183"/>
      <c r="N708" s="183"/>
      <c r="O708" s="699">
        <f>I708/VLOOKUP(K708,Sheet1!$D$7:$N$16,G708+1,FALSE)</f>
        <v>229.7297297</v>
      </c>
      <c r="P708" s="684" t="str">
        <f t="shared" ref="P708:P729" si="26">I708-#REF!</f>
        <v>#REF!</v>
      </c>
      <c r="Q708" s="700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</row>
    <row r="709" ht="3.75" hidden="1" customHeight="1">
      <c r="A709" s="137"/>
      <c r="B709" s="661"/>
      <c r="C709" s="137"/>
      <c r="D709" s="138"/>
      <c r="E709" s="252"/>
      <c r="F709" s="140"/>
      <c r="G709" s="140"/>
      <c r="H709" s="140"/>
      <c r="I709" s="701"/>
      <c r="J709" s="141"/>
      <c r="K709" s="183"/>
      <c r="L709" s="183"/>
      <c r="M709" s="183"/>
      <c r="N709" s="183"/>
      <c r="O709" s="699" t="str">
        <f>I709/VLOOKUP(K709,Sheet1!$D$7:$N$16,G709+1,FALSE)</f>
        <v>#N/A</v>
      </c>
      <c r="P709" s="684" t="str">
        <f t="shared" si="26"/>
        <v>#REF!</v>
      </c>
      <c r="Q709" s="702"/>
      <c r="R709" s="148"/>
      <c r="S709" s="148"/>
      <c r="T709" s="148"/>
      <c r="U709" s="148"/>
      <c r="V709" s="148"/>
      <c r="W709" s="148"/>
      <c r="X709" s="148"/>
      <c r="Y709" s="148"/>
      <c r="Z709" s="148"/>
      <c r="AA709" s="148"/>
      <c r="AB709" s="148"/>
      <c r="AC709" s="148"/>
      <c r="AD709" s="148"/>
      <c r="AE709" s="148"/>
      <c r="AF709" s="148"/>
    </row>
    <row r="710" ht="15.75" hidden="1" customHeight="1">
      <c r="A710" s="149"/>
      <c r="B710" s="703"/>
      <c r="C710" s="149"/>
      <c r="D710" s="185" t="s">
        <v>6</v>
      </c>
      <c r="E710" s="260"/>
      <c r="F710" s="187">
        <v>1.0</v>
      </c>
      <c r="G710" s="187">
        <v>6.0</v>
      </c>
      <c r="H710" s="187"/>
      <c r="I710" s="164">
        <v>185.0</v>
      </c>
      <c r="J710" s="266">
        <v>6.5</v>
      </c>
      <c r="K710" s="183">
        <v>7.5</v>
      </c>
      <c r="L710" s="183"/>
      <c r="M710" s="183"/>
      <c r="N710" s="183"/>
      <c r="O710" s="699">
        <f>I710/VLOOKUP(K710,Sheet1!$D$7:$N$16,G710+1,FALSE)</f>
        <v>237.9421222</v>
      </c>
      <c r="P710" s="684" t="str">
        <f t="shared" si="26"/>
        <v>#REF!</v>
      </c>
      <c r="Q710" s="702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</row>
    <row r="711" ht="3.75" hidden="1" customHeight="1">
      <c r="A711" s="152"/>
      <c r="B711" s="705"/>
      <c r="C711" s="153"/>
      <c r="D711" s="138"/>
      <c r="E711" s="263"/>
      <c r="F711" s="194"/>
      <c r="G711" s="194"/>
      <c r="H711" s="194"/>
      <c r="I711" s="164"/>
      <c r="J711" s="267"/>
      <c r="K711" s="183"/>
      <c r="L711" s="183"/>
      <c r="M711" s="183"/>
      <c r="N711" s="183"/>
      <c r="O711" s="699" t="str">
        <f>I711/VLOOKUP(K711,Sheet1!$D$7:$N$16,G711+1,FALSE)</f>
        <v>#N/A</v>
      </c>
      <c r="P711" s="684" t="str">
        <f t="shared" si="26"/>
        <v>#REF!</v>
      </c>
      <c r="Q711" s="702"/>
      <c r="R711" s="158"/>
      <c r="S711" s="158"/>
      <c r="T711" s="158"/>
      <c r="U711" s="158"/>
      <c r="V711" s="158"/>
      <c r="W711" s="158"/>
      <c r="X711" s="158"/>
      <c r="Y711" s="158"/>
      <c r="Z711" s="158"/>
      <c r="AA711" s="158"/>
      <c r="AB711" s="158"/>
      <c r="AC711" s="158"/>
      <c r="AD711" s="158"/>
      <c r="AE711" s="158"/>
      <c r="AF711" s="158"/>
    </row>
    <row r="712" ht="15.75" hidden="1" customHeight="1">
      <c r="A712" s="149"/>
      <c r="B712" s="703"/>
      <c r="C712" s="149"/>
      <c r="D712" s="185" t="s">
        <v>6</v>
      </c>
      <c r="E712" s="264"/>
      <c r="F712" s="187">
        <v>1.0</v>
      </c>
      <c r="G712" s="187">
        <v>6.0</v>
      </c>
      <c r="H712" s="187"/>
      <c r="I712" s="164">
        <v>165.0</v>
      </c>
      <c r="J712" s="706">
        <v>-0.1</v>
      </c>
      <c r="K712" s="183">
        <v>5.0</v>
      </c>
      <c r="L712" s="183"/>
      <c r="M712" s="183"/>
      <c r="N712" s="183"/>
      <c r="O712" s="699" t="str">
        <f>I712/VLOOKUP(K712,Sheet1!$D$7:$N$16,G712+1,FALSE)</f>
        <v>#N/A</v>
      </c>
      <c r="P712" s="684" t="str">
        <f t="shared" si="26"/>
        <v>#REF!</v>
      </c>
      <c r="Q712" s="702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</row>
    <row r="713" ht="3.75" hidden="1" customHeight="1">
      <c r="A713" s="162"/>
      <c r="B713" s="707"/>
      <c r="C713" s="162"/>
      <c r="D713" s="138"/>
      <c r="E713" s="708"/>
      <c r="F713" s="140"/>
      <c r="G713" s="140"/>
      <c r="H713" s="140"/>
      <c r="I713" s="701"/>
      <c r="J713" s="141"/>
      <c r="K713" s="183"/>
      <c r="L713" s="183"/>
      <c r="M713" s="183"/>
      <c r="N713" s="183"/>
      <c r="O713" s="699" t="str">
        <f>I713/VLOOKUP(K713,Sheet1!$D$7:$N$16,G713+1,FALSE)</f>
        <v>#N/A</v>
      </c>
      <c r="P713" s="684" t="str">
        <f t="shared" si="26"/>
        <v>#REF!</v>
      </c>
      <c r="Q713" s="702"/>
      <c r="R713" s="148"/>
      <c r="S713" s="148"/>
      <c r="T713" s="148"/>
      <c r="U713" s="148"/>
      <c r="V713" s="148"/>
      <c r="W713" s="148"/>
      <c r="X713" s="148"/>
      <c r="Y713" s="148"/>
      <c r="Z713" s="148"/>
      <c r="AA713" s="148"/>
      <c r="AB713" s="148"/>
      <c r="AC713" s="148"/>
      <c r="AD713" s="148"/>
      <c r="AE713" s="148"/>
      <c r="AF713" s="148"/>
    </row>
    <row r="714" ht="15.75" hidden="1" customHeight="1">
      <c r="A714" s="149"/>
      <c r="B714" s="703"/>
      <c r="C714" s="149"/>
      <c r="D714" s="185" t="s">
        <v>51</v>
      </c>
      <c r="E714" s="264"/>
      <c r="F714" s="187">
        <v>1.0</v>
      </c>
      <c r="G714" s="187">
        <v>3.0</v>
      </c>
      <c r="H714" s="187"/>
      <c r="I714" s="164">
        <v>145.0</v>
      </c>
      <c r="J714" s="266">
        <v>6.5</v>
      </c>
      <c r="K714" s="183">
        <v>8.0</v>
      </c>
      <c r="L714" s="183"/>
      <c r="M714" s="183"/>
      <c r="N714" s="183"/>
      <c r="O714" s="699">
        <f>I714/VLOOKUP(K714,Sheet1!$D$7:$N$16,G714+1,FALSE)</f>
        <v>167.6300578</v>
      </c>
      <c r="P714" s="684" t="str">
        <f t="shared" si="26"/>
        <v>#REF!</v>
      </c>
      <c r="Q714" s="702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</row>
    <row r="715" ht="3.75" hidden="1" customHeight="1">
      <c r="A715" s="162"/>
      <c r="B715" s="707"/>
      <c r="C715" s="162"/>
      <c r="D715" s="138"/>
      <c r="E715" s="321"/>
      <c r="F715" s="102"/>
      <c r="G715" s="102"/>
      <c r="H715" s="102"/>
      <c r="I715" s="247"/>
      <c r="J715" s="156"/>
      <c r="K715" s="183"/>
      <c r="L715" s="183"/>
      <c r="M715" s="183"/>
      <c r="N715" s="183"/>
      <c r="O715" s="699" t="str">
        <f>I715/VLOOKUP(K715,Sheet1!$D$7:$N$16,G715+1,FALSE)</f>
        <v>#N/A</v>
      </c>
      <c r="P715" s="684" t="str">
        <f t="shared" si="26"/>
        <v>#REF!</v>
      </c>
      <c r="Q715" s="702"/>
      <c r="R715" s="148"/>
      <c r="S715" s="148"/>
      <c r="T715" s="148"/>
      <c r="U715" s="148"/>
      <c r="V715" s="148"/>
      <c r="W715" s="148"/>
      <c r="X715" s="148"/>
      <c r="Y715" s="148"/>
      <c r="Z715" s="148"/>
      <c r="AA715" s="148"/>
      <c r="AB715" s="148"/>
      <c r="AC715" s="148"/>
      <c r="AD715" s="148"/>
      <c r="AE715" s="148"/>
      <c r="AF715" s="148"/>
    </row>
    <row r="716" ht="15.75" hidden="1" customHeight="1">
      <c r="A716" s="90"/>
      <c r="B716" s="2"/>
      <c r="C716" s="90"/>
      <c r="D716" s="185" t="s">
        <v>51</v>
      </c>
      <c r="E716" s="264"/>
      <c r="F716" s="187">
        <v>3.0</v>
      </c>
      <c r="G716" s="187">
        <v>5.0</v>
      </c>
      <c r="H716" s="187"/>
      <c r="I716" s="164">
        <v>127.5</v>
      </c>
      <c r="J716" s="706">
        <v>-0.12</v>
      </c>
      <c r="K716" s="183"/>
      <c r="L716" s="183"/>
      <c r="M716" s="183"/>
      <c r="N716" s="183"/>
      <c r="O716" s="699" t="str">
        <f>I716/VLOOKUP(K716,Sheet1!$D$7:$N$16,G716+1,FALSE)</f>
        <v>#N/A</v>
      </c>
      <c r="P716" s="684" t="str">
        <f t="shared" si="26"/>
        <v>#REF!</v>
      </c>
      <c r="Q716" s="702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</row>
    <row r="717" ht="3.75" hidden="1" customHeight="1">
      <c r="A717" s="168"/>
      <c r="B717" s="661"/>
      <c r="C717" s="168"/>
      <c r="D717" s="138"/>
      <c r="E717" s="708"/>
      <c r="F717" s="140"/>
      <c r="G717" s="140"/>
      <c r="H717" s="140"/>
      <c r="I717" s="701"/>
      <c r="J717" s="141"/>
      <c r="K717" s="183"/>
      <c r="L717" s="183"/>
      <c r="M717" s="183"/>
      <c r="N717" s="183"/>
      <c r="O717" s="699" t="str">
        <f>I717/VLOOKUP(K717,Sheet1!$D$7:$N$16,G717+1,FALSE)</f>
        <v>#N/A</v>
      </c>
      <c r="P717" s="684" t="str">
        <f t="shared" si="26"/>
        <v>#REF!</v>
      </c>
      <c r="Q717" s="702"/>
      <c r="R717" s="148"/>
      <c r="S717" s="148"/>
      <c r="T717" s="148"/>
      <c r="U717" s="148"/>
      <c r="V717" s="148"/>
      <c r="W717" s="148"/>
      <c r="X717" s="148"/>
      <c r="Y717" s="148"/>
      <c r="Z717" s="148"/>
      <c r="AA717" s="148"/>
      <c r="AB717" s="148"/>
      <c r="AC717" s="148"/>
      <c r="AD717" s="148"/>
      <c r="AE717" s="148"/>
      <c r="AF717" s="148"/>
    </row>
    <row r="718" ht="15.75" hidden="1" customHeight="1">
      <c r="A718" s="90"/>
      <c r="B718" s="2"/>
      <c r="C718" s="90"/>
      <c r="D718" s="709" t="s">
        <v>286</v>
      </c>
      <c r="E718" s="710"/>
      <c r="F718" s="711">
        <v>3.0</v>
      </c>
      <c r="G718" s="731" t="s">
        <v>251</v>
      </c>
      <c r="H718" s="179"/>
      <c r="I718" s="742"/>
      <c r="J718" s="713">
        <v>8.0</v>
      </c>
      <c r="K718" s="183">
        <v>8.0</v>
      </c>
      <c r="L718" s="183"/>
      <c r="M718" s="183"/>
      <c r="N718" s="183"/>
      <c r="O718" s="699" t="str">
        <f>I718/VLOOKUP(K718,Sheet1!$D$7:$N$16,G718+1,FALSE)</f>
        <v>#REF!</v>
      </c>
      <c r="P718" s="684" t="str">
        <f t="shared" si="26"/>
        <v>#REF!</v>
      </c>
      <c r="Q718" s="702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</row>
    <row r="719" ht="3.75" hidden="1" customHeight="1">
      <c r="A719" s="90"/>
      <c r="B719" s="2"/>
      <c r="C719" s="90"/>
      <c r="D719" s="171"/>
      <c r="E719" s="714"/>
      <c r="F719" s="173"/>
      <c r="G719" s="173"/>
      <c r="H719" s="715"/>
      <c r="I719" s="716"/>
      <c r="J719" s="174"/>
      <c r="K719" s="183"/>
      <c r="L719" s="183"/>
      <c r="M719" s="183"/>
      <c r="N719" s="183"/>
      <c r="O719" s="699" t="str">
        <f>I719/VLOOKUP(K719,Sheet1!$D$7:$N$16,G719+1,FALSE)</f>
        <v>#N/A</v>
      </c>
      <c r="P719" s="684" t="str">
        <f t="shared" si="26"/>
        <v>#REF!</v>
      </c>
      <c r="Q719" s="702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</row>
    <row r="720" ht="15.75" hidden="1" customHeight="1">
      <c r="A720" s="90"/>
      <c r="B720" s="2"/>
      <c r="C720" s="90"/>
      <c r="D720" s="260" t="s">
        <v>273</v>
      </c>
      <c r="E720" s="266"/>
      <c r="F720" s="187">
        <v>3.0</v>
      </c>
      <c r="G720" s="731" t="s">
        <v>251</v>
      </c>
      <c r="H720" s="187"/>
      <c r="I720" s="164"/>
      <c r="J720" s="266">
        <v>8.0</v>
      </c>
      <c r="K720" s="183"/>
      <c r="L720" s="183"/>
      <c r="M720" s="183"/>
      <c r="N720" s="183"/>
      <c r="O720" s="699" t="str">
        <f>I720/VLOOKUP(K720,Sheet1!$D$7:$N$16,G720+1,FALSE)</f>
        <v>#REF!</v>
      </c>
      <c r="P720" s="684" t="str">
        <f t="shared" si="26"/>
        <v>#REF!</v>
      </c>
      <c r="Q720" s="702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</row>
    <row r="721" ht="3.75" hidden="1" customHeight="1">
      <c r="A721" s="90"/>
      <c r="B721" s="2"/>
      <c r="C721" s="90"/>
      <c r="D721" s="171"/>
      <c r="E721" s="714"/>
      <c r="F721" s="173"/>
      <c r="G721" s="173"/>
      <c r="H721" s="715"/>
      <c r="I721" s="716"/>
      <c r="J721" s="174"/>
      <c r="K721" s="183"/>
      <c r="L721" s="183"/>
      <c r="M721" s="183"/>
      <c r="N721" s="183"/>
      <c r="O721" s="699" t="str">
        <f>I721/VLOOKUP(K721,Sheet1!$D$7:$N$16,G721+1,FALSE)</f>
        <v>#N/A</v>
      </c>
      <c r="P721" s="684" t="str">
        <f t="shared" si="26"/>
        <v>#REF!</v>
      </c>
      <c r="Q721" s="702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</row>
    <row r="722" ht="15.75" hidden="1" customHeight="1">
      <c r="A722" s="90"/>
      <c r="B722" s="2"/>
      <c r="C722" s="90"/>
      <c r="D722" s="709" t="s">
        <v>274</v>
      </c>
      <c r="E722" s="710"/>
      <c r="F722" s="711">
        <v>3.0</v>
      </c>
      <c r="G722" s="731" t="s">
        <v>251</v>
      </c>
      <c r="H722" s="179"/>
      <c r="I722" s="717"/>
      <c r="J722" s="713">
        <v>8.0</v>
      </c>
      <c r="K722" s="183"/>
      <c r="L722" s="183"/>
      <c r="M722" s="183"/>
      <c r="N722" s="183"/>
      <c r="O722" s="699" t="str">
        <f>I722/VLOOKUP(K722,Sheet1!$D$7:$N$16,G722+1,FALSE)</f>
        <v>#REF!</v>
      </c>
      <c r="P722" s="684" t="str">
        <f t="shared" si="26"/>
        <v>#REF!</v>
      </c>
      <c r="Q722" s="702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</row>
    <row r="723" ht="3.75" hidden="1" customHeight="1">
      <c r="A723" s="90"/>
      <c r="B723" s="2"/>
      <c r="C723" s="90"/>
      <c r="D723" s="138"/>
      <c r="E723" s="252"/>
      <c r="F723" s="102"/>
      <c r="G723" s="102"/>
      <c r="H723" s="102"/>
      <c r="I723" s="247"/>
      <c r="J723" s="156"/>
      <c r="K723" s="183"/>
      <c r="L723" s="183"/>
      <c r="M723" s="183"/>
      <c r="N723" s="183"/>
      <c r="O723" s="699" t="str">
        <f>I723/VLOOKUP(K723,Sheet1!$D$7:$N$16,G723+1,FALSE)</f>
        <v>#N/A</v>
      </c>
      <c r="P723" s="684" t="str">
        <f t="shared" si="26"/>
        <v>#REF!</v>
      </c>
      <c r="Q723" s="702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</row>
    <row r="724" ht="15.75" hidden="1" customHeight="1">
      <c r="A724" s="90"/>
      <c r="B724" s="2"/>
      <c r="C724" s="90"/>
      <c r="D724" s="185"/>
      <c r="E724" s="266"/>
      <c r="F724" s="187"/>
      <c r="G724" s="718"/>
      <c r="H724" s="187"/>
      <c r="I724" s="164"/>
      <c r="J724" s="266"/>
      <c r="K724" s="183"/>
      <c r="L724" s="183"/>
      <c r="M724" s="183"/>
      <c r="N724" s="183"/>
      <c r="O724" s="699" t="str">
        <f>I724/VLOOKUP(K724,Sheet1!$D$7:$N$16,G724+1,FALSE)</f>
        <v>#N/A</v>
      </c>
      <c r="P724" s="684" t="str">
        <f t="shared" si="26"/>
        <v>#REF!</v>
      </c>
      <c r="Q724" s="702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</row>
    <row r="725" ht="3.75" hidden="1" customHeight="1">
      <c r="A725" s="191"/>
      <c r="B725" s="719"/>
      <c r="C725" s="192"/>
      <c r="D725" s="138"/>
      <c r="E725" s="267"/>
      <c r="F725" s="194"/>
      <c r="G725" s="194"/>
      <c r="H725" s="194"/>
      <c r="I725" s="164"/>
      <c r="J725" s="267"/>
      <c r="K725" s="183"/>
      <c r="L725" s="183"/>
      <c r="M725" s="183"/>
      <c r="N725" s="183"/>
      <c r="O725" s="699" t="str">
        <f>I725/VLOOKUP(K725,Sheet1!$D$7:$N$16,G725+1,FALSE)</f>
        <v>#N/A</v>
      </c>
      <c r="P725" s="684" t="str">
        <f t="shared" si="26"/>
        <v>#REF!</v>
      </c>
      <c r="Q725" s="702"/>
      <c r="R725" s="158"/>
      <c r="S725" s="158"/>
      <c r="T725" s="158"/>
      <c r="U725" s="158"/>
      <c r="V725" s="158"/>
      <c r="W725" s="158"/>
      <c r="X725" s="158"/>
      <c r="Y725" s="158"/>
      <c r="Z725" s="158"/>
      <c r="AA725" s="158"/>
      <c r="AB725" s="158"/>
      <c r="AC725" s="158"/>
      <c r="AD725" s="158"/>
      <c r="AE725" s="158"/>
      <c r="AF725" s="158"/>
    </row>
    <row r="726" ht="15.75" hidden="1" customHeight="1">
      <c r="A726" s="90"/>
      <c r="B726" s="2"/>
      <c r="C726" s="90"/>
      <c r="D726" s="185"/>
      <c r="E726" s="266"/>
      <c r="F726" s="187"/>
      <c r="G726" s="187"/>
      <c r="H726" s="187"/>
      <c r="I726" s="164"/>
      <c r="J726" s="266"/>
      <c r="K726" s="183"/>
      <c r="L726" s="183"/>
      <c r="M726" s="183"/>
      <c r="N726" s="183"/>
      <c r="O726" s="699" t="str">
        <f>I726/VLOOKUP(K726,Sheet1!$D$7:$N$16,G726+1,FALSE)</f>
        <v>#N/A</v>
      </c>
      <c r="P726" s="684" t="str">
        <f t="shared" si="26"/>
        <v>#REF!</v>
      </c>
      <c r="Q726" s="702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</row>
    <row r="727" ht="3.75" hidden="1" customHeight="1">
      <c r="A727" s="90"/>
      <c r="B727" s="2"/>
      <c r="C727" s="90"/>
      <c r="D727" s="138"/>
      <c r="E727" s="252"/>
      <c r="F727" s="102"/>
      <c r="G727" s="102"/>
      <c r="H727" s="102"/>
      <c r="I727" s="247"/>
      <c r="J727" s="156"/>
      <c r="K727" s="183"/>
      <c r="L727" s="183"/>
      <c r="M727" s="183"/>
      <c r="N727" s="183"/>
      <c r="O727" s="699" t="str">
        <f>I727/VLOOKUP(K727,Sheet1!$D$7:$N$16,G727+1,FALSE)</f>
        <v>#N/A</v>
      </c>
      <c r="P727" s="684" t="str">
        <f t="shared" si="26"/>
        <v>#REF!</v>
      </c>
      <c r="Q727" s="702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</row>
    <row r="728" ht="15.75" hidden="1" customHeight="1">
      <c r="A728" s="90"/>
      <c r="B728" s="2"/>
      <c r="C728" s="90"/>
      <c r="D728" s="185"/>
      <c r="E728" s="266"/>
      <c r="F728" s="187"/>
      <c r="G728" s="187"/>
      <c r="H728" s="187"/>
      <c r="I728" s="164"/>
      <c r="J728" s="266"/>
      <c r="K728" s="183"/>
      <c r="L728" s="183"/>
      <c r="M728" s="183"/>
      <c r="N728" s="183"/>
      <c r="O728" s="699" t="str">
        <f>I728/VLOOKUP(K728,Sheet1!$D$7:$N$16,G728+1,FALSE)</f>
        <v>#N/A</v>
      </c>
      <c r="P728" s="684" t="str">
        <f t="shared" si="26"/>
        <v>#REF!</v>
      </c>
      <c r="Q728" s="697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</row>
    <row r="729" ht="3.75" hidden="1" customHeight="1">
      <c r="A729" s="90"/>
      <c r="B729" s="2"/>
      <c r="C729" s="90"/>
      <c r="D729" s="90"/>
      <c r="E729" s="156"/>
      <c r="F729" s="102"/>
      <c r="G729" s="102"/>
      <c r="H729" s="102"/>
      <c r="I729" s="102"/>
      <c r="J729" s="156"/>
      <c r="K729" s="720"/>
      <c r="L729" s="201"/>
      <c r="M729" s="201"/>
      <c r="N729" s="201"/>
      <c r="O729" s="699" t="str">
        <f>I729/VLOOKUP(K729,Sheet1!$D$7:$N$16,G729+1,FALSE)</f>
        <v>#N/A</v>
      </c>
      <c r="P729" s="684" t="str">
        <f t="shared" si="26"/>
        <v>#REF!</v>
      </c>
      <c r="Q729" s="720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</row>
    <row r="730" ht="30.0" hidden="1" customHeight="1">
      <c r="A730" s="90"/>
      <c r="B730" s="2"/>
      <c r="C730" s="90"/>
      <c r="D730" s="686" t="s">
        <v>246</v>
      </c>
      <c r="E730" s="687" t="s">
        <v>15</v>
      </c>
      <c r="F730" s="721" t="s">
        <v>16</v>
      </c>
      <c r="G730" s="722" t="s">
        <v>17</v>
      </c>
      <c r="H730" s="723"/>
      <c r="I730" s="724"/>
      <c r="J730" s="725" t="s">
        <v>241</v>
      </c>
      <c r="K730" s="691"/>
      <c r="L730" s="692"/>
      <c r="M730" s="692"/>
      <c r="N730" s="692"/>
      <c r="O730" s="699"/>
      <c r="P730" s="684"/>
      <c r="Q730" s="693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</row>
    <row r="731" ht="14.25" hidden="1" customHeight="1">
      <c r="A731" s="90"/>
      <c r="B731" s="2"/>
      <c r="C731" s="90"/>
      <c r="D731" s="257" t="s">
        <v>25</v>
      </c>
      <c r="E731" s="257" t="s">
        <v>26</v>
      </c>
      <c r="F731" s="680"/>
      <c r="G731" s="681"/>
      <c r="H731" s="723"/>
      <c r="I731" s="681"/>
      <c r="J731" s="725" t="s">
        <v>244</v>
      </c>
      <c r="K731" s="697"/>
      <c r="L731" s="692"/>
      <c r="M731" s="692"/>
      <c r="N731" s="692"/>
      <c r="O731" s="699"/>
      <c r="P731" s="684"/>
      <c r="Q731" s="698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</row>
    <row r="732" ht="3.75" hidden="1" customHeight="1">
      <c r="A732" s="191"/>
      <c r="B732" s="719"/>
      <c r="C732" s="192"/>
      <c r="D732" s="203"/>
      <c r="E732" s="203"/>
      <c r="F732" s="726"/>
      <c r="G732" s="726"/>
      <c r="H732" s="726"/>
      <c r="I732" s="727"/>
      <c r="J732" s="728"/>
      <c r="K732" s="192"/>
      <c r="L732" s="194"/>
      <c r="M732" s="194"/>
      <c r="N732" s="194"/>
      <c r="O732" s="699"/>
      <c r="P732" s="684" t="str">
        <f t="shared" ref="P732:P754" si="27">I732-#REF!</f>
        <v>#REF!</v>
      </c>
      <c r="Q732" s="192"/>
      <c r="R732" s="158"/>
      <c r="S732" s="158"/>
      <c r="T732" s="158"/>
      <c r="U732" s="158"/>
      <c r="V732" s="158"/>
      <c r="W732" s="158"/>
      <c r="X732" s="158"/>
      <c r="Y732" s="158"/>
      <c r="Z732" s="158"/>
      <c r="AA732" s="158"/>
      <c r="AB732" s="158"/>
      <c r="AC732" s="158"/>
      <c r="AD732" s="158"/>
      <c r="AE732" s="158"/>
      <c r="AF732" s="158"/>
    </row>
    <row r="733" ht="15.75" hidden="1" customHeight="1">
      <c r="A733" s="124"/>
      <c r="B733" s="2"/>
      <c r="C733" s="124"/>
      <c r="D733" s="185" t="s">
        <v>248</v>
      </c>
      <c r="E733" s="743"/>
      <c r="F733" s="187">
        <v>1.0</v>
      </c>
      <c r="G733" s="187">
        <v>6.0</v>
      </c>
      <c r="H733" s="187"/>
      <c r="I733" s="164">
        <v>205.0</v>
      </c>
      <c r="J733" s="266">
        <v>6.0</v>
      </c>
      <c r="K733" s="183">
        <v>6.0</v>
      </c>
      <c r="L733" s="183"/>
      <c r="M733" s="183"/>
      <c r="N733" s="183"/>
      <c r="O733" s="699">
        <f>I733/VLOOKUP(K733,Sheet1!$D$7:$N$16,G733+1,FALSE)</f>
        <v>277.027027</v>
      </c>
      <c r="P733" s="684" t="str">
        <f t="shared" si="27"/>
        <v>#REF!</v>
      </c>
      <c r="Q733" s="730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</row>
    <row r="734" ht="3.75" hidden="1" customHeight="1">
      <c r="A734" s="124"/>
      <c r="B734" s="2"/>
      <c r="C734" s="124"/>
      <c r="D734" s="138"/>
      <c r="E734" s="321"/>
      <c r="F734" s="102"/>
      <c r="G734" s="102"/>
      <c r="H734" s="102"/>
      <c r="I734" s="247"/>
      <c r="J734" s="267"/>
      <c r="K734" s="183"/>
      <c r="L734" s="183"/>
      <c r="M734" s="183"/>
      <c r="N734" s="183"/>
      <c r="O734" s="699" t="str">
        <f>I734/VLOOKUP(K734,Sheet1!$D$7:$N$16,G734+1,FALSE)</f>
        <v>#N/A</v>
      </c>
      <c r="P734" s="684" t="str">
        <f t="shared" si="27"/>
        <v>#REF!</v>
      </c>
      <c r="Q734" s="702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</row>
    <row r="735" ht="15.75" hidden="1" customHeight="1">
      <c r="A735" s="90"/>
      <c r="B735" s="2"/>
      <c r="C735" s="90"/>
      <c r="D735" s="185" t="s">
        <v>248</v>
      </c>
      <c r="E735" s="264"/>
      <c r="F735" s="187">
        <v>2.0</v>
      </c>
      <c r="G735" s="187">
        <v>6.0</v>
      </c>
      <c r="H735" s="187"/>
      <c r="I735" s="164">
        <v>185.0</v>
      </c>
      <c r="J735" s="706">
        <v>-0.12</v>
      </c>
      <c r="K735" s="183">
        <v>6.0</v>
      </c>
      <c r="L735" s="183"/>
      <c r="M735" s="183"/>
      <c r="N735" s="183"/>
      <c r="O735" s="699">
        <f>I735/VLOOKUP(K735,Sheet1!$D$7:$N$16,G735+1,FALSE)</f>
        <v>250</v>
      </c>
      <c r="P735" s="684" t="str">
        <f t="shared" si="27"/>
        <v>#REF!</v>
      </c>
      <c r="Q735" s="702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</row>
    <row r="736" ht="3.75" hidden="1" customHeight="1">
      <c r="A736" s="90"/>
      <c r="B736" s="2"/>
      <c r="C736" s="90"/>
      <c r="D736" s="138"/>
      <c r="E736" s="321"/>
      <c r="F736" s="102"/>
      <c r="G736" s="102"/>
      <c r="H736" s="102"/>
      <c r="I736" s="247"/>
      <c r="J736" s="267"/>
      <c r="K736" s="183"/>
      <c r="L736" s="183"/>
      <c r="M736" s="183"/>
      <c r="N736" s="183"/>
      <c r="O736" s="699" t="str">
        <f>I736/VLOOKUP(K736,Sheet1!$D$7:$N$16,G736+1,FALSE)</f>
        <v>#N/A</v>
      </c>
      <c r="P736" s="684" t="str">
        <f t="shared" si="27"/>
        <v>#REF!</v>
      </c>
      <c r="Q736" s="702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</row>
    <row r="737" ht="15.75" hidden="1" customHeight="1">
      <c r="A737" s="90"/>
      <c r="B737" s="2"/>
      <c r="C737" s="90"/>
      <c r="D737" s="185" t="s">
        <v>252</v>
      </c>
      <c r="E737" s="260"/>
      <c r="F737" s="187">
        <v>3.0</v>
      </c>
      <c r="G737" s="187" t="s">
        <v>41</v>
      </c>
      <c r="H737" s="187"/>
      <c r="I737" s="164"/>
      <c r="J737" s="266">
        <v>8.0</v>
      </c>
      <c r="K737" s="183">
        <v>8.0</v>
      </c>
      <c r="L737" s="183"/>
      <c r="M737" s="183"/>
      <c r="N737" s="183"/>
      <c r="O737" s="699" t="str">
        <f>I737/VLOOKUP(K737,Sheet1!$D$7:$N$16,G737+1,FALSE)</f>
        <v>#VALUE!</v>
      </c>
      <c r="P737" s="684" t="str">
        <f t="shared" si="27"/>
        <v>#REF!</v>
      </c>
      <c r="Q737" s="702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</row>
    <row r="738" ht="3.75" hidden="1" customHeight="1">
      <c r="A738" s="90"/>
      <c r="B738" s="2"/>
      <c r="C738" s="90"/>
      <c r="D738" s="138"/>
      <c r="E738" s="321"/>
      <c r="F738" s="102"/>
      <c r="G738" s="102"/>
      <c r="H738" s="102"/>
      <c r="I738" s="247"/>
      <c r="J738" s="156"/>
      <c r="K738" s="183"/>
      <c r="L738" s="183"/>
      <c r="M738" s="183"/>
      <c r="N738" s="183"/>
      <c r="O738" s="699" t="str">
        <f>I738/VLOOKUP(K738,Sheet1!$D$7:$N$16,G738+1,FALSE)</f>
        <v>#N/A</v>
      </c>
      <c r="P738" s="684" t="str">
        <f t="shared" si="27"/>
        <v>#REF!</v>
      </c>
      <c r="Q738" s="702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</row>
    <row r="739" ht="15.75" hidden="1" customHeight="1">
      <c r="A739" s="90"/>
      <c r="B739" s="2"/>
      <c r="C739" s="90"/>
      <c r="D739" s="185" t="s">
        <v>253</v>
      </c>
      <c r="E739" s="260"/>
      <c r="F739" s="187">
        <v>3.0</v>
      </c>
      <c r="G739" s="731" t="s">
        <v>251</v>
      </c>
      <c r="H739" s="187"/>
      <c r="I739" s="164"/>
      <c r="J739" s="266">
        <v>8.0</v>
      </c>
      <c r="K739" s="183">
        <v>8.0</v>
      </c>
      <c r="L739" s="183"/>
      <c r="M739" s="183"/>
      <c r="N739" s="183"/>
      <c r="O739" s="699" t="str">
        <f>I739/VLOOKUP(K739,Sheet1!$D$7:$N$16,G739+1,FALSE)</f>
        <v>#REF!</v>
      </c>
      <c r="P739" s="684" t="str">
        <f t="shared" si="27"/>
        <v>#REF!</v>
      </c>
      <c r="Q739" s="702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</row>
    <row r="740" ht="3.75" hidden="1" customHeight="1">
      <c r="A740" s="90"/>
      <c r="B740" s="2"/>
      <c r="C740" s="90"/>
      <c r="D740" s="138"/>
      <c r="E740" s="321"/>
      <c r="F740" s="102"/>
      <c r="G740" s="102"/>
      <c r="H740" s="102"/>
      <c r="I740" s="247"/>
      <c r="J740" s="267"/>
      <c r="K740" s="183"/>
      <c r="L740" s="183"/>
      <c r="M740" s="183"/>
      <c r="N740" s="183"/>
      <c r="O740" s="699" t="str">
        <f>I740/VLOOKUP(K740,Sheet1!$D$7:$N$16,G740+1,FALSE)</f>
        <v>#N/A</v>
      </c>
      <c r="P740" s="684" t="str">
        <f t="shared" si="27"/>
        <v>#REF!</v>
      </c>
      <c r="Q740" s="702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</row>
    <row r="741" ht="15.75" hidden="1" customHeight="1">
      <c r="A741" s="90"/>
      <c r="B741" s="2"/>
      <c r="C741" s="90"/>
      <c r="D741" s="185"/>
      <c r="E741" s="264"/>
      <c r="F741" s="187"/>
      <c r="G741" s="187"/>
      <c r="H741" s="187"/>
      <c r="I741" s="164"/>
      <c r="J741" s="706"/>
      <c r="K741" s="183"/>
      <c r="L741" s="183"/>
      <c r="M741" s="183"/>
      <c r="N741" s="183"/>
      <c r="O741" s="699" t="str">
        <f>I741/VLOOKUP(K741,Sheet1!$D$7:$N$16,G741+1,FALSE)</f>
        <v>#N/A</v>
      </c>
      <c r="P741" s="684" t="str">
        <f t="shared" si="27"/>
        <v>#REF!</v>
      </c>
      <c r="Q741" s="702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</row>
    <row r="742" ht="3.75" hidden="1" customHeight="1">
      <c r="A742" s="90"/>
      <c r="B742" s="2"/>
      <c r="C742" s="90"/>
      <c r="D742" s="138"/>
      <c r="E742" s="321"/>
      <c r="F742" s="102"/>
      <c r="G742" s="102"/>
      <c r="H742" s="102"/>
      <c r="I742" s="247"/>
      <c r="J742" s="267"/>
      <c r="K742" s="183"/>
      <c r="L742" s="183"/>
      <c r="M742" s="183"/>
      <c r="N742" s="183"/>
      <c r="O742" s="699" t="str">
        <f>I742/VLOOKUP(K742,Sheet1!$D$7:$N$16,G742+1,FALSE)</f>
        <v>#N/A</v>
      </c>
      <c r="P742" s="684" t="str">
        <f t="shared" si="27"/>
        <v>#REF!</v>
      </c>
      <c r="Q742" s="702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</row>
    <row r="743" ht="15.75" hidden="1" customHeight="1">
      <c r="A743" s="90"/>
      <c r="B743" s="2"/>
      <c r="C743" s="90"/>
      <c r="D743" s="185" t="s">
        <v>88</v>
      </c>
      <c r="E743" s="264"/>
      <c r="F743" s="187">
        <v>3.0</v>
      </c>
      <c r="G743" s="731" t="s">
        <v>251</v>
      </c>
      <c r="H743" s="187"/>
      <c r="I743" s="164"/>
      <c r="J743" s="266">
        <v>9.0</v>
      </c>
      <c r="K743" s="183">
        <v>9.0</v>
      </c>
      <c r="L743" s="183"/>
      <c r="M743" s="183"/>
      <c r="N743" s="183"/>
      <c r="O743" s="699" t="str">
        <f>I743/VLOOKUP(K743,Sheet1!$D$7:$N$16,G743+1,FALSE)</f>
        <v>#REF!</v>
      </c>
      <c r="P743" s="684" t="str">
        <f t="shared" si="27"/>
        <v>#REF!</v>
      </c>
      <c r="Q743" s="702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</row>
    <row r="744" ht="3.75" hidden="1" customHeight="1">
      <c r="A744" s="90"/>
      <c r="B744" s="2"/>
      <c r="C744" s="90"/>
      <c r="D744" s="138"/>
      <c r="E744" s="321"/>
      <c r="F744" s="102"/>
      <c r="G744" s="102"/>
      <c r="H744" s="102"/>
      <c r="I744" s="247"/>
      <c r="J744" s="267"/>
      <c r="K744" s="183"/>
      <c r="L744" s="183"/>
      <c r="M744" s="183"/>
      <c r="N744" s="183"/>
      <c r="O744" s="699" t="str">
        <f>I744/VLOOKUP(K744,Sheet1!$D$7:$N$16,G744+1,FALSE)</f>
        <v>#N/A</v>
      </c>
      <c r="P744" s="684" t="str">
        <f t="shared" si="27"/>
        <v>#REF!</v>
      </c>
      <c r="Q744" s="702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</row>
    <row r="745" ht="20.25" hidden="1" customHeight="1">
      <c r="A745" s="90"/>
      <c r="B745" s="2"/>
      <c r="C745" s="90"/>
      <c r="D745" s="185"/>
      <c r="E745" s="264"/>
      <c r="F745" s="187"/>
      <c r="G745" s="187"/>
      <c r="H745" s="187"/>
      <c r="I745" s="164"/>
      <c r="J745" s="266"/>
      <c r="K745" s="183"/>
      <c r="L745" s="183"/>
      <c r="M745" s="183"/>
      <c r="N745" s="183"/>
      <c r="O745" s="699" t="str">
        <f>I745/VLOOKUP(K745,Sheet1!$D$7:$N$16,G745+1,FALSE)</f>
        <v>#N/A</v>
      </c>
      <c r="P745" s="684" t="str">
        <f t="shared" si="27"/>
        <v>#REF!</v>
      </c>
      <c r="Q745" s="702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</row>
    <row r="746" ht="3.75" hidden="1" customHeight="1">
      <c r="A746" s="191"/>
      <c r="B746" s="719"/>
      <c r="C746" s="192"/>
      <c r="D746" s="138"/>
      <c r="E746" s="263"/>
      <c r="F746" s="194"/>
      <c r="G746" s="194"/>
      <c r="H746" s="194"/>
      <c r="I746" s="164"/>
      <c r="J746" s="267"/>
      <c r="K746" s="183"/>
      <c r="L746" s="183"/>
      <c r="M746" s="183"/>
      <c r="N746" s="183"/>
      <c r="O746" s="699" t="str">
        <f>I746/VLOOKUP(K746,Sheet1!$D$7:$N$16,G746+1,FALSE)</f>
        <v>#N/A</v>
      </c>
      <c r="P746" s="684" t="str">
        <f t="shared" si="27"/>
        <v>#REF!</v>
      </c>
      <c r="Q746" s="702"/>
      <c r="R746" s="158"/>
      <c r="S746" s="158"/>
      <c r="T746" s="158"/>
      <c r="U746" s="158"/>
      <c r="V746" s="158"/>
      <c r="W746" s="158"/>
      <c r="X746" s="158"/>
      <c r="Y746" s="158"/>
      <c r="Z746" s="158"/>
      <c r="AA746" s="158"/>
      <c r="AB746" s="158"/>
      <c r="AC746" s="158"/>
      <c r="AD746" s="158"/>
      <c r="AE746" s="158"/>
      <c r="AF746" s="158"/>
    </row>
    <row r="747" ht="15.75" hidden="1" customHeight="1">
      <c r="A747" s="90"/>
      <c r="B747" s="2"/>
      <c r="C747" s="90"/>
      <c r="D747" s="185" t="s">
        <v>254</v>
      </c>
      <c r="E747" s="266"/>
      <c r="F747" s="187">
        <v>3.0</v>
      </c>
      <c r="G747" s="731" t="s">
        <v>251</v>
      </c>
      <c r="H747" s="187"/>
      <c r="I747" s="164"/>
      <c r="J747" s="266">
        <v>9.0</v>
      </c>
      <c r="K747" s="183">
        <v>9.0</v>
      </c>
      <c r="L747" s="183"/>
      <c r="M747" s="183"/>
      <c r="N747" s="183"/>
      <c r="O747" s="699" t="str">
        <f>I747/VLOOKUP(K747,Sheet1!$D$7:$N$16,G747+1,FALSE)</f>
        <v>#REF!</v>
      </c>
      <c r="P747" s="684" t="str">
        <f t="shared" si="27"/>
        <v>#REF!</v>
      </c>
      <c r="Q747" s="702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</row>
    <row r="748" ht="3.75" hidden="1" customHeight="1">
      <c r="A748" s="90"/>
      <c r="B748" s="2"/>
      <c r="C748" s="90"/>
      <c r="D748" s="138"/>
      <c r="E748" s="252"/>
      <c r="F748" s="102"/>
      <c r="G748" s="102"/>
      <c r="H748" s="102"/>
      <c r="I748" s="247"/>
      <c r="J748" s="156"/>
      <c r="K748" s="183"/>
      <c r="L748" s="183"/>
      <c r="M748" s="183"/>
      <c r="N748" s="183"/>
      <c r="O748" s="699" t="str">
        <f>I748/VLOOKUP(K748,Sheet1!$D$7:$N$16,G748+1,FALSE)</f>
        <v>#N/A</v>
      </c>
      <c r="P748" s="684" t="str">
        <f t="shared" si="27"/>
        <v>#REF!</v>
      </c>
      <c r="Q748" s="702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</row>
    <row r="749" ht="15.75" hidden="1" customHeight="1">
      <c r="A749" s="90"/>
      <c r="B749" s="2"/>
      <c r="C749" s="90"/>
      <c r="D749" s="185" t="s">
        <v>255</v>
      </c>
      <c r="E749" s="260"/>
      <c r="F749" s="187">
        <v>3.0</v>
      </c>
      <c r="G749" s="731" t="s">
        <v>251</v>
      </c>
      <c r="H749" s="187"/>
      <c r="I749" s="164"/>
      <c r="J749" s="266">
        <v>9.0</v>
      </c>
      <c r="K749" s="183">
        <v>9.0</v>
      </c>
      <c r="L749" s="183"/>
      <c r="M749" s="183"/>
      <c r="N749" s="183"/>
      <c r="O749" s="699" t="str">
        <f>I749/VLOOKUP(K749,Sheet1!$D$7:$N$16,G749+1,FALSE)</f>
        <v>#REF!</v>
      </c>
      <c r="P749" s="684" t="str">
        <f t="shared" si="27"/>
        <v>#REF!</v>
      </c>
      <c r="Q749" s="702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</row>
    <row r="750" ht="3.75" hidden="1" customHeight="1">
      <c r="A750" s="191"/>
      <c r="B750" s="719"/>
      <c r="C750" s="192"/>
      <c r="D750" s="138"/>
      <c r="E750" s="267"/>
      <c r="F750" s="194"/>
      <c r="G750" s="194"/>
      <c r="H750" s="194"/>
      <c r="I750" s="164"/>
      <c r="J750" s="267"/>
      <c r="K750" s="183"/>
      <c r="L750" s="183"/>
      <c r="M750" s="183"/>
      <c r="N750" s="183"/>
      <c r="O750" s="699" t="str">
        <f>I750/VLOOKUP(K750,Sheet1!$D$7:$N$16,G750+1,FALSE)</f>
        <v>#N/A</v>
      </c>
      <c r="P750" s="684" t="str">
        <f t="shared" si="27"/>
        <v>#REF!</v>
      </c>
      <c r="Q750" s="702"/>
      <c r="R750" s="158"/>
      <c r="S750" s="158"/>
      <c r="T750" s="158"/>
      <c r="U750" s="158"/>
      <c r="V750" s="158"/>
      <c r="W750" s="158"/>
      <c r="X750" s="158"/>
      <c r="Y750" s="158"/>
      <c r="Z750" s="158"/>
      <c r="AA750" s="158"/>
      <c r="AB750" s="158"/>
      <c r="AC750" s="158"/>
      <c r="AD750" s="158"/>
      <c r="AE750" s="158"/>
      <c r="AF750" s="158"/>
    </row>
    <row r="751" ht="15.75" hidden="1" customHeight="1">
      <c r="A751" s="90"/>
      <c r="B751" s="2"/>
      <c r="C751" s="90"/>
      <c r="D751" s="185" t="s">
        <v>256</v>
      </c>
      <c r="E751" s="266"/>
      <c r="F751" s="187">
        <v>3.0</v>
      </c>
      <c r="G751" s="187" t="s">
        <v>16</v>
      </c>
      <c r="H751" s="187"/>
      <c r="I751" s="164"/>
      <c r="J751" s="266">
        <v>9.0</v>
      </c>
      <c r="K751" s="183">
        <v>9.0</v>
      </c>
      <c r="L751" s="183"/>
      <c r="M751" s="183"/>
      <c r="N751" s="183"/>
      <c r="O751" s="699" t="str">
        <f>I751/VLOOKUP(K751,Sheet1!$D$7:$N$16,G751+1,FALSE)</f>
        <v>#VALUE!</v>
      </c>
      <c r="P751" s="684" t="str">
        <f t="shared" si="27"/>
        <v>#REF!</v>
      </c>
      <c r="Q751" s="702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</row>
    <row r="752" ht="3.75" hidden="1" customHeight="1">
      <c r="A752" s="90"/>
      <c r="B752" s="2"/>
      <c r="C752" s="90"/>
      <c r="D752" s="138"/>
      <c r="E752" s="252"/>
      <c r="F752" s="102"/>
      <c r="G752" s="102"/>
      <c r="H752" s="102"/>
      <c r="I752" s="247"/>
      <c r="J752" s="156"/>
      <c r="K752" s="183"/>
      <c r="L752" s="183"/>
      <c r="M752" s="183"/>
      <c r="N752" s="183"/>
      <c r="O752" s="699" t="str">
        <f>I752/VLOOKUP(K752,Sheet1!$D$7:$N$16,G752+1,FALSE)</f>
        <v>#N/A</v>
      </c>
      <c r="P752" s="684" t="str">
        <f t="shared" si="27"/>
        <v>#REF!</v>
      </c>
      <c r="Q752" s="702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</row>
    <row r="753" ht="15.75" hidden="1" customHeight="1">
      <c r="A753" s="90"/>
      <c r="B753" s="2"/>
      <c r="C753" s="90"/>
      <c r="D753" s="185"/>
      <c r="E753" s="266"/>
      <c r="F753" s="187"/>
      <c r="G753" s="187"/>
      <c r="H753" s="187"/>
      <c r="I753" s="164"/>
      <c r="J753" s="266"/>
      <c r="K753" s="183"/>
      <c r="L753" s="183"/>
      <c r="M753" s="183"/>
      <c r="N753" s="183"/>
      <c r="O753" s="699" t="str">
        <f>I753/VLOOKUP(K753,Sheet1!$D$7:$N$16,G753+1,FALSE)</f>
        <v>#N/A</v>
      </c>
      <c r="P753" s="684" t="str">
        <f t="shared" si="27"/>
        <v>#REF!</v>
      </c>
      <c r="Q753" s="697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</row>
    <row r="754" ht="3.75" hidden="1" customHeight="1">
      <c r="A754" s="90"/>
      <c r="B754" s="2"/>
      <c r="C754" s="90"/>
      <c r="D754" s="90"/>
      <c r="E754" s="156"/>
      <c r="F754" s="102"/>
      <c r="G754" s="102"/>
      <c r="H754" s="102"/>
      <c r="I754" s="102"/>
      <c r="J754" s="156"/>
      <c r="K754" s="720"/>
      <c r="L754" s="201"/>
      <c r="M754" s="201"/>
      <c r="N754" s="201"/>
      <c r="O754" s="699" t="str">
        <f>I754/VLOOKUP(K754,Sheet1!$D$7:$N$16,G754+1,FALSE)</f>
        <v>#N/A</v>
      </c>
      <c r="P754" s="684" t="str">
        <f t="shared" si="27"/>
        <v>#REF!</v>
      </c>
      <c r="Q754" s="720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</row>
    <row r="755" ht="30.75" hidden="1" customHeight="1">
      <c r="A755" s="90"/>
      <c r="B755" s="2"/>
      <c r="C755" s="90"/>
      <c r="D755" s="686" t="s">
        <v>257</v>
      </c>
      <c r="E755" s="687" t="s">
        <v>15</v>
      </c>
      <c r="F755" s="721" t="s">
        <v>16</v>
      </c>
      <c r="G755" s="722" t="s">
        <v>17</v>
      </c>
      <c r="H755" s="723"/>
      <c r="I755" s="724"/>
      <c r="J755" s="725" t="s">
        <v>241</v>
      </c>
      <c r="K755" s="691"/>
      <c r="L755" s="692"/>
      <c r="M755" s="692"/>
      <c r="N755" s="692"/>
      <c r="O755" s="699"/>
      <c r="P755" s="684"/>
      <c r="Q755" s="693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</row>
    <row r="756" ht="14.25" hidden="1" customHeight="1">
      <c r="A756" s="90"/>
      <c r="B756" s="2"/>
      <c r="C756" s="90"/>
      <c r="D756" s="257" t="s">
        <v>25</v>
      </c>
      <c r="E756" s="257" t="s">
        <v>26</v>
      </c>
      <c r="F756" s="680"/>
      <c r="G756" s="681"/>
      <c r="H756" s="723"/>
      <c r="I756" s="681"/>
      <c r="J756" s="725" t="s">
        <v>244</v>
      </c>
      <c r="K756" s="697"/>
      <c r="L756" s="692"/>
      <c r="M756" s="692"/>
      <c r="N756" s="692"/>
      <c r="O756" s="699"/>
      <c r="P756" s="684"/>
      <c r="Q756" s="698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</row>
    <row r="757" ht="3.75" hidden="1" customHeight="1">
      <c r="A757" s="191"/>
      <c r="B757" s="719"/>
      <c r="C757" s="192"/>
      <c r="D757" s="203"/>
      <c r="E757" s="203"/>
      <c r="F757" s="726"/>
      <c r="G757" s="726"/>
      <c r="H757" s="726"/>
      <c r="I757" s="727"/>
      <c r="J757" s="728"/>
      <c r="K757" s="192"/>
      <c r="L757" s="194"/>
      <c r="M757" s="194"/>
      <c r="N757" s="194"/>
      <c r="O757" s="699"/>
      <c r="P757" s="684" t="str">
        <f t="shared" ref="P757:P779" si="28">I757-#REF!</f>
        <v>#REF!</v>
      </c>
      <c r="Q757" s="192"/>
      <c r="R757" s="158"/>
      <c r="S757" s="158"/>
      <c r="T757" s="158"/>
      <c r="U757" s="158"/>
      <c r="V757" s="158"/>
      <c r="W757" s="158"/>
      <c r="X757" s="158"/>
      <c r="Y757" s="158"/>
      <c r="Z757" s="158"/>
      <c r="AA757" s="158"/>
      <c r="AB757" s="158"/>
      <c r="AC757" s="158"/>
      <c r="AD757" s="158"/>
      <c r="AE757" s="158"/>
      <c r="AF757" s="158"/>
    </row>
    <row r="758" ht="15.75" hidden="1" customHeight="1">
      <c r="A758" s="124"/>
      <c r="B758" s="2"/>
      <c r="C758" s="124"/>
      <c r="D758" s="185" t="s">
        <v>287</v>
      </c>
      <c r="E758" s="732"/>
      <c r="F758" s="187">
        <v>2.0</v>
      </c>
      <c r="G758" s="187">
        <v>3.0</v>
      </c>
      <c r="H758" s="187"/>
      <c r="I758" s="164" t="s">
        <v>289</v>
      </c>
      <c r="J758" s="266">
        <v>5.0</v>
      </c>
      <c r="K758" s="183">
        <v>5.0</v>
      </c>
      <c r="L758" s="183"/>
      <c r="M758" s="183"/>
      <c r="N758" s="183"/>
      <c r="O758" s="699" t="str">
        <f>I758/VLOOKUP(K758,Sheet1!$D$7:$N$16,G758+1,FALSE)</f>
        <v>#N/A</v>
      </c>
      <c r="P758" s="684" t="str">
        <f t="shared" si="28"/>
        <v>#REF!</v>
      </c>
      <c r="Q758" s="730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</row>
    <row r="759" ht="3.75" hidden="1" customHeight="1">
      <c r="A759" s="124"/>
      <c r="B759" s="2"/>
      <c r="C759" s="124"/>
      <c r="D759" s="138"/>
      <c r="E759" s="252"/>
      <c r="F759" s="102"/>
      <c r="G759" s="102"/>
      <c r="H759" s="102"/>
      <c r="I759" s="247"/>
      <c r="J759" s="156"/>
      <c r="K759" s="183"/>
      <c r="L759" s="183"/>
      <c r="M759" s="183"/>
      <c r="N759" s="183"/>
      <c r="O759" s="699" t="str">
        <f>I759/VLOOKUP(K759,Sheet1!$D$7:$N$16,G759+1,FALSE)</f>
        <v>#N/A</v>
      </c>
      <c r="P759" s="684" t="str">
        <f t="shared" si="28"/>
        <v>#REF!</v>
      </c>
      <c r="Q759" s="702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</row>
    <row r="760" ht="15.75" hidden="1" customHeight="1">
      <c r="A760" s="90"/>
      <c r="B760" s="2"/>
      <c r="C760" s="90"/>
      <c r="D760" s="185" t="s">
        <v>51</v>
      </c>
      <c r="E760" s="224"/>
      <c r="F760" s="187">
        <v>4.0</v>
      </c>
      <c r="G760" s="187">
        <v>4.0</v>
      </c>
      <c r="H760" s="187"/>
      <c r="I760" s="164">
        <v>125.0</v>
      </c>
      <c r="J760" s="266">
        <v>7.0</v>
      </c>
      <c r="K760" s="183">
        <v>7.0</v>
      </c>
      <c r="L760" s="183"/>
      <c r="M760" s="183"/>
      <c r="N760" s="183"/>
      <c r="O760" s="699">
        <f>I760/VLOOKUP(K760,Sheet1!$D$7:$N$16,G760+1,FALSE)</f>
        <v>153.3742331</v>
      </c>
      <c r="P760" s="684" t="str">
        <f t="shared" si="28"/>
        <v>#REF!</v>
      </c>
      <c r="Q760" s="702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</row>
    <row r="761" ht="3.75" hidden="1" customHeight="1">
      <c r="A761" s="90"/>
      <c r="B761" s="2"/>
      <c r="C761" s="90"/>
      <c r="D761" s="138"/>
      <c r="E761" s="252"/>
      <c r="F761" s="102"/>
      <c r="G761" s="102"/>
      <c r="H761" s="102"/>
      <c r="I761" s="247"/>
      <c r="J761" s="156"/>
      <c r="K761" s="183"/>
      <c r="L761" s="183"/>
      <c r="M761" s="183"/>
      <c r="N761" s="183"/>
      <c r="O761" s="699" t="str">
        <f>I761/VLOOKUP(K761,Sheet1!$D$7:$N$16,G761+1,FALSE)</f>
        <v>#N/A</v>
      </c>
      <c r="P761" s="684" t="str">
        <f t="shared" si="28"/>
        <v>#REF!</v>
      </c>
      <c r="Q761" s="702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</row>
    <row r="762" ht="15.75" hidden="1" customHeight="1">
      <c r="A762" s="90"/>
      <c r="B762" s="2"/>
      <c r="C762" s="90"/>
      <c r="D762" s="185"/>
      <c r="E762" s="264"/>
      <c r="F762" s="187"/>
      <c r="G762" s="187"/>
      <c r="H762" s="187"/>
      <c r="I762" s="164"/>
      <c r="J762" s="266"/>
      <c r="K762" s="183"/>
      <c r="L762" s="183"/>
      <c r="M762" s="183"/>
      <c r="N762" s="183"/>
      <c r="O762" s="699" t="str">
        <f>I762/VLOOKUP(K762,Sheet1!$D$7:$N$16,G762+1,FALSE)</f>
        <v>#N/A</v>
      </c>
      <c r="P762" s="684" t="str">
        <f t="shared" si="28"/>
        <v>#REF!</v>
      </c>
      <c r="Q762" s="702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</row>
    <row r="763" ht="3.75" hidden="1" customHeight="1">
      <c r="A763" s="90"/>
      <c r="B763" s="2"/>
      <c r="C763" s="90"/>
      <c r="D763" s="138"/>
      <c r="E763" s="252"/>
      <c r="F763" s="102"/>
      <c r="G763" s="102"/>
      <c r="H763" s="102"/>
      <c r="I763" s="247"/>
      <c r="J763" s="156"/>
      <c r="K763" s="183"/>
      <c r="L763" s="183"/>
      <c r="M763" s="183"/>
      <c r="N763" s="183"/>
      <c r="O763" s="699" t="str">
        <f>I763/VLOOKUP(K763,Sheet1!$D$7:$N$16,G763+1,FALSE)</f>
        <v>#N/A</v>
      </c>
      <c r="P763" s="684" t="str">
        <f t="shared" si="28"/>
        <v>#REF!</v>
      </c>
      <c r="Q763" s="702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</row>
    <row r="764" ht="15.75" hidden="1" customHeight="1">
      <c r="A764" s="90"/>
      <c r="B764" s="2"/>
      <c r="C764" s="90"/>
      <c r="D764" s="185" t="s">
        <v>290</v>
      </c>
      <c r="E764" s="260"/>
      <c r="F764" s="187">
        <v>3.0</v>
      </c>
      <c r="G764" s="731" t="s">
        <v>251</v>
      </c>
      <c r="H764" s="187"/>
      <c r="I764" s="164"/>
      <c r="J764" s="266">
        <v>8.0</v>
      </c>
      <c r="K764" s="183">
        <v>8.0</v>
      </c>
      <c r="L764" s="183"/>
      <c r="M764" s="183"/>
      <c r="N764" s="183"/>
      <c r="O764" s="699" t="str">
        <f>I764/VLOOKUP(K764,Sheet1!$D$7:$N$16,G764+1,FALSE)</f>
        <v>#REF!</v>
      </c>
      <c r="P764" s="684" t="str">
        <f t="shared" si="28"/>
        <v>#REF!</v>
      </c>
      <c r="Q764" s="702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</row>
    <row r="765" ht="3.75" hidden="1" customHeight="1">
      <c r="A765" s="90"/>
      <c r="B765" s="2"/>
      <c r="C765" s="90"/>
      <c r="D765" s="138"/>
      <c r="E765" s="252"/>
      <c r="F765" s="102"/>
      <c r="G765" s="102"/>
      <c r="H765" s="102"/>
      <c r="I765" s="247"/>
      <c r="J765" s="156"/>
      <c r="K765" s="183"/>
      <c r="L765" s="183"/>
      <c r="M765" s="183"/>
      <c r="N765" s="183"/>
      <c r="O765" s="699" t="str">
        <f>I765/VLOOKUP(K765,Sheet1!$D$7:$N$16,G765+1,FALSE)</f>
        <v>#N/A</v>
      </c>
      <c r="P765" s="684" t="str">
        <f t="shared" si="28"/>
        <v>#REF!</v>
      </c>
      <c r="Q765" s="702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</row>
    <row r="766" ht="15.75" hidden="1" customHeight="1">
      <c r="A766" s="90"/>
      <c r="B766" s="2"/>
      <c r="C766" s="90"/>
      <c r="D766" s="185"/>
      <c r="E766" s="260"/>
      <c r="F766" s="187"/>
      <c r="G766" s="187"/>
      <c r="H766" s="187"/>
      <c r="I766" s="164"/>
      <c r="J766" s="266"/>
      <c r="K766" s="183"/>
      <c r="L766" s="183"/>
      <c r="M766" s="183"/>
      <c r="N766" s="183"/>
      <c r="O766" s="699" t="str">
        <f>I766/VLOOKUP(K766,Sheet1!$D$7:$N$16,G766+1,FALSE)</f>
        <v>#N/A</v>
      </c>
      <c r="P766" s="684" t="str">
        <f t="shared" si="28"/>
        <v>#REF!</v>
      </c>
      <c r="Q766" s="702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</row>
    <row r="767" ht="3.75" hidden="1" customHeight="1">
      <c r="A767" s="90"/>
      <c r="B767" s="2"/>
      <c r="C767" s="90"/>
      <c r="D767" s="138"/>
      <c r="E767" s="252"/>
      <c r="F767" s="102"/>
      <c r="G767" s="102"/>
      <c r="H767" s="102"/>
      <c r="I767" s="247"/>
      <c r="J767" s="156"/>
      <c r="K767" s="183"/>
      <c r="L767" s="183"/>
      <c r="M767" s="183"/>
      <c r="N767" s="183"/>
      <c r="O767" s="699" t="str">
        <f>I767/VLOOKUP(K767,Sheet1!$D$7:$N$16,G767+1,FALSE)</f>
        <v>#N/A</v>
      </c>
      <c r="P767" s="684" t="str">
        <f t="shared" si="28"/>
        <v>#REF!</v>
      </c>
      <c r="Q767" s="702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</row>
    <row r="768" ht="15.75" hidden="1" customHeight="1">
      <c r="A768" s="90"/>
      <c r="B768" s="2"/>
      <c r="C768" s="90"/>
      <c r="D768" s="185" t="s">
        <v>277</v>
      </c>
      <c r="E768" s="260"/>
      <c r="F768" s="187">
        <v>3.0</v>
      </c>
      <c r="G768" s="731" t="s">
        <v>251</v>
      </c>
      <c r="H768" s="187"/>
      <c r="I768" s="164"/>
      <c r="J768" s="266">
        <v>8.0</v>
      </c>
      <c r="K768" s="183">
        <v>8.0</v>
      </c>
      <c r="L768" s="183"/>
      <c r="M768" s="183"/>
      <c r="N768" s="183"/>
      <c r="O768" s="699" t="str">
        <f>I768/VLOOKUP(K768,Sheet1!$D$7:$N$16,G768+1,FALSE)</f>
        <v>#REF!</v>
      </c>
      <c r="P768" s="684" t="str">
        <f t="shared" si="28"/>
        <v>#REF!</v>
      </c>
      <c r="Q768" s="702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</row>
    <row r="769" ht="3.75" hidden="1" customHeight="1">
      <c r="A769" s="90"/>
      <c r="B769" s="2"/>
      <c r="C769" s="90"/>
      <c r="D769" s="138"/>
      <c r="E769" s="252"/>
      <c r="F769" s="102"/>
      <c r="G769" s="102"/>
      <c r="H769" s="102"/>
      <c r="I769" s="247"/>
      <c r="J769" s="267"/>
      <c r="K769" s="183"/>
      <c r="L769" s="183"/>
      <c r="M769" s="183"/>
      <c r="N769" s="183"/>
      <c r="O769" s="699" t="str">
        <f>I769/VLOOKUP(K769,Sheet1!$D$7:$N$16,G769+1,FALSE)</f>
        <v>#N/A</v>
      </c>
      <c r="P769" s="684" t="str">
        <f t="shared" si="28"/>
        <v>#REF!</v>
      </c>
      <c r="Q769" s="702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</row>
    <row r="770" ht="20.25" hidden="1" customHeight="1">
      <c r="A770" s="90"/>
      <c r="B770" s="2"/>
      <c r="C770" s="90"/>
      <c r="D770" s="185" t="s">
        <v>54</v>
      </c>
      <c r="E770" s="264"/>
      <c r="F770" s="187">
        <v>3.0</v>
      </c>
      <c r="G770" s="731" t="s">
        <v>251</v>
      </c>
      <c r="H770" s="187"/>
      <c r="I770" s="164"/>
      <c r="J770" s="266">
        <v>8.0</v>
      </c>
      <c r="K770" s="183"/>
      <c r="L770" s="183"/>
      <c r="M770" s="183"/>
      <c r="N770" s="183"/>
      <c r="O770" s="699" t="str">
        <f>I770/VLOOKUP(K770,Sheet1!$D$7:$N$16,G770+1,FALSE)</f>
        <v>#REF!</v>
      </c>
      <c r="P770" s="684" t="str">
        <f t="shared" si="28"/>
        <v>#REF!</v>
      </c>
      <c r="Q770" s="702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</row>
    <row r="771" ht="3.75" hidden="1" customHeight="1">
      <c r="A771" s="191"/>
      <c r="B771" s="719"/>
      <c r="C771" s="192"/>
      <c r="D771" s="138"/>
      <c r="E771" s="252"/>
      <c r="F771" s="102"/>
      <c r="G771" s="102"/>
      <c r="H771" s="102"/>
      <c r="I771" s="247"/>
      <c r="J771" s="156"/>
      <c r="K771" s="183"/>
      <c r="L771" s="183"/>
      <c r="M771" s="183"/>
      <c r="N771" s="183"/>
      <c r="O771" s="699" t="str">
        <f>I771/VLOOKUP(K771,Sheet1!$D$7:$N$16,G771+1,FALSE)</f>
        <v>#N/A</v>
      </c>
      <c r="P771" s="684" t="str">
        <f t="shared" si="28"/>
        <v>#REF!</v>
      </c>
      <c r="Q771" s="702"/>
      <c r="R771" s="158"/>
      <c r="S771" s="158"/>
      <c r="T771" s="158"/>
      <c r="U771" s="158"/>
      <c r="V771" s="158"/>
      <c r="W771" s="158"/>
      <c r="X771" s="158"/>
      <c r="Y771" s="158"/>
      <c r="Z771" s="158"/>
      <c r="AA771" s="158"/>
      <c r="AB771" s="158"/>
      <c r="AC771" s="158"/>
      <c r="AD771" s="158"/>
      <c r="AE771" s="158"/>
      <c r="AF771" s="158"/>
    </row>
    <row r="772" ht="15.75" hidden="1" customHeight="1">
      <c r="A772" s="90"/>
      <c r="B772" s="2"/>
      <c r="C772" s="90"/>
      <c r="D772" s="185" t="s">
        <v>278</v>
      </c>
      <c r="E772" s="260"/>
      <c r="F772" s="187">
        <v>3.0</v>
      </c>
      <c r="G772" s="731" t="s">
        <v>251</v>
      </c>
      <c r="H772" s="187"/>
      <c r="I772" s="164"/>
      <c r="J772" s="266">
        <v>8.0</v>
      </c>
      <c r="K772" s="183"/>
      <c r="L772" s="183"/>
      <c r="M772" s="183"/>
      <c r="N772" s="183"/>
      <c r="O772" s="699" t="str">
        <f>I772/VLOOKUP(K772,Sheet1!$D$7:$N$16,G772+1,FALSE)</f>
        <v>#REF!</v>
      </c>
      <c r="P772" s="684" t="str">
        <f t="shared" si="28"/>
        <v>#REF!</v>
      </c>
      <c r="Q772" s="702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</row>
    <row r="773" ht="3.75" hidden="1" customHeight="1">
      <c r="A773" s="90"/>
      <c r="B773" s="2"/>
      <c r="C773" s="90"/>
      <c r="D773" s="138"/>
      <c r="E773" s="252"/>
      <c r="F773" s="102"/>
      <c r="G773" s="102"/>
      <c r="H773" s="102"/>
      <c r="I773" s="247"/>
      <c r="J773" s="156"/>
      <c r="K773" s="183"/>
      <c r="L773" s="183"/>
      <c r="M773" s="183"/>
      <c r="N773" s="183"/>
      <c r="O773" s="699" t="str">
        <f>I773/VLOOKUP(K773,Sheet1!$D$7:$N$16,G773+1,FALSE)</f>
        <v>#N/A</v>
      </c>
      <c r="P773" s="684" t="str">
        <f t="shared" si="28"/>
        <v>#REF!</v>
      </c>
      <c r="Q773" s="702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</row>
    <row r="774" ht="15.75" hidden="1" customHeight="1">
      <c r="A774" s="90"/>
      <c r="B774" s="2"/>
      <c r="C774" s="90"/>
      <c r="D774" s="185"/>
      <c r="E774" s="266"/>
      <c r="F774" s="187"/>
      <c r="G774" s="187"/>
      <c r="H774" s="187"/>
      <c r="I774" s="164"/>
      <c r="J774" s="266"/>
      <c r="K774" s="183"/>
      <c r="L774" s="183"/>
      <c r="M774" s="183"/>
      <c r="N774" s="183"/>
      <c r="O774" s="699" t="str">
        <f>I774/VLOOKUP(K774,Sheet1!$D$7:$N$16,G774+1,FALSE)</f>
        <v>#N/A</v>
      </c>
      <c r="P774" s="684" t="str">
        <f t="shared" si="28"/>
        <v>#REF!</v>
      </c>
      <c r="Q774" s="702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</row>
    <row r="775" ht="3.75" hidden="1" customHeight="1">
      <c r="A775" s="191"/>
      <c r="B775" s="719"/>
      <c r="C775" s="192"/>
      <c r="D775" s="138"/>
      <c r="E775" s="267"/>
      <c r="F775" s="194"/>
      <c r="G775" s="194"/>
      <c r="H775" s="194"/>
      <c r="I775" s="164"/>
      <c r="J775" s="267"/>
      <c r="K775" s="183"/>
      <c r="L775" s="183"/>
      <c r="M775" s="183"/>
      <c r="N775" s="183"/>
      <c r="O775" s="699" t="str">
        <f>I775/VLOOKUP(K775,Sheet1!$D$7:$N$16,G775+1,FALSE)</f>
        <v>#N/A</v>
      </c>
      <c r="P775" s="684" t="str">
        <f t="shared" si="28"/>
        <v>#REF!</v>
      </c>
      <c r="Q775" s="702"/>
      <c r="R775" s="158"/>
      <c r="S775" s="158"/>
      <c r="T775" s="158"/>
      <c r="U775" s="158"/>
      <c r="V775" s="158"/>
      <c r="W775" s="158"/>
      <c r="X775" s="158"/>
      <c r="Y775" s="158"/>
      <c r="Z775" s="158"/>
      <c r="AA775" s="158"/>
      <c r="AB775" s="158"/>
      <c r="AC775" s="158"/>
      <c r="AD775" s="158"/>
      <c r="AE775" s="158"/>
      <c r="AF775" s="158"/>
    </row>
    <row r="776" ht="15.75" hidden="1" customHeight="1">
      <c r="A776" s="90"/>
      <c r="B776" s="2"/>
      <c r="C776" s="90"/>
      <c r="D776" s="185"/>
      <c r="E776" s="266"/>
      <c r="F776" s="187"/>
      <c r="G776" s="187"/>
      <c r="H776" s="187"/>
      <c r="I776" s="164"/>
      <c r="J776" s="266"/>
      <c r="K776" s="183"/>
      <c r="L776" s="183"/>
      <c r="M776" s="183"/>
      <c r="N776" s="183"/>
      <c r="O776" s="699" t="str">
        <f>I776/VLOOKUP(K776,Sheet1!$D$7:$N$16,G776+1,FALSE)</f>
        <v>#N/A</v>
      </c>
      <c r="P776" s="684" t="str">
        <f t="shared" si="28"/>
        <v>#REF!</v>
      </c>
      <c r="Q776" s="702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</row>
    <row r="777" ht="3.75" hidden="1" customHeight="1">
      <c r="A777" s="90"/>
      <c r="B777" s="2"/>
      <c r="C777" s="90"/>
      <c r="D777" s="252"/>
      <c r="E777" s="252"/>
      <c r="F777" s="102"/>
      <c r="G777" s="102"/>
      <c r="H777" s="102"/>
      <c r="I777" s="247"/>
      <c r="J777" s="156"/>
      <c r="K777" s="733"/>
      <c r="L777" s="734"/>
      <c r="M777" s="734"/>
      <c r="N777" s="734"/>
      <c r="O777" s="699" t="str">
        <f>I777/VLOOKUP(K777,Sheet1!$D$7:$N$16,G777+1,FALSE)</f>
        <v>#N/A</v>
      </c>
      <c r="P777" s="684" t="str">
        <f t="shared" si="28"/>
        <v>#REF!</v>
      </c>
      <c r="Q777" s="702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</row>
    <row r="778" ht="0.75" hidden="1" customHeight="1">
      <c r="A778" s="90"/>
      <c r="B778" s="2"/>
      <c r="C778" s="90"/>
      <c r="D778" s="274"/>
      <c r="E778" s="266"/>
      <c r="F778" s="187"/>
      <c r="G778" s="187"/>
      <c r="H778" s="187"/>
      <c r="I778" s="164"/>
      <c r="J778" s="266"/>
      <c r="K778" s="733"/>
      <c r="L778" s="734"/>
      <c r="M778" s="734"/>
      <c r="N778" s="734"/>
      <c r="O778" s="699" t="str">
        <f>I778/VLOOKUP(K778,Sheet1!$D$7:$N$16,G778+1,FALSE)</f>
        <v>#N/A</v>
      </c>
      <c r="P778" s="684" t="str">
        <f t="shared" si="28"/>
        <v>#REF!</v>
      </c>
      <c r="Q778" s="697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</row>
    <row r="779" ht="3.75" hidden="1" customHeight="1">
      <c r="A779" s="90"/>
      <c r="B779" s="2"/>
      <c r="C779" s="90"/>
      <c r="D779" s="90"/>
      <c r="E779" s="156"/>
      <c r="F779" s="102"/>
      <c r="G779" s="102"/>
      <c r="H779" s="102"/>
      <c r="I779" s="102"/>
      <c r="J779" s="156"/>
      <c r="K779" s="720"/>
      <c r="L779" s="201"/>
      <c r="M779" s="201"/>
      <c r="N779" s="201"/>
      <c r="O779" s="699"/>
      <c r="P779" s="684" t="str">
        <f t="shared" si="28"/>
        <v>#REF!</v>
      </c>
      <c r="Q779" s="720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</row>
    <row r="780" ht="30.0" hidden="1" customHeight="1">
      <c r="A780" s="90"/>
      <c r="B780" s="2"/>
      <c r="C780" s="90"/>
      <c r="D780" s="686" t="s">
        <v>281</v>
      </c>
      <c r="E780" s="687" t="s">
        <v>15</v>
      </c>
      <c r="F780" s="721" t="s">
        <v>16</v>
      </c>
      <c r="G780" s="722" t="s">
        <v>17</v>
      </c>
      <c r="H780" s="723"/>
      <c r="I780" s="724"/>
      <c r="J780" s="725" t="s">
        <v>241</v>
      </c>
      <c r="K780" s="691"/>
      <c r="L780" s="692"/>
      <c r="M780" s="692"/>
      <c r="N780" s="692"/>
      <c r="O780" s="699"/>
      <c r="P780" s="684"/>
      <c r="Q780" s="693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</row>
    <row r="781" ht="14.25" hidden="1" customHeight="1">
      <c r="A781" s="90"/>
      <c r="B781" s="2"/>
      <c r="C781" s="90"/>
      <c r="D781" s="257" t="s">
        <v>25</v>
      </c>
      <c r="E781" s="257" t="s">
        <v>26</v>
      </c>
      <c r="F781" s="680"/>
      <c r="G781" s="681"/>
      <c r="H781" s="723"/>
      <c r="I781" s="681"/>
      <c r="J781" s="725" t="s">
        <v>244</v>
      </c>
      <c r="K781" s="697"/>
      <c r="L781" s="692"/>
      <c r="M781" s="692"/>
      <c r="N781" s="692"/>
      <c r="O781" s="699"/>
      <c r="P781" s="684"/>
      <c r="Q781" s="698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</row>
    <row r="782" ht="3.75" hidden="1" customHeight="1">
      <c r="A782" s="191"/>
      <c r="B782" s="719"/>
      <c r="C782" s="192"/>
      <c r="D782" s="203"/>
      <c r="E782" s="203"/>
      <c r="F782" s="726"/>
      <c r="G782" s="726"/>
      <c r="H782" s="726"/>
      <c r="I782" s="727"/>
      <c r="J782" s="728"/>
      <c r="K782" s="192"/>
      <c r="L782" s="194"/>
      <c r="M782" s="194"/>
      <c r="N782" s="194"/>
      <c r="O782" s="699" t="str">
        <f>I782/VLOOKUP(K782,Sheet1!$D$7:$N$16,G782+1,FALSE)</f>
        <v>#N/A</v>
      </c>
      <c r="P782" s="684" t="str">
        <f t="shared" ref="P782:P802" si="29">I782-#REF!</f>
        <v>#REF!</v>
      </c>
      <c r="Q782" s="192"/>
      <c r="R782" s="158"/>
      <c r="S782" s="158"/>
      <c r="T782" s="158"/>
      <c r="U782" s="158"/>
      <c r="V782" s="158"/>
      <c r="W782" s="158"/>
      <c r="X782" s="158"/>
      <c r="Y782" s="158"/>
      <c r="Z782" s="158"/>
      <c r="AA782" s="158"/>
      <c r="AB782" s="158"/>
      <c r="AC782" s="158"/>
      <c r="AD782" s="158"/>
      <c r="AE782" s="158"/>
      <c r="AF782" s="158"/>
    </row>
    <row r="783" ht="15.75" hidden="1" customHeight="1">
      <c r="A783" s="124"/>
      <c r="B783" s="2"/>
      <c r="C783" s="124"/>
      <c r="D783" s="185" t="s">
        <v>6</v>
      </c>
      <c r="E783" s="260"/>
      <c r="F783" s="187">
        <v>1.0</v>
      </c>
      <c r="G783" s="187">
        <v>4.0</v>
      </c>
      <c r="H783" s="187"/>
      <c r="I783" s="164">
        <v>200.0</v>
      </c>
      <c r="J783" s="266">
        <v>7.0</v>
      </c>
      <c r="K783" s="164">
        <v>7.5</v>
      </c>
      <c r="L783" s="164"/>
      <c r="M783" s="164"/>
      <c r="N783" s="164"/>
      <c r="O783" s="699">
        <f>I783/VLOOKUP(K783,Sheet1!$D$7:$N$16,G783+1,FALSE)</f>
        <v>241.6918429</v>
      </c>
      <c r="P783" s="684" t="str">
        <f t="shared" si="29"/>
        <v>#REF!</v>
      </c>
      <c r="Q783" s="700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</row>
    <row r="784" ht="3.75" hidden="1" customHeight="1">
      <c r="A784" s="124"/>
      <c r="B784" s="2"/>
      <c r="C784" s="124"/>
      <c r="D784" s="138"/>
      <c r="E784" s="252"/>
      <c r="F784" s="140"/>
      <c r="G784" s="140"/>
      <c r="H784" s="140"/>
      <c r="I784" s="701"/>
      <c r="J784" s="141"/>
      <c r="K784" s="164"/>
      <c r="L784" s="164"/>
      <c r="M784" s="164"/>
      <c r="N784" s="164"/>
      <c r="O784" s="699" t="str">
        <f>I784/VLOOKUP(K784,Sheet1!$D$7:$N$16,G784+1,FALSE)</f>
        <v>#N/A</v>
      </c>
      <c r="P784" s="684" t="str">
        <f t="shared" si="29"/>
        <v>#REF!</v>
      </c>
      <c r="Q784" s="702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</row>
    <row r="785" ht="15.0" hidden="1" customHeight="1">
      <c r="A785" s="124"/>
      <c r="B785" s="2"/>
      <c r="C785" s="124"/>
      <c r="D785" s="704" t="s">
        <v>6</v>
      </c>
      <c r="E785" s="260"/>
      <c r="F785" s="187">
        <v>3.0</v>
      </c>
      <c r="G785" s="187">
        <v>4.0</v>
      </c>
      <c r="H785" s="187"/>
      <c r="I785" s="164">
        <v>175.0</v>
      </c>
      <c r="J785" s="706">
        <v>-0.12</v>
      </c>
      <c r="K785" s="164">
        <v>7.0</v>
      </c>
      <c r="L785" s="164"/>
      <c r="M785" s="164"/>
      <c r="N785" s="164"/>
      <c r="O785" s="699">
        <f>I785/VLOOKUP(K785,Sheet1!$D$7:$N$16,G785+1,FALSE)</f>
        <v>214.7239264</v>
      </c>
      <c r="P785" s="684" t="str">
        <f t="shared" si="29"/>
        <v>#REF!</v>
      </c>
      <c r="Q785" s="702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</row>
    <row r="786" ht="3.75" hidden="1" customHeight="1">
      <c r="A786" s="124"/>
      <c r="B786" s="2"/>
      <c r="C786" s="124"/>
      <c r="D786" s="138"/>
      <c r="E786" s="252"/>
      <c r="F786" s="102"/>
      <c r="G786" s="102"/>
      <c r="H786" s="102"/>
      <c r="I786" s="247"/>
      <c r="J786" s="156"/>
      <c r="K786" s="164"/>
      <c r="L786" s="164"/>
      <c r="M786" s="164"/>
      <c r="N786" s="164"/>
      <c r="O786" s="699" t="str">
        <f>I786/VLOOKUP(K786,Sheet1!$D$7:$N$16,G786+1,FALSE)</f>
        <v>#N/A</v>
      </c>
      <c r="P786" s="684" t="str">
        <f t="shared" si="29"/>
        <v>#REF!</v>
      </c>
      <c r="Q786" s="702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</row>
    <row r="787" ht="15.75" hidden="1" customHeight="1">
      <c r="A787" s="124"/>
      <c r="B787" s="2"/>
      <c r="C787" s="124"/>
      <c r="D787" s="704"/>
      <c r="E787" s="260"/>
      <c r="F787" s="187"/>
      <c r="G787" s="187"/>
      <c r="H787" s="187"/>
      <c r="I787" s="164"/>
      <c r="J787" s="706"/>
      <c r="K787" s="164"/>
      <c r="L787" s="164"/>
      <c r="M787" s="164"/>
      <c r="N787" s="164"/>
      <c r="O787" s="699" t="str">
        <f>I787/VLOOKUP(K787,Sheet1!$D$7:$N$16,G787+1,FALSE)</f>
        <v>#N/A</v>
      </c>
      <c r="P787" s="684" t="str">
        <f t="shared" si="29"/>
        <v>#REF!</v>
      </c>
      <c r="Q787" s="702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</row>
    <row r="788" ht="3.75" hidden="1" customHeight="1">
      <c r="A788" s="124"/>
      <c r="B788" s="2"/>
      <c r="C788" s="124"/>
      <c r="D788" s="138"/>
      <c r="E788" s="252"/>
      <c r="F788" s="102"/>
      <c r="G788" s="102"/>
      <c r="H788" s="102"/>
      <c r="I788" s="247"/>
      <c r="J788" s="156"/>
      <c r="K788" s="164"/>
      <c r="L788" s="164"/>
      <c r="M788" s="164"/>
      <c r="N788" s="164"/>
      <c r="O788" s="699" t="str">
        <f>I788/VLOOKUP(K788,Sheet1!$D$7:$N$16,G788+1,FALSE)</f>
        <v>#N/A</v>
      </c>
      <c r="P788" s="684" t="str">
        <f t="shared" si="29"/>
        <v>#REF!</v>
      </c>
      <c r="Q788" s="702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</row>
    <row r="789" ht="15.75" hidden="1" customHeight="1">
      <c r="A789" s="124"/>
      <c r="B789" s="2"/>
      <c r="C789" s="124"/>
      <c r="D789" s="185" t="s">
        <v>51</v>
      </c>
      <c r="E789" s="260"/>
      <c r="F789" s="187">
        <v>1.0</v>
      </c>
      <c r="G789" s="187">
        <v>2.0</v>
      </c>
      <c r="H789" s="187"/>
      <c r="I789" s="164">
        <v>150.0</v>
      </c>
      <c r="J789" s="266">
        <v>7.0</v>
      </c>
      <c r="K789" s="164">
        <v>9.5</v>
      </c>
      <c r="L789" s="164"/>
      <c r="M789" s="164"/>
      <c r="N789" s="164"/>
      <c r="O789" s="699">
        <f>I789/VLOOKUP(K789,Sheet1!$D$7:$N$16,G789+1,FALSE)</f>
        <v>158.7301587</v>
      </c>
      <c r="P789" s="684" t="str">
        <f t="shared" si="29"/>
        <v>#REF!</v>
      </c>
      <c r="Q789" s="702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</row>
    <row r="790" ht="3.75" hidden="1" customHeight="1">
      <c r="A790" s="90"/>
      <c r="B790" s="2"/>
      <c r="C790" s="90"/>
      <c r="D790" s="138"/>
      <c r="E790" s="252"/>
      <c r="F790" s="102"/>
      <c r="G790" s="102"/>
      <c r="H790" s="102"/>
      <c r="I790" s="247"/>
      <c r="J790" s="156"/>
      <c r="K790" s="164"/>
      <c r="L790" s="164"/>
      <c r="M790" s="164"/>
      <c r="N790" s="164"/>
      <c r="O790" s="699" t="str">
        <f>I790/VLOOKUP(K790,Sheet1!$D$7:$N$16,G790+1,FALSE)</f>
        <v>#N/A</v>
      </c>
      <c r="P790" s="684" t="str">
        <f t="shared" si="29"/>
        <v>#REF!</v>
      </c>
      <c r="Q790" s="702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</row>
    <row r="791" ht="15.75" hidden="1" customHeight="1">
      <c r="A791" s="90"/>
      <c r="B791" s="2"/>
      <c r="C791" s="90"/>
      <c r="D791" s="185" t="s">
        <v>51</v>
      </c>
      <c r="E791" s="260"/>
      <c r="F791" s="187">
        <v>4.0</v>
      </c>
      <c r="G791" s="187">
        <v>4.0</v>
      </c>
      <c r="H791" s="187"/>
      <c r="I791" s="164">
        <v>132.5</v>
      </c>
      <c r="J791" s="706">
        <v>-0.12</v>
      </c>
      <c r="K791" s="164">
        <v>7.0</v>
      </c>
      <c r="L791" s="164"/>
      <c r="M791" s="164"/>
      <c r="N791" s="164"/>
      <c r="O791" s="699">
        <f>I791/VLOOKUP(K791,Sheet1!$D$7:$N$16,G791+1,FALSE)</f>
        <v>162.5766871</v>
      </c>
      <c r="P791" s="684" t="str">
        <f t="shared" si="29"/>
        <v>#REF!</v>
      </c>
      <c r="Q791" s="702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</row>
    <row r="792" ht="3.75" hidden="1" customHeight="1">
      <c r="A792" s="191"/>
      <c r="B792" s="719"/>
      <c r="C792" s="192"/>
      <c r="D792" s="138"/>
      <c r="E792" s="252"/>
      <c r="F792" s="102"/>
      <c r="G792" s="102"/>
      <c r="H792" s="102"/>
      <c r="I792" s="247"/>
      <c r="J792" s="156"/>
      <c r="K792" s="164"/>
      <c r="L792" s="164"/>
      <c r="M792" s="164"/>
      <c r="N792" s="164"/>
      <c r="O792" s="699" t="str">
        <f>I792/VLOOKUP(K792,Sheet1!$D$7:$N$16,G792+1,FALSE)</f>
        <v>#N/A</v>
      </c>
      <c r="P792" s="684" t="str">
        <f t="shared" si="29"/>
        <v>#REF!</v>
      </c>
      <c r="Q792" s="702"/>
      <c r="R792" s="158"/>
      <c r="S792" s="158"/>
      <c r="T792" s="158"/>
      <c r="U792" s="158"/>
      <c r="V792" s="158"/>
      <c r="W792" s="158"/>
      <c r="X792" s="158"/>
      <c r="Y792" s="158"/>
      <c r="Z792" s="158"/>
      <c r="AA792" s="158"/>
      <c r="AB792" s="158"/>
      <c r="AC792" s="158"/>
      <c r="AD792" s="158"/>
      <c r="AE792" s="158"/>
      <c r="AF792" s="158"/>
    </row>
    <row r="793" ht="15.75" hidden="1" customHeight="1">
      <c r="A793" s="90"/>
      <c r="B793" s="2"/>
      <c r="C793" s="90"/>
      <c r="D793" s="185" t="s">
        <v>259</v>
      </c>
      <c r="E793" s="260"/>
      <c r="F793" s="187">
        <v>3.0</v>
      </c>
      <c r="G793" s="731" t="s">
        <v>260</v>
      </c>
      <c r="H793" s="187"/>
      <c r="I793" s="164"/>
      <c r="J793" s="266">
        <v>7.0</v>
      </c>
      <c r="K793" s="164">
        <v>7.0</v>
      </c>
      <c r="L793" s="164"/>
      <c r="M793" s="164"/>
      <c r="N793" s="164"/>
      <c r="O793" s="699" t="str">
        <f>I793/VLOOKUP(K793,Sheet1!$D$7:$N$16,G793+1,FALSE)</f>
        <v>#REF!</v>
      </c>
      <c r="P793" s="684" t="str">
        <f t="shared" si="29"/>
        <v>#REF!</v>
      </c>
      <c r="Q793" s="702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</row>
    <row r="794" ht="3.75" hidden="1" customHeight="1">
      <c r="A794" s="90"/>
      <c r="B794" s="2"/>
      <c r="C794" s="90"/>
      <c r="D794" s="138"/>
      <c r="E794" s="252"/>
      <c r="F794" s="102"/>
      <c r="G794" s="102"/>
      <c r="H794" s="102"/>
      <c r="I794" s="247"/>
      <c r="J794" s="156"/>
      <c r="K794" s="164"/>
      <c r="L794" s="164"/>
      <c r="M794" s="164"/>
      <c r="N794" s="164"/>
      <c r="O794" s="699" t="str">
        <f>I794/VLOOKUP(K794,Sheet1!$D$7:$N$16,G794+1,FALSE)</f>
        <v>#N/A</v>
      </c>
      <c r="P794" s="684" t="str">
        <f t="shared" si="29"/>
        <v>#REF!</v>
      </c>
      <c r="Q794" s="702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</row>
    <row r="795" ht="15.75" hidden="1" customHeight="1">
      <c r="A795" s="90"/>
      <c r="B795" s="2"/>
      <c r="C795" s="90"/>
      <c r="D795" s="185" t="s">
        <v>261</v>
      </c>
      <c r="E795" s="260"/>
      <c r="F795" s="187">
        <v>3.0</v>
      </c>
      <c r="G795" s="731" t="s">
        <v>260</v>
      </c>
      <c r="H795" s="187"/>
      <c r="I795" s="164"/>
      <c r="J795" s="266">
        <v>8.0</v>
      </c>
      <c r="K795" s="164"/>
      <c r="L795" s="164"/>
      <c r="M795" s="164"/>
      <c r="N795" s="164"/>
      <c r="O795" s="699" t="str">
        <f>I795/VLOOKUP(K795,Sheet1!$D$7:$N$16,G795+1,FALSE)</f>
        <v>#REF!</v>
      </c>
      <c r="P795" s="684" t="str">
        <f t="shared" si="29"/>
        <v>#REF!</v>
      </c>
      <c r="Q795" s="702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</row>
    <row r="796" ht="3.75" hidden="1" customHeight="1">
      <c r="A796" s="90"/>
      <c r="B796" s="2"/>
      <c r="C796" s="90"/>
      <c r="D796" s="138"/>
      <c r="E796" s="252"/>
      <c r="F796" s="102"/>
      <c r="G796" s="102"/>
      <c r="H796" s="102"/>
      <c r="I796" s="247"/>
      <c r="J796" s="156"/>
      <c r="K796" s="164"/>
      <c r="L796" s="164"/>
      <c r="M796" s="164"/>
      <c r="N796" s="164"/>
      <c r="O796" s="699" t="str">
        <f>I796/VLOOKUP(K796,Sheet1!$D$7:$N$16,G796+1,FALSE)</f>
        <v>#N/A</v>
      </c>
      <c r="P796" s="684" t="str">
        <f t="shared" si="29"/>
        <v>#REF!</v>
      </c>
      <c r="Q796" s="702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</row>
    <row r="797" ht="15.75" hidden="1" customHeight="1">
      <c r="A797" s="90"/>
      <c r="B797" s="2"/>
      <c r="C797" s="90"/>
      <c r="D797" s="185" t="s">
        <v>262</v>
      </c>
      <c r="E797" s="260"/>
      <c r="F797" s="187">
        <v>3.0</v>
      </c>
      <c r="G797" s="731" t="s">
        <v>260</v>
      </c>
      <c r="H797" s="187"/>
      <c r="I797" s="247"/>
      <c r="J797" s="735">
        <v>8.0</v>
      </c>
      <c r="K797" s="164"/>
      <c r="L797" s="164"/>
      <c r="M797" s="164"/>
      <c r="N797" s="164"/>
      <c r="O797" s="699" t="str">
        <f>I797/VLOOKUP(K797,Sheet1!$D$7:$N$16,G797+1,FALSE)</f>
        <v>#REF!</v>
      </c>
      <c r="P797" s="684" t="str">
        <f t="shared" si="29"/>
        <v>#REF!</v>
      </c>
      <c r="Q797" s="702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</row>
    <row r="798" ht="3.75" hidden="1" customHeight="1">
      <c r="A798" s="90"/>
      <c r="B798" s="2"/>
      <c r="C798" s="90"/>
      <c r="D798" s="138"/>
      <c r="E798" s="252"/>
      <c r="F798" s="102"/>
      <c r="G798" s="102"/>
      <c r="H798" s="102"/>
      <c r="I798" s="247"/>
      <c r="J798" s="156"/>
      <c r="K798" s="164"/>
      <c r="L798" s="164"/>
      <c r="M798" s="164"/>
      <c r="N798" s="164"/>
      <c r="O798" s="699" t="str">
        <f>I798/VLOOKUP(K798,Sheet1!$D$7:$N$16,G798+1,FALSE)</f>
        <v>#N/A</v>
      </c>
      <c r="P798" s="684" t="str">
        <f t="shared" si="29"/>
        <v>#REF!</v>
      </c>
      <c r="Q798" s="702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</row>
    <row r="799" ht="15.75" hidden="1" customHeight="1">
      <c r="A799" s="90"/>
      <c r="B799" s="2"/>
      <c r="C799" s="90"/>
      <c r="D799" s="185" t="s">
        <v>263</v>
      </c>
      <c r="E799" s="260"/>
      <c r="F799" s="187">
        <v>2.0</v>
      </c>
      <c r="G799" s="187">
        <v>15.0</v>
      </c>
      <c r="H799" s="187"/>
      <c r="I799" s="247"/>
      <c r="J799" s="266">
        <v>8.0</v>
      </c>
      <c r="K799" s="164"/>
      <c r="L799" s="164"/>
      <c r="M799" s="164"/>
      <c r="N799" s="164"/>
      <c r="O799" s="699" t="str">
        <f>I799/VLOOKUP(K799,Sheet1!$D$7:$N$16,G799+1,FALSE)</f>
        <v>#REF!</v>
      </c>
      <c r="P799" s="684" t="str">
        <f t="shared" si="29"/>
        <v>#REF!</v>
      </c>
      <c r="Q799" s="702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</row>
    <row r="800" ht="3.75" hidden="1" customHeight="1">
      <c r="A800" s="90"/>
      <c r="B800" s="2"/>
      <c r="C800" s="90"/>
      <c r="D800" s="138"/>
      <c r="E800" s="252"/>
      <c r="F800" s="102"/>
      <c r="G800" s="102"/>
      <c r="H800" s="102"/>
      <c r="I800" s="247"/>
      <c r="J800" s="156"/>
      <c r="K800" s="164"/>
      <c r="L800" s="164"/>
      <c r="M800" s="164"/>
      <c r="N800" s="164"/>
      <c r="O800" s="699" t="str">
        <f>I800/VLOOKUP(K800,Sheet1!$D$7:$N$16,G800+1,FALSE)</f>
        <v>#N/A</v>
      </c>
      <c r="P800" s="684" t="str">
        <f t="shared" si="29"/>
        <v>#REF!</v>
      </c>
      <c r="Q800" s="702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</row>
    <row r="801" ht="15.75" hidden="1" customHeight="1">
      <c r="A801" s="90"/>
      <c r="B801" s="2"/>
      <c r="C801" s="90"/>
      <c r="D801" s="185"/>
      <c r="E801" s="266"/>
      <c r="F801" s="187"/>
      <c r="G801" s="187"/>
      <c r="H801" s="187"/>
      <c r="I801" s="164"/>
      <c r="J801" s="266"/>
      <c r="K801" s="164"/>
      <c r="L801" s="164"/>
      <c r="M801" s="164"/>
      <c r="N801" s="164"/>
      <c r="O801" s="699" t="str">
        <f>I801/VLOOKUP(K801,Sheet1!$D$7:$N$16,G801+1,FALSE)</f>
        <v>#N/A</v>
      </c>
      <c r="P801" s="684" t="str">
        <f t="shared" si="29"/>
        <v>#REF!</v>
      </c>
      <c r="Q801" s="697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</row>
    <row r="802" ht="3.75" hidden="1" customHeight="1">
      <c r="A802" s="124"/>
      <c r="B802" s="2"/>
      <c r="C802" s="124"/>
      <c r="D802" s="252"/>
      <c r="E802" s="252"/>
      <c r="F802" s="102"/>
      <c r="G802" s="102"/>
      <c r="H802" s="102"/>
      <c r="I802" s="102"/>
      <c r="J802" s="156"/>
      <c r="K802" s="259"/>
      <c r="L802" s="201"/>
      <c r="M802" s="201"/>
      <c r="N802" s="201"/>
      <c r="O802" s="699" t="str">
        <f>I802/VLOOKUP(K802,Sheet1!$D$7:$N$16,G802+1,FALSE)</f>
        <v>#N/A</v>
      </c>
      <c r="P802" s="684" t="str">
        <f t="shared" si="29"/>
        <v>#REF!</v>
      </c>
      <c r="Q802" s="259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</row>
    <row r="803" ht="30.75" hidden="1" customHeight="1">
      <c r="A803" s="90"/>
      <c r="B803" s="2"/>
      <c r="C803" s="90"/>
      <c r="D803" s="686" t="s">
        <v>279</v>
      </c>
      <c r="E803" s="687" t="s">
        <v>15</v>
      </c>
      <c r="F803" s="721" t="s">
        <v>16</v>
      </c>
      <c r="G803" s="722" t="s">
        <v>17</v>
      </c>
      <c r="H803" s="723"/>
      <c r="I803" s="724"/>
      <c r="J803" s="725" t="s">
        <v>241</v>
      </c>
      <c r="K803" s="691"/>
      <c r="L803" s="692"/>
      <c r="M803" s="692"/>
      <c r="N803" s="692"/>
      <c r="O803" s="699"/>
      <c r="P803" s="684"/>
      <c r="Q803" s="693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</row>
    <row r="804" ht="14.25" hidden="1" customHeight="1">
      <c r="A804" s="90"/>
      <c r="B804" s="2"/>
      <c r="C804" s="90"/>
      <c r="D804" s="257" t="s">
        <v>25</v>
      </c>
      <c r="E804" s="257" t="s">
        <v>26</v>
      </c>
      <c r="F804" s="680"/>
      <c r="G804" s="681"/>
      <c r="H804" s="723"/>
      <c r="I804" s="681"/>
      <c r="J804" s="725" t="s">
        <v>244</v>
      </c>
      <c r="K804" s="697"/>
      <c r="L804" s="692"/>
      <c r="M804" s="692"/>
      <c r="N804" s="692"/>
      <c r="O804" s="699"/>
      <c r="P804" s="684"/>
      <c r="Q804" s="698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</row>
    <row r="805" ht="3.75" hidden="1" customHeight="1">
      <c r="A805" s="124"/>
      <c r="B805" s="2"/>
      <c r="C805" s="124"/>
      <c r="D805" s="252"/>
      <c r="E805" s="252"/>
      <c r="F805" s="102"/>
      <c r="G805" s="102"/>
      <c r="H805" s="102"/>
      <c r="I805" s="102"/>
      <c r="J805" s="156"/>
      <c r="K805" s="259"/>
      <c r="L805" s="201"/>
      <c r="M805" s="201"/>
      <c r="N805" s="201"/>
      <c r="O805" s="699" t="str">
        <f>I805/VLOOKUP(K805,Sheet1!$D$7:$N$16,G805+1,FALSE)</f>
        <v>#N/A</v>
      </c>
      <c r="P805" s="684" t="str">
        <f t="shared" ref="P805:P818" si="30">I805-#REF!</f>
        <v>#REF!</v>
      </c>
      <c r="Q805" s="259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</row>
    <row r="806" ht="14.25" hidden="1" customHeight="1">
      <c r="A806" s="124"/>
      <c r="B806" s="2"/>
      <c r="C806" s="124"/>
      <c r="D806" s="185" t="s">
        <v>10</v>
      </c>
      <c r="E806" s="260"/>
      <c r="F806" s="187">
        <v>1.0</v>
      </c>
      <c r="G806" s="187">
        <v>1.0</v>
      </c>
      <c r="H806" s="187"/>
      <c r="I806" s="164">
        <v>280.0</v>
      </c>
      <c r="J806" s="266">
        <v>5.0</v>
      </c>
      <c r="K806" s="164">
        <v>7.0</v>
      </c>
      <c r="L806" s="164"/>
      <c r="M806" s="164"/>
      <c r="N806" s="164"/>
      <c r="O806" s="699">
        <f>I806/VLOOKUP(K806,Sheet1!$D$7:$N$16,G806+1,FALSE)</f>
        <v>314.6067416</v>
      </c>
      <c r="P806" s="684" t="str">
        <f t="shared" si="30"/>
        <v>#REF!</v>
      </c>
      <c r="Q806" s="736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</row>
    <row r="807" ht="3.75" hidden="1" customHeight="1">
      <c r="A807" s="124"/>
      <c r="B807" s="2"/>
      <c r="C807" s="124"/>
      <c r="D807" s="138"/>
      <c r="E807" s="252"/>
      <c r="F807" s="102"/>
      <c r="G807" s="102"/>
      <c r="H807" s="102"/>
      <c r="I807" s="247"/>
      <c r="J807" s="156"/>
      <c r="K807" s="164"/>
      <c r="L807" s="164"/>
      <c r="M807" s="164"/>
      <c r="N807" s="164"/>
      <c r="O807" s="699" t="str">
        <f>I807/VLOOKUP(K807,Sheet1!$D$7:$N$16,G807+1,FALSE)</f>
        <v>#N/A</v>
      </c>
      <c r="P807" s="684" t="str">
        <f t="shared" si="30"/>
        <v>#REF!</v>
      </c>
      <c r="Q807" s="702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</row>
    <row r="808" ht="14.25" hidden="1" customHeight="1">
      <c r="A808" s="124"/>
      <c r="B808" s="2"/>
      <c r="C808" s="124"/>
      <c r="D808" s="185" t="s">
        <v>10</v>
      </c>
      <c r="E808" s="260"/>
      <c r="F808" s="187">
        <v>1.0</v>
      </c>
      <c r="G808" s="187">
        <v>3.0</v>
      </c>
      <c r="H808" s="187"/>
      <c r="I808" s="164">
        <v>260.0</v>
      </c>
      <c r="J808" s="266">
        <v>6.0</v>
      </c>
      <c r="K808" s="164">
        <v>7.0</v>
      </c>
      <c r="L808" s="164"/>
      <c r="M808" s="164"/>
      <c r="N808" s="164"/>
      <c r="O808" s="699">
        <f>I808/VLOOKUP(K808,Sheet1!$D$7:$N$16,G808+1,FALSE)</f>
        <v>309.5238095</v>
      </c>
      <c r="P808" s="684" t="str">
        <f t="shared" si="30"/>
        <v>#REF!</v>
      </c>
      <c r="Q808" s="702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</row>
    <row r="809" ht="3.75" hidden="1" customHeight="1">
      <c r="A809" s="124"/>
      <c r="B809" s="2"/>
      <c r="C809" s="124"/>
      <c r="D809" s="138"/>
      <c r="E809" s="252"/>
      <c r="F809" s="102"/>
      <c r="G809" s="102"/>
      <c r="H809" s="102"/>
      <c r="I809" s="247"/>
      <c r="J809" s="156"/>
      <c r="K809" s="164"/>
      <c r="L809" s="164"/>
      <c r="M809" s="164"/>
      <c r="N809" s="164"/>
      <c r="O809" s="699" t="str">
        <f>I809/VLOOKUP(K809,Sheet1!$D$7:$N$16,G809+1,FALSE)</f>
        <v>#N/A</v>
      </c>
      <c r="P809" s="684" t="str">
        <f t="shared" si="30"/>
        <v>#REF!</v>
      </c>
      <c r="Q809" s="702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</row>
    <row r="810" ht="14.25" hidden="1" customHeight="1">
      <c r="A810" s="124"/>
      <c r="B810" s="2"/>
      <c r="C810" s="124"/>
      <c r="D810" s="185" t="s">
        <v>10</v>
      </c>
      <c r="E810" s="260"/>
      <c r="F810" s="187">
        <v>3.0</v>
      </c>
      <c r="G810" s="187">
        <v>3.0</v>
      </c>
      <c r="H810" s="187"/>
      <c r="I810" s="164">
        <v>235.0</v>
      </c>
      <c r="J810" s="706">
        <v>-0.1</v>
      </c>
      <c r="K810" s="164">
        <v>6.0</v>
      </c>
      <c r="L810" s="164"/>
      <c r="M810" s="164"/>
      <c r="N810" s="164"/>
      <c r="O810" s="699">
        <f>I810/VLOOKUP(K810,Sheet1!$D$7:$N$16,G810+1,FALSE)</f>
        <v>288.3435583</v>
      </c>
      <c r="P810" s="684" t="str">
        <f t="shared" si="30"/>
        <v>#REF!</v>
      </c>
      <c r="Q810" s="702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</row>
    <row r="811" ht="3.75" hidden="1" customHeight="1">
      <c r="A811" s="124"/>
      <c r="B811" s="2"/>
      <c r="C811" s="124"/>
      <c r="D811" s="138"/>
      <c r="E811" s="252"/>
      <c r="F811" s="102"/>
      <c r="G811" s="102"/>
      <c r="H811" s="102"/>
      <c r="I811" s="247"/>
      <c r="J811" s="156"/>
      <c r="K811" s="164"/>
      <c r="L811" s="164"/>
      <c r="M811" s="164"/>
      <c r="N811" s="164"/>
      <c r="O811" s="699" t="str">
        <f>I811/VLOOKUP(K811,Sheet1!$D$7:$N$16,G811+1,FALSE)</f>
        <v>#N/A</v>
      </c>
      <c r="P811" s="684" t="str">
        <f t="shared" si="30"/>
        <v>#REF!</v>
      </c>
      <c r="Q811" s="702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</row>
    <row r="812" ht="14.25" hidden="1" customHeight="1">
      <c r="A812" s="124"/>
      <c r="B812" s="2"/>
      <c r="C812" s="124"/>
      <c r="D812" s="185"/>
      <c r="E812" s="260"/>
      <c r="F812" s="187"/>
      <c r="G812" s="187"/>
      <c r="H812" s="187"/>
      <c r="I812" s="164"/>
      <c r="J812" s="266"/>
      <c r="K812" s="164"/>
      <c r="L812" s="164"/>
      <c r="M812" s="164"/>
      <c r="N812" s="164"/>
      <c r="O812" s="699" t="str">
        <f>I812/VLOOKUP(K812,Sheet1!$D$7:$N$16,G812+1,FALSE)</f>
        <v>#N/A</v>
      </c>
      <c r="P812" s="684" t="str">
        <f t="shared" si="30"/>
        <v>#REF!</v>
      </c>
      <c r="Q812" s="702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</row>
    <row r="813" ht="3.75" hidden="1" customHeight="1">
      <c r="A813" s="124"/>
      <c r="B813" s="2"/>
      <c r="C813" s="124"/>
      <c r="D813" s="138"/>
      <c r="E813" s="252"/>
      <c r="F813" s="102"/>
      <c r="G813" s="102"/>
      <c r="H813" s="102"/>
      <c r="I813" s="247"/>
      <c r="J813" s="156"/>
      <c r="K813" s="164"/>
      <c r="L813" s="164"/>
      <c r="M813" s="164"/>
      <c r="N813" s="164"/>
      <c r="O813" s="699" t="str">
        <f>I813/VLOOKUP(K813,Sheet1!$D$7:$N$16,G813+1,FALSE)</f>
        <v>#N/A</v>
      </c>
      <c r="P813" s="684" t="str">
        <f t="shared" si="30"/>
        <v>#REF!</v>
      </c>
      <c r="Q813" s="702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</row>
    <row r="814" ht="14.25" hidden="1" customHeight="1">
      <c r="A814" s="124"/>
      <c r="B814" s="2"/>
      <c r="C814" s="124"/>
      <c r="D814" s="185" t="s">
        <v>265</v>
      </c>
      <c r="E814" s="264"/>
      <c r="F814" s="187">
        <v>3.0</v>
      </c>
      <c r="G814" s="187">
        <v>7.0</v>
      </c>
      <c r="H814" s="187"/>
      <c r="I814" s="164">
        <v>115.0</v>
      </c>
      <c r="J814" s="266">
        <v>7.0</v>
      </c>
      <c r="K814" s="164">
        <v>7.0</v>
      </c>
      <c r="L814" s="164"/>
      <c r="M814" s="164"/>
      <c r="N814" s="164"/>
      <c r="O814" s="699">
        <f>I814/VLOOKUP(K814,Sheet1!$D$7:$N$16,G814+1,FALSE)</f>
        <v>155.4054054</v>
      </c>
      <c r="P814" s="684" t="str">
        <f t="shared" si="30"/>
        <v>#REF!</v>
      </c>
      <c r="Q814" s="702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</row>
    <row r="815" ht="3.75" hidden="1" customHeight="1">
      <c r="A815" s="261"/>
      <c r="B815" s="719"/>
      <c r="C815" s="262"/>
      <c r="D815" s="138"/>
      <c r="E815" s="252"/>
      <c r="F815" s="102"/>
      <c r="G815" s="102"/>
      <c r="H815" s="102"/>
      <c r="I815" s="247"/>
      <c r="J815" s="156"/>
      <c r="K815" s="164"/>
      <c r="L815" s="164"/>
      <c r="M815" s="164"/>
      <c r="N815" s="164"/>
      <c r="O815" s="699" t="str">
        <f>I815/VLOOKUP(K815,Sheet1!$D$7:$N$16,G815+1,FALSE)</f>
        <v>#N/A</v>
      </c>
      <c r="P815" s="684" t="str">
        <f t="shared" si="30"/>
        <v>#REF!</v>
      </c>
      <c r="Q815" s="702"/>
      <c r="R815" s="158"/>
      <c r="S815" s="158"/>
      <c r="T815" s="158"/>
      <c r="U815" s="158"/>
      <c r="V815" s="158"/>
      <c r="W815" s="158"/>
      <c r="X815" s="158"/>
      <c r="Y815" s="158"/>
      <c r="Z815" s="158"/>
      <c r="AA815" s="158"/>
      <c r="AB815" s="158"/>
      <c r="AC815" s="158"/>
      <c r="AD815" s="158"/>
      <c r="AE815" s="158"/>
      <c r="AF815" s="158"/>
    </row>
    <row r="816" ht="14.25" hidden="1" customHeight="1">
      <c r="A816" s="124"/>
      <c r="B816" s="2"/>
      <c r="C816" s="124"/>
      <c r="D816" s="185"/>
      <c r="E816" s="260"/>
      <c r="F816" s="187"/>
      <c r="G816" s="187"/>
      <c r="H816" s="187"/>
      <c r="I816" s="164"/>
      <c r="J816" s="266"/>
      <c r="K816" s="164"/>
      <c r="L816" s="164"/>
      <c r="M816" s="164"/>
      <c r="N816" s="164"/>
      <c r="O816" s="699" t="str">
        <f>I816/VLOOKUP(K816,Sheet1!$D$7:$N$16,G816+1,FALSE)</f>
        <v>#N/A</v>
      </c>
      <c r="P816" s="684" t="str">
        <f t="shared" si="30"/>
        <v>#REF!</v>
      </c>
      <c r="Q816" s="702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</row>
    <row r="817" ht="3.75" hidden="1" customHeight="1">
      <c r="A817" s="261"/>
      <c r="B817" s="719"/>
      <c r="C817" s="262"/>
      <c r="D817" s="138"/>
      <c r="E817" s="252"/>
      <c r="F817" s="102"/>
      <c r="G817" s="102"/>
      <c r="H817" s="102"/>
      <c r="I817" s="247"/>
      <c r="J817" s="156"/>
      <c r="K817" s="164"/>
      <c r="L817" s="164"/>
      <c r="M817" s="164"/>
      <c r="N817" s="164"/>
      <c r="O817" s="699" t="str">
        <f>I817/VLOOKUP(K817,Sheet1!$D$7:$N$16,G817+1,FALSE)</f>
        <v>#N/A</v>
      </c>
      <c r="P817" s="684" t="str">
        <f t="shared" si="30"/>
        <v>#REF!</v>
      </c>
      <c r="Q817" s="702"/>
      <c r="R817" s="158"/>
      <c r="S817" s="158"/>
      <c r="T817" s="158"/>
      <c r="U817" s="158"/>
      <c r="V817" s="158"/>
      <c r="W817" s="158"/>
      <c r="X817" s="158"/>
      <c r="Y817" s="158"/>
      <c r="Z817" s="158"/>
      <c r="AA817" s="158"/>
      <c r="AB817" s="158"/>
      <c r="AC817" s="158"/>
      <c r="AD817" s="158"/>
      <c r="AE817" s="158"/>
      <c r="AF817" s="158"/>
    </row>
    <row r="818" ht="15.75" hidden="1" customHeight="1">
      <c r="A818" s="124"/>
      <c r="B818" s="2"/>
      <c r="C818" s="124"/>
      <c r="D818" s="185"/>
      <c r="E818" s="260"/>
      <c r="F818" s="187"/>
      <c r="G818" s="187"/>
      <c r="H818" s="187"/>
      <c r="I818" s="247"/>
      <c r="J818" s="266"/>
      <c r="K818" s="164"/>
      <c r="L818" s="164"/>
      <c r="M818" s="164"/>
      <c r="N818" s="164"/>
      <c r="O818" s="699" t="str">
        <f>I818/VLOOKUP(K818,Sheet1!$D$7:$N$16,G818+1,FALSE)</f>
        <v>#N/A</v>
      </c>
      <c r="P818" s="684" t="str">
        <f t="shared" si="30"/>
        <v>#REF!</v>
      </c>
      <c r="Q818" s="702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</row>
    <row r="819" ht="3.75" hidden="1" customHeight="1">
      <c r="A819" s="124"/>
      <c r="B819" s="2"/>
      <c r="C819" s="124"/>
      <c r="D819" s="263"/>
      <c r="E819" s="252"/>
      <c r="F819" s="102"/>
      <c r="G819" s="102"/>
      <c r="H819" s="102"/>
      <c r="I819" s="247"/>
      <c r="J819" s="156"/>
      <c r="K819" s="164"/>
      <c r="L819" s="164"/>
      <c r="M819" s="164"/>
      <c r="N819" s="164"/>
      <c r="O819" s="699" t="str">
        <f>I819/VLOOKUP(K819,Sheet1!$D$7:$N$16,G819+1,FALSE)</f>
        <v>#N/A</v>
      </c>
      <c r="P819" s="684"/>
      <c r="Q819" s="702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</row>
    <row r="820" ht="14.25" hidden="1" customHeight="1">
      <c r="A820" s="90"/>
      <c r="B820" s="2"/>
      <c r="C820" s="90"/>
      <c r="D820" s="185" t="s">
        <v>267</v>
      </c>
      <c r="E820" s="264"/>
      <c r="F820" s="187">
        <v>3.0</v>
      </c>
      <c r="G820" s="731" t="s">
        <v>260</v>
      </c>
      <c r="H820" s="187"/>
      <c r="I820" s="164"/>
      <c r="J820" s="266">
        <v>8.0</v>
      </c>
      <c r="K820" s="164">
        <v>8.0</v>
      </c>
      <c r="L820" s="164"/>
      <c r="M820" s="164"/>
      <c r="N820" s="164"/>
      <c r="O820" s="699" t="str">
        <f>I820/VLOOKUP(K820,Sheet1!$D$7:$N$16,G820+1,FALSE)</f>
        <v>#REF!</v>
      </c>
      <c r="P820" s="684"/>
      <c r="Q820" s="702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</row>
    <row r="821" ht="3.75" hidden="1" customHeight="1">
      <c r="A821" s="261"/>
      <c r="B821" s="719"/>
      <c r="C821" s="262"/>
      <c r="D821" s="263"/>
      <c r="E821" s="263"/>
      <c r="F821" s="194"/>
      <c r="G821" s="194"/>
      <c r="H821" s="194"/>
      <c r="I821" s="164"/>
      <c r="J821" s="267"/>
      <c r="K821" s="164"/>
      <c r="L821" s="164"/>
      <c r="M821" s="164"/>
      <c r="N821" s="164"/>
      <c r="O821" s="699" t="str">
        <f>I821/VLOOKUP(K821,Sheet1!$D$7:$N$16,G821+1,FALSE)</f>
        <v>#N/A</v>
      </c>
      <c r="P821" s="684"/>
      <c r="Q821" s="702"/>
      <c r="R821" s="158"/>
      <c r="S821" s="158"/>
      <c r="T821" s="158"/>
      <c r="U821" s="158"/>
      <c r="V821" s="158"/>
      <c r="W821" s="158"/>
      <c r="X821" s="158"/>
      <c r="Y821" s="158"/>
      <c r="Z821" s="158"/>
      <c r="AA821" s="158"/>
      <c r="AB821" s="158"/>
      <c r="AC821" s="158"/>
      <c r="AD821" s="158"/>
      <c r="AE821" s="158"/>
      <c r="AF821" s="158"/>
    </row>
    <row r="822" ht="15.75" hidden="1" customHeight="1">
      <c r="A822" s="90"/>
      <c r="B822" s="2"/>
      <c r="C822" s="90"/>
      <c r="D822" s="185" t="s">
        <v>268</v>
      </c>
      <c r="E822" s="266"/>
      <c r="F822" s="187">
        <v>3.0</v>
      </c>
      <c r="G822" s="731" t="s">
        <v>251</v>
      </c>
      <c r="H822" s="187"/>
      <c r="I822" s="164"/>
      <c r="J822" s="266">
        <v>9.0</v>
      </c>
      <c r="K822" s="164">
        <v>8.0</v>
      </c>
      <c r="L822" s="164"/>
      <c r="M822" s="164"/>
      <c r="N822" s="164"/>
      <c r="O822" s="699" t="str">
        <f>I822/VLOOKUP(K822,Sheet1!$D$7:$N$16,G822+1,FALSE)</f>
        <v>#REF!</v>
      </c>
      <c r="P822" s="684"/>
      <c r="Q822" s="702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</row>
    <row r="823" ht="3.75" hidden="1" customHeight="1">
      <c r="A823" s="90"/>
      <c r="B823" s="2"/>
      <c r="C823" s="90"/>
      <c r="D823" s="138"/>
      <c r="E823" s="252"/>
      <c r="F823" s="102"/>
      <c r="G823" s="102"/>
      <c r="H823" s="102"/>
      <c r="I823" s="247"/>
      <c r="J823" s="156"/>
      <c r="K823" s="164"/>
      <c r="L823" s="164"/>
      <c r="M823" s="164"/>
      <c r="N823" s="164"/>
      <c r="O823" s="699" t="str">
        <f>I823/VLOOKUP(K823,Sheet1!$D$7:$N$16,G823+1,FALSE)</f>
        <v>#N/A</v>
      </c>
      <c r="P823" s="684"/>
      <c r="Q823" s="702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</row>
    <row r="824" ht="15.75" hidden="1" customHeight="1">
      <c r="A824" s="90"/>
      <c r="B824" s="2"/>
      <c r="C824" s="90"/>
      <c r="D824" s="185" t="s">
        <v>269</v>
      </c>
      <c r="E824" s="266"/>
      <c r="F824" s="187">
        <v>3.0</v>
      </c>
      <c r="G824" s="731" t="s">
        <v>260</v>
      </c>
      <c r="H824" s="187"/>
      <c r="I824" s="164"/>
      <c r="J824" s="266">
        <v>9.0</v>
      </c>
      <c r="K824" s="164"/>
      <c r="L824" s="164"/>
      <c r="M824" s="164"/>
      <c r="N824" s="164"/>
      <c r="O824" s="699" t="str">
        <f>I824/VLOOKUP(K824,Sheet1!$D$7:$N$16,G824+1,FALSE)</f>
        <v>#REF!</v>
      </c>
      <c r="P824" s="684"/>
      <c r="Q824" s="702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</row>
    <row r="825" ht="3.75" hidden="1" customHeight="1">
      <c r="A825" s="191"/>
      <c r="B825" s="719"/>
      <c r="C825" s="192"/>
      <c r="D825" s="138"/>
      <c r="E825" s="252"/>
      <c r="F825" s="102"/>
      <c r="G825" s="102"/>
      <c r="H825" s="102"/>
      <c r="I825" s="247"/>
      <c r="J825" s="156"/>
      <c r="K825" s="164"/>
      <c r="L825" s="164"/>
      <c r="M825" s="164"/>
      <c r="N825" s="164"/>
      <c r="O825" s="699" t="str">
        <f>I825/VLOOKUP(K825,Sheet1!$D$7:$N$16,G825+1,FALSE)</f>
        <v>#N/A</v>
      </c>
      <c r="P825" s="684"/>
      <c r="Q825" s="702"/>
      <c r="R825" s="158"/>
      <c r="S825" s="158"/>
      <c r="T825" s="158"/>
      <c r="U825" s="158"/>
      <c r="V825" s="158"/>
      <c r="W825" s="158"/>
      <c r="X825" s="158"/>
      <c r="Y825" s="158"/>
      <c r="Z825" s="158"/>
      <c r="AA825" s="158"/>
      <c r="AB825" s="158"/>
      <c r="AC825" s="158"/>
      <c r="AD825" s="158"/>
      <c r="AE825" s="158"/>
      <c r="AF825" s="158"/>
    </row>
    <row r="826" ht="15.75" hidden="1" customHeight="1">
      <c r="A826" s="90"/>
      <c r="B826" s="2"/>
      <c r="C826" s="90"/>
      <c r="D826" s="185" t="s">
        <v>270</v>
      </c>
      <c r="E826" s="260"/>
      <c r="F826" s="187">
        <v>3.0</v>
      </c>
      <c r="G826" s="731" t="s">
        <v>260</v>
      </c>
      <c r="H826" s="187"/>
      <c r="I826" s="164"/>
      <c r="J826" s="266">
        <v>9.0</v>
      </c>
      <c r="K826" s="164"/>
      <c r="L826" s="164"/>
      <c r="M826" s="164"/>
      <c r="N826" s="164"/>
      <c r="O826" s="699" t="str">
        <f>I826/VLOOKUP(K826,Sheet1!$D$7:$N$16,G826+1,FALSE)</f>
        <v>#REF!</v>
      </c>
      <c r="P826" s="684"/>
      <c r="Q826" s="702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</row>
    <row r="827" ht="3.75" hidden="1" customHeight="1">
      <c r="A827" s="90"/>
      <c r="B827" s="2"/>
      <c r="C827" s="90"/>
      <c r="D827" s="263"/>
      <c r="E827" s="252"/>
      <c r="F827" s="102"/>
      <c r="G827" s="102"/>
      <c r="H827" s="102"/>
      <c r="I827" s="247"/>
      <c r="J827" s="156"/>
      <c r="K827" s="164"/>
      <c r="L827" s="164"/>
      <c r="M827" s="164"/>
      <c r="N827" s="164"/>
      <c r="O827" s="699" t="str">
        <f>I827/VLOOKUP(K827,Sheet1!$D$7:$N$16,G827+1,FALSE)</f>
        <v>#N/A</v>
      </c>
      <c r="P827" s="684"/>
      <c r="Q827" s="702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</row>
    <row r="828" ht="15.75" hidden="1" customHeight="1">
      <c r="A828" s="90"/>
      <c r="B828" s="2"/>
      <c r="C828" s="90"/>
      <c r="D828" s="185" t="s">
        <v>256</v>
      </c>
      <c r="E828" s="266"/>
      <c r="F828" s="187">
        <v>3.0</v>
      </c>
      <c r="G828" s="187" t="s">
        <v>16</v>
      </c>
      <c r="H828" s="187"/>
      <c r="I828" s="164"/>
      <c r="J828" s="266">
        <v>9.0</v>
      </c>
      <c r="K828" s="164">
        <v>9.0</v>
      </c>
      <c r="L828" s="164"/>
      <c r="M828" s="164"/>
      <c r="N828" s="164"/>
      <c r="O828" s="699" t="str">
        <f>I828/VLOOKUP(K828,Sheet1!$D$7:$N$16,G828+1,FALSE)</f>
        <v>#VALUE!</v>
      </c>
      <c r="P828" s="684"/>
      <c r="Q828" s="697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</row>
    <row r="829" ht="3.75" hidden="1" customHeight="1">
      <c r="A829" s="191"/>
      <c r="B829" s="719"/>
      <c r="C829" s="192"/>
      <c r="D829" s="192"/>
      <c r="E829" s="267"/>
      <c r="F829" s="194"/>
      <c r="G829" s="194"/>
      <c r="H829" s="194"/>
      <c r="I829" s="194"/>
      <c r="J829" s="267"/>
      <c r="K829" s="273"/>
      <c r="L829" s="737"/>
      <c r="M829" s="737"/>
      <c r="N829" s="737"/>
      <c r="O829" s="271"/>
      <c r="P829" s="272"/>
      <c r="Q829" s="273"/>
      <c r="R829" s="158"/>
      <c r="S829" s="158"/>
      <c r="T829" s="158"/>
      <c r="U829" s="158"/>
      <c r="V829" s="158"/>
      <c r="W829" s="158"/>
      <c r="X829" s="158"/>
      <c r="Y829" s="158"/>
      <c r="Z829" s="158"/>
      <c r="AA829" s="158"/>
      <c r="AB829" s="158"/>
      <c r="AC829" s="158"/>
      <c r="AD829" s="158"/>
      <c r="AE829" s="158"/>
      <c r="AF829" s="158"/>
    </row>
    <row r="830" ht="14.25" hidden="1" customHeight="1">
      <c r="A830" s="5"/>
      <c r="B830" s="2"/>
      <c r="C830" s="5"/>
      <c r="D830" s="738"/>
      <c r="E830" s="739"/>
      <c r="F830" s="683"/>
      <c r="G830" s="683"/>
      <c r="H830" s="683"/>
      <c r="I830" s="683"/>
      <c r="J830" s="739"/>
      <c r="K830" s="738"/>
      <c r="L830" s="683"/>
      <c r="M830" s="683"/>
      <c r="N830" s="683"/>
      <c r="O830" s="740"/>
      <c r="P830" s="4"/>
      <c r="Q830" s="738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</row>
    <row r="831" ht="14.25" hidden="1" customHeight="1">
      <c r="A831" s="5"/>
      <c r="B831" s="2"/>
      <c r="C831" s="5"/>
      <c r="D831" s="738"/>
      <c r="E831" s="739"/>
      <c r="F831" s="683"/>
      <c r="G831" s="683"/>
      <c r="H831" s="683"/>
      <c r="I831" s="683"/>
      <c r="J831" s="739"/>
      <c r="K831" s="738"/>
      <c r="L831" s="683"/>
      <c r="M831" s="683"/>
      <c r="N831" s="683"/>
      <c r="O831" s="741"/>
      <c r="P831" s="4"/>
      <c r="Q831" s="738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</row>
    <row r="832" ht="14.25" hidden="1" customHeight="1">
      <c r="A832" s="5"/>
      <c r="B832" s="2"/>
      <c r="C832" s="5"/>
      <c r="D832" s="738"/>
      <c r="E832" s="739"/>
      <c r="F832" s="683"/>
      <c r="G832" s="683"/>
      <c r="H832" s="683"/>
      <c r="I832" s="683"/>
      <c r="J832" s="739"/>
      <c r="K832" s="738"/>
      <c r="L832" s="683"/>
      <c r="M832" s="683"/>
      <c r="N832" s="683"/>
      <c r="O832" s="741"/>
      <c r="P832" s="4"/>
      <c r="Q832" s="738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</row>
    <row r="833" ht="14.25" hidden="1" customHeight="1">
      <c r="A833" s="5"/>
      <c r="B833" s="2"/>
      <c r="C833" s="5"/>
      <c r="D833" s="738"/>
      <c r="E833" s="739"/>
      <c r="F833" s="683"/>
      <c r="G833" s="683"/>
      <c r="H833" s="683"/>
      <c r="I833" s="683"/>
      <c r="J833" s="739"/>
      <c r="K833" s="738"/>
      <c r="L833" s="683"/>
      <c r="M833" s="683"/>
      <c r="N833" s="683"/>
      <c r="O833" s="741"/>
      <c r="P833" s="4"/>
      <c r="Q833" s="738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</row>
    <row r="834" ht="14.25" hidden="1" customHeight="1">
      <c r="A834" s="5"/>
      <c r="B834" s="2"/>
      <c r="C834" s="5"/>
      <c r="D834" s="738"/>
      <c r="E834" s="739"/>
      <c r="F834" s="683"/>
      <c r="G834" s="683"/>
      <c r="H834" s="683"/>
      <c r="I834" s="683"/>
      <c r="J834" s="739"/>
      <c r="K834" s="738"/>
      <c r="L834" s="683"/>
      <c r="M834" s="683"/>
      <c r="N834" s="683"/>
      <c r="O834" s="741"/>
      <c r="P834" s="4"/>
      <c r="Q834" s="738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</row>
    <row r="835" ht="14.25" hidden="1" customHeight="1">
      <c r="A835" s="5"/>
      <c r="B835" s="2"/>
      <c r="C835" s="5"/>
      <c r="D835" s="738"/>
      <c r="E835" s="739"/>
      <c r="F835" s="683"/>
      <c r="G835" s="683"/>
      <c r="H835" s="683"/>
      <c r="I835" s="683"/>
      <c r="J835" s="739"/>
      <c r="K835" s="738"/>
      <c r="L835" s="683"/>
      <c r="M835" s="683"/>
      <c r="N835" s="683"/>
      <c r="O835" s="741"/>
      <c r="P835" s="4"/>
      <c r="Q835" s="738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</row>
    <row r="836" ht="14.25" hidden="1" customHeight="1">
      <c r="A836" s="5"/>
      <c r="B836" s="2"/>
      <c r="C836" s="5"/>
      <c r="D836" s="5"/>
      <c r="E836" s="75"/>
      <c r="F836" s="3"/>
      <c r="G836" s="3"/>
      <c r="H836" s="3"/>
      <c r="I836" s="3"/>
      <c r="J836" s="75"/>
      <c r="K836" s="5"/>
      <c r="L836" s="3"/>
      <c r="M836" s="3"/>
      <c r="N836" s="3"/>
      <c r="O836" s="3"/>
      <c r="P836" s="4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</row>
    <row r="837" ht="19.5" hidden="1" customHeight="1">
      <c r="A837" s="5"/>
      <c r="B837" s="2"/>
      <c r="C837" s="5"/>
      <c r="D837" s="663" t="s">
        <v>240</v>
      </c>
      <c r="E837" s="664">
        <v>2.0</v>
      </c>
      <c r="F837" s="665"/>
      <c r="G837" s="666"/>
      <c r="H837" s="665"/>
      <c r="I837" s="667"/>
      <c r="J837" s="668"/>
      <c r="K837" s="669"/>
      <c r="L837" s="453"/>
      <c r="M837" s="453"/>
      <c r="N837" s="453"/>
      <c r="O837" s="3"/>
      <c r="P837" s="4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</row>
    <row r="838" ht="27.0" hidden="1" customHeight="1">
      <c r="A838" s="90"/>
      <c r="B838" s="2"/>
      <c r="C838" s="90"/>
      <c r="D838" s="670"/>
      <c r="E838" s="671"/>
      <c r="F838" s="672" t="s">
        <v>16</v>
      </c>
      <c r="G838" s="673" t="s">
        <v>17</v>
      </c>
      <c r="H838" s="665"/>
      <c r="I838" s="674" t="s">
        <v>18</v>
      </c>
      <c r="J838" s="675" t="s">
        <v>241</v>
      </c>
      <c r="K838" s="676"/>
      <c r="L838" s="676"/>
      <c r="M838" s="676"/>
      <c r="N838" s="676"/>
      <c r="O838" s="122" t="s">
        <v>242</v>
      </c>
      <c r="P838" s="677" t="s">
        <v>243</v>
      </c>
      <c r="Q838" s="678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</row>
    <row r="839" ht="14.25" hidden="1" customHeight="1">
      <c r="A839" s="90"/>
      <c r="B839" s="2"/>
      <c r="C839" s="90"/>
      <c r="D839" s="679" t="s">
        <v>13</v>
      </c>
      <c r="E839" s="671"/>
      <c r="F839" s="680"/>
      <c r="G839" s="681"/>
      <c r="H839" s="665"/>
      <c r="I839" s="681"/>
      <c r="J839" s="675" t="s">
        <v>244</v>
      </c>
      <c r="K839" s="214"/>
      <c r="L839" s="682"/>
      <c r="M839" s="682"/>
      <c r="N839" s="682"/>
      <c r="O839" s="683"/>
      <c r="P839" s="684" t="s">
        <v>245</v>
      </c>
      <c r="Q839" s="68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</row>
    <row r="840" ht="3.75" hidden="1" customHeight="1">
      <c r="A840" s="90"/>
      <c r="B840" s="2"/>
      <c r="C840" s="90"/>
      <c r="D840" s="97"/>
      <c r="E840" s="98"/>
      <c r="F840" s="99"/>
      <c r="G840" s="99"/>
      <c r="H840" s="99"/>
      <c r="I840" s="100"/>
      <c r="J840" s="101"/>
      <c r="K840" s="90"/>
      <c r="L840" s="102"/>
      <c r="M840" s="102"/>
      <c r="N840" s="102"/>
      <c r="O840" s="103"/>
      <c r="P840" s="4"/>
      <c r="Q840" s="90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</row>
    <row r="841" ht="30.0" hidden="1" customHeight="1">
      <c r="A841" s="90"/>
      <c r="B841" s="2"/>
      <c r="C841" s="90"/>
      <c r="D841" s="686" t="s">
        <v>271</v>
      </c>
      <c r="E841" s="687" t="s">
        <v>15</v>
      </c>
      <c r="F841" s="688"/>
      <c r="G841" s="688"/>
      <c r="H841" s="688"/>
      <c r="I841" s="689"/>
      <c r="J841" s="690"/>
      <c r="K841" s="691" t="s">
        <v>20</v>
      </c>
      <c r="L841" s="692"/>
      <c r="M841" s="692"/>
      <c r="N841" s="692"/>
      <c r="O841" s="683"/>
      <c r="P841" s="684"/>
      <c r="Q841" s="693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</row>
    <row r="842" ht="19.5" hidden="1" customHeight="1">
      <c r="A842" s="90"/>
      <c r="B842" s="2"/>
      <c r="C842" s="90"/>
      <c r="D842" s="257" t="s">
        <v>25</v>
      </c>
      <c r="E842" s="257" t="s">
        <v>26</v>
      </c>
      <c r="F842" s="694"/>
      <c r="G842" s="694"/>
      <c r="H842" s="694"/>
      <c r="I842" s="695"/>
      <c r="J842" s="696"/>
      <c r="K842" s="697"/>
      <c r="L842" s="692"/>
      <c r="M842" s="692"/>
      <c r="N842" s="692"/>
      <c r="O842" s="683"/>
      <c r="P842" s="684"/>
      <c r="Q842" s="698" t="s">
        <v>30</v>
      </c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</row>
    <row r="843" ht="3.75" hidden="1" customHeight="1">
      <c r="A843" s="90"/>
      <c r="B843" s="2"/>
      <c r="C843" s="90"/>
      <c r="D843" s="97"/>
      <c r="E843" s="98"/>
      <c r="F843" s="99"/>
      <c r="G843" s="99"/>
      <c r="H843" s="99"/>
      <c r="I843" s="100"/>
      <c r="J843" s="101"/>
      <c r="K843" s="90"/>
      <c r="L843" s="102"/>
      <c r="M843" s="102"/>
      <c r="N843" s="102"/>
      <c r="O843" s="699"/>
      <c r="P843" s="684"/>
      <c r="Q843" s="90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</row>
    <row r="844" ht="15.75" hidden="1" customHeight="1">
      <c r="A844" s="124"/>
      <c r="B844" s="2"/>
      <c r="C844" s="124"/>
      <c r="D844" s="185" t="s">
        <v>6</v>
      </c>
      <c r="E844" s="260"/>
      <c r="F844" s="187">
        <v>1.0</v>
      </c>
      <c r="G844" s="187">
        <v>6.0</v>
      </c>
      <c r="H844" s="187"/>
      <c r="I844" s="164">
        <v>180.0</v>
      </c>
      <c r="J844" s="266">
        <v>6.0</v>
      </c>
      <c r="K844" s="183">
        <v>6.5</v>
      </c>
      <c r="L844" s="183"/>
      <c r="M844" s="183"/>
      <c r="N844" s="183"/>
      <c r="O844" s="699">
        <f>I844/VLOOKUP(K844,Sheet1!$D$7:$N$16,G844+1,FALSE)</f>
        <v>239.2026578</v>
      </c>
      <c r="P844" s="684" t="str">
        <f t="shared" ref="P844:P865" si="31">I844-#REF!</f>
        <v>#REF!</v>
      </c>
      <c r="Q844" s="700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</row>
    <row r="845" ht="3.75" hidden="1" customHeight="1">
      <c r="A845" s="137"/>
      <c r="B845" s="661"/>
      <c r="C845" s="137"/>
      <c r="D845" s="138"/>
      <c r="E845" s="252"/>
      <c r="F845" s="140"/>
      <c r="G845" s="140"/>
      <c r="H845" s="140"/>
      <c r="I845" s="701"/>
      <c r="J845" s="141"/>
      <c r="K845" s="183"/>
      <c r="L845" s="183"/>
      <c r="M845" s="183"/>
      <c r="N845" s="183"/>
      <c r="O845" s="699" t="str">
        <f>I845/VLOOKUP(K845,Sheet1!$D$7:$N$16,G845+1,FALSE)</f>
        <v>#N/A</v>
      </c>
      <c r="P845" s="684" t="str">
        <f t="shared" si="31"/>
        <v>#REF!</v>
      </c>
      <c r="Q845" s="702"/>
      <c r="R845" s="148"/>
      <c r="S845" s="148"/>
      <c r="T845" s="148"/>
      <c r="U845" s="148"/>
      <c r="V845" s="148"/>
      <c r="W845" s="148"/>
      <c r="X845" s="148"/>
      <c r="Y845" s="148"/>
      <c r="Z845" s="148"/>
      <c r="AA845" s="148"/>
      <c r="AB845" s="148"/>
      <c r="AC845" s="148"/>
      <c r="AD845" s="148"/>
      <c r="AE845" s="148"/>
      <c r="AF845" s="148"/>
    </row>
    <row r="846" ht="15.75" hidden="1" customHeight="1">
      <c r="A846" s="149"/>
      <c r="B846" s="703"/>
      <c r="C846" s="149"/>
      <c r="D846" s="185" t="s">
        <v>6</v>
      </c>
      <c r="E846" s="260"/>
      <c r="F846" s="187">
        <v>1.0</v>
      </c>
      <c r="G846" s="187">
        <v>6.0</v>
      </c>
      <c r="H846" s="187"/>
      <c r="I846" s="164">
        <v>190.0</v>
      </c>
      <c r="J846" s="266">
        <v>7.0</v>
      </c>
      <c r="K846" s="183">
        <v>7.5</v>
      </c>
      <c r="L846" s="183"/>
      <c r="M846" s="183"/>
      <c r="N846" s="183"/>
      <c r="O846" s="699">
        <f>I846/VLOOKUP(K846,Sheet1!$D$7:$N$16,G846+1,FALSE)</f>
        <v>244.3729904</v>
      </c>
      <c r="P846" s="684" t="str">
        <f t="shared" si="31"/>
        <v>#REF!</v>
      </c>
      <c r="Q846" s="702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</row>
    <row r="847" ht="3.75" hidden="1" customHeight="1">
      <c r="A847" s="152"/>
      <c r="B847" s="705"/>
      <c r="C847" s="153"/>
      <c r="D847" s="138"/>
      <c r="E847" s="263"/>
      <c r="F847" s="194"/>
      <c r="G847" s="194"/>
      <c r="H847" s="194"/>
      <c r="I847" s="164"/>
      <c r="J847" s="267"/>
      <c r="K847" s="183"/>
      <c r="L847" s="183"/>
      <c r="M847" s="183"/>
      <c r="N847" s="183"/>
      <c r="O847" s="699" t="str">
        <f>I847/VLOOKUP(K847,Sheet1!$D$7:$N$16,G847+1,FALSE)</f>
        <v>#N/A</v>
      </c>
      <c r="P847" s="684" t="str">
        <f t="shared" si="31"/>
        <v>#REF!</v>
      </c>
      <c r="Q847" s="702"/>
      <c r="R847" s="158"/>
      <c r="S847" s="158"/>
      <c r="T847" s="158"/>
      <c r="U847" s="158"/>
      <c r="V847" s="158"/>
      <c r="W847" s="158"/>
      <c r="X847" s="158"/>
      <c r="Y847" s="158"/>
      <c r="Z847" s="158"/>
      <c r="AA847" s="158"/>
      <c r="AB847" s="158"/>
      <c r="AC847" s="158"/>
      <c r="AD847" s="158"/>
      <c r="AE847" s="158"/>
      <c r="AF847" s="158"/>
    </row>
    <row r="848" ht="15.75" hidden="1" customHeight="1">
      <c r="A848" s="149"/>
      <c r="B848" s="703"/>
      <c r="C848" s="149"/>
      <c r="D848" s="185" t="s">
        <v>6</v>
      </c>
      <c r="E848" s="264"/>
      <c r="F848" s="187">
        <v>1.0</v>
      </c>
      <c r="G848" s="187">
        <v>6.0</v>
      </c>
      <c r="H848" s="187"/>
      <c r="I848" s="164">
        <v>175.0</v>
      </c>
      <c r="J848" s="706">
        <v>-0.1</v>
      </c>
      <c r="K848" s="183">
        <v>6.5</v>
      </c>
      <c r="L848" s="183"/>
      <c r="M848" s="183"/>
      <c r="N848" s="183"/>
      <c r="O848" s="699">
        <f>I848/VLOOKUP(K848,Sheet1!$D$7:$N$16,G848+1,FALSE)</f>
        <v>232.5581395</v>
      </c>
      <c r="P848" s="684" t="str">
        <f t="shared" si="31"/>
        <v>#REF!</v>
      </c>
      <c r="Q848" s="702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</row>
    <row r="849" ht="3.75" hidden="1" customHeight="1">
      <c r="A849" s="162"/>
      <c r="B849" s="707"/>
      <c r="C849" s="162"/>
      <c r="D849" s="138"/>
      <c r="E849" s="708"/>
      <c r="F849" s="140"/>
      <c r="G849" s="140"/>
      <c r="H849" s="140"/>
      <c r="I849" s="701"/>
      <c r="J849" s="141"/>
      <c r="K849" s="183"/>
      <c r="L849" s="183"/>
      <c r="M849" s="183"/>
      <c r="N849" s="183"/>
      <c r="O849" s="699" t="str">
        <f>I849/VLOOKUP(K849,Sheet1!$D$7:$N$16,G849+1,FALSE)</f>
        <v>#N/A</v>
      </c>
      <c r="P849" s="684" t="str">
        <f t="shared" si="31"/>
        <v>#REF!</v>
      </c>
      <c r="Q849" s="702"/>
      <c r="R849" s="148"/>
      <c r="S849" s="148"/>
      <c r="T849" s="148"/>
      <c r="U849" s="148"/>
      <c r="V849" s="148"/>
      <c r="W849" s="148"/>
      <c r="X849" s="148"/>
      <c r="Y849" s="148"/>
      <c r="Z849" s="148"/>
      <c r="AA849" s="148"/>
      <c r="AB849" s="148"/>
      <c r="AC849" s="148"/>
      <c r="AD849" s="148"/>
      <c r="AE849" s="148"/>
      <c r="AF849" s="148"/>
    </row>
    <row r="850" ht="15.75" hidden="1" customHeight="1">
      <c r="A850" s="149"/>
      <c r="B850" s="703"/>
      <c r="C850" s="149"/>
      <c r="D850" s="185" t="s">
        <v>51</v>
      </c>
      <c r="E850" s="264"/>
      <c r="F850" s="187">
        <v>1.0</v>
      </c>
      <c r="G850" s="187">
        <v>3.0</v>
      </c>
      <c r="H850" s="187"/>
      <c r="I850" s="164">
        <v>145.0</v>
      </c>
      <c r="J850" s="266">
        <v>7.0</v>
      </c>
      <c r="K850" s="183">
        <v>7.5</v>
      </c>
      <c r="L850" s="183"/>
      <c r="M850" s="183"/>
      <c r="N850" s="183"/>
      <c r="O850" s="699">
        <f>I850/VLOOKUP(K850,Sheet1!$D$7:$N$16,G850+1,FALSE)</f>
        <v>170.0879765</v>
      </c>
      <c r="P850" s="684" t="str">
        <f t="shared" si="31"/>
        <v>#REF!</v>
      </c>
      <c r="Q850" s="702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</row>
    <row r="851" ht="3.75" hidden="1" customHeight="1">
      <c r="A851" s="162"/>
      <c r="B851" s="707"/>
      <c r="C851" s="162"/>
      <c r="D851" s="138"/>
      <c r="E851" s="321"/>
      <c r="F851" s="102"/>
      <c r="G851" s="102"/>
      <c r="H851" s="102"/>
      <c r="I851" s="247"/>
      <c r="J851" s="156"/>
      <c r="K851" s="183"/>
      <c r="L851" s="183"/>
      <c r="M851" s="183"/>
      <c r="N851" s="183"/>
      <c r="O851" s="699" t="str">
        <f>I851/VLOOKUP(K851,Sheet1!$D$7:$N$16,G851+1,FALSE)</f>
        <v>#N/A</v>
      </c>
      <c r="P851" s="684" t="str">
        <f t="shared" si="31"/>
        <v>#REF!</v>
      </c>
      <c r="Q851" s="702"/>
      <c r="R851" s="148"/>
      <c r="S851" s="148"/>
      <c r="T851" s="148"/>
      <c r="U851" s="148"/>
      <c r="V851" s="148"/>
      <c r="W851" s="148"/>
      <c r="X851" s="148"/>
      <c r="Y851" s="148"/>
      <c r="Z851" s="148"/>
      <c r="AA851" s="148"/>
      <c r="AB851" s="148"/>
      <c r="AC851" s="148"/>
      <c r="AD851" s="148"/>
      <c r="AE851" s="148"/>
      <c r="AF851" s="148"/>
    </row>
    <row r="852" ht="15.75" hidden="1" customHeight="1">
      <c r="A852" s="90"/>
      <c r="B852" s="2"/>
      <c r="C852" s="90"/>
      <c r="D852" s="185" t="s">
        <v>51</v>
      </c>
      <c r="E852" s="264"/>
      <c r="F852" s="187">
        <v>3.0</v>
      </c>
      <c r="G852" s="187">
        <v>5.0</v>
      </c>
      <c r="H852" s="187"/>
      <c r="I852" s="164">
        <v>130.0</v>
      </c>
      <c r="J852" s="706">
        <v>-0.12</v>
      </c>
      <c r="K852" s="183">
        <v>6.5</v>
      </c>
      <c r="L852" s="183"/>
      <c r="M852" s="183"/>
      <c r="N852" s="183"/>
      <c r="O852" s="699">
        <f>I852/VLOOKUP(K852,Sheet1!$D$7:$N$16,G852+1,FALSE)</f>
        <v>167.2025723</v>
      </c>
      <c r="P852" s="684" t="str">
        <f t="shared" si="31"/>
        <v>#REF!</v>
      </c>
      <c r="Q852" s="702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</row>
    <row r="853" ht="3.75" hidden="1" customHeight="1">
      <c r="A853" s="168"/>
      <c r="B853" s="661"/>
      <c r="C853" s="168"/>
      <c r="D853" s="138"/>
      <c r="E853" s="708"/>
      <c r="F853" s="140"/>
      <c r="G853" s="140"/>
      <c r="H853" s="140"/>
      <c r="I853" s="701"/>
      <c r="J853" s="141"/>
      <c r="K853" s="183"/>
      <c r="L853" s="183"/>
      <c r="M853" s="183"/>
      <c r="N853" s="183"/>
      <c r="O853" s="699" t="str">
        <f>I853/VLOOKUP(K853,Sheet1!$D$7:$N$16,G853+1,FALSE)</f>
        <v>#N/A</v>
      </c>
      <c r="P853" s="684" t="str">
        <f t="shared" si="31"/>
        <v>#REF!</v>
      </c>
      <c r="Q853" s="702"/>
      <c r="R853" s="148"/>
      <c r="S853" s="148"/>
      <c r="T853" s="148"/>
      <c r="U853" s="148"/>
      <c r="V853" s="148"/>
      <c r="W853" s="148"/>
      <c r="X853" s="148"/>
      <c r="Y853" s="148"/>
      <c r="Z853" s="148"/>
      <c r="AA853" s="148"/>
      <c r="AB853" s="148"/>
      <c r="AC853" s="148"/>
      <c r="AD853" s="148"/>
      <c r="AE853" s="148"/>
      <c r="AF853" s="148"/>
    </row>
    <row r="854" ht="15.75" hidden="1" customHeight="1">
      <c r="A854" s="90"/>
      <c r="B854" s="2"/>
      <c r="C854" s="90"/>
      <c r="D854" s="709" t="s">
        <v>286</v>
      </c>
      <c r="E854" s="710"/>
      <c r="F854" s="711">
        <v>3.0</v>
      </c>
      <c r="G854" s="731" t="s">
        <v>251</v>
      </c>
      <c r="H854" s="179"/>
      <c r="I854" s="742"/>
      <c r="J854" s="713">
        <v>8.0</v>
      </c>
      <c r="K854" s="183">
        <v>8.0</v>
      </c>
      <c r="L854" s="183"/>
      <c r="M854" s="183"/>
      <c r="N854" s="183"/>
      <c r="O854" s="699" t="str">
        <f>I854/VLOOKUP(K854,Sheet1!$D$7:$N$16,G854+1,FALSE)</f>
        <v>#REF!</v>
      </c>
      <c r="P854" s="684" t="str">
        <f t="shared" si="31"/>
        <v>#REF!</v>
      </c>
      <c r="Q854" s="702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</row>
    <row r="855" ht="3.75" hidden="1" customHeight="1">
      <c r="A855" s="90"/>
      <c r="B855" s="2"/>
      <c r="C855" s="90"/>
      <c r="D855" s="171"/>
      <c r="E855" s="714"/>
      <c r="F855" s="173"/>
      <c r="G855" s="173"/>
      <c r="H855" s="715"/>
      <c r="I855" s="716"/>
      <c r="J855" s="174"/>
      <c r="K855" s="183"/>
      <c r="L855" s="183"/>
      <c r="M855" s="183"/>
      <c r="N855" s="183"/>
      <c r="O855" s="699" t="str">
        <f>I855/VLOOKUP(K855,Sheet1!$D$7:$N$16,G855+1,FALSE)</f>
        <v>#N/A</v>
      </c>
      <c r="P855" s="684" t="str">
        <f t="shared" si="31"/>
        <v>#REF!</v>
      </c>
      <c r="Q855" s="702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</row>
    <row r="856" ht="15.75" hidden="1" customHeight="1">
      <c r="A856" s="90"/>
      <c r="B856" s="2"/>
      <c r="C856" s="90"/>
      <c r="D856" s="260" t="s">
        <v>273</v>
      </c>
      <c r="E856" s="266"/>
      <c r="F856" s="187">
        <v>3.0</v>
      </c>
      <c r="G856" s="731" t="s">
        <v>251</v>
      </c>
      <c r="H856" s="187"/>
      <c r="I856" s="164"/>
      <c r="J856" s="266">
        <v>8.0</v>
      </c>
      <c r="K856" s="183">
        <v>8.0</v>
      </c>
      <c r="L856" s="183"/>
      <c r="M856" s="183"/>
      <c r="N856" s="183"/>
      <c r="O856" s="699" t="str">
        <f>I856/VLOOKUP(K856,Sheet1!$D$7:$N$16,G856+1,FALSE)</f>
        <v>#REF!</v>
      </c>
      <c r="P856" s="684" t="str">
        <f t="shared" si="31"/>
        <v>#REF!</v>
      </c>
      <c r="Q856" s="702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</row>
    <row r="857" ht="3.75" hidden="1" customHeight="1">
      <c r="A857" s="90"/>
      <c r="B857" s="2"/>
      <c r="C857" s="90"/>
      <c r="D857" s="171"/>
      <c r="E857" s="714"/>
      <c r="F857" s="173"/>
      <c r="G857" s="173"/>
      <c r="H857" s="715"/>
      <c r="I857" s="716"/>
      <c r="J857" s="174"/>
      <c r="K857" s="183"/>
      <c r="L857" s="183"/>
      <c r="M857" s="183"/>
      <c r="N857" s="183"/>
      <c r="O857" s="699" t="str">
        <f>I857/VLOOKUP(K857,Sheet1!$D$7:$N$16,G857+1,FALSE)</f>
        <v>#N/A</v>
      </c>
      <c r="P857" s="684" t="str">
        <f t="shared" si="31"/>
        <v>#REF!</v>
      </c>
      <c r="Q857" s="702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</row>
    <row r="858" ht="15.75" hidden="1" customHeight="1">
      <c r="A858" s="90"/>
      <c r="B858" s="2"/>
      <c r="C858" s="90"/>
      <c r="D858" s="709" t="s">
        <v>274</v>
      </c>
      <c r="E858" s="710"/>
      <c r="F858" s="711">
        <v>3.0</v>
      </c>
      <c r="G858" s="731" t="s">
        <v>251</v>
      </c>
      <c r="H858" s="179"/>
      <c r="I858" s="717"/>
      <c r="J858" s="713">
        <v>8.0</v>
      </c>
      <c r="K858" s="183">
        <v>7.0</v>
      </c>
      <c r="L858" s="183"/>
      <c r="M858" s="183"/>
      <c r="N858" s="183"/>
      <c r="O858" s="699" t="str">
        <f>I858/VLOOKUP(K858,Sheet1!$D$7:$N$16,G858+1,FALSE)</f>
        <v>#REF!</v>
      </c>
      <c r="P858" s="684" t="str">
        <f t="shared" si="31"/>
        <v>#REF!</v>
      </c>
      <c r="Q858" s="702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</row>
    <row r="859" ht="3.75" hidden="1" customHeight="1">
      <c r="A859" s="90"/>
      <c r="B859" s="2"/>
      <c r="C859" s="90"/>
      <c r="D859" s="138"/>
      <c r="E859" s="252"/>
      <c r="F859" s="102"/>
      <c r="G859" s="102"/>
      <c r="H859" s="102"/>
      <c r="I859" s="247"/>
      <c r="J859" s="156"/>
      <c r="K859" s="183"/>
      <c r="L859" s="183"/>
      <c r="M859" s="183"/>
      <c r="N859" s="183"/>
      <c r="O859" s="699" t="str">
        <f>I859/VLOOKUP(K859,Sheet1!$D$7:$N$16,G859+1,FALSE)</f>
        <v>#N/A</v>
      </c>
      <c r="P859" s="684" t="str">
        <f t="shared" si="31"/>
        <v>#REF!</v>
      </c>
      <c r="Q859" s="702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</row>
    <row r="860" ht="15.75" hidden="1" customHeight="1">
      <c r="A860" s="90"/>
      <c r="B860" s="2"/>
      <c r="C860" s="90"/>
      <c r="D860" s="185"/>
      <c r="E860" s="266"/>
      <c r="F860" s="187"/>
      <c r="G860" s="718"/>
      <c r="H860" s="187"/>
      <c r="I860" s="164"/>
      <c r="J860" s="266"/>
      <c r="K860" s="183"/>
      <c r="L860" s="183"/>
      <c r="M860" s="183"/>
      <c r="N860" s="183"/>
      <c r="O860" s="699" t="str">
        <f>I860/VLOOKUP(K860,Sheet1!$D$7:$N$16,G860+1,FALSE)</f>
        <v>#N/A</v>
      </c>
      <c r="P860" s="684" t="str">
        <f t="shared" si="31"/>
        <v>#REF!</v>
      </c>
      <c r="Q860" s="702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</row>
    <row r="861" ht="3.75" hidden="1" customHeight="1">
      <c r="A861" s="191"/>
      <c r="B861" s="719"/>
      <c r="C861" s="192"/>
      <c r="D861" s="138"/>
      <c r="E861" s="267"/>
      <c r="F861" s="194"/>
      <c r="G861" s="194"/>
      <c r="H861" s="194"/>
      <c r="I861" s="164"/>
      <c r="J861" s="267"/>
      <c r="K861" s="183"/>
      <c r="L861" s="183"/>
      <c r="M861" s="183"/>
      <c r="N861" s="183"/>
      <c r="O861" s="699" t="str">
        <f>I861/VLOOKUP(K861,Sheet1!$D$7:$N$16,G861+1,FALSE)</f>
        <v>#N/A</v>
      </c>
      <c r="P861" s="684" t="str">
        <f t="shared" si="31"/>
        <v>#REF!</v>
      </c>
      <c r="Q861" s="702"/>
      <c r="R861" s="158"/>
      <c r="S861" s="158"/>
      <c r="T861" s="158"/>
      <c r="U861" s="158"/>
      <c r="V861" s="158"/>
      <c r="W861" s="158"/>
      <c r="X861" s="158"/>
      <c r="Y861" s="158"/>
      <c r="Z861" s="158"/>
      <c r="AA861" s="158"/>
      <c r="AB861" s="158"/>
      <c r="AC861" s="158"/>
      <c r="AD861" s="158"/>
      <c r="AE861" s="158"/>
      <c r="AF861" s="158"/>
    </row>
    <row r="862" ht="15.75" hidden="1" customHeight="1">
      <c r="A862" s="90"/>
      <c r="B862" s="2"/>
      <c r="C862" s="90"/>
      <c r="D862" s="185"/>
      <c r="E862" s="266"/>
      <c r="F862" s="187"/>
      <c r="G862" s="187"/>
      <c r="H862" s="187"/>
      <c r="I862" s="164"/>
      <c r="J862" s="266"/>
      <c r="K862" s="183"/>
      <c r="L862" s="183"/>
      <c r="M862" s="183"/>
      <c r="N862" s="183"/>
      <c r="O862" s="699" t="str">
        <f>I862/VLOOKUP(K862,Sheet1!$D$7:$N$16,G862+1,FALSE)</f>
        <v>#N/A</v>
      </c>
      <c r="P862" s="684" t="str">
        <f t="shared" si="31"/>
        <v>#REF!</v>
      </c>
      <c r="Q862" s="702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</row>
    <row r="863" ht="3.75" hidden="1" customHeight="1">
      <c r="A863" s="90"/>
      <c r="B863" s="2"/>
      <c r="C863" s="90"/>
      <c r="D863" s="138"/>
      <c r="E863" s="252"/>
      <c r="F863" s="102"/>
      <c r="G863" s="102"/>
      <c r="H863" s="102"/>
      <c r="I863" s="247"/>
      <c r="J863" s="156"/>
      <c r="K863" s="183"/>
      <c r="L863" s="183"/>
      <c r="M863" s="183"/>
      <c r="N863" s="183"/>
      <c r="O863" s="699" t="str">
        <f>I863/VLOOKUP(K863,Sheet1!$D$7:$N$16,G863+1,FALSE)</f>
        <v>#N/A</v>
      </c>
      <c r="P863" s="684" t="str">
        <f t="shared" si="31"/>
        <v>#REF!</v>
      </c>
      <c r="Q863" s="702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</row>
    <row r="864" ht="15.75" hidden="1" customHeight="1">
      <c r="A864" s="90"/>
      <c r="B864" s="2"/>
      <c r="C864" s="90"/>
      <c r="D864" s="185"/>
      <c r="E864" s="266"/>
      <c r="F864" s="187"/>
      <c r="G864" s="187"/>
      <c r="H864" s="187"/>
      <c r="I864" s="164"/>
      <c r="J864" s="266"/>
      <c r="K864" s="183"/>
      <c r="L864" s="183"/>
      <c r="M864" s="183"/>
      <c r="N864" s="183"/>
      <c r="O864" s="699" t="str">
        <f>I864/VLOOKUP(K864,Sheet1!$D$7:$N$16,G864+1,FALSE)</f>
        <v>#N/A</v>
      </c>
      <c r="P864" s="684" t="str">
        <f t="shared" si="31"/>
        <v>#REF!</v>
      </c>
      <c r="Q864" s="697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</row>
    <row r="865" ht="3.75" hidden="1" customHeight="1">
      <c r="A865" s="90"/>
      <c r="B865" s="2"/>
      <c r="C865" s="90"/>
      <c r="D865" s="90"/>
      <c r="E865" s="156"/>
      <c r="F865" s="102"/>
      <c r="G865" s="102"/>
      <c r="H865" s="102"/>
      <c r="I865" s="102"/>
      <c r="J865" s="156"/>
      <c r="K865" s="720"/>
      <c r="L865" s="201"/>
      <c r="M865" s="201"/>
      <c r="N865" s="201"/>
      <c r="O865" s="699" t="str">
        <f>I865/VLOOKUP(K865,Sheet1!$D$7:$N$16,G865+1,FALSE)</f>
        <v>#N/A</v>
      </c>
      <c r="P865" s="684" t="str">
        <f t="shared" si="31"/>
        <v>#REF!</v>
      </c>
      <c r="Q865" s="720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</row>
    <row r="866" ht="30.0" hidden="1" customHeight="1">
      <c r="A866" s="90"/>
      <c r="B866" s="2"/>
      <c r="C866" s="90"/>
      <c r="D866" s="686" t="s">
        <v>246</v>
      </c>
      <c r="E866" s="687" t="s">
        <v>15</v>
      </c>
      <c r="F866" s="721" t="s">
        <v>16</v>
      </c>
      <c r="G866" s="722" t="s">
        <v>17</v>
      </c>
      <c r="H866" s="723"/>
      <c r="I866" s="724"/>
      <c r="J866" s="725" t="s">
        <v>241</v>
      </c>
      <c r="K866" s="691"/>
      <c r="L866" s="692"/>
      <c r="M866" s="692"/>
      <c r="N866" s="692"/>
      <c r="O866" s="699"/>
      <c r="P866" s="684"/>
      <c r="Q866" s="693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</row>
    <row r="867" ht="14.25" hidden="1" customHeight="1">
      <c r="A867" s="90"/>
      <c r="B867" s="2"/>
      <c r="C867" s="90"/>
      <c r="D867" s="257" t="s">
        <v>25</v>
      </c>
      <c r="E867" s="257" t="s">
        <v>26</v>
      </c>
      <c r="F867" s="680"/>
      <c r="G867" s="681"/>
      <c r="H867" s="723"/>
      <c r="I867" s="681"/>
      <c r="J867" s="725" t="s">
        <v>244</v>
      </c>
      <c r="K867" s="697"/>
      <c r="L867" s="692"/>
      <c r="M867" s="692"/>
      <c r="N867" s="692"/>
      <c r="O867" s="699"/>
      <c r="P867" s="684"/>
      <c r="Q867" s="698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</row>
    <row r="868" ht="3.75" hidden="1" customHeight="1">
      <c r="A868" s="191"/>
      <c r="B868" s="719"/>
      <c r="C868" s="192"/>
      <c r="D868" s="203"/>
      <c r="E868" s="203"/>
      <c r="F868" s="726"/>
      <c r="G868" s="726"/>
      <c r="H868" s="726"/>
      <c r="I868" s="727"/>
      <c r="J868" s="728"/>
      <c r="K868" s="192"/>
      <c r="L868" s="194"/>
      <c r="M868" s="194"/>
      <c r="N868" s="194"/>
      <c r="O868" s="699"/>
      <c r="P868" s="684" t="str">
        <f t="shared" ref="P868:P890" si="32">I868-#REF!</f>
        <v>#REF!</v>
      </c>
      <c r="Q868" s="192"/>
      <c r="R868" s="158"/>
      <c r="S868" s="158"/>
      <c r="T868" s="158"/>
      <c r="U868" s="158"/>
      <c r="V868" s="158"/>
      <c r="W868" s="158"/>
      <c r="X868" s="158"/>
      <c r="Y868" s="158"/>
      <c r="Z868" s="158"/>
      <c r="AA868" s="158"/>
      <c r="AB868" s="158"/>
      <c r="AC868" s="158"/>
      <c r="AD868" s="158"/>
      <c r="AE868" s="158"/>
      <c r="AF868" s="158"/>
    </row>
    <row r="869" ht="15.75" hidden="1" customHeight="1">
      <c r="A869" s="124"/>
      <c r="B869" s="2"/>
      <c r="C869" s="124"/>
      <c r="D869" s="185" t="s">
        <v>248</v>
      </c>
      <c r="E869" s="743"/>
      <c r="F869" s="187">
        <v>1.0</v>
      </c>
      <c r="G869" s="187">
        <v>6.0</v>
      </c>
      <c r="H869" s="187"/>
      <c r="I869" s="164">
        <v>210.0</v>
      </c>
      <c r="J869" s="266">
        <v>6.0</v>
      </c>
      <c r="K869" s="183">
        <v>6.5</v>
      </c>
      <c r="L869" s="183"/>
      <c r="M869" s="183"/>
      <c r="N869" s="183"/>
      <c r="O869" s="699">
        <f>I869/VLOOKUP(K869,Sheet1!$D$7:$N$16,G869+1,FALSE)</f>
        <v>279.0697674</v>
      </c>
      <c r="P869" s="684" t="str">
        <f t="shared" si="32"/>
        <v>#REF!</v>
      </c>
      <c r="Q869" s="730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</row>
    <row r="870" ht="3.75" hidden="1" customHeight="1">
      <c r="A870" s="124"/>
      <c r="B870" s="2"/>
      <c r="C870" s="124"/>
      <c r="D870" s="138"/>
      <c r="E870" s="321"/>
      <c r="F870" s="102"/>
      <c r="G870" s="102"/>
      <c r="H870" s="102"/>
      <c r="I870" s="247"/>
      <c r="J870" s="267"/>
      <c r="K870" s="183"/>
      <c r="L870" s="183"/>
      <c r="M870" s="183"/>
      <c r="N870" s="183"/>
      <c r="O870" s="699" t="str">
        <f>I870/VLOOKUP(K870,Sheet1!$D$7:$N$16,G870+1,FALSE)</f>
        <v>#N/A</v>
      </c>
      <c r="P870" s="684" t="str">
        <f t="shared" si="32"/>
        <v>#REF!</v>
      </c>
      <c r="Q870" s="702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</row>
    <row r="871" ht="15.75" hidden="1" customHeight="1">
      <c r="A871" s="90"/>
      <c r="B871" s="2"/>
      <c r="C871" s="90"/>
      <c r="D871" s="185" t="s">
        <v>291</v>
      </c>
      <c r="E871" s="264"/>
      <c r="F871" s="187">
        <v>2.0</v>
      </c>
      <c r="G871" s="187">
        <v>1.0</v>
      </c>
      <c r="H871" s="187"/>
      <c r="I871" s="164">
        <v>210.0</v>
      </c>
      <c r="J871" s="266" t="s">
        <v>78</v>
      </c>
      <c r="K871" s="183">
        <v>6.0</v>
      </c>
      <c r="L871" s="183"/>
      <c r="M871" s="183"/>
      <c r="N871" s="183"/>
      <c r="O871" s="699">
        <f>I871/VLOOKUP(K871,Sheet1!$D$7:$N$16,G871+1,FALSE)</f>
        <v>242.7745665</v>
      </c>
      <c r="P871" s="684" t="str">
        <f t="shared" si="32"/>
        <v>#REF!</v>
      </c>
      <c r="Q871" s="702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</row>
    <row r="872" ht="3.75" hidden="1" customHeight="1">
      <c r="A872" s="90"/>
      <c r="B872" s="2"/>
      <c r="C872" s="90"/>
      <c r="D872" s="138"/>
      <c r="E872" s="321"/>
      <c r="F872" s="102"/>
      <c r="G872" s="102"/>
      <c r="H872" s="102"/>
      <c r="I872" s="247"/>
      <c r="J872" s="267"/>
      <c r="K872" s="183"/>
      <c r="L872" s="183"/>
      <c r="M872" s="183"/>
      <c r="N872" s="183"/>
      <c r="O872" s="699" t="str">
        <f>I872/VLOOKUP(K872,Sheet1!$D$7:$N$16,G872+1,FALSE)</f>
        <v>#N/A</v>
      </c>
      <c r="P872" s="684" t="str">
        <f t="shared" si="32"/>
        <v>#REF!</v>
      </c>
      <c r="Q872" s="702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</row>
    <row r="873" ht="15.75" hidden="1" customHeight="1">
      <c r="A873" s="90"/>
      <c r="B873" s="2"/>
      <c r="C873" s="90"/>
      <c r="D873" s="185" t="s">
        <v>248</v>
      </c>
      <c r="E873" s="264"/>
      <c r="F873" s="187">
        <v>2.0</v>
      </c>
      <c r="G873" s="187">
        <v>6.0</v>
      </c>
      <c r="H873" s="187"/>
      <c r="I873" s="164">
        <v>190.0</v>
      </c>
      <c r="J873" s="706">
        <v>-0.12</v>
      </c>
      <c r="K873" s="183">
        <v>6.0</v>
      </c>
      <c r="L873" s="183"/>
      <c r="M873" s="183"/>
      <c r="N873" s="183"/>
      <c r="O873" s="699">
        <f>I873/VLOOKUP(K873,Sheet1!$D$7:$N$16,G873+1,FALSE)</f>
        <v>256.7567568</v>
      </c>
      <c r="P873" s="684" t="str">
        <f t="shared" si="32"/>
        <v>#REF!</v>
      </c>
      <c r="Q873" s="702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</row>
    <row r="874" ht="3.75" hidden="1" customHeight="1">
      <c r="A874" s="90"/>
      <c r="B874" s="2"/>
      <c r="C874" s="90"/>
      <c r="D874" s="138"/>
      <c r="E874" s="321"/>
      <c r="F874" s="102"/>
      <c r="G874" s="102"/>
      <c r="H874" s="102"/>
      <c r="I874" s="247"/>
      <c r="J874" s="156"/>
      <c r="K874" s="183"/>
      <c r="L874" s="183"/>
      <c r="M874" s="183"/>
      <c r="N874" s="183"/>
      <c r="O874" s="699" t="str">
        <f>I874/VLOOKUP(K874,Sheet1!$D$7:$N$16,G874+1,FALSE)</f>
        <v>#N/A</v>
      </c>
      <c r="P874" s="684" t="str">
        <f t="shared" si="32"/>
        <v>#REF!</v>
      </c>
      <c r="Q874" s="702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</row>
    <row r="875" ht="15.75" hidden="1" customHeight="1">
      <c r="A875" s="90"/>
      <c r="B875" s="2"/>
      <c r="C875" s="90"/>
      <c r="D875" s="185"/>
      <c r="E875" s="260"/>
      <c r="F875" s="187"/>
      <c r="G875" s="187"/>
      <c r="H875" s="187"/>
      <c r="I875" s="164"/>
      <c r="J875" s="266"/>
      <c r="K875" s="183"/>
      <c r="L875" s="183"/>
      <c r="M875" s="183"/>
      <c r="N875" s="183"/>
      <c r="O875" s="699" t="str">
        <f>I875/VLOOKUP(K875,Sheet1!$D$7:$N$16,G875+1,FALSE)</f>
        <v>#N/A</v>
      </c>
      <c r="P875" s="684" t="str">
        <f t="shared" si="32"/>
        <v>#REF!</v>
      </c>
      <c r="Q875" s="702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</row>
    <row r="876" ht="3.75" hidden="1" customHeight="1">
      <c r="A876" s="90"/>
      <c r="B876" s="2"/>
      <c r="C876" s="90"/>
      <c r="D876" s="138"/>
      <c r="E876" s="321"/>
      <c r="F876" s="102"/>
      <c r="G876" s="102"/>
      <c r="H876" s="102"/>
      <c r="I876" s="247"/>
      <c r="J876" s="267"/>
      <c r="K876" s="183"/>
      <c r="L876" s="183"/>
      <c r="M876" s="183"/>
      <c r="N876" s="183"/>
      <c r="O876" s="699" t="str">
        <f>I876/VLOOKUP(K876,Sheet1!$D$7:$N$16,G876+1,FALSE)</f>
        <v>#N/A</v>
      </c>
      <c r="P876" s="684" t="str">
        <f t="shared" si="32"/>
        <v>#REF!</v>
      </c>
      <c r="Q876" s="702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</row>
    <row r="877" ht="15.75" hidden="1" customHeight="1">
      <c r="A877" s="90"/>
      <c r="B877" s="2"/>
      <c r="C877" s="90"/>
      <c r="D877" s="185"/>
      <c r="E877" s="260"/>
      <c r="F877" s="187"/>
      <c r="G877" s="187"/>
      <c r="H877" s="187"/>
      <c r="I877" s="164"/>
      <c r="J877" s="266"/>
      <c r="K877" s="183"/>
      <c r="L877" s="183"/>
      <c r="M877" s="183"/>
      <c r="N877" s="183"/>
      <c r="O877" s="699" t="str">
        <f>I877/VLOOKUP(K877,Sheet1!$D$7:$N$16,G877+1,FALSE)</f>
        <v>#N/A</v>
      </c>
      <c r="P877" s="684" t="str">
        <f t="shared" si="32"/>
        <v>#REF!</v>
      </c>
      <c r="Q877" s="702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</row>
    <row r="878" ht="3.75" hidden="1" customHeight="1">
      <c r="A878" s="90"/>
      <c r="B878" s="2"/>
      <c r="C878" s="90"/>
      <c r="D878" s="138"/>
      <c r="E878" s="321"/>
      <c r="F878" s="102"/>
      <c r="G878" s="102"/>
      <c r="H878" s="102"/>
      <c r="I878" s="247"/>
      <c r="J878" s="267"/>
      <c r="K878" s="183"/>
      <c r="L878" s="183"/>
      <c r="M878" s="183"/>
      <c r="N878" s="183"/>
      <c r="O878" s="699" t="str">
        <f>I878/VLOOKUP(K878,Sheet1!$D$7:$N$16,G878+1,FALSE)</f>
        <v>#N/A</v>
      </c>
      <c r="P878" s="684" t="str">
        <f t="shared" si="32"/>
        <v>#REF!</v>
      </c>
      <c r="Q878" s="702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</row>
    <row r="879" ht="15.75" hidden="1" customHeight="1">
      <c r="A879" s="90"/>
      <c r="B879" s="2"/>
      <c r="C879" s="90"/>
      <c r="D879" s="185" t="s">
        <v>252</v>
      </c>
      <c r="E879" s="260"/>
      <c r="F879" s="187">
        <v>3.0</v>
      </c>
      <c r="G879" s="187" t="s">
        <v>41</v>
      </c>
      <c r="H879" s="187"/>
      <c r="I879" s="164"/>
      <c r="J879" s="266">
        <v>8.0</v>
      </c>
      <c r="K879" s="183">
        <v>8.0</v>
      </c>
      <c r="L879" s="183"/>
      <c r="M879" s="183"/>
      <c r="N879" s="183"/>
      <c r="O879" s="699" t="str">
        <f>I879/VLOOKUP(K879,Sheet1!$D$7:$N$16,G879+1,FALSE)</f>
        <v>#VALUE!</v>
      </c>
      <c r="P879" s="684" t="str">
        <f t="shared" si="32"/>
        <v>#REF!</v>
      </c>
      <c r="Q879" s="702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</row>
    <row r="880" ht="3.75" hidden="1" customHeight="1">
      <c r="A880" s="90"/>
      <c r="B880" s="2"/>
      <c r="C880" s="90"/>
      <c r="D880" s="138"/>
      <c r="E880" s="321"/>
      <c r="F880" s="102"/>
      <c r="G880" s="102"/>
      <c r="H880" s="102"/>
      <c r="I880" s="247"/>
      <c r="J880" s="267"/>
      <c r="K880" s="183"/>
      <c r="L880" s="183"/>
      <c r="M880" s="183"/>
      <c r="N880" s="183"/>
      <c r="O880" s="699" t="str">
        <f>I880/VLOOKUP(K880,Sheet1!$D$7:$N$16,G880+1,FALSE)</f>
        <v>#N/A</v>
      </c>
      <c r="P880" s="684" t="str">
        <f t="shared" si="32"/>
        <v>#REF!</v>
      </c>
      <c r="Q880" s="702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</row>
    <row r="881" ht="15.75" hidden="1" customHeight="1">
      <c r="A881" s="90"/>
      <c r="B881" s="2"/>
      <c r="C881" s="90"/>
      <c r="D881" s="185" t="s">
        <v>88</v>
      </c>
      <c r="E881" s="264"/>
      <c r="F881" s="187">
        <v>4.0</v>
      </c>
      <c r="G881" s="731" t="s">
        <v>251</v>
      </c>
      <c r="H881" s="187"/>
      <c r="I881" s="164"/>
      <c r="J881" s="266">
        <v>9.0</v>
      </c>
      <c r="K881" s="183">
        <v>9.0</v>
      </c>
      <c r="L881" s="183"/>
      <c r="M881" s="183"/>
      <c r="N881" s="183"/>
      <c r="O881" s="699" t="str">
        <f>I881/VLOOKUP(K881,Sheet1!$D$7:$N$16,G881+1,FALSE)</f>
        <v>#REF!</v>
      </c>
      <c r="P881" s="684" t="str">
        <f t="shared" si="32"/>
        <v>#REF!</v>
      </c>
      <c r="Q881" s="702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</row>
    <row r="882" ht="3.75" hidden="1" customHeight="1">
      <c r="A882" s="191"/>
      <c r="B882" s="719"/>
      <c r="C882" s="192"/>
      <c r="D882" s="138"/>
      <c r="E882" s="263"/>
      <c r="F882" s="194"/>
      <c r="G882" s="194"/>
      <c r="H882" s="194"/>
      <c r="I882" s="164"/>
      <c r="J882" s="267"/>
      <c r="K882" s="183"/>
      <c r="L882" s="183"/>
      <c r="M882" s="183"/>
      <c r="N882" s="183"/>
      <c r="O882" s="699" t="str">
        <f>I882/VLOOKUP(K882,Sheet1!$D$7:$N$16,G882+1,FALSE)</f>
        <v>#N/A</v>
      </c>
      <c r="P882" s="684" t="str">
        <f t="shared" si="32"/>
        <v>#REF!</v>
      </c>
      <c r="Q882" s="702"/>
      <c r="R882" s="158"/>
      <c r="S882" s="158"/>
      <c r="T882" s="158"/>
      <c r="U882" s="158"/>
      <c r="V882" s="158"/>
      <c r="W882" s="158"/>
      <c r="X882" s="158"/>
      <c r="Y882" s="158"/>
      <c r="Z882" s="158"/>
      <c r="AA882" s="158"/>
      <c r="AB882" s="158"/>
      <c r="AC882" s="158"/>
      <c r="AD882" s="158"/>
      <c r="AE882" s="158"/>
      <c r="AF882" s="158"/>
    </row>
    <row r="883" ht="15.75" hidden="1" customHeight="1">
      <c r="A883" s="90"/>
      <c r="B883" s="2"/>
      <c r="C883" s="90"/>
      <c r="D883" s="185" t="s">
        <v>254</v>
      </c>
      <c r="E883" s="266"/>
      <c r="F883" s="187">
        <v>3.0</v>
      </c>
      <c r="G883" s="731" t="s">
        <v>251</v>
      </c>
      <c r="H883" s="187"/>
      <c r="I883" s="164"/>
      <c r="J883" s="266">
        <v>9.0</v>
      </c>
      <c r="K883" s="183">
        <v>9.0</v>
      </c>
      <c r="L883" s="183"/>
      <c r="M883" s="183"/>
      <c r="N883" s="183"/>
      <c r="O883" s="699" t="str">
        <f>I883/VLOOKUP(K883,Sheet1!$D$7:$N$16,G883+1,FALSE)</f>
        <v>#REF!</v>
      </c>
      <c r="P883" s="684" t="str">
        <f t="shared" si="32"/>
        <v>#REF!</v>
      </c>
      <c r="Q883" s="702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</row>
    <row r="884" ht="3.75" hidden="1" customHeight="1">
      <c r="A884" s="90"/>
      <c r="B884" s="2"/>
      <c r="C884" s="90"/>
      <c r="D884" s="138"/>
      <c r="E884" s="252"/>
      <c r="F884" s="102"/>
      <c r="G884" s="102"/>
      <c r="H884" s="102"/>
      <c r="I884" s="247"/>
      <c r="J884" s="156"/>
      <c r="K884" s="183"/>
      <c r="L884" s="183"/>
      <c r="M884" s="183"/>
      <c r="N884" s="183"/>
      <c r="O884" s="699" t="str">
        <f>I884/VLOOKUP(K884,Sheet1!$D$7:$N$16,G884+1,FALSE)</f>
        <v>#N/A</v>
      </c>
      <c r="P884" s="684" t="str">
        <f t="shared" si="32"/>
        <v>#REF!</v>
      </c>
      <c r="Q884" s="702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</row>
    <row r="885" ht="15.75" hidden="1" customHeight="1">
      <c r="A885" s="90"/>
      <c r="B885" s="2"/>
      <c r="C885" s="90"/>
      <c r="D885" s="185" t="s">
        <v>255</v>
      </c>
      <c r="E885" s="260"/>
      <c r="F885" s="187">
        <v>3.0</v>
      </c>
      <c r="G885" s="731" t="s">
        <v>251</v>
      </c>
      <c r="H885" s="187"/>
      <c r="I885" s="164"/>
      <c r="J885" s="266">
        <v>9.0</v>
      </c>
      <c r="K885" s="183">
        <v>8.0</v>
      </c>
      <c r="L885" s="183"/>
      <c r="M885" s="183"/>
      <c r="N885" s="183"/>
      <c r="O885" s="699" t="str">
        <f>I885/VLOOKUP(K885,Sheet1!$D$7:$N$16,G885+1,FALSE)</f>
        <v>#REF!</v>
      </c>
      <c r="P885" s="684" t="str">
        <f t="shared" si="32"/>
        <v>#REF!</v>
      </c>
      <c r="Q885" s="702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</row>
    <row r="886" ht="3.75" hidden="1" customHeight="1">
      <c r="A886" s="191"/>
      <c r="B886" s="719"/>
      <c r="C886" s="192"/>
      <c r="D886" s="138"/>
      <c r="E886" s="267"/>
      <c r="F886" s="194"/>
      <c r="G886" s="194"/>
      <c r="H886" s="194"/>
      <c r="I886" s="164"/>
      <c r="J886" s="267"/>
      <c r="K886" s="183"/>
      <c r="L886" s="183"/>
      <c r="M886" s="183"/>
      <c r="N886" s="183"/>
      <c r="O886" s="699" t="str">
        <f>I886/VLOOKUP(K886,Sheet1!$D$7:$N$16,G886+1,FALSE)</f>
        <v>#N/A</v>
      </c>
      <c r="P886" s="684" t="str">
        <f t="shared" si="32"/>
        <v>#REF!</v>
      </c>
      <c r="Q886" s="702"/>
      <c r="R886" s="158"/>
      <c r="S886" s="158"/>
      <c r="T886" s="158"/>
      <c r="U886" s="158"/>
      <c r="V886" s="158"/>
      <c r="W886" s="158"/>
      <c r="X886" s="158"/>
      <c r="Y886" s="158"/>
      <c r="Z886" s="158"/>
      <c r="AA886" s="158"/>
      <c r="AB886" s="158"/>
      <c r="AC886" s="158"/>
      <c r="AD886" s="158"/>
      <c r="AE886" s="158"/>
      <c r="AF886" s="158"/>
    </row>
    <row r="887" ht="15.75" hidden="1" customHeight="1">
      <c r="A887" s="90"/>
      <c r="B887" s="2"/>
      <c r="C887" s="90"/>
      <c r="D887" s="185" t="s">
        <v>256</v>
      </c>
      <c r="E887" s="266"/>
      <c r="F887" s="187">
        <v>3.0</v>
      </c>
      <c r="G887" s="187" t="s">
        <v>16</v>
      </c>
      <c r="H887" s="187"/>
      <c r="I887" s="164"/>
      <c r="J887" s="266">
        <v>9.0</v>
      </c>
      <c r="K887" s="183">
        <v>8.0</v>
      </c>
      <c r="L887" s="183"/>
      <c r="M887" s="183"/>
      <c r="N887" s="183"/>
      <c r="O887" s="699" t="str">
        <f>I887/VLOOKUP(K887,Sheet1!$D$7:$N$16,G887+1,FALSE)</f>
        <v>#VALUE!</v>
      </c>
      <c r="P887" s="684" t="str">
        <f t="shared" si="32"/>
        <v>#REF!</v>
      </c>
      <c r="Q887" s="702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</row>
    <row r="888" ht="3.75" hidden="1" customHeight="1">
      <c r="A888" s="90"/>
      <c r="B888" s="2"/>
      <c r="C888" s="90"/>
      <c r="D888" s="138"/>
      <c r="E888" s="252"/>
      <c r="F888" s="102"/>
      <c r="G888" s="102"/>
      <c r="H888" s="102"/>
      <c r="I888" s="247"/>
      <c r="J888" s="156"/>
      <c r="K888" s="183"/>
      <c r="L888" s="183"/>
      <c r="M888" s="183"/>
      <c r="N888" s="183"/>
      <c r="O888" s="699" t="str">
        <f>I888/VLOOKUP(K888,Sheet1!$D$7:$N$16,G888+1,FALSE)</f>
        <v>#N/A</v>
      </c>
      <c r="P888" s="684" t="str">
        <f t="shared" si="32"/>
        <v>#REF!</v>
      </c>
      <c r="Q888" s="702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</row>
    <row r="889" ht="15.75" hidden="1" customHeight="1">
      <c r="A889" s="90"/>
      <c r="B889" s="2"/>
      <c r="C889" s="90"/>
      <c r="D889" s="185"/>
      <c r="E889" s="266"/>
      <c r="F889" s="187"/>
      <c r="G889" s="187"/>
      <c r="H889" s="187"/>
      <c r="I889" s="164"/>
      <c r="J889" s="266"/>
      <c r="K889" s="183"/>
      <c r="L889" s="183"/>
      <c r="M889" s="183"/>
      <c r="N889" s="183"/>
      <c r="O889" s="699" t="str">
        <f>I889/VLOOKUP(K889,Sheet1!$D$7:$N$16,G889+1,FALSE)</f>
        <v>#N/A</v>
      </c>
      <c r="P889" s="684" t="str">
        <f t="shared" si="32"/>
        <v>#REF!</v>
      </c>
      <c r="Q889" s="697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</row>
    <row r="890" ht="3.75" hidden="1" customHeight="1">
      <c r="A890" s="90"/>
      <c r="B890" s="2"/>
      <c r="C890" s="90"/>
      <c r="D890" s="90"/>
      <c r="E890" s="156"/>
      <c r="F890" s="102"/>
      <c r="G890" s="102"/>
      <c r="H890" s="102"/>
      <c r="I890" s="102"/>
      <c r="J890" s="156"/>
      <c r="K890" s="720"/>
      <c r="L890" s="201"/>
      <c r="M890" s="201"/>
      <c r="N890" s="201"/>
      <c r="O890" s="699" t="str">
        <f>I890/VLOOKUP(K890,Sheet1!$D$7:$N$16,G890+1,FALSE)</f>
        <v>#N/A</v>
      </c>
      <c r="P890" s="684" t="str">
        <f t="shared" si="32"/>
        <v>#REF!</v>
      </c>
      <c r="Q890" s="720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</row>
    <row r="891" ht="30.75" hidden="1" customHeight="1">
      <c r="A891" s="90"/>
      <c r="B891" s="2"/>
      <c r="C891" s="90"/>
      <c r="D891" s="686" t="s">
        <v>257</v>
      </c>
      <c r="E891" s="687" t="s">
        <v>15</v>
      </c>
      <c r="F891" s="721" t="s">
        <v>16</v>
      </c>
      <c r="G891" s="722" t="s">
        <v>17</v>
      </c>
      <c r="H891" s="723"/>
      <c r="I891" s="724"/>
      <c r="J891" s="725" t="s">
        <v>241</v>
      </c>
      <c r="K891" s="691"/>
      <c r="L891" s="692"/>
      <c r="M891" s="692"/>
      <c r="N891" s="692"/>
      <c r="O891" s="699"/>
      <c r="P891" s="684"/>
      <c r="Q891" s="693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</row>
    <row r="892" ht="14.25" hidden="1" customHeight="1">
      <c r="A892" s="90"/>
      <c r="B892" s="2"/>
      <c r="C892" s="90"/>
      <c r="D892" s="257" t="s">
        <v>25</v>
      </c>
      <c r="E892" s="257" t="s">
        <v>26</v>
      </c>
      <c r="F892" s="680"/>
      <c r="G892" s="681"/>
      <c r="H892" s="723"/>
      <c r="I892" s="681"/>
      <c r="J892" s="725" t="s">
        <v>244</v>
      </c>
      <c r="K892" s="697"/>
      <c r="L892" s="692"/>
      <c r="M892" s="692"/>
      <c r="N892" s="692"/>
      <c r="O892" s="699"/>
      <c r="P892" s="684"/>
      <c r="Q892" s="698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</row>
    <row r="893" ht="3.75" hidden="1" customHeight="1">
      <c r="A893" s="191"/>
      <c r="B893" s="719"/>
      <c r="C893" s="192"/>
      <c r="D893" s="203"/>
      <c r="E893" s="203"/>
      <c r="F893" s="726"/>
      <c r="G893" s="726"/>
      <c r="H893" s="726"/>
      <c r="I893" s="727"/>
      <c r="J893" s="728"/>
      <c r="K893" s="192"/>
      <c r="L893" s="194"/>
      <c r="M893" s="194"/>
      <c r="N893" s="194"/>
      <c r="O893" s="699"/>
      <c r="P893" s="684" t="str">
        <f t="shared" ref="P893:P915" si="33">I893-#REF!</f>
        <v>#REF!</v>
      </c>
      <c r="Q893" s="192"/>
      <c r="R893" s="158"/>
      <c r="S893" s="158"/>
      <c r="T893" s="158"/>
      <c r="U893" s="158"/>
      <c r="V893" s="158"/>
      <c r="W893" s="158"/>
      <c r="X893" s="158"/>
      <c r="Y893" s="158"/>
      <c r="Z893" s="158"/>
      <c r="AA893" s="158"/>
      <c r="AB893" s="158"/>
      <c r="AC893" s="158"/>
      <c r="AD893" s="158"/>
      <c r="AE893" s="158"/>
      <c r="AF893" s="158"/>
    </row>
    <row r="894" ht="15.75" hidden="1" customHeight="1">
      <c r="A894" s="124"/>
      <c r="B894" s="2"/>
      <c r="C894" s="124"/>
      <c r="D894" s="185" t="s">
        <v>287</v>
      </c>
      <c r="E894" s="732"/>
      <c r="F894" s="187">
        <v>3.0</v>
      </c>
      <c r="G894" s="187">
        <v>3.0</v>
      </c>
      <c r="H894" s="187"/>
      <c r="I894" s="164">
        <v>160.0</v>
      </c>
      <c r="J894" s="266">
        <v>5.0</v>
      </c>
      <c r="K894" s="183">
        <v>5.0</v>
      </c>
      <c r="L894" s="183"/>
      <c r="M894" s="183"/>
      <c r="N894" s="183"/>
      <c r="O894" s="699" t="str">
        <f>I894/VLOOKUP(K894,Sheet1!$D$7:$N$16,G894+1,FALSE)</f>
        <v>#N/A</v>
      </c>
      <c r="P894" s="684" t="str">
        <f t="shared" si="33"/>
        <v>#REF!</v>
      </c>
      <c r="Q894" s="730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</row>
    <row r="895" ht="3.75" hidden="1" customHeight="1">
      <c r="A895" s="124"/>
      <c r="B895" s="2"/>
      <c r="C895" s="124"/>
      <c r="D895" s="138"/>
      <c r="E895" s="252"/>
      <c r="F895" s="102"/>
      <c r="G895" s="102"/>
      <c r="H895" s="102"/>
      <c r="I895" s="247"/>
      <c r="J895" s="156"/>
      <c r="K895" s="183"/>
      <c r="L895" s="183"/>
      <c r="M895" s="183"/>
      <c r="N895" s="183"/>
      <c r="O895" s="699" t="str">
        <f>I895/VLOOKUP(K895,Sheet1!$D$7:$N$16,G895+1,FALSE)</f>
        <v>#N/A</v>
      </c>
      <c r="P895" s="684" t="str">
        <f t="shared" si="33"/>
        <v>#REF!</v>
      </c>
      <c r="Q895" s="702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</row>
    <row r="896" ht="15.75" hidden="1" customHeight="1">
      <c r="A896" s="90"/>
      <c r="B896" s="2"/>
      <c r="C896" s="90"/>
      <c r="D896" s="185" t="s">
        <v>292</v>
      </c>
      <c r="E896" s="224"/>
      <c r="F896" s="187">
        <v>4.0</v>
      </c>
      <c r="G896" s="187">
        <v>4.0</v>
      </c>
      <c r="H896" s="187"/>
      <c r="I896" s="164">
        <v>125.0</v>
      </c>
      <c r="J896" s="266">
        <v>7.0</v>
      </c>
      <c r="K896" s="183">
        <v>6.0</v>
      </c>
      <c r="L896" s="183"/>
      <c r="M896" s="183"/>
      <c r="N896" s="183"/>
      <c r="O896" s="699">
        <f>I896/VLOOKUP(K896,Sheet1!$D$7:$N$16,G896+1,FALSE)</f>
        <v>158.2278481</v>
      </c>
      <c r="P896" s="684" t="str">
        <f t="shared" si="33"/>
        <v>#REF!</v>
      </c>
      <c r="Q896" s="702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</row>
    <row r="897" ht="3.75" hidden="1" customHeight="1">
      <c r="A897" s="90"/>
      <c r="B897" s="2"/>
      <c r="C897" s="90"/>
      <c r="D897" s="138"/>
      <c r="E897" s="252"/>
      <c r="F897" s="102"/>
      <c r="G897" s="102"/>
      <c r="H897" s="102"/>
      <c r="I897" s="247"/>
      <c r="J897" s="156"/>
      <c r="K897" s="183"/>
      <c r="L897" s="183"/>
      <c r="M897" s="183"/>
      <c r="N897" s="183"/>
      <c r="O897" s="699" t="str">
        <f>I897/VLOOKUP(K897,Sheet1!$D$7:$N$16,G897+1,FALSE)</f>
        <v>#N/A</v>
      </c>
      <c r="P897" s="684" t="str">
        <f t="shared" si="33"/>
        <v>#REF!</v>
      </c>
      <c r="Q897" s="702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</row>
    <row r="898" ht="15.75" hidden="1" customHeight="1">
      <c r="A898" s="90"/>
      <c r="B898" s="2"/>
      <c r="C898" s="90"/>
      <c r="D898" s="185"/>
      <c r="E898" s="264"/>
      <c r="F898" s="187"/>
      <c r="G898" s="187"/>
      <c r="H898" s="187"/>
      <c r="I898" s="164"/>
      <c r="J898" s="266"/>
      <c r="K898" s="183"/>
      <c r="L898" s="183"/>
      <c r="M898" s="183"/>
      <c r="N898" s="183"/>
      <c r="O898" s="699" t="str">
        <f>I898/VLOOKUP(K898,Sheet1!$D$7:$N$16,G898+1,FALSE)</f>
        <v>#N/A</v>
      </c>
      <c r="P898" s="684" t="str">
        <f t="shared" si="33"/>
        <v>#REF!</v>
      </c>
      <c r="Q898" s="702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</row>
    <row r="899" ht="3.75" hidden="1" customHeight="1">
      <c r="A899" s="90"/>
      <c r="B899" s="2"/>
      <c r="C899" s="90"/>
      <c r="D899" s="138"/>
      <c r="E899" s="252"/>
      <c r="F899" s="102"/>
      <c r="G899" s="102"/>
      <c r="H899" s="102"/>
      <c r="I899" s="247"/>
      <c r="J899" s="156"/>
      <c r="K899" s="183"/>
      <c r="L899" s="183"/>
      <c r="M899" s="183"/>
      <c r="N899" s="183"/>
      <c r="O899" s="699" t="str">
        <f>I899/VLOOKUP(K899,Sheet1!$D$7:$N$16,G899+1,FALSE)</f>
        <v>#N/A</v>
      </c>
      <c r="P899" s="684" t="str">
        <f t="shared" si="33"/>
        <v>#REF!</v>
      </c>
      <c r="Q899" s="702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</row>
    <row r="900" ht="15.75" hidden="1" customHeight="1">
      <c r="A900" s="90"/>
      <c r="B900" s="2"/>
      <c r="C900" s="90"/>
      <c r="D900" s="185" t="s">
        <v>290</v>
      </c>
      <c r="E900" s="260"/>
      <c r="F900" s="187">
        <v>3.0</v>
      </c>
      <c r="G900" s="731" t="s">
        <v>251</v>
      </c>
      <c r="H900" s="187"/>
      <c r="I900" s="164"/>
      <c r="J900" s="266">
        <v>8.0</v>
      </c>
      <c r="K900" s="183">
        <v>8.0</v>
      </c>
      <c r="L900" s="183"/>
      <c r="M900" s="183"/>
      <c r="N900" s="183"/>
      <c r="O900" s="699" t="str">
        <f>I900/VLOOKUP(K900,Sheet1!$D$7:$N$16,G900+1,FALSE)</f>
        <v>#REF!</v>
      </c>
      <c r="P900" s="684" t="str">
        <f t="shared" si="33"/>
        <v>#REF!</v>
      </c>
      <c r="Q900" s="702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</row>
    <row r="901" ht="3.75" hidden="1" customHeight="1">
      <c r="A901" s="90"/>
      <c r="B901" s="2"/>
      <c r="C901" s="90"/>
      <c r="D901" s="138"/>
      <c r="E901" s="252"/>
      <c r="F901" s="102"/>
      <c r="G901" s="102"/>
      <c r="H901" s="102"/>
      <c r="I901" s="247"/>
      <c r="J901" s="156"/>
      <c r="K901" s="183"/>
      <c r="L901" s="183"/>
      <c r="M901" s="183"/>
      <c r="N901" s="183"/>
      <c r="O901" s="699" t="str">
        <f>I901/VLOOKUP(K901,Sheet1!$D$7:$N$16,G901+1,FALSE)</f>
        <v>#N/A</v>
      </c>
      <c r="P901" s="684" t="str">
        <f t="shared" si="33"/>
        <v>#REF!</v>
      </c>
      <c r="Q901" s="702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</row>
    <row r="902" ht="15.75" hidden="1" customHeight="1">
      <c r="A902" s="90"/>
      <c r="B902" s="2"/>
      <c r="C902" s="90"/>
      <c r="D902" s="185"/>
      <c r="E902" s="260"/>
      <c r="F902" s="187"/>
      <c r="G902" s="187"/>
      <c r="H902" s="187"/>
      <c r="I902" s="164"/>
      <c r="J902" s="266"/>
      <c r="K902" s="183"/>
      <c r="L902" s="183"/>
      <c r="M902" s="183"/>
      <c r="N902" s="183"/>
      <c r="O902" s="699" t="str">
        <f>I902/VLOOKUP(K902,Sheet1!$D$7:$N$16,G902+1,FALSE)</f>
        <v>#N/A</v>
      </c>
      <c r="P902" s="684" t="str">
        <f t="shared" si="33"/>
        <v>#REF!</v>
      </c>
      <c r="Q902" s="702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</row>
    <row r="903" ht="3.75" hidden="1" customHeight="1">
      <c r="A903" s="90"/>
      <c r="B903" s="2"/>
      <c r="C903" s="90"/>
      <c r="D903" s="138"/>
      <c r="E903" s="252"/>
      <c r="F903" s="102"/>
      <c r="G903" s="102"/>
      <c r="H903" s="102"/>
      <c r="I903" s="247"/>
      <c r="J903" s="156"/>
      <c r="K903" s="183"/>
      <c r="L903" s="183"/>
      <c r="M903" s="183"/>
      <c r="N903" s="183"/>
      <c r="O903" s="699" t="str">
        <f>I903/VLOOKUP(K903,Sheet1!$D$7:$N$16,G903+1,FALSE)</f>
        <v>#N/A</v>
      </c>
      <c r="P903" s="684" t="str">
        <f t="shared" si="33"/>
        <v>#REF!</v>
      </c>
      <c r="Q903" s="702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</row>
    <row r="904" ht="15.75" hidden="1" customHeight="1">
      <c r="A904" s="90"/>
      <c r="B904" s="2"/>
      <c r="C904" s="90"/>
      <c r="D904" s="185" t="s">
        <v>277</v>
      </c>
      <c r="E904" s="260"/>
      <c r="F904" s="187">
        <v>3.0</v>
      </c>
      <c r="G904" s="731" t="s">
        <v>251</v>
      </c>
      <c r="H904" s="187"/>
      <c r="I904" s="164"/>
      <c r="J904" s="266">
        <v>8.0</v>
      </c>
      <c r="K904" s="183">
        <v>8.0</v>
      </c>
      <c r="L904" s="183"/>
      <c r="M904" s="183"/>
      <c r="N904" s="183"/>
      <c r="O904" s="699" t="str">
        <f>I904/VLOOKUP(K904,Sheet1!$D$7:$N$16,G904+1,FALSE)</f>
        <v>#REF!</v>
      </c>
      <c r="P904" s="684" t="str">
        <f t="shared" si="33"/>
        <v>#REF!</v>
      </c>
      <c r="Q904" s="702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</row>
    <row r="905" ht="3.75" hidden="1" customHeight="1">
      <c r="A905" s="90"/>
      <c r="B905" s="2"/>
      <c r="C905" s="90"/>
      <c r="D905" s="138"/>
      <c r="E905" s="252"/>
      <c r="F905" s="102"/>
      <c r="G905" s="102"/>
      <c r="H905" s="102"/>
      <c r="I905" s="247"/>
      <c r="J905" s="267"/>
      <c r="K905" s="183"/>
      <c r="L905" s="183"/>
      <c r="M905" s="183"/>
      <c r="N905" s="183"/>
      <c r="O905" s="699" t="str">
        <f>I905/VLOOKUP(K905,Sheet1!$D$7:$N$16,G905+1,FALSE)</f>
        <v>#N/A</v>
      </c>
      <c r="P905" s="684" t="str">
        <f t="shared" si="33"/>
        <v>#REF!</v>
      </c>
      <c r="Q905" s="702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</row>
    <row r="906" ht="20.25" hidden="1" customHeight="1">
      <c r="A906" s="90"/>
      <c r="B906" s="2"/>
      <c r="C906" s="90"/>
      <c r="D906" s="185" t="s">
        <v>54</v>
      </c>
      <c r="E906" s="264"/>
      <c r="F906" s="187">
        <v>3.0</v>
      </c>
      <c r="G906" s="731" t="s">
        <v>251</v>
      </c>
      <c r="H906" s="187"/>
      <c r="I906" s="164"/>
      <c r="J906" s="266">
        <v>8.0</v>
      </c>
      <c r="K906" s="183"/>
      <c r="L906" s="183"/>
      <c r="M906" s="183"/>
      <c r="N906" s="183"/>
      <c r="O906" s="699" t="str">
        <f>I906/VLOOKUP(K906,Sheet1!$D$7:$N$16,G906+1,FALSE)</f>
        <v>#REF!</v>
      </c>
      <c r="P906" s="684" t="str">
        <f t="shared" si="33"/>
        <v>#REF!</v>
      </c>
      <c r="Q906" s="702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</row>
    <row r="907" ht="3.75" hidden="1" customHeight="1">
      <c r="A907" s="191"/>
      <c r="B907" s="719"/>
      <c r="C907" s="192"/>
      <c r="D907" s="138"/>
      <c r="E907" s="252"/>
      <c r="F907" s="102"/>
      <c r="G907" s="102"/>
      <c r="H907" s="102"/>
      <c r="I907" s="247"/>
      <c r="J907" s="156"/>
      <c r="K907" s="183"/>
      <c r="L907" s="183"/>
      <c r="M907" s="183"/>
      <c r="N907" s="183"/>
      <c r="O907" s="699" t="str">
        <f>I907/VLOOKUP(K907,Sheet1!$D$7:$N$16,G907+1,FALSE)</f>
        <v>#N/A</v>
      </c>
      <c r="P907" s="684" t="str">
        <f t="shared" si="33"/>
        <v>#REF!</v>
      </c>
      <c r="Q907" s="702"/>
      <c r="R907" s="158"/>
      <c r="S907" s="158"/>
      <c r="T907" s="158"/>
      <c r="U907" s="158"/>
      <c r="V907" s="158"/>
      <c r="W907" s="158"/>
      <c r="X907" s="158"/>
      <c r="Y907" s="158"/>
      <c r="Z907" s="158"/>
      <c r="AA907" s="158"/>
      <c r="AB907" s="158"/>
      <c r="AC907" s="158"/>
      <c r="AD907" s="158"/>
      <c r="AE907" s="158"/>
      <c r="AF907" s="158"/>
    </row>
    <row r="908" ht="15.75" hidden="1" customHeight="1">
      <c r="A908" s="90"/>
      <c r="B908" s="2"/>
      <c r="C908" s="90"/>
      <c r="D908" s="185" t="s">
        <v>278</v>
      </c>
      <c r="E908" s="260"/>
      <c r="F908" s="187">
        <v>3.0</v>
      </c>
      <c r="G908" s="731" t="s">
        <v>251</v>
      </c>
      <c r="H908" s="187"/>
      <c r="I908" s="164"/>
      <c r="J908" s="266">
        <v>8.0</v>
      </c>
      <c r="K908" s="183">
        <v>8.0</v>
      </c>
      <c r="L908" s="183"/>
      <c r="M908" s="183"/>
      <c r="N908" s="183"/>
      <c r="O908" s="699" t="str">
        <f>I908/VLOOKUP(K908,Sheet1!$D$7:$N$16,G908+1,FALSE)</f>
        <v>#REF!</v>
      </c>
      <c r="P908" s="684" t="str">
        <f t="shared" si="33"/>
        <v>#REF!</v>
      </c>
      <c r="Q908" s="702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</row>
    <row r="909" ht="3.75" hidden="1" customHeight="1">
      <c r="A909" s="90"/>
      <c r="B909" s="2"/>
      <c r="C909" s="90"/>
      <c r="D909" s="138"/>
      <c r="E909" s="252"/>
      <c r="F909" s="102"/>
      <c r="G909" s="102"/>
      <c r="H909" s="102"/>
      <c r="I909" s="247"/>
      <c r="J909" s="156"/>
      <c r="K909" s="183"/>
      <c r="L909" s="183"/>
      <c r="M909" s="183"/>
      <c r="N909" s="183"/>
      <c r="O909" s="699" t="str">
        <f>I909/VLOOKUP(K909,Sheet1!$D$7:$N$16,G909+1,FALSE)</f>
        <v>#N/A</v>
      </c>
      <c r="P909" s="684" t="str">
        <f t="shared" si="33"/>
        <v>#REF!</v>
      </c>
      <c r="Q909" s="702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</row>
    <row r="910" ht="15.75" hidden="1" customHeight="1">
      <c r="A910" s="90"/>
      <c r="B910" s="2"/>
      <c r="C910" s="90"/>
      <c r="D910" s="185"/>
      <c r="E910" s="266"/>
      <c r="F910" s="187"/>
      <c r="G910" s="187"/>
      <c r="H910" s="187"/>
      <c r="I910" s="164"/>
      <c r="J910" s="266"/>
      <c r="K910" s="183"/>
      <c r="L910" s="183"/>
      <c r="M910" s="183"/>
      <c r="N910" s="183"/>
      <c r="O910" s="699" t="str">
        <f>I910/VLOOKUP(K910,Sheet1!$D$7:$N$16,G910+1,FALSE)</f>
        <v>#N/A</v>
      </c>
      <c r="P910" s="684" t="str">
        <f t="shared" si="33"/>
        <v>#REF!</v>
      </c>
      <c r="Q910" s="702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</row>
    <row r="911" ht="3.75" hidden="1" customHeight="1">
      <c r="A911" s="191"/>
      <c r="B911" s="719"/>
      <c r="C911" s="192"/>
      <c r="D911" s="138"/>
      <c r="E911" s="267"/>
      <c r="F911" s="194"/>
      <c r="G911" s="194"/>
      <c r="H911" s="194"/>
      <c r="I911" s="164"/>
      <c r="J911" s="267"/>
      <c r="K911" s="183"/>
      <c r="L911" s="183"/>
      <c r="M911" s="183"/>
      <c r="N911" s="183"/>
      <c r="O911" s="699" t="str">
        <f>I911/VLOOKUP(K911,Sheet1!$D$7:$N$16,G911+1,FALSE)</f>
        <v>#N/A</v>
      </c>
      <c r="P911" s="684" t="str">
        <f t="shared" si="33"/>
        <v>#REF!</v>
      </c>
      <c r="Q911" s="702"/>
      <c r="R911" s="158"/>
      <c r="S911" s="158"/>
      <c r="T911" s="158"/>
      <c r="U911" s="158"/>
      <c r="V911" s="158"/>
      <c r="W911" s="158"/>
      <c r="X911" s="158"/>
      <c r="Y911" s="158"/>
      <c r="Z911" s="158"/>
      <c r="AA911" s="158"/>
      <c r="AB911" s="158"/>
      <c r="AC911" s="158"/>
      <c r="AD911" s="158"/>
      <c r="AE911" s="158"/>
      <c r="AF911" s="158"/>
    </row>
    <row r="912" ht="15.75" hidden="1" customHeight="1">
      <c r="A912" s="90"/>
      <c r="B912" s="2"/>
      <c r="C912" s="90"/>
      <c r="D912" s="185"/>
      <c r="E912" s="266"/>
      <c r="F912" s="187"/>
      <c r="G912" s="187"/>
      <c r="H912" s="187"/>
      <c r="I912" s="164"/>
      <c r="J912" s="266"/>
      <c r="K912" s="183"/>
      <c r="L912" s="183"/>
      <c r="M912" s="183"/>
      <c r="N912" s="183"/>
      <c r="O912" s="699" t="str">
        <f>I912/VLOOKUP(K912,Sheet1!$D$7:$N$16,G912+1,FALSE)</f>
        <v>#N/A</v>
      </c>
      <c r="P912" s="684" t="str">
        <f t="shared" si="33"/>
        <v>#REF!</v>
      </c>
      <c r="Q912" s="702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</row>
    <row r="913" ht="3.75" hidden="1" customHeight="1">
      <c r="A913" s="90"/>
      <c r="B913" s="2"/>
      <c r="C913" s="90"/>
      <c r="D913" s="252"/>
      <c r="E913" s="252"/>
      <c r="F913" s="102"/>
      <c r="G913" s="102"/>
      <c r="H913" s="102"/>
      <c r="I913" s="247"/>
      <c r="J913" s="156"/>
      <c r="K913" s="733"/>
      <c r="L913" s="734"/>
      <c r="M913" s="734"/>
      <c r="N913" s="734"/>
      <c r="O913" s="699" t="str">
        <f>I913/VLOOKUP(K913,Sheet1!$D$7:$N$16,G913+1,FALSE)</f>
        <v>#N/A</v>
      </c>
      <c r="P913" s="684" t="str">
        <f t="shared" si="33"/>
        <v>#REF!</v>
      </c>
      <c r="Q913" s="702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</row>
    <row r="914" ht="0.75" hidden="1" customHeight="1">
      <c r="A914" s="90"/>
      <c r="B914" s="2"/>
      <c r="C914" s="90"/>
      <c r="D914" s="274"/>
      <c r="E914" s="266"/>
      <c r="F914" s="187"/>
      <c r="G914" s="187"/>
      <c r="H914" s="187"/>
      <c r="I914" s="164"/>
      <c r="J914" s="266"/>
      <c r="K914" s="733"/>
      <c r="L914" s="734"/>
      <c r="M914" s="734"/>
      <c r="N914" s="734"/>
      <c r="O914" s="699" t="str">
        <f>I914/VLOOKUP(K914,Sheet1!$D$7:$N$16,G914+1,FALSE)</f>
        <v>#N/A</v>
      </c>
      <c r="P914" s="684" t="str">
        <f t="shared" si="33"/>
        <v>#REF!</v>
      </c>
      <c r="Q914" s="697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</row>
    <row r="915" ht="3.75" hidden="1" customHeight="1">
      <c r="A915" s="90"/>
      <c r="B915" s="2"/>
      <c r="C915" s="90"/>
      <c r="D915" s="90"/>
      <c r="E915" s="156"/>
      <c r="F915" s="102"/>
      <c r="G915" s="102"/>
      <c r="H915" s="102"/>
      <c r="I915" s="102"/>
      <c r="J915" s="156"/>
      <c r="K915" s="720"/>
      <c r="L915" s="201"/>
      <c r="M915" s="201"/>
      <c r="N915" s="201"/>
      <c r="O915" s="699"/>
      <c r="P915" s="684" t="str">
        <f t="shared" si="33"/>
        <v>#REF!</v>
      </c>
      <c r="Q915" s="720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</row>
    <row r="916" ht="30.0" hidden="1" customHeight="1">
      <c r="A916" s="90"/>
      <c r="B916" s="2"/>
      <c r="C916" s="90"/>
      <c r="D916" s="686" t="s">
        <v>281</v>
      </c>
      <c r="E916" s="687" t="s">
        <v>15</v>
      </c>
      <c r="F916" s="721" t="s">
        <v>16</v>
      </c>
      <c r="G916" s="722" t="s">
        <v>17</v>
      </c>
      <c r="H916" s="723"/>
      <c r="I916" s="724"/>
      <c r="J916" s="725" t="s">
        <v>241</v>
      </c>
      <c r="K916" s="691"/>
      <c r="L916" s="692"/>
      <c r="M916" s="692"/>
      <c r="N916" s="692"/>
      <c r="O916" s="699"/>
      <c r="P916" s="684"/>
      <c r="Q916" s="693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</row>
    <row r="917" ht="14.25" hidden="1" customHeight="1">
      <c r="A917" s="90"/>
      <c r="B917" s="2"/>
      <c r="C917" s="90"/>
      <c r="D917" s="257" t="s">
        <v>25</v>
      </c>
      <c r="E917" s="257" t="s">
        <v>26</v>
      </c>
      <c r="F917" s="680"/>
      <c r="G917" s="681"/>
      <c r="H917" s="723"/>
      <c r="I917" s="681"/>
      <c r="J917" s="725" t="s">
        <v>244</v>
      </c>
      <c r="K917" s="697"/>
      <c r="L917" s="692"/>
      <c r="M917" s="692"/>
      <c r="N917" s="692"/>
      <c r="O917" s="699"/>
      <c r="P917" s="684"/>
      <c r="Q917" s="698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</row>
    <row r="918" ht="3.75" hidden="1" customHeight="1">
      <c r="A918" s="191"/>
      <c r="B918" s="719"/>
      <c r="C918" s="192"/>
      <c r="D918" s="203"/>
      <c r="E918" s="203"/>
      <c r="F918" s="726"/>
      <c r="G918" s="726"/>
      <c r="H918" s="726"/>
      <c r="I918" s="727"/>
      <c r="J918" s="728"/>
      <c r="K918" s="192"/>
      <c r="L918" s="194"/>
      <c r="M918" s="194"/>
      <c r="N918" s="194"/>
      <c r="O918" s="699" t="str">
        <f>I918/VLOOKUP(K918,Sheet1!$D$7:$N$16,G918+1,FALSE)</f>
        <v>#N/A</v>
      </c>
      <c r="P918" s="684" t="str">
        <f t="shared" ref="P918:P938" si="34">I918-#REF!</f>
        <v>#REF!</v>
      </c>
      <c r="Q918" s="192"/>
      <c r="R918" s="158"/>
      <c r="S918" s="158"/>
      <c r="T918" s="158"/>
      <c r="U918" s="158"/>
      <c r="V918" s="158"/>
      <c r="W918" s="158"/>
      <c r="X918" s="158"/>
      <c r="Y918" s="158"/>
      <c r="Z918" s="158"/>
      <c r="AA918" s="158"/>
      <c r="AB918" s="158"/>
      <c r="AC918" s="158"/>
      <c r="AD918" s="158"/>
      <c r="AE918" s="158"/>
      <c r="AF918" s="158"/>
    </row>
    <row r="919" ht="15.75" hidden="1" customHeight="1">
      <c r="A919" s="124"/>
      <c r="B919" s="2"/>
      <c r="C919" s="124"/>
      <c r="D919" s="185" t="s">
        <v>6</v>
      </c>
      <c r="E919" s="260"/>
      <c r="F919" s="187">
        <v>1.0</v>
      </c>
      <c r="G919" s="187">
        <v>4.0</v>
      </c>
      <c r="H919" s="187"/>
      <c r="I919" s="164">
        <v>205.0</v>
      </c>
      <c r="J919" s="266">
        <v>7.0</v>
      </c>
      <c r="K919" s="164">
        <v>7.0</v>
      </c>
      <c r="L919" s="164"/>
      <c r="M919" s="164"/>
      <c r="N919" s="164"/>
      <c r="O919" s="699">
        <f>I919/VLOOKUP(K919,Sheet1!$D$7:$N$16,G919+1,FALSE)</f>
        <v>251.5337423</v>
      </c>
      <c r="P919" s="684" t="str">
        <f t="shared" si="34"/>
        <v>#REF!</v>
      </c>
      <c r="Q919" s="700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</row>
    <row r="920" ht="3.75" hidden="1" customHeight="1">
      <c r="A920" s="124"/>
      <c r="B920" s="2"/>
      <c r="C920" s="124"/>
      <c r="D920" s="138"/>
      <c r="E920" s="252"/>
      <c r="F920" s="140"/>
      <c r="G920" s="140"/>
      <c r="H920" s="140"/>
      <c r="I920" s="701"/>
      <c r="J920" s="141"/>
      <c r="K920" s="164"/>
      <c r="L920" s="164"/>
      <c r="M920" s="164"/>
      <c r="N920" s="164"/>
      <c r="O920" s="699" t="str">
        <f>I920/VLOOKUP(K920,Sheet1!$D$7:$N$16,G920+1,FALSE)</f>
        <v>#N/A</v>
      </c>
      <c r="P920" s="684" t="str">
        <f t="shared" si="34"/>
        <v>#REF!</v>
      </c>
      <c r="Q920" s="702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</row>
    <row r="921" ht="15.0" hidden="1" customHeight="1">
      <c r="A921" s="124"/>
      <c r="B921" s="2"/>
      <c r="C921" s="124"/>
      <c r="D921" s="704" t="s">
        <v>6</v>
      </c>
      <c r="E921" s="260"/>
      <c r="F921" s="187">
        <v>3.0</v>
      </c>
      <c r="G921" s="187">
        <v>4.0</v>
      </c>
      <c r="H921" s="187"/>
      <c r="I921" s="164">
        <v>180.0</v>
      </c>
      <c r="J921" s="706">
        <v>-0.12</v>
      </c>
      <c r="K921" s="164">
        <v>6.5</v>
      </c>
      <c r="L921" s="164"/>
      <c r="M921" s="164"/>
      <c r="N921" s="164"/>
      <c r="O921" s="699">
        <f>I921/VLOOKUP(K921,Sheet1!$D$7:$N$16,G921+1,FALSE)</f>
        <v>224.2990654</v>
      </c>
      <c r="P921" s="684" t="str">
        <f t="shared" si="34"/>
        <v>#REF!</v>
      </c>
      <c r="Q921" s="702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</row>
    <row r="922" ht="3.75" hidden="1" customHeight="1">
      <c r="A922" s="124"/>
      <c r="B922" s="2"/>
      <c r="C922" s="124"/>
      <c r="D922" s="138"/>
      <c r="E922" s="252"/>
      <c r="F922" s="102"/>
      <c r="G922" s="102"/>
      <c r="H922" s="102"/>
      <c r="I922" s="247"/>
      <c r="J922" s="156"/>
      <c r="K922" s="164"/>
      <c r="L922" s="164"/>
      <c r="M922" s="164"/>
      <c r="N922" s="164"/>
      <c r="O922" s="699" t="str">
        <f>I922/VLOOKUP(K922,Sheet1!$D$7:$N$16,G922+1,FALSE)</f>
        <v>#N/A</v>
      </c>
      <c r="P922" s="684" t="str">
        <f t="shared" si="34"/>
        <v>#REF!</v>
      </c>
      <c r="Q922" s="702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</row>
    <row r="923" ht="15.75" hidden="1" customHeight="1">
      <c r="A923" s="124"/>
      <c r="B923" s="2"/>
      <c r="C923" s="124"/>
      <c r="D923" s="704"/>
      <c r="E923" s="260"/>
      <c r="F923" s="187"/>
      <c r="G923" s="187"/>
      <c r="H923" s="187"/>
      <c r="I923" s="164"/>
      <c r="J923" s="706"/>
      <c r="K923" s="164"/>
      <c r="L923" s="164"/>
      <c r="M923" s="164"/>
      <c r="N923" s="164"/>
      <c r="O923" s="699" t="str">
        <f>I923/VLOOKUP(K923,Sheet1!$D$7:$N$16,G923+1,FALSE)</f>
        <v>#N/A</v>
      </c>
      <c r="P923" s="684" t="str">
        <f t="shared" si="34"/>
        <v>#REF!</v>
      </c>
      <c r="Q923" s="702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</row>
    <row r="924" ht="3.75" hidden="1" customHeight="1">
      <c r="A924" s="124"/>
      <c r="B924" s="2"/>
      <c r="C924" s="124"/>
      <c r="D924" s="138"/>
      <c r="E924" s="252"/>
      <c r="F924" s="102"/>
      <c r="G924" s="102"/>
      <c r="H924" s="102"/>
      <c r="I924" s="247"/>
      <c r="J924" s="156"/>
      <c r="K924" s="164"/>
      <c r="L924" s="164"/>
      <c r="M924" s="164"/>
      <c r="N924" s="164"/>
      <c r="O924" s="699" t="str">
        <f>I924/VLOOKUP(K924,Sheet1!$D$7:$N$16,G924+1,FALSE)</f>
        <v>#N/A</v>
      </c>
      <c r="P924" s="684" t="str">
        <f t="shared" si="34"/>
        <v>#REF!</v>
      </c>
      <c r="Q924" s="702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</row>
    <row r="925" ht="15.75" hidden="1" customHeight="1">
      <c r="A925" s="124"/>
      <c r="B925" s="2"/>
      <c r="C925" s="124"/>
      <c r="D925" s="185" t="s">
        <v>51</v>
      </c>
      <c r="E925" s="260"/>
      <c r="F925" s="187">
        <v>1.0</v>
      </c>
      <c r="G925" s="187">
        <v>2.0</v>
      </c>
      <c r="H925" s="187"/>
      <c r="I925" s="164">
        <v>152.5</v>
      </c>
      <c r="J925" s="266">
        <v>7.5</v>
      </c>
      <c r="K925" s="164">
        <v>9.0</v>
      </c>
      <c r="L925" s="164"/>
      <c r="M925" s="164"/>
      <c r="N925" s="164"/>
      <c r="O925" s="699">
        <f>I925/VLOOKUP(K925,Sheet1!$D$7:$N$16,G925+1,FALSE)</f>
        <v>164.5683453</v>
      </c>
      <c r="P925" s="684" t="str">
        <f t="shared" si="34"/>
        <v>#REF!</v>
      </c>
      <c r="Q925" s="702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</row>
    <row r="926" ht="3.75" hidden="1" customHeight="1">
      <c r="A926" s="90"/>
      <c r="B926" s="2"/>
      <c r="C926" s="90"/>
      <c r="D926" s="138"/>
      <c r="E926" s="252"/>
      <c r="F926" s="102"/>
      <c r="G926" s="102"/>
      <c r="H926" s="102"/>
      <c r="I926" s="247"/>
      <c r="J926" s="156"/>
      <c r="K926" s="164"/>
      <c r="L926" s="164"/>
      <c r="M926" s="164"/>
      <c r="N926" s="164"/>
      <c r="O926" s="699" t="str">
        <f>I926/VLOOKUP(K926,Sheet1!$D$7:$N$16,G926+1,FALSE)</f>
        <v>#N/A</v>
      </c>
      <c r="P926" s="684" t="str">
        <f t="shared" si="34"/>
        <v>#REF!</v>
      </c>
      <c r="Q926" s="702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</row>
    <row r="927" ht="15.75" hidden="1" customHeight="1">
      <c r="A927" s="90"/>
      <c r="B927" s="2"/>
      <c r="C927" s="90"/>
      <c r="D927" s="185" t="s">
        <v>51</v>
      </c>
      <c r="E927" s="260"/>
      <c r="F927" s="187">
        <v>4.0</v>
      </c>
      <c r="G927" s="187">
        <v>4.0</v>
      </c>
      <c r="H927" s="187"/>
      <c r="I927" s="164">
        <v>135.0</v>
      </c>
      <c r="J927" s="706">
        <v>-0.12</v>
      </c>
      <c r="K927" s="164">
        <v>9.0</v>
      </c>
      <c r="L927" s="164"/>
      <c r="M927" s="164"/>
      <c r="N927" s="164"/>
      <c r="O927" s="699">
        <f>I927/VLOOKUP(K927,Sheet1!$D$7:$N$16,G927+1,FALSE)</f>
        <v>156.0693642</v>
      </c>
      <c r="P927" s="684" t="str">
        <f t="shared" si="34"/>
        <v>#REF!</v>
      </c>
      <c r="Q927" s="702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</row>
    <row r="928" ht="3.75" hidden="1" customHeight="1">
      <c r="A928" s="191"/>
      <c r="B928" s="719"/>
      <c r="C928" s="192"/>
      <c r="D928" s="138"/>
      <c r="E928" s="252"/>
      <c r="F928" s="102"/>
      <c r="G928" s="102"/>
      <c r="H928" s="102"/>
      <c r="I928" s="247"/>
      <c r="J928" s="156"/>
      <c r="K928" s="164"/>
      <c r="L928" s="164"/>
      <c r="M928" s="164"/>
      <c r="N928" s="164"/>
      <c r="O928" s="699" t="str">
        <f>I928/VLOOKUP(K928,Sheet1!$D$7:$N$16,G928+1,FALSE)</f>
        <v>#N/A</v>
      </c>
      <c r="P928" s="684" t="str">
        <f t="shared" si="34"/>
        <v>#REF!</v>
      </c>
      <c r="Q928" s="702"/>
      <c r="R928" s="158"/>
      <c r="S928" s="158"/>
      <c r="T928" s="158"/>
      <c r="U928" s="158"/>
      <c r="V928" s="158"/>
      <c r="W928" s="158"/>
      <c r="X928" s="158"/>
      <c r="Y928" s="158"/>
      <c r="Z928" s="158"/>
      <c r="AA928" s="158"/>
      <c r="AB928" s="158"/>
      <c r="AC928" s="158"/>
      <c r="AD928" s="158"/>
      <c r="AE928" s="158"/>
      <c r="AF928" s="158"/>
    </row>
    <row r="929" ht="15.75" hidden="1" customHeight="1">
      <c r="A929" s="90"/>
      <c r="B929" s="2"/>
      <c r="C929" s="90"/>
      <c r="D929" s="185" t="s">
        <v>259</v>
      </c>
      <c r="E929" s="260"/>
      <c r="F929" s="187">
        <v>3.0</v>
      </c>
      <c r="G929" s="731" t="s">
        <v>260</v>
      </c>
      <c r="H929" s="187"/>
      <c r="I929" s="164"/>
      <c r="J929" s="266">
        <v>7.0</v>
      </c>
      <c r="K929" s="164">
        <v>7.0</v>
      </c>
      <c r="L929" s="164"/>
      <c r="M929" s="164"/>
      <c r="N929" s="164"/>
      <c r="O929" s="699" t="str">
        <f>I929/VLOOKUP(K929,Sheet1!$D$7:$N$16,G929+1,FALSE)</f>
        <v>#REF!</v>
      </c>
      <c r="P929" s="684" t="str">
        <f t="shared" si="34"/>
        <v>#REF!</v>
      </c>
      <c r="Q929" s="702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</row>
    <row r="930" ht="3.75" hidden="1" customHeight="1">
      <c r="A930" s="90"/>
      <c r="B930" s="2"/>
      <c r="C930" s="90"/>
      <c r="D930" s="138"/>
      <c r="E930" s="252"/>
      <c r="F930" s="102"/>
      <c r="G930" s="102"/>
      <c r="H930" s="102"/>
      <c r="I930" s="247"/>
      <c r="J930" s="156"/>
      <c r="K930" s="164"/>
      <c r="L930" s="164"/>
      <c r="M930" s="164"/>
      <c r="N930" s="164"/>
      <c r="O930" s="699" t="str">
        <f>I930/VLOOKUP(K930,Sheet1!$D$7:$N$16,G930+1,FALSE)</f>
        <v>#N/A</v>
      </c>
      <c r="P930" s="684" t="str">
        <f t="shared" si="34"/>
        <v>#REF!</v>
      </c>
      <c r="Q930" s="702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</row>
    <row r="931" ht="15.75" hidden="1" customHeight="1">
      <c r="A931" s="90"/>
      <c r="B931" s="2"/>
      <c r="C931" s="90"/>
      <c r="D931" s="185" t="s">
        <v>261</v>
      </c>
      <c r="E931" s="260"/>
      <c r="F931" s="187">
        <v>3.0</v>
      </c>
      <c r="G931" s="731" t="s">
        <v>260</v>
      </c>
      <c r="H931" s="187"/>
      <c r="I931" s="164"/>
      <c r="J931" s="266">
        <v>8.0</v>
      </c>
      <c r="K931" s="164">
        <v>8.0</v>
      </c>
      <c r="L931" s="164"/>
      <c r="M931" s="164"/>
      <c r="N931" s="164"/>
      <c r="O931" s="699" t="str">
        <f>I931/VLOOKUP(K931,Sheet1!$D$7:$N$16,G931+1,FALSE)</f>
        <v>#REF!</v>
      </c>
      <c r="P931" s="684" t="str">
        <f t="shared" si="34"/>
        <v>#REF!</v>
      </c>
      <c r="Q931" s="702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</row>
    <row r="932" ht="3.75" hidden="1" customHeight="1">
      <c r="A932" s="90"/>
      <c r="B932" s="2"/>
      <c r="C932" s="90"/>
      <c r="D932" s="138"/>
      <c r="E932" s="252"/>
      <c r="F932" s="102"/>
      <c r="G932" s="102"/>
      <c r="H932" s="102"/>
      <c r="I932" s="247"/>
      <c r="J932" s="156"/>
      <c r="K932" s="164"/>
      <c r="L932" s="164"/>
      <c r="M932" s="164"/>
      <c r="N932" s="164"/>
      <c r="O932" s="699" t="str">
        <f>I932/VLOOKUP(K932,Sheet1!$D$7:$N$16,G932+1,FALSE)</f>
        <v>#N/A</v>
      </c>
      <c r="P932" s="684" t="str">
        <f t="shared" si="34"/>
        <v>#REF!</v>
      </c>
      <c r="Q932" s="702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</row>
    <row r="933" ht="15.75" hidden="1" customHeight="1">
      <c r="A933" s="90"/>
      <c r="B933" s="2"/>
      <c r="C933" s="90"/>
      <c r="D933" s="185" t="s">
        <v>262</v>
      </c>
      <c r="E933" s="260"/>
      <c r="F933" s="187">
        <v>3.0</v>
      </c>
      <c r="G933" s="731" t="s">
        <v>260</v>
      </c>
      <c r="H933" s="187"/>
      <c r="I933" s="247"/>
      <c r="J933" s="735">
        <v>8.0</v>
      </c>
      <c r="K933" s="164"/>
      <c r="L933" s="164"/>
      <c r="M933" s="164"/>
      <c r="N933" s="164"/>
      <c r="O933" s="699" t="str">
        <f>I933/VLOOKUP(K933,Sheet1!$D$7:$N$16,G933+1,FALSE)</f>
        <v>#REF!</v>
      </c>
      <c r="P933" s="684" t="str">
        <f t="shared" si="34"/>
        <v>#REF!</v>
      </c>
      <c r="Q933" s="702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</row>
    <row r="934" ht="3.75" hidden="1" customHeight="1">
      <c r="A934" s="90"/>
      <c r="B934" s="2"/>
      <c r="C934" s="90"/>
      <c r="D934" s="138"/>
      <c r="E934" s="252"/>
      <c r="F934" s="102"/>
      <c r="G934" s="102"/>
      <c r="H934" s="102"/>
      <c r="I934" s="247"/>
      <c r="J934" s="156"/>
      <c r="K934" s="164"/>
      <c r="L934" s="164"/>
      <c r="M934" s="164"/>
      <c r="N934" s="164"/>
      <c r="O934" s="699" t="str">
        <f>I934/VLOOKUP(K934,Sheet1!$D$7:$N$16,G934+1,FALSE)</f>
        <v>#N/A</v>
      </c>
      <c r="P934" s="684" t="str">
        <f t="shared" si="34"/>
        <v>#REF!</v>
      </c>
      <c r="Q934" s="702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</row>
    <row r="935" ht="15.75" hidden="1" customHeight="1">
      <c r="A935" s="90"/>
      <c r="B935" s="2"/>
      <c r="C935" s="90"/>
      <c r="D935" s="185" t="s">
        <v>263</v>
      </c>
      <c r="E935" s="260"/>
      <c r="F935" s="187">
        <v>2.0</v>
      </c>
      <c r="G935" s="187">
        <v>15.0</v>
      </c>
      <c r="H935" s="187"/>
      <c r="I935" s="247"/>
      <c r="J935" s="266">
        <v>8.0</v>
      </c>
      <c r="K935" s="164"/>
      <c r="L935" s="164"/>
      <c r="M935" s="164"/>
      <c r="N935" s="164"/>
      <c r="O935" s="699" t="str">
        <f>I935/VLOOKUP(K935,Sheet1!$D$7:$N$16,G935+1,FALSE)</f>
        <v>#REF!</v>
      </c>
      <c r="P935" s="684" t="str">
        <f t="shared" si="34"/>
        <v>#REF!</v>
      </c>
      <c r="Q935" s="702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</row>
    <row r="936" ht="3.75" hidden="1" customHeight="1">
      <c r="A936" s="90"/>
      <c r="B936" s="2"/>
      <c r="C936" s="90"/>
      <c r="D936" s="138"/>
      <c r="E936" s="252"/>
      <c r="F936" s="102"/>
      <c r="G936" s="102"/>
      <c r="H936" s="102"/>
      <c r="I936" s="247"/>
      <c r="J936" s="156"/>
      <c r="K936" s="164"/>
      <c r="L936" s="164"/>
      <c r="M936" s="164"/>
      <c r="N936" s="164"/>
      <c r="O936" s="699" t="str">
        <f>I936/VLOOKUP(K936,Sheet1!$D$7:$N$16,G936+1,FALSE)</f>
        <v>#N/A</v>
      </c>
      <c r="P936" s="684" t="str">
        <f t="shared" si="34"/>
        <v>#REF!</v>
      </c>
      <c r="Q936" s="702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</row>
    <row r="937" ht="15.75" hidden="1" customHeight="1">
      <c r="A937" s="90"/>
      <c r="B937" s="2"/>
      <c r="C937" s="90"/>
      <c r="D937" s="185"/>
      <c r="E937" s="266"/>
      <c r="F937" s="187"/>
      <c r="G937" s="187"/>
      <c r="H937" s="187"/>
      <c r="I937" s="164"/>
      <c r="J937" s="266"/>
      <c r="K937" s="164"/>
      <c r="L937" s="164"/>
      <c r="M937" s="164"/>
      <c r="N937" s="164"/>
      <c r="O937" s="699" t="str">
        <f>I937/VLOOKUP(K937,Sheet1!$D$7:$N$16,G937+1,FALSE)</f>
        <v>#N/A</v>
      </c>
      <c r="P937" s="684" t="str">
        <f t="shared" si="34"/>
        <v>#REF!</v>
      </c>
      <c r="Q937" s="697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</row>
    <row r="938" ht="3.75" hidden="1" customHeight="1">
      <c r="A938" s="124"/>
      <c r="B938" s="2"/>
      <c r="C938" s="124"/>
      <c r="D938" s="252"/>
      <c r="E938" s="252"/>
      <c r="F938" s="102"/>
      <c r="G938" s="102"/>
      <c r="H938" s="102"/>
      <c r="I938" s="102"/>
      <c r="J938" s="156"/>
      <c r="K938" s="259"/>
      <c r="L938" s="201"/>
      <c r="M938" s="201"/>
      <c r="N938" s="201"/>
      <c r="O938" s="699" t="str">
        <f>I938/VLOOKUP(K938,Sheet1!$D$7:$N$16,G938+1,FALSE)</f>
        <v>#N/A</v>
      </c>
      <c r="P938" s="684" t="str">
        <f t="shared" si="34"/>
        <v>#REF!</v>
      </c>
      <c r="Q938" s="259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</row>
    <row r="939" ht="30.75" hidden="1" customHeight="1">
      <c r="A939" s="90"/>
      <c r="B939" s="2"/>
      <c r="C939" s="90"/>
      <c r="D939" s="686" t="s">
        <v>279</v>
      </c>
      <c r="E939" s="687" t="s">
        <v>15</v>
      </c>
      <c r="F939" s="721" t="s">
        <v>16</v>
      </c>
      <c r="G939" s="722" t="s">
        <v>17</v>
      </c>
      <c r="H939" s="723"/>
      <c r="I939" s="724"/>
      <c r="J939" s="725" t="s">
        <v>241</v>
      </c>
      <c r="K939" s="691"/>
      <c r="L939" s="692"/>
      <c r="M939" s="692"/>
      <c r="N939" s="692"/>
      <c r="O939" s="699"/>
      <c r="P939" s="684"/>
      <c r="Q939" s="693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</row>
    <row r="940" ht="14.25" hidden="1" customHeight="1">
      <c r="A940" s="90"/>
      <c r="B940" s="2"/>
      <c r="C940" s="90"/>
      <c r="D940" s="257" t="s">
        <v>25</v>
      </c>
      <c r="E940" s="257" t="s">
        <v>26</v>
      </c>
      <c r="F940" s="680"/>
      <c r="G940" s="681"/>
      <c r="H940" s="723"/>
      <c r="I940" s="681"/>
      <c r="J940" s="725" t="s">
        <v>244</v>
      </c>
      <c r="K940" s="697"/>
      <c r="L940" s="692"/>
      <c r="M940" s="692"/>
      <c r="N940" s="692"/>
      <c r="O940" s="699"/>
      <c r="P940" s="684"/>
      <c r="Q940" s="698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</row>
    <row r="941" ht="3.75" hidden="1" customHeight="1">
      <c r="A941" s="124"/>
      <c r="B941" s="2"/>
      <c r="C941" s="124"/>
      <c r="D941" s="252"/>
      <c r="E941" s="252"/>
      <c r="F941" s="102"/>
      <c r="G941" s="102"/>
      <c r="H941" s="102"/>
      <c r="I941" s="102"/>
      <c r="J941" s="156"/>
      <c r="K941" s="259"/>
      <c r="L941" s="201"/>
      <c r="M941" s="201"/>
      <c r="N941" s="201"/>
      <c r="O941" s="699" t="str">
        <f>I941/VLOOKUP(K941,Sheet1!$D$7:$N$16,G941+1,FALSE)</f>
        <v>#N/A</v>
      </c>
      <c r="P941" s="684" t="str">
        <f t="shared" ref="P941:P954" si="35">I941-#REF!</f>
        <v>#REF!</v>
      </c>
      <c r="Q941" s="259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</row>
    <row r="942" ht="14.25" hidden="1" customHeight="1">
      <c r="A942" s="124"/>
      <c r="B942" s="2"/>
      <c r="C942" s="124"/>
      <c r="D942" s="185" t="s">
        <v>10</v>
      </c>
      <c r="E942" s="260"/>
      <c r="F942" s="187">
        <v>1.0</v>
      </c>
      <c r="G942" s="187">
        <v>1.0</v>
      </c>
      <c r="H942" s="187"/>
      <c r="I942" s="164">
        <v>290.0</v>
      </c>
      <c r="J942" s="266">
        <v>6.0</v>
      </c>
      <c r="K942" s="164">
        <v>7.0</v>
      </c>
      <c r="L942" s="164"/>
      <c r="M942" s="164"/>
      <c r="N942" s="164"/>
      <c r="O942" s="699">
        <f>I942/VLOOKUP(K942,Sheet1!$D$7:$N$16,G942+1,FALSE)</f>
        <v>325.8426966</v>
      </c>
      <c r="P942" s="684" t="str">
        <f t="shared" si="35"/>
        <v>#REF!</v>
      </c>
      <c r="Q942" s="736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</row>
    <row r="943" ht="3.75" hidden="1" customHeight="1">
      <c r="A943" s="124"/>
      <c r="B943" s="2"/>
      <c r="C943" s="124"/>
      <c r="D943" s="138"/>
      <c r="E943" s="252"/>
      <c r="F943" s="102"/>
      <c r="G943" s="102"/>
      <c r="H943" s="102"/>
      <c r="I943" s="247"/>
      <c r="J943" s="156"/>
      <c r="K943" s="164"/>
      <c r="L943" s="164"/>
      <c r="M943" s="164"/>
      <c r="N943" s="164"/>
      <c r="O943" s="699" t="str">
        <f>I943/VLOOKUP(K943,Sheet1!$D$7:$N$16,G943+1,FALSE)</f>
        <v>#N/A</v>
      </c>
      <c r="P943" s="684" t="str">
        <f t="shared" si="35"/>
        <v>#REF!</v>
      </c>
      <c r="Q943" s="702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</row>
    <row r="944" ht="14.25" hidden="1" customHeight="1">
      <c r="A944" s="124"/>
      <c r="B944" s="2"/>
      <c r="C944" s="124"/>
      <c r="D944" s="185" t="s">
        <v>10</v>
      </c>
      <c r="E944" s="260"/>
      <c r="F944" s="187">
        <v>1.0</v>
      </c>
      <c r="G944" s="187">
        <v>3.0</v>
      </c>
      <c r="H944" s="187"/>
      <c r="I944" s="164">
        <v>265.0</v>
      </c>
      <c r="J944" s="266">
        <v>7.0</v>
      </c>
      <c r="K944" s="164">
        <v>7.5</v>
      </c>
      <c r="L944" s="164"/>
      <c r="M944" s="164"/>
      <c r="N944" s="164"/>
      <c r="O944" s="699">
        <f>I944/VLOOKUP(K944,Sheet1!$D$7:$N$16,G944+1,FALSE)</f>
        <v>310.8504399</v>
      </c>
      <c r="P944" s="684" t="str">
        <f t="shared" si="35"/>
        <v>#REF!</v>
      </c>
      <c r="Q944" s="702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</row>
    <row r="945" ht="3.75" hidden="1" customHeight="1">
      <c r="A945" s="124"/>
      <c r="B945" s="2"/>
      <c r="C945" s="124"/>
      <c r="D945" s="138"/>
      <c r="E945" s="252"/>
      <c r="F945" s="102"/>
      <c r="G945" s="102"/>
      <c r="H945" s="102"/>
      <c r="I945" s="247"/>
      <c r="J945" s="156"/>
      <c r="K945" s="164"/>
      <c r="L945" s="164"/>
      <c r="M945" s="164"/>
      <c r="N945" s="164"/>
      <c r="O945" s="699" t="str">
        <f>I945/VLOOKUP(K945,Sheet1!$D$7:$N$16,G945+1,FALSE)</f>
        <v>#N/A</v>
      </c>
      <c r="P945" s="684" t="str">
        <f t="shared" si="35"/>
        <v>#REF!</v>
      </c>
      <c r="Q945" s="702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</row>
    <row r="946" ht="14.25" hidden="1" customHeight="1">
      <c r="A946" s="124"/>
      <c r="B946" s="2"/>
      <c r="C946" s="124"/>
      <c r="D946" s="185" t="s">
        <v>10</v>
      </c>
      <c r="E946" s="260"/>
      <c r="F946" s="187">
        <v>3.0</v>
      </c>
      <c r="G946" s="187">
        <v>3.0</v>
      </c>
      <c r="H946" s="187"/>
      <c r="I946" s="164">
        <v>240.0</v>
      </c>
      <c r="J946" s="706">
        <v>-0.1</v>
      </c>
      <c r="K946" s="164">
        <v>6.5</v>
      </c>
      <c r="L946" s="164"/>
      <c r="M946" s="164"/>
      <c r="N946" s="164"/>
      <c r="O946" s="699">
        <f>I946/VLOOKUP(K946,Sheet1!$D$7:$N$16,G946+1,FALSE)</f>
        <v>290.0302115</v>
      </c>
      <c r="P946" s="684" t="str">
        <f t="shared" si="35"/>
        <v>#REF!</v>
      </c>
      <c r="Q946" s="702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</row>
    <row r="947" ht="3.75" hidden="1" customHeight="1">
      <c r="A947" s="124"/>
      <c r="B947" s="2"/>
      <c r="C947" s="124"/>
      <c r="D947" s="138"/>
      <c r="E947" s="252"/>
      <c r="F947" s="102"/>
      <c r="G947" s="102"/>
      <c r="H947" s="102"/>
      <c r="I947" s="247"/>
      <c r="J947" s="156"/>
      <c r="K947" s="164"/>
      <c r="L947" s="164"/>
      <c r="M947" s="164"/>
      <c r="N947" s="164"/>
      <c r="O947" s="699" t="str">
        <f>I947/VLOOKUP(K947,Sheet1!$D$7:$N$16,G947+1,FALSE)</f>
        <v>#N/A</v>
      </c>
      <c r="P947" s="684" t="str">
        <f t="shared" si="35"/>
        <v>#REF!</v>
      </c>
      <c r="Q947" s="702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</row>
    <row r="948" ht="14.25" hidden="1" customHeight="1">
      <c r="A948" s="124"/>
      <c r="B948" s="2"/>
      <c r="C948" s="124"/>
      <c r="D948" s="185"/>
      <c r="E948" s="260"/>
      <c r="F948" s="187"/>
      <c r="G948" s="187"/>
      <c r="H948" s="187"/>
      <c r="I948" s="164"/>
      <c r="J948" s="266"/>
      <c r="K948" s="164"/>
      <c r="L948" s="164"/>
      <c r="M948" s="164"/>
      <c r="N948" s="164"/>
      <c r="O948" s="699" t="str">
        <f>I948/VLOOKUP(K948,Sheet1!$D$7:$N$16,G948+1,FALSE)</f>
        <v>#N/A</v>
      </c>
      <c r="P948" s="684" t="str">
        <f t="shared" si="35"/>
        <v>#REF!</v>
      </c>
      <c r="Q948" s="702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</row>
    <row r="949" ht="3.75" hidden="1" customHeight="1">
      <c r="A949" s="124"/>
      <c r="B949" s="2"/>
      <c r="C949" s="124"/>
      <c r="D949" s="138"/>
      <c r="E949" s="252"/>
      <c r="F949" s="102"/>
      <c r="G949" s="102"/>
      <c r="H949" s="102"/>
      <c r="I949" s="247"/>
      <c r="J949" s="156"/>
      <c r="K949" s="164"/>
      <c r="L949" s="164"/>
      <c r="M949" s="164"/>
      <c r="N949" s="164"/>
      <c r="O949" s="699" t="str">
        <f>I949/VLOOKUP(K949,Sheet1!$D$7:$N$16,G949+1,FALSE)</f>
        <v>#N/A</v>
      </c>
      <c r="P949" s="684" t="str">
        <f t="shared" si="35"/>
        <v>#REF!</v>
      </c>
      <c r="Q949" s="702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</row>
    <row r="950" ht="14.25" hidden="1" customHeight="1">
      <c r="A950" s="124"/>
      <c r="B950" s="2"/>
      <c r="C950" s="124"/>
      <c r="D950" s="185" t="s">
        <v>265</v>
      </c>
      <c r="E950" s="264"/>
      <c r="F950" s="187">
        <v>3.0</v>
      </c>
      <c r="G950" s="187">
        <v>7.0</v>
      </c>
      <c r="H950" s="187"/>
      <c r="I950" s="164">
        <v>120.0</v>
      </c>
      <c r="J950" s="266">
        <v>7.0</v>
      </c>
      <c r="K950" s="164">
        <v>7.5</v>
      </c>
      <c r="L950" s="164"/>
      <c r="M950" s="164"/>
      <c r="N950" s="164"/>
      <c r="O950" s="699">
        <f>I950/VLOOKUP(K950,Sheet1!$D$7:$N$16,G950+1,FALSE)</f>
        <v>159.4684385</v>
      </c>
      <c r="P950" s="684" t="str">
        <f t="shared" si="35"/>
        <v>#REF!</v>
      </c>
      <c r="Q950" s="702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</row>
    <row r="951" ht="3.75" hidden="1" customHeight="1">
      <c r="A951" s="261"/>
      <c r="B951" s="719"/>
      <c r="C951" s="262"/>
      <c r="D951" s="138"/>
      <c r="E951" s="252"/>
      <c r="F951" s="102"/>
      <c r="G951" s="102"/>
      <c r="H951" s="102"/>
      <c r="I951" s="247"/>
      <c r="J951" s="156"/>
      <c r="K951" s="164"/>
      <c r="L951" s="164"/>
      <c r="M951" s="164"/>
      <c r="N951" s="164"/>
      <c r="O951" s="699" t="str">
        <f>I951/VLOOKUP(K951,Sheet1!$D$7:$N$16,G951+1,FALSE)</f>
        <v>#N/A</v>
      </c>
      <c r="P951" s="684" t="str">
        <f t="shared" si="35"/>
        <v>#REF!</v>
      </c>
      <c r="Q951" s="702"/>
      <c r="R951" s="158"/>
      <c r="S951" s="158"/>
      <c r="T951" s="158"/>
      <c r="U951" s="158"/>
      <c r="V951" s="158"/>
      <c r="W951" s="158"/>
      <c r="X951" s="158"/>
      <c r="Y951" s="158"/>
      <c r="Z951" s="158"/>
      <c r="AA951" s="158"/>
      <c r="AB951" s="158"/>
      <c r="AC951" s="158"/>
      <c r="AD951" s="158"/>
      <c r="AE951" s="158"/>
      <c r="AF951" s="158"/>
    </row>
    <row r="952" ht="14.25" hidden="1" customHeight="1">
      <c r="A952" s="124"/>
      <c r="B952" s="2"/>
      <c r="C952" s="124"/>
      <c r="D952" s="185"/>
      <c r="E952" s="260"/>
      <c r="F952" s="187"/>
      <c r="G952" s="187"/>
      <c r="H952" s="187"/>
      <c r="I952" s="164"/>
      <c r="J952" s="266"/>
      <c r="K952" s="164"/>
      <c r="L952" s="164"/>
      <c r="M952" s="164"/>
      <c r="N952" s="164"/>
      <c r="O952" s="699" t="str">
        <f>I952/VLOOKUP(K952,Sheet1!$D$7:$N$16,G952+1,FALSE)</f>
        <v>#N/A</v>
      </c>
      <c r="P952" s="684" t="str">
        <f t="shared" si="35"/>
        <v>#REF!</v>
      </c>
      <c r="Q952" s="702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</row>
    <row r="953" ht="3.75" hidden="1" customHeight="1">
      <c r="A953" s="261"/>
      <c r="B953" s="719"/>
      <c r="C953" s="262"/>
      <c r="D953" s="138"/>
      <c r="E953" s="252"/>
      <c r="F953" s="102"/>
      <c r="G953" s="102"/>
      <c r="H953" s="102"/>
      <c r="I953" s="247"/>
      <c r="J953" s="156"/>
      <c r="K953" s="164"/>
      <c r="L953" s="164"/>
      <c r="M953" s="164"/>
      <c r="N953" s="164"/>
      <c r="O953" s="699" t="str">
        <f>I953/VLOOKUP(K953,Sheet1!$D$7:$N$16,G953+1,FALSE)</f>
        <v>#N/A</v>
      </c>
      <c r="P953" s="684" t="str">
        <f t="shared" si="35"/>
        <v>#REF!</v>
      </c>
      <c r="Q953" s="702"/>
      <c r="R953" s="158"/>
      <c r="S953" s="158"/>
      <c r="T953" s="158"/>
      <c r="U953" s="158"/>
      <c r="V953" s="158"/>
      <c r="W953" s="158"/>
      <c r="X953" s="158"/>
      <c r="Y953" s="158"/>
      <c r="Z953" s="158"/>
      <c r="AA953" s="158"/>
      <c r="AB953" s="158"/>
      <c r="AC953" s="158"/>
      <c r="AD953" s="158"/>
      <c r="AE953" s="158"/>
      <c r="AF953" s="158"/>
    </row>
    <row r="954" ht="15.75" hidden="1" customHeight="1">
      <c r="A954" s="124"/>
      <c r="B954" s="2"/>
      <c r="C954" s="124"/>
      <c r="D954" s="185"/>
      <c r="E954" s="260"/>
      <c r="F954" s="187"/>
      <c r="G954" s="187"/>
      <c r="H954" s="187"/>
      <c r="I954" s="247"/>
      <c r="J954" s="266"/>
      <c r="K954" s="164"/>
      <c r="L954" s="164"/>
      <c r="M954" s="164"/>
      <c r="N954" s="164"/>
      <c r="O954" s="699" t="str">
        <f>I954/VLOOKUP(K954,Sheet1!$D$7:$N$16,G954+1,FALSE)</f>
        <v>#N/A</v>
      </c>
      <c r="P954" s="684" t="str">
        <f t="shared" si="35"/>
        <v>#REF!</v>
      </c>
      <c r="Q954" s="702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</row>
    <row r="955" ht="3.75" hidden="1" customHeight="1">
      <c r="A955" s="124"/>
      <c r="B955" s="2"/>
      <c r="C955" s="124"/>
      <c r="D955" s="263"/>
      <c r="E955" s="252"/>
      <c r="F955" s="102"/>
      <c r="G955" s="102"/>
      <c r="H955" s="102"/>
      <c r="I955" s="247"/>
      <c r="J955" s="156"/>
      <c r="K955" s="164"/>
      <c r="L955" s="164"/>
      <c r="M955" s="164"/>
      <c r="N955" s="164"/>
      <c r="O955" s="699" t="str">
        <f>I955/VLOOKUP(K955,Sheet1!$D$7:$N$16,G955+1,FALSE)</f>
        <v>#N/A</v>
      </c>
      <c r="P955" s="684"/>
      <c r="Q955" s="702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</row>
    <row r="956" ht="14.25" hidden="1" customHeight="1">
      <c r="A956" s="90"/>
      <c r="B956" s="2"/>
      <c r="C956" s="90"/>
      <c r="D956" s="185" t="s">
        <v>267</v>
      </c>
      <c r="E956" s="264"/>
      <c r="F956" s="187">
        <v>3.0</v>
      </c>
      <c r="G956" s="731" t="s">
        <v>260</v>
      </c>
      <c r="H956" s="187"/>
      <c r="I956" s="164"/>
      <c r="J956" s="266">
        <v>8.0</v>
      </c>
      <c r="K956" s="164">
        <v>8.0</v>
      </c>
      <c r="L956" s="164"/>
      <c r="M956" s="164"/>
      <c r="N956" s="164"/>
      <c r="O956" s="699" t="str">
        <f>I956/VLOOKUP(K956,Sheet1!$D$7:$N$16,G956+1,FALSE)</f>
        <v>#REF!</v>
      </c>
      <c r="P956" s="684"/>
      <c r="Q956" s="702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</row>
    <row r="957" ht="3.75" hidden="1" customHeight="1">
      <c r="A957" s="261"/>
      <c r="B957" s="719"/>
      <c r="C957" s="262"/>
      <c r="D957" s="263"/>
      <c r="E957" s="263"/>
      <c r="F957" s="194"/>
      <c r="G957" s="194"/>
      <c r="H957" s="194"/>
      <c r="I957" s="164"/>
      <c r="J957" s="267"/>
      <c r="K957" s="164"/>
      <c r="L957" s="164"/>
      <c r="M957" s="164"/>
      <c r="N957" s="164"/>
      <c r="O957" s="699" t="str">
        <f>I957/VLOOKUP(K957,Sheet1!$D$7:$N$16,G957+1,FALSE)</f>
        <v>#N/A</v>
      </c>
      <c r="P957" s="684"/>
      <c r="Q957" s="702"/>
      <c r="R957" s="158"/>
      <c r="S957" s="158"/>
      <c r="T957" s="158"/>
      <c r="U957" s="158"/>
      <c r="V957" s="158"/>
      <c r="W957" s="158"/>
      <c r="X957" s="158"/>
      <c r="Y957" s="158"/>
      <c r="Z957" s="158"/>
      <c r="AA957" s="158"/>
      <c r="AB957" s="158"/>
      <c r="AC957" s="158"/>
      <c r="AD957" s="158"/>
      <c r="AE957" s="158"/>
      <c r="AF957" s="158"/>
    </row>
    <row r="958" ht="15.75" hidden="1" customHeight="1">
      <c r="A958" s="90"/>
      <c r="B958" s="2"/>
      <c r="C958" s="90"/>
      <c r="D958" s="185" t="s">
        <v>268</v>
      </c>
      <c r="E958" s="266"/>
      <c r="F958" s="187">
        <v>3.0</v>
      </c>
      <c r="G958" s="731" t="s">
        <v>251</v>
      </c>
      <c r="H958" s="187"/>
      <c r="I958" s="164"/>
      <c r="J958" s="266">
        <v>9.0</v>
      </c>
      <c r="K958" s="164">
        <v>8.0</v>
      </c>
      <c r="L958" s="164"/>
      <c r="M958" s="164"/>
      <c r="N958" s="164"/>
      <c r="O958" s="699" t="str">
        <f>I958/VLOOKUP(K958,Sheet1!$D$7:$N$16,G958+1,FALSE)</f>
        <v>#REF!</v>
      </c>
      <c r="P958" s="684"/>
      <c r="Q958" s="702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</row>
    <row r="959" ht="3.75" hidden="1" customHeight="1">
      <c r="A959" s="90"/>
      <c r="B959" s="2"/>
      <c r="C959" s="90"/>
      <c r="D959" s="138"/>
      <c r="E959" s="252"/>
      <c r="F959" s="102"/>
      <c r="G959" s="102"/>
      <c r="H959" s="102"/>
      <c r="I959" s="247"/>
      <c r="J959" s="156"/>
      <c r="K959" s="164"/>
      <c r="L959" s="164"/>
      <c r="M959" s="164"/>
      <c r="N959" s="164"/>
      <c r="O959" s="699" t="str">
        <f>I959/VLOOKUP(K959,Sheet1!$D$7:$N$16,G959+1,FALSE)</f>
        <v>#N/A</v>
      </c>
      <c r="P959" s="684"/>
      <c r="Q959" s="702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</row>
    <row r="960" ht="15.75" hidden="1" customHeight="1">
      <c r="A960" s="90"/>
      <c r="B960" s="2"/>
      <c r="C960" s="90"/>
      <c r="D960" s="185" t="s">
        <v>269</v>
      </c>
      <c r="E960" s="266"/>
      <c r="F960" s="187">
        <v>3.0</v>
      </c>
      <c r="G960" s="731" t="s">
        <v>260</v>
      </c>
      <c r="H960" s="187"/>
      <c r="I960" s="164"/>
      <c r="J960" s="266">
        <v>9.0</v>
      </c>
      <c r="K960" s="164">
        <v>9.0</v>
      </c>
      <c r="L960" s="164"/>
      <c r="M960" s="164"/>
      <c r="N960" s="164"/>
      <c r="O960" s="699" t="str">
        <f>I960/VLOOKUP(K960,Sheet1!$D$7:$N$16,G960+1,FALSE)</f>
        <v>#REF!</v>
      </c>
      <c r="P960" s="684"/>
      <c r="Q960" s="702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</row>
    <row r="961" ht="3.75" hidden="1" customHeight="1">
      <c r="A961" s="191"/>
      <c r="B961" s="719"/>
      <c r="C961" s="192"/>
      <c r="D961" s="138"/>
      <c r="E961" s="252"/>
      <c r="F961" s="102"/>
      <c r="G961" s="102"/>
      <c r="H961" s="102"/>
      <c r="I961" s="247"/>
      <c r="J961" s="156"/>
      <c r="K961" s="164"/>
      <c r="L961" s="164"/>
      <c r="M961" s="164"/>
      <c r="N961" s="164"/>
      <c r="O961" s="699" t="str">
        <f>I961/VLOOKUP(K961,Sheet1!$D$7:$N$16,G961+1,FALSE)</f>
        <v>#N/A</v>
      </c>
      <c r="P961" s="684"/>
      <c r="Q961" s="702"/>
      <c r="R961" s="158"/>
      <c r="S961" s="158"/>
      <c r="T961" s="158"/>
      <c r="U961" s="158"/>
      <c r="V961" s="158"/>
      <c r="W961" s="158"/>
      <c r="X961" s="158"/>
      <c r="Y961" s="158"/>
      <c r="Z961" s="158"/>
      <c r="AA961" s="158"/>
      <c r="AB961" s="158"/>
      <c r="AC961" s="158"/>
      <c r="AD961" s="158"/>
      <c r="AE961" s="158"/>
      <c r="AF961" s="158"/>
    </row>
    <row r="962" ht="15.75" hidden="1" customHeight="1">
      <c r="A962" s="90"/>
      <c r="B962" s="2"/>
      <c r="C962" s="90"/>
      <c r="D962" s="185" t="s">
        <v>270</v>
      </c>
      <c r="E962" s="260"/>
      <c r="F962" s="187">
        <v>3.0</v>
      </c>
      <c r="G962" s="731" t="s">
        <v>260</v>
      </c>
      <c r="H962" s="187"/>
      <c r="I962" s="164"/>
      <c r="J962" s="266">
        <v>9.0</v>
      </c>
      <c r="K962" s="164"/>
      <c r="L962" s="164"/>
      <c r="M962" s="164"/>
      <c r="N962" s="164"/>
      <c r="O962" s="699" t="str">
        <f>I962/VLOOKUP(K962,Sheet1!$D$7:$N$16,G962+1,FALSE)</f>
        <v>#REF!</v>
      </c>
      <c r="P962" s="684"/>
      <c r="Q962" s="702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</row>
    <row r="963" ht="3.75" hidden="1" customHeight="1">
      <c r="A963" s="90"/>
      <c r="B963" s="2"/>
      <c r="C963" s="90"/>
      <c r="D963" s="263"/>
      <c r="E963" s="252"/>
      <c r="F963" s="102"/>
      <c r="G963" s="102"/>
      <c r="H963" s="102"/>
      <c r="I963" s="247"/>
      <c r="J963" s="156"/>
      <c r="K963" s="164"/>
      <c r="L963" s="164"/>
      <c r="M963" s="164"/>
      <c r="N963" s="164"/>
      <c r="O963" s="699" t="str">
        <f>I963/VLOOKUP(K963,Sheet1!$D$7:$N$16,G963+1,FALSE)</f>
        <v>#N/A</v>
      </c>
      <c r="P963" s="684"/>
      <c r="Q963" s="702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</row>
    <row r="964" ht="15.75" hidden="1" customHeight="1">
      <c r="A964" s="90"/>
      <c r="B964" s="2"/>
      <c r="C964" s="90"/>
      <c r="D964" s="185" t="s">
        <v>256</v>
      </c>
      <c r="E964" s="266"/>
      <c r="F964" s="187">
        <v>3.0</v>
      </c>
      <c r="G964" s="187" t="s">
        <v>16</v>
      </c>
      <c r="H964" s="187"/>
      <c r="I964" s="164"/>
      <c r="J964" s="266">
        <v>9.0</v>
      </c>
      <c r="K964" s="164"/>
      <c r="L964" s="164"/>
      <c r="M964" s="164"/>
      <c r="N964" s="164"/>
      <c r="O964" s="699" t="str">
        <f>I964/VLOOKUP(K964,Sheet1!$D$7:$N$16,G964+1,FALSE)</f>
        <v>#VALUE!</v>
      </c>
      <c r="P964" s="684"/>
      <c r="Q964" s="697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</row>
    <row r="965" ht="3.75" hidden="1" customHeight="1">
      <c r="A965" s="191"/>
      <c r="B965" s="719"/>
      <c r="C965" s="192"/>
      <c r="D965" s="192"/>
      <c r="E965" s="267"/>
      <c r="F965" s="194"/>
      <c r="G965" s="194"/>
      <c r="H965" s="194"/>
      <c r="I965" s="194"/>
      <c r="J965" s="267"/>
      <c r="K965" s="273"/>
      <c r="L965" s="737"/>
      <c r="M965" s="737"/>
      <c r="N965" s="737"/>
      <c r="O965" s="271"/>
      <c r="P965" s="272"/>
      <c r="Q965" s="273"/>
      <c r="R965" s="158"/>
      <c r="S965" s="158"/>
      <c r="T965" s="158"/>
      <c r="U965" s="158"/>
      <c r="V965" s="158"/>
      <c r="W965" s="158"/>
      <c r="X965" s="158"/>
      <c r="Y965" s="158"/>
      <c r="Z965" s="158"/>
      <c r="AA965" s="158"/>
      <c r="AB965" s="158"/>
      <c r="AC965" s="158"/>
      <c r="AD965" s="158"/>
      <c r="AE965" s="158"/>
      <c r="AF965" s="158"/>
    </row>
    <row r="966" ht="14.25" hidden="1" customHeight="1">
      <c r="A966" s="5"/>
      <c r="B966" s="2"/>
      <c r="C966" s="5"/>
      <c r="D966" s="738"/>
      <c r="E966" s="739"/>
      <c r="F966" s="683"/>
      <c r="G966" s="683"/>
      <c r="H966" s="683"/>
      <c r="I966" s="683"/>
      <c r="J966" s="739"/>
      <c r="K966" s="738"/>
      <c r="L966" s="683"/>
      <c r="M966" s="683"/>
      <c r="N966" s="683"/>
      <c r="O966" s="740"/>
      <c r="P966" s="4"/>
      <c r="Q966" s="738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</row>
    <row r="967" ht="14.25" hidden="1" customHeight="1">
      <c r="A967" s="5"/>
      <c r="B967" s="2"/>
      <c r="C967" s="5"/>
      <c r="D967" s="738"/>
      <c r="E967" s="739"/>
      <c r="F967" s="683"/>
      <c r="G967" s="683"/>
      <c r="H967" s="683"/>
      <c r="I967" s="683"/>
      <c r="J967" s="739"/>
      <c r="K967" s="738"/>
      <c r="L967" s="683"/>
      <c r="M967" s="683"/>
      <c r="N967" s="683"/>
      <c r="O967" s="741"/>
      <c r="P967" s="4"/>
      <c r="Q967" s="738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</row>
    <row r="968" ht="14.25" hidden="1" customHeight="1">
      <c r="A968" s="5"/>
      <c r="B968" s="2"/>
      <c r="C968" s="5"/>
      <c r="D968" s="738"/>
      <c r="E968" s="739"/>
      <c r="F968" s="683"/>
      <c r="G968" s="683"/>
      <c r="H968" s="683"/>
      <c r="I968" s="683"/>
      <c r="J968" s="739"/>
      <c r="K968" s="738"/>
      <c r="L968" s="683"/>
      <c r="M968" s="683"/>
      <c r="N968" s="683"/>
      <c r="O968" s="741"/>
      <c r="P968" s="4"/>
      <c r="Q968" s="738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</row>
    <row r="969" ht="14.25" hidden="1" customHeight="1">
      <c r="A969" s="5"/>
      <c r="B969" s="2"/>
      <c r="C969" s="5"/>
      <c r="D969" s="738"/>
      <c r="E969" s="739"/>
      <c r="F969" s="683"/>
      <c r="G969" s="683"/>
      <c r="H969" s="683"/>
      <c r="I969" s="683"/>
      <c r="J969" s="739"/>
      <c r="K969" s="738"/>
      <c r="L969" s="683"/>
      <c r="M969" s="683"/>
      <c r="N969" s="683"/>
      <c r="O969" s="741"/>
      <c r="P969" s="4"/>
      <c r="Q969" s="738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</row>
    <row r="970" ht="14.25" hidden="1" customHeight="1">
      <c r="A970" s="5"/>
      <c r="B970" s="2"/>
      <c r="C970" s="5"/>
      <c r="D970" s="738"/>
      <c r="E970" s="739"/>
      <c r="F970" s="683"/>
      <c r="G970" s="683"/>
      <c r="H970" s="683"/>
      <c r="I970" s="683"/>
      <c r="J970" s="739"/>
      <c r="K970" s="738"/>
      <c r="L970" s="683"/>
      <c r="M970" s="683"/>
      <c r="N970" s="683"/>
      <c r="O970" s="741"/>
      <c r="P970" s="4"/>
      <c r="Q970" s="738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</row>
    <row r="971" ht="14.25" hidden="1" customHeight="1">
      <c r="A971" s="5"/>
      <c r="B971" s="2"/>
      <c r="C971" s="5"/>
      <c r="D971" s="738"/>
      <c r="E971" s="739"/>
      <c r="F971" s="683"/>
      <c r="G971" s="683"/>
      <c r="H971" s="683"/>
      <c r="I971" s="683"/>
      <c r="J971" s="739"/>
      <c r="K971" s="738"/>
      <c r="L971" s="683"/>
      <c r="M971" s="683"/>
      <c r="N971" s="683"/>
      <c r="O971" s="741"/>
      <c r="P971" s="4"/>
      <c r="Q971" s="738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</row>
    <row r="972" ht="14.25" hidden="1" customHeight="1">
      <c r="A972" s="5"/>
      <c r="B972" s="2"/>
      <c r="C972" s="5"/>
      <c r="D972" s="5"/>
      <c r="E972" s="75"/>
      <c r="F972" s="3"/>
      <c r="G972" s="3"/>
      <c r="H972" s="3"/>
      <c r="I972" s="3"/>
      <c r="J972" s="75"/>
      <c r="K972" s="5"/>
      <c r="L972" s="3"/>
      <c r="M972" s="3"/>
      <c r="N972" s="3"/>
      <c r="O972" s="3"/>
      <c r="P972" s="4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</row>
    <row r="973" ht="19.5" hidden="1" customHeight="1">
      <c r="A973" s="5"/>
      <c r="B973" s="2"/>
      <c r="C973" s="5"/>
      <c r="D973" s="663" t="s">
        <v>240</v>
      </c>
      <c r="E973" s="664">
        <v>3.0</v>
      </c>
      <c r="F973" s="665"/>
      <c r="G973" s="666"/>
      <c r="H973" s="665"/>
      <c r="I973" s="667"/>
      <c r="J973" s="668"/>
      <c r="K973" s="669"/>
      <c r="L973" s="453"/>
      <c r="M973" s="453"/>
      <c r="N973" s="453"/>
      <c r="O973" s="3"/>
      <c r="P973" s="4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</row>
    <row r="974" ht="27.0" hidden="1" customHeight="1">
      <c r="A974" s="90"/>
      <c r="B974" s="2"/>
      <c r="C974" s="90"/>
      <c r="D974" s="670"/>
      <c r="E974" s="671"/>
      <c r="F974" s="672" t="s">
        <v>16</v>
      </c>
      <c r="G974" s="673" t="s">
        <v>17</v>
      </c>
      <c r="H974" s="665"/>
      <c r="I974" s="674" t="s">
        <v>18</v>
      </c>
      <c r="J974" s="675" t="s">
        <v>241</v>
      </c>
      <c r="K974" s="676"/>
      <c r="L974" s="676"/>
      <c r="M974" s="676"/>
      <c r="N974" s="676"/>
      <c r="O974" s="122" t="s">
        <v>242</v>
      </c>
      <c r="P974" s="677" t="s">
        <v>243</v>
      </c>
      <c r="Q974" s="678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</row>
    <row r="975" ht="14.25" hidden="1" customHeight="1">
      <c r="A975" s="90"/>
      <c r="B975" s="2"/>
      <c r="C975" s="90"/>
      <c r="D975" s="679" t="s">
        <v>13</v>
      </c>
      <c r="E975" s="671"/>
      <c r="F975" s="680"/>
      <c r="G975" s="681"/>
      <c r="H975" s="665"/>
      <c r="I975" s="681"/>
      <c r="J975" s="675" t="s">
        <v>244</v>
      </c>
      <c r="K975" s="214"/>
      <c r="L975" s="682"/>
      <c r="M975" s="682"/>
      <c r="N975" s="682"/>
      <c r="O975" s="683"/>
      <c r="P975" s="684" t="s">
        <v>245</v>
      </c>
      <c r="Q975" s="68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</row>
    <row r="976" ht="3.75" hidden="1" customHeight="1">
      <c r="A976" s="90"/>
      <c r="B976" s="2"/>
      <c r="C976" s="90"/>
      <c r="D976" s="97"/>
      <c r="E976" s="98"/>
      <c r="F976" s="99"/>
      <c r="G976" s="99"/>
      <c r="H976" s="99"/>
      <c r="I976" s="100"/>
      <c r="J976" s="101"/>
      <c r="K976" s="90"/>
      <c r="L976" s="102"/>
      <c r="M976" s="102"/>
      <c r="N976" s="102"/>
      <c r="O976" s="103"/>
      <c r="P976" s="4"/>
      <c r="Q976" s="90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</row>
    <row r="977" ht="30.0" hidden="1" customHeight="1">
      <c r="A977" s="90"/>
      <c r="B977" s="2"/>
      <c r="C977" s="90"/>
      <c r="D977" s="686" t="s">
        <v>271</v>
      </c>
      <c r="E977" s="687" t="s">
        <v>15</v>
      </c>
      <c r="F977" s="688"/>
      <c r="G977" s="688"/>
      <c r="H977" s="688"/>
      <c r="I977" s="689"/>
      <c r="J977" s="690"/>
      <c r="K977" s="691" t="s">
        <v>20</v>
      </c>
      <c r="L977" s="692"/>
      <c r="M977" s="692"/>
      <c r="N977" s="692"/>
      <c r="O977" s="683"/>
      <c r="P977" s="684"/>
      <c r="Q977" s="693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</row>
    <row r="978" ht="19.5" hidden="1" customHeight="1">
      <c r="A978" s="90"/>
      <c r="B978" s="2"/>
      <c r="C978" s="90"/>
      <c r="D978" s="257" t="s">
        <v>25</v>
      </c>
      <c r="E978" s="257" t="s">
        <v>26</v>
      </c>
      <c r="F978" s="694"/>
      <c r="G978" s="694"/>
      <c r="H978" s="694"/>
      <c r="I978" s="695"/>
      <c r="J978" s="696"/>
      <c r="K978" s="697"/>
      <c r="L978" s="692"/>
      <c r="M978" s="692"/>
      <c r="N978" s="692"/>
      <c r="O978" s="683"/>
      <c r="P978" s="684"/>
      <c r="Q978" s="698" t="s">
        <v>30</v>
      </c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</row>
    <row r="979" ht="3.75" hidden="1" customHeight="1">
      <c r="A979" s="90"/>
      <c r="B979" s="2"/>
      <c r="C979" s="90"/>
      <c r="D979" s="97"/>
      <c r="E979" s="98"/>
      <c r="F979" s="99"/>
      <c r="G979" s="99"/>
      <c r="H979" s="99"/>
      <c r="I979" s="100"/>
      <c r="J979" s="101"/>
      <c r="K979" s="90"/>
      <c r="L979" s="102"/>
      <c r="M979" s="102"/>
      <c r="N979" s="102"/>
      <c r="O979" s="699"/>
      <c r="P979" s="684"/>
      <c r="Q979" s="90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</row>
    <row r="980" ht="15.75" hidden="1" customHeight="1">
      <c r="A980" s="124"/>
      <c r="B980" s="2"/>
      <c r="C980" s="124"/>
      <c r="D980" s="185" t="s">
        <v>6</v>
      </c>
      <c r="E980" s="260"/>
      <c r="F980" s="187">
        <v>1.0</v>
      </c>
      <c r="G980" s="187">
        <v>6.0</v>
      </c>
      <c r="H980" s="187"/>
      <c r="I980" s="164">
        <v>180.0</v>
      </c>
      <c r="J980" s="266">
        <v>6.0</v>
      </c>
      <c r="K980" s="183">
        <v>7.0</v>
      </c>
      <c r="L980" s="183"/>
      <c r="M980" s="183"/>
      <c r="N980" s="183"/>
      <c r="O980" s="699">
        <f>I980/VLOOKUP(K980,Sheet1!$D$7:$N$16,G980+1,FALSE)</f>
        <v>235.2941176</v>
      </c>
      <c r="P980" s="684" t="str">
        <f t="shared" ref="P980:P1001" si="36">I980-#REF!</f>
        <v>#REF!</v>
      </c>
      <c r="Q980" s="700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</row>
    <row r="981" ht="3.75" hidden="1" customHeight="1">
      <c r="A981" s="137"/>
      <c r="B981" s="661"/>
      <c r="C981" s="137"/>
      <c r="D981" s="138"/>
      <c r="E981" s="252"/>
      <c r="F981" s="140"/>
      <c r="G981" s="140"/>
      <c r="H981" s="140"/>
      <c r="I981" s="701"/>
      <c r="J981" s="141"/>
      <c r="K981" s="183"/>
      <c r="L981" s="183"/>
      <c r="M981" s="183"/>
      <c r="N981" s="183"/>
      <c r="O981" s="699" t="str">
        <f>I981/VLOOKUP(K981,Sheet1!$D$7:$N$16,G981+1,FALSE)</f>
        <v>#N/A</v>
      </c>
      <c r="P981" s="684" t="str">
        <f t="shared" si="36"/>
        <v>#REF!</v>
      </c>
      <c r="Q981" s="702"/>
      <c r="R981" s="148"/>
      <c r="S981" s="148"/>
      <c r="T981" s="148"/>
      <c r="U981" s="148"/>
      <c r="V981" s="148"/>
      <c r="W981" s="148"/>
      <c r="X981" s="148"/>
      <c r="Y981" s="148"/>
      <c r="Z981" s="148"/>
      <c r="AA981" s="148"/>
      <c r="AB981" s="148"/>
      <c r="AC981" s="148"/>
      <c r="AD981" s="148"/>
      <c r="AE981" s="148"/>
      <c r="AF981" s="148"/>
    </row>
    <row r="982" ht="15.75" hidden="1" customHeight="1">
      <c r="A982" s="149"/>
      <c r="B982" s="703"/>
      <c r="C982" s="149"/>
      <c r="D982" s="185" t="s">
        <v>6</v>
      </c>
      <c r="E982" s="260"/>
      <c r="F982" s="187">
        <v>1.0</v>
      </c>
      <c r="G982" s="187">
        <v>6.0</v>
      </c>
      <c r="H982" s="187"/>
      <c r="I982" s="164">
        <v>195.0</v>
      </c>
      <c r="J982" s="266">
        <v>7.0</v>
      </c>
      <c r="K982" s="183">
        <v>8.0</v>
      </c>
      <c r="L982" s="183"/>
      <c r="M982" s="183"/>
      <c r="N982" s="183"/>
      <c r="O982" s="699">
        <f>I982/VLOOKUP(K982,Sheet1!$D$7:$N$16,G982+1,FALSE)</f>
        <v>246.835443</v>
      </c>
      <c r="P982" s="684" t="str">
        <f t="shared" si="36"/>
        <v>#REF!</v>
      </c>
      <c r="Q982" s="702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</row>
    <row r="983" ht="3.75" hidden="1" customHeight="1">
      <c r="A983" s="152"/>
      <c r="B983" s="705"/>
      <c r="C983" s="153"/>
      <c r="D983" s="138"/>
      <c r="E983" s="263"/>
      <c r="F983" s="194"/>
      <c r="G983" s="194"/>
      <c r="H983" s="194"/>
      <c r="I983" s="164"/>
      <c r="J983" s="267"/>
      <c r="K983" s="183"/>
      <c r="L983" s="183"/>
      <c r="M983" s="183"/>
      <c r="N983" s="183"/>
      <c r="O983" s="699" t="str">
        <f>I983/VLOOKUP(K983,Sheet1!$D$7:$N$16,G983+1,FALSE)</f>
        <v>#N/A</v>
      </c>
      <c r="P983" s="684" t="str">
        <f t="shared" si="36"/>
        <v>#REF!</v>
      </c>
      <c r="Q983" s="702"/>
      <c r="R983" s="158"/>
      <c r="S983" s="158"/>
      <c r="T983" s="158"/>
      <c r="U983" s="158"/>
      <c r="V983" s="158"/>
      <c r="W983" s="158"/>
      <c r="X983" s="158"/>
      <c r="Y983" s="158"/>
      <c r="Z983" s="158"/>
      <c r="AA983" s="158"/>
      <c r="AB983" s="158"/>
      <c r="AC983" s="158"/>
      <c r="AD983" s="158"/>
      <c r="AE983" s="158"/>
      <c r="AF983" s="158"/>
    </row>
    <row r="984" ht="15.75" hidden="1" customHeight="1">
      <c r="A984" s="149"/>
      <c r="B984" s="703"/>
      <c r="C984" s="149"/>
      <c r="D984" s="185" t="s">
        <v>6</v>
      </c>
      <c r="E984" s="264"/>
      <c r="F984" s="187">
        <v>1.0</v>
      </c>
      <c r="G984" s="187">
        <v>6.0</v>
      </c>
      <c r="H984" s="187"/>
      <c r="I984" s="164">
        <v>180.0</v>
      </c>
      <c r="J984" s="706">
        <v>-0.1</v>
      </c>
      <c r="K984" s="183">
        <v>7.5</v>
      </c>
      <c r="L984" s="183"/>
      <c r="M984" s="183"/>
      <c r="N984" s="183"/>
      <c r="O984" s="699">
        <f>I984/VLOOKUP(K984,Sheet1!$D$7:$N$16,G984+1,FALSE)</f>
        <v>231.511254</v>
      </c>
      <c r="P984" s="684" t="str">
        <f t="shared" si="36"/>
        <v>#REF!</v>
      </c>
      <c r="Q984" s="702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</row>
    <row r="985" ht="3.75" hidden="1" customHeight="1">
      <c r="A985" s="162"/>
      <c r="B985" s="707"/>
      <c r="C985" s="162"/>
      <c r="D985" s="138"/>
      <c r="E985" s="708"/>
      <c r="F985" s="140"/>
      <c r="G985" s="140"/>
      <c r="H985" s="140"/>
      <c r="I985" s="701"/>
      <c r="J985" s="141"/>
      <c r="K985" s="183"/>
      <c r="L985" s="183"/>
      <c r="M985" s="183"/>
      <c r="N985" s="183"/>
      <c r="O985" s="699" t="str">
        <f>I985/VLOOKUP(K985,Sheet1!$D$7:$N$16,G985+1,FALSE)</f>
        <v>#N/A</v>
      </c>
      <c r="P985" s="684" t="str">
        <f t="shared" si="36"/>
        <v>#REF!</v>
      </c>
      <c r="Q985" s="702"/>
      <c r="R985" s="148"/>
      <c r="S985" s="148"/>
      <c r="T985" s="148"/>
      <c r="U985" s="148"/>
      <c r="V985" s="148"/>
      <c r="W985" s="148"/>
      <c r="X985" s="148"/>
      <c r="Y985" s="148"/>
      <c r="Z985" s="148"/>
      <c r="AA985" s="148"/>
      <c r="AB985" s="148"/>
      <c r="AC985" s="148"/>
      <c r="AD985" s="148"/>
      <c r="AE985" s="148"/>
      <c r="AF985" s="148"/>
    </row>
    <row r="986" ht="15.75" hidden="1" customHeight="1">
      <c r="A986" s="149"/>
      <c r="B986" s="703"/>
      <c r="C986" s="149"/>
      <c r="D986" s="185" t="s">
        <v>51</v>
      </c>
      <c r="E986" s="264"/>
      <c r="F986" s="187">
        <v>1.0</v>
      </c>
      <c r="G986" s="187">
        <v>3.0</v>
      </c>
      <c r="H986" s="187"/>
      <c r="I986" s="164">
        <v>150.0</v>
      </c>
      <c r="J986" s="266">
        <v>7.0</v>
      </c>
      <c r="K986" s="183">
        <v>8.0</v>
      </c>
      <c r="L986" s="183"/>
      <c r="M986" s="183"/>
      <c r="N986" s="183"/>
      <c r="O986" s="699">
        <f>I986/VLOOKUP(K986,Sheet1!$D$7:$N$16,G986+1,FALSE)</f>
        <v>173.4104046</v>
      </c>
      <c r="P986" s="684" t="str">
        <f t="shared" si="36"/>
        <v>#REF!</v>
      </c>
      <c r="Q986" s="702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</row>
    <row r="987" ht="3.75" hidden="1" customHeight="1">
      <c r="A987" s="162"/>
      <c r="B987" s="707"/>
      <c r="C987" s="162"/>
      <c r="D987" s="138"/>
      <c r="E987" s="321"/>
      <c r="F987" s="102"/>
      <c r="G987" s="102"/>
      <c r="H987" s="102"/>
      <c r="I987" s="247"/>
      <c r="J987" s="156"/>
      <c r="K987" s="183"/>
      <c r="L987" s="183"/>
      <c r="M987" s="183"/>
      <c r="N987" s="183"/>
      <c r="O987" s="699" t="str">
        <f>I987/VLOOKUP(K987,Sheet1!$D$7:$N$16,G987+1,FALSE)</f>
        <v>#N/A</v>
      </c>
      <c r="P987" s="684" t="str">
        <f t="shared" si="36"/>
        <v>#REF!</v>
      </c>
      <c r="Q987" s="702"/>
      <c r="R987" s="148"/>
      <c r="S987" s="148"/>
      <c r="T987" s="148"/>
      <c r="U987" s="148"/>
      <c r="V987" s="148"/>
      <c r="W987" s="148"/>
      <c r="X987" s="148"/>
      <c r="Y987" s="148"/>
      <c r="Z987" s="148"/>
      <c r="AA987" s="148"/>
      <c r="AB987" s="148"/>
      <c r="AC987" s="148"/>
      <c r="AD987" s="148"/>
      <c r="AE987" s="148"/>
      <c r="AF987" s="148"/>
    </row>
    <row r="988" ht="15.75" hidden="1" customHeight="1">
      <c r="A988" s="90"/>
      <c r="B988" s="2"/>
      <c r="C988" s="90"/>
      <c r="D988" s="185" t="s">
        <v>51</v>
      </c>
      <c r="E988" s="264"/>
      <c r="F988" s="187">
        <v>3.0</v>
      </c>
      <c r="G988" s="187">
        <v>5.0</v>
      </c>
      <c r="H988" s="187"/>
      <c r="I988" s="164">
        <v>132.5</v>
      </c>
      <c r="J988" s="706">
        <v>-0.12</v>
      </c>
      <c r="K988" s="183">
        <v>7.0</v>
      </c>
      <c r="L988" s="183"/>
      <c r="M988" s="183"/>
      <c r="N988" s="183"/>
      <c r="O988" s="699">
        <f>I988/VLOOKUP(K988,Sheet1!$D$7:$N$16,G988+1,FALSE)</f>
        <v>167.721519</v>
      </c>
      <c r="P988" s="684" t="str">
        <f t="shared" si="36"/>
        <v>#REF!</v>
      </c>
      <c r="Q988" s="702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</row>
    <row r="989" ht="3.75" hidden="1" customHeight="1">
      <c r="A989" s="168"/>
      <c r="B989" s="661"/>
      <c r="C989" s="168"/>
      <c r="D989" s="138"/>
      <c r="E989" s="708"/>
      <c r="F989" s="140"/>
      <c r="G989" s="140"/>
      <c r="H989" s="140"/>
      <c r="I989" s="701"/>
      <c r="J989" s="141"/>
      <c r="K989" s="183"/>
      <c r="L989" s="183"/>
      <c r="M989" s="183"/>
      <c r="N989" s="183"/>
      <c r="O989" s="699" t="str">
        <f>I989/VLOOKUP(K989,Sheet1!$D$7:$N$16,G989+1,FALSE)</f>
        <v>#N/A</v>
      </c>
      <c r="P989" s="684" t="str">
        <f t="shared" si="36"/>
        <v>#REF!</v>
      </c>
      <c r="Q989" s="702"/>
      <c r="R989" s="148"/>
      <c r="S989" s="148"/>
      <c r="T989" s="148"/>
      <c r="U989" s="148"/>
      <c r="V989" s="148"/>
      <c r="W989" s="148"/>
      <c r="X989" s="148"/>
      <c r="Y989" s="148"/>
      <c r="Z989" s="148"/>
      <c r="AA989" s="148"/>
      <c r="AB989" s="148"/>
      <c r="AC989" s="148"/>
      <c r="AD989" s="148"/>
      <c r="AE989" s="148"/>
      <c r="AF989" s="148"/>
    </row>
    <row r="990" ht="15.75" hidden="1" customHeight="1">
      <c r="A990" s="90"/>
      <c r="B990" s="2"/>
      <c r="C990" s="90"/>
      <c r="D990" s="709"/>
      <c r="E990" s="710"/>
      <c r="F990" s="711"/>
      <c r="G990" s="187"/>
      <c r="H990" s="179"/>
      <c r="I990" s="742"/>
      <c r="J990" s="713"/>
      <c r="K990" s="183"/>
      <c r="L990" s="183"/>
      <c r="M990" s="183"/>
      <c r="N990" s="183"/>
      <c r="O990" s="699" t="str">
        <f>I990/VLOOKUP(K990,Sheet1!$D$7:$N$16,G990+1,FALSE)</f>
        <v>#N/A</v>
      </c>
      <c r="P990" s="684" t="str">
        <f t="shared" si="36"/>
        <v>#REF!</v>
      </c>
      <c r="Q990" s="702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</row>
    <row r="991" ht="3.75" hidden="1" customHeight="1">
      <c r="A991" s="90"/>
      <c r="B991" s="2"/>
      <c r="C991" s="90"/>
      <c r="D991" s="171"/>
      <c r="E991" s="714"/>
      <c r="F991" s="173"/>
      <c r="G991" s="173"/>
      <c r="H991" s="715"/>
      <c r="I991" s="716"/>
      <c r="J991" s="174"/>
      <c r="K991" s="183"/>
      <c r="L991" s="183"/>
      <c r="M991" s="183"/>
      <c r="N991" s="183"/>
      <c r="O991" s="699" t="str">
        <f>I991/VLOOKUP(K991,Sheet1!$D$7:$N$16,G991+1,FALSE)</f>
        <v>#N/A</v>
      </c>
      <c r="P991" s="684" t="str">
        <f t="shared" si="36"/>
        <v>#REF!</v>
      </c>
      <c r="Q991" s="702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</row>
    <row r="992" ht="15.75" hidden="1" customHeight="1">
      <c r="A992" s="90"/>
      <c r="B992" s="2"/>
      <c r="C992" s="90"/>
      <c r="D992" s="260" t="s">
        <v>273</v>
      </c>
      <c r="E992" s="266"/>
      <c r="F992" s="187">
        <v>3.0</v>
      </c>
      <c r="G992" s="731" t="s">
        <v>251</v>
      </c>
      <c r="H992" s="187"/>
      <c r="I992" s="164"/>
      <c r="J992" s="266">
        <v>8.0</v>
      </c>
      <c r="K992" s="183">
        <v>8.0</v>
      </c>
      <c r="L992" s="183"/>
      <c r="M992" s="183"/>
      <c r="N992" s="183"/>
      <c r="O992" s="699" t="str">
        <f>I992/VLOOKUP(K992,Sheet1!$D$7:$N$16,G992+1,FALSE)</f>
        <v>#REF!</v>
      </c>
      <c r="P992" s="684" t="str">
        <f t="shared" si="36"/>
        <v>#REF!</v>
      </c>
      <c r="Q992" s="702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</row>
    <row r="993" ht="3.75" hidden="1" customHeight="1">
      <c r="A993" s="90"/>
      <c r="B993" s="2"/>
      <c r="C993" s="90"/>
      <c r="D993" s="171"/>
      <c r="E993" s="714"/>
      <c r="F993" s="173"/>
      <c r="G993" s="173"/>
      <c r="H993" s="715"/>
      <c r="I993" s="716"/>
      <c r="J993" s="174"/>
      <c r="K993" s="183"/>
      <c r="L993" s="183"/>
      <c r="M993" s="183"/>
      <c r="N993" s="183"/>
      <c r="O993" s="699" t="str">
        <f>I993/VLOOKUP(K993,Sheet1!$D$7:$N$16,G993+1,FALSE)</f>
        <v>#N/A</v>
      </c>
      <c r="P993" s="684" t="str">
        <f t="shared" si="36"/>
        <v>#REF!</v>
      </c>
      <c r="Q993" s="702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</row>
    <row r="994" ht="15.75" hidden="1" customHeight="1">
      <c r="A994" s="90"/>
      <c r="B994" s="2"/>
      <c r="C994" s="90"/>
      <c r="D994" s="709" t="s">
        <v>274</v>
      </c>
      <c r="E994" s="710"/>
      <c r="F994" s="711">
        <v>3.0</v>
      </c>
      <c r="G994" s="731" t="s">
        <v>251</v>
      </c>
      <c r="H994" s="179"/>
      <c r="I994" s="717"/>
      <c r="J994" s="713">
        <v>8.0</v>
      </c>
      <c r="K994" s="183">
        <v>8.0</v>
      </c>
      <c r="L994" s="183"/>
      <c r="M994" s="183"/>
      <c r="N994" s="183"/>
      <c r="O994" s="699" t="str">
        <f>I994/VLOOKUP(K994,Sheet1!$D$7:$N$16,G994+1,FALSE)</f>
        <v>#REF!</v>
      </c>
      <c r="P994" s="684" t="str">
        <f t="shared" si="36"/>
        <v>#REF!</v>
      </c>
      <c r="Q994" s="702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</row>
    <row r="995" ht="3.75" hidden="1" customHeight="1">
      <c r="A995" s="90"/>
      <c r="B995" s="2"/>
      <c r="C995" s="90"/>
      <c r="D995" s="138"/>
      <c r="E995" s="252"/>
      <c r="F995" s="102"/>
      <c r="G995" s="102"/>
      <c r="H995" s="102"/>
      <c r="I995" s="247"/>
      <c r="J995" s="156"/>
      <c r="K995" s="183"/>
      <c r="L995" s="183"/>
      <c r="M995" s="183"/>
      <c r="N995" s="183"/>
      <c r="O995" s="699" t="str">
        <f>I995/VLOOKUP(K995,Sheet1!$D$7:$N$16,G995+1,FALSE)</f>
        <v>#N/A</v>
      </c>
      <c r="P995" s="684" t="str">
        <f t="shared" si="36"/>
        <v>#REF!</v>
      </c>
      <c r="Q995" s="702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</row>
    <row r="996" ht="15.75" hidden="1" customHeight="1">
      <c r="A996" s="90"/>
      <c r="B996" s="2"/>
      <c r="C996" s="90"/>
      <c r="D996" s="185"/>
      <c r="E996" s="266"/>
      <c r="F996" s="187"/>
      <c r="G996" s="718"/>
      <c r="H996" s="187"/>
      <c r="I996" s="164"/>
      <c r="J996" s="266"/>
      <c r="K996" s="183"/>
      <c r="L996" s="183"/>
      <c r="M996" s="183"/>
      <c r="N996" s="183"/>
      <c r="O996" s="699" t="str">
        <f>I996/VLOOKUP(K996,Sheet1!$D$7:$N$16,G996+1,FALSE)</f>
        <v>#N/A</v>
      </c>
      <c r="P996" s="684" t="str">
        <f t="shared" si="36"/>
        <v>#REF!</v>
      </c>
      <c r="Q996" s="702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</row>
    <row r="997" ht="3.75" hidden="1" customHeight="1">
      <c r="A997" s="191"/>
      <c r="B997" s="719"/>
      <c r="C997" s="192"/>
      <c r="D997" s="138"/>
      <c r="E997" s="267"/>
      <c r="F997" s="194"/>
      <c r="G997" s="194"/>
      <c r="H997" s="194"/>
      <c r="I997" s="164"/>
      <c r="J997" s="267"/>
      <c r="K997" s="183"/>
      <c r="L997" s="183"/>
      <c r="M997" s="183"/>
      <c r="N997" s="183"/>
      <c r="O997" s="699" t="str">
        <f>I997/VLOOKUP(K997,Sheet1!$D$7:$N$16,G997+1,FALSE)</f>
        <v>#N/A</v>
      </c>
      <c r="P997" s="684" t="str">
        <f t="shared" si="36"/>
        <v>#REF!</v>
      </c>
      <c r="Q997" s="702"/>
      <c r="R997" s="158"/>
      <c r="S997" s="158"/>
      <c r="T997" s="158"/>
      <c r="U997" s="158"/>
      <c r="V997" s="158"/>
      <c r="W997" s="158"/>
      <c r="X997" s="158"/>
      <c r="Y997" s="158"/>
      <c r="Z997" s="158"/>
      <c r="AA997" s="158"/>
      <c r="AB997" s="158"/>
      <c r="AC997" s="158"/>
      <c r="AD997" s="158"/>
      <c r="AE997" s="158"/>
      <c r="AF997" s="158"/>
    </row>
    <row r="998" ht="15.75" hidden="1" customHeight="1">
      <c r="A998" s="90"/>
      <c r="B998" s="2"/>
      <c r="C998" s="90"/>
      <c r="D998" s="185"/>
      <c r="E998" s="266"/>
      <c r="F998" s="187"/>
      <c r="G998" s="187"/>
      <c r="H998" s="187"/>
      <c r="I998" s="164"/>
      <c r="J998" s="266"/>
      <c r="K998" s="183"/>
      <c r="L998" s="183"/>
      <c r="M998" s="183"/>
      <c r="N998" s="183"/>
      <c r="O998" s="699" t="str">
        <f>I998/VLOOKUP(K998,Sheet1!$D$7:$N$16,G998+1,FALSE)</f>
        <v>#N/A</v>
      </c>
      <c r="P998" s="684" t="str">
        <f t="shared" si="36"/>
        <v>#REF!</v>
      </c>
      <c r="Q998" s="702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</row>
    <row r="999" ht="3.75" hidden="1" customHeight="1">
      <c r="A999" s="90"/>
      <c r="B999" s="2"/>
      <c r="C999" s="90"/>
      <c r="D999" s="138"/>
      <c r="E999" s="252"/>
      <c r="F999" s="102"/>
      <c r="G999" s="102"/>
      <c r="H999" s="102"/>
      <c r="I999" s="247"/>
      <c r="J999" s="156"/>
      <c r="K999" s="183"/>
      <c r="L999" s="183"/>
      <c r="M999" s="183"/>
      <c r="N999" s="183"/>
      <c r="O999" s="699" t="str">
        <f>I999/VLOOKUP(K999,Sheet1!$D$7:$N$16,G999+1,FALSE)</f>
        <v>#N/A</v>
      </c>
      <c r="P999" s="684" t="str">
        <f t="shared" si="36"/>
        <v>#REF!</v>
      </c>
      <c r="Q999" s="702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</row>
    <row r="1000" ht="15.75" hidden="1" customHeight="1">
      <c r="A1000" s="90"/>
      <c r="B1000" s="2"/>
      <c r="C1000" s="90"/>
      <c r="D1000" s="185"/>
      <c r="E1000" s="266"/>
      <c r="F1000" s="187"/>
      <c r="G1000" s="187"/>
      <c r="H1000" s="187"/>
      <c r="I1000" s="164"/>
      <c r="J1000" s="266"/>
      <c r="K1000" s="183"/>
      <c r="L1000" s="183"/>
      <c r="M1000" s="183"/>
      <c r="N1000" s="183"/>
      <c r="O1000" s="699" t="str">
        <f>I1000/VLOOKUP(K1000,Sheet1!$D$7:$N$16,G1000+1,FALSE)</f>
        <v>#N/A</v>
      </c>
      <c r="P1000" s="684" t="str">
        <f t="shared" si="36"/>
        <v>#REF!</v>
      </c>
      <c r="Q1000" s="697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</row>
    <row r="1001" ht="3.75" hidden="1" customHeight="1">
      <c r="A1001" s="90"/>
      <c r="B1001" s="2"/>
      <c r="C1001" s="90"/>
      <c r="D1001" s="90"/>
      <c r="E1001" s="156"/>
      <c r="F1001" s="102"/>
      <c r="G1001" s="102"/>
      <c r="H1001" s="102"/>
      <c r="I1001" s="102"/>
      <c r="J1001" s="156"/>
      <c r="K1001" s="720"/>
      <c r="L1001" s="201"/>
      <c r="M1001" s="201"/>
      <c r="N1001" s="201"/>
      <c r="O1001" s="699" t="str">
        <f>I1001/VLOOKUP(K1001,Sheet1!$D$7:$N$16,G1001+1,FALSE)</f>
        <v>#N/A</v>
      </c>
      <c r="P1001" s="684" t="str">
        <f t="shared" si="36"/>
        <v>#REF!</v>
      </c>
      <c r="Q1001" s="720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</row>
    <row r="1002" ht="30.0" hidden="1" customHeight="1">
      <c r="A1002" s="90"/>
      <c r="B1002" s="2"/>
      <c r="C1002" s="90"/>
      <c r="D1002" s="686" t="s">
        <v>246</v>
      </c>
      <c r="E1002" s="687" t="s">
        <v>15</v>
      </c>
      <c r="F1002" s="721" t="s">
        <v>16</v>
      </c>
      <c r="G1002" s="722" t="s">
        <v>17</v>
      </c>
      <c r="H1002" s="723"/>
      <c r="I1002" s="724"/>
      <c r="J1002" s="725" t="s">
        <v>241</v>
      </c>
      <c r="K1002" s="691"/>
      <c r="L1002" s="692"/>
      <c r="M1002" s="692"/>
      <c r="N1002" s="692"/>
      <c r="O1002" s="699"/>
      <c r="P1002" s="684"/>
      <c r="Q1002" s="693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</row>
    <row r="1003" ht="14.25" hidden="1" customHeight="1">
      <c r="A1003" s="90"/>
      <c r="B1003" s="2"/>
      <c r="C1003" s="90"/>
      <c r="D1003" s="257" t="s">
        <v>25</v>
      </c>
      <c r="E1003" s="257" t="s">
        <v>26</v>
      </c>
      <c r="F1003" s="680"/>
      <c r="G1003" s="681"/>
      <c r="H1003" s="723"/>
      <c r="I1003" s="681"/>
      <c r="J1003" s="725" t="s">
        <v>244</v>
      </c>
      <c r="K1003" s="697"/>
      <c r="L1003" s="692"/>
      <c r="M1003" s="692"/>
      <c r="N1003" s="692"/>
      <c r="O1003" s="699"/>
      <c r="P1003" s="684"/>
      <c r="Q1003" s="698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</row>
    <row r="1004" ht="3.75" hidden="1" customHeight="1">
      <c r="A1004" s="191"/>
      <c r="B1004" s="719"/>
      <c r="C1004" s="192"/>
      <c r="D1004" s="203"/>
      <c r="E1004" s="203"/>
      <c r="F1004" s="726"/>
      <c r="G1004" s="726"/>
      <c r="H1004" s="726"/>
      <c r="I1004" s="727"/>
      <c r="J1004" s="728"/>
      <c r="K1004" s="192"/>
      <c r="L1004" s="194"/>
      <c r="M1004" s="194"/>
      <c r="N1004" s="194"/>
      <c r="O1004" s="699"/>
      <c r="P1004" s="684" t="str">
        <f t="shared" ref="P1004:P1026" si="37">I1004-#REF!</f>
        <v>#REF!</v>
      </c>
      <c r="Q1004" s="192"/>
      <c r="R1004" s="158"/>
      <c r="S1004" s="158"/>
      <c r="T1004" s="158"/>
      <c r="U1004" s="158"/>
      <c r="V1004" s="158"/>
      <c r="W1004" s="158"/>
      <c r="X1004" s="158"/>
      <c r="Y1004" s="158"/>
      <c r="Z1004" s="158"/>
      <c r="AA1004" s="158"/>
      <c r="AB1004" s="158"/>
      <c r="AC1004" s="158"/>
      <c r="AD1004" s="158"/>
      <c r="AE1004" s="158"/>
      <c r="AF1004" s="158"/>
    </row>
    <row r="1005" ht="15.75" hidden="1" customHeight="1">
      <c r="A1005" s="124"/>
      <c r="B1005" s="2"/>
      <c r="C1005" s="124"/>
      <c r="D1005" s="185" t="s">
        <v>248</v>
      </c>
      <c r="E1005" s="743"/>
      <c r="F1005" s="187">
        <v>1.0</v>
      </c>
      <c r="G1005" s="187">
        <v>6.0</v>
      </c>
      <c r="H1005" s="187"/>
      <c r="I1005" s="164">
        <v>215.0</v>
      </c>
      <c r="J1005" s="266">
        <v>6.0</v>
      </c>
      <c r="K1005" s="183">
        <v>8.0</v>
      </c>
      <c r="L1005" s="183"/>
      <c r="M1005" s="183"/>
      <c r="N1005" s="183"/>
      <c r="O1005" s="699">
        <f>I1005/VLOOKUP(K1005,Sheet1!$D$7:$N$16,G1005+1,FALSE)</f>
        <v>272.1518987</v>
      </c>
      <c r="P1005" s="684" t="str">
        <f t="shared" si="37"/>
        <v>#REF!</v>
      </c>
      <c r="Q1005" s="730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</row>
    <row r="1006" ht="3.75" hidden="1" customHeight="1">
      <c r="A1006" s="124"/>
      <c r="B1006" s="2"/>
      <c r="C1006" s="124"/>
      <c r="D1006" s="138"/>
      <c r="E1006" s="321"/>
      <c r="F1006" s="102"/>
      <c r="G1006" s="102"/>
      <c r="H1006" s="102"/>
      <c r="I1006" s="247"/>
      <c r="J1006" s="267"/>
      <c r="K1006" s="183"/>
      <c r="L1006" s="183"/>
      <c r="M1006" s="183"/>
      <c r="N1006" s="183"/>
      <c r="O1006" s="699" t="str">
        <f>I1006/VLOOKUP(K1006,Sheet1!$D$7:$N$16,G1006+1,FALSE)</f>
        <v>#N/A</v>
      </c>
      <c r="P1006" s="684" t="str">
        <f t="shared" si="37"/>
        <v>#REF!</v>
      </c>
      <c r="Q1006" s="702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</row>
    <row r="1007" ht="15.75" hidden="1" customHeight="1">
      <c r="A1007" s="90"/>
      <c r="B1007" s="2"/>
      <c r="C1007" s="90"/>
      <c r="D1007" s="185" t="s">
        <v>291</v>
      </c>
      <c r="E1007" s="264"/>
      <c r="F1007" s="187">
        <v>2.0</v>
      </c>
      <c r="G1007" s="187">
        <v>1.0</v>
      </c>
      <c r="H1007" s="187"/>
      <c r="I1007" s="164">
        <v>215.0</v>
      </c>
      <c r="J1007" s="266" t="s">
        <v>78</v>
      </c>
      <c r="K1007" s="183">
        <v>6.0</v>
      </c>
      <c r="L1007" s="183"/>
      <c r="M1007" s="183"/>
      <c r="N1007" s="183"/>
      <c r="O1007" s="699">
        <f>I1007/VLOOKUP(K1007,Sheet1!$D$7:$N$16,G1007+1,FALSE)</f>
        <v>248.5549133</v>
      </c>
      <c r="P1007" s="684" t="str">
        <f t="shared" si="37"/>
        <v>#REF!</v>
      </c>
      <c r="Q1007" s="702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</row>
    <row r="1008" ht="3.75" hidden="1" customHeight="1">
      <c r="A1008" s="90"/>
      <c r="B1008" s="2"/>
      <c r="C1008" s="90"/>
      <c r="D1008" s="138"/>
      <c r="E1008" s="321"/>
      <c r="F1008" s="102"/>
      <c r="G1008" s="102"/>
      <c r="H1008" s="102"/>
      <c r="I1008" s="247"/>
      <c r="J1008" s="267"/>
      <c r="K1008" s="183"/>
      <c r="L1008" s="183"/>
      <c r="M1008" s="183"/>
      <c r="N1008" s="183"/>
      <c r="O1008" s="699" t="str">
        <f>I1008/VLOOKUP(K1008,Sheet1!$D$7:$N$16,G1008+1,FALSE)</f>
        <v>#N/A</v>
      </c>
      <c r="P1008" s="684" t="str">
        <f t="shared" si="37"/>
        <v>#REF!</v>
      </c>
      <c r="Q1008" s="702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</row>
    <row r="1009" ht="15.75" hidden="1" customHeight="1">
      <c r="A1009" s="90"/>
      <c r="B1009" s="2"/>
      <c r="C1009" s="90"/>
      <c r="D1009" s="185" t="s">
        <v>248</v>
      </c>
      <c r="E1009" s="264"/>
      <c r="F1009" s="187">
        <v>2.0</v>
      </c>
      <c r="G1009" s="187">
        <v>6.0</v>
      </c>
      <c r="H1009" s="187"/>
      <c r="I1009" s="164">
        <v>195.0</v>
      </c>
      <c r="J1009" s="706">
        <v>-0.12</v>
      </c>
      <c r="K1009" s="183">
        <v>8.0</v>
      </c>
      <c r="L1009" s="183"/>
      <c r="M1009" s="183"/>
      <c r="N1009" s="183"/>
      <c r="O1009" s="699">
        <f>I1009/VLOOKUP(K1009,Sheet1!$D$7:$N$16,G1009+1,FALSE)</f>
        <v>246.835443</v>
      </c>
      <c r="P1009" s="684" t="str">
        <f t="shared" si="37"/>
        <v>#REF!</v>
      </c>
      <c r="Q1009" s="702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</row>
    <row r="1010" ht="3.75" hidden="1" customHeight="1">
      <c r="A1010" s="90"/>
      <c r="B1010" s="2"/>
      <c r="C1010" s="90"/>
      <c r="D1010" s="138"/>
      <c r="E1010" s="321"/>
      <c r="F1010" s="102"/>
      <c r="G1010" s="102"/>
      <c r="H1010" s="102"/>
      <c r="I1010" s="247"/>
      <c r="J1010" s="156"/>
      <c r="K1010" s="183"/>
      <c r="L1010" s="183"/>
      <c r="M1010" s="183"/>
      <c r="N1010" s="183"/>
      <c r="O1010" s="699" t="str">
        <f>I1010/VLOOKUP(K1010,Sheet1!$D$7:$N$16,G1010+1,FALSE)</f>
        <v>#N/A</v>
      </c>
      <c r="P1010" s="684" t="str">
        <f t="shared" si="37"/>
        <v>#REF!</v>
      </c>
      <c r="Q1010" s="702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</row>
    <row r="1011" ht="15.75" hidden="1" customHeight="1">
      <c r="A1011" s="90"/>
      <c r="B1011" s="2"/>
      <c r="C1011" s="90"/>
      <c r="D1011" s="185"/>
      <c r="E1011" s="260"/>
      <c r="F1011" s="187"/>
      <c r="G1011" s="187"/>
      <c r="H1011" s="187"/>
      <c r="I1011" s="164"/>
      <c r="J1011" s="266"/>
      <c r="K1011" s="183"/>
      <c r="L1011" s="183"/>
      <c r="M1011" s="183"/>
      <c r="N1011" s="183"/>
      <c r="O1011" s="699" t="str">
        <f>I1011/VLOOKUP(K1011,Sheet1!$D$7:$N$16,G1011+1,FALSE)</f>
        <v>#N/A</v>
      </c>
      <c r="P1011" s="684" t="str">
        <f t="shared" si="37"/>
        <v>#REF!</v>
      </c>
      <c r="Q1011" s="702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</row>
    <row r="1012" ht="3.75" hidden="1" customHeight="1">
      <c r="A1012" s="90"/>
      <c r="B1012" s="2"/>
      <c r="C1012" s="90"/>
      <c r="D1012" s="138"/>
      <c r="E1012" s="321"/>
      <c r="F1012" s="102"/>
      <c r="G1012" s="102"/>
      <c r="H1012" s="102"/>
      <c r="I1012" s="247"/>
      <c r="J1012" s="267"/>
      <c r="K1012" s="183"/>
      <c r="L1012" s="183"/>
      <c r="M1012" s="183"/>
      <c r="N1012" s="183"/>
      <c r="O1012" s="699" t="str">
        <f>I1012/VLOOKUP(K1012,Sheet1!$D$7:$N$16,G1012+1,FALSE)</f>
        <v>#N/A</v>
      </c>
      <c r="P1012" s="684" t="str">
        <f t="shared" si="37"/>
        <v>#REF!</v>
      </c>
      <c r="Q1012" s="702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</row>
    <row r="1013" ht="15.75" hidden="1" customHeight="1">
      <c r="A1013" s="90"/>
      <c r="B1013" s="2"/>
      <c r="C1013" s="90"/>
      <c r="D1013" s="185"/>
      <c r="E1013" s="260"/>
      <c r="F1013" s="187"/>
      <c r="G1013" s="187"/>
      <c r="H1013" s="187"/>
      <c r="I1013" s="164"/>
      <c r="J1013" s="266"/>
      <c r="K1013" s="183"/>
      <c r="L1013" s="183"/>
      <c r="M1013" s="183"/>
      <c r="N1013" s="183"/>
      <c r="O1013" s="699" t="str">
        <f>I1013/VLOOKUP(K1013,Sheet1!$D$7:$N$16,G1013+1,FALSE)</f>
        <v>#N/A</v>
      </c>
      <c r="P1013" s="684" t="str">
        <f t="shared" si="37"/>
        <v>#REF!</v>
      </c>
      <c r="Q1013" s="702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</row>
    <row r="1014" ht="3.75" hidden="1" customHeight="1">
      <c r="A1014" s="90"/>
      <c r="B1014" s="2"/>
      <c r="C1014" s="90"/>
      <c r="D1014" s="138"/>
      <c r="E1014" s="321"/>
      <c r="F1014" s="102"/>
      <c r="G1014" s="102"/>
      <c r="H1014" s="102"/>
      <c r="I1014" s="247"/>
      <c r="J1014" s="267"/>
      <c r="K1014" s="183"/>
      <c r="L1014" s="183"/>
      <c r="M1014" s="183"/>
      <c r="N1014" s="183"/>
      <c r="O1014" s="699" t="str">
        <f>I1014/VLOOKUP(K1014,Sheet1!$D$7:$N$16,G1014+1,FALSE)</f>
        <v>#N/A</v>
      </c>
      <c r="P1014" s="684" t="str">
        <f t="shared" si="37"/>
        <v>#REF!</v>
      </c>
      <c r="Q1014" s="702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</row>
    <row r="1015" ht="15.75" hidden="1" customHeight="1">
      <c r="A1015" s="90"/>
      <c r="B1015" s="2"/>
      <c r="C1015" s="90"/>
      <c r="D1015" s="185"/>
      <c r="E1015" s="260"/>
      <c r="F1015" s="187"/>
      <c r="G1015" s="187"/>
      <c r="H1015" s="187"/>
      <c r="I1015" s="164"/>
      <c r="J1015" s="266"/>
      <c r="K1015" s="183"/>
      <c r="L1015" s="183"/>
      <c r="M1015" s="183"/>
      <c r="N1015" s="183"/>
      <c r="O1015" s="699" t="str">
        <f>I1015/VLOOKUP(K1015,Sheet1!$D$7:$N$16,G1015+1,FALSE)</f>
        <v>#N/A</v>
      </c>
      <c r="P1015" s="684" t="str">
        <f t="shared" si="37"/>
        <v>#REF!</v>
      </c>
      <c r="Q1015" s="702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</row>
    <row r="1016" ht="3.75" hidden="1" customHeight="1">
      <c r="A1016" s="90"/>
      <c r="B1016" s="2"/>
      <c r="C1016" s="90"/>
      <c r="D1016" s="138"/>
      <c r="E1016" s="321"/>
      <c r="F1016" s="102"/>
      <c r="G1016" s="102"/>
      <c r="H1016" s="102"/>
      <c r="I1016" s="247"/>
      <c r="J1016" s="267"/>
      <c r="K1016" s="183"/>
      <c r="L1016" s="183"/>
      <c r="M1016" s="183"/>
      <c r="N1016" s="183"/>
      <c r="O1016" s="699" t="str">
        <f>I1016/VLOOKUP(K1016,Sheet1!$D$7:$N$16,G1016+1,FALSE)</f>
        <v>#N/A</v>
      </c>
      <c r="P1016" s="684" t="str">
        <f t="shared" si="37"/>
        <v>#REF!</v>
      </c>
      <c r="Q1016" s="702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</row>
    <row r="1017" ht="20.25" hidden="1" customHeight="1">
      <c r="A1017" s="90"/>
      <c r="B1017" s="2"/>
      <c r="C1017" s="90"/>
      <c r="D1017" s="185" t="s">
        <v>293</v>
      </c>
      <c r="E1017" s="264"/>
      <c r="F1017" s="187">
        <v>4.0</v>
      </c>
      <c r="G1017" s="731" t="s">
        <v>251</v>
      </c>
      <c r="H1017" s="187"/>
      <c r="I1017" s="164"/>
      <c r="J1017" s="266">
        <v>9.0</v>
      </c>
      <c r="K1017" s="183">
        <v>9.0</v>
      </c>
      <c r="L1017" s="183"/>
      <c r="M1017" s="183"/>
      <c r="N1017" s="183"/>
      <c r="O1017" s="699" t="str">
        <f>I1017/VLOOKUP(K1017,Sheet1!$D$7:$N$16,G1017+1,FALSE)</f>
        <v>#REF!</v>
      </c>
      <c r="P1017" s="684" t="str">
        <f t="shared" si="37"/>
        <v>#REF!</v>
      </c>
      <c r="Q1017" s="702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</row>
    <row r="1018" ht="3.75" hidden="1" customHeight="1">
      <c r="A1018" s="191"/>
      <c r="B1018" s="719"/>
      <c r="C1018" s="192"/>
      <c r="D1018" s="138"/>
      <c r="E1018" s="263"/>
      <c r="F1018" s="194"/>
      <c r="G1018" s="194"/>
      <c r="H1018" s="194"/>
      <c r="I1018" s="164"/>
      <c r="J1018" s="267"/>
      <c r="K1018" s="183"/>
      <c r="L1018" s="183"/>
      <c r="M1018" s="183"/>
      <c r="N1018" s="183"/>
      <c r="O1018" s="699" t="str">
        <f>I1018/VLOOKUP(K1018,Sheet1!$D$7:$N$16,G1018+1,FALSE)</f>
        <v>#N/A</v>
      </c>
      <c r="P1018" s="684" t="str">
        <f t="shared" si="37"/>
        <v>#REF!</v>
      </c>
      <c r="Q1018" s="702"/>
      <c r="R1018" s="158"/>
      <c r="S1018" s="158"/>
      <c r="T1018" s="158"/>
      <c r="U1018" s="158"/>
      <c r="V1018" s="158"/>
      <c r="W1018" s="158"/>
      <c r="X1018" s="158"/>
      <c r="Y1018" s="158"/>
      <c r="Z1018" s="158"/>
      <c r="AA1018" s="158"/>
      <c r="AB1018" s="158"/>
      <c r="AC1018" s="158"/>
      <c r="AD1018" s="158"/>
      <c r="AE1018" s="158"/>
      <c r="AF1018" s="158"/>
    </row>
    <row r="1019" ht="15.75" hidden="1" customHeight="1">
      <c r="A1019" s="90"/>
      <c r="B1019" s="2"/>
      <c r="C1019" s="90"/>
      <c r="D1019" s="185" t="s">
        <v>254</v>
      </c>
      <c r="E1019" s="266"/>
      <c r="F1019" s="187">
        <v>3.0</v>
      </c>
      <c r="G1019" s="731" t="s">
        <v>251</v>
      </c>
      <c r="H1019" s="187"/>
      <c r="I1019" s="164"/>
      <c r="J1019" s="266">
        <v>9.0</v>
      </c>
      <c r="K1019" s="183">
        <v>9.0</v>
      </c>
      <c r="L1019" s="183"/>
      <c r="M1019" s="183"/>
      <c r="N1019" s="183"/>
      <c r="O1019" s="699" t="str">
        <f>I1019/VLOOKUP(K1019,Sheet1!$D$7:$N$16,G1019+1,FALSE)</f>
        <v>#REF!</v>
      </c>
      <c r="P1019" s="684" t="str">
        <f t="shared" si="37"/>
        <v>#REF!</v>
      </c>
      <c r="Q1019" s="702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</row>
    <row r="1020" ht="3.75" hidden="1" customHeight="1">
      <c r="A1020" s="90"/>
      <c r="B1020" s="2"/>
      <c r="C1020" s="90"/>
      <c r="D1020" s="138"/>
      <c r="E1020" s="252"/>
      <c r="F1020" s="102"/>
      <c r="G1020" s="102"/>
      <c r="H1020" s="102"/>
      <c r="I1020" s="247"/>
      <c r="J1020" s="156"/>
      <c r="K1020" s="183"/>
      <c r="L1020" s="183"/>
      <c r="M1020" s="183"/>
      <c r="N1020" s="183"/>
      <c r="O1020" s="699" t="str">
        <f>I1020/VLOOKUP(K1020,Sheet1!$D$7:$N$16,G1020+1,FALSE)</f>
        <v>#N/A</v>
      </c>
      <c r="P1020" s="684" t="str">
        <f t="shared" si="37"/>
        <v>#REF!</v>
      </c>
      <c r="Q1020" s="702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</row>
    <row r="1021" ht="15.75" hidden="1" customHeight="1">
      <c r="A1021" s="90"/>
      <c r="B1021" s="2"/>
      <c r="C1021" s="90"/>
      <c r="D1021" s="185" t="s">
        <v>255</v>
      </c>
      <c r="E1021" s="260"/>
      <c r="F1021" s="187">
        <v>3.0</v>
      </c>
      <c r="G1021" s="731" t="s">
        <v>251</v>
      </c>
      <c r="H1021" s="187"/>
      <c r="I1021" s="164"/>
      <c r="J1021" s="266">
        <v>9.0</v>
      </c>
      <c r="K1021" s="183"/>
      <c r="L1021" s="183"/>
      <c r="M1021" s="183"/>
      <c r="N1021" s="183"/>
      <c r="O1021" s="699" t="str">
        <f>I1021/VLOOKUP(K1021,Sheet1!$D$7:$N$16,G1021+1,FALSE)</f>
        <v>#REF!</v>
      </c>
      <c r="P1021" s="684" t="str">
        <f t="shared" si="37"/>
        <v>#REF!</v>
      </c>
      <c r="Q1021" s="702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</row>
    <row r="1022" ht="3.75" hidden="1" customHeight="1">
      <c r="A1022" s="191"/>
      <c r="B1022" s="719"/>
      <c r="C1022" s="192"/>
      <c r="D1022" s="138"/>
      <c r="E1022" s="267"/>
      <c r="F1022" s="194"/>
      <c r="G1022" s="194"/>
      <c r="H1022" s="194"/>
      <c r="I1022" s="164"/>
      <c r="J1022" s="267"/>
      <c r="K1022" s="183"/>
      <c r="L1022" s="183"/>
      <c r="M1022" s="183"/>
      <c r="N1022" s="183"/>
      <c r="O1022" s="699" t="str">
        <f>I1022/VLOOKUP(K1022,Sheet1!$D$7:$N$16,G1022+1,FALSE)</f>
        <v>#N/A</v>
      </c>
      <c r="P1022" s="684" t="str">
        <f t="shared" si="37"/>
        <v>#REF!</v>
      </c>
      <c r="Q1022" s="702"/>
      <c r="R1022" s="158"/>
      <c r="S1022" s="158"/>
      <c r="T1022" s="158"/>
      <c r="U1022" s="158"/>
      <c r="V1022" s="158"/>
      <c r="W1022" s="158"/>
      <c r="X1022" s="158"/>
      <c r="Y1022" s="158"/>
      <c r="Z1022" s="158"/>
      <c r="AA1022" s="158"/>
      <c r="AB1022" s="158"/>
      <c r="AC1022" s="158"/>
      <c r="AD1022" s="158"/>
      <c r="AE1022" s="158"/>
      <c r="AF1022" s="158"/>
    </row>
    <row r="1023" ht="15.75" hidden="1" customHeight="1">
      <c r="A1023" s="90"/>
      <c r="B1023" s="2"/>
      <c r="C1023" s="90"/>
      <c r="D1023" s="185" t="s">
        <v>256</v>
      </c>
      <c r="E1023" s="266"/>
      <c r="F1023" s="187">
        <v>3.0</v>
      </c>
      <c r="G1023" s="187" t="s">
        <v>16</v>
      </c>
      <c r="H1023" s="187"/>
      <c r="I1023" s="164"/>
      <c r="J1023" s="266">
        <v>9.0</v>
      </c>
      <c r="K1023" s="183">
        <v>9.0</v>
      </c>
      <c r="L1023" s="183"/>
      <c r="M1023" s="183"/>
      <c r="N1023" s="183"/>
      <c r="O1023" s="699" t="str">
        <f>I1023/VLOOKUP(K1023,Sheet1!$D$7:$N$16,G1023+1,FALSE)</f>
        <v>#VALUE!</v>
      </c>
      <c r="P1023" s="684" t="str">
        <f t="shared" si="37"/>
        <v>#REF!</v>
      </c>
      <c r="Q1023" s="702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</row>
    <row r="1024" ht="3.75" hidden="1" customHeight="1">
      <c r="A1024" s="90"/>
      <c r="B1024" s="2"/>
      <c r="C1024" s="90"/>
      <c r="D1024" s="138"/>
      <c r="E1024" s="252"/>
      <c r="F1024" s="102"/>
      <c r="G1024" s="102"/>
      <c r="H1024" s="102"/>
      <c r="I1024" s="247"/>
      <c r="J1024" s="156"/>
      <c r="K1024" s="183"/>
      <c r="L1024" s="183"/>
      <c r="M1024" s="183"/>
      <c r="N1024" s="183"/>
      <c r="O1024" s="699" t="str">
        <f>I1024/VLOOKUP(K1024,Sheet1!$D$7:$N$16,G1024+1,FALSE)</f>
        <v>#N/A</v>
      </c>
      <c r="P1024" s="684" t="str">
        <f t="shared" si="37"/>
        <v>#REF!</v>
      </c>
      <c r="Q1024" s="702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</row>
    <row r="1025" ht="15.75" hidden="1" customHeight="1">
      <c r="A1025" s="90"/>
      <c r="B1025" s="2"/>
      <c r="C1025" s="90"/>
      <c r="D1025" s="185"/>
      <c r="E1025" s="266"/>
      <c r="F1025" s="187"/>
      <c r="G1025" s="187"/>
      <c r="H1025" s="187"/>
      <c r="I1025" s="164"/>
      <c r="J1025" s="266"/>
      <c r="K1025" s="183"/>
      <c r="L1025" s="183"/>
      <c r="M1025" s="183"/>
      <c r="N1025" s="183"/>
      <c r="O1025" s="699" t="str">
        <f>I1025/VLOOKUP(K1025,Sheet1!$D$7:$N$16,G1025+1,FALSE)</f>
        <v>#N/A</v>
      </c>
      <c r="P1025" s="684" t="str">
        <f t="shared" si="37"/>
        <v>#REF!</v>
      </c>
      <c r="Q1025" s="697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</row>
    <row r="1026" ht="3.75" hidden="1" customHeight="1">
      <c r="A1026" s="90"/>
      <c r="B1026" s="2"/>
      <c r="C1026" s="90"/>
      <c r="D1026" s="90"/>
      <c r="E1026" s="156"/>
      <c r="F1026" s="102"/>
      <c r="G1026" s="102"/>
      <c r="H1026" s="102"/>
      <c r="I1026" s="102"/>
      <c r="J1026" s="156"/>
      <c r="K1026" s="720"/>
      <c r="L1026" s="201"/>
      <c r="M1026" s="201"/>
      <c r="N1026" s="201"/>
      <c r="O1026" s="699" t="str">
        <f>I1026/VLOOKUP(K1026,Sheet1!$D$7:$N$16,G1026+1,FALSE)</f>
        <v>#N/A</v>
      </c>
      <c r="P1026" s="684" t="str">
        <f t="shared" si="37"/>
        <v>#REF!</v>
      </c>
      <c r="Q1026" s="720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</row>
    <row r="1027" ht="30.75" hidden="1" customHeight="1">
      <c r="A1027" s="90"/>
      <c r="B1027" s="2"/>
      <c r="C1027" s="90"/>
      <c r="D1027" s="686" t="s">
        <v>257</v>
      </c>
      <c r="E1027" s="687" t="s">
        <v>15</v>
      </c>
      <c r="F1027" s="721" t="s">
        <v>16</v>
      </c>
      <c r="G1027" s="722" t="s">
        <v>17</v>
      </c>
      <c r="H1027" s="723"/>
      <c r="I1027" s="724"/>
      <c r="J1027" s="725" t="s">
        <v>241</v>
      </c>
      <c r="K1027" s="691"/>
      <c r="L1027" s="692"/>
      <c r="M1027" s="692"/>
      <c r="N1027" s="692"/>
      <c r="O1027" s="699"/>
      <c r="P1027" s="684"/>
      <c r="Q1027" s="693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</row>
    <row r="1028" ht="14.25" hidden="1" customHeight="1">
      <c r="A1028" s="90"/>
      <c r="B1028" s="2"/>
      <c r="C1028" s="90"/>
      <c r="D1028" s="257" t="s">
        <v>25</v>
      </c>
      <c r="E1028" s="257" t="s">
        <v>26</v>
      </c>
      <c r="F1028" s="680"/>
      <c r="G1028" s="681"/>
      <c r="H1028" s="723"/>
      <c r="I1028" s="681"/>
      <c r="J1028" s="725" t="s">
        <v>244</v>
      </c>
      <c r="K1028" s="697"/>
      <c r="L1028" s="692"/>
      <c r="M1028" s="692"/>
      <c r="N1028" s="692"/>
      <c r="O1028" s="699"/>
      <c r="P1028" s="684"/>
      <c r="Q1028" s="698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</row>
    <row r="1029" ht="3.75" hidden="1" customHeight="1">
      <c r="A1029" s="191"/>
      <c r="B1029" s="719"/>
      <c r="C1029" s="192"/>
      <c r="D1029" s="203"/>
      <c r="E1029" s="203"/>
      <c r="F1029" s="726"/>
      <c r="G1029" s="726"/>
      <c r="H1029" s="726"/>
      <c r="I1029" s="727"/>
      <c r="J1029" s="728"/>
      <c r="K1029" s="192"/>
      <c r="L1029" s="194"/>
      <c r="M1029" s="194"/>
      <c r="N1029" s="194"/>
      <c r="O1029" s="699"/>
      <c r="P1029" s="684" t="str">
        <f t="shared" ref="P1029:P1051" si="38">I1029-#REF!</f>
        <v>#REF!</v>
      </c>
      <c r="Q1029" s="192"/>
      <c r="R1029" s="158"/>
      <c r="S1029" s="158"/>
      <c r="T1029" s="158"/>
      <c r="U1029" s="158"/>
      <c r="V1029" s="158"/>
      <c r="W1029" s="158"/>
      <c r="X1029" s="158"/>
      <c r="Y1029" s="158"/>
      <c r="Z1029" s="158"/>
      <c r="AA1029" s="158"/>
      <c r="AB1029" s="158"/>
      <c r="AC1029" s="158"/>
      <c r="AD1029" s="158"/>
      <c r="AE1029" s="158"/>
      <c r="AF1029" s="158"/>
    </row>
    <row r="1030" ht="15.75" hidden="1" customHeight="1">
      <c r="A1030" s="124"/>
      <c r="B1030" s="2"/>
      <c r="C1030" s="124"/>
      <c r="D1030" s="185" t="s">
        <v>287</v>
      </c>
      <c r="E1030" s="732"/>
      <c r="F1030" s="187">
        <v>3.0</v>
      </c>
      <c r="G1030" s="187">
        <v>3.0</v>
      </c>
      <c r="H1030" s="187"/>
      <c r="I1030" s="164">
        <v>165.0</v>
      </c>
      <c r="J1030" s="266">
        <v>5.0</v>
      </c>
      <c r="K1030" s="183">
        <v>6.0</v>
      </c>
      <c r="L1030" s="183"/>
      <c r="M1030" s="183"/>
      <c r="N1030" s="183"/>
      <c r="O1030" s="699">
        <f>I1030/VLOOKUP(K1030,Sheet1!$D$7:$N$16,G1030+1,FALSE)</f>
        <v>202.4539877</v>
      </c>
      <c r="P1030" s="684" t="str">
        <f t="shared" si="38"/>
        <v>#REF!</v>
      </c>
      <c r="Q1030" s="730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</row>
    <row r="1031" ht="3.75" hidden="1" customHeight="1">
      <c r="A1031" s="124"/>
      <c r="B1031" s="2"/>
      <c r="C1031" s="124"/>
      <c r="D1031" s="138"/>
      <c r="E1031" s="252"/>
      <c r="F1031" s="102"/>
      <c r="G1031" s="102"/>
      <c r="H1031" s="102"/>
      <c r="I1031" s="247"/>
      <c r="J1031" s="156"/>
      <c r="K1031" s="183"/>
      <c r="L1031" s="183"/>
      <c r="M1031" s="183"/>
      <c r="N1031" s="183"/>
      <c r="O1031" s="699" t="str">
        <f>I1031/VLOOKUP(K1031,Sheet1!$D$7:$N$16,G1031+1,FALSE)</f>
        <v>#N/A</v>
      </c>
      <c r="P1031" s="684" t="str">
        <f t="shared" si="38"/>
        <v>#REF!</v>
      </c>
      <c r="Q1031" s="702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</row>
    <row r="1032" ht="15.75" hidden="1" customHeight="1">
      <c r="A1032" s="90"/>
      <c r="B1032" s="2"/>
      <c r="C1032" s="90"/>
      <c r="D1032" s="185" t="s">
        <v>292</v>
      </c>
      <c r="E1032" s="224"/>
      <c r="F1032" s="187">
        <v>4.0</v>
      </c>
      <c r="G1032" s="187">
        <v>4.0</v>
      </c>
      <c r="H1032" s="187"/>
      <c r="I1032" s="164">
        <v>127.5</v>
      </c>
      <c r="J1032" s="266">
        <v>7.0</v>
      </c>
      <c r="K1032" s="183">
        <v>6.0</v>
      </c>
      <c r="L1032" s="183"/>
      <c r="M1032" s="183"/>
      <c r="N1032" s="183"/>
      <c r="O1032" s="699">
        <f>I1032/VLOOKUP(K1032,Sheet1!$D$7:$N$16,G1032+1,FALSE)</f>
        <v>161.3924051</v>
      </c>
      <c r="P1032" s="684" t="str">
        <f t="shared" si="38"/>
        <v>#REF!</v>
      </c>
      <c r="Q1032" s="702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</row>
    <row r="1033" ht="3.75" hidden="1" customHeight="1">
      <c r="A1033" s="90"/>
      <c r="B1033" s="2"/>
      <c r="C1033" s="90"/>
      <c r="D1033" s="138"/>
      <c r="E1033" s="252"/>
      <c r="F1033" s="102"/>
      <c r="G1033" s="102"/>
      <c r="H1033" s="102"/>
      <c r="I1033" s="247"/>
      <c r="J1033" s="156"/>
      <c r="K1033" s="183"/>
      <c r="L1033" s="183"/>
      <c r="M1033" s="183"/>
      <c r="N1033" s="183"/>
      <c r="O1033" s="699" t="str">
        <f>I1033/VLOOKUP(K1033,Sheet1!$D$7:$N$16,G1033+1,FALSE)</f>
        <v>#N/A</v>
      </c>
      <c r="P1033" s="684" t="str">
        <f t="shared" si="38"/>
        <v>#REF!</v>
      </c>
      <c r="Q1033" s="702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</row>
    <row r="1034" ht="15.75" hidden="1" customHeight="1">
      <c r="A1034" s="90"/>
      <c r="B1034" s="2"/>
      <c r="C1034" s="90"/>
      <c r="D1034" s="185"/>
      <c r="E1034" s="264"/>
      <c r="F1034" s="187"/>
      <c r="G1034" s="187"/>
      <c r="H1034" s="187"/>
      <c r="I1034" s="164"/>
      <c r="J1034" s="266"/>
      <c r="K1034" s="183"/>
      <c r="L1034" s="183"/>
      <c r="M1034" s="183"/>
      <c r="N1034" s="183"/>
      <c r="O1034" s="699" t="str">
        <f>I1034/VLOOKUP(K1034,Sheet1!$D$7:$N$16,G1034+1,FALSE)</f>
        <v>#N/A</v>
      </c>
      <c r="P1034" s="684" t="str">
        <f t="shared" si="38"/>
        <v>#REF!</v>
      </c>
      <c r="Q1034" s="702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</row>
    <row r="1035" ht="3.75" hidden="1" customHeight="1">
      <c r="A1035" s="90"/>
      <c r="B1035" s="2"/>
      <c r="C1035" s="90"/>
      <c r="D1035" s="138"/>
      <c r="E1035" s="252"/>
      <c r="F1035" s="102"/>
      <c r="G1035" s="102"/>
      <c r="H1035" s="102"/>
      <c r="I1035" s="247"/>
      <c r="J1035" s="156"/>
      <c r="K1035" s="183"/>
      <c r="L1035" s="183"/>
      <c r="M1035" s="183"/>
      <c r="N1035" s="183"/>
      <c r="O1035" s="699" t="str">
        <f>I1035/VLOOKUP(K1035,Sheet1!$D$7:$N$16,G1035+1,FALSE)</f>
        <v>#N/A</v>
      </c>
      <c r="P1035" s="684" t="str">
        <f t="shared" si="38"/>
        <v>#REF!</v>
      </c>
      <c r="Q1035" s="702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</row>
    <row r="1036" ht="15.75" hidden="1" customHeight="1">
      <c r="A1036" s="90"/>
      <c r="B1036" s="2"/>
      <c r="C1036" s="90"/>
      <c r="D1036" s="185" t="s">
        <v>290</v>
      </c>
      <c r="E1036" s="260"/>
      <c r="F1036" s="187">
        <v>3.0</v>
      </c>
      <c r="G1036" s="731" t="s">
        <v>251</v>
      </c>
      <c r="H1036" s="187"/>
      <c r="I1036" s="164"/>
      <c r="J1036" s="266">
        <v>8.0</v>
      </c>
      <c r="K1036" s="183"/>
      <c r="L1036" s="183"/>
      <c r="M1036" s="183"/>
      <c r="N1036" s="183"/>
      <c r="O1036" s="699" t="str">
        <f>I1036/VLOOKUP(K1036,Sheet1!$D$7:$N$16,G1036+1,FALSE)</f>
        <v>#REF!</v>
      </c>
      <c r="P1036" s="684" t="str">
        <f t="shared" si="38"/>
        <v>#REF!</v>
      </c>
      <c r="Q1036" s="702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</row>
    <row r="1037" ht="3.75" hidden="1" customHeight="1">
      <c r="A1037" s="90"/>
      <c r="B1037" s="2"/>
      <c r="C1037" s="90"/>
      <c r="D1037" s="138"/>
      <c r="E1037" s="252"/>
      <c r="F1037" s="102"/>
      <c r="G1037" s="102"/>
      <c r="H1037" s="102"/>
      <c r="I1037" s="247"/>
      <c r="J1037" s="156"/>
      <c r="K1037" s="183"/>
      <c r="L1037" s="183"/>
      <c r="M1037" s="183"/>
      <c r="N1037" s="183"/>
      <c r="O1037" s="699" t="str">
        <f>I1037/VLOOKUP(K1037,Sheet1!$D$7:$N$16,G1037+1,FALSE)</f>
        <v>#N/A</v>
      </c>
      <c r="P1037" s="684" t="str">
        <f t="shared" si="38"/>
        <v>#REF!</v>
      </c>
      <c r="Q1037" s="702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</row>
    <row r="1038" ht="15.75" hidden="1" customHeight="1">
      <c r="A1038" s="90"/>
      <c r="B1038" s="2"/>
      <c r="C1038" s="90"/>
      <c r="D1038" s="185"/>
      <c r="E1038" s="260"/>
      <c r="F1038" s="187"/>
      <c r="G1038" s="187"/>
      <c r="H1038" s="187"/>
      <c r="I1038" s="164"/>
      <c r="J1038" s="266"/>
      <c r="K1038" s="183"/>
      <c r="L1038" s="183"/>
      <c r="M1038" s="183"/>
      <c r="N1038" s="183"/>
      <c r="O1038" s="699" t="str">
        <f>I1038/VLOOKUP(K1038,Sheet1!$D$7:$N$16,G1038+1,FALSE)</f>
        <v>#N/A</v>
      </c>
      <c r="P1038" s="684" t="str">
        <f t="shared" si="38"/>
        <v>#REF!</v>
      </c>
      <c r="Q1038" s="702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</row>
    <row r="1039" ht="3.75" hidden="1" customHeight="1">
      <c r="A1039" s="90"/>
      <c r="B1039" s="2"/>
      <c r="C1039" s="90"/>
      <c r="D1039" s="138"/>
      <c r="E1039" s="252"/>
      <c r="F1039" s="102"/>
      <c r="G1039" s="102"/>
      <c r="H1039" s="102"/>
      <c r="I1039" s="247"/>
      <c r="J1039" s="156"/>
      <c r="K1039" s="183"/>
      <c r="L1039" s="183"/>
      <c r="M1039" s="183"/>
      <c r="N1039" s="183"/>
      <c r="O1039" s="699" t="str">
        <f>I1039/VLOOKUP(K1039,Sheet1!$D$7:$N$16,G1039+1,FALSE)</f>
        <v>#N/A</v>
      </c>
      <c r="P1039" s="684" t="str">
        <f t="shared" si="38"/>
        <v>#REF!</v>
      </c>
      <c r="Q1039" s="702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</row>
    <row r="1040" ht="15.75" hidden="1" customHeight="1">
      <c r="A1040" s="90"/>
      <c r="B1040" s="2"/>
      <c r="C1040" s="90"/>
      <c r="D1040" s="185" t="s">
        <v>277</v>
      </c>
      <c r="E1040" s="260"/>
      <c r="F1040" s="187">
        <v>3.0</v>
      </c>
      <c r="G1040" s="731" t="s">
        <v>251</v>
      </c>
      <c r="H1040" s="187"/>
      <c r="I1040" s="164"/>
      <c r="J1040" s="266">
        <v>8.0</v>
      </c>
      <c r="K1040" s="183"/>
      <c r="L1040" s="183"/>
      <c r="M1040" s="183"/>
      <c r="N1040" s="183"/>
      <c r="O1040" s="699" t="str">
        <f>I1040/VLOOKUP(K1040,Sheet1!$D$7:$N$16,G1040+1,FALSE)</f>
        <v>#REF!</v>
      </c>
      <c r="P1040" s="684" t="str">
        <f t="shared" si="38"/>
        <v>#REF!</v>
      </c>
      <c r="Q1040" s="702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</row>
    <row r="1041" ht="3.75" hidden="1" customHeight="1">
      <c r="A1041" s="90"/>
      <c r="B1041" s="2"/>
      <c r="C1041" s="90"/>
      <c r="D1041" s="138"/>
      <c r="E1041" s="252"/>
      <c r="F1041" s="102"/>
      <c r="G1041" s="102"/>
      <c r="H1041" s="102"/>
      <c r="I1041" s="247"/>
      <c r="J1041" s="267"/>
      <c r="K1041" s="183"/>
      <c r="L1041" s="183"/>
      <c r="M1041" s="183"/>
      <c r="N1041" s="183"/>
      <c r="O1041" s="699" t="str">
        <f>I1041/VLOOKUP(K1041,Sheet1!$D$7:$N$16,G1041+1,FALSE)</f>
        <v>#N/A</v>
      </c>
      <c r="P1041" s="684" t="str">
        <f t="shared" si="38"/>
        <v>#REF!</v>
      </c>
      <c r="Q1041" s="702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</row>
    <row r="1042" ht="20.25" hidden="1" customHeight="1">
      <c r="A1042" s="90"/>
      <c r="B1042" s="2"/>
      <c r="C1042" s="90"/>
      <c r="D1042" s="185" t="s">
        <v>54</v>
      </c>
      <c r="E1042" s="264"/>
      <c r="F1042" s="187">
        <v>3.0</v>
      </c>
      <c r="G1042" s="731" t="s">
        <v>251</v>
      </c>
      <c r="H1042" s="187"/>
      <c r="I1042" s="164"/>
      <c r="J1042" s="266">
        <v>8.0</v>
      </c>
      <c r="K1042" s="183"/>
      <c r="L1042" s="183"/>
      <c r="M1042" s="183"/>
      <c r="N1042" s="183"/>
      <c r="O1042" s="699" t="str">
        <f>I1042/VLOOKUP(K1042,Sheet1!$D$7:$N$16,G1042+1,FALSE)</f>
        <v>#REF!</v>
      </c>
      <c r="P1042" s="684" t="str">
        <f t="shared" si="38"/>
        <v>#REF!</v>
      </c>
      <c r="Q1042" s="702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</row>
    <row r="1043" ht="3.75" hidden="1" customHeight="1">
      <c r="A1043" s="191"/>
      <c r="B1043" s="719"/>
      <c r="C1043" s="192"/>
      <c r="D1043" s="138"/>
      <c r="E1043" s="252"/>
      <c r="F1043" s="102"/>
      <c r="G1043" s="102"/>
      <c r="H1043" s="102"/>
      <c r="I1043" s="247"/>
      <c r="J1043" s="156"/>
      <c r="K1043" s="183"/>
      <c r="L1043" s="183"/>
      <c r="M1043" s="183"/>
      <c r="N1043" s="183"/>
      <c r="O1043" s="699" t="str">
        <f>I1043/VLOOKUP(K1043,Sheet1!$D$7:$N$16,G1043+1,FALSE)</f>
        <v>#N/A</v>
      </c>
      <c r="P1043" s="684" t="str">
        <f t="shared" si="38"/>
        <v>#REF!</v>
      </c>
      <c r="Q1043" s="702"/>
      <c r="R1043" s="158"/>
      <c r="S1043" s="158"/>
      <c r="T1043" s="158"/>
      <c r="U1043" s="158"/>
      <c r="V1043" s="158"/>
      <c r="W1043" s="158"/>
      <c r="X1043" s="158"/>
      <c r="Y1043" s="158"/>
      <c r="Z1043" s="158"/>
      <c r="AA1043" s="158"/>
      <c r="AB1043" s="158"/>
      <c r="AC1043" s="158"/>
      <c r="AD1043" s="158"/>
      <c r="AE1043" s="158"/>
      <c r="AF1043" s="158"/>
    </row>
    <row r="1044" ht="15.75" hidden="1" customHeight="1">
      <c r="A1044" s="90"/>
      <c r="B1044" s="2"/>
      <c r="C1044" s="90"/>
      <c r="D1044" s="185" t="s">
        <v>278</v>
      </c>
      <c r="E1044" s="260"/>
      <c r="F1044" s="187">
        <v>3.0</v>
      </c>
      <c r="G1044" s="731" t="s">
        <v>251</v>
      </c>
      <c r="H1044" s="187"/>
      <c r="I1044" s="164"/>
      <c r="J1044" s="266">
        <v>8.0</v>
      </c>
      <c r="K1044" s="183"/>
      <c r="L1044" s="183"/>
      <c r="M1044" s="183"/>
      <c r="N1044" s="183"/>
      <c r="O1044" s="699" t="str">
        <f>I1044/VLOOKUP(K1044,Sheet1!$D$7:$N$16,G1044+1,FALSE)</f>
        <v>#REF!</v>
      </c>
      <c r="P1044" s="684" t="str">
        <f t="shared" si="38"/>
        <v>#REF!</v>
      </c>
      <c r="Q1044" s="702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</row>
    <row r="1045" ht="3.75" hidden="1" customHeight="1">
      <c r="A1045" s="90"/>
      <c r="B1045" s="2"/>
      <c r="C1045" s="90"/>
      <c r="D1045" s="138"/>
      <c r="E1045" s="252"/>
      <c r="F1045" s="102"/>
      <c r="G1045" s="102"/>
      <c r="H1045" s="102"/>
      <c r="I1045" s="247"/>
      <c r="J1045" s="156"/>
      <c r="K1045" s="183"/>
      <c r="L1045" s="183"/>
      <c r="M1045" s="183"/>
      <c r="N1045" s="183"/>
      <c r="O1045" s="699" t="str">
        <f>I1045/VLOOKUP(K1045,Sheet1!$D$7:$N$16,G1045+1,FALSE)</f>
        <v>#N/A</v>
      </c>
      <c r="P1045" s="684" t="str">
        <f t="shared" si="38"/>
        <v>#REF!</v>
      </c>
      <c r="Q1045" s="702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</row>
    <row r="1046" ht="15.75" hidden="1" customHeight="1">
      <c r="A1046" s="90"/>
      <c r="B1046" s="2"/>
      <c r="C1046" s="90"/>
      <c r="D1046" s="185"/>
      <c r="E1046" s="266"/>
      <c r="F1046" s="187"/>
      <c r="G1046" s="187"/>
      <c r="H1046" s="187"/>
      <c r="I1046" s="164"/>
      <c r="J1046" s="266"/>
      <c r="K1046" s="183"/>
      <c r="L1046" s="183"/>
      <c r="M1046" s="183"/>
      <c r="N1046" s="183"/>
      <c r="O1046" s="699" t="str">
        <f>I1046/VLOOKUP(K1046,Sheet1!$D$7:$N$16,G1046+1,FALSE)</f>
        <v>#N/A</v>
      </c>
      <c r="P1046" s="684" t="str">
        <f t="shared" si="38"/>
        <v>#REF!</v>
      </c>
      <c r="Q1046" s="702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</row>
    <row r="1047" ht="3.75" hidden="1" customHeight="1">
      <c r="A1047" s="191"/>
      <c r="B1047" s="719"/>
      <c r="C1047" s="192"/>
      <c r="D1047" s="138"/>
      <c r="E1047" s="267"/>
      <c r="F1047" s="194"/>
      <c r="G1047" s="194"/>
      <c r="H1047" s="194"/>
      <c r="I1047" s="164"/>
      <c r="J1047" s="267"/>
      <c r="K1047" s="183"/>
      <c r="L1047" s="183"/>
      <c r="M1047" s="183"/>
      <c r="N1047" s="183"/>
      <c r="O1047" s="699" t="str">
        <f>I1047/VLOOKUP(K1047,Sheet1!$D$7:$N$16,G1047+1,FALSE)</f>
        <v>#N/A</v>
      </c>
      <c r="P1047" s="684" t="str">
        <f t="shared" si="38"/>
        <v>#REF!</v>
      </c>
      <c r="Q1047" s="702"/>
      <c r="R1047" s="158"/>
      <c r="S1047" s="158"/>
      <c r="T1047" s="158"/>
      <c r="U1047" s="158"/>
      <c r="V1047" s="158"/>
      <c r="W1047" s="158"/>
      <c r="X1047" s="158"/>
      <c r="Y1047" s="158"/>
      <c r="Z1047" s="158"/>
      <c r="AA1047" s="158"/>
      <c r="AB1047" s="158"/>
      <c r="AC1047" s="158"/>
      <c r="AD1047" s="158"/>
      <c r="AE1047" s="158"/>
      <c r="AF1047" s="158"/>
    </row>
    <row r="1048" ht="15.75" hidden="1" customHeight="1">
      <c r="A1048" s="90"/>
      <c r="B1048" s="2"/>
      <c r="C1048" s="90"/>
      <c r="D1048" s="185"/>
      <c r="E1048" s="266"/>
      <c r="F1048" s="187"/>
      <c r="G1048" s="187"/>
      <c r="H1048" s="187"/>
      <c r="I1048" s="164"/>
      <c r="J1048" s="266"/>
      <c r="K1048" s="183"/>
      <c r="L1048" s="183"/>
      <c r="M1048" s="183"/>
      <c r="N1048" s="183"/>
      <c r="O1048" s="699" t="str">
        <f>I1048/VLOOKUP(K1048,Sheet1!$D$7:$N$16,G1048+1,FALSE)</f>
        <v>#N/A</v>
      </c>
      <c r="P1048" s="684" t="str">
        <f t="shared" si="38"/>
        <v>#REF!</v>
      </c>
      <c r="Q1048" s="702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</row>
    <row r="1049" ht="3.75" hidden="1" customHeight="1">
      <c r="A1049" s="90"/>
      <c r="B1049" s="2"/>
      <c r="C1049" s="90"/>
      <c r="D1049" s="252"/>
      <c r="E1049" s="252"/>
      <c r="F1049" s="102"/>
      <c r="G1049" s="102"/>
      <c r="H1049" s="102"/>
      <c r="I1049" s="247"/>
      <c r="J1049" s="156"/>
      <c r="K1049" s="733"/>
      <c r="L1049" s="734"/>
      <c r="M1049" s="734"/>
      <c r="N1049" s="734"/>
      <c r="O1049" s="699" t="str">
        <f>I1049/VLOOKUP(K1049,Sheet1!$D$7:$N$16,G1049+1,FALSE)</f>
        <v>#N/A</v>
      </c>
      <c r="P1049" s="684" t="str">
        <f t="shared" si="38"/>
        <v>#REF!</v>
      </c>
      <c r="Q1049" s="702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</row>
    <row r="1050" ht="0.75" hidden="1" customHeight="1">
      <c r="A1050" s="90"/>
      <c r="B1050" s="2"/>
      <c r="C1050" s="90"/>
      <c r="D1050" s="274"/>
      <c r="E1050" s="266"/>
      <c r="F1050" s="187"/>
      <c r="G1050" s="187"/>
      <c r="H1050" s="187"/>
      <c r="I1050" s="164"/>
      <c r="J1050" s="266"/>
      <c r="K1050" s="733"/>
      <c r="L1050" s="734"/>
      <c r="M1050" s="734"/>
      <c r="N1050" s="734"/>
      <c r="O1050" s="699" t="str">
        <f>I1050/VLOOKUP(K1050,Sheet1!$D$7:$N$16,G1050+1,FALSE)</f>
        <v>#N/A</v>
      </c>
      <c r="P1050" s="684" t="str">
        <f t="shared" si="38"/>
        <v>#REF!</v>
      </c>
      <c r="Q1050" s="697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</row>
    <row r="1051" ht="3.75" hidden="1" customHeight="1">
      <c r="A1051" s="90"/>
      <c r="B1051" s="2"/>
      <c r="C1051" s="90"/>
      <c r="D1051" s="90"/>
      <c r="E1051" s="156"/>
      <c r="F1051" s="102"/>
      <c r="G1051" s="102"/>
      <c r="H1051" s="102"/>
      <c r="I1051" s="102"/>
      <c r="J1051" s="156"/>
      <c r="K1051" s="720"/>
      <c r="L1051" s="201"/>
      <c r="M1051" s="201"/>
      <c r="N1051" s="201"/>
      <c r="O1051" s="699"/>
      <c r="P1051" s="684" t="str">
        <f t="shared" si="38"/>
        <v>#REF!</v>
      </c>
      <c r="Q1051" s="720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</row>
    <row r="1052" ht="30.0" hidden="1" customHeight="1">
      <c r="A1052" s="90"/>
      <c r="B1052" s="2"/>
      <c r="C1052" s="90"/>
      <c r="D1052" s="686" t="s">
        <v>281</v>
      </c>
      <c r="E1052" s="687" t="s">
        <v>15</v>
      </c>
      <c r="F1052" s="721" t="s">
        <v>16</v>
      </c>
      <c r="G1052" s="722" t="s">
        <v>17</v>
      </c>
      <c r="H1052" s="723"/>
      <c r="I1052" s="724"/>
      <c r="J1052" s="725" t="s">
        <v>241</v>
      </c>
      <c r="K1052" s="691"/>
      <c r="L1052" s="692"/>
      <c r="M1052" s="692"/>
      <c r="N1052" s="692"/>
      <c r="O1052" s="699"/>
      <c r="P1052" s="684"/>
      <c r="Q1052" s="693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</row>
    <row r="1053" ht="14.25" hidden="1" customHeight="1">
      <c r="A1053" s="90"/>
      <c r="B1053" s="2"/>
      <c r="C1053" s="90"/>
      <c r="D1053" s="257" t="s">
        <v>25</v>
      </c>
      <c r="E1053" s="257" t="s">
        <v>26</v>
      </c>
      <c r="F1053" s="680"/>
      <c r="G1053" s="681"/>
      <c r="H1053" s="723"/>
      <c r="I1053" s="681"/>
      <c r="J1053" s="725" t="s">
        <v>244</v>
      </c>
      <c r="K1053" s="697"/>
      <c r="L1053" s="692"/>
      <c r="M1053" s="692"/>
      <c r="N1053" s="692"/>
      <c r="O1053" s="699"/>
      <c r="P1053" s="684"/>
      <c r="Q1053" s="698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</row>
    <row r="1054" ht="3.75" hidden="1" customHeight="1">
      <c r="A1054" s="191"/>
      <c r="B1054" s="719"/>
      <c r="C1054" s="192"/>
      <c r="D1054" s="203"/>
      <c r="E1054" s="203"/>
      <c r="F1054" s="726"/>
      <c r="G1054" s="726"/>
      <c r="H1054" s="726"/>
      <c r="I1054" s="727"/>
      <c r="J1054" s="728"/>
      <c r="K1054" s="192"/>
      <c r="L1054" s="194"/>
      <c r="M1054" s="194"/>
      <c r="N1054" s="194"/>
      <c r="O1054" s="699" t="str">
        <f>I1054/VLOOKUP(K1054,Sheet1!$D$7:$N$16,G1054+1,FALSE)</f>
        <v>#N/A</v>
      </c>
      <c r="P1054" s="684" t="str">
        <f t="shared" ref="P1054:P1074" si="39">I1054-#REF!</f>
        <v>#REF!</v>
      </c>
      <c r="Q1054" s="192"/>
      <c r="R1054" s="158"/>
      <c r="S1054" s="158"/>
      <c r="T1054" s="158"/>
      <c r="U1054" s="158"/>
      <c r="V1054" s="158"/>
      <c r="W1054" s="158"/>
      <c r="X1054" s="158"/>
      <c r="Y1054" s="158"/>
      <c r="Z1054" s="158"/>
      <c r="AA1054" s="158"/>
      <c r="AB1054" s="158"/>
      <c r="AC1054" s="158"/>
      <c r="AD1054" s="158"/>
      <c r="AE1054" s="158"/>
      <c r="AF1054" s="158"/>
    </row>
    <row r="1055" ht="15.75" hidden="1" customHeight="1">
      <c r="A1055" s="124"/>
      <c r="B1055" s="2"/>
      <c r="C1055" s="124"/>
      <c r="D1055" s="185" t="s">
        <v>6</v>
      </c>
      <c r="E1055" s="260"/>
      <c r="F1055" s="187">
        <v>1.0</v>
      </c>
      <c r="G1055" s="187">
        <v>4.0</v>
      </c>
      <c r="H1055" s="187"/>
      <c r="I1055" s="164">
        <v>210.0</v>
      </c>
      <c r="J1055" s="266">
        <v>7.5</v>
      </c>
      <c r="K1055" s="164">
        <v>7.5</v>
      </c>
      <c r="L1055" s="164"/>
      <c r="M1055" s="164"/>
      <c r="N1055" s="164"/>
      <c r="O1055" s="699">
        <f>I1055/VLOOKUP(K1055,Sheet1!$D$7:$N$16,G1055+1,FALSE)</f>
        <v>253.776435</v>
      </c>
      <c r="P1055" s="684" t="str">
        <f t="shared" si="39"/>
        <v>#REF!</v>
      </c>
      <c r="Q1055" s="700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</row>
    <row r="1056" ht="3.75" hidden="1" customHeight="1">
      <c r="A1056" s="124"/>
      <c r="B1056" s="2"/>
      <c r="C1056" s="124"/>
      <c r="D1056" s="138"/>
      <c r="E1056" s="252"/>
      <c r="F1056" s="140"/>
      <c r="G1056" s="140"/>
      <c r="H1056" s="140"/>
      <c r="I1056" s="701"/>
      <c r="J1056" s="141"/>
      <c r="K1056" s="164"/>
      <c r="L1056" s="164"/>
      <c r="M1056" s="164"/>
      <c r="N1056" s="164"/>
      <c r="O1056" s="699" t="str">
        <f>I1056/VLOOKUP(K1056,Sheet1!$D$7:$N$16,G1056+1,FALSE)</f>
        <v>#N/A</v>
      </c>
      <c r="P1056" s="684" t="str">
        <f t="shared" si="39"/>
        <v>#REF!</v>
      </c>
      <c r="Q1056" s="702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</row>
    <row r="1057" ht="15.0" hidden="1" customHeight="1">
      <c r="A1057" s="124"/>
      <c r="B1057" s="2"/>
      <c r="C1057" s="124"/>
      <c r="D1057" s="704" t="s">
        <v>6</v>
      </c>
      <c r="E1057" s="260"/>
      <c r="F1057" s="187">
        <v>3.0</v>
      </c>
      <c r="G1057" s="187">
        <v>4.0</v>
      </c>
      <c r="H1057" s="187"/>
      <c r="I1057" s="164">
        <v>185.0</v>
      </c>
      <c r="J1057" s="706">
        <v>-0.12</v>
      </c>
      <c r="K1057" s="164">
        <v>6.0</v>
      </c>
      <c r="L1057" s="164"/>
      <c r="M1057" s="164"/>
      <c r="N1057" s="164"/>
      <c r="O1057" s="699">
        <f>I1057/VLOOKUP(K1057,Sheet1!$D$7:$N$16,G1057+1,FALSE)</f>
        <v>234.1772152</v>
      </c>
      <c r="P1057" s="684" t="str">
        <f t="shared" si="39"/>
        <v>#REF!</v>
      </c>
      <c r="Q1057" s="702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</row>
    <row r="1058" ht="3.75" hidden="1" customHeight="1">
      <c r="A1058" s="124"/>
      <c r="B1058" s="2"/>
      <c r="C1058" s="124"/>
      <c r="D1058" s="138"/>
      <c r="E1058" s="252"/>
      <c r="F1058" s="102"/>
      <c r="G1058" s="102"/>
      <c r="H1058" s="102"/>
      <c r="I1058" s="247"/>
      <c r="J1058" s="156"/>
      <c r="K1058" s="164"/>
      <c r="L1058" s="164"/>
      <c r="M1058" s="164"/>
      <c r="N1058" s="164"/>
      <c r="O1058" s="699" t="str">
        <f>I1058/VLOOKUP(K1058,Sheet1!$D$7:$N$16,G1058+1,FALSE)</f>
        <v>#N/A</v>
      </c>
      <c r="P1058" s="684" t="str">
        <f t="shared" si="39"/>
        <v>#REF!</v>
      </c>
      <c r="Q1058" s="702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</row>
    <row r="1059" ht="15.75" hidden="1" customHeight="1">
      <c r="A1059" s="124"/>
      <c r="B1059" s="2"/>
      <c r="C1059" s="124"/>
      <c r="D1059" s="704"/>
      <c r="E1059" s="260"/>
      <c r="F1059" s="187"/>
      <c r="G1059" s="187"/>
      <c r="H1059" s="187"/>
      <c r="I1059" s="164"/>
      <c r="J1059" s="706"/>
      <c r="K1059" s="164"/>
      <c r="L1059" s="164"/>
      <c r="M1059" s="164"/>
      <c r="N1059" s="164"/>
      <c r="O1059" s="699" t="str">
        <f>I1059/VLOOKUP(K1059,Sheet1!$D$7:$N$16,G1059+1,FALSE)</f>
        <v>#N/A</v>
      </c>
      <c r="P1059" s="684" t="str">
        <f t="shared" si="39"/>
        <v>#REF!</v>
      </c>
      <c r="Q1059" s="702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</row>
    <row r="1060" ht="3.75" hidden="1" customHeight="1">
      <c r="A1060" s="124"/>
      <c r="B1060" s="2"/>
      <c r="C1060" s="124"/>
      <c r="D1060" s="138"/>
      <c r="E1060" s="252"/>
      <c r="F1060" s="102"/>
      <c r="G1060" s="102"/>
      <c r="H1060" s="102"/>
      <c r="I1060" s="247"/>
      <c r="J1060" s="156"/>
      <c r="K1060" s="164"/>
      <c r="L1060" s="164"/>
      <c r="M1060" s="164"/>
      <c r="N1060" s="164"/>
      <c r="O1060" s="699" t="str">
        <f>I1060/VLOOKUP(K1060,Sheet1!$D$7:$N$16,G1060+1,FALSE)</f>
        <v>#N/A</v>
      </c>
      <c r="P1060" s="684" t="str">
        <f t="shared" si="39"/>
        <v>#REF!</v>
      </c>
      <c r="Q1060" s="702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</row>
    <row r="1061" ht="15.75" hidden="1" customHeight="1">
      <c r="A1061" s="124"/>
      <c r="B1061" s="2"/>
      <c r="C1061" s="124"/>
      <c r="D1061" s="185" t="s">
        <v>51</v>
      </c>
      <c r="E1061" s="260"/>
      <c r="F1061" s="187">
        <v>1.0</v>
      </c>
      <c r="G1061" s="187">
        <v>2.0</v>
      </c>
      <c r="H1061" s="187"/>
      <c r="I1061" s="164">
        <v>155.0</v>
      </c>
      <c r="J1061" s="266">
        <v>8.0</v>
      </c>
      <c r="K1061" s="164">
        <v>8.0</v>
      </c>
      <c r="L1061" s="164"/>
      <c r="M1061" s="164"/>
      <c r="N1061" s="164"/>
      <c r="O1061" s="699">
        <f>I1061/VLOOKUP(K1061,Sheet1!$D$7:$N$16,G1061+1,FALSE)</f>
        <v>174.1573034</v>
      </c>
      <c r="P1061" s="684" t="str">
        <f t="shared" si="39"/>
        <v>#REF!</v>
      </c>
      <c r="Q1061" s="702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</row>
    <row r="1062" ht="3.75" hidden="1" customHeight="1">
      <c r="A1062" s="90"/>
      <c r="B1062" s="2"/>
      <c r="C1062" s="90"/>
      <c r="D1062" s="138"/>
      <c r="E1062" s="252"/>
      <c r="F1062" s="102"/>
      <c r="G1062" s="102"/>
      <c r="H1062" s="102"/>
      <c r="I1062" s="247"/>
      <c r="J1062" s="156"/>
      <c r="K1062" s="164"/>
      <c r="L1062" s="164"/>
      <c r="M1062" s="164"/>
      <c r="N1062" s="164"/>
      <c r="O1062" s="699" t="str">
        <f>I1062/VLOOKUP(K1062,Sheet1!$D$7:$N$16,G1062+1,FALSE)</f>
        <v>#N/A</v>
      </c>
      <c r="P1062" s="684" t="str">
        <f t="shared" si="39"/>
        <v>#REF!</v>
      </c>
      <c r="Q1062" s="702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</row>
    <row r="1063" ht="15.75" hidden="1" customHeight="1">
      <c r="A1063" s="90"/>
      <c r="B1063" s="2"/>
      <c r="C1063" s="90"/>
      <c r="D1063" s="185" t="s">
        <v>51</v>
      </c>
      <c r="E1063" s="260"/>
      <c r="F1063" s="187">
        <v>4.0</v>
      </c>
      <c r="G1063" s="187">
        <v>4.0</v>
      </c>
      <c r="H1063" s="187"/>
      <c r="I1063" s="164">
        <v>137.5</v>
      </c>
      <c r="J1063" s="706">
        <v>-0.12</v>
      </c>
      <c r="K1063" s="164">
        <v>7.5</v>
      </c>
      <c r="L1063" s="164"/>
      <c r="M1063" s="164"/>
      <c r="N1063" s="164"/>
      <c r="O1063" s="699">
        <f>I1063/VLOOKUP(K1063,Sheet1!$D$7:$N$16,G1063+1,FALSE)</f>
        <v>166.163142</v>
      </c>
      <c r="P1063" s="684" t="str">
        <f t="shared" si="39"/>
        <v>#REF!</v>
      </c>
      <c r="Q1063" s="702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</row>
    <row r="1064" ht="3.75" hidden="1" customHeight="1">
      <c r="A1064" s="191"/>
      <c r="B1064" s="719"/>
      <c r="C1064" s="192"/>
      <c r="D1064" s="138"/>
      <c r="E1064" s="252"/>
      <c r="F1064" s="102"/>
      <c r="G1064" s="102"/>
      <c r="H1064" s="102"/>
      <c r="I1064" s="247"/>
      <c r="J1064" s="156"/>
      <c r="K1064" s="164"/>
      <c r="L1064" s="164"/>
      <c r="M1064" s="164"/>
      <c r="N1064" s="164"/>
      <c r="O1064" s="699" t="str">
        <f>I1064/VLOOKUP(K1064,Sheet1!$D$7:$N$16,G1064+1,FALSE)</f>
        <v>#N/A</v>
      </c>
      <c r="P1064" s="684" t="str">
        <f t="shared" si="39"/>
        <v>#REF!</v>
      </c>
      <c r="Q1064" s="702"/>
      <c r="R1064" s="158"/>
      <c r="S1064" s="158"/>
      <c r="T1064" s="158"/>
      <c r="U1064" s="158"/>
      <c r="V1064" s="158"/>
      <c r="W1064" s="158"/>
      <c r="X1064" s="158"/>
      <c r="Y1064" s="158"/>
      <c r="Z1064" s="158"/>
      <c r="AA1064" s="158"/>
      <c r="AB1064" s="158"/>
      <c r="AC1064" s="158"/>
      <c r="AD1064" s="158"/>
      <c r="AE1064" s="158"/>
      <c r="AF1064" s="158"/>
    </row>
    <row r="1065" ht="15.75" hidden="1" customHeight="1">
      <c r="A1065" s="90"/>
      <c r="B1065" s="2"/>
      <c r="C1065" s="90"/>
      <c r="D1065" s="185" t="s">
        <v>259</v>
      </c>
      <c r="E1065" s="260"/>
      <c r="F1065" s="187">
        <v>3.0</v>
      </c>
      <c r="G1065" s="731" t="s">
        <v>260</v>
      </c>
      <c r="H1065" s="187"/>
      <c r="I1065" s="164"/>
      <c r="J1065" s="266">
        <v>7.0</v>
      </c>
      <c r="K1065" s="164"/>
      <c r="L1065" s="164"/>
      <c r="M1065" s="164"/>
      <c r="N1065" s="164"/>
      <c r="O1065" s="699" t="str">
        <f>I1065/VLOOKUP(K1065,Sheet1!$D$7:$N$16,G1065+1,FALSE)</f>
        <v>#REF!</v>
      </c>
      <c r="P1065" s="684" t="str">
        <f t="shared" si="39"/>
        <v>#REF!</v>
      </c>
      <c r="Q1065" s="702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</row>
    <row r="1066" ht="3.75" hidden="1" customHeight="1">
      <c r="A1066" s="90"/>
      <c r="B1066" s="2"/>
      <c r="C1066" s="90"/>
      <c r="D1066" s="138"/>
      <c r="E1066" s="252"/>
      <c r="F1066" s="102"/>
      <c r="G1066" s="102"/>
      <c r="H1066" s="102"/>
      <c r="I1066" s="247"/>
      <c r="J1066" s="156"/>
      <c r="K1066" s="164"/>
      <c r="L1066" s="164"/>
      <c r="M1066" s="164"/>
      <c r="N1066" s="164"/>
      <c r="O1066" s="699" t="str">
        <f>I1066/VLOOKUP(K1066,Sheet1!$D$7:$N$16,G1066+1,FALSE)</f>
        <v>#N/A</v>
      </c>
      <c r="P1066" s="684" t="str">
        <f t="shared" si="39"/>
        <v>#REF!</v>
      </c>
      <c r="Q1066" s="702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</row>
    <row r="1067" ht="15.75" hidden="1" customHeight="1">
      <c r="A1067" s="90"/>
      <c r="B1067" s="2"/>
      <c r="C1067" s="90"/>
      <c r="D1067" s="185" t="s">
        <v>261</v>
      </c>
      <c r="E1067" s="260"/>
      <c r="F1067" s="187">
        <v>3.0</v>
      </c>
      <c r="G1067" s="731" t="s">
        <v>260</v>
      </c>
      <c r="H1067" s="187"/>
      <c r="I1067" s="164"/>
      <c r="J1067" s="266">
        <v>8.0</v>
      </c>
      <c r="K1067" s="164"/>
      <c r="L1067" s="164"/>
      <c r="M1067" s="164"/>
      <c r="N1067" s="164"/>
      <c r="O1067" s="699" t="str">
        <f>I1067/VLOOKUP(K1067,Sheet1!$D$7:$N$16,G1067+1,FALSE)</f>
        <v>#REF!</v>
      </c>
      <c r="P1067" s="684" t="str">
        <f t="shared" si="39"/>
        <v>#REF!</v>
      </c>
      <c r="Q1067" s="702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</row>
    <row r="1068" ht="3.75" hidden="1" customHeight="1">
      <c r="A1068" s="90"/>
      <c r="B1068" s="2"/>
      <c r="C1068" s="90"/>
      <c r="D1068" s="138"/>
      <c r="E1068" s="252"/>
      <c r="F1068" s="102"/>
      <c r="G1068" s="102"/>
      <c r="H1068" s="102"/>
      <c r="I1068" s="247"/>
      <c r="J1068" s="156"/>
      <c r="K1068" s="164"/>
      <c r="L1068" s="164"/>
      <c r="M1068" s="164"/>
      <c r="N1068" s="164"/>
      <c r="O1068" s="699" t="str">
        <f>I1068/VLOOKUP(K1068,Sheet1!$D$7:$N$16,G1068+1,FALSE)</f>
        <v>#N/A</v>
      </c>
      <c r="P1068" s="684" t="str">
        <f t="shared" si="39"/>
        <v>#REF!</v>
      </c>
      <c r="Q1068" s="702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</row>
    <row r="1069" ht="15.75" hidden="1" customHeight="1">
      <c r="A1069" s="90"/>
      <c r="B1069" s="2"/>
      <c r="C1069" s="90"/>
      <c r="D1069" s="185" t="s">
        <v>262</v>
      </c>
      <c r="E1069" s="260"/>
      <c r="F1069" s="187">
        <v>3.0</v>
      </c>
      <c r="G1069" s="731" t="s">
        <v>260</v>
      </c>
      <c r="H1069" s="187"/>
      <c r="I1069" s="247"/>
      <c r="J1069" s="735">
        <v>8.0</v>
      </c>
      <c r="K1069" s="164"/>
      <c r="L1069" s="164"/>
      <c r="M1069" s="164"/>
      <c r="N1069" s="164"/>
      <c r="O1069" s="699" t="str">
        <f>I1069/VLOOKUP(K1069,Sheet1!$D$7:$N$16,G1069+1,FALSE)</f>
        <v>#REF!</v>
      </c>
      <c r="P1069" s="684" t="str">
        <f t="shared" si="39"/>
        <v>#REF!</v>
      </c>
      <c r="Q1069" s="702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</row>
    <row r="1070" ht="3.75" hidden="1" customHeight="1">
      <c r="A1070" s="90"/>
      <c r="B1070" s="2"/>
      <c r="C1070" s="90"/>
      <c r="D1070" s="138"/>
      <c r="E1070" s="252"/>
      <c r="F1070" s="102"/>
      <c r="G1070" s="102"/>
      <c r="H1070" s="102"/>
      <c r="I1070" s="247"/>
      <c r="J1070" s="156"/>
      <c r="K1070" s="164"/>
      <c r="L1070" s="164"/>
      <c r="M1070" s="164"/>
      <c r="N1070" s="164"/>
      <c r="O1070" s="699" t="str">
        <f>I1070/VLOOKUP(K1070,Sheet1!$D$7:$N$16,G1070+1,FALSE)</f>
        <v>#N/A</v>
      </c>
      <c r="P1070" s="684" t="str">
        <f t="shared" si="39"/>
        <v>#REF!</v>
      </c>
      <c r="Q1070" s="702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</row>
    <row r="1071" ht="15.75" hidden="1" customHeight="1">
      <c r="A1071" s="90"/>
      <c r="B1071" s="2"/>
      <c r="C1071" s="90"/>
      <c r="D1071" s="185" t="s">
        <v>263</v>
      </c>
      <c r="E1071" s="260"/>
      <c r="F1071" s="187">
        <v>2.0</v>
      </c>
      <c r="G1071" s="187">
        <v>15.0</v>
      </c>
      <c r="H1071" s="187"/>
      <c r="I1071" s="247"/>
      <c r="J1071" s="266">
        <v>8.0</v>
      </c>
      <c r="K1071" s="164"/>
      <c r="L1071" s="164"/>
      <c r="M1071" s="164"/>
      <c r="N1071" s="164"/>
      <c r="O1071" s="699" t="str">
        <f>I1071/VLOOKUP(K1071,Sheet1!$D$7:$N$16,G1071+1,FALSE)</f>
        <v>#REF!</v>
      </c>
      <c r="P1071" s="684" t="str">
        <f t="shared" si="39"/>
        <v>#REF!</v>
      </c>
      <c r="Q1071" s="702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</row>
    <row r="1072" ht="3.75" hidden="1" customHeight="1">
      <c r="A1072" s="90"/>
      <c r="B1072" s="2"/>
      <c r="C1072" s="90"/>
      <c r="D1072" s="138"/>
      <c r="E1072" s="252"/>
      <c r="F1072" s="102"/>
      <c r="G1072" s="102"/>
      <c r="H1072" s="102"/>
      <c r="I1072" s="247"/>
      <c r="J1072" s="156"/>
      <c r="K1072" s="164"/>
      <c r="L1072" s="164"/>
      <c r="M1072" s="164"/>
      <c r="N1072" s="164"/>
      <c r="O1072" s="699" t="str">
        <f>I1072/VLOOKUP(K1072,Sheet1!$D$7:$N$16,G1072+1,FALSE)</f>
        <v>#N/A</v>
      </c>
      <c r="P1072" s="684" t="str">
        <f t="shared" si="39"/>
        <v>#REF!</v>
      </c>
      <c r="Q1072" s="702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</row>
    <row r="1073" ht="15.75" hidden="1" customHeight="1">
      <c r="A1073" s="90"/>
      <c r="B1073" s="2"/>
      <c r="C1073" s="90"/>
      <c r="D1073" s="185"/>
      <c r="E1073" s="266"/>
      <c r="F1073" s="187"/>
      <c r="G1073" s="187"/>
      <c r="H1073" s="187"/>
      <c r="I1073" s="164"/>
      <c r="J1073" s="266"/>
      <c r="K1073" s="164"/>
      <c r="L1073" s="164"/>
      <c r="M1073" s="164"/>
      <c r="N1073" s="164"/>
      <c r="O1073" s="699" t="str">
        <f>I1073/VLOOKUP(K1073,Sheet1!$D$7:$N$16,G1073+1,FALSE)</f>
        <v>#N/A</v>
      </c>
      <c r="P1073" s="684" t="str">
        <f t="shared" si="39"/>
        <v>#REF!</v>
      </c>
      <c r="Q1073" s="697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</row>
    <row r="1074" ht="3.75" hidden="1" customHeight="1">
      <c r="A1074" s="124"/>
      <c r="B1074" s="2"/>
      <c r="C1074" s="124"/>
      <c r="D1074" s="252"/>
      <c r="E1074" s="252"/>
      <c r="F1074" s="102"/>
      <c r="G1074" s="102"/>
      <c r="H1074" s="102"/>
      <c r="I1074" s="102"/>
      <c r="J1074" s="156"/>
      <c r="K1074" s="259"/>
      <c r="L1074" s="201"/>
      <c r="M1074" s="201"/>
      <c r="N1074" s="201"/>
      <c r="O1074" s="699" t="str">
        <f>I1074/VLOOKUP(K1074,Sheet1!$D$7:$N$16,G1074+1,FALSE)</f>
        <v>#N/A</v>
      </c>
      <c r="P1074" s="684" t="str">
        <f t="shared" si="39"/>
        <v>#REF!</v>
      </c>
      <c r="Q1074" s="259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</row>
    <row r="1075" ht="30.75" hidden="1" customHeight="1">
      <c r="A1075" s="90"/>
      <c r="B1075" s="2"/>
      <c r="C1075" s="90"/>
      <c r="D1075" s="686" t="s">
        <v>279</v>
      </c>
      <c r="E1075" s="687" t="s">
        <v>15</v>
      </c>
      <c r="F1075" s="721" t="s">
        <v>16</v>
      </c>
      <c r="G1075" s="722" t="s">
        <v>17</v>
      </c>
      <c r="H1075" s="723"/>
      <c r="I1075" s="724"/>
      <c r="J1075" s="725" t="s">
        <v>241</v>
      </c>
      <c r="K1075" s="691"/>
      <c r="L1075" s="692"/>
      <c r="M1075" s="692"/>
      <c r="N1075" s="692"/>
      <c r="O1075" s="699"/>
      <c r="P1075" s="684"/>
      <c r="Q1075" s="693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</row>
    <row r="1076" ht="14.25" hidden="1" customHeight="1">
      <c r="A1076" s="90"/>
      <c r="B1076" s="2"/>
      <c r="C1076" s="90"/>
      <c r="D1076" s="257" t="s">
        <v>25</v>
      </c>
      <c r="E1076" s="257" t="s">
        <v>26</v>
      </c>
      <c r="F1076" s="680"/>
      <c r="G1076" s="681"/>
      <c r="H1076" s="723"/>
      <c r="I1076" s="681"/>
      <c r="J1076" s="725" t="s">
        <v>244</v>
      </c>
      <c r="K1076" s="697"/>
      <c r="L1076" s="692"/>
      <c r="M1076" s="692"/>
      <c r="N1076" s="692"/>
      <c r="O1076" s="699"/>
      <c r="P1076" s="684"/>
      <c r="Q1076" s="698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</row>
    <row r="1077" ht="3.75" hidden="1" customHeight="1">
      <c r="A1077" s="124"/>
      <c r="B1077" s="2"/>
      <c r="C1077" s="124"/>
      <c r="D1077" s="252"/>
      <c r="E1077" s="252"/>
      <c r="F1077" s="102"/>
      <c r="G1077" s="102"/>
      <c r="H1077" s="102"/>
      <c r="I1077" s="102"/>
      <c r="J1077" s="156"/>
      <c r="K1077" s="259"/>
      <c r="L1077" s="201"/>
      <c r="M1077" s="201"/>
      <c r="N1077" s="201"/>
      <c r="O1077" s="699" t="str">
        <f>I1077/VLOOKUP(K1077,Sheet1!$D$7:$N$16,G1077+1,FALSE)</f>
        <v>#N/A</v>
      </c>
      <c r="P1077" s="684" t="str">
        <f t="shared" ref="P1077:P1090" si="40">I1077-#REF!</f>
        <v>#REF!</v>
      </c>
      <c r="Q1077" s="259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</row>
    <row r="1078" ht="14.25" hidden="1" customHeight="1">
      <c r="A1078" s="124"/>
      <c r="B1078" s="2"/>
      <c r="C1078" s="124"/>
      <c r="D1078" s="185" t="s">
        <v>10</v>
      </c>
      <c r="E1078" s="260"/>
      <c r="F1078" s="187">
        <v>1.0</v>
      </c>
      <c r="G1078" s="187">
        <v>1.0</v>
      </c>
      <c r="H1078" s="187"/>
      <c r="I1078" s="164">
        <v>295.0</v>
      </c>
      <c r="J1078" s="266">
        <v>6.0</v>
      </c>
      <c r="K1078" s="164">
        <v>8.0</v>
      </c>
      <c r="L1078" s="164"/>
      <c r="M1078" s="164"/>
      <c r="N1078" s="164"/>
      <c r="O1078" s="699">
        <f>I1078/VLOOKUP(K1078,Sheet1!$D$7:$N$16,G1078+1,FALSE)</f>
        <v>318.3453237</v>
      </c>
      <c r="P1078" s="684" t="str">
        <f t="shared" si="40"/>
        <v>#REF!</v>
      </c>
      <c r="Q1078" s="736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</row>
    <row r="1079" ht="3.75" hidden="1" customHeight="1">
      <c r="A1079" s="124"/>
      <c r="B1079" s="2"/>
      <c r="C1079" s="124"/>
      <c r="D1079" s="138"/>
      <c r="E1079" s="252"/>
      <c r="F1079" s="102"/>
      <c r="G1079" s="102"/>
      <c r="H1079" s="102"/>
      <c r="I1079" s="247"/>
      <c r="J1079" s="156"/>
      <c r="K1079" s="164"/>
      <c r="L1079" s="164"/>
      <c r="M1079" s="164"/>
      <c r="N1079" s="164"/>
      <c r="O1079" s="699" t="str">
        <f>I1079/VLOOKUP(K1079,Sheet1!$D$7:$N$16,G1079+1,FALSE)</f>
        <v>#N/A</v>
      </c>
      <c r="P1079" s="684" t="str">
        <f t="shared" si="40"/>
        <v>#REF!</v>
      </c>
      <c r="Q1079" s="702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</row>
    <row r="1080" ht="14.25" hidden="1" customHeight="1">
      <c r="A1080" s="124"/>
      <c r="B1080" s="2"/>
      <c r="C1080" s="124"/>
      <c r="D1080" s="185" t="s">
        <v>10</v>
      </c>
      <c r="E1080" s="260"/>
      <c r="F1080" s="187">
        <v>1.0</v>
      </c>
      <c r="G1080" s="187">
        <v>3.0</v>
      </c>
      <c r="H1080" s="187"/>
      <c r="I1080" s="164">
        <v>270.0</v>
      </c>
      <c r="J1080" s="266">
        <v>7.5</v>
      </c>
      <c r="K1080" s="164">
        <v>8.0</v>
      </c>
      <c r="L1080" s="164"/>
      <c r="M1080" s="164"/>
      <c r="N1080" s="164"/>
      <c r="O1080" s="699">
        <f>I1080/VLOOKUP(K1080,Sheet1!$D$7:$N$16,G1080+1,FALSE)</f>
        <v>312.1387283</v>
      </c>
      <c r="P1080" s="684" t="str">
        <f t="shared" si="40"/>
        <v>#REF!</v>
      </c>
      <c r="Q1080" s="702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</row>
    <row r="1081" ht="3.75" hidden="1" customHeight="1">
      <c r="A1081" s="124"/>
      <c r="B1081" s="2"/>
      <c r="C1081" s="124"/>
      <c r="D1081" s="138"/>
      <c r="E1081" s="252"/>
      <c r="F1081" s="102"/>
      <c r="G1081" s="102"/>
      <c r="H1081" s="102"/>
      <c r="I1081" s="247"/>
      <c r="J1081" s="156"/>
      <c r="K1081" s="164"/>
      <c r="L1081" s="164"/>
      <c r="M1081" s="164"/>
      <c r="N1081" s="164"/>
      <c r="O1081" s="699" t="str">
        <f>I1081/VLOOKUP(K1081,Sheet1!$D$7:$N$16,G1081+1,FALSE)</f>
        <v>#N/A</v>
      </c>
      <c r="P1081" s="684" t="str">
        <f t="shared" si="40"/>
        <v>#REF!</v>
      </c>
      <c r="Q1081" s="702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</row>
    <row r="1082" ht="14.25" hidden="1" customHeight="1">
      <c r="A1082" s="124"/>
      <c r="B1082" s="2"/>
      <c r="C1082" s="124"/>
      <c r="D1082" s="185" t="s">
        <v>10</v>
      </c>
      <c r="E1082" s="260"/>
      <c r="F1082" s="187">
        <v>3.0</v>
      </c>
      <c r="G1082" s="187">
        <v>3.0</v>
      </c>
      <c r="H1082" s="187"/>
      <c r="I1082" s="164">
        <v>245.0</v>
      </c>
      <c r="J1082" s="706">
        <v>-0.1</v>
      </c>
      <c r="K1082" s="164">
        <v>6.5</v>
      </c>
      <c r="L1082" s="164"/>
      <c r="M1082" s="164"/>
      <c r="N1082" s="164"/>
      <c r="O1082" s="699">
        <f>I1082/VLOOKUP(K1082,Sheet1!$D$7:$N$16,G1082+1,FALSE)</f>
        <v>296.0725076</v>
      </c>
      <c r="P1082" s="684" t="str">
        <f t="shared" si="40"/>
        <v>#REF!</v>
      </c>
      <c r="Q1082" s="702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</row>
    <row r="1083" ht="3.75" hidden="1" customHeight="1">
      <c r="A1083" s="124"/>
      <c r="B1083" s="2"/>
      <c r="C1083" s="124"/>
      <c r="D1083" s="138"/>
      <c r="E1083" s="252"/>
      <c r="F1083" s="102"/>
      <c r="G1083" s="102"/>
      <c r="H1083" s="102"/>
      <c r="I1083" s="247"/>
      <c r="J1083" s="156"/>
      <c r="K1083" s="164"/>
      <c r="L1083" s="164"/>
      <c r="M1083" s="164"/>
      <c r="N1083" s="164"/>
      <c r="O1083" s="699" t="str">
        <f>I1083/VLOOKUP(K1083,Sheet1!$D$7:$N$16,G1083+1,FALSE)</f>
        <v>#N/A</v>
      </c>
      <c r="P1083" s="684" t="str">
        <f t="shared" si="40"/>
        <v>#REF!</v>
      </c>
      <c r="Q1083" s="702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</row>
    <row r="1084" ht="14.25" hidden="1" customHeight="1">
      <c r="A1084" s="124"/>
      <c r="B1084" s="2"/>
      <c r="C1084" s="124"/>
      <c r="D1084" s="185"/>
      <c r="E1084" s="260"/>
      <c r="F1084" s="187"/>
      <c r="G1084" s="187"/>
      <c r="H1084" s="187"/>
      <c r="I1084" s="164"/>
      <c r="J1084" s="266"/>
      <c r="K1084" s="164"/>
      <c r="L1084" s="164"/>
      <c r="M1084" s="164"/>
      <c r="N1084" s="164"/>
      <c r="O1084" s="699" t="str">
        <f>I1084/VLOOKUP(K1084,Sheet1!$D$7:$N$16,G1084+1,FALSE)</f>
        <v>#N/A</v>
      </c>
      <c r="P1084" s="684" t="str">
        <f t="shared" si="40"/>
        <v>#REF!</v>
      </c>
      <c r="Q1084" s="702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</row>
    <row r="1085" ht="3.75" hidden="1" customHeight="1">
      <c r="A1085" s="124"/>
      <c r="B1085" s="2"/>
      <c r="C1085" s="124"/>
      <c r="D1085" s="138"/>
      <c r="E1085" s="252"/>
      <c r="F1085" s="102"/>
      <c r="G1085" s="102"/>
      <c r="H1085" s="102"/>
      <c r="I1085" s="247"/>
      <c r="J1085" s="156"/>
      <c r="K1085" s="164"/>
      <c r="L1085" s="164"/>
      <c r="M1085" s="164"/>
      <c r="N1085" s="164"/>
      <c r="O1085" s="699" t="str">
        <f>I1085/VLOOKUP(K1085,Sheet1!$D$7:$N$16,G1085+1,FALSE)</f>
        <v>#N/A</v>
      </c>
      <c r="P1085" s="684" t="str">
        <f t="shared" si="40"/>
        <v>#REF!</v>
      </c>
      <c r="Q1085" s="702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</row>
    <row r="1086" ht="14.25" hidden="1" customHeight="1">
      <c r="A1086" s="124"/>
      <c r="B1086" s="2"/>
      <c r="C1086" s="124"/>
      <c r="D1086" s="185" t="s">
        <v>265</v>
      </c>
      <c r="E1086" s="264"/>
      <c r="F1086" s="187">
        <v>3.0</v>
      </c>
      <c r="G1086" s="187">
        <v>7.0</v>
      </c>
      <c r="H1086" s="187"/>
      <c r="I1086" s="164">
        <v>122.5</v>
      </c>
      <c r="J1086" s="266">
        <v>7.0</v>
      </c>
      <c r="K1086" s="164">
        <v>7.0</v>
      </c>
      <c r="L1086" s="164"/>
      <c r="M1086" s="164"/>
      <c r="N1086" s="164"/>
      <c r="O1086" s="699">
        <f>I1086/VLOOKUP(K1086,Sheet1!$D$7:$N$16,G1086+1,FALSE)</f>
        <v>165.5405405</v>
      </c>
      <c r="P1086" s="684" t="str">
        <f t="shared" si="40"/>
        <v>#REF!</v>
      </c>
      <c r="Q1086" s="702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</row>
    <row r="1087" ht="3.75" hidden="1" customHeight="1">
      <c r="A1087" s="261"/>
      <c r="B1087" s="719"/>
      <c r="C1087" s="262"/>
      <c r="D1087" s="138"/>
      <c r="E1087" s="252"/>
      <c r="F1087" s="102"/>
      <c r="G1087" s="102"/>
      <c r="H1087" s="102"/>
      <c r="I1087" s="247"/>
      <c r="J1087" s="156"/>
      <c r="K1087" s="164"/>
      <c r="L1087" s="164"/>
      <c r="M1087" s="164"/>
      <c r="N1087" s="164"/>
      <c r="O1087" s="699" t="str">
        <f>I1087/VLOOKUP(K1087,Sheet1!$D$7:$N$16,G1087+1,FALSE)</f>
        <v>#N/A</v>
      </c>
      <c r="P1087" s="684" t="str">
        <f t="shared" si="40"/>
        <v>#REF!</v>
      </c>
      <c r="Q1087" s="702"/>
      <c r="R1087" s="158"/>
      <c r="S1087" s="158"/>
      <c r="T1087" s="158"/>
      <c r="U1087" s="158"/>
      <c r="V1087" s="158"/>
      <c r="W1087" s="158"/>
      <c r="X1087" s="158"/>
      <c r="Y1087" s="158"/>
      <c r="Z1087" s="158"/>
      <c r="AA1087" s="158"/>
      <c r="AB1087" s="158"/>
      <c r="AC1087" s="158"/>
      <c r="AD1087" s="158"/>
      <c r="AE1087" s="158"/>
      <c r="AF1087" s="158"/>
    </row>
    <row r="1088" ht="14.25" hidden="1" customHeight="1">
      <c r="A1088" s="124"/>
      <c r="B1088" s="2"/>
      <c r="C1088" s="124"/>
      <c r="D1088" s="185"/>
      <c r="E1088" s="260"/>
      <c r="F1088" s="187"/>
      <c r="G1088" s="187"/>
      <c r="H1088" s="187"/>
      <c r="I1088" s="164"/>
      <c r="J1088" s="266"/>
      <c r="K1088" s="164"/>
      <c r="L1088" s="164"/>
      <c r="M1088" s="164"/>
      <c r="N1088" s="164"/>
      <c r="O1088" s="699" t="str">
        <f>I1088/VLOOKUP(K1088,Sheet1!$D$7:$N$16,G1088+1,FALSE)</f>
        <v>#N/A</v>
      </c>
      <c r="P1088" s="684" t="str">
        <f t="shared" si="40"/>
        <v>#REF!</v>
      </c>
      <c r="Q1088" s="702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</row>
    <row r="1089" ht="3.75" hidden="1" customHeight="1">
      <c r="A1089" s="261"/>
      <c r="B1089" s="719"/>
      <c r="C1089" s="262"/>
      <c r="D1089" s="138"/>
      <c r="E1089" s="252"/>
      <c r="F1089" s="102"/>
      <c r="G1089" s="102"/>
      <c r="H1089" s="102"/>
      <c r="I1089" s="247"/>
      <c r="J1089" s="156"/>
      <c r="K1089" s="164"/>
      <c r="L1089" s="164"/>
      <c r="M1089" s="164"/>
      <c r="N1089" s="164"/>
      <c r="O1089" s="699" t="str">
        <f>I1089/VLOOKUP(K1089,Sheet1!$D$7:$N$16,G1089+1,FALSE)</f>
        <v>#N/A</v>
      </c>
      <c r="P1089" s="684" t="str">
        <f t="shared" si="40"/>
        <v>#REF!</v>
      </c>
      <c r="Q1089" s="702"/>
      <c r="R1089" s="158"/>
      <c r="S1089" s="158"/>
      <c r="T1089" s="158"/>
      <c r="U1089" s="158"/>
      <c r="V1089" s="158"/>
      <c r="W1089" s="158"/>
      <c r="X1089" s="158"/>
      <c r="Y1089" s="158"/>
      <c r="Z1089" s="158"/>
      <c r="AA1089" s="158"/>
      <c r="AB1089" s="158"/>
      <c r="AC1089" s="158"/>
      <c r="AD1089" s="158"/>
      <c r="AE1089" s="158"/>
      <c r="AF1089" s="158"/>
    </row>
    <row r="1090" ht="15.75" hidden="1" customHeight="1">
      <c r="A1090" s="124"/>
      <c r="B1090" s="2"/>
      <c r="C1090" s="124"/>
      <c r="D1090" s="185"/>
      <c r="E1090" s="260"/>
      <c r="F1090" s="187"/>
      <c r="G1090" s="187"/>
      <c r="H1090" s="187"/>
      <c r="I1090" s="247"/>
      <c r="J1090" s="266"/>
      <c r="K1090" s="164"/>
      <c r="L1090" s="164"/>
      <c r="M1090" s="164"/>
      <c r="N1090" s="164"/>
      <c r="O1090" s="699" t="str">
        <f>I1090/VLOOKUP(K1090,Sheet1!$D$7:$N$16,G1090+1,FALSE)</f>
        <v>#N/A</v>
      </c>
      <c r="P1090" s="684" t="str">
        <f t="shared" si="40"/>
        <v>#REF!</v>
      </c>
      <c r="Q1090" s="702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</row>
    <row r="1091" ht="3.75" hidden="1" customHeight="1">
      <c r="A1091" s="124"/>
      <c r="B1091" s="2"/>
      <c r="C1091" s="124"/>
      <c r="D1091" s="263"/>
      <c r="E1091" s="252"/>
      <c r="F1091" s="102"/>
      <c r="G1091" s="102"/>
      <c r="H1091" s="102"/>
      <c r="I1091" s="247"/>
      <c r="J1091" s="156"/>
      <c r="K1091" s="164"/>
      <c r="L1091" s="164"/>
      <c r="M1091" s="164"/>
      <c r="N1091" s="164"/>
      <c r="O1091" s="699" t="str">
        <f>I1091/VLOOKUP(K1091,Sheet1!$D$7:$N$16,G1091+1,FALSE)</f>
        <v>#N/A</v>
      </c>
      <c r="P1091" s="684"/>
      <c r="Q1091" s="702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</row>
    <row r="1092" ht="14.25" hidden="1" customHeight="1">
      <c r="A1092" s="90"/>
      <c r="B1092" s="2"/>
      <c r="C1092" s="90"/>
      <c r="D1092" s="185" t="s">
        <v>267</v>
      </c>
      <c r="E1092" s="264"/>
      <c r="F1092" s="187">
        <v>3.0</v>
      </c>
      <c r="G1092" s="731" t="s">
        <v>260</v>
      </c>
      <c r="H1092" s="187"/>
      <c r="I1092" s="164"/>
      <c r="J1092" s="266">
        <v>8.0</v>
      </c>
      <c r="K1092" s="164">
        <v>8.0</v>
      </c>
      <c r="L1092" s="164"/>
      <c r="M1092" s="164"/>
      <c r="N1092" s="164"/>
      <c r="O1092" s="699" t="str">
        <f>I1092/VLOOKUP(K1092,Sheet1!$D$7:$N$16,G1092+1,FALSE)</f>
        <v>#REF!</v>
      </c>
      <c r="P1092" s="684"/>
      <c r="Q1092" s="702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</row>
    <row r="1093" ht="3.75" hidden="1" customHeight="1">
      <c r="A1093" s="261"/>
      <c r="B1093" s="719"/>
      <c r="C1093" s="262"/>
      <c r="D1093" s="263"/>
      <c r="E1093" s="263"/>
      <c r="F1093" s="194"/>
      <c r="G1093" s="194"/>
      <c r="H1093" s="194"/>
      <c r="I1093" s="164"/>
      <c r="J1093" s="267"/>
      <c r="K1093" s="164"/>
      <c r="L1093" s="164"/>
      <c r="M1093" s="164"/>
      <c r="N1093" s="164"/>
      <c r="O1093" s="699" t="str">
        <f>I1093/VLOOKUP(K1093,Sheet1!$D$7:$N$16,G1093+1,FALSE)</f>
        <v>#N/A</v>
      </c>
      <c r="P1093" s="684"/>
      <c r="Q1093" s="702"/>
      <c r="R1093" s="158"/>
      <c r="S1093" s="158"/>
      <c r="T1093" s="158"/>
      <c r="U1093" s="158"/>
      <c r="V1093" s="158"/>
      <c r="W1093" s="158"/>
      <c r="X1093" s="158"/>
      <c r="Y1093" s="158"/>
      <c r="Z1093" s="158"/>
      <c r="AA1093" s="158"/>
      <c r="AB1093" s="158"/>
      <c r="AC1093" s="158"/>
      <c r="AD1093" s="158"/>
      <c r="AE1093" s="158"/>
      <c r="AF1093" s="158"/>
    </row>
    <row r="1094" ht="15.75" hidden="1" customHeight="1">
      <c r="A1094" s="90"/>
      <c r="B1094" s="2"/>
      <c r="C1094" s="90"/>
      <c r="D1094" s="185" t="s">
        <v>268</v>
      </c>
      <c r="E1094" s="266"/>
      <c r="F1094" s="187">
        <v>3.0</v>
      </c>
      <c r="G1094" s="731" t="s">
        <v>251</v>
      </c>
      <c r="H1094" s="187"/>
      <c r="I1094" s="164"/>
      <c r="J1094" s="266">
        <v>9.0</v>
      </c>
      <c r="K1094" s="164">
        <v>8.0</v>
      </c>
      <c r="L1094" s="164"/>
      <c r="M1094" s="164"/>
      <c r="N1094" s="164"/>
      <c r="O1094" s="699" t="str">
        <f>I1094/VLOOKUP(K1094,Sheet1!$D$7:$N$16,G1094+1,FALSE)</f>
        <v>#REF!</v>
      </c>
      <c r="P1094" s="684"/>
      <c r="Q1094" s="702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</row>
    <row r="1095" ht="3.75" hidden="1" customHeight="1">
      <c r="A1095" s="90"/>
      <c r="B1095" s="2"/>
      <c r="C1095" s="90"/>
      <c r="D1095" s="138"/>
      <c r="E1095" s="252"/>
      <c r="F1095" s="102"/>
      <c r="G1095" s="102"/>
      <c r="H1095" s="102"/>
      <c r="I1095" s="247"/>
      <c r="J1095" s="156"/>
      <c r="K1095" s="164"/>
      <c r="L1095" s="164"/>
      <c r="M1095" s="164"/>
      <c r="N1095" s="164"/>
      <c r="O1095" s="699" t="str">
        <f>I1095/VLOOKUP(K1095,Sheet1!$D$7:$N$16,G1095+1,FALSE)</f>
        <v>#N/A</v>
      </c>
      <c r="P1095" s="684"/>
      <c r="Q1095" s="702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</row>
    <row r="1096" ht="15.75" hidden="1" customHeight="1">
      <c r="A1096" s="90"/>
      <c r="B1096" s="2"/>
      <c r="C1096" s="90"/>
      <c r="D1096" s="185" t="s">
        <v>269</v>
      </c>
      <c r="E1096" s="266"/>
      <c r="F1096" s="187">
        <v>3.0</v>
      </c>
      <c r="G1096" s="731" t="s">
        <v>260</v>
      </c>
      <c r="H1096" s="187"/>
      <c r="I1096" s="164"/>
      <c r="J1096" s="266">
        <v>9.0</v>
      </c>
      <c r="K1096" s="164">
        <v>9.0</v>
      </c>
      <c r="L1096" s="164"/>
      <c r="M1096" s="164"/>
      <c r="N1096" s="164"/>
      <c r="O1096" s="699" t="str">
        <f>I1096/VLOOKUP(K1096,Sheet1!$D$7:$N$16,G1096+1,FALSE)</f>
        <v>#REF!</v>
      </c>
      <c r="P1096" s="684"/>
      <c r="Q1096" s="702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</row>
    <row r="1097" ht="3.75" hidden="1" customHeight="1">
      <c r="A1097" s="191"/>
      <c r="B1097" s="719"/>
      <c r="C1097" s="192"/>
      <c r="D1097" s="138"/>
      <c r="E1097" s="252"/>
      <c r="F1097" s="102"/>
      <c r="G1097" s="102"/>
      <c r="H1097" s="102"/>
      <c r="I1097" s="247"/>
      <c r="J1097" s="156"/>
      <c r="K1097" s="164"/>
      <c r="L1097" s="164"/>
      <c r="M1097" s="164"/>
      <c r="N1097" s="164"/>
      <c r="O1097" s="699" t="str">
        <f>I1097/VLOOKUP(K1097,Sheet1!$D$7:$N$16,G1097+1,FALSE)</f>
        <v>#N/A</v>
      </c>
      <c r="P1097" s="684"/>
      <c r="Q1097" s="702"/>
      <c r="R1097" s="158"/>
      <c r="S1097" s="158"/>
      <c r="T1097" s="158"/>
      <c r="U1097" s="158"/>
      <c r="V1097" s="158"/>
      <c r="W1097" s="158"/>
      <c r="X1097" s="158"/>
      <c r="Y1097" s="158"/>
      <c r="Z1097" s="158"/>
      <c r="AA1097" s="158"/>
      <c r="AB1097" s="158"/>
      <c r="AC1097" s="158"/>
      <c r="AD1097" s="158"/>
      <c r="AE1097" s="158"/>
      <c r="AF1097" s="158"/>
    </row>
    <row r="1098" ht="15.75" hidden="1" customHeight="1">
      <c r="A1098" s="90"/>
      <c r="B1098" s="2"/>
      <c r="C1098" s="90"/>
      <c r="D1098" s="185" t="s">
        <v>270</v>
      </c>
      <c r="E1098" s="260"/>
      <c r="F1098" s="187">
        <v>3.0</v>
      </c>
      <c r="G1098" s="731" t="s">
        <v>260</v>
      </c>
      <c r="H1098" s="187"/>
      <c r="I1098" s="164"/>
      <c r="J1098" s="266">
        <v>9.0</v>
      </c>
      <c r="K1098" s="164"/>
      <c r="L1098" s="164"/>
      <c r="M1098" s="164"/>
      <c r="N1098" s="164"/>
      <c r="O1098" s="699" t="str">
        <f>I1098/VLOOKUP(K1098,Sheet1!$D$7:$N$16,G1098+1,FALSE)</f>
        <v>#REF!</v>
      </c>
      <c r="P1098" s="684"/>
      <c r="Q1098" s="702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</row>
    <row r="1099" ht="3.75" hidden="1" customHeight="1">
      <c r="A1099" s="90"/>
      <c r="B1099" s="2"/>
      <c r="C1099" s="90"/>
      <c r="D1099" s="263"/>
      <c r="E1099" s="252"/>
      <c r="F1099" s="102"/>
      <c r="G1099" s="102"/>
      <c r="H1099" s="102"/>
      <c r="I1099" s="247"/>
      <c r="J1099" s="156"/>
      <c r="K1099" s="164"/>
      <c r="L1099" s="164"/>
      <c r="M1099" s="164"/>
      <c r="N1099" s="164"/>
      <c r="O1099" s="699" t="str">
        <f>I1099/VLOOKUP(K1099,Sheet1!$D$7:$N$16,G1099+1,FALSE)</f>
        <v>#N/A</v>
      </c>
      <c r="P1099" s="684"/>
      <c r="Q1099" s="702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</row>
    <row r="1100" ht="15.75" hidden="1" customHeight="1">
      <c r="A1100" s="90"/>
      <c r="B1100" s="2"/>
      <c r="C1100" s="90"/>
      <c r="D1100" s="185" t="s">
        <v>256</v>
      </c>
      <c r="E1100" s="266"/>
      <c r="F1100" s="187">
        <v>3.0</v>
      </c>
      <c r="G1100" s="187" t="s">
        <v>16</v>
      </c>
      <c r="H1100" s="187"/>
      <c r="I1100" s="164"/>
      <c r="J1100" s="266">
        <v>9.0</v>
      </c>
      <c r="K1100" s="164"/>
      <c r="L1100" s="164"/>
      <c r="M1100" s="164"/>
      <c r="N1100" s="164"/>
      <c r="O1100" s="699" t="str">
        <f>I1100/VLOOKUP(K1100,Sheet1!$D$7:$N$16,G1100+1,FALSE)</f>
        <v>#VALUE!</v>
      </c>
      <c r="P1100" s="684"/>
      <c r="Q1100" s="697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</row>
    <row r="1101" ht="3.75" hidden="1" customHeight="1">
      <c r="A1101" s="191"/>
      <c r="B1101" s="719"/>
      <c r="C1101" s="192"/>
      <c r="D1101" s="192"/>
      <c r="E1101" s="267"/>
      <c r="F1101" s="194"/>
      <c r="G1101" s="194"/>
      <c r="H1101" s="194"/>
      <c r="I1101" s="194"/>
      <c r="J1101" s="267"/>
      <c r="K1101" s="273"/>
      <c r="L1101" s="737"/>
      <c r="M1101" s="737"/>
      <c r="N1101" s="737"/>
      <c r="O1101" s="271"/>
      <c r="P1101" s="272"/>
      <c r="Q1101" s="273"/>
      <c r="R1101" s="158"/>
      <c r="S1101" s="158"/>
      <c r="T1101" s="158"/>
      <c r="U1101" s="158"/>
      <c r="V1101" s="158"/>
      <c r="W1101" s="158"/>
      <c r="X1101" s="158"/>
      <c r="Y1101" s="158"/>
      <c r="Z1101" s="158"/>
      <c r="AA1101" s="158"/>
      <c r="AB1101" s="158"/>
      <c r="AC1101" s="158"/>
      <c r="AD1101" s="158"/>
      <c r="AE1101" s="158"/>
      <c r="AF1101" s="158"/>
    </row>
    <row r="1102" ht="14.25" hidden="1" customHeight="1">
      <c r="A1102" s="5"/>
      <c r="B1102" s="2"/>
      <c r="C1102" s="5"/>
      <c r="D1102" s="738"/>
      <c r="E1102" s="739"/>
      <c r="F1102" s="683"/>
      <c r="G1102" s="683"/>
      <c r="H1102" s="683"/>
      <c r="I1102" s="683"/>
      <c r="J1102" s="739"/>
      <c r="K1102" s="738"/>
      <c r="L1102" s="683"/>
      <c r="M1102" s="683"/>
      <c r="N1102" s="683"/>
      <c r="O1102" s="740"/>
      <c r="P1102" s="4"/>
      <c r="Q1102" s="738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</row>
    <row r="1103" ht="14.25" hidden="1" customHeight="1">
      <c r="A1103" s="5"/>
      <c r="B1103" s="2"/>
      <c r="C1103" s="5"/>
      <c r="D1103" s="738"/>
      <c r="E1103" s="739"/>
      <c r="F1103" s="683"/>
      <c r="G1103" s="683"/>
      <c r="H1103" s="683"/>
      <c r="I1103" s="683"/>
      <c r="J1103" s="739"/>
      <c r="K1103" s="738"/>
      <c r="L1103" s="683"/>
      <c r="M1103" s="683"/>
      <c r="N1103" s="683"/>
      <c r="O1103" s="741"/>
      <c r="P1103" s="4"/>
      <c r="Q1103" s="738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</row>
    <row r="1104" ht="14.25" hidden="1" customHeight="1">
      <c r="A1104" s="5"/>
      <c r="B1104" s="2"/>
      <c r="C1104" s="5"/>
      <c r="D1104" s="738"/>
      <c r="E1104" s="739"/>
      <c r="F1104" s="683"/>
      <c r="G1104" s="683"/>
      <c r="H1104" s="683"/>
      <c r="I1104" s="683"/>
      <c r="J1104" s="739"/>
      <c r="K1104" s="738"/>
      <c r="L1104" s="683"/>
      <c r="M1104" s="683"/>
      <c r="N1104" s="683"/>
      <c r="O1104" s="741"/>
      <c r="P1104" s="4"/>
      <c r="Q1104" s="738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</row>
    <row r="1105" ht="14.25" hidden="1" customHeight="1">
      <c r="A1105" s="5"/>
      <c r="B1105" s="2"/>
      <c r="C1105" s="5"/>
      <c r="D1105" s="738"/>
      <c r="E1105" s="739"/>
      <c r="F1105" s="683"/>
      <c r="G1105" s="683"/>
      <c r="H1105" s="683"/>
      <c r="I1105" s="683"/>
      <c r="J1105" s="739"/>
      <c r="K1105" s="738"/>
      <c r="L1105" s="683"/>
      <c r="M1105" s="683"/>
      <c r="N1105" s="683"/>
      <c r="O1105" s="741"/>
      <c r="P1105" s="4"/>
      <c r="Q1105" s="738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</row>
    <row r="1106" ht="14.25" hidden="1" customHeight="1">
      <c r="A1106" s="5"/>
      <c r="B1106" s="2"/>
      <c r="C1106" s="5"/>
      <c r="D1106" s="738"/>
      <c r="E1106" s="739"/>
      <c r="F1106" s="683"/>
      <c r="G1106" s="683"/>
      <c r="H1106" s="683"/>
      <c r="I1106" s="683"/>
      <c r="J1106" s="739"/>
      <c r="K1106" s="738"/>
      <c r="L1106" s="683"/>
      <c r="M1106" s="683"/>
      <c r="N1106" s="683"/>
      <c r="O1106" s="741"/>
      <c r="P1106" s="4"/>
      <c r="Q1106" s="738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</row>
    <row r="1107" ht="14.25" hidden="1" customHeight="1">
      <c r="A1107" s="5"/>
      <c r="B1107" s="2"/>
      <c r="C1107" s="5"/>
      <c r="D1107" s="738"/>
      <c r="E1107" s="739"/>
      <c r="F1107" s="683"/>
      <c r="G1107" s="683"/>
      <c r="H1107" s="683"/>
      <c r="I1107" s="683"/>
      <c r="J1107" s="739"/>
      <c r="K1107" s="738"/>
      <c r="L1107" s="683"/>
      <c r="M1107" s="683"/>
      <c r="N1107" s="683"/>
      <c r="O1107" s="741"/>
      <c r="P1107" s="4"/>
      <c r="Q1107" s="738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</row>
    <row r="1108" ht="14.25" hidden="1" customHeight="1">
      <c r="A1108" s="5"/>
      <c r="B1108" s="2"/>
      <c r="C1108" s="5"/>
      <c r="D1108" s="5"/>
      <c r="E1108" s="75"/>
      <c r="F1108" s="3"/>
      <c r="G1108" s="3"/>
      <c r="H1108" s="3"/>
      <c r="I1108" s="3"/>
      <c r="J1108" s="75"/>
      <c r="K1108" s="5"/>
      <c r="L1108" s="3"/>
      <c r="M1108" s="3"/>
      <c r="N1108" s="3"/>
      <c r="O1108" s="3"/>
      <c r="P1108" s="4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</row>
    <row r="1109" ht="19.5" hidden="1" customHeight="1">
      <c r="A1109" s="5"/>
      <c r="B1109" s="2"/>
      <c r="C1109" s="5"/>
      <c r="D1109" s="663" t="s">
        <v>240</v>
      </c>
      <c r="E1109" s="664">
        <v>4.0</v>
      </c>
      <c r="F1109" s="665"/>
      <c r="G1109" s="666"/>
      <c r="H1109" s="665"/>
      <c r="I1109" s="667"/>
      <c r="J1109" s="668"/>
      <c r="K1109" s="669"/>
      <c r="L1109" s="453"/>
      <c r="M1109" s="453"/>
      <c r="N1109" s="453"/>
      <c r="O1109" s="3"/>
      <c r="P1109" s="4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</row>
    <row r="1110" ht="27.0" hidden="1" customHeight="1">
      <c r="A1110" s="90"/>
      <c r="B1110" s="2"/>
      <c r="C1110" s="90"/>
      <c r="D1110" s="670"/>
      <c r="E1110" s="671"/>
      <c r="F1110" s="672" t="s">
        <v>16</v>
      </c>
      <c r="G1110" s="673" t="s">
        <v>17</v>
      </c>
      <c r="H1110" s="665"/>
      <c r="I1110" s="674" t="s">
        <v>18</v>
      </c>
      <c r="J1110" s="675" t="s">
        <v>241</v>
      </c>
      <c r="K1110" s="676"/>
      <c r="L1110" s="676"/>
      <c r="M1110" s="676"/>
      <c r="N1110" s="676"/>
      <c r="O1110" s="122" t="s">
        <v>242</v>
      </c>
      <c r="P1110" s="677" t="s">
        <v>243</v>
      </c>
      <c r="Q1110" s="678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</row>
    <row r="1111" ht="14.25" hidden="1" customHeight="1">
      <c r="A1111" s="90"/>
      <c r="B1111" s="2"/>
      <c r="C1111" s="90"/>
      <c r="D1111" s="679" t="s">
        <v>13</v>
      </c>
      <c r="E1111" s="671"/>
      <c r="F1111" s="680"/>
      <c r="G1111" s="681"/>
      <c r="H1111" s="665"/>
      <c r="I1111" s="681"/>
      <c r="J1111" s="675" t="s">
        <v>244</v>
      </c>
      <c r="K1111" s="214"/>
      <c r="L1111" s="682"/>
      <c r="M1111" s="682"/>
      <c r="N1111" s="682"/>
      <c r="O1111" s="683"/>
      <c r="P1111" s="684" t="s">
        <v>245</v>
      </c>
      <c r="Q1111" s="68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</row>
    <row r="1112" ht="3.75" hidden="1" customHeight="1">
      <c r="A1112" s="90"/>
      <c r="B1112" s="2"/>
      <c r="C1112" s="90"/>
      <c r="D1112" s="97"/>
      <c r="E1112" s="98"/>
      <c r="F1112" s="99"/>
      <c r="G1112" s="99"/>
      <c r="H1112" s="99"/>
      <c r="I1112" s="100"/>
      <c r="J1112" s="101"/>
      <c r="K1112" s="90"/>
      <c r="L1112" s="102"/>
      <c r="M1112" s="102"/>
      <c r="N1112" s="102"/>
      <c r="O1112" s="103"/>
      <c r="P1112" s="4"/>
      <c r="Q1112" s="90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</row>
    <row r="1113" ht="30.0" hidden="1" customHeight="1">
      <c r="A1113" s="90"/>
      <c r="B1113" s="2"/>
      <c r="C1113" s="90"/>
      <c r="D1113" s="686" t="s">
        <v>271</v>
      </c>
      <c r="E1113" s="687" t="s">
        <v>15</v>
      </c>
      <c r="F1113" s="688"/>
      <c r="G1113" s="688"/>
      <c r="H1113" s="688"/>
      <c r="I1113" s="689"/>
      <c r="J1113" s="690"/>
      <c r="K1113" s="691" t="s">
        <v>20</v>
      </c>
      <c r="L1113" s="692"/>
      <c r="M1113" s="692"/>
      <c r="N1113" s="692"/>
      <c r="O1113" s="683"/>
      <c r="P1113" s="684"/>
      <c r="Q1113" s="693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</row>
    <row r="1114" ht="19.5" hidden="1" customHeight="1">
      <c r="A1114" s="90"/>
      <c r="B1114" s="2"/>
      <c r="C1114" s="90"/>
      <c r="D1114" s="257" t="s">
        <v>25</v>
      </c>
      <c r="E1114" s="257" t="s">
        <v>26</v>
      </c>
      <c r="F1114" s="694"/>
      <c r="G1114" s="694"/>
      <c r="H1114" s="694"/>
      <c r="I1114" s="695"/>
      <c r="J1114" s="696"/>
      <c r="K1114" s="697"/>
      <c r="L1114" s="692"/>
      <c r="M1114" s="692"/>
      <c r="N1114" s="692"/>
      <c r="O1114" s="683"/>
      <c r="P1114" s="684"/>
      <c r="Q1114" s="698" t="s">
        <v>30</v>
      </c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</row>
    <row r="1115" ht="3.75" hidden="1" customHeight="1">
      <c r="A1115" s="90"/>
      <c r="B1115" s="2"/>
      <c r="C1115" s="90"/>
      <c r="D1115" s="97"/>
      <c r="E1115" s="98"/>
      <c r="F1115" s="99"/>
      <c r="G1115" s="99"/>
      <c r="H1115" s="99"/>
      <c r="I1115" s="100"/>
      <c r="J1115" s="101"/>
      <c r="K1115" s="90"/>
      <c r="L1115" s="102"/>
      <c r="M1115" s="102"/>
      <c r="N1115" s="102"/>
      <c r="O1115" s="699"/>
      <c r="P1115" s="684"/>
      <c r="Q1115" s="90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</row>
    <row r="1116" ht="15.75" hidden="1" customHeight="1">
      <c r="A1116" s="124"/>
      <c r="B1116" s="2"/>
      <c r="C1116" s="124"/>
      <c r="D1116" s="185" t="s">
        <v>6</v>
      </c>
      <c r="E1116" s="260"/>
      <c r="F1116" s="187">
        <v>1.0</v>
      </c>
      <c r="G1116" s="187">
        <v>6.0</v>
      </c>
      <c r="H1116" s="187"/>
      <c r="I1116" s="164">
        <v>190.0</v>
      </c>
      <c r="J1116" s="266">
        <v>6.5</v>
      </c>
      <c r="K1116" s="183">
        <v>8.0</v>
      </c>
      <c r="L1116" s="183"/>
      <c r="M1116" s="183"/>
      <c r="N1116" s="183"/>
      <c r="O1116" s="699">
        <f>I1116/VLOOKUP(K1116,Sheet1!$D$7:$N$16,G1116+1,FALSE)</f>
        <v>240.5063291</v>
      </c>
      <c r="P1116" s="684" t="str">
        <f t="shared" ref="P1116:P1137" si="41">I1116-#REF!</f>
        <v>#REF!</v>
      </c>
      <c r="Q1116" s="700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</row>
    <row r="1117" ht="3.75" hidden="1" customHeight="1">
      <c r="A1117" s="137"/>
      <c r="B1117" s="661"/>
      <c r="C1117" s="137"/>
      <c r="D1117" s="138"/>
      <c r="E1117" s="252"/>
      <c r="F1117" s="140"/>
      <c r="G1117" s="140"/>
      <c r="H1117" s="140"/>
      <c r="I1117" s="701"/>
      <c r="J1117" s="141"/>
      <c r="K1117" s="183"/>
      <c r="L1117" s="183"/>
      <c r="M1117" s="183"/>
      <c r="N1117" s="183"/>
      <c r="O1117" s="699" t="str">
        <f>I1117/VLOOKUP(K1117,Sheet1!$D$7:$N$16,G1117+1,FALSE)</f>
        <v>#N/A</v>
      </c>
      <c r="P1117" s="684" t="str">
        <f t="shared" si="41"/>
        <v>#REF!</v>
      </c>
      <c r="Q1117" s="702"/>
      <c r="R1117" s="148"/>
      <c r="S1117" s="148"/>
      <c r="T1117" s="148"/>
      <c r="U1117" s="148"/>
      <c r="V1117" s="148"/>
      <c r="W1117" s="148"/>
      <c r="X1117" s="148"/>
      <c r="Y1117" s="148"/>
      <c r="Z1117" s="148"/>
      <c r="AA1117" s="148"/>
      <c r="AB1117" s="148"/>
      <c r="AC1117" s="148"/>
      <c r="AD1117" s="148"/>
      <c r="AE1117" s="148"/>
      <c r="AF1117" s="148"/>
    </row>
    <row r="1118" ht="15.75" hidden="1" customHeight="1">
      <c r="A1118" s="149"/>
      <c r="B1118" s="703"/>
      <c r="C1118" s="149"/>
      <c r="D1118" s="185" t="s">
        <v>6</v>
      </c>
      <c r="E1118" s="260"/>
      <c r="F1118" s="187">
        <v>1.0</v>
      </c>
      <c r="G1118" s="187">
        <v>6.0</v>
      </c>
      <c r="H1118" s="187"/>
      <c r="I1118" s="164">
        <v>200.0</v>
      </c>
      <c r="J1118" s="266">
        <v>8.0</v>
      </c>
      <c r="K1118" s="183">
        <v>10.0</v>
      </c>
      <c r="L1118" s="183"/>
      <c r="M1118" s="183"/>
      <c r="N1118" s="183"/>
      <c r="O1118" s="699">
        <f>I1118/VLOOKUP(K1118,Sheet1!$D$7:$N$16,G1118+1,FALSE)</f>
        <v>238.0952381</v>
      </c>
      <c r="P1118" s="684" t="str">
        <f t="shared" si="41"/>
        <v>#REF!</v>
      </c>
      <c r="Q1118" s="702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</row>
    <row r="1119" ht="3.75" hidden="1" customHeight="1">
      <c r="A1119" s="152"/>
      <c r="B1119" s="705"/>
      <c r="C1119" s="153"/>
      <c r="D1119" s="138"/>
      <c r="E1119" s="263"/>
      <c r="F1119" s="194"/>
      <c r="G1119" s="194"/>
      <c r="H1119" s="194"/>
      <c r="I1119" s="164"/>
      <c r="J1119" s="267"/>
      <c r="K1119" s="183"/>
      <c r="L1119" s="183"/>
      <c r="M1119" s="183"/>
      <c r="N1119" s="183"/>
      <c r="O1119" s="699" t="str">
        <f>I1119/VLOOKUP(K1119,Sheet1!$D$7:$N$16,G1119+1,FALSE)</f>
        <v>#N/A</v>
      </c>
      <c r="P1119" s="684" t="str">
        <f t="shared" si="41"/>
        <v>#REF!</v>
      </c>
      <c r="Q1119" s="702"/>
      <c r="R1119" s="158"/>
      <c r="S1119" s="158"/>
      <c r="T1119" s="158"/>
      <c r="U1119" s="158"/>
      <c r="V1119" s="158"/>
      <c r="W1119" s="158"/>
      <c r="X1119" s="158"/>
      <c r="Y1119" s="158"/>
      <c r="Z1119" s="158"/>
      <c r="AA1119" s="158"/>
      <c r="AB1119" s="158"/>
      <c r="AC1119" s="158"/>
      <c r="AD1119" s="158"/>
      <c r="AE1119" s="158"/>
      <c r="AF1119" s="158"/>
    </row>
    <row r="1120" ht="15.75" hidden="1" customHeight="1">
      <c r="A1120" s="149"/>
      <c r="B1120" s="703"/>
      <c r="C1120" s="149"/>
      <c r="D1120" s="185" t="s">
        <v>6</v>
      </c>
      <c r="E1120" s="264"/>
      <c r="F1120" s="187">
        <v>1.0</v>
      </c>
      <c r="G1120" s="187">
        <v>6.0</v>
      </c>
      <c r="H1120" s="187"/>
      <c r="I1120" s="164">
        <v>185.0</v>
      </c>
      <c r="J1120" s="706">
        <v>-0.1</v>
      </c>
      <c r="K1120" s="183">
        <v>9.0</v>
      </c>
      <c r="L1120" s="183"/>
      <c r="M1120" s="183"/>
      <c r="N1120" s="183"/>
      <c r="O1120" s="699">
        <f>I1120/VLOOKUP(K1120,Sheet1!$D$7:$N$16,G1120+1,FALSE)</f>
        <v>226.993865</v>
      </c>
      <c r="P1120" s="684" t="str">
        <f t="shared" si="41"/>
        <v>#REF!</v>
      </c>
      <c r="Q1120" s="702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</row>
    <row r="1121" ht="3.75" hidden="1" customHeight="1">
      <c r="A1121" s="162"/>
      <c r="B1121" s="707"/>
      <c r="C1121" s="162"/>
      <c r="D1121" s="138"/>
      <c r="E1121" s="708"/>
      <c r="F1121" s="140"/>
      <c r="G1121" s="140"/>
      <c r="H1121" s="140"/>
      <c r="I1121" s="701"/>
      <c r="J1121" s="141"/>
      <c r="K1121" s="183"/>
      <c r="L1121" s="183"/>
      <c r="M1121" s="183"/>
      <c r="N1121" s="183"/>
      <c r="O1121" s="699" t="str">
        <f>I1121/VLOOKUP(K1121,Sheet1!$D$7:$N$16,G1121+1,FALSE)</f>
        <v>#N/A</v>
      </c>
      <c r="P1121" s="684" t="str">
        <f t="shared" si="41"/>
        <v>#REF!</v>
      </c>
      <c r="Q1121" s="702"/>
      <c r="R1121" s="148"/>
      <c r="S1121" s="148"/>
      <c r="T1121" s="148"/>
      <c r="U1121" s="148"/>
      <c r="V1121" s="148"/>
      <c r="W1121" s="148"/>
      <c r="X1121" s="148"/>
      <c r="Y1121" s="148"/>
      <c r="Z1121" s="148"/>
      <c r="AA1121" s="148"/>
      <c r="AB1121" s="148"/>
      <c r="AC1121" s="148"/>
      <c r="AD1121" s="148"/>
      <c r="AE1121" s="148"/>
      <c r="AF1121" s="148"/>
    </row>
    <row r="1122" ht="15.75" hidden="1" customHeight="1">
      <c r="A1122" s="149"/>
      <c r="B1122" s="703"/>
      <c r="C1122" s="149"/>
      <c r="D1122" s="185" t="s">
        <v>51</v>
      </c>
      <c r="E1122" s="264"/>
      <c r="F1122" s="187">
        <v>1.0</v>
      </c>
      <c r="G1122" s="187">
        <v>3.0</v>
      </c>
      <c r="H1122" s="187"/>
      <c r="I1122" s="164">
        <v>150.0</v>
      </c>
      <c r="J1122" s="266">
        <v>7.0</v>
      </c>
      <c r="K1122" s="183">
        <v>8.5</v>
      </c>
      <c r="L1122" s="183"/>
      <c r="M1122" s="183"/>
      <c r="N1122" s="183"/>
      <c r="O1122" s="699">
        <f>I1122/VLOOKUP(K1122,Sheet1!$D$7:$N$16,G1122+1,FALSE)</f>
        <v>170.9401709</v>
      </c>
      <c r="P1122" s="684" t="str">
        <f t="shared" si="41"/>
        <v>#REF!</v>
      </c>
      <c r="Q1122" s="702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</row>
    <row r="1123" ht="3.75" hidden="1" customHeight="1">
      <c r="A1123" s="162"/>
      <c r="B1123" s="707"/>
      <c r="C1123" s="162"/>
      <c r="D1123" s="138"/>
      <c r="E1123" s="321"/>
      <c r="F1123" s="102"/>
      <c r="G1123" s="102"/>
      <c r="H1123" s="102"/>
      <c r="I1123" s="247"/>
      <c r="J1123" s="156"/>
      <c r="K1123" s="183"/>
      <c r="L1123" s="183"/>
      <c r="M1123" s="183"/>
      <c r="N1123" s="183"/>
      <c r="O1123" s="699" t="str">
        <f>I1123/VLOOKUP(K1123,Sheet1!$D$7:$N$16,G1123+1,FALSE)</f>
        <v>#N/A</v>
      </c>
      <c r="P1123" s="684" t="str">
        <f t="shared" si="41"/>
        <v>#REF!</v>
      </c>
      <c r="Q1123" s="702"/>
      <c r="R1123" s="148"/>
      <c r="S1123" s="148"/>
      <c r="T1123" s="148"/>
      <c r="U1123" s="148"/>
      <c r="V1123" s="148"/>
      <c r="W1123" s="148"/>
      <c r="X1123" s="148"/>
      <c r="Y1123" s="148"/>
      <c r="Z1123" s="148"/>
      <c r="AA1123" s="148"/>
      <c r="AB1123" s="148"/>
      <c r="AC1123" s="148"/>
      <c r="AD1123" s="148"/>
      <c r="AE1123" s="148"/>
      <c r="AF1123" s="148"/>
    </row>
    <row r="1124" ht="15.75" hidden="1" customHeight="1">
      <c r="A1124" s="90"/>
      <c r="B1124" s="2"/>
      <c r="C1124" s="90"/>
      <c r="D1124" s="185" t="s">
        <v>51</v>
      </c>
      <c r="E1124" s="264"/>
      <c r="F1124" s="187">
        <v>3.0</v>
      </c>
      <c r="G1124" s="187">
        <v>5.0</v>
      </c>
      <c r="H1124" s="187"/>
      <c r="I1124" s="164">
        <v>135.0</v>
      </c>
      <c r="J1124" s="706">
        <v>-0.12</v>
      </c>
      <c r="K1124" s="183">
        <v>8.5</v>
      </c>
      <c r="L1124" s="183"/>
      <c r="M1124" s="183"/>
      <c r="N1124" s="183"/>
      <c r="O1124" s="699">
        <f>I1124/VLOOKUP(K1124,Sheet1!$D$7:$N$16,G1124+1,FALSE)</f>
        <v>163.141994</v>
      </c>
      <c r="P1124" s="684" t="str">
        <f t="shared" si="41"/>
        <v>#REF!</v>
      </c>
      <c r="Q1124" s="702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</row>
    <row r="1125" ht="3.75" hidden="1" customHeight="1">
      <c r="A1125" s="168"/>
      <c r="B1125" s="661"/>
      <c r="C1125" s="168"/>
      <c r="D1125" s="138"/>
      <c r="E1125" s="708"/>
      <c r="F1125" s="140"/>
      <c r="G1125" s="140"/>
      <c r="H1125" s="140"/>
      <c r="I1125" s="701"/>
      <c r="J1125" s="141"/>
      <c r="K1125" s="183"/>
      <c r="L1125" s="183"/>
      <c r="M1125" s="183"/>
      <c r="N1125" s="183"/>
      <c r="O1125" s="699" t="str">
        <f>I1125/VLOOKUP(K1125,Sheet1!$D$7:$N$16,G1125+1,FALSE)</f>
        <v>#N/A</v>
      </c>
      <c r="P1125" s="684" t="str">
        <f t="shared" si="41"/>
        <v>#REF!</v>
      </c>
      <c r="Q1125" s="702"/>
      <c r="R1125" s="148"/>
      <c r="S1125" s="148"/>
      <c r="T1125" s="148"/>
      <c r="U1125" s="148"/>
      <c r="V1125" s="148"/>
      <c r="W1125" s="148"/>
      <c r="X1125" s="148"/>
      <c r="Y1125" s="148"/>
      <c r="Z1125" s="148"/>
      <c r="AA1125" s="148"/>
      <c r="AB1125" s="148"/>
      <c r="AC1125" s="148"/>
      <c r="AD1125" s="148"/>
      <c r="AE1125" s="148"/>
      <c r="AF1125" s="148"/>
    </row>
    <row r="1126" ht="15.75" hidden="1" customHeight="1">
      <c r="A1126" s="90"/>
      <c r="B1126" s="2"/>
      <c r="C1126" s="90"/>
      <c r="D1126" s="709"/>
      <c r="E1126" s="710"/>
      <c r="F1126" s="711"/>
      <c r="G1126" s="187"/>
      <c r="H1126" s="179"/>
      <c r="I1126" s="742"/>
      <c r="J1126" s="713"/>
      <c r="K1126" s="183"/>
      <c r="L1126" s="183"/>
      <c r="M1126" s="183"/>
      <c r="N1126" s="183"/>
      <c r="O1126" s="699" t="str">
        <f>I1126/VLOOKUP(K1126,Sheet1!$D$7:$N$16,G1126+1,FALSE)</f>
        <v>#N/A</v>
      </c>
      <c r="P1126" s="684" t="str">
        <f t="shared" si="41"/>
        <v>#REF!</v>
      </c>
      <c r="Q1126" s="702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</row>
    <row r="1127" ht="3.75" hidden="1" customHeight="1">
      <c r="A1127" s="90"/>
      <c r="B1127" s="2"/>
      <c r="C1127" s="90"/>
      <c r="D1127" s="171"/>
      <c r="E1127" s="714"/>
      <c r="F1127" s="173"/>
      <c r="G1127" s="173"/>
      <c r="H1127" s="715"/>
      <c r="I1127" s="716"/>
      <c r="J1127" s="174"/>
      <c r="K1127" s="183"/>
      <c r="L1127" s="183"/>
      <c r="M1127" s="183"/>
      <c r="N1127" s="183"/>
      <c r="O1127" s="699" t="str">
        <f>I1127/VLOOKUP(K1127,Sheet1!$D$7:$N$16,G1127+1,FALSE)</f>
        <v>#N/A</v>
      </c>
      <c r="P1127" s="684" t="str">
        <f t="shared" si="41"/>
        <v>#REF!</v>
      </c>
      <c r="Q1127" s="702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</row>
    <row r="1128" ht="15.75" hidden="1" customHeight="1">
      <c r="A1128" s="90"/>
      <c r="B1128" s="2"/>
      <c r="C1128" s="90"/>
      <c r="D1128" s="260" t="s">
        <v>273</v>
      </c>
      <c r="E1128" s="266"/>
      <c r="F1128" s="187">
        <v>3.0</v>
      </c>
      <c r="G1128" s="731" t="s">
        <v>251</v>
      </c>
      <c r="H1128" s="187"/>
      <c r="I1128" s="164"/>
      <c r="J1128" s="266">
        <v>8.0</v>
      </c>
      <c r="K1128" s="183"/>
      <c r="L1128" s="183"/>
      <c r="M1128" s="183"/>
      <c r="N1128" s="183"/>
      <c r="O1128" s="699" t="str">
        <f>I1128/VLOOKUP(K1128,Sheet1!$D$7:$N$16,G1128+1,FALSE)</f>
        <v>#REF!</v>
      </c>
      <c r="P1128" s="684" t="str">
        <f t="shared" si="41"/>
        <v>#REF!</v>
      </c>
      <c r="Q1128" s="702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</row>
    <row r="1129" ht="3.75" hidden="1" customHeight="1">
      <c r="A1129" s="90"/>
      <c r="B1129" s="2"/>
      <c r="C1129" s="90"/>
      <c r="D1129" s="171"/>
      <c r="E1129" s="714"/>
      <c r="F1129" s="173"/>
      <c r="G1129" s="173"/>
      <c r="H1129" s="715"/>
      <c r="I1129" s="716"/>
      <c r="J1129" s="174"/>
      <c r="K1129" s="183"/>
      <c r="L1129" s="183"/>
      <c r="M1129" s="183"/>
      <c r="N1129" s="183"/>
      <c r="O1129" s="699" t="str">
        <f>I1129/VLOOKUP(K1129,Sheet1!$D$7:$N$16,G1129+1,FALSE)</f>
        <v>#N/A</v>
      </c>
      <c r="P1129" s="684" t="str">
        <f t="shared" si="41"/>
        <v>#REF!</v>
      </c>
      <c r="Q1129" s="702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</row>
    <row r="1130" ht="15.75" hidden="1" customHeight="1">
      <c r="A1130" s="90"/>
      <c r="B1130" s="2"/>
      <c r="C1130" s="90"/>
      <c r="D1130" s="709" t="s">
        <v>274</v>
      </c>
      <c r="E1130" s="710"/>
      <c r="F1130" s="711">
        <v>3.0</v>
      </c>
      <c r="G1130" s="731" t="s">
        <v>251</v>
      </c>
      <c r="H1130" s="179"/>
      <c r="I1130" s="717"/>
      <c r="J1130" s="713">
        <v>8.0</v>
      </c>
      <c r="K1130" s="183"/>
      <c r="L1130" s="183"/>
      <c r="M1130" s="183"/>
      <c r="N1130" s="183"/>
      <c r="O1130" s="699" t="str">
        <f>I1130/VLOOKUP(K1130,Sheet1!$D$7:$N$16,G1130+1,FALSE)</f>
        <v>#REF!</v>
      </c>
      <c r="P1130" s="684" t="str">
        <f t="shared" si="41"/>
        <v>#REF!</v>
      </c>
      <c r="Q1130" s="702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</row>
    <row r="1131" ht="3.75" hidden="1" customHeight="1">
      <c r="A1131" s="90"/>
      <c r="B1131" s="2"/>
      <c r="C1131" s="90"/>
      <c r="D1131" s="138"/>
      <c r="E1131" s="252"/>
      <c r="F1131" s="102"/>
      <c r="G1131" s="102"/>
      <c r="H1131" s="102"/>
      <c r="I1131" s="247"/>
      <c r="J1131" s="156"/>
      <c r="K1131" s="183"/>
      <c r="L1131" s="183"/>
      <c r="M1131" s="183"/>
      <c r="N1131" s="183"/>
      <c r="O1131" s="699" t="str">
        <f>I1131/VLOOKUP(K1131,Sheet1!$D$7:$N$16,G1131+1,FALSE)</f>
        <v>#N/A</v>
      </c>
      <c r="P1131" s="684" t="str">
        <f t="shared" si="41"/>
        <v>#REF!</v>
      </c>
      <c r="Q1131" s="702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</row>
    <row r="1132" ht="15.75" hidden="1" customHeight="1">
      <c r="A1132" s="90"/>
      <c r="B1132" s="2"/>
      <c r="C1132" s="90"/>
      <c r="D1132" s="185"/>
      <c r="E1132" s="266"/>
      <c r="F1132" s="187"/>
      <c r="G1132" s="718"/>
      <c r="H1132" s="187"/>
      <c r="I1132" s="164"/>
      <c r="J1132" s="266"/>
      <c r="K1132" s="183"/>
      <c r="L1132" s="183"/>
      <c r="M1132" s="183"/>
      <c r="N1132" s="183"/>
      <c r="O1132" s="699" t="str">
        <f>I1132/VLOOKUP(K1132,Sheet1!$D$7:$N$16,G1132+1,FALSE)</f>
        <v>#N/A</v>
      </c>
      <c r="P1132" s="684" t="str">
        <f t="shared" si="41"/>
        <v>#REF!</v>
      </c>
      <c r="Q1132" s="702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</row>
    <row r="1133" ht="3.75" hidden="1" customHeight="1">
      <c r="A1133" s="191"/>
      <c r="B1133" s="719"/>
      <c r="C1133" s="192"/>
      <c r="D1133" s="138"/>
      <c r="E1133" s="267"/>
      <c r="F1133" s="194"/>
      <c r="G1133" s="194"/>
      <c r="H1133" s="194"/>
      <c r="I1133" s="164"/>
      <c r="J1133" s="267"/>
      <c r="K1133" s="183"/>
      <c r="L1133" s="183"/>
      <c r="M1133" s="183"/>
      <c r="N1133" s="183"/>
      <c r="O1133" s="699" t="str">
        <f>I1133/VLOOKUP(K1133,Sheet1!$D$7:$N$16,G1133+1,FALSE)</f>
        <v>#N/A</v>
      </c>
      <c r="P1133" s="684" t="str">
        <f t="shared" si="41"/>
        <v>#REF!</v>
      </c>
      <c r="Q1133" s="702"/>
      <c r="R1133" s="158"/>
      <c r="S1133" s="158"/>
      <c r="T1133" s="158"/>
      <c r="U1133" s="158"/>
      <c r="V1133" s="158"/>
      <c r="W1133" s="158"/>
      <c r="X1133" s="158"/>
      <c r="Y1133" s="158"/>
      <c r="Z1133" s="158"/>
      <c r="AA1133" s="158"/>
      <c r="AB1133" s="158"/>
      <c r="AC1133" s="158"/>
      <c r="AD1133" s="158"/>
      <c r="AE1133" s="158"/>
      <c r="AF1133" s="158"/>
    </row>
    <row r="1134" ht="15.75" hidden="1" customHeight="1">
      <c r="A1134" s="90"/>
      <c r="B1134" s="2"/>
      <c r="C1134" s="90"/>
      <c r="D1134" s="185"/>
      <c r="E1134" s="266"/>
      <c r="F1134" s="187"/>
      <c r="G1134" s="187"/>
      <c r="H1134" s="187"/>
      <c r="I1134" s="164"/>
      <c r="J1134" s="266"/>
      <c r="K1134" s="183"/>
      <c r="L1134" s="183"/>
      <c r="M1134" s="183"/>
      <c r="N1134" s="183"/>
      <c r="O1134" s="699" t="str">
        <f>I1134/VLOOKUP(K1134,Sheet1!$D$7:$N$16,G1134+1,FALSE)</f>
        <v>#N/A</v>
      </c>
      <c r="P1134" s="684" t="str">
        <f t="shared" si="41"/>
        <v>#REF!</v>
      </c>
      <c r="Q1134" s="702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</row>
    <row r="1135" ht="3.75" hidden="1" customHeight="1">
      <c r="A1135" s="90"/>
      <c r="B1135" s="2"/>
      <c r="C1135" s="90"/>
      <c r="D1135" s="138"/>
      <c r="E1135" s="252"/>
      <c r="F1135" s="102"/>
      <c r="G1135" s="102"/>
      <c r="H1135" s="102"/>
      <c r="I1135" s="247"/>
      <c r="J1135" s="156"/>
      <c r="K1135" s="183"/>
      <c r="L1135" s="183"/>
      <c r="M1135" s="183"/>
      <c r="N1135" s="183"/>
      <c r="O1135" s="699" t="str">
        <f>I1135/VLOOKUP(K1135,Sheet1!$D$7:$N$16,G1135+1,FALSE)</f>
        <v>#N/A</v>
      </c>
      <c r="P1135" s="684" t="str">
        <f t="shared" si="41"/>
        <v>#REF!</v>
      </c>
      <c r="Q1135" s="702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</row>
    <row r="1136" ht="15.75" hidden="1" customHeight="1">
      <c r="A1136" s="90"/>
      <c r="B1136" s="2"/>
      <c r="C1136" s="90"/>
      <c r="D1136" s="185"/>
      <c r="E1136" s="266"/>
      <c r="F1136" s="187"/>
      <c r="G1136" s="187"/>
      <c r="H1136" s="187"/>
      <c r="I1136" s="164"/>
      <c r="J1136" s="266"/>
      <c r="K1136" s="183"/>
      <c r="L1136" s="183"/>
      <c r="M1136" s="183"/>
      <c r="N1136" s="183"/>
      <c r="O1136" s="699" t="str">
        <f>I1136/VLOOKUP(K1136,Sheet1!$D$7:$N$16,G1136+1,FALSE)</f>
        <v>#N/A</v>
      </c>
      <c r="P1136" s="684" t="str">
        <f t="shared" si="41"/>
        <v>#REF!</v>
      </c>
      <c r="Q1136" s="697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</row>
    <row r="1137" ht="3.75" hidden="1" customHeight="1">
      <c r="A1137" s="90"/>
      <c r="B1137" s="2"/>
      <c r="C1137" s="90"/>
      <c r="D1137" s="90"/>
      <c r="E1137" s="156"/>
      <c r="F1137" s="102"/>
      <c r="G1137" s="102"/>
      <c r="H1137" s="102"/>
      <c r="I1137" s="102"/>
      <c r="J1137" s="156"/>
      <c r="K1137" s="720"/>
      <c r="L1137" s="201"/>
      <c r="M1137" s="201"/>
      <c r="N1137" s="201"/>
      <c r="O1137" s="699" t="str">
        <f>I1137/VLOOKUP(K1137,Sheet1!$D$7:$N$16,G1137+1,FALSE)</f>
        <v>#N/A</v>
      </c>
      <c r="P1137" s="684" t="str">
        <f t="shared" si="41"/>
        <v>#REF!</v>
      </c>
      <c r="Q1137" s="720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</row>
    <row r="1138" ht="30.0" hidden="1" customHeight="1">
      <c r="A1138" s="90"/>
      <c r="B1138" s="2"/>
      <c r="C1138" s="90"/>
      <c r="D1138" s="686" t="s">
        <v>246</v>
      </c>
      <c r="E1138" s="687" t="s">
        <v>15</v>
      </c>
      <c r="F1138" s="721" t="s">
        <v>16</v>
      </c>
      <c r="G1138" s="722" t="s">
        <v>17</v>
      </c>
      <c r="H1138" s="723"/>
      <c r="I1138" s="724"/>
      <c r="J1138" s="725" t="s">
        <v>241</v>
      </c>
      <c r="K1138" s="691"/>
      <c r="L1138" s="692"/>
      <c r="M1138" s="692"/>
      <c r="N1138" s="692"/>
      <c r="O1138" s="699"/>
      <c r="P1138" s="684"/>
      <c r="Q1138" s="693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</row>
    <row r="1139" ht="14.25" hidden="1" customHeight="1">
      <c r="A1139" s="90"/>
      <c r="B1139" s="2"/>
      <c r="C1139" s="90"/>
      <c r="D1139" s="257" t="s">
        <v>25</v>
      </c>
      <c r="E1139" s="257" t="s">
        <v>26</v>
      </c>
      <c r="F1139" s="680"/>
      <c r="G1139" s="681"/>
      <c r="H1139" s="723"/>
      <c r="I1139" s="681"/>
      <c r="J1139" s="725" t="s">
        <v>244</v>
      </c>
      <c r="K1139" s="697"/>
      <c r="L1139" s="692"/>
      <c r="M1139" s="692"/>
      <c r="N1139" s="692"/>
      <c r="O1139" s="699"/>
      <c r="P1139" s="684"/>
      <c r="Q1139" s="698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</row>
    <row r="1140" ht="3.75" hidden="1" customHeight="1">
      <c r="A1140" s="191"/>
      <c r="B1140" s="719"/>
      <c r="C1140" s="192"/>
      <c r="D1140" s="203"/>
      <c r="E1140" s="203"/>
      <c r="F1140" s="726"/>
      <c r="G1140" s="726"/>
      <c r="H1140" s="726"/>
      <c r="I1140" s="727"/>
      <c r="J1140" s="728"/>
      <c r="K1140" s="192"/>
      <c r="L1140" s="194"/>
      <c r="M1140" s="194"/>
      <c r="N1140" s="194"/>
      <c r="O1140" s="699"/>
      <c r="P1140" s="684" t="str">
        <f t="shared" ref="P1140:P1162" si="42">I1140-#REF!</f>
        <v>#REF!</v>
      </c>
      <c r="Q1140" s="192"/>
      <c r="R1140" s="158"/>
      <c r="S1140" s="158"/>
      <c r="T1140" s="158"/>
      <c r="U1140" s="158"/>
      <c r="V1140" s="158"/>
      <c r="W1140" s="158"/>
      <c r="X1140" s="158"/>
      <c r="Y1140" s="158"/>
      <c r="Z1140" s="158"/>
      <c r="AA1140" s="158"/>
      <c r="AB1140" s="158"/>
      <c r="AC1140" s="158"/>
      <c r="AD1140" s="158"/>
      <c r="AE1140" s="158"/>
      <c r="AF1140" s="158"/>
    </row>
    <row r="1141" ht="15.75" hidden="1" customHeight="1">
      <c r="A1141" s="124"/>
      <c r="B1141" s="2"/>
      <c r="C1141" s="124"/>
      <c r="D1141" s="185" t="s">
        <v>248</v>
      </c>
      <c r="E1141" s="743"/>
      <c r="F1141" s="187">
        <v>1.0</v>
      </c>
      <c r="G1141" s="187">
        <v>6.0</v>
      </c>
      <c r="H1141" s="187"/>
      <c r="I1141" s="164">
        <v>220.0</v>
      </c>
      <c r="J1141" s="266">
        <v>6.0</v>
      </c>
      <c r="K1141" s="183">
        <v>7.5</v>
      </c>
      <c r="L1141" s="183"/>
      <c r="M1141" s="183"/>
      <c r="N1141" s="183"/>
      <c r="O1141" s="699">
        <f>I1141/VLOOKUP(K1141,Sheet1!$D$7:$N$16,G1141+1,FALSE)</f>
        <v>282.9581994</v>
      </c>
      <c r="P1141" s="684" t="str">
        <f t="shared" si="42"/>
        <v>#REF!</v>
      </c>
      <c r="Q1141" s="730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</row>
    <row r="1142" ht="3.75" hidden="1" customHeight="1">
      <c r="A1142" s="124"/>
      <c r="B1142" s="2"/>
      <c r="C1142" s="124"/>
      <c r="D1142" s="138"/>
      <c r="E1142" s="321"/>
      <c r="F1142" s="102"/>
      <c r="G1142" s="102"/>
      <c r="H1142" s="102"/>
      <c r="I1142" s="247"/>
      <c r="J1142" s="267"/>
      <c r="K1142" s="183"/>
      <c r="L1142" s="183"/>
      <c r="M1142" s="183"/>
      <c r="N1142" s="183"/>
      <c r="O1142" s="699" t="str">
        <f>I1142/VLOOKUP(K1142,Sheet1!$D$7:$N$16,G1142+1,FALSE)</f>
        <v>#N/A</v>
      </c>
      <c r="P1142" s="684" t="str">
        <f t="shared" si="42"/>
        <v>#REF!</v>
      </c>
      <c r="Q1142" s="702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</row>
    <row r="1143" ht="15.75" hidden="1" customHeight="1">
      <c r="A1143" s="90"/>
      <c r="B1143" s="2"/>
      <c r="C1143" s="90"/>
      <c r="D1143" s="185" t="s">
        <v>291</v>
      </c>
      <c r="E1143" s="264"/>
      <c r="F1143" s="187">
        <v>2.0</v>
      </c>
      <c r="G1143" s="187">
        <v>1.0</v>
      </c>
      <c r="H1143" s="187"/>
      <c r="I1143" s="164">
        <v>220.0</v>
      </c>
      <c r="J1143" s="266" t="s">
        <v>78</v>
      </c>
      <c r="K1143" s="183">
        <v>5.0</v>
      </c>
      <c r="L1143" s="183"/>
      <c r="M1143" s="183"/>
      <c r="N1143" s="183"/>
      <c r="O1143" s="699" t="str">
        <f>I1143/VLOOKUP(K1143,Sheet1!$D$7:$N$16,G1143+1,FALSE)</f>
        <v>#N/A</v>
      </c>
      <c r="P1143" s="684" t="str">
        <f t="shared" si="42"/>
        <v>#REF!</v>
      </c>
      <c r="Q1143" s="702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</row>
    <row r="1144" ht="3.75" hidden="1" customHeight="1">
      <c r="A1144" s="90"/>
      <c r="B1144" s="2"/>
      <c r="C1144" s="90"/>
      <c r="D1144" s="138"/>
      <c r="E1144" s="321"/>
      <c r="F1144" s="102"/>
      <c r="G1144" s="102"/>
      <c r="H1144" s="102"/>
      <c r="I1144" s="247"/>
      <c r="J1144" s="267"/>
      <c r="K1144" s="183"/>
      <c r="L1144" s="183"/>
      <c r="M1144" s="183"/>
      <c r="N1144" s="183"/>
      <c r="O1144" s="699" t="str">
        <f>I1144/VLOOKUP(K1144,Sheet1!$D$7:$N$16,G1144+1,FALSE)</f>
        <v>#N/A</v>
      </c>
      <c r="P1144" s="684" t="str">
        <f t="shared" si="42"/>
        <v>#REF!</v>
      </c>
      <c r="Q1144" s="702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</row>
    <row r="1145" ht="15.75" hidden="1" customHeight="1">
      <c r="A1145" s="90"/>
      <c r="B1145" s="2"/>
      <c r="C1145" s="90"/>
      <c r="D1145" s="185" t="s">
        <v>248</v>
      </c>
      <c r="E1145" s="264"/>
      <c r="F1145" s="187">
        <v>2.0</v>
      </c>
      <c r="G1145" s="187">
        <v>6.0</v>
      </c>
      <c r="H1145" s="187"/>
      <c r="I1145" s="164">
        <v>200.0</v>
      </c>
      <c r="J1145" s="706">
        <v>-0.12</v>
      </c>
      <c r="K1145" s="183">
        <v>6.0</v>
      </c>
      <c r="L1145" s="183"/>
      <c r="M1145" s="183"/>
      <c r="N1145" s="183"/>
      <c r="O1145" s="699">
        <f>I1145/VLOOKUP(K1145,Sheet1!$D$7:$N$16,G1145+1,FALSE)</f>
        <v>270.2702703</v>
      </c>
      <c r="P1145" s="684" t="str">
        <f t="shared" si="42"/>
        <v>#REF!</v>
      </c>
      <c r="Q1145" s="702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</row>
    <row r="1146" ht="3.75" hidden="1" customHeight="1">
      <c r="A1146" s="90"/>
      <c r="B1146" s="2"/>
      <c r="C1146" s="90"/>
      <c r="D1146" s="138"/>
      <c r="E1146" s="321"/>
      <c r="F1146" s="102"/>
      <c r="G1146" s="102"/>
      <c r="H1146" s="102"/>
      <c r="I1146" s="247"/>
      <c r="J1146" s="156"/>
      <c r="K1146" s="183"/>
      <c r="L1146" s="183"/>
      <c r="M1146" s="183"/>
      <c r="N1146" s="183"/>
      <c r="O1146" s="699" t="str">
        <f>I1146/VLOOKUP(K1146,Sheet1!$D$7:$N$16,G1146+1,FALSE)</f>
        <v>#N/A</v>
      </c>
      <c r="P1146" s="684" t="str">
        <f t="shared" si="42"/>
        <v>#REF!</v>
      </c>
      <c r="Q1146" s="702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</row>
    <row r="1147" ht="15.75" hidden="1" customHeight="1">
      <c r="A1147" s="90"/>
      <c r="B1147" s="2"/>
      <c r="C1147" s="90"/>
      <c r="D1147" s="185"/>
      <c r="E1147" s="260"/>
      <c r="F1147" s="187"/>
      <c r="G1147" s="187"/>
      <c r="H1147" s="187"/>
      <c r="I1147" s="164"/>
      <c r="J1147" s="266"/>
      <c r="K1147" s="183"/>
      <c r="L1147" s="183"/>
      <c r="M1147" s="183"/>
      <c r="N1147" s="183"/>
      <c r="O1147" s="699" t="str">
        <f>I1147/VLOOKUP(K1147,Sheet1!$D$7:$N$16,G1147+1,FALSE)</f>
        <v>#N/A</v>
      </c>
      <c r="P1147" s="684" t="str">
        <f t="shared" si="42"/>
        <v>#REF!</v>
      </c>
      <c r="Q1147" s="702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</row>
    <row r="1148" ht="3.75" hidden="1" customHeight="1">
      <c r="A1148" s="90"/>
      <c r="B1148" s="2"/>
      <c r="C1148" s="90"/>
      <c r="D1148" s="138"/>
      <c r="E1148" s="321"/>
      <c r="F1148" s="102"/>
      <c r="G1148" s="102"/>
      <c r="H1148" s="102"/>
      <c r="I1148" s="247"/>
      <c r="J1148" s="267"/>
      <c r="K1148" s="183"/>
      <c r="L1148" s="183"/>
      <c r="M1148" s="183"/>
      <c r="N1148" s="183"/>
      <c r="O1148" s="699" t="str">
        <f>I1148/VLOOKUP(K1148,Sheet1!$D$7:$N$16,G1148+1,FALSE)</f>
        <v>#N/A</v>
      </c>
      <c r="P1148" s="684" t="str">
        <f t="shared" si="42"/>
        <v>#REF!</v>
      </c>
      <c r="Q1148" s="702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</row>
    <row r="1149" ht="15.75" hidden="1" customHeight="1">
      <c r="A1149" s="90"/>
      <c r="B1149" s="2"/>
      <c r="C1149" s="90"/>
      <c r="D1149" s="185"/>
      <c r="E1149" s="260"/>
      <c r="F1149" s="187"/>
      <c r="G1149" s="187"/>
      <c r="H1149" s="187"/>
      <c r="I1149" s="164"/>
      <c r="J1149" s="266"/>
      <c r="K1149" s="183"/>
      <c r="L1149" s="183"/>
      <c r="M1149" s="183"/>
      <c r="N1149" s="183"/>
      <c r="O1149" s="699" t="str">
        <f>I1149/VLOOKUP(K1149,Sheet1!$D$7:$N$16,G1149+1,FALSE)</f>
        <v>#N/A</v>
      </c>
      <c r="P1149" s="684" t="str">
        <f t="shared" si="42"/>
        <v>#REF!</v>
      </c>
      <c r="Q1149" s="702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</row>
    <row r="1150" ht="3.75" hidden="1" customHeight="1">
      <c r="A1150" s="90"/>
      <c r="B1150" s="2"/>
      <c r="C1150" s="90"/>
      <c r="D1150" s="138"/>
      <c r="E1150" s="321"/>
      <c r="F1150" s="102"/>
      <c r="G1150" s="102"/>
      <c r="H1150" s="102"/>
      <c r="I1150" s="247"/>
      <c r="J1150" s="267"/>
      <c r="K1150" s="183"/>
      <c r="L1150" s="183"/>
      <c r="M1150" s="183"/>
      <c r="N1150" s="183"/>
      <c r="O1150" s="699" t="str">
        <f>I1150/VLOOKUP(K1150,Sheet1!$D$7:$N$16,G1150+1,FALSE)</f>
        <v>#N/A</v>
      </c>
      <c r="P1150" s="684" t="str">
        <f t="shared" si="42"/>
        <v>#REF!</v>
      </c>
      <c r="Q1150" s="702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</row>
    <row r="1151" ht="15.75" hidden="1" customHeight="1">
      <c r="A1151" s="90"/>
      <c r="B1151" s="2"/>
      <c r="C1151" s="90"/>
      <c r="D1151" s="185"/>
      <c r="E1151" s="260"/>
      <c r="F1151" s="187"/>
      <c r="G1151" s="187"/>
      <c r="H1151" s="187"/>
      <c r="I1151" s="164"/>
      <c r="J1151" s="266"/>
      <c r="K1151" s="183"/>
      <c r="L1151" s="183"/>
      <c r="M1151" s="183"/>
      <c r="N1151" s="183"/>
      <c r="O1151" s="699" t="str">
        <f>I1151/VLOOKUP(K1151,Sheet1!$D$7:$N$16,G1151+1,FALSE)</f>
        <v>#N/A</v>
      </c>
      <c r="P1151" s="684" t="str">
        <f t="shared" si="42"/>
        <v>#REF!</v>
      </c>
      <c r="Q1151" s="702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</row>
    <row r="1152" ht="3.75" hidden="1" customHeight="1">
      <c r="A1152" s="90"/>
      <c r="B1152" s="2"/>
      <c r="C1152" s="90"/>
      <c r="D1152" s="138"/>
      <c r="E1152" s="321"/>
      <c r="F1152" s="102"/>
      <c r="G1152" s="102"/>
      <c r="H1152" s="102"/>
      <c r="I1152" s="247"/>
      <c r="J1152" s="267"/>
      <c r="K1152" s="183"/>
      <c r="L1152" s="183"/>
      <c r="M1152" s="183"/>
      <c r="N1152" s="183"/>
      <c r="O1152" s="699" t="str">
        <f>I1152/VLOOKUP(K1152,Sheet1!$D$7:$N$16,G1152+1,FALSE)</f>
        <v>#N/A</v>
      </c>
      <c r="P1152" s="684" t="str">
        <f t="shared" si="42"/>
        <v>#REF!</v>
      </c>
      <c r="Q1152" s="702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</row>
    <row r="1153" ht="20.25" hidden="1" customHeight="1">
      <c r="A1153" s="90"/>
      <c r="B1153" s="2"/>
      <c r="C1153" s="90"/>
      <c r="D1153" s="185" t="s">
        <v>293</v>
      </c>
      <c r="E1153" s="264"/>
      <c r="F1153" s="187">
        <v>4.0</v>
      </c>
      <c r="G1153" s="731" t="s">
        <v>251</v>
      </c>
      <c r="H1153" s="187"/>
      <c r="I1153" s="164"/>
      <c r="J1153" s="266">
        <v>9.0</v>
      </c>
      <c r="K1153" s="183">
        <v>9.0</v>
      </c>
      <c r="L1153" s="183"/>
      <c r="M1153" s="183"/>
      <c r="N1153" s="183"/>
      <c r="O1153" s="699" t="str">
        <f>I1153/VLOOKUP(K1153,Sheet1!$D$7:$N$16,G1153+1,FALSE)</f>
        <v>#REF!</v>
      </c>
      <c r="P1153" s="684" t="str">
        <f t="shared" si="42"/>
        <v>#REF!</v>
      </c>
      <c r="Q1153" s="702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</row>
    <row r="1154" ht="3.75" hidden="1" customHeight="1">
      <c r="A1154" s="191"/>
      <c r="B1154" s="719"/>
      <c r="C1154" s="192"/>
      <c r="D1154" s="138"/>
      <c r="E1154" s="263"/>
      <c r="F1154" s="194"/>
      <c r="G1154" s="194"/>
      <c r="H1154" s="194"/>
      <c r="I1154" s="164"/>
      <c r="J1154" s="267"/>
      <c r="K1154" s="183"/>
      <c r="L1154" s="183"/>
      <c r="M1154" s="183"/>
      <c r="N1154" s="183"/>
      <c r="O1154" s="699" t="str">
        <f>I1154/VLOOKUP(K1154,Sheet1!$D$7:$N$16,G1154+1,FALSE)</f>
        <v>#N/A</v>
      </c>
      <c r="P1154" s="684" t="str">
        <f t="shared" si="42"/>
        <v>#REF!</v>
      </c>
      <c r="Q1154" s="702"/>
      <c r="R1154" s="158"/>
      <c r="S1154" s="158"/>
      <c r="T1154" s="158"/>
      <c r="U1154" s="158"/>
      <c r="V1154" s="158"/>
      <c r="W1154" s="158"/>
      <c r="X1154" s="158"/>
      <c r="Y1154" s="158"/>
      <c r="Z1154" s="158"/>
      <c r="AA1154" s="158"/>
      <c r="AB1154" s="158"/>
      <c r="AC1154" s="158"/>
      <c r="AD1154" s="158"/>
      <c r="AE1154" s="158"/>
      <c r="AF1154" s="158"/>
    </row>
    <row r="1155" ht="15.75" hidden="1" customHeight="1">
      <c r="A1155" s="90"/>
      <c r="B1155" s="2"/>
      <c r="C1155" s="90"/>
      <c r="D1155" s="185" t="s">
        <v>254</v>
      </c>
      <c r="E1155" s="266"/>
      <c r="F1155" s="187">
        <v>3.0</v>
      </c>
      <c r="G1155" s="731" t="s">
        <v>251</v>
      </c>
      <c r="H1155" s="187"/>
      <c r="I1155" s="164"/>
      <c r="J1155" s="266">
        <v>9.0</v>
      </c>
      <c r="K1155" s="183">
        <v>9.0</v>
      </c>
      <c r="L1155" s="183"/>
      <c r="M1155" s="183"/>
      <c r="N1155" s="183"/>
      <c r="O1155" s="699" t="str">
        <f>I1155/VLOOKUP(K1155,Sheet1!$D$7:$N$16,G1155+1,FALSE)</f>
        <v>#REF!</v>
      </c>
      <c r="P1155" s="684" t="str">
        <f t="shared" si="42"/>
        <v>#REF!</v>
      </c>
      <c r="Q1155" s="702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</row>
    <row r="1156" ht="3.75" hidden="1" customHeight="1">
      <c r="A1156" s="90"/>
      <c r="B1156" s="2"/>
      <c r="C1156" s="90"/>
      <c r="D1156" s="138"/>
      <c r="E1156" s="252"/>
      <c r="F1156" s="102"/>
      <c r="G1156" s="102"/>
      <c r="H1156" s="102"/>
      <c r="I1156" s="247"/>
      <c r="J1156" s="156"/>
      <c r="K1156" s="183"/>
      <c r="L1156" s="183"/>
      <c r="M1156" s="183"/>
      <c r="N1156" s="183"/>
      <c r="O1156" s="699" t="str">
        <f>I1156/VLOOKUP(K1156,Sheet1!$D$7:$N$16,G1156+1,FALSE)</f>
        <v>#N/A</v>
      </c>
      <c r="P1156" s="684" t="str">
        <f t="shared" si="42"/>
        <v>#REF!</v>
      </c>
      <c r="Q1156" s="702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</row>
    <row r="1157" ht="15.75" hidden="1" customHeight="1">
      <c r="A1157" s="90"/>
      <c r="B1157" s="2"/>
      <c r="C1157" s="90"/>
      <c r="D1157" s="185" t="s">
        <v>255</v>
      </c>
      <c r="E1157" s="260"/>
      <c r="F1157" s="187">
        <v>3.0</v>
      </c>
      <c r="G1157" s="731" t="s">
        <v>251</v>
      </c>
      <c r="H1157" s="187"/>
      <c r="I1157" s="164"/>
      <c r="J1157" s="266">
        <v>9.0</v>
      </c>
      <c r="K1157" s="183">
        <v>9.0</v>
      </c>
      <c r="L1157" s="183"/>
      <c r="M1157" s="183"/>
      <c r="N1157" s="183"/>
      <c r="O1157" s="699" t="str">
        <f>I1157/VLOOKUP(K1157,Sheet1!$D$7:$N$16,G1157+1,FALSE)</f>
        <v>#REF!</v>
      </c>
      <c r="P1157" s="684" t="str">
        <f t="shared" si="42"/>
        <v>#REF!</v>
      </c>
      <c r="Q1157" s="702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</row>
    <row r="1158" ht="3.75" hidden="1" customHeight="1">
      <c r="A1158" s="191"/>
      <c r="B1158" s="719"/>
      <c r="C1158" s="192"/>
      <c r="D1158" s="138"/>
      <c r="E1158" s="267"/>
      <c r="F1158" s="194"/>
      <c r="G1158" s="194"/>
      <c r="H1158" s="194"/>
      <c r="I1158" s="164"/>
      <c r="J1158" s="267"/>
      <c r="K1158" s="183"/>
      <c r="L1158" s="183"/>
      <c r="M1158" s="183"/>
      <c r="N1158" s="183"/>
      <c r="O1158" s="699" t="str">
        <f>I1158/VLOOKUP(K1158,Sheet1!$D$7:$N$16,G1158+1,FALSE)</f>
        <v>#N/A</v>
      </c>
      <c r="P1158" s="684" t="str">
        <f t="shared" si="42"/>
        <v>#REF!</v>
      </c>
      <c r="Q1158" s="702"/>
      <c r="R1158" s="158"/>
      <c r="S1158" s="158"/>
      <c r="T1158" s="158"/>
      <c r="U1158" s="158"/>
      <c r="V1158" s="158"/>
      <c r="W1158" s="158"/>
      <c r="X1158" s="158"/>
      <c r="Y1158" s="158"/>
      <c r="Z1158" s="158"/>
      <c r="AA1158" s="158"/>
      <c r="AB1158" s="158"/>
      <c r="AC1158" s="158"/>
      <c r="AD1158" s="158"/>
      <c r="AE1158" s="158"/>
      <c r="AF1158" s="158"/>
    </row>
    <row r="1159" ht="15.75" hidden="1" customHeight="1">
      <c r="A1159" s="90"/>
      <c r="B1159" s="2"/>
      <c r="C1159" s="90"/>
      <c r="D1159" s="185" t="s">
        <v>256</v>
      </c>
      <c r="E1159" s="266"/>
      <c r="F1159" s="187">
        <v>3.0</v>
      </c>
      <c r="G1159" s="187" t="s">
        <v>16</v>
      </c>
      <c r="H1159" s="187"/>
      <c r="I1159" s="164"/>
      <c r="J1159" s="266">
        <v>9.0</v>
      </c>
      <c r="K1159" s="183"/>
      <c r="L1159" s="183"/>
      <c r="M1159" s="183"/>
      <c r="N1159" s="183"/>
      <c r="O1159" s="699" t="str">
        <f>I1159/VLOOKUP(K1159,Sheet1!$D$7:$N$16,G1159+1,FALSE)</f>
        <v>#VALUE!</v>
      </c>
      <c r="P1159" s="684" t="str">
        <f t="shared" si="42"/>
        <v>#REF!</v>
      </c>
      <c r="Q1159" s="702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</row>
    <row r="1160" ht="3.75" hidden="1" customHeight="1">
      <c r="A1160" s="90"/>
      <c r="B1160" s="2"/>
      <c r="C1160" s="90"/>
      <c r="D1160" s="138"/>
      <c r="E1160" s="252"/>
      <c r="F1160" s="102"/>
      <c r="G1160" s="102"/>
      <c r="H1160" s="102"/>
      <c r="I1160" s="247"/>
      <c r="J1160" s="156"/>
      <c r="K1160" s="183"/>
      <c r="L1160" s="183"/>
      <c r="M1160" s="183"/>
      <c r="N1160" s="183"/>
      <c r="O1160" s="699" t="str">
        <f>I1160/VLOOKUP(K1160,Sheet1!$D$7:$N$16,G1160+1,FALSE)</f>
        <v>#N/A</v>
      </c>
      <c r="P1160" s="684" t="str">
        <f t="shared" si="42"/>
        <v>#REF!</v>
      </c>
      <c r="Q1160" s="702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</row>
    <row r="1161" ht="15.75" hidden="1" customHeight="1">
      <c r="A1161" s="90"/>
      <c r="B1161" s="2"/>
      <c r="C1161" s="90"/>
      <c r="D1161" s="185"/>
      <c r="E1161" s="266"/>
      <c r="F1161" s="187"/>
      <c r="G1161" s="187"/>
      <c r="H1161" s="187"/>
      <c r="I1161" s="164"/>
      <c r="J1161" s="266"/>
      <c r="K1161" s="183"/>
      <c r="L1161" s="183"/>
      <c r="M1161" s="183"/>
      <c r="N1161" s="183"/>
      <c r="O1161" s="699" t="str">
        <f>I1161/VLOOKUP(K1161,Sheet1!$D$7:$N$16,G1161+1,FALSE)</f>
        <v>#N/A</v>
      </c>
      <c r="P1161" s="684" t="str">
        <f t="shared" si="42"/>
        <v>#REF!</v>
      </c>
      <c r="Q1161" s="697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</row>
    <row r="1162" ht="3.75" hidden="1" customHeight="1">
      <c r="A1162" s="90"/>
      <c r="B1162" s="2"/>
      <c r="C1162" s="90"/>
      <c r="D1162" s="90"/>
      <c r="E1162" s="156"/>
      <c r="F1162" s="102"/>
      <c r="G1162" s="102"/>
      <c r="H1162" s="102"/>
      <c r="I1162" s="102"/>
      <c r="J1162" s="156"/>
      <c r="K1162" s="720"/>
      <c r="L1162" s="201"/>
      <c r="M1162" s="201"/>
      <c r="N1162" s="201"/>
      <c r="O1162" s="699" t="str">
        <f>I1162/VLOOKUP(K1162,Sheet1!$D$7:$N$16,G1162+1,FALSE)</f>
        <v>#N/A</v>
      </c>
      <c r="P1162" s="684" t="str">
        <f t="shared" si="42"/>
        <v>#REF!</v>
      </c>
      <c r="Q1162" s="720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</row>
    <row r="1163" ht="30.75" hidden="1" customHeight="1">
      <c r="A1163" s="90"/>
      <c r="B1163" s="2"/>
      <c r="C1163" s="90"/>
      <c r="D1163" s="686" t="s">
        <v>257</v>
      </c>
      <c r="E1163" s="687" t="s">
        <v>15</v>
      </c>
      <c r="F1163" s="721" t="s">
        <v>16</v>
      </c>
      <c r="G1163" s="722" t="s">
        <v>17</v>
      </c>
      <c r="H1163" s="723"/>
      <c r="I1163" s="724"/>
      <c r="J1163" s="725" t="s">
        <v>241</v>
      </c>
      <c r="K1163" s="691"/>
      <c r="L1163" s="692"/>
      <c r="M1163" s="692"/>
      <c r="N1163" s="692"/>
      <c r="O1163" s="699"/>
      <c r="P1163" s="684"/>
      <c r="Q1163" s="693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</row>
    <row r="1164" ht="14.25" hidden="1" customHeight="1">
      <c r="A1164" s="90"/>
      <c r="B1164" s="2"/>
      <c r="C1164" s="90"/>
      <c r="D1164" s="257" t="s">
        <v>25</v>
      </c>
      <c r="E1164" s="257" t="s">
        <v>26</v>
      </c>
      <c r="F1164" s="680"/>
      <c r="G1164" s="681"/>
      <c r="H1164" s="723"/>
      <c r="I1164" s="681"/>
      <c r="J1164" s="725" t="s">
        <v>244</v>
      </c>
      <c r="K1164" s="697"/>
      <c r="L1164" s="692"/>
      <c r="M1164" s="692"/>
      <c r="N1164" s="692"/>
      <c r="O1164" s="699"/>
      <c r="P1164" s="684"/>
      <c r="Q1164" s="698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</row>
    <row r="1165" ht="3.75" hidden="1" customHeight="1">
      <c r="A1165" s="191"/>
      <c r="B1165" s="719"/>
      <c r="C1165" s="192"/>
      <c r="D1165" s="203"/>
      <c r="E1165" s="203"/>
      <c r="F1165" s="726"/>
      <c r="G1165" s="726"/>
      <c r="H1165" s="726"/>
      <c r="I1165" s="727"/>
      <c r="J1165" s="728"/>
      <c r="K1165" s="192"/>
      <c r="L1165" s="194"/>
      <c r="M1165" s="194"/>
      <c r="N1165" s="194"/>
      <c r="O1165" s="699"/>
      <c r="P1165" s="684" t="str">
        <f t="shared" ref="P1165:P1187" si="43">I1165-#REF!</f>
        <v>#REF!</v>
      </c>
      <c r="Q1165" s="192"/>
      <c r="R1165" s="158"/>
      <c r="S1165" s="158"/>
      <c r="T1165" s="158"/>
      <c r="U1165" s="158"/>
      <c r="V1165" s="158"/>
      <c r="W1165" s="158"/>
      <c r="X1165" s="158"/>
      <c r="Y1165" s="158"/>
      <c r="Z1165" s="158"/>
      <c r="AA1165" s="158"/>
      <c r="AB1165" s="158"/>
      <c r="AC1165" s="158"/>
      <c r="AD1165" s="158"/>
      <c r="AE1165" s="158"/>
      <c r="AF1165" s="158"/>
    </row>
    <row r="1166" ht="15.75" hidden="1" customHeight="1">
      <c r="A1166" s="124"/>
      <c r="B1166" s="2"/>
      <c r="C1166" s="124"/>
      <c r="D1166" s="185" t="s">
        <v>287</v>
      </c>
      <c r="E1166" s="732"/>
      <c r="F1166" s="187">
        <v>3.0</v>
      </c>
      <c r="G1166" s="187">
        <v>3.0</v>
      </c>
      <c r="H1166" s="187"/>
      <c r="I1166" s="164">
        <v>170.0</v>
      </c>
      <c r="J1166" s="266">
        <v>5.0</v>
      </c>
      <c r="K1166" s="183">
        <v>6.0</v>
      </c>
      <c r="L1166" s="183"/>
      <c r="M1166" s="183"/>
      <c r="N1166" s="183"/>
      <c r="O1166" s="699">
        <f>I1166/VLOOKUP(K1166,Sheet1!$D$7:$N$16,G1166+1,FALSE)</f>
        <v>208.5889571</v>
      </c>
      <c r="P1166" s="684" t="str">
        <f t="shared" si="43"/>
        <v>#REF!</v>
      </c>
      <c r="Q1166" s="730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</row>
    <row r="1167" ht="3.75" hidden="1" customHeight="1">
      <c r="A1167" s="124"/>
      <c r="B1167" s="2"/>
      <c r="C1167" s="124"/>
      <c r="D1167" s="138"/>
      <c r="E1167" s="252"/>
      <c r="F1167" s="102"/>
      <c r="G1167" s="102"/>
      <c r="H1167" s="102"/>
      <c r="I1167" s="247"/>
      <c r="J1167" s="156"/>
      <c r="K1167" s="183"/>
      <c r="L1167" s="183"/>
      <c r="M1167" s="183"/>
      <c r="N1167" s="183"/>
      <c r="O1167" s="699" t="str">
        <f>I1167/VLOOKUP(K1167,Sheet1!$D$7:$N$16,G1167+1,FALSE)</f>
        <v>#N/A</v>
      </c>
      <c r="P1167" s="684" t="str">
        <f t="shared" si="43"/>
        <v>#REF!</v>
      </c>
      <c r="Q1167" s="702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</row>
    <row r="1168" ht="15.75" hidden="1" customHeight="1">
      <c r="A1168" s="90"/>
      <c r="B1168" s="2"/>
      <c r="C1168" s="90"/>
      <c r="D1168" s="185" t="s">
        <v>292</v>
      </c>
      <c r="E1168" s="224"/>
      <c r="F1168" s="187">
        <v>4.0</v>
      </c>
      <c r="G1168" s="187">
        <v>4.0</v>
      </c>
      <c r="H1168" s="187"/>
      <c r="I1168" s="164">
        <v>130.0</v>
      </c>
      <c r="J1168" s="266">
        <v>7.0</v>
      </c>
      <c r="K1168" s="183">
        <v>7.0</v>
      </c>
      <c r="L1168" s="183"/>
      <c r="M1168" s="183"/>
      <c r="N1168" s="183"/>
      <c r="O1168" s="699">
        <f>I1168/VLOOKUP(K1168,Sheet1!$D$7:$N$16,G1168+1,FALSE)</f>
        <v>159.5092025</v>
      </c>
      <c r="P1168" s="684" t="str">
        <f t="shared" si="43"/>
        <v>#REF!</v>
      </c>
      <c r="Q1168" s="702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</row>
    <row r="1169" ht="3.75" hidden="1" customHeight="1">
      <c r="A1169" s="90"/>
      <c r="B1169" s="2"/>
      <c r="C1169" s="90"/>
      <c r="D1169" s="138"/>
      <c r="E1169" s="252"/>
      <c r="F1169" s="102"/>
      <c r="G1169" s="102"/>
      <c r="H1169" s="102"/>
      <c r="I1169" s="247"/>
      <c r="J1169" s="156"/>
      <c r="K1169" s="183"/>
      <c r="L1169" s="183"/>
      <c r="M1169" s="183"/>
      <c r="N1169" s="183"/>
      <c r="O1169" s="699" t="str">
        <f>I1169/VLOOKUP(K1169,Sheet1!$D$7:$N$16,G1169+1,FALSE)</f>
        <v>#N/A</v>
      </c>
      <c r="P1169" s="684" t="str">
        <f t="shared" si="43"/>
        <v>#REF!</v>
      </c>
      <c r="Q1169" s="702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</row>
    <row r="1170" ht="15.75" hidden="1" customHeight="1">
      <c r="A1170" s="90"/>
      <c r="B1170" s="2"/>
      <c r="C1170" s="90"/>
      <c r="D1170" s="185"/>
      <c r="E1170" s="264"/>
      <c r="F1170" s="187"/>
      <c r="G1170" s="187"/>
      <c r="H1170" s="187"/>
      <c r="I1170" s="164"/>
      <c r="J1170" s="266"/>
      <c r="K1170" s="183"/>
      <c r="L1170" s="183"/>
      <c r="M1170" s="183"/>
      <c r="N1170" s="183"/>
      <c r="O1170" s="699" t="str">
        <f>I1170/VLOOKUP(K1170,Sheet1!$D$7:$N$16,G1170+1,FALSE)</f>
        <v>#N/A</v>
      </c>
      <c r="P1170" s="684" t="str">
        <f t="shared" si="43"/>
        <v>#REF!</v>
      </c>
      <c r="Q1170" s="702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</row>
    <row r="1171" ht="3.75" hidden="1" customHeight="1">
      <c r="A1171" s="90"/>
      <c r="B1171" s="2"/>
      <c r="C1171" s="90"/>
      <c r="D1171" s="138"/>
      <c r="E1171" s="252"/>
      <c r="F1171" s="102"/>
      <c r="G1171" s="102"/>
      <c r="H1171" s="102"/>
      <c r="I1171" s="247"/>
      <c r="J1171" s="156"/>
      <c r="K1171" s="183"/>
      <c r="L1171" s="183"/>
      <c r="M1171" s="183"/>
      <c r="N1171" s="183"/>
      <c r="O1171" s="699" t="str">
        <f>I1171/VLOOKUP(K1171,Sheet1!$D$7:$N$16,G1171+1,FALSE)</f>
        <v>#N/A</v>
      </c>
      <c r="P1171" s="684" t="str">
        <f t="shared" si="43"/>
        <v>#REF!</v>
      </c>
      <c r="Q1171" s="702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</row>
    <row r="1172" ht="15.75" hidden="1" customHeight="1">
      <c r="A1172" s="90"/>
      <c r="B1172" s="2"/>
      <c r="C1172" s="90"/>
      <c r="D1172" s="185" t="s">
        <v>290</v>
      </c>
      <c r="E1172" s="260"/>
      <c r="F1172" s="187">
        <v>3.0</v>
      </c>
      <c r="G1172" s="731" t="s">
        <v>251</v>
      </c>
      <c r="H1172" s="187"/>
      <c r="I1172" s="164"/>
      <c r="J1172" s="266">
        <v>8.0</v>
      </c>
      <c r="K1172" s="183">
        <v>8.0</v>
      </c>
      <c r="L1172" s="183"/>
      <c r="M1172" s="183"/>
      <c r="N1172" s="183"/>
      <c r="O1172" s="699" t="str">
        <f>I1172/VLOOKUP(K1172,Sheet1!$D$7:$N$16,G1172+1,FALSE)</f>
        <v>#REF!</v>
      </c>
      <c r="P1172" s="684" t="str">
        <f t="shared" si="43"/>
        <v>#REF!</v>
      </c>
      <c r="Q1172" s="702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</row>
    <row r="1173" ht="3.75" hidden="1" customHeight="1">
      <c r="A1173" s="90"/>
      <c r="B1173" s="2"/>
      <c r="C1173" s="90"/>
      <c r="D1173" s="138"/>
      <c r="E1173" s="252"/>
      <c r="F1173" s="102"/>
      <c r="G1173" s="102"/>
      <c r="H1173" s="102"/>
      <c r="I1173" s="247"/>
      <c r="J1173" s="156"/>
      <c r="K1173" s="183"/>
      <c r="L1173" s="183"/>
      <c r="M1173" s="183"/>
      <c r="N1173" s="183"/>
      <c r="O1173" s="699" t="str">
        <f>I1173/VLOOKUP(K1173,Sheet1!$D$7:$N$16,G1173+1,FALSE)</f>
        <v>#N/A</v>
      </c>
      <c r="P1173" s="684" t="str">
        <f t="shared" si="43"/>
        <v>#REF!</v>
      </c>
      <c r="Q1173" s="702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</row>
    <row r="1174" ht="15.75" hidden="1" customHeight="1">
      <c r="A1174" s="90"/>
      <c r="B1174" s="2"/>
      <c r="C1174" s="90"/>
      <c r="D1174" s="185"/>
      <c r="E1174" s="260"/>
      <c r="F1174" s="187"/>
      <c r="G1174" s="187"/>
      <c r="H1174" s="187"/>
      <c r="I1174" s="164"/>
      <c r="J1174" s="266"/>
      <c r="K1174" s="183"/>
      <c r="L1174" s="183"/>
      <c r="M1174" s="183"/>
      <c r="N1174" s="183"/>
      <c r="O1174" s="699" t="str">
        <f>I1174/VLOOKUP(K1174,Sheet1!$D$7:$N$16,G1174+1,FALSE)</f>
        <v>#N/A</v>
      </c>
      <c r="P1174" s="684" t="str">
        <f t="shared" si="43"/>
        <v>#REF!</v>
      </c>
      <c r="Q1174" s="702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</row>
    <row r="1175" ht="3.75" hidden="1" customHeight="1">
      <c r="A1175" s="90"/>
      <c r="B1175" s="2"/>
      <c r="C1175" s="90"/>
      <c r="D1175" s="138"/>
      <c r="E1175" s="252"/>
      <c r="F1175" s="102"/>
      <c r="G1175" s="102"/>
      <c r="H1175" s="102"/>
      <c r="I1175" s="247"/>
      <c r="J1175" s="156"/>
      <c r="K1175" s="183"/>
      <c r="L1175" s="183"/>
      <c r="M1175" s="183"/>
      <c r="N1175" s="183"/>
      <c r="O1175" s="699" t="str">
        <f>I1175/VLOOKUP(K1175,Sheet1!$D$7:$N$16,G1175+1,FALSE)</f>
        <v>#N/A</v>
      </c>
      <c r="P1175" s="684" t="str">
        <f t="shared" si="43"/>
        <v>#REF!</v>
      </c>
      <c r="Q1175" s="702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</row>
    <row r="1176" ht="15.75" hidden="1" customHeight="1">
      <c r="A1176" s="90"/>
      <c r="B1176" s="2"/>
      <c r="C1176" s="90"/>
      <c r="D1176" s="185" t="s">
        <v>277</v>
      </c>
      <c r="E1176" s="260"/>
      <c r="F1176" s="187">
        <v>3.0</v>
      </c>
      <c r="G1176" s="731" t="s">
        <v>251</v>
      </c>
      <c r="H1176" s="187"/>
      <c r="I1176" s="164"/>
      <c r="J1176" s="266">
        <v>8.0</v>
      </c>
      <c r="K1176" s="183">
        <v>8.0</v>
      </c>
      <c r="L1176" s="183"/>
      <c r="M1176" s="183"/>
      <c r="N1176" s="183"/>
      <c r="O1176" s="699" t="str">
        <f>I1176/VLOOKUP(K1176,Sheet1!$D$7:$N$16,G1176+1,FALSE)</f>
        <v>#REF!</v>
      </c>
      <c r="P1176" s="684" t="str">
        <f t="shared" si="43"/>
        <v>#REF!</v>
      </c>
      <c r="Q1176" s="702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</row>
    <row r="1177" ht="3.75" hidden="1" customHeight="1">
      <c r="A1177" s="90"/>
      <c r="B1177" s="2"/>
      <c r="C1177" s="90"/>
      <c r="D1177" s="138"/>
      <c r="E1177" s="252"/>
      <c r="F1177" s="102"/>
      <c r="G1177" s="102"/>
      <c r="H1177" s="102"/>
      <c r="I1177" s="247"/>
      <c r="J1177" s="267"/>
      <c r="K1177" s="183"/>
      <c r="L1177" s="183"/>
      <c r="M1177" s="183"/>
      <c r="N1177" s="183"/>
      <c r="O1177" s="699" t="str">
        <f>I1177/VLOOKUP(K1177,Sheet1!$D$7:$N$16,G1177+1,FALSE)</f>
        <v>#N/A</v>
      </c>
      <c r="P1177" s="684" t="str">
        <f t="shared" si="43"/>
        <v>#REF!</v>
      </c>
      <c r="Q1177" s="702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</row>
    <row r="1178" ht="20.25" hidden="1" customHeight="1">
      <c r="A1178" s="90"/>
      <c r="B1178" s="2"/>
      <c r="C1178" s="90"/>
      <c r="D1178" s="185" t="s">
        <v>54</v>
      </c>
      <c r="E1178" s="264"/>
      <c r="F1178" s="187">
        <v>3.0</v>
      </c>
      <c r="G1178" s="731" t="s">
        <v>251</v>
      </c>
      <c r="H1178" s="187"/>
      <c r="I1178" s="164"/>
      <c r="J1178" s="266">
        <v>8.0</v>
      </c>
      <c r="K1178" s="183">
        <v>8.0</v>
      </c>
      <c r="L1178" s="183"/>
      <c r="M1178" s="183"/>
      <c r="N1178" s="183"/>
      <c r="O1178" s="699" t="str">
        <f>I1178/VLOOKUP(K1178,Sheet1!$D$7:$N$16,G1178+1,FALSE)</f>
        <v>#REF!</v>
      </c>
      <c r="P1178" s="684" t="str">
        <f t="shared" si="43"/>
        <v>#REF!</v>
      </c>
      <c r="Q1178" s="702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</row>
    <row r="1179" ht="3.75" hidden="1" customHeight="1">
      <c r="A1179" s="191"/>
      <c r="B1179" s="719"/>
      <c r="C1179" s="192"/>
      <c r="D1179" s="138"/>
      <c r="E1179" s="252"/>
      <c r="F1179" s="102"/>
      <c r="G1179" s="102"/>
      <c r="H1179" s="102"/>
      <c r="I1179" s="247"/>
      <c r="J1179" s="156"/>
      <c r="K1179" s="183"/>
      <c r="L1179" s="183"/>
      <c r="M1179" s="183"/>
      <c r="N1179" s="183"/>
      <c r="O1179" s="699" t="str">
        <f>I1179/VLOOKUP(K1179,Sheet1!$D$7:$N$16,G1179+1,FALSE)</f>
        <v>#N/A</v>
      </c>
      <c r="P1179" s="684" t="str">
        <f t="shared" si="43"/>
        <v>#REF!</v>
      </c>
      <c r="Q1179" s="702"/>
      <c r="R1179" s="158"/>
      <c r="S1179" s="158"/>
      <c r="T1179" s="158"/>
      <c r="U1179" s="158"/>
      <c r="V1179" s="158"/>
      <c r="W1179" s="158"/>
      <c r="X1179" s="158"/>
      <c r="Y1179" s="158"/>
      <c r="Z1179" s="158"/>
      <c r="AA1179" s="158"/>
      <c r="AB1179" s="158"/>
      <c r="AC1179" s="158"/>
      <c r="AD1179" s="158"/>
      <c r="AE1179" s="158"/>
      <c r="AF1179" s="158"/>
    </row>
    <row r="1180" ht="15.75" hidden="1" customHeight="1">
      <c r="A1180" s="90"/>
      <c r="B1180" s="2"/>
      <c r="C1180" s="90"/>
      <c r="D1180" s="185" t="s">
        <v>278</v>
      </c>
      <c r="E1180" s="260"/>
      <c r="F1180" s="187">
        <v>3.0</v>
      </c>
      <c r="G1180" s="731" t="s">
        <v>251</v>
      </c>
      <c r="H1180" s="187"/>
      <c r="I1180" s="164"/>
      <c r="J1180" s="266">
        <v>8.0</v>
      </c>
      <c r="K1180" s="183">
        <v>8.0</v>
      </c>
      <c r="L1180" s="183"/>
      <c r="M1180" s="183"/>
      <c r="N1180" s="183"/>
      <c r="O1180" s="699" t="str">
        <f>I1180/VLOOKUP(K1180,Sheet1!$D$7:$N$16,G1180+1,FALSE)</f>
        <v>#REF!</v>
      </c>
      <c r="P1180" s="684" t="str">
        <f t="shared" si="43"/>
        <v>#REF!</v>
      </c>
      <c r="Q1180" s="702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</row>
    <row r="1181" ht="3.75" hidden="1" customHeight="1">
      <c r="A1181" s="90"/>
      <c r="B1181" s="2"/>
      <c r="C1181" s="90"/>
      <c r="D1181" s="138"/>
      <c r="E1181" s="252"/>
      <c r="F1181" s="102"/>
      <c r="G1181" s="102"/>
      <c r="H1181" s="102"/>
      <c r="I1181" s="247"/>
      <c r="J1181" s="156"/>
      <c r="K1181" s="183"/>
      <c r="L1181" s="183"/>
      <c r="M1181" s="183"/>
      <c r="N1181" s="183"/>
      <c r="O1181" s="699" t="str">
        <f>I1181/VLOOKUP(K1181,Sheet1!$D$7:$N$16,G1181+1,FALSE)</f>
        <v>#N/A</v>
      </c>
      <c r="P1181" s="684" t="str">
        <f t="shared" si="43"/>
        <v>#REF!</v>
      </c>
      <c r="Q1181" s="702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</row>
    <row r="1182" ht="15.75" hidden="1" customHeight="1">
      <c r="A1182" s="90"/>
      <c r="B1182" s="2"/>
      <c r="C1182" s="90"/>
      <c r="D1182" s="185"/>
      <c r="E1182" s="266"/>
      <c r="F1182" s="187"/>
      <c r="G1182" s="187"/>
      <c r="H1182" s="187"/>
      <c r="I1182" s="164"/>
      <c r="J1182" s="266"/>
      <c r="K1182" s="183"/>
      <c r="L1182" s="183"/>
      <c r="M1182" s="183"/>
      <c r="N1182" s="183"/>
      <c r="O1182" s="699" t="str">
        <f>I1182/VLOOKUP(K1182,Sheet1!$D$7:$N$16,G1182+1,FALSE)</f>
        <v>#N/A</v>
      </c>
      <c r="P1182" s="684" t="str">
        <f t="shared" si="43"/>
        <v>#REF!</v>
      </c>
      <c r="Q1182" s="702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</row>
    <row r="1183" ht="3.75" hidden="1" customHeight="1">
      <c r="A1183" s="191"/>
      <c r="B1183" s="719"/>
      <c r="C1183" s="192"/>
      <c r="D1183" s="138"/>
      <c r="E1183" s="267"/>
      <c r="F1183" s="194"/>
      <c r="G1183" s="194"/>
      <c r="H1183" s="194"/>
      <c r="I1183" s="164"/>
      <c r="J1183" s="267"/>
      <c r="K1183" s="183"/>
      <c r="L1183" s="183"/>
      <c r="M1183" s="183"/>
      <c r="N1183" s="183"/>
      <c r="O1183" s="699" t="str">
        <f>I1183/VLOOKUP(K1183,Sheet1!$D$7:$N$16,G1183+1,FALSE)</f>
        <v>#N/A</v>
      </c>
      <c r="P1183" s="684" t="str">
        <f t="shared" si="43"/>
        <v>#REF!</v>
      </c>
      <c r="Q1183" s="702"/>
      <c r="R1183" s="158"/>
      <c r="S1183" s="158"/>
      <c r="T1183" s="158"/>
      <c r="U1183" s="158"/>
      <c r="V1183" s="158"/>
      <c r="W1183" s="158"/>
      <c r="X1183" s="158"/>
      <c r="Y1183" s="158"/>
      <c r="Z1183" s="158"/>
      <c r="AA1183" s="158"/>
      <c r="AB1183" s="158"/>
      <c r="AC1183" s="158"/>
      <c r="AD1183" s="158"/>
      <c r="AE1183" s="158"/>
      <c r="AF1183" s="158"/>
    </row>
    <row r="1184" ht="15.75" hidden="1" customHeight="1">
      <c r="A1184" s="90"/>
      <c r="B1184" s="2"/>
      <c r="C1184" s="90"/>
      <c r="D1184" s="185"/>
      <c r="E1184" s="266"/>
      <c r="F1184" s="187"/>
      <c r="G1184" s="187"/>
      <c r="H1184" s="187"/>
      <c r="I1184" s="164"/>
      <c r="J1184" s="266"/>
      <c r="K1184" s="183"/>
      <c r="L1184" s="183"/>
      <c r="M1184" s="183"/>
      <c r="N1184" s="183"/>
      <c r="O1184" s="699" t="str">
        <f>I1184/VLOOKUP(K1184,Sheet1!$D$7:$N$16,G1184+1,FALSE)</f>
        <v>#N/A</v>
      </c>
      <c r="P1184" s="684" t="str">
        <f t="shared" si="43"/>
        <v>#REF!</v>
      </c>
      <c r="Q1184" s="702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</row>
    <row r="1185" ht="3.75" hidden="1" customHeight="1">
      <c r="A1185" s="90"/>
      <c r="B1185" s="2"/>
      <c r="C1185" s="90"/>
      <c r="D1185" s="252"/>
      <c r="E1185" s="252"/>
      <c r="F1185" s="102"/>
      <c r="G1185" s="102"/>
      <c r="H1185" s="102"/>
      <c r="I1185" s="247"/>
      <c r="J1185" s="156"/>
      <c r="K1185" s="733"/>
      <c r="L1185" s="734"/>
      <c r="M1185" s="734"/>
      <c r="N1185" s="734"/>
      <c r="O1185" s="699" t="str">
        <f>I1185/VLOOKUP(K1185,Sheet1!$D$7:$N$16,G1185+1,FALSE)</f>
        <v>#N/A</v>
      </c>
      <c r="P1185" s="684" t="str">
        <f t="shared" si="43"/>
        <v>#REF!</v>
      </c>
      <c r="Q1185" s="702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</row>
    <row r="1186" ht="0.75" hidden="1" customHeight="1">
      <c r="A1186" s="90"/>
      <c r="B1186" s="2"/>
      <c r="C1186" s="90"/>
      <c r="D1186" s="274"/>
      <c r="E1186" s="266"/>
      <c r="F1186" s="187"/>
      <c r="G1186" s="187"/>
      <c r="H1186" s="187"/>
      <c r="I1186" s="164"/>
      <c r="J1186" s="266"/>
      <c r="K1186" s="733"/>
      <c r="L1186" s="734"/>
      <c r="M1186" s="734"/>
      <c r="N1186" s="734"/>
      <c r="O1186" s="699" t="str">
        <f>I1186/VLOOKUP(K1186,Sheet1!$D$7:$N$16,G1186+1,FALSE)</f>
        <v>#N/A</v>
      </c>
      <c r="P1186" s="684" t="str">
        <f t="shared" si="43"/>
        <v>#REF!</v>
      </c>
      <c r="Q1186" s="697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</row>
    <row r="1187" ht="3.75" hidden="1" customHeight="1">
      <c r="A1187" s="90"/>
      <c r="B1187" s="2"/>
      <c r="C1187" s="90"/>
      <c r="D1187" s="90"/>
      <c r="E1187" s="156"/>
      <c r="F1187" s="102"/>
      <c r="G1187" s="102"/>
      <c r="H1187" s="102"/>
      <c r="I1187" s="102"/>
      <c r="J1187" s="156"/>
      <c r="K1187" s="720"/>
      <c r="L1187" s="201"/>
      <c r="M1187" s="201"/>
      <c r="N1187" s="201"/>
      <c r="O1187" s="699"/>
      <c r="P1187" s="684" t="str">
        <f t="shared" si="43"/>
        <v>#REF!</v>
      </c>
      <c r="Q1187" s="720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</row>
    <row r="1188" ht="30.0" hidden="1" customHeight="1">
      <c r="A1188" s="90"/>
      <c r="B1188" s="2"/>
      <c r="C1188" s="90"/>
      <c r="D1188" s="686" t="s">
        <v>281</v>
      </c>
      <c r="E1188" s="687" t="s">
        <v>15</v>
      </c>
      <c r="F1188" s="721" t="s">
        <v>16</v>
      </c>
      <c r="G1188" s="722" t="s">
        <v>17</v>
      </c>
      <c r="H1188" s="723"/>
      <c r="I1188" s="724"/>
      <c r="J1188" s="725" t="s">
        <v>241</v>
      </c>
      <c r="K1188" s="691"/>
      <c r="L1188" s="692"/>
      <c r="M1188" s="692"/>
      <c r="N1188" s="692"/>
      <c r="O1188" s="699"/>
      <c r="P1188" s="684"/>
      <c r="Q1188" s="693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</row>
    <row r="1189" ht="14.25" hidden="1" customHeight="1">
      <c r="A1189" s="90"/>
      <c r="B1189" s="2"/>
      <c r="C1189" s="90"/>
      <c r="D1189" s="257" t="s">
        <v>25</v>
      </c>
      <c r="E1189" s="257" t="s">
        <v>26</v>
      </c>
      <c r="F1189" s="680"/>
      <c r="G1189" s="681"/>
      <c r="H1189" s="723"/>
      <c r="I1189" s="681"/>
      <c r="J1189" s="725" t="s">
        <v>244</v>
      </c>
      <c r="K1189" s="697"/>
      <c r="L1189" s="692"/>
      <c r="M1189" s="692"/>
      <c r="N1189" s="692"/>
      <c r="O1189" s="699"/>
      <c r="P1189" s="684"/>
      <c r="Q1189" s="698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</row>
    <row r="1190" ht="3.75" hidden="1" customHeight="1">
      <c r="A1190" s="191"/>
      <c r="B1190" s="719"/>
      <c r="C1190" s="192"/>
      <c r="D1190" s="203"/>
      <c r="E1190" s="203"/>
      <c r="F1190" s="726"/>
      <c r="G1190" s="726"/>
      <c r="H1190" s="726"/>
      <c r="I1190" s="727"/>
      <c r="J1190" s="728"/>
      <c r="K1190" s="192"/>
      <c r="L1190" s="194"/>
      <c r="M1190" s="194"/>
      <c r="N1190" s="194"/>
      <c r="O1190" s="699" t="str">
        <f>I1190/VLOOKUP(K1190,Sheet1!$D$7:$N$16,G1190+1,FALSE)</f>
        <v>#N/A</v>
      </c>
      <c r="P1190" s="684" t="str">
        <f t="shared" ref="P1190:P1210" si="44">I1190-#REF!</f>
        <v>#REF!</v>
      </c>
      <c r="Q1190" s="192"/>
      <c r="R1190" s="158"/>
      <c r="S1190" s="158"/>
      <c r="T1190" s="158"/>
      <c r="U1190" s="158"/>
      <c r="V1190" s="158"/>
      <c r="W1190" s="158"/>
      <c r="X1190" s="158"/>
      <c r="Y1190" s="158"/>
      <c r="Z1190" s="158"/>
      <c r="AA1190" s="158"/>
      <c r="AB1190" s="158"/>
      <c r="AC1190" s="158"/>
      <c r="AD1190" s="158"/>
      <c r="AE1190" s="158"/>
      <c r="AF1190" s="158"/>
    </row>
    <row r="1191" ht="15.75" hidden="1" customHeight="1">
      <c r="A1191" s="124"/>
      <c r="B1191" s="2"/>
      <c r="C1191" s="124"/>
      <c r="D1191" s="185" t="s">
        <v>6</v>
      </c>
      <c r="E1191" s="260"/>
      <c r="F1191" s="187">
        <v>1.0</v>
      </c>
      <c r="G1191" s="187">
        <v>4.0</v>
      </c>
      <c r="H1191" s="187"/>
      <c r="I1191" s="164">
        <v>215.0</v>
      </c>
      <c r="J1191" s="266">
        <v>7.5</v>
      </c>
      <c r="K1191" s="164">
        <v>8.0</v>
      </c>
      <c r="L1191" s="164"/>
      <c r="M1191" s="164"/>
      <c r="N1191" s="164"/>
      <c r="O1191" s="699">
        <f>I1191/VLOOKUP(K1191,Sheet1!$D$7:$N$16,G1191+1,FALSE)</f>
        <v>255.952381</v>
      </c>
      <c r="P1191" s="684" t="str">
        <f t="shared" si="44"/>
        <v>#REF!</v>
      </c>
      <c r="Q1191" s="700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</row>
    <row r="1192" ht="3.75" hidden="1" customHeight="1">
      <c r="A1192" s="124"/>
      <c r="B1192" s="2"/>
      <c r="C1192" s="124"/>
      <c r="D1192" s="138"/>
      <c r="E1192" s="252"/>
      <c r="F1192" s="140"/>
      <c r="G1192" s="140"/>
      <c r="H1192" s="140"/>
      <c r="I1192" s="701"/>
      <c r="J1192" s="141"/>
      <c r="K1192" s="164"/>
      <c r="L1192" s="164"/>
      <c r="M1192" s="164"/>
      <c r="N1192" s="164"/>
      <c r="O1192" s="699" t="str">
        <f>I1192/VLOOKUP(K1192,Sheet1!$D$7:$N$16,G1192+1,FALSE)</f>
        <v>#N/A</v>
      </c>
      <c r="P1192" s="684" t="str">
        <f t="shared" si="44"/>
        <v>#REF!</v>
      </c>
      <c r="Q1192" s="702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</row>
    <row r="1193" ht="15.0" hidden="1" customHeight="1">
      <c r="A1193" s="124"/>
      <c r="B1193" s="2"/>
      <c r="C1193" s="124"/>
      <c r="D1193" s="704" t="s">
        <v>6</v>
      </c>
      <c r="E1193" s="260"/>
      <c r="F1193" s="187">
        <v>3.0</v>
      </c>
      <c r="G1193" s="187">
        <v>4.0</v>
      </c>
      <c r="H1193" s="187"/>
      <c r="I1193" s="164">
        <v>190.0</v>
      </c>
      <c r="J1193" s="706">
        <v>-0.1</v>
      </c>
      <c r="K1193" s="164">
        <v>7.0</v>
      </c>
      <c r="L1193" s="164"/>
      <c r="M1193" s="164"/>
      <c r="N1193" s="164"/>
      <c r="O1193" s="699">
        <f>I1193/VLOOKUP(K1193,Sheet1!$D$7:$N$16,G1193+1,FALSE)</f>
        <v>233.1288344</v>
      </c>
      <c r="P1193" s="684" t="str">
        <f t="shared" si="44"/>
        <v>#REF!</v>
      </c>
      <c r="Q1193" s="702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</row>
    <row r="1194" ht="3.75" hidden="1" customHeight="1">
      <c r="A1194" s="124"/>
      <c r="B1194" s="2"/>
      <c r="C1194" s="124"/>
      <c r="D1194" s="138"/>
      <c r="E1194" s="252"/>
      <c r="F1194" s="102"/>
      <c r="G1194" s="102"/>
      <c r="H1194" s="102"/>
      <c r="I1194" s="247"/>
      <c r="J1194" s="156"/>
      <c r="K1194" s="164"/>
      <c r="L1194" s="164"/>
      <c r="M1194" s="164"/>
      <c r="N1194" s="164"/>
      <c r="O1194" s="699" t="str">
        <f>I1194/VLOOKUP(K1194,Sheet1!$D$7:$N$16,G1194+1,FALSE)</f>
        <v>#N/A</v>
      </c>
      <c r="P1194" s="684" t="str">
        <f t="shared" si="44"/>
        <v>#REF!</v>
      </c>
      <c r="Q1194" s="702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</row>
    <row r="1195" ht="15.75" hidden="1" customHeight="1">
      <c r="A1195" s="124"/>
      <c r="B1195" s="2"/>
      <c r="C1195" s="124"/>
      <c r="D1195" s="704"/>
      <c r="E1195" s="260"/>
      <c r="F1195" s="187"/>
      <c r="G1195" s="187"/>
      <c r="H1195" s="187"/>
      <c r="I1195" s="164"/>
      <c r="J1195" s="706"/>
      <c r="K1195" s="164"/>
      <c r="L1195" s="164"/>
      <c r="M1195" s="164"/>
      <c r="N1195" s="164"/>
      <c r="O1195" s="699" t="str">
        <f>I1195/VLOOKUP(K1195,Sheet1!$D$7:$N$16,G1195+1,FALSE)</f>
        <v>#N/A</v>
      </c>
      <c r="P1195" s="684" t="str">
        <f t="shared" si="44"/>
        <v>#REF!</v>
      </c>
      <c r="Q1195" s="702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</row>
    <row r="1196" ht="3.75" hidden="1" customHeight="1">
      <c r="A1196" s="124"/>
      <c r="B1196" s="2"/>
      <c r="C1196" s="124"/>
      <c r="D1196" s="138"/>
      <c r="E1196" s="252"/>
      <c r="F1196" s="102"/>
      <c r="G1196" s="102"/>
      <c r="H1196" s="102"/>
      <c r="I1196" s="247"/>
      <c r="J1196" s="156"/>
      <c r="K1196" s="164"/>
      <c r="L1196" s="164"/>
      <c r="M1196" s="164"/>
      <c r="N1196" s="164"/>
      <c r="O1196" s="699" t="str">
        <f>I1196/VLOOKUP(K1196,Sheet1!$D$7:$N$16,G1196+1,FALSE)</f>
        <v>#N/A</v>
      </c>
      <c r="P1196" s="684" t="str">
        <f t="shared" si="44"/>
        <v>#REF!</v>
      </c>
      <c r="Q1196" s="702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</row>
    <row r="1197" ht="15.75" hidden="1" customHeight="1">
      <c r="A1197" s="124"/>
      <c r="B1197" s="2"/>
      <c r="C1197" s="124"/>
      <c r="D1197" s="185" t="s">
        <v>51</v>
      </c>
      <c r="E1197" s="260"/>
      <c r="F1197" s="187">
        <v>1.0</v>
      </c>
      <c r="G1197" s="187">
        <v>2.0</v>
      </c>
      <c r="H1197" s="187"/>
      <c r="I1197" s="164">
        <v>160.0</v>
      </c>
      <c r="J1197" s="266">
        <v>8.5</v>
      </c>
      <c r="K1197" s="164">
        <v>8.5</v>
      </c>
      <c r="L1197" s="164"/>
      <c r="M1197" s="164"/>
      <c r="N1197" s="164"/>
      <c r="O1197" s="699">
        <f>I1197/VLOOKUP(K1197,Sheet1!$D$7:$N$16,G1197+1,FALSE)</f>
        <v>176.146789</v>
      </c>
      <c r="P1197" s="684" t="str">
        <f t="shared" si="44"/>
        <v>#REF!</v>
      </c>
      <c r="Q1197" s="702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</row>
    <row r="1198" ht="3.75" hidden="1" customHeight="1">
      <c r="A1198" s="90"/>
      <c r="B1198" s="2"/>
      <c r="C1198" s="90"/>
      <c r="D1198" s="138"/>
      <c r="E1198" s="252"/>
      <c r="F1198" s="102"/>
      <c r="G1198" s="102"/>
      <c r="H1198" s="102"/>
      <c r="I1198" s="247"/>
      <c r="J1198" s="156"/>
      <c r="K1198" s="164"/>
      <c r="L1198" s="164"/>
      <c r="M1198" s="164"/>
      <c r="N1198" s="164"/>
      <c r="O1198" s="699" t="str">
        <f>I1198/VLOOKUP(K1198,Sheet1!$D$7:$N$16,G1198+1,FALSE)</f>
        <v>#N/A</v>
      </c>
      <c r="P1198" s="684" t="str">
        <f t="shared" si="44"/>
        <v>#REF!</v>
      </c>
      <c r="Q1198" s="702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</row>
    <row r="1199" ht="15.75" hidden="1" customHeight="1">
      <c r="A1199" s="90"/>
      <c r="B1199" s="2"/>
      <c r="C1199" s="90"/>
      <c r="D1199" s="185" t="s">
        <v>51</v>
      </c>
      <c r="E1199" s="260"/>
      <c r="F1199" s="187">
        <v>4.0</v>
      </c>
      <c r="G1199" s="187">
        <v>4.0</v>
      </c>
      <c r="H1199" s="187"/>
      <c r="I1199" s="164">
        <v>140.0</v>
      </c>
      <c r="J1199" s="706">
        <v>-0.12</v>
      </c>
      <c r="K1199" s="164">
        <v>9.0</v>
      </c>
      <c r="L1199" s="164"/>
      <c r="M1199" s="164"/>
      <c r="N1199" s="164"/>
      <c r="O1199" s="699">
        <f>I1199/VLOOKUP(K1199,Sheet1!$D$7:$N$16,G1199+1,FALSE)</f>
        <v>161.849711</v>
      </c>
      <c r="P1199" s="684" t="str">
        <f t="shared" si="44"/>
        <v>#REF!</v>
      </c>
      <c r="Q1199" s="702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</row>
    <row r="1200" ht="3.75" hidden="1" customHeight="1">
      <c r="A1200" s="191"/>
      <c r="B1200" s="719"/>
      <c r="C1200" s="192"/>
      <c r="D1200" s="138"/>
      <c r="E1200" s="252"/>
      <c r="F1200" s="102"/>
      <c r="G1200" s="102"/>
      <c r="H1200" s="102"/>
      <c r="I1200" s="247"/>
      <c r="J1200" s="156"/>
      <c r="K1200" s="164"/>
      <c r="L1200" s="164"/>
      <c r="M1200" s="164"/>
      <c r="N1200" s="164"/>
      <c r="O1200" s="699" t="str">
        <f>I1200/VLOOKUP(K1200,Sheet1!$D$7:$N$16,G1200+1,FALSE)</f>
        <v>#N/A</v>
      </c>
      <c r="P1200" s="684" t="str">
        <f t="shared" si="44"/>
        <v>#REF!</v>
      </c>
      <c r="Q1200" s="702"/>
      <c r="R1200" s="158"/>
      <c r="S1200" s="158"/>
      <c r="T1200" s="158"/>
      <c r="U1200" s="158"/>
      <c r="V1200" s="158"/>
      <c r="W1200" s="158"/>
      <c r="X1200" s="158"/>
      <c r="Y1200" s="158"/>
      <c r="Z1200" s="158"/>
      <c r="AA1200" s="158"/>
      <c r="AB1200" s="158"/>
      <c r="AC1200" s="158"/>
      <c r="AD1200" s="158"/>
      <c r="AE1200" s="158"/>
      <c r="AF1200" s="158"/>
    </row>
    <row r="1201" ht="15.75" hidden="1" customHeight="1">
      <c r="A1201" s="90"/>
      <c r="B1201" s="2"/>
      <c r="C1201" s="90"/>
      <c r="D1201" s="185" t="s">
        <v>259</v>
      </c>
      <c r="E1201" s="260"/>
      <c r="F1201" s="187">
        <v>3.0</v>
      </c>
      <c r="G1201" s="731" t="s">
        <v>260</v>
      </c>
      <c r="H1201" s="187"/>
      <c r="I1201" s="164"/>
      <c r="J1201" s="266">
        <v>7.0</v>
      </c>
      <c r="K1201" s="164">
        <v>7.0</v>
      </c>
      <c r="L1201" s="164"/>
      <c r="M1201" s="164"/>
      <c r="N1201" s="164"/>
      <c r="O1201" s="699" t="str">
        <f>I1201/VLOOKUP(K1201,Sheet1!$D$7:$N$16,G1201+1,FALSE)</f>
        <v>#REF!</v>
      </c>
      <c r="P1201" s="684" t="str">
        <f t="shared" si="44"/>
        <v>#REF!</v>
      </c>
      <c r="Q1201" s="702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</row>
    <row r="1202" ht="3.75" hidden="1" customHeight="1">
      <c r="A1202" s="90"/>
      <c r="B1202" s="2"/>
      <c r="C1202" s="90"/>
      <c r="D1202" s="138"/>
      <c r="E1202" s="252"/>
      <c r="F1202" s="102"/>
      <c r="G1202" s="102"/>
      <c r="H1202" s="102"/>
      <c r="I1202" s="247"/>
      <c r="J1202" s="156"/>
      <c r="K1202" s="164"/>
      <c r="L1202" s="164"/>
      <c r="M1202" s="164"/>
      <c r="N1202" s="164"/>
      <c r="O1202" s="699" t="str">
        <f>I1202/VLOOKUP(K1202,Sheet1!$D$7:$N$16,G1202+1,FALSE)</f>
        <v>#N/A</v>
      </c>
      <c r="P1202" s="684" t="str">
        <f t="shared" si="44"/>
        <v>#REF!</v>
      </c>
      <c r="Q1202" s="702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</row>
    <row r="1203" ht="15.75" hidden="1" customHeight="1">
      <c r="A1203" s="90"/>
      <c r="B1203" s="2"/>
      <c r="C1203" s="90"/>
      <c r="D1203" s="185" t="s">
        <v>261</v>
      </c>
      <c r="E1203" s="260"/>
      <c r="F1203" s="187">
        <v>3.0</v>
      </c>
      <c r="G1203" s="731" t="s">
        <v>260</v>
      </c>
      <c r="H1203" s="187"/>
      <c r="I1203" s="164"/>
      <c r="J1203" s="266">
        <v>8.0</v>
      </c>
      <c r="K1203" s="164">
        <v>8.0</v>
      </c>
      <c r="L1203" s="164"/>
      <c r="M1203" s="164"/>
      <c r="N1203" s="164"/>
      <c r="O1203" s="699" t="str">
        <f>I1203/VLOOKUP(K1203,Sheet1!$D$7:$N$16,G1203+1,FALSE)</f>
        <v>#REF!</v>
      </c>
      <c r="P1203" s="684" t="str">
        <f t="shared" si="44"/>
        <v>#REF!</v>
      </c>
      <c r="Q1203" s="702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</row>
    <row r="1204" ht="3.75" hidden="1" customHeight="1">
      <c r="A1204" s="90"/>
      <c r="B1204" s="2"/>
      <c r="C1204" s="90"/>
      <c r="D1204" s="138"/>
      <c r="E1204" s="252"/>
      <c r="F1204" s="102"/>
      <c r="G1204" s="102"/>
      <c r="H1204" s="102"/>
      <c r="I1204" s="247"/>
      <c r="J1204" s="156"/>
      <c r="K1204" s="164"/>
      <c r="L1204" s="164"/>
      <c r="M1204" s="164"/>
      <c r="N1204" s="164"/>
      <c r="O1204" s="699" t="str">
        <f>I1204/VLOOKUP(K1204,Sheet1!$D$7:$N$16,G1204+1,FALSE)</f>
        <v>#N/A</v>
      </c>
      <c r="P1204" s="684" t="str">
        <f t="shared" si="44"/>
        <v>#REF!</v>
      </c>
      <c r="Q1204" s="702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</row>
    <row r="1205" ht="15.75" hidden="1" customHeight="1">
      <c r="A1205" s="90"/>
      <c r="B1205" s="2"/>
      <c r="C1205" s="90"/>
      <c r="D1205" s="185" t="s">
        <v>262</v>
      </c>
      <c r="E1205" s="260"/>
      <c r="F1205" s="187">
        <v>3.0</v>
      </c>
      <c r="G1205" s="731" t="s">
        <v>260</v>
      </c>
      <c r="H1205" s="187"/>
      <c r="I1205" s="247"/>
      <c r="J1205" s="266">
        <v>8.0</v>
      </c>
      <c r="K1205" s="164">
        <v>7.0</v>
      </c>
      <c r="L1205" s="164"/>
      <c r="M1205" s="164"/>
      <c r="N1205" s="164"/>
      <c r="O1205" s="699" t="str">
        <f>I1205/VLOOKUP(K1205,Sheet1!$D$7:$N$16,G1205+1,FALSE)</f>
        <v>#REF!</v>
      </c>
      <c r="P1205" s="684" t="str">
        <f t="shared" si="44"/>
        <v>#REF!</v>
      </c>
      <c r="Q1205" s="702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</row>
    <row r="1206" ht="3.75" hidden="1" customHeight="1">
      <c r="A1206" s="90"/>
      <c r="B1206" s="2"/>
      <c r="C1206" s="90"/>
      <c r="D1206" s="138"/>
      <c r="E1206" s="252"/>
      <c r="F1206" s="102"/>
      <c r="G1206" s="102"/>
      <c r="H1206" s="102"/>
      <c r="I1206" s="247"/>
      <c r="J1206" s="156"/>
      <c r="K1206" s="164"/>
      <c r="L1206" s="164"/>
      <c r="M1206" s="164"/>
      <c r="N1206" s="164"/>
      <c r="O1206" s="699" t="str">
        <f>I1206/VLOOKUP(K1206,Sheet1!$D$7:$N$16,G1206+1,FALSE)</f>
        <v>#N/A</v>
      </c>
      <c r="P1206" s="684" t="str">
        <f t="shared" si="44"/>
        <v>#REF!</v>
      </c>
      <c r="Q1206" s="702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</row>
    <row r="1207" ht="15.75" hidden="1" customHeight="1">
      <c r="A1207" s="90"/>
      <c r="B1207" s="2"/>
      <c r="C1207" s="90"/>
      <c r="D1207" s="185" t="s">
        <v>263</v>
      </c>
      <c r="E1207" s="260"/>
      <c r="F1207" s="187">
        <v>2.0</v>
      </c>
      <c r="G1207" s="187">
        <v>15.0</v>
      </c>
      <c r="H1207" s="187"/>
      <c r="I1207" s="247"/>
      <c r="J1207" s="266">
        <v>8.0</v>
      </c>
      <c r="K1207" s="164">
        <v>7.0</v>
      </c>
      <c r="L1207" s="164"/>
      <c r="M1207" s="164"/>
      <c r="N1207" s="164"/>
      <c r="O1207" s="699" t="str">
        <f>I1207/VLOOKUP(K1207,Sheet1!$D$7:$N$16,G1207+1,FALSE)</f>
        <v>#REF!</v>
      </c>
      <c r="P1207" s="684" t="str">
        <f t="shared" si="44"/>
        <v>#REF!</v>
      </c>
      <c r="Q1207" s="702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</row>
    <row r="1208" ht="3.75" hidden="1" customHeight="1">
      <c r="A1208" s="90"/>
      <c r="B1208" s="2"/>
      <c r="C1208" s="90"/>
      <c r="D1208" s="138"/>
      <c r="E1208" s="252"/>
      <c r="F1208" s="102"/>
      <c r="G1208" s="102"/>
      <c r="H1208" s="102"/>
      <c r="I1208" s="247"/>
      <c r="J1208" s="156"/>
      <c r="K1208" s="164"/>
      <c r="L1208" s="164"/>
      <c r="M1208" s="164"/>
      <c r="N1208" s="164"/>
      <c r="O1208" s="699" t="str">
        <f>I1208/VLOOKUP(K1208,Sheet1!$D$7:$N$16,G1208+1,FALSE)</f>
        <v>#N/A</v>
      </c>
      <c r="P1208" s="684" t="str">
        <f t="shared" si="44"/>
        <v>#REF!</v>
      </c>
      <c r="Q1208" s="702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</row>
    <row r="1209" ht="15.75" hidden="1" customHeight="1">
      <c r="A1209" s="90"/>
      <c r="B1209" s="2"/>
      <c r="C1209" s="90"/>
      <c r="D1209" s="185"/>
      <c r="E1209" s="266"/>
      <c r="F1209" s="187"/>
      <c r="G1209" s="187"/>
      <c r="H1209" s="187"/>
      <c r="I1209" s="164"/>
      <c r="J1209" s="266"/>
      <c r="K1209" s="164"/>
      <c r="L1209" s="164"/>
      <c r="M1209" s="164"/>
      <c r="N1209" s="164"/>
      <c r="O1209" s="699" t="str">
        <f>I1209/VLOOKUP(K1209,Sheet1!$D$7:$N$16,G1209+1,FALSE)</f>
        <v>#N/A</v>
      </c>
      <c r="P1209" s="684" t="str">
        <f t="shared" si="44"/>
        <v>#REF!</v>
      </c>
      <c r="Q1209" s="697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</row>
    <row r="1210" ht="3.75" hidden="1" customHeight="1">
      <c r="A1210" s="124"/>
      <c r="B1210" s="2"/>
      <c r="C1210" s="124"/>
      <c r="D1210" s="252"/>
      <c r="E1210" s="252"/>
      <c r="F1210" s="102"/>
      <c r="G1210" s="102"/>
      <c r="H1210" s="102"/>
      <c r="I1210" s="102"/>
      <c r="J1210" s="156"/>
      <c r="K1210" s="259"/>
      <c r="L1210" s="201"/>
      <c r="M1210" s="201"/>
      <c r="N1210" s="201"/>
      <c r="O1210" s="699" t="str">
        <f>I1210/VLOOKUP(K1210,Sheet1!$D$7:$N$16,G1210+1,FALSE)</f>
        <v>#N/A</v>
      </c>
      <c r="P1210" s="684" t="str">
        <f t="shared" si="44"/>
        <v>#REF!</v>
      </c>
      <c r="Q1210" s="259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</row>
    <row r="1211" ht="30.75" hidden="1" customHeight="1">
      <c r="A1211" s="90"/>
      <c r="B1211" s="2"/>
      <c r="C1211" s="90"/>
      <c r="D1211" s="686" t="s">
        <v>279</v>
      </c>
      <c r="E1211" s="687" t="s">
        <v>15</v>
      </c>
      <c r="F1211" s="721" t="s">
        <v>16</v>
      </c>
      <c r="G1211" s="722" t="s">
        <v>17</v>
      </c>
      <c r="H1211" s="723"/>
      <c r="I1211" s="724"/>
      <c r="J1211" s="725" t="s">
        <v>241</v>
      </c>
      <c r="K1211" s="691"/>
      <c r="L1211" s="692"/>
      <c r="M1211" s="692"/>
      <c r="N1211" s="692"/>
      <c r="O1211" s="699"/>
      <c r="P1211" s="684"/>
      <c r="Q1211" s="693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</row>
    <row r="1212" ht="14.25" hidden="1" customHeight="1">
      <c r="A1212" s="90"/>
      <c r="B1212" s="2"/>
      <c r="C1212" s="90"/>
      <c r="D1212" s="257" t="s">
        <v>25</v>
      </c>
      <c r="E1212" s="257" t="s">
        <v>26</v>
      </c>
      <c r="F1212" s="680"/>
      <c r="G1212" s="681"/>
      <c r="H1212" s="723"/>
      <c r="I1212" s="681"/>
      <c r="J1212" s="725" t="s">
        <v>244</v>
      </c>
      <c r="K1212" s="697"/>
      <c r="L1212" s="692"/>
      <c r="M1212" s="692"/>
      <c r="N1212" s="692"/>
      <c r="O1212" s="699"/>
      <c r="P1212" s="684"/>
      <c r="Q1212" s="698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</row>
    <row r="1213" ht="3.75" hidden="1" customHeight="1">
      <c r="A1213" s="124"/>
      <c r="B1213" s="2"/>
      <c r="C1213" s="124"/>
      <c r="D1213" s="252"/>
      <c r="E1213" s="252"/>
      <c r="F1213" s="102"/>
      <c r="G1213" s="102"/>
      <c r="H1213" s="102"/>
      <c r="I1213" s="102"/>
      <c r="J1213" s="156"/>
      <c r="K1213" s="259"/>
      <c r="L1213" s="201"/>
      <c r="M1213" s="201"/>
      <c r="N1213" s="201"/>
      <c r="O1213" s="699" t="str">
        <f>I1213/VLOOKUP(K1213,Sheet1!$D$7:$N$16,G1213+1,FALSE)</f>
        <v>#N/A</v>
      </c>
      <c r="P1213" s="684" t="str">
        <f t="shared" ref="P1213:P1226" si="45">I1213-#REF!</f>
        <v>#REF!</v>
      </c>
      <c r="Q1213" s="259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</row>
    <row r="1214" ht="14.25" hidden="1" customHeight="1">
      <c r="A1214" s="124"/>
      <c r="B1214" s="2"/>
      <c r="C1214" s="124"/>
      <c r="D1214" s="185" t="s">
        <v>10</v>
      </c>
      <c r="E1214" s="260"/>
      <c r="F1214" s="187">
        <v>1.0</v>
      </c>
      <c r="G1214" s="187">
        <v>2.0</v>
      </c>
      <c r="H1214" s="187"/>
      <c r="I1214" s="164">
        <v>300.0</v>
      </c>
      <c r="J1214" s="266">
        <v>7.0</v>
      </c>
      <c r="K1214" s="164">
        <v>8.5</v>
      </c>
      <c r="L1214" s="164"/>
      <c r="M1214" s="164"/>
      <c r="N1214" s="164"/>
      <c r="O1214" s="699">
        <f>I1214/VLOOKUP(K1214,Sheet1!$D$7:$N$16,G1214+1,FALSE)</f>
        <v>330.2752294</v>
      </c>
      <c r="P1214" s="684" t="str">
        <f t="shared" si="45"/>
        <v>#REF!</v>
      </c>
      <c r="Q1214" s="736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</row>
    <row r="1215" ht="3.75" hidden="1" customHeight="1">
      <c r="A1215" s="124"/>
      <c r="B1215" s="2"/>
      <c r="C1215" s="124"/>
      <c r="D1215" s="138"/>
      <c r="E1215" s="252"/>
      <c r="F1215" s="102"/>
      <c r="G1215" s="102"/>
      <c r="H1215" s="102"/>
      <c r="I1215" s="247"/>
      <c r="J1215" s="156"/>
      <c r="K1215" s="164"/>
      <c r="L1215" s="164"/>
      <c r="M1215" s="164"/>
      <c r="N1215" s="164"/>
      <c r="O1215" s="699" t="str">
        <f>I1215/VLOOKUP(K1215,Sheet1!$D$7:$N$16,G1215+1,FALSE)</f>
        <v>#N/A</v>
      </c>
      <c r="P1215" s="684" t="str">
        <f t="shared" si="45"/>
        <v>#REF!</v>
      </c>
      <c r="Q1215" s="702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</row>
    <row r="1216" ht="14.25" hidden="1" customHeight="1">
      <c r="A1216" s="124"/>
      <c r="B1216" s="2"/>
      <c r="C1216" s="124"/>
      <c r="D1216" s="185" t="s">
        <v>10</v>
      </c>
      <c r="E1216" s="260"/>
      <c r="F1216" s="187">
        <v>1.0</v>
      </c>
      <c r="G1216" s="187">
        <v>3.0</v>
      </c>
      <c r="H1216" s="187"/>
      <c r="I1216" s="164">
        <v>285.0</v>
      </c>
      <c r="J1216" s="266">
        <v>7.5</v>
      </c>
      <c r="K1216" s="164">
        <v>8.0</v>
      </c>
      <c r="L1216" s="164"/>
      <c r="M1216" s="164"/>
      <c r="N1216" s="164"/>
      <c r="O1216" s="699">
        <f>I1216/VLOOKUP(K1216,Sheet1!$D$7:$N$16,G1216+1,FALSE)</f>
        <v>329.4797688</v>
      </c>
      <c r="P1216" s="684" t="str">
        <f t="shared" si="45"/>
        <v>#REF!</v>
      </c>
      <c r="Q1216" s="702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</row>
    <row r="1217" ht="3.75" hidden="1" customHeight="1">
      <c r="A1217" s="124"/>
      <c r="B1217" s="2"/>
      <c r="C1217" s="124"/>
      <c r="D1217" s="138"/>
      <c r="E1217" s="252"/>
      <c r="F1217" s="102"/>
      <c r="G1217" s="102"/>
      <c r="H1217" s="102"/>
      <c r="I1217" s="247"/>
      <c r="J1217" s="156"/>
      <c r="K1217" s="164"/>
      <c r="L1217" s="164"/>
      <c r="M1217" s="164"/>
      <c r="N1217" s="164"/>
      <c r="O1217" s="699" t="str">
        <f>I1217/VLOOKUP(K1217,Sheet1!$D$7:$N$16,G1217+1,FALSE)</f>
        <v>#N/A</v>
      </c>
      <c r="P1217" s="684" t="str">
        <f t="shared" si="45"/>
        <v>#REF!</v>
      </c>
      <c r="Q1217" s="702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</row>
    <row r="1218" ht="14.25" hidden="1" customHeight="1">
      <c r="A1218" s="124"/>
      <c r="B1218" s="2"/>
      <c r="C1218" s="124"/>
      <c r="D1218" s="185" t="s">
        <v>10</v>
      </c>
      <c r="E1218" s="260"/>
      <c r="F1218" s="187">
        <v>3.0</v>
      </c>
      <c r="G1218" s="187">
        <v>3.0</v>
      </c>
      <c r="H1218" s="187"/>
      <c r="I1218" s="164">
        <v>250.0</v>
      </c>
      <c r="J1218" s="706">
        <v>-0.1</v>
      </c>
      <c r="K1218" s="164">
        <v>8.0</v>
      </c>
      <c r="L1218" s="164"/>
      <c r="M1218" s="164"/>
      <c r="N1218" s="164"/>
      <c r="O1218" s="699">
        <f>I1218/VLOOKUP(K1218,Sheet1!$D$7:$N$16,G1218+1,FALSE)</f>
        <v>289.017341</v>
      </c>
      <c r="P1218" s="684" t="str">
        <f t="shared" si="45"/>
        <v>#REF!</v>
      </c>
      <c r="Q1218" s="702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</row>
    <row r="1219" ht="3.75" hidden="1" customHeight="1">
      <c r="A1219" s="124"/>
      <c r="B1219" s="2"/>
      <c r="C1219" s="124"/>
      <c r="D1219" s="138"/>
      <c r="E1219" s="252"/>
      <c r="F1219" s="102"/>
      <c r="G1219" s="102"/>
      <c r="H1219" s="102"/>
      <c r="I1219" s="247"/>
      <c r="J1219" s="156"/>
      <c r="K1219" s="164"/>
      <c r="L1219" s="164"/>
      <c r="M1219" s="164"/>
      <c r="N1219" s="164"/>
      <c r="O1219" s="699" t="str">
        <f>I1219/VLOOKUP(K1219,Sheet1!$D$7:$N$16,G1219+1,FALSE)</f>
        <v>#N/A</v>
      </c>
      <c r="P1219" s="684" t="str">
        <f t="shared" si="45"/>
        <v>#REF!</v>
      </c>
      <c r="Q1219" s="702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</row>
    <row r="1220" ht="14.25" hidden="1" customHeight="1">
      <c r="A1220" s="124"/>
      <c r="B1220" s="2"/>
      <c r="C1220" s="124"/>
      <c r="D1220" s="185"/>
      <c r="E1220" s="260"/>
      <c r="F1220" s="187"/>
      <c r="G1220" s="187"/>
      <c r="H1220" s="187"/>
      <c r="I1220" s="164"/>
      <c r="J1220" s="266"/>
      <c r="K1220" s="164"/>
      <c r="L1220" s="164"/>
      <c r="M1220" s="164"/>
      <c r="N1220" s="164"/>
      <c r="O1220" s="699" t="str">
        <f>I1220/VLOOKUP(K1220,Sheet1!$D$7:$N$16,G1220+1,FALSE)</f>
        <v>#N/A</v>
      </c>
      <c r="P1220" s="684" t="str">
        <f t="shared" si="45"/>
        <v>#REF!</v>
      </c>
      <c r="Q1220" s="702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</row>
    <row r="1221" ht="3.75" hidden="1" customHeight="1">
      <c r="A1221" s="124"/>
      <c r="B1221" s="2"/>
      <c r="C1221" s="124"/>
      <c r="D1221" s="138"/>
      <c r="E1221" s="252"/>
      <c r="F1221" s="102"/>
      <c r="G1221" s="102"/>
      <c r="H1221" s="102"/>
      <c r="I1221" s="247"/>
      <c r="J1221" s="156"/>
      <c r="K1221" s="164"/>
      <c r="L1221" s="164"/>
      <c r="M1221" s="164"/>
      <c r="N1221" s="164"/>
      <c r="O1221" s="699" t="str">
        <f>I1221/VLOOKUP(K1221,Sheet1!$D$7:$N$16,G1221+1,FALSE)</f>
        <v>#N/A</v>
      </c>
      <c r="P1221" s="684" t="str">
        <f t="shared" si="45"/>
        <v>#REF!</v>
      </c>
      <c r="Q1221" s="702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</row>
    <row r="1222" ht="14.25" hidden="1" customHeight="1">
      <c r="A1222" s="124"/>
      <c r="B1222" s="2"/>
      <c r="C1222" s="124"/>
      <c r="D1222" s="185" t="s">
        <v>265</v>
      </c>
      <c r="E1222" s="264"/>
      <c r="F1222" s="187">
        <v>3.0</v>
      </c>
      <c r="G1222" s="187">
        <v>7.0</v>
      </c>
      <c r="H1222" s="187"/>
      <c r="I1222" s="164"/>
      <c r="J1222" s="266">
        <v>7.0</v>
      </c>
      <c r="K1222" s="164"/>
      <c r="L1222" s="164"/>
      <c r="M1222" s="164"/>
      <c r="N1222" s="164"/>
      <c r="O1222" s="699" t="str">
        <f>I1222/VLOOKUP(K1222,Sheet1!$D$7:$N$16,G1222+1,FALSE)</f>
        <v>#N/A</v>
      </c>
      <c r="P1222" s="684" t="str">
        <f t="shared" si="45"/>
        <v>#REF!</v>
      </c>
      <c r="Q1222" s="702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</row>
    <row r="1223" ht="3.75" hidden="1" customHeight="1">
      <c r="A1223" s="261"/>
      <c r="B1223" s="719"/>
      <c r="C1223" s="262"/>
      <c r="D1223" s="138"/>
      <c r="E1223" s="252"/>
      <c r="F1223" s="102"/>
      <c r="G1223" s="102"/>
      <c r="H1223" s="102"/>
      <c r="I1223" s="247"/>
      <c r="J1223" s="156"/>
      <c r="K1223" s="164"/>
      <c r="L1223" s="164"/>
      <c r="M1223" s="164"/>
      <c r="N1223" s="164"/>
      <c r="O1223" s="699" t="str">
        <f>I1223/VLOOKUP(K1223,Sheet1!$D$7:$N$16,G1223+1,FALSE)</f>
        <v>#N/A</v>
      </c>
      <c r="P1223" s="684" t="str">
        <f t="shared" si="45"/>
        <v>#REF!</v>
      </c>
      <c r="Q1223" s="702"/>
      <c r="R1223" s="158"/>
      <c r="S1223" s="158"/>
      <c r="T1223" s="158"/>
      <c r="U1223" s="158"/>
      <c r="V1223" s="158"/>
      <c r="W1223" s="158"/>
      <c r="X1223" s="158"/>
      <c r="Y1223" s="158"/>
      <c r="Z1223" s="158"/>
      <c r="AA1223" s="158"/>
      <c r="AB1223" s="158"/>
      <c r="AC1223" s="158"/>
      <c r="AD1223" s="158"/>
      <c r="AE1223" s="158"/>
      <c r="AF1223" s="158"/>
    </row>
    <row r="1224" ht="14.25" hidden="1" customHeight="1">
      <c r="A1224" s="124"/>
      <c r="B1224" s="2"/>
      <c r="C1224" s="124"/>
      <c r="D1224" s="185"/>
      <c r="E1224" s="260"/>
      <c r="F1224" s="187"/>
      <c r="G1224" s="187"/>
      <c r="H1224" s="187"/>
      <c r="I1224" s="164"/>
      <c r="J1224" s="266"/>
      <c r="K1224" s="164"/>
      <c r="L1224" s="164"/>
      <c r="M1224" s="164"/>
      <c r="N1224" s="164"/>
      <c r="O1224" s="699" t="str">
        <f>I1224/VLOOKUP(K1224,Sheet1!$D$7:$N$16,G1224+1,FALSE)</f>
        <v>#N/A</v>
      </c>
      <c r="P1224" s="684" t="str">
        <f t="shared" si="45"/>
        <v>#REF!</v>
      </c>
      <c r="Q1224" s="702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</row>
    <row r="1225" ht="3.75" hidden="1" customHeight="1">
      <c r="A1225" s="261"/>
      <c r="B1225" s="719"/>
      <c r="C1225" s="262"/>
      <c r="D1225" s="138"/>
      <c r="E1225" s="252"/>
      <c r="F1225" s="102"/>
      <c r="G1225" s="102"/>
      <c r="H1225" s="102"/>
      <c r="I1225" s="247"/>
      <c r="J1225" s="156"/>
      <c r="K1225" s="164"/>
      <c r="L1225" s="164"/>
      <c r="M1225" s="164"/>
      <c r="N1225" s="164"/>
      <c r="O1225" s="699" t="str">
        <f>I1225/VLOOKUP(K1225,Sheet1!$D$7:$N$16,G1225+1,FALSE)</f>
        <v>#N/A</v>
      </c>
      <c r="P1225" s="684" t="str">
        <f t="shared" si="45"/>
        <v>#REF!</v>
      </c>
      <c r="Q1225" s="702"/>
      <c r="R1225" s="158"/>
      <c r="S1225" s="158"/>
      <c r="T1225" s="158"/>
      <c r="U1225" s="158"/>
      <c r="V1225" s="158"/>
      <c r="W1225" s="158"/>
      <c r="X1225" s="158"/>
      <c r="Y1225" s="158"/>
      <c r="Z1225" s="158"/>
      <c r="AA1225" s="158"/>
      <c r="AB1225" s="158"/>
      <c r="AC1225" s="158"/>
      <c r="AD1225" s="158"/>
      <c r="AE1225" s="158"/>
      <c r="AF1225" s="158"/>
    </row>
    <row r="1226" ht="15.75" hidden="1" customHeight="1">
      <c r="A1226" s="124"/>
      <c r="B1226" s="2"/>
      <c r="C1226" s="124"/>
      <c r="D1226" s="185"/>
      <c r="E1226" s="260"/>
      <c r="F1226" s="187"/>
      <c r="G1226" s="187"/>
      <c r="H1226" s="187"/>
      <c r="I1226" s="247"/>
      <c r="J1226" s="266"/>
      <c r="K1226" s="164"/>
      <c r="L1226" s="164"/>
      <c r="M1226" s="164"/>
      <c r="N1226" s="164"/>
      <c r="O1226" s="699" t="str">
        <f>I1226/VLOOKUP(K1226,Sheet1!$D$7:$N$16,G1226+1,FALSE)</f>
        <v>#N/A</v>
      </c>
      <c r="P1226" s="684" t="str">
        <f t="shared" si="45"/>
        <v>#REF!</v>
      </c>
      <c r="Q1226" s="702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</row>
    <row r="1227" ht="3.75" hidden="1" customHeight="1">
      <c r="A1227" s="124"/>
      <c r="B1227" s="2"/>
      <c r="C1227" s="124"/>
      <c r="D1227" s="263"/>
      <c r="E1227" s="252"/>
      <c r="F1227" s="102"/>
      <c r="G1227" s="102"/>
      <c r="H1227" s="102"/>
      <c r="I1227" s="247"/>
      <c r="J1227" s="156"/>
      <c r="K1227" s="164"/>
      <c r="L1227" s="164"/>
      <c r="M1227" s="164"/>
      <c r="N1227" s="164"/>
      <c r="O1227" s="699" t="str">
        <f>I1227/VLOOKUP(K1227,Sheet1!$D$7:$N$16,G1227+1,FALSE)</f>
        <v>#N/A</v>
      </c>
      <c r="P1227" s="684"/>
      <c r="Q1227" s="702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</row>
    <row r="1228" ht="14.25" hidden="1" customHeight="1">
      <c r="A1228" s="90"/>
      <c r="B1228" s="2"/>
      <c r="C1228" s="90"/>
      <c r="D1228" s="185" t="s">
        <v>267</v>
      </c>
      <c r="E1228" s="264"/>
      <c r="F1228" s="187">
        <v>3.0</v>
      </c>
      <c r="G1228" s="731" t="s">
        <v>260</v>
      </c>
      <c r="H1228" s="187"/>
      <c r="I1228" s="164"/>
      <c r="J1228" s="266">
        <v>8.0</v>
      </c>
      <c r="K1228" s="164"/>
      <c r="L1228" s="164"/>
      <c r="M1228" s="164"/>
      <c r="N1228" s="164"/>
      <c r="O1228" s="699" t="str">
        <f>I1228/VLOOKUP(K1228,Sheet1!$D$7:$N$16,G1228+1,FALSE)</f>
        <v>#REF!</v>
      </c>
      <c r="P1228" s="684"/>
      <c r="Q1228" s="702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</row>
    <row r="1229" ht="3.75" hidden="1" customHeight="1">
      <c r="A1229" s="261"/>
      <c r="B1229" s="719"/>
      <c r="C1229" s="262"/>
      <c r="D1229" s="263"/>
      <c r="E1229" s="263"/>
      <c r="F1229" s="194"/>
      <c r="G1229" s="194"/>
      <c r="H1229" s="194"/>
      <c r="I1229" s="164"/>
      <c r="J1229" s="267"/>
      <c r="K1229" s="164"/>
      <c r="L1229" s="164"/>
      <c r="M1229" s="164"/>
      <c r="N1229" s="164"/>
      <c r="O1229" s="699" t="str">
        <f>I1229/VLOOKUP(K1229,Sheet1!$D$7:$N$16,G1229+1,FALSE)</f>
        <v>#N/A</v>
      </c>
      <c r="P1229" s="684"/>
      <c r="Q1229" s="702"/>
      <c r="R1229" s="158"/>
      <c r="S1229" s="158"/>
      <c r="T1229" s="158"/>
      <c r="U1229" s="158"/>
      <c r="V1229" s="158"/>
      <c r="W1229" s="158"/>
      <c r="X1229" s="158"/>
      <c r="Y1229" s="158"/>
      <c r="Z1229" s="158"/>
      <c r="AA1229" s="158"/>
      <c r="AB1229" s="158"/>
      <c r="AC1229" s="158"/>
      <c r="AD1229" s="158"/>
      <c r="AE1229" s="158"/>
      <c r="AF1229" s="158"/>
    </row>
    <row r="1230" ht="15.75" hidden="1" customHeight="1">
      <c r="A1230" s="90"/>
      <c r="B1230" s="2"/>
      <c r="C1230" s="90"/>
      <c r="D1230" s="185" t="s">
        <v>268</v>
      </c>
      <c r="E1230" s="266"/>
      <c r="F1230" s="187">
        <v>3.0</v>
      </c>
      <c r="G1230" s="731" t="s">
        <v>251</v>
      </c>
      <c r="H1230" s="187"/>
      <c r="I1230" s="164"/>
      <c r="J1230" s="266">
        <v>9.0</v>
      </c>
      <c r="K1230" s="164"/>
      <c r="L1230" s="164"/>
      <c r="M1230" s="164"/>
      <c r="N1230" s="164"/>
      <c r="O1230" s="699" t="str">
        <f>I1230/VLOOKUP(K1230,Sheet1!$D$7:$N$16,G1230+1,FALSE)</f>
        <v>#REF!</v>
      </c>
      <c r="P1230" s="684"/>
      <c r="Q1230" s="702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</row>
    <row r="1231" ht="3.75" hidden="1" customHeight="1">
      <c r="A1231" s="90"/>
      <c r="B1231" s="2"/>
      <c r="C1231" s="90"/>
      <c r="D1231" s="138"/>
      <c r="E1231" s="252"/>
      <c r="F1231" s="102"/>
      <c r="G1231" s="102"/>
      <c r="H1231" s="102"/>
      <c r="I1231" s="247"/>
      <c r="J1231" s="156"/>
      <c r="K1231" s="164"/>
      <c r="L1231" s="164"/>
      <c r="M1231" s="164"/>
      <c r="N1231" s="164"/>
      <c r="O1231" s="699" t="str">
        <f>I1231/VLOOKUP(K1231,Sheet1!$D$7:$N$16,G1231+1,FALSE)</f>
        <v>#N/A</v>
      </c>
      <c r="P1231" s="684"/>
      <c r="Q1231" s="702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</row>
    <row r="1232" ht="15.75" hidden="1" customHeight="1">
      <c r="A1232" s="90"/>
      <c r="B1232" s="2"/>
      <c r="C1232" s="90"/>
      <c r="D1232" s="185" t="s">
        <v>269</v>
      </c>
      <c r="E1232" s="266"/>
      <c r="F1232" s="187">
        <v>3.0</v>
      </c>
      <c r="G1232" s="731" t="s">
        <v>260</v>
      </c>
      <c r="H1232" s="187"/>
      <c r="I1232" s="164"/>
      <c r="J1232" s="266">
        <v>9.0</v>
      </c>
      <c r="K1232" s="164"/>
      <c r="L1232" s="164"/>
      <c r="M1232" s="164"/>
      <c r="N1232" s="164"/>
      <c r="O1232" s="699" t="str">
        <f>I1232/VLOOKUP(K1232,Sheet1!$D$7:$N$16,G1232+1,FALSE)</f>
        <v>#REF!</v>
      </c>
      <c r="P1232" s="684"/>
      <c r="Q1232" s="702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</row>
    <row r="1233" ht="3.75" hidden="1" customHeight="1">
      <c r="A1233" s="191"/>
      <c r="B1233" s="719"/>
      <c r="C1233" s="192"/>
      <c r="D1233" s="138"/>
      <c r="E1233" s="252"/>
      <c r="F1233" s="102"/>
      <c r="G1233" s="102"/>
      <c r="H1233" s="102"/>
      <c r="I1233" s="247"/>
      <c r="J1233" s="156"/>
      <c r="K1233" s="164"/>
      <c r="L1233" s="164"/>
      <c r="M1233" s="164"/>
      <c r="N1233" s="164"/>
      <c r="O1233" s="699" t="str">
        <f>I1233/VLOOKUP(K1233,Sheet1!$D$7:$N$16,G1233+1,FALSE)</f>
        <v>#N/A</v>
      </c>
      <c r="P1233" s="684"/>
      <c r="Q1233" s="702"/>
      <c r="R1233" s="158"/>
      <c r="S1233" s="158"/>
      <c r="T1233" s="158"/>
      <c r="U1233" s="158"/>
      <c r="V1233" s="158"/>
      <c r="W1233" s="158"/>
      <c r="X1233" s="158"/>
      <c r="Y1233" s="158"/>
      <c r="Z1233" s="158"/>
      <c r="AA1233" s="158"/>
      <c r="AB1233" s="158"/>
      <c r="AC1233" s="158"/>
      <c r="AD1233" s="158"/>
      <c r="AE1233" s="158"/>
      <c r="AF1233" s="158"/>
    </row>
    <row r="1234" ht="15.75" hidden="1" customHeight="1">
      <c r="A1234" s="90"/>
      <c r="B1234" s="2"/>
      <c r="C1234" s="90"/>
      <c r="D1234" s="185" t="s">
        <v>270</v>
      </c>
      <c r="E1234" s="260"/>
      <c r="F1234" s="187">
        <v>3.0</v>
      </c>
      <c r="G1234" s="731" t="s">
        <v>260</v>
      </c>
      <c r="H1234" s="187"/>
      <c r="I1234" s="164"/>
      <c r="J1234" s="266">
        <v>9.0</v>
      </c>
      <c r="K1234" s="164"/>
      <c r="L1234" s="164"/>
      <c r="M1234" s="164"/>
      <c r="N1234" s="164"/>
      <c r="O1234" s="699" t="str">
        <f>I1234/VLOOKUP(K1234,Sheet1!$D$7:$N$16,G1234+1,FALSE)</f>
        <v>#REF!</v>
      </c>
      <c r="P1234" s="684"/>
      <c r="Q1234" s="702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</row>
    <row r="1235" ht="3.75" hidden="1" customHeight="1">
      <c r="A1235" s="90"/>
      <c r="B1235" s="2"/>
      <c r="C1235" s="90"/>
      <c r="D1235" s="263"/>
      <c r="E1235" s="252"/>
      <c r="F1235" s="102"/>
      <c r="G1235" s="102"/>
      <c r="H1235" s="102"/>
      <c r="I1235" s="247"/>
      <c r="J1235" s="156"/>
      <c r="K1235" s="164"/>
      <c r="L1235" s="164"/>
      <c r="M1235" s="164"/>
      <c r="N1235" s="164"/>
      <c r="O1235" s="699" t="str">
        <f>I1235/VLOOKUP(K1235,Sheet1!$D$7:$N$16,G1235+1,FALSE)</f>
        <v>#N/A</v>
      </c>
      <c r="P1235" s="684"/>
      <c r="Q1235" s="702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</row>
    <row r="1236" ht="15.75" hidden="1" customHeight="1">
      <c r="A1236" s="90"/>
      <c r="B1236" s="2"/>
      <c r="C1236" s="90"/>
      <c r="D1236" s="185" t="s">
        <v>256</v>
      </c>
      <c r="E1236" s="266"/>
      <c r="F1236" s="187">
        <v>3.0</v>
      </c>
      <c r="G1236" s="187" t="s">
        <v>16</v>
      </c>
      <c r="H1236" s="187"/>
      <c r="I1236" s="164"/>
      <c r="J1236" s="266">
        <v>9.0</v>
      </c>
      <c r="K1236" s="164"/>
      <c r="L1236" s="164"/>
      <c r="M1236" s="164"/>
      <c r="N1236" s="164"/>
      <c r="O1236" s="699" t="str">
        <f>I1236/VLOOKUP(K1236,Sheet1!$D$7:$N$16,G1236+1,FALSE)</f>
        <v>#VALUE!</v>
      </c>
      <c r="P1236" s="684"/>
      <c r="Q1236" s="697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</row>
    <row r="1237" ht="3.75" hidden="1" customHeight="1">
      <c r="A1237" s="191"/>
      <c r="B1237" s="719"/>
      <c r="C1237" s="192"/>
      <c r="D1237" s="192"/>
      <c r="E1237" s="267"/>
      <c r="F1237" s="194"/>
      <c r="G1237" s="194"/>
      <c r="H1237" s="194"/>
      <c r="I1237" s="194"/>
      <c r="J1237" s="267"/>
      <c r="K1237" s="273"/>
      <c r="L1237" s="737"/>
      <c r="M1237" s="737"/>
      <c r="N1237" s="737"/>
      <c r="O1237" s="271"/>
      <c r="P1237" s="272"/>
      <c r="Q1237" s="273"/>
      <c r="R1237" s="158"/>
      <c r="S1237" s="158"/>
      <c r="T1237" s="158"/>
      <c r="U1237" s="158"/>
      <c r="V1237" s="158"/>
      <c r="W1237" s="158"/>
      <c r="X1237" s="158"/>
      <c r="Y1237" s="158"/>
      <c r="Z1237" s="158"/>
      <c r="AA1237" s="158"/>
      <c r="AB1237" s="158"/>
      <c r="AC1237" s="158"/>
      <c r="AD1237" s="158"/>
      <c r="AE1237" s="158"/>
      <c r="AF1237" s="158"/>
    </row>
    <row r="1238" ht="14.25" hidden="1" customHeight="1">
      <c r="A1238" s="5"/>
      <c r="B1238" s="2"/>
      <c r="C1238" s="5"/>
      <c r="D1238" s="738"/>
      <c r="E1238" s="739"/>
      <c r="F1238" s="683"/>
      <c r="G1238" s="683"/>
      <c r="H1238" s="683"/>
      <c r="I1238" s="683"/>
      <c r="J1238" s="739"/>
      <c r="K1238" s="738"/>
      <c r="L1238" s="683"/>
      <c r="M1238" s="683"/>
      <c r="N1238" s="683"/>
      <c r="O1238" s="740"/>
      <c r="P1238" s="4"/>
      <c r="Q1238" s="738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</row>
    <row r="1239" ht="14.25" hidden="1" customHeight="1">
      <c r="A1239" s="5"/>
      <c r="B1239" s="2"/>
      <c r="C1239" s="5"/>
      <c r="D1239" s="738"/>
      <c r="E1239" s="739"/>
      <c r="F1239" s="683"/>
      <c r="G1239" s="683"/>
      <c r="H1239" s="683"/>
      <c r="I1239" s="683"/>
      <c r="J1239" s="739"/>
      <c r="K1239" s="738"/>
      <c r="L1239" s="683"/>
      <c r="M1239" s="683"/>
      <c r="N1239" s="683"/>
      <c r="O1239" s="741"/>
      <c r="P1239" s="4"/>
      <c r="Q1239" s="738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</row>
    <row r="1240" ht="14.25" hidden="1" customHeight="1">
      <c r="A1240" s="5"/>
      <c r="B1240" s="2"/>
      <c r="C1240" s="5"/>
      <c r="D1240" s="738"/>
      <c r="E1240" s="739"/>
      <c r="F1240" s="683"/>
      <c r="G1240" s="683"/>
      <c r="H1240" s="683"/>
      <c r="I1240" s="683"/>
      <c r="J1240" s="739"/>
      <c r="K1240" s="738"/>
      <c r="L1240" s="683"/>
      <c r="M1240" s="683"/>
      <c r="N1240" s="683"/>
      <c r="O1240" s="741"/>
      <c r="P1240" s="4"/>
      <c r="Q1240" s="738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</row>
    <row r="1241" ht="14.25" hidden="1" customHeight="1">
      <c r="A1241" s="5"/>
      <c r="B1241" s="2"/>
      <c r="C1241" s="5"/>
      <c r="D1241" s="738"/>
      <c r="E1241" s="739"/>
      <c r="F1241" s="683"/>
      <c r="G1241" s="683"/>
      <c r="H1241" s="683"/>
      <c r="I1241" s="683"/>
      <c r="J1241" s="739"/>
      <c r="K1241" s="738"/>
      <c r="L1241" s="683"/>
      <c r="M1241" s="683"/>
      <c r="N1241" s="683"/>
      <c r="O1241" s="741"/>
      <c r="P1241" s="4"/>
      <c r="Q1241" s="738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</row>
    <row r="1242" ht="14.25" hidden="1" customHeight="1">
      <c r="A1242" s="5"/>
      <c r="B1242" s="2"/>
      <c r="C1242" s="5"/>
      <c r="D1242" s="738"/>
      <c r="E1242" s="739"/>
      <c r="F1242" s="683"/>
      <c r="G1242" s="683"/>
      <c r="H1242" s="683"/>
      <c r="I1242" s="683"/>
      <c r="J1242" s="739"/>
      <c r="K1242" s="738"/>
      <c r="L1242" s="683"/>
      <c r="M1242" s="683"/>
      <c r="N1242" s="683"/>
      <c r="O1242" s="741"/>
      <c r="P1242" s="4"/>
      <c r="Q1242" s="738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</row>
    <row r="1243" ht="14.25" hidden="1" customHeight="1">
      <c r="A1243" s="5"/>
      <c r="B1243" s="2"/>
      <c r="C1243" s="5"/>
      <c r="D1243" s="738"/>
      <c r="E1243" s="739"/>
      <c r="F1243" s="683"/>
      <c r="G1243" s="683"/>
      <c r="H1243" s="683"/>
      <c r="I1243" s="683"/>
      <c r="J1243" s="739"/>
      <c r="K1243" s="738"/>
      <c r="L1243" s="683"/>
      <c r="M1243" s="683"/>
      <c r="N1243" s="683"/>
      <c r="O1243" s="741"/>
      <c r="P1243" s="4"/>
      <c r="Q1243" s="738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</row>
    <row r="1244" ht="14.25" hidden="1" customHeight="1">
      <c r="A1244" s="5"/>
      <c r="B1244" s="2"/>
      <c r="C1244" s="5"/>
      <c r="D1244" s="5"/>
      <c r="E1244" s="75"/>
      <c r="F1244" s="3"/>
      <c r="G1244" s="3"/>
      <c r="H1244" s="3"/>
      <c r="I1244" s="3"/>
      <c r="J1244" s="75"/>
      <c r="K1244" s="5"/>
      <c r="L1244" s="3"/>
      <c r="M1244" s="3"/>
      <c r="N1244" s="3"/>
      <c r="O1244" s="3"/>
      <c r="P1244" s="4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</row>
    <row r="1245" ht="19.5" hidden="1" customHeight="1">
      <c r="A1245" s="5"/>
      <c r="B1245" s="2"/>
      <c r="C1245" s="5"/>
      <c r="D1245" s="663" t="s">
        <v>240</v>
      </c>
      <c r="E1245" s="664">
        <v>5.0</v>
      </c>
      <c r="F1245" s="665"/>
      <c r="G1245" s="666"/>
      <c r="H1245" s="665"/>
      <c r="I1245" s="667"/>
      <c r="J1245" s="668"/>
      <c r="K1245" s="669"/>
      <c r="L1245" s="453"/>
      <c r="M1245" s="453"/>
      <c r="N1245" s="453"/>
      <c r="O1245" s="3"/>
      <c r="P1245" s="4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</row>
    <row r="1246" ht="27.0" hidden="1" customHeight="1">
      <c r="A1246" s="90"/>
      <c r="B1246" s="2"/>
      <c r="C1246" s="90"/>
      <c r="D1246" s="670"/>
      <c r="E1246" s="671"/>
      <c r="F1246" s="672" t="s">
        <v>16</v>
      </c>
      <c r="G1246" s="673" t="s">
        <v>17</v>
      </c>
      <c r="H1246" s="665"/>
      <c r="I1246" s="674" t="s">
        <v>18</v>
      </c>
      <c r="J1246" s="675" t="s">
        <v>241</v>
      </c>
      <c r="K1246" s="676"/>
      <c r="L1246" s="676"/>
      <c r="M1246" s="676"/>
      <c r="N1246" s="676"/>
      <c r="O1246" s="122" t="s">
        <v>242</v>
      </c>
      <c r="P1246" s="677" t="s">
        <v>243</v>
      </c>
      <c r="Q1246" s="678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</row>
    <row r="1247" ht="14.25" hidden="1" customHeight="1">
      <c r="A1247" s="90"/>
      <c r="B1247" s="2"/>
      <c r="C1247" s="90"/>
      <c r="D1247" s="679" t="s">
        <v>13</v>
      </c>
      <c r="E1247" s="671"/>
      <c r="F1247" s="680"/>
      <c r="G1247" s="681"/>
      <c r="H1247" s="665"/>
      <c r="I1247" s="681"/>
      <c r="J1247" s="675" t="s">
        <v>244</v>
      </c>
      <c r="K1247" s="214"/>
      <c r="L1247" s="682"/>
      <c r="M1247" s="682"/>
      <c r="N1247" s="682"/>
      <c r="O1247" s="683"/>
      <c r="P1247" s="684" t="s">
        <v>245</v>
      </c>
      <c r="Q1247" s="68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</row>
    <row r="1248" ht="3.75" hidden="1" customHeight="1">
      <c r="A1248" s="90"/>
      <c r="B1248" s="2"/>
      <c r="C1248" s="90"/>
      <c r="D1248" s="97"/>
      <c r="E1248" s="98"/>
      <c r="F1248" s="99"/>
      <c r="G1248" s="99"/>
      <c r="H1248" s="99"/>
      <c r="I1248" s="100"/>
      <c r="J1248" s="101"/>
      <c r="K1248" s="90"/>
      <c r="L1248" s="102"/>
      <c r="M1248" s="102"/>
      <c r="N1248" s="102"/>
      <c r="O1248" s="103"/>
      <c r="P1248" s="4"/>
      <c r="Q1248" s="90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</row>
    <row r="1249" ht="30.0" hidden="1" customHeight="1">
      <c r="A1249" s="90"/>
      <c r="B1249" s="2"/>
      <c r="C1249" s="90"/>
      <c r="D1249" s="686" t="s">
        <v>271</v>
      </c>
      <c r="E1249" s="687" t="s">
        <v>15</v>
      </c>
      <c r="F1249" s="688"/>
      <c r="G1249" s="688"/>
      <c r="H1249" s="688"/>
      <c r="I1249" s="689"/>
      <c r="J1249" s="690"/>
      <c r="K1249" s="691" t="s">
        <v>20</v>
      </c>
      <c r="L1249" s="692"/>
      <c r="M1249" s="692"/>
      <c r="N1249" s="692"/>
      <c r="O1249" s="683"/>
      <c r="P1249" s="684"/>
      <c r="Q1249" s="693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</row>
    <row r="1250" ht="19.5" hidden="1" customHeight="1">
      <c r="A1250" s="90"/>
      <c r="B1250" s="2"/>
      <c r="C1250" s="90"/>
      <c r="D1250" s="257" t="s">
        <v>25</v>
      </c>
      <c r="E1250" s="257" t="s">
        <v>26</v>
      </c>
      <c r="F1250" s="694"/>
      <c r="G1250" s="694"/>
      <c r="H1250" s="694"/>
      <c r="I1250" s="695"/>
      <c r="J1250" s="696"/>
      <c r="K1250" s="697"/>
      <c r="L1250" s="692"/>
      <c r="M1250" s="692"/>
      <c r="N1250" s="692"/>
      <c r="O1250" s="683"/>
      <c r="P1250" s="684"/>
      <c r="Q1250" s="698" t="s">
        <v>30</v>
      </c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</row>
    <row r="1251" ht="3.75" hidden="1" customHeight="1">
      <c r="A1251" s="90"/>
      <c r="B1251" s="2"/>
      <c r="C1251" s="90"/>
      <c r="D1251" s="97"/>
      <c r="E1251" s="98"/>
      <c r="F1251" s="99"/>
      <c r="G1251" s="99"/>
      <c r="H1251" s="99"/>
      <c r="I1251" s="100"/>
      <c r="J1251" s="101"/>
      <c r="K1251" s="90"/>
      <c r="L1251" s="102"/>
      <c r="M1251" s="102"/>
      <c r="N1251" s="102"/>
      <c r="O1251" s="699"/>
      <c r="P1251" s="684"/>
      <c r="Q1251" s="90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</row>
    <row r="1252" ht="15.75" hidden="1" customHeight="1">
      <c r="A1252" s="124"/>
      <c r="B1252" s="2"/>
      <c r="C1252" s="124"/>
      <c r="D1252" s="185" t="s">
        <v>285</v>
      </c>
      <c r="E1252" s="260"/>
      <c r="F1252" s="187">
        <v>1.0</v>
      </c>
      <c r="G1252" s="187">
        <v>6.0</v>
      </c>
      <c r="H1252" s="187"/>
      <c r="I1252" s="164">
        <v>160.0</v>
      </c>
      <c r="J1252" s="266">
        <v>5.0</v>
      </c>
      <c r="K1252" s="183">
        <v>6.5</v>
      </c>
      <c r="L1252" s="183"/>
      <c r="M1252" s="183"/>
      <c r="N1252" s="183"/>
      <c r="O1252" s="699">
        <f>I1252/VLOOKUP(K1252,Sheet1!$D$7:$N$16,G1252+1,FALSE)</f>
        <v>212.6245847</v>
      </c>
      <c r="P1252" s="684" t="str">
        <f t="shared" ref="P1252:P1273" si="46">I1252-#REF!</f>
        <v>#REF!</v>
      </c>
      <c r="Q1252" s="700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</row>
    <row r="1253" ht="3.75" hidden="1" customHeight="1">
      <c r="A1253" s="137"/>
      <c r="B1253" s="661"/>
      <c r="C1253" s="137"/>
      <c r="D1253" s="138"/>
      <c r="E1253" s="252"/>
      <c r="F1253" s="140"/>
      <c r="G1253" s="140"/>
      <c r="H1253" s="140"/>
      <c r="I1253" s="701"/>
      <c r="J1253" s="141"/>
      <c r="K1253" s="183"/>
      <c r="L1253" s="183"/>
      <c r="M1253" s="183"/>
      <c r="N1253" s="183"/>
      <c r="O1253" s="699" t="str">
        <f>I1253/VLOOKUP(K1253,Sheet1!$D$7:$N$16,G1253+1,FALSE)</f>
        <v>#N/A</v>
      </c>
      <c r="P1253" s="684" t="str">
        <f t="shared" si="46"/>
        <v>#REF!</v>
      </c>
      <c r="Q1253" s="702"/>
      <c r="R1253" s="148"/>
      <c r="S1253" s="148"/>
      <c r="T1253" s="148"/>
      <c r="U1253" s="148"/>
      <c r="V1253" s="148"/>
      <c r="W1253" s="148"/>
      <c r="X1253" s="148"/>
      <c r="Y1253" s="148"/>
      <c r="Z1253" s="148"/>
      <c r="AA1253" s="148"/>
      <c r="AB1253" s="148"/>
      <c r="AC1253" s="148"/>
      <c r="AD1253" s="148"/>
      <c r="AE1253" s="148"/>
      <c r="AF1253" s="148"/>
    </row>
    <row r="1254" ht="15.75" hidden="1" customHeight="1">
      <c r="A1254" s="149"/>
      <c r="B1254" s="703"/>
      <c r="C1254" s="149"/>
      <c r="D1254" s="185" t="s">
        <v>285</v>
      </c>
      <c r="E1254" s="260"/>
      <c r="F1254" s="187">
        <v>1.0</v>
      </c>
      <c r="G1254" s="187">
        <v>6.0</v>
      </c>
      <c r="H1254" s="187"/>
      <c r="I1254" s="164">
        <v>160.0</v>
      </c>
      <c r="J1254" s="266">
        <v>6.0</v>
      </c>
      <c r="K1254" s="183">
        <v>6.5</v>
      </c>
      <c r="L1254" s="183"/>
      <c r="M1254" s="183"/>
      <c r="N1254" s="183"/>
      <c r="O1254" s="699">
        <f>I1254/VLOOKUP(K1254,Sheet1!$D$7:$N$16,G1254+1,FALSE)</f>
        <v>212.6245847</v>
      </c>
      <c r="P1254" s="684" t="str">
        <f t="shared" si="46"/>
        <v>#REF!</v>
      </c>
      <c r="Q1254" s="702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</row>
    <row r="1255" ht="3.75" hidden="1" customHeight="1">
      <c r="A1255" s="152"/>
      <c r="B1255" s="705"/>
      <c r="C1255" s="153"/>
      <c r="D1255" s="138"/>
      <c r="E1255" s="263"/>
      <c r="F1255" s="194"/>
      <c r="G1255" s="194"/>
      <c r="H1255" s="194"/>
      <c r="I1255" s="164"/>
      <c r="J1255" s="267"/>
      <c r="K1255" s="183"/>
      <c r="L1255" s="183"/>
      <c r="M1255" s="183"/>
      <c r="N1255" s="183"/>
      <c r="O1255" s="699" t="str">
        <f>I1255/VLOOKUP(K1255,Sheet1!$D$7:$N$16,G1255+1,FALSE)</f>
        <v>#N/A</v>
      </c>
      <c r="P1255" s="684" t="str">
        <f t="shared" si="46"/>
        <v>#REF!</v>
      </c>
      <c r="Q1255" s="702"/>
      <c r="R1255" s="158"/>
      <c r="S1255" s="158"/>
      <c r="T1255" s="158"/>
      <c r="U1255" s="158"/>
      <c r="V1255" s="158"/>
      <c r="W1255" s="158"/>
      <c r="X1255" s="158"/>
      <c r="Y1255" s="158"/>
      <c r="Z1255" s="158"/>
      <c r="AA1255" s="158"/>
      <c r="AB1255" s="158"/>
      <c r="AC1255" s="158"/>
      <c r="AD1255" s="158"/>
      <c r="AE1255" s="158"/>
      <c r="AF1255" s="158"/>
    </row>
    <row r="1256" ht="15.75" hidden="1" customHeight="1">
      <c r="A1256" s="149"/>
      <c r="B1256" s="703"/>
      <c r="C1256" s="149"/>
      <c r="D1256" s="185" t="s">
        <v>285</v>
      </c>
      <c r="E1256" s="264"/>
      <c r="F1256" s="187">
        <v>1.0</v>
      </c>
      <c r="G1256" s="187">
        <v>6.0</v>
      </c>
      <c r="H1256" s="187"/>
      <c r="I1256" s="164">
        <v>160.0</v>
      </c>
      <c r="J1256" s="266" t="s">
        <v>78</v>
      </c>
      <c r="K1256" s="183">
        <v>7.0</v>
      </c>
      <c r="L1256" s="183"/>
      <c r="M1256" s="183"/>
      <c r="N1256" s="183"/>
      <c r="O1256" s="699">
        <f>I1256/VLOOKUP(K1256,Sheet1!$D$7:$N$16,G1256+1,FALSE)</f>
        <v>209.1503268</v>
      </c>
      <c r="P1256" s="684" t="str">
        <f t="shared" si="46"/>
        <v>#REF!</v>
      </c>
      <c r="Q1256" s="702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</row>
    <row r="1257" ht="3.75" hidden="1" customHeight="1">
      <c r="A1257" s="162"/>
      <c r="B1257" s="707"/>
      <c r="C1257" s="162"/>
      <c r="D1257" s="138"/>
      <c r="E1257" s="708"/>
      <c r="F1257" s="140"/>
      <c r="G1257" s="140"/>
      <c r="H1257" s="140"/>
      <c r="I1257" s="701"/>
      <c r="J1257" s="141"/>
      <c r="K1257" s="183"/>
      <c r="L1257" s="183"/>
      <c r="M1257" s="183"/>
      <c r="N1257" s="183"/>
      <c r="O1257" s="699" t="str">
        <f>I1257/VLOOKUP(K1257,Sheet1!$D$7:$N$16,G1257+1,FALSE)</f>
        <v>#N/A</v>
      </c>
      <c r="P1257" s="684" t="str">
        <f t="shared" si="46"/>
        <v>#REF!</v>
      </c>
      <c r="Q1257" s="702"/>
      <c r="R1257" s="148"/>
      <c r="S1257" s="148"/>
      <c r="T1257" s="148"/>
      <c r="U1257" s="148"/>
      <c r="V1257" s="148"/>
      <c r="W1257" s="148"/>
      <c r="X1257" s="148"/>
      <c r="Y1257" s="148"/>
      <c r="Z1257" s="148"/>
      <c r="AA1257" s="148"/>
      <c r="AB1257" s="148"/>
      <c r="AC1257" s="148"/>
      <c r="AD1257" s="148"/>
      <c r="AE1257" s="148"/>
      <c r="AF1257" s="148"/>
    </row>
    <row r="1258" ht="15.75" hidden="1" customHeight="1">
      <c r="A1258" s="149"/>
      <c r="B1258" s="703"/>
      <c r="C1258" s="149"/>
      <c r="D1258" s="185" t="s">
        <v>265</v>
      </c>
      <c r="E1258" s="264"/>
      <c r="F1258" s="187">
        <v>3.0</v>
      </c>
      <c r="G1258" s="187">
        <v>7.0</v>
      </c>
      <c r="H1258" s="187"/>
      <c r="I1258" s="164">
        <v>110.0</v>
      </c>
      <c r="J1258" s="266">
        <v>6.0</v>
      </c>
      <c r="K1258" s="183">
        <v>6.0</v>
      </c>
      <c r="L1258" s="183"/>
      <c r="M1258" s="183"/>
      <c r="N1258" s="183"/>
      <c r="O1258" s="699">
        <f>I1258/VLOOKUP(K1258,Sheet1!$D$7:$N$16,G1258+1,FALSE)</f>
        <v>153.8461538</v>
      </c>
      <c r="P1258" s="684" t="str">
        <f t="shared" si="46"/>
        <v>#REF!</v>
      </c>
      <c r="Q1258" s="702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</row>
    <row r="1259" ht="3.75" hidden="1" customHeight="1">
      <c r="A1259" s="162"/>
      <c r="B1259" s="707"/>
      <c r="C1259" s="162"/>
      <c r="D1259" s="138"/>
      <c r="E1259" s="321"/>
      <c r="F1259" s="102"/>
      <c r="G1259" s="102"/>
      <c r="H1259" s="102"/>
      <c r="I1259" s="247"/>
      <c r="J1259" s="156"/>
      <c r="K1259" s="183"/>
      <c r="L1259" s="183"/>
      <c r="M1259" s="183"/>
      <c r="N1259" s="183"/>
      <c r="O1259" s="699" t="str">
        <f>I1259/VLOOKUP(K1259,Sheet1!$D$7:$N$16,G1259+1,FALSE)</f>
        <v>#N/A</v>
      </c>
      <c r="P1259" s="684" t="str">
        <f t="shared" si="46"/>
        <v>#REF!</v>
      </c>
      <c r="Q1259" s="702"/>
      <c r="R1259" s="148"/>
      <c r="S1259" s="148"/>
      <c r="T1259" s="148"/>
      <c r="U1259" s="148"/>
      <c r="V1259" s="148"/>
      <c r="W1259" s="148"/>
      <c r="X1259" s="148"/>
      <c r="Y1259" s="148"/>
      <c r="Z1259" s="148"/>
      <c r="AA1259" s="148"/>
      <c r="AB1259" s="148"/>
      <c r="AC1259" s="148"/>
      <c r="AD1259" s="148"/>
      <c r="AE1259" s="148"/>
      <c r="AF1259" s="148"/>
    </row>
    <row r="1260" ht="15.75" hidden="1" customHeight="1">
      <c r="A1260" s="90"/>
      <c r="B1260" s="2"/>
      <c r="C1260" s="90"/>
      <c r="D1260" s="260" t="s">
        <v>273</v>
      </c>
      <c r="E1260" s="266"/>
      <c r="F1260" s="187">
        <v>3.0</v>
      </c>
      <c r="G1260" s="731" t="s">
        <v>251</v>
      </c>
      <c r="H1260" s="187"/>
      <c r="I1260" s="164"/>
      <c r="J1260" s="266">
        <v>8.0</v>
      </c>
      <c r="K1260" s="183">
        <v>8.0</v>
      </c>
      <c r="L1260" s="183"/>
      <c r="M1260" s="183"/>
      <c r="N1260" s="183"/>
      <c r="O1260" s="699" t="str">
        <f>I1260/VLOOKUP(K1260,Sheet1!$D$7:$N$16,G1260+1,FALSE)</f>
        <v>#REF!</v>
      </c>
      <c r="P1260" s="684" t="str">
        <f t="shared" si="46"/>
        <v>#REF!</v>
      </c>
      <c r="Q1260" s="702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</row>
    <row r="1261" ht="3.75" hidden="1" customHeight="1">
      <c r="A1261" s="168"/>
      <c r="B1261" s="661"/>
      <c r="C1261" s="168"/>
      <c r="D1261" s="171"/>
      <c r="E1261" s="714"/>
      <c r="F1261" s="173"/>
      <c r="G1261" s="173"/>
      <c r="H1261" s="715"/>
      <c r="I1261" s="716"/>
      <c r="J1261" s="174"/>
      <c r="K1261" s="183"/>
      <c r="L1261" s="183"/>
      <c r="M1261" s="183"/>
      <c r="N1261" s="183"/>
      <c r="O1261" s="699" t="str">
        <f>I1261/VLOOKUP(K1261,Sheet1!$D$7:$N$16,G1261+1,FALSE)</f>
        <v>#N/A</v>
      </c>
      <c r="P1261" s="684" t="str">
        <f t="shared" si="46"/>
        <v>#REF!</v>
      </c>
      <c r="Q1261" s="702"/>
      <c r="R1261" s="148"/>
      <c r="S1261" s="148"/>
      <c r="T1261" s="148"/>
      <c r="U1261" s="148"/>
      <c r="V1261" s="148"/>
      <c r="W1261" s="148"/>
      <c r="X1261" s="148"/>
      <c r="Y1261" s="148"/>
      <c r="Z1261" s="148"/>
      <c r="AA1261" s="148"/>
      <c r="AB1261" s="148"/>
      <c r="AC1261" s="148"/>
      <c r="AD1261" s="148"/>
      <c r="AE1261" s="148"/>
      <c r="AF1261" s="148"/>
    </row>
    <row r="1262" ht="15.75" hidden="1" customHeight="1">
      <c r="A1262" s="90"/>
      <c r="B1262" s="2"/>
      <c r="C1262" s="90"/>
      <c r="D1262" s="709" t="s">
        <v>294</v>
      </c>
      <c r="E1262" s="710"/>
      <c r="F1262" s="711">
        <v>3.0</v>
      </c>
      <c r="G1262" s="731" t="s">
        <v>251</v>
      </c>
      <c r="H1262" s="179"/>
      <c r="I1262" s="717"/>
      <c r="J1262" s="713">
        <v>8.0</v>
      </c>
      <c r="K1262" s="183">
        <v>7.0</v>
      </c>
      <c r="L1262" s="183"/>
      <c r="M1262" s="183"/>
      <c r="N1262" s="183"/>
      <c r="O1262" s="699" t="str">
        <f>I1262/VLOOKUP(K1262,Sheet1!$D$7:$N$16,G1262+1,FALSE)</f>
        <v>#REF!</v>
      </c>
      <c r="P1262" s="684" t="str">
        <f t="shared" si="46"/>
        <v>#REF!</v>
      </c>
      <c r="Q1262" s="702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</row>
    <row r="1263" ht="3.75" hidden="1" customHeight="1">
      <c r="A1263" s="90"/>
      <c r="B1263" s="2"/>
      <c r="C1263" s="90"/>
      <c r="D1263" s="171"/>
      <c r="E1263" s="714"/>
      <c r="F1263" s="173"/>
      <c r="G1263" s="173"/>
      <c r="H1263" s="715"/>
      <c r="I1263" s="716"/>
      <c r="J1263" s="174"/>
      <c r="K1263" s="183"/>
      <c r="L1263" s="183"/>
      <c r="M1263" s="183"/>
      <c r="N1263" s="183"/>
      <c r="O1263" s="699" t="str">
        <f>I1263/VLOOKUP(K1263,Sheet1!$D$7:$N$16,G1263+1,FALSE)</f>
        <v>#N/A</v>
      </c>
      <c r="P1263" s="684" t="str">
        <f t="shared" si="46"/>
        <v>#REF!</v>
      </c>
      <c r="Q1263" s="702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</row>
    <row r="1264" ht="15.75" hidden="1" customHeight="1">
      <c r="A1264" s="90"/>
      <c r="B1264" s="2"/>
      <c r="C1264" s="90"/>
      <c r="D1264" s="260"/>
      <c r="E1264" s="266"/>
      <c r="F1264" s="187"/>
      <c r="G1264" s="187"/>
      <c r="H1264" s="187"/>
      <c r="I1264" s="164"/>
      <c r="J1264" s="266"/>
      <c r="K1264" s="183"/>
      <c r="L1264" s="183"/>
      <c r="M1264" s="183"/>
      <c r="N1264" s="183"/>
      <c r="O1264" s="699" t="str">
        <f>I1264/VLOOKUP(K1264,Sheet1!$D$7:$N$16,G1264+1,FALSE)</f>
        <v>#N/A</v>
      </c>
      <c r="P1264" s="684" t="str">
        <f t="shared" si="46"/>
        <v>#REF!</v>
      </c>
      <c r="Q1264" s="702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</row>
    <row r="1265" ht="3.75" hidden="1" customHeight="1">
      <c r="A1265" s="90"/>
      <c r="B1265" s="2"/>
      <c r="C1265" s="90"/>
      <c r="D1265" s="171"/>
      <c r="E1265" s="714"/>
      <c r="F1265" s="173"/>
      <c r="G1265" s="173"/>
      <c r="H1265" s="715"/>
      <c r="I1265" s="716"/>
      <c r="J1265" s="174"/>
      <c r="K1265" s="183"/>
      <c r="L1265" s="183"/>
      <c r="M1265" s="183"/>
      <c r="N1265" s="183"/>
      <c r="O1265" s="699" t="str">
        <f>I1265/VLOOKUP(K1265,Sheet1!$D$7:$N$16,G1265+1,FALSE)</f>
        <v>#N/A</v>
      </c>
      <c r="P1265" s="684" t="str">
        <f t="shared" si="46"/>
        <v>#REF!</v>
      </c>
      <c r="Q1265" s="702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</row>
    <row r="1266" ht="15.75" hidden="1" customHeight="1">
      <c r="A1266" s="90"/>
      <c r="B1266" s="2"/>
      <c r="C1266" s="90"/>
      <c r="D1266" s="709"/>
      <c r="E1266" s="710"/>
      <c r="F1266" s="711"/>
      <c r="G1266" s="187"/>
      <c r="H1266" s="179"/>
      <c r="I1266" s="717"/>
      <c r="J1266" s="713"/>
      <c r="K1266" s="183"/>
      <c r="L1266" s="183"/>
      <c r="M1266" s="183"/>
      <c r="N1266" s="183"/>
      <c r="O1266" s="699" t="str">
        <f>I1266/VLOOKUP(K1266,Sheet1!$D$7:$N$16,G1266+1,FALSE)</f>
        <v>#N/A</v>
      </c>
      <c r="P1266" s="684" t="str">
        <f t="shared" si="46"/>
        <v>#REF!</v>
      </c>
      <c r="Q1266" s="702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</row>
    <row r="1267" ht="3.75" hidden="1" customHeight="1">
      <c r="A1267" s="90"/>
      <c r="B1267" s="2"/>
      <c r="C1267" s="90"/>
      <c r="D1267" s="138"/>
      <c r="E1267" s="252"/>
      <c r="F1267" s="102"/>
      <c r="G1267" s="102"/>
      <c r="H1267" s="102"/>
      <c r="I1267" s="247"/>
      <c r="J1267" s="156"/>
      <c r="K1267" s="183"/>
      <c r="L1267" s="183"/>
      <c r="M1267" s="183"/>
      <c r="N1267" s="183"/>
      <c r="O1267" s="699" t="str">
        <f>I1267/VLOOKUP(K1267,Sheet1!$D$7:$N$16,G1267+1,FALSE)</f>
        <v>#N/A</v>
      </c>
      <c r="P1267" s="684" t="str">
        <f t="shared" si="46"/>
        <v>#REF!</v>
      </c>
      <c r="Q1267" s="702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</row>
    <row r="1268" ht="15.75" hidden="1" customHeight="1">
      <c r="A1268" s="90"/>
      <c r="B1268" s="2"/>
      <c r="C1268" s="90"/>
      <c r="D1268" s="185"/>
      <c r="E1268" s="266"/>
      <c r="F1268" s="187"/>
      <c r="G1268" s="718"/>
      <c r="H1268" s="187"/>
      <c r="I1268" s="164"/>
      <c r="J1268" s="266"/>
      <c r="K1268" s="183"/>
      <c r="L1268" s="183"/>
      <c r="M1268" s="183"/>
      <c r="N1268" s="183"/>
      <c r="O1268" s="699" t="str">
        <f>I1268/VLOOKUP(K1268,Sheet1!$D$7:$N$16,G1268+1,FALSE)</f>
        <v>#N/A</v>
      </c>
      <c r="P1268" s="684" t="str">
        <f t="shared" si="46"/>
        <v>#REF!</v>
      </c>
      <c r="Q1268" s="702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</row>
    <row r="1269" ht="3.75" hidden="1" customHeight="1">
      <c r="A1269" s="191"/>
      <c r="B1269" s="719"/>
      <c r="C1269" s="192"/>
      <c r="D1269" s="138"/>
      <c r="E1269" s="267"/>
      <c r="F1269" s="194"/>
      <c r="G1269" s="194"/>
      <c r="H1269" s="194"/>
      <c r="I1269" s="164"/>
      <c r="J1269" s="267"/>
      <c r="K1269" s="183"/>
      <c r="L1269" s="183"/>
      <c r="M1269" s="183"/>
      <c r="N1269" s="183"/>
      <c r="O1269" s="699" t="str">
        <f>I1269/VLOOKUP(K1269,Sheet1!$D$7:$N$16,G1269+1,FALSE)</f>
        <v>#N/A</v>
      </c>
      <c r="P1269" s="684" t="str">
        <f t="shared" si="46"/>
        <v>#REF!</v>
      </c>
      <c r="Q1269" s="702"/>
      <c r="R1269" s="158"/>
      <c r="S1269" s="158"/>
      <c r="T1269" s="158"/>
      <c r="U1269" s="158"/>
      <c r="V1269" s="158"/>
      <c r="W1269" s="158"/>
      <c r="X1269" s="158"/>
      <c r="Y1269" s="158"/>
      <c r="Z1269" s="158"/>
      <c r="AA1269" s="158"/>
      <c r="AB1269" s="158"/>
      <c r="AC1269" s="158"/>
      <c r="AD1269" s="158"/>
      <c r="AE1269" s="158"/>
      <c r="AF1269" s="158"/>
    </row>
    <row r="1270" ht="15.75" hidden="1" customHeight="1">
      <c r="A1270" s="90"/>
      <c r="B1270" s="2"/>
      <c r="C1270" s="90"/>
      <c r="D1270" s="185"/>
      <c r="E1270" s="266"/>
      <c r="F1270" s="187"/>
      <c r="G1270" s="187"/>
      <c r="H1270" s="187"/>
      <c r="I1270" s="164"/>
      <c r="J1270" s="266"/>
      <c r="K1270" s="183"/>
      <c r="L1270" s="183"/>
      <c r="M1270" s="183"/>
      <c r="N1270" s="183"/>
      <c r="O1270" s="699" t="str">
        <f>I1270/VLOOKUP(K1270,Sheet1!$D$7:$N$16,G1270+1,FALSE)</f>
        <v>#N/A</v>
      </c>
      <c r="P1270" s="684" t="str">
        <f t="shared" si="46"/>
        <v>#REF!</v>
      </c>
      <c r="Q1270" s="702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</row>
    <row r="1271" ht="3.75" hidden="1" customHeight="1">
      <c r="A1271" s="90"/>
      <c r="B1271" s="2"/>
      <c r="C1271" s="90"/>
      <c r="D1271" s="138"/>
      <c r="E1271" s="252"/>
      <c r="F1271" s="102"/>
      <c r="G1271" s="102"/>
      <c r="H1271" s="102"/>
      <c r="I1271" s="247"/>
      <c r="J1271" s="156"/>
      <c r="K1271" s="183"/>
      <c r="L1271" s="183"/>
      <c r="M1271" s="183"/>
      <c r="N1271" s="183"/>
      <c r="O1271" s="699" t="str">
        <f>I1271/VLOOKUP(K1271,Sheet1!$D$7:$N$16,G1271+1,FALSE)</f>
        <v>#N/A</v>
      </c>
      <c r="P1271" s="684" t="str">
        <f t="shared" si="46"/>
        <v>#REF!</v>
      </c>
      <c r="Q1271" s="702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</row>
    <row r="1272" ht="15.75" hidden="1" customHeight="1">
      <c r="A1272" s="90"/>
      <c r="B1272" s="2"/>
      <c r="C1272" s="90"/>
      <c r="D1272" s="185"/>
      <c r="E1272" s="266"/>
      <c r="F1272" s="187"/>
      <c r="G1272" s="187"/>
      <c r="H1272" s="187"/>
      <c r="I1272" s="164"/>
      <c r="J1272" s="266"/>
      <c r="K1272" s="183"/>
      <c r="L1272" s="183"/>
      <c r="M1272" s="183"/>
      <c r="N1272" s="183"/>
      <c r="O1272" s="699" t="str">
        <f>I1272/VLOOKUP(K1272,Sheet1!$D$7:$N$16,G1272+1,FALSE)</f>
        <v>#N/A</v>
      </c>
      <c r="P1272" s="684" t="str">
        <f t="shared" si="46"/>
        <v>#REF!</v>
      </c>
      <c r="Q1272" s="697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</row>
    <row r="1273" ht="3.75" hidden="1" customHeight="1">
      <c r="A1273" s="90"/>
      <c r="B1273" s="2"/>
      <c r="C1273" s="90"/>
      <c r="D1273" s="90"/>
      <c r="E1273" s="156"/>
      <c r="F1273" s="102"/>
      <c r="G1273" s="102"/>
      <c r="H1273" s="102"/>
      <c r="I1273" s="102"/>
      <c r="J1273" s="156"/>
      <c r="K1273" s="720"/>
      <c r="L1273" s="201"/>
      <c r="M1273" s="201"/>
      <c r="N1273" s="201"/>
      <c r="O1273" s="699" t="str">
        <f>I1273/VLOOKUP(K1273,Sheet1!$D$7:$N$16,G1273+1,FALSE)</f>
        <v>#N/A</v>
      </c>
      <c r="P1273" s="684" t="str">
        <f t="shared" si="46"/>
        <v>#REF!</v>
      </c>
      <c r="Q1273" s="720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</row>
    <row r="1274" ht="30.0" hidden="1" customHeight="1">
      <c r="A1274" s="90"/>
      <c r="B1274" s="2"/>
      <c r="C1274" s="90"/>
      <c r="D1274" s="686" t="s">
        <v>246</v>
      </c>
      <c r="E1274" s="687" t="s">
        <v>15</v>
      </c>
      <c r="F1274" s="721" t="s">
        <v>16</v>
      </c>
      <c r="G1274" s="722" t="s">
        <v>17</v>
      </c>
      <c r="H1274" s="723"/>
      <c r="I1274" s="724"/>
      <c r="J1274" s="725" t="s">
        <v>241</v>
      </c>
      <c r="K1274" s="691"/>
      <c r="L1274" s="692"/>
      <c r="M1274" s="692"/>
      <c r="N1274" s="692"/>
      <c r="O1274" s="699"/>
      <c r="P1274" s="684"/>
      <c r="Q1274" s="693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</row>
    <row r="1275" ht="14.25" hidden="1" customHeight="1">
      <c r="A1275" s="90"/>
      <c r="B1275" s="2"/>
      <c r="C1275" s="90"/>
      <c r="D1275" s="257" t="s">
        <v>25</v>
      </c>
      <c r="E1275" s="257" t="s">
        <v>26</v>
      </c>
      <c r="F1275" s="680"/>
      <c r="G1275" s="681"/>
      <c r="H1275" s="723"/>
      <c r="I1275" s="681"/>
      <c r="J1275" s="725" t="s">
        <v>244</v>
      </c>
      <c r="K1275" s="697"/>
      <c r="L1275" s="692"/>
      <c r="M1275" s="692"/>
      <c r="N1275" s="692"/>
      <c r="O1275" s="699"/>
      <c r="P1275" s="684"/>
      <c r="Q1275" s="698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</row>
    <row r="1276" ht="3.75" hidden="1" customHeight="1">
      <c r="A1276" s="191"/>
      <c r="B1276" s="719"/>
      <c r="C1276" s="192"/>
      <c r="D1276" s="203"/>
      <c r="E1276" s="203"/>
      <c r="F1276" s="726"/>
      <c r="G1276" s="726"/>
      <c r="H1276" s="726"/>
      <c r="I1276" s="727"/>
      <c r="J1276" s="728"/>
      <c r="K1276" s="192"/>
      <c r="L1276" s="194"/>
      <c r="M1276" s="194"/>
      <c r="N1276" s="194"/>
      <c r="O1276" s="699"/>
      <c r="P1276" s="684" t="str">
        <f t="shared" ref="P1276:P1298" si="47">I1276-#REF!</f>
        <v>#REF!</v>
      </c>
      <c r="Q1276" s="192"/>
      <c r="R1276" s="158"/>
      <c r="S1276" s="158"/>
      <c r="T1276" s="158"/>
      <c r="U1276" s="158"/>
      <c r="V1276" s="158"/>
      <c r="W1276" s="158"/>
      <c r="X1276" s="158"/>
      <c r="Y1276" s="158"/>
      <c r="Z1276" s="158"/>
      <c r="AA1276" s="158"/>
      <c r="AB1276" s="158"/>
      <c r="AC1276" s="158"/>
      <c r="AD1276" s="158"/>
      <c r="AE1276" s="158"/>
      <c r="AF1276" s="158"/>
    </row>
    <row r="1277" ht="15.75" hidden="1" customHeight="1">
      <c r="A1277" s="124"/>
      <c r="B1277" s="2"/>
      <c r="C1277" s="124"/>
      <c r="D1277" s="185"/>
      <c r="E1277" s="743"/>
      <c r="F1277" s="187"/>
      <c r="G1277" s="187"/>
      <c r="H1277" s="187"/>
      <c r="I1277" s="164"/>
      <c r="J1277" s="266"/>
      <c r="K1277" s="183"/>
      <c r="L1277" s="183"/>
      <c r="M1277" s="183"/>
      <c r="N1277" s="183"/>
      <c r="O1277" s="699" t="str">
        <f>I1277/VLOOKUP(K1277,Sheet1!$D$7:$N$16,G1277+1,FALSE)</f>
        <v>#N/A</v>
      </c>
      <c r="P1277" s="684" t="str">
        <f t="shared" si="47"/>
        <v>#REF!</v>
      </c>
      <c r="Q1277" s="730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</row>
    <row r="1278" ht="3.75" hidden="1" customHeight="1">
      <c r="A1278" s="124"/>
      <c r="B1278" s="2"/>
      <c r="C1278" s="124"/>
      <c r="D1278" s="138"/>
      <c r="E1278" s="321"/>
      <c r="F1278" s="102"/>
      <c r="G1278" s="102"/>
      <c r="H1278" s="102"/>
      <c r="I1278" s="247"/>
      <c r="J1278" s="267"/>
      <c r="K1278" s="183"/>
      <c r="L1278" s="183"/>
      <c r="M1278" s="183"/>
      <c r="N1278" s="183"/>
      <c r="O1278" s="699" t="str">
        <f>I1278/VLOOKUP(K1278,Sheet1!$D$7:$N$16,G1278+1,FALSE)</f>
        <v>#N/A</v>
      </c>
      <c r="P1278" s="684" t="str">
        <f t="shared" si="47"/>
        <v>#REF!</v>
      </c>
      <c r="Q1278" s="702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</row>
    <row r="1279" ht="15.75" hidden="1" customHeight="1">
      <c r="A1279" s="90"/>
      <c r="B1279" s="2"/>
      <c r="C1279" s="90"/>
      <c r="D1279" s="185"/>
      <c r="E1279" s="264"/>
      <c r="F1279" s="187"/>
      <c r="G1279" s="187"/>
      <c r="H1279" s="187"/>
      <c r="I1279" s="164"/>
      <c r="J1279" s="266"/>
      <c r="K1279" s="183"/>
      <c r="L1279" s="183"/>
      <c r="M1279" s="183"/>
      <c r="N1279" s="183"/>
      <c r="O1279" s="699" t="str">
        <f>I1279/VLOOKUP(K1279,Sheet1!$D$7:$N$16,G1279+1,FALSE)</f>
        <v>#N/A</v>
      </c>
      <c r="P1279" s="684" t="str">
        <f t="shared" si="47"/>
        <v>#REF!</v>
      </c>
      <c r="Q1279" s="702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</row>
    <row r="1280" ht="3.75" hidden="1" customHeight="1">
      <c r="A1280" s="90"/>
      <c r="B1280" s="2"/>
      <c r="C1280" s="90"/>
      <c r="D1280" s="138"/>
      <c r="E1280" s="321"/>
      <c r="F1280" s="102"/>
      <c r="G1280" s="102"/>
      <c r="H1280" s="102"/>
      <c r="I1280" s="247"/>
      <c r="J1280" s="267"/>
      <c r="K1280" s="183"/>
      <c r="L1280" s="183"/>
      <c r="M1280" s="183"/>
      <c r="N1280" s="183"/>
      <c r="O1280" s="699" t="str">
        <f>I1280/VLOOKUP(K1280,Sheet1!$D$7:$N$16,G1280+1,FALSE)</f>
        <v>#N/A</v>
      </c>
      <c r="P1280" s="684" t="str">
        <f t="shared" si="47"/>
        <v>#REF!</v>
      </c>
      <c r="Q1280" s="702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</row>
    <row r="1281" ht="15.75" hidden="1" customHeight="1">
      <c r="A1281" s="90"/>
      <c r="B1281" s="2"/>
      <c r="C1281" s="90"/>
      <c r="D1281" s="185"/>
      <c r="E1281" s="264"/>
      <c r="F1281" s="187"/>
      <c r="G1281" s="187"/>
      <c r="H1281" s="187"/>
      <c r="I1281" s="164"/>
      <c r="J1281" s="706"/>
      <c r="K1281" s="183"/>
      <c r="L1281" s="183"/>
      <c r="M1281" s="183"/>
      <c r="N1281" s="183"/>
      <c r="O1281" s="699" t="str">
        <f>I1281/VLOOKUP(K1281,Sheet1!$D$7:$N$16,G1281+1,FALSE)</f>
        <v>#N/A</v>
      </c>
      <c r="P1281" s="684" t="str">
        <f t="shared" si="47"/>
        <v>#REF!</v>
      </c>
      <c r="Q1281" s="702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</row>
    <row r="1282" ht="3.75" hidden="1" customHeight="1">
      <c r="A1282" s="90"/>
      <c r="B1282" s="2"/>
      <c r="C1282" s="90"/>
      <c r="D1282" s="138"/>
      <c r="E1282" s="321"/>
      <c r="F1282" s="102"/>
      <c r="G1282" s="102"/>
      <c r="H1282" s="102"/>
      <c r="I1282" s="247"/>
      <c r="J1282" s="156"/>
      <c r="K1282" s="183"/>
      <c r="L1282" s="183"/>
      <c r="M1282" s="183"/>
      <c r="N1282" s="183"/>
      <c r="O1282" s="699" t="str">
        <f>I1282/VLOOKUP(K1282,Sheet1!$D$7:$N$16,G1282+1,FALSE)</f>
        <v>#N/A</v>
      </c>
      <c r="P1282" s="684" t="str">
        <f t="shared" si="47"/>
        <v>#REF!</v>
      </c>
      <c r="Q1282" s="702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</row>
    <row r="1283" ht="15.75" hidden="1" customHeight="1">
      <c r="A1283" s="90"/>
      <c r="B1283" s="2"/>
      <c r="C1283" s="90"/>
      <c r="D1283" s="185"/>
      <c r="E1283" s="260"/>
      <c r="F1283" s="187"/>
      <c r="G1283" s="187"/>
      <c r="H1283" s="187"/>
      <c r="I1283" s="164"/>
      <c r="J1283" s="266"/>
      <c r="K1283" s="183"/>
      <c r="L1283" s="183"/>
      <c r="M1283" s="183"/>
      <c r="N1283" s="183"/>
      <c r="O1283" s="699" t="str">
        <f>I1283/VLOOKUP(K1283,Sheet1!$D$7:$N$16,G1283+1,FALSE)</f>
        <v>#N/A</v>
      </c>
      <c r="P1283" s="684" t="str">
        <f t="shared" si="47"/>
        <v>#REF!</v>
      </c>
      <c r="Q1283" s="702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</row>
    <row r="1284" ht="3.75" hidden="1" customHeight="1">
      <c r="A1284" s="90"/>
      <c r="B1284" s="2"/>
      <c r="C1284" s="90"/>
      <c r="D1284" s="138"/>
      <c r="E1284" s="321"/>
      <c r="F1284" s="102"/>
      <c r="G1284" s="102"/>
      <c r="H1284" s="102"/>
      <c r="I1284" s="247"/>
      <c r="J1284" s="267"/>
      <c r="K1284" s="183"/>
      <c r="L1284" s="183"/>
      <c r="M1284" s="183"/>
      <c r="N1284" s="183"/>
      <c r="O1284" s="699" t="str">
        <f>I1284/VLOOKUP(K1284,Sheet1!$D$7:$N$16,G1284+1,FALSE)</f>
        <v>#N/A</v>
      </c>
      <c r="P1284" s="684" t="str">
        <f t="shared" si="47"/>
        <v>#REF!</v>
      </c>
      <c r="Q1284" s="702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</row>
    <row r="1285" ht="15.75" hidden="1" customHeight="1">
      <c r="A1285" s="90"/>
      <c r="B1285" s="2"/>
      <c r="C1285" s="90"/>
      <c r="D1285" s="185"/>
      <c r="E1285" s="260"/>
      <c r="F1285" s="187"/>
      <c r="G1285" s="187"/>
      <c r="H1285" s="187"/>
      <c r="I1285" s="164"/>
      <c r="J1285" s="266"/>
      <c r="K1285" s="183"/>
      <c r="L1285" s="183"/>
      <c r="M1285" s="183"/>
      <c r="N1285" s="183"/>
      <c r="O1285" s="699" t="str">
        <f>I1285/VLOOKUP(K1285,Sheet1!$D$7:$N$16,G1285+1,FALSE)</f>
        <v>#N/A</v>
      </c>
      <c r="P1285" s="684" t="str">
        <f t="shared" si="47"/>
        <v>#REF!</v>
      </c>
      <c r="Q1285" s="702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</row>
    <row r="1286" ht="3.75" hidden="1" customHeight="1">
      <c r="A1286" s="90"/>
      <c r="B1286" s="2"/>
      <c r="C1286" s="90"/>
      <c r="D1286" s="138"/>
      <c r="E1286" s="321"/>
      <c r="F1286" s="102"/>
      <c r="G1286" s="102"/>
      <c r="H1286" s="102"/>
      <c r="I1286" s="247"/>
      <c r="J1286" s="267"/>
      <c r="K1286" s="183"/>
      <c r="L1286" s="183"/>
      <c r="M1286" s="183"/>
      <c r="N1286" s="183"/>
      <c r="O1286" s="699" t="str">
        <f>I1286/VLOOKUP(K1286,Sheet1!$D$7:$N$16,G1286+1,FALSE)</f>
        <v>#N/A</v>
      </c>
      <c r="P1286" s="684" t="str">
        <f t="shared" si="47"/>
        <v>#REF!</v>
      </c>
      <c r="Q1286" s="702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</row>
    <row r="1287" ht="15.75" hidden="1" customHeight="1">
      <c r="A1287" s="90"/>
      <c r="B1287" s="2"/>
      <c r="C1287" s="90"/>
      <c r="D1287" s="185"/>
      <c r="E1287" s="260"/>
      <c r="F1287" s="187"/>
      <c r="G1287" s="187"/>
      <c r="H1287" s="187"/>
      <c r="I1287" s="164"/>
      <c r="J1287" s="266"/>
      <c r="K1287" s="183"/>
      <c r="L1287" s="183"/>
      <c r="M1287" s="183"/>
      <c r="N1287" s="183"/>
      <c r="O1287" s="699" t="str">
        <f>I1287/VLOOKUP(K1287,Sheet1!$D$7:$N$16,G1287+1,FALSE)</f>
        <v>#N/A</v>
      </c>
      <c r="P1287" s="684" t="str">
        <f t="shared" si="47"/>
        <v>#REF!</v>
      </c>
      <c r="Q1287" s="702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</row>
    <row r="1288" ht="3.75" hidden="1" customHeight="1">
      <c r="A1288" s="90"/>
      <c r="B1288" s="2"/>
      <c r="C1288" s="90"/>
      <c r="D1288" s="138"/>
      <c r="E1288" s="321"/>
      <c r="F1288" s="102"/>
      <c r="G1288" s="102"/>
      <c r="H1288" s="102"/>
      <c r="I1288" s="247"/>
      <c r="J1288" s="267"/>
      <c r="K1288" s="183"/>
      <c r="L1288" s="183"/>
      <c r="M1288" s="183"/>
      <c r="N1288" s="183"/>
      <c r="O1288" s="699" t="str">
        <f>I1288/VLOOKUP(K1288,Sheet1!$D$7:$N$16,G1288+1,FALSE)</f>
        <v>#N/A</v>
      </c>
      <c r="P1288" s="684" t="str">
        <f t="shared" si="47"/>
        <v>#REF!</v>
      </c>
      <c r="Q1288" s="702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</row>
    <row r="1289" ht="18.0" hidden="1" customHeight="1">
      <c r="A1289" s="90"/>
      <c r="B1289" s="2"/>
      <c r="C1289" s="90"/>
      <c r="D1289" s="185"/>
      <c r="E1289" s="264"/>
      <c r="F1289" s="187"/>
      <c r="G1289" s="187"/>
      <c r="H1289" s="187"/>
      <c r="I1289" s="164"/>
      <c r="J1289" s="266"/>
      <c r="K1289" s="183"/>
      <c r="L1289" s="183"/>
      <c r="M1289" s="183"/>
      <c r="N1289" s="183"/>
      <c r="O1289" s="699" t="str">
        <f>I1289/VLOOKUP(K1289,Sheet1!$D$7:$N$16,G1289+1,FALSE)</f>
        <v>#N/A</v>
      </c>
      <c r="P1289" s="684" t="str">
        <f t="shared" si="47"/>
        <v>#REF!</v>
      </c>
      <c r="Q1289" s="702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</row>
    <row r="1290" ht="3.75" hidden="1" customHeight="1">
      <c r="A1290" s="191"/>
      <c r="B1290" s="719"/>
      <c r="C1290" s="192"/>
      <c r="D1290" s="138"/>
      <c r="E1290" s="263"/>
      <c r="F1290" s="194"/>
      <c r="G1290" s="194"/>
      <c r="H1290" s="194"/>
      <c r="I1290" s="164"/>
      <c r="J1290" s="267"/>
      <c r="K1290" s="183"/>
      <c r="L1290" s="183"/>
      <c r="M1290" s="183"/>
      <c r="N1290" s="183"/>
      <c r="O1290" s="699" t="str">
        <f>I1290/VLOOKUP(K1290,Sheet1!$D$7:$N$16,G1290+1,FALSE)</f>
        <v>#N/A</v>
      </c>
      <c r="P1290" s="684" t="str">
        <f t="shared" si="47"/>
        <v>#REF!</v>
      </c>
      <c r="Q1290" s="702"/>
      <c r="R1290" s="158"/>
      <c r="S1290" s="158"/>
      <c r="T1290" s="158"/>
      <c r="U1290" s="158"/>
      <c r="V1290" s="158"/>
      <c r="W1290" s="158"/>
      <c r="X1290" s="158"/>
      <c r="Y1290" s="158"/>
      <c r="Z1290" s="158"/>
      <c r="AA1290" s="158"/>
      <c r="AB1290" s="158"/>
      <c r="AC1290" s="158"/>
      <c r="AD1290" s="158"/>
      <c r="AE1290" s="158"/>
      <c r="AF1290" s="158"/>
    </row>
    <row r="1291" ht="15.75" hidden="1" customHeight="1">
      <c r="A1291" s="90"/>
      <c r="B1291" s="2"/>
      <c r="C1291" s="90"/>
      <c r="D1291" s="185"/>
      <c r="E1291" s="266"/>
      <c r="F1291" s="187"/>
      <c r="G1291" s="187"/>
      <c r="H1291" s="187"/>
      <c r="I1291" s="164"/>
      <c r="J1291" s="266"/>
      <c r="K1291" s="183"/>
      <c r="L1291" s="183"/>
      <c r="M1291" s="183"/>
      <c r="N1291" s="183"/>
      <c r="O1291" s="699" t="str">
        <f>I1291/VLOOKUP(K1291,Sheet1!$D$7:$N$16,G1291+1,FALSE)</f>
        <v>#N/A</v>
      </c>
      <c r="P1291" s="684" t="str">
        <f t="shared" si="47"/>
        <v>#REF!</v>
      </c>
      <c r="Q1291" s="702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</row>
    <row r="1292" ht="3.75" hidden="1" customHeight="1">
      <c r="A1292" s="90"/>
      <c r="B1292" s="2"/>
      <c r="C1292" s="90"/>
      <c r="D1292" s="138"/>
      <c r="E1292" s="252"/>
      <c r="F1292" s="102"/>
      <c r="G1292" s="102"/>
      <c r="H1292" s="102"/>
      <c r="I1292" s="247"/>
      <c r="J1292" s="156"/>
      <c r="K1292" s="183"/>
      <c r="L1292" s="183"/>
      <c r="M1292" s="183"/>
      <c r="N1292" s="183"/>
      <c r="O1292" s="699" t="str">
        <f>I1292/VLOOKUP(K1292,Sheet1!$D$7:$N$16,G1292+1,FALSE)</f>
        <v>#N/A</v>
      </c>
      <c r="P1292" s="684" t="str">
        <f t="shared" si="47"/>
        <v>#REF!</v>
      </c>
      <c r="Q1292" s="702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</row>
    <row r="1293" ht="15.75" hidden="1" customHeight="1">
      <c r="A1293" s="90"/>
      <c r="B1293" s="2"/>
      <c r="C1293" s="90"/>
      <c r="D1293" s="185"/>
      <c r="E1293" s="260"/>
      <c r="F1293" s="187"/>
      <c r="G1293" s="187"/>
      <c r="H1293" s="187"/>
      <c r="I1293" s="164"/>
      <c r="J1293" s="266"/>
      <c r="K1293" s="183"/>
      <c r="L1293" s="183"/>
      <c r="M1293" s="183"/>
      <c r="N1293" s="183"/>
      <c r="O1293" s="699" t="str">
        <f>I1293/VLOOKUP(K1293,Sheet1!$D$7:$N$16,G1293+1,FALSE)</f>
        <v>#N/A</v>
      </c>
      <c r="P1293" s="684" t="str">
        <f t="shared" si="47"/>
        <v>#REF!</v>
      </c>
      <c r="Q1293" s="702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</row>
    <row r="1294" ht="3.75" hidden="1" customHeight="1">
      <c r="A1294" s="191"/>
      <c r="B1294" s="719"/>
      <c r="C1294" s="192"/>
      <c r="D1294" s="138"/>
      <c r="E1294" s="267"/>
      <c r="F1294" s="194"/>
      <c r="G1294" s="194"/>
      <c r="H1294" s="194"/>
      <c r="I1294" s="164"/>
      <c r="J1294" s="267"/>
      <c r="K1294" s="183"/>
      <c r="L1294" s="183"/>
      <c r="M1294" s="183"/>
      <c r="N1294" s="183"/>
      <c r="O1294" s="699" t="str">
        <f>I1294/VLOOKUP(K1294,Sheet1!$D$7:$N$16,G1294+1,FALSE)</f>
        <v>#N/A</v>
      </c>
      <c r="P1294" s="684" t="str">
        <f t="shared" si="47"/>
        <v>#REF!</v>
      </c>
      <c r="Q1294" s="702"/>
      <c r="R1294" s="158"/>
      <c r="S1294" s="158"/>
      <c r="T1294" s="158"/>
      <c r="U1294" s="158"/>
      <c r="V1294" s="158"/>
      <c r="W1294" s="158"/>
      <c r="X1294" s="158"/>
      <c r="Y1294" s="158"/>
      <c r="Z1294" s="158"/>
      <c r="AA1294" s="158"/>
      <c r="AB1294" s="158"/>
      <c r="AC1294" s="158"/>
      <c r="AD1294" s="158"/>
      <c r="AE1294" s="158"/>
      <c r="AF1294" s="158"/>
    </row>
    <row r="1295" ht="15.75" hidden="1" customHeight="1">
      <c r="A1295" s="90"/>
      <c r="B1295" s="2"/>
      <c r="C1295" s="90"/>
      <c r="D1295" s="185"/>
      <c r="E1295" s="266"/>
      <c r="F1295" s="187"/>
      <c r="G1295" s="187"/>
      <c r="H1295" s="187"/>
      <c r="I1295" s="164"/>
      <c r="J1295" s="266"/>
      <c r="K1295" s="183"/>
      <c r="L1295" s="183"/>
      <c r="M1295" s="183"/>
      <c r="N1295" s="183"/>
      <c r="O1295" s="699" t="str">
        <f>I1295/VLOOKUP(K1295,Sheet1!$D$7:$N$16,G1295+1,FALSE)</f>
        <v>#N/A</v>
      </c>
      <c r="P1295" s="684" t="str">
        <f t="shared" si="47"/>
        <v>#REF!</v>
      </c>
      <c r="Q1295" s="702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</row>
    <row r="1296" ht="3.75" hidden="1" customHeight="1">
      <c r="A1296" s="90"/>
      <c r="B1296" s="2"/>
      <c r="C1296" s="90"/>
      <c r="D1296" s="138"/>
      <c r="E1296" s="252"/>
      <c r="F1296" s="102"/>
      <c r="G1296" s="102"/>
      <c r="H1296" s="102"/>
      <c r="I1296" s="247"/>
      <c r="J1296" s="156"/>
      <c r="K1296" s="183"/>
      <c r="L1296" s="183"/>
      <c r="M1296" s="183"/>
      <c r="N1296" s="183"/>
      <c r="O1296" s="699" t="str">
        <f>I1296/VLOOKUP(K1296,Sheet1!$D$7:$N$16,G1296+1,FALSE)</f>
        <v>#N/A</v>
      </c>
      <c r="P1296" s="684" t="str">
        <f t="shared" si="47"/>
        <v>#REF!</v>
      </c>
      <c r="Q1296" s="702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</row>
    <row r="1297" ht="15.75" hidden="1" customHeight="1">
      <c r="A1297" s="90"/>
      <c r="B1297" s="2"/>
      <c r="C1297" s="90"/>
      <c r="D1297" s="185"/>
      <c r="E1297" s="266"/>
      <c r="F1297" s="187"/>
      <c r="G1297" s="187"/>
      <c r="H1297" s="187"/>
      <c r="I1297" s="164"/>
      <c r="J1297" s="266"/>
      <c r="K1297" s="183"/>
      <c r="L1297" s="183"/>
      <c r="M1297" s="183"/>
      <c r="N1297" s="183"/>
      <c r="O1297" s="699" t="str">
        <f>I1297/VLOOKUP(K1297,Sheet1!$D$7:$N$16,G1297+1,FALSE)</f>
        <v>#N/A</v>
      </c>
      <c r="P1297" s="684" t="str">
        <f t="shared" si="47"/>
        <v>#REF!</v>
      </c>
      <c r="Q1297" s="697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</row>
    <row r="1298" ht="3.75" hidden="1" customHeight="1">
      <c r="A1298" s="90"/>
      <c r="B1298" s="2"/>
      <c r="C1298" s="90"/>
      <c r="D1298" s="90"/>
      <c r="E1298" s="156"/>
      <c r="F1298" s="102"/>
      <c r="G1298" s="102"/>
      <c r="H1298" s="102"/>
      <c r="I1298" s="102"/>
      <c r="J1298" s="156"/>
      <c r="K1298" s="720"/>
      <c r="L1298" s="201"/>
      <c r="M1298" s="201"/>
      <c r="N1298" s="201"/>
      <c r="O1298" s="699" t="str">
        <f>I1298/VLOOKUP(K1298,Sheet1!$D$7:$N$16,G1298+1,FALSE)</f>
        <v>#N/A</v>
      </c>
      <c r="P1298" s="684" t="str">
        <f t="shared" si="47"/>
        <v>#REF!</v>
      </c>
      <c r="Q1298" s="720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</row>
    <row r="1299" ht="30.75" hidden="1" customHeight="1">
      <c r="A1299" s="90"/>
      <c r="B1299" s="2"/>
      <c r="C1299" s="90"/>
      <c r="D1299" s="686" t="s">
        <v>257</v>
      </c>
      <c r="E1299" s="687" t="s">
        <v>15</v>
      </c>
      <c r="F1299" s="721" t="s">
        <v>16</v>
      </c>
      <c r="G1299" s="722" t="s">
        <v>17</v>
      </c>
      <c r="H1299" s="723"/>
      <c r="I1299" s="724"/>
      <c r="J1299" s="725" t="s">
        <v>241</v>
      </c>
      <c r="K1299" s="691"/>
      <c r="L1299" s="692"/>
      <c r="M1299" s="692"/>
      <c r="N1299" s="692"/>
      <c r="O1299" s="699"/>
      <c r="P1299" s="684"/>
      <c r="Q1299" s="693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</row>
    <row r="1300" ht="14.25" hidden="1" customHeight="1">
      <c r="A1300" s="90"/>
      <c r="B1300" s="2"/>
      <c r="C1300" s="90"/>
      <c r="D1300" s="257" t="s">
        <v>25</v>
      </c>
      <c r="E1300" s="257" t="s">
        <v>26</v>
      </c>
      <c r="F1300" s="680"/>
      <c r="G1300" s="681"/>
      <c r="H1300" s="723"/>
      <c r="I1300" s="681"/>
      <c r="J1300" s="725" t="s">
        <v>244</v>
      </c>
      <c r="K1300" s="697"/>
      <c r="L1300" s="692"/>
      <c r="M1300" s="692"/>
      <c r="N1300" s="692"/>
      <c r="O1300" s="699"/>
      <c r="P1300" s="684"/>
      <c r="Q1300" s="698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</row>
    <row r="1301" ht="3.75" hidden="1" customHeight="1">
      <c r="A1301" s="191"/>
      <c r="B1301" s="719"/>
      <c r="C1301" s="192"/>
      <c r="D1301" s="203"/>
      <c r="E1301" s="203"/>
      <c r="F1301" s="726"/>
      <c r="G1301" s="726"/>
      <c r="H1301" s="726"/>
      <c r="I1301" s="727"/>
      <c r="J1301" s="728"/>
      <c r="K1301" s="192"/>
      <c r="L1301" s="194"/>
      <c r="M1301" s="194"/>
      <c r="N1301" s="194"/>
      <c r="O1301" s="699"/>
      <c r="P1301" s="684" t="str">
        <f t="shared" ref="P1301:P1323" si="48">I1301-#REF!</f>
        <v>#REF!</v>
      </c>
      <c r="Q1301" s="192"/>
      <c r="R1301" s="158"/>
      <c r="S1301" s="158"/>
      <c r="T1301" s="158"/>
      <c r="U1301" s="158"/>
      <c r="V1301" s="158"/>
      <c r="W1301" s="158"/>
      <c r="X1301" s="158"/>
      <c r="Y1301" s="158"/>
      <c r="Z1301" s="158"/>
      <c r="AA1301" s="158"/>
      <c r="AB1301" s="158"/>
      <c r="AC1301" s="158"/>
      <c r="AD1301" s="158"/>
      <c r="AE1301" s="158"/>
      <c r="AF1301" s="158"/>
    </row>
    <row r="1302" ht="15.75" hidden="1" customHeight="1">
      <c r="A1302" s="124"/>
      <c r="B1302" s="2"/>
      <c r="C1302" s="124"/>
      <c r="D1302" s="185" t="s">
        <v>287</v>
      </c>
      <c r="E1302" s="732"/>
      <c r="F1302" s="187">
        <v>2.0</v>
      </c>
      <c r="G1302" s="187">
        <v>3.0</v>
      </c>
      <c r="H1302" s="187"/>
      <c r="I1302" s="164">
        <v>155.0</v>
      </c>
      <c r="J1302" s="266">
        <v>5.0</v>
      </c>
      <c r="K1302" s="183">
        <v>5.0</v>
      </c>
      <c r="L1302" s="183"/>
      <c r="M1302" s="183"/>
      <c r="N1302" s="183"/>
      <c r="O1302" s="699" t="str">
        <f>I1302/VLOOKUP(K1302,Sheet1!$D$7:$N$16,G1302+1,FALSE)</f>
        <v>#N/A</v>
      </c>
      <c r="P1302" s="684" t="str">
        <f t="shared" si="48"/>
        <v>#REF!</v>
      </c>
      <c r="Q1302" s="730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</row>
    <row r="1303" ht="3.75" hidden="1" customHeight="1">
      <c r="A1303" s="124"/>
      <c r="B1303" s="2"/>
      <c r="C1303" s="124"/>
      <c r="D1303" s="138"/>
      <c r="E1303" s="252"/>
      <c r="F1303" s="102"/>
      <c r="G1303" s="102"/>
      <c r="H1303" s="102"/>
      <c r="I1303" s="247"/>
      <c r="J1303" s="156"/>
      <c r="K1303" s="183"/>
      <c r="L1303" s="183"/>
      <c r="M1303" s="183"/>
      <c r="N1303" s="183"/>
      <c r="O1303" s="699" t="str">
        <f>I1303/VLOOKUP(K1303,Sheet1!$D$7:$N$16,G1303+1,FALSE)</f>
        <v>#N/A</v>
      </c>
      <c r="P1303" s="684" t="str">
        <f t="shared" si="48"/>
        <v>#REF!</v>
      </c>
      <c r="Q1303" s="702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</row>
    <row r="1304" ht="15.75" hidden="1" customHeight="1">
      <c r="A1304" s="90"/>
      <c r="B1304" s="2"/>
      <c r="C1304" s="90"/>
      <c r="D1304" s="185" t="s">
        <v>248</v>
      </c>
      <c r="E1304" s="743"/>
      <c r="F1304" s="187">
        <v>1.0</v>
      </c>
      <c r="G1304" s="187">
        <v>6.0</v>
      </c>
      <c r="H1304" s="187"/>
      <c r="I1304" s="164">
        <v>200.0</v>
      </c>
      <c r="J1304" s="266">
        <v>6.0</v>
      </c>
      <c r="K1304" s="183"/>
      <c r="L1304" s="183"/>
      <c r="M1304" s="183"/>
      <c r="N1304" s="183"/>
      <c r="O1304" s="699" t="str">
        <f>I1304/VLOOKUP(K1304,Sheet1!$D$7:$N$16,G1304+1,FALSE)</f>
        <v>#N/A</v>
      </c>
      <c r="P1304" s="684" t="str">
        <f t="shared" si="48"/>
        <v>#REF!</v>
      </c>
      <c r="Q1304" s="702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</row>
    <row r="1305" ht="3.75" hidden="1" customHeight="1">
      <c r="A1305" s="90"/>
      <c r="B1305" s="2"/>
      <c r="C1305" s="90"/>
      <c r="D1305" s="138"/>
      <c r="E1305" s="321"/>
      <c r="F1305" s="102"/>
      <c r="G1305" s="102"/>
      <c r="H1305" s="102"/>
      <c r="I1305" s="247"/>
      <c r="J1305" s="156"/>
      <c r="K1305" s="183"/>
      <c r="L1305" s="183"/>
      <c r="M1305" s="183"/>
      <c r="N1305" s="183"/>
      <c r="O1305" s="699" t="str">
        <f>I1305/VLOOKUP(K1305,Sheet1!$D$7:$N$16,G1305+1,FALSE)</f>
        <v>#N/A</v>
      </c>
      <c r="P1305" s="684" t="str">
        <f t="shared" si="48"/>
        <v>#REF!</v>
      </c>
      <c r="Q1305" s="702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</row>
    <row r="1306" ht="15.75" hidden="1" customHeight="1">
      <c r="A1306" s="90"/>
      <c r="B1306" s="2"/>
      <c r="C1306" s="90"/>
      <c r="D1306" s="185" t="s">
        <v>248</v>
      </c>
      <c r="E1306" s="264"/>
      <c r="F1306" s="187">
        <v>2.0</v>
      </c>
      <c r="G1306" s="187">
        <v>6.0</v>
      </c>
      <c r="H1306" s="187"/>
      <c r="I1306" s="164"/>
      <c r="J1306" s="706">
        <v>-0.12</v>
      </c>
      <c r="K1306" s="183"/>
      <c r="L1306" s="183"/>
      <c r="M1306" s="183"/>
      <c r="N1306" s="183"/>
      <c r="O1306" s="699" t="str">
        <f>I1306/VLOOKUP(K1306,Sheet1!$D$7:$N$16,G1306+1,FALSE)</f>
        <v>#N/A</v>
      </c>
      <c r="P1306" s="684" t="str">
        <f t="shared" si="48"/>
        <v>#REF!</v>
      </c>
      <c r="Q1306" s="702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</row>
    <row r="1307" ht="3.75" hidden="1" customHeight="1">
      <c r="A1307" s="90"/>
      <c r="B1307" s="2"/>
      <c r="C1307" s="90"/>
      <c r="D1307" s="138"/>
      <c r="E1307" s="252"/>
      <c r="F1307" s="102"/>
      <c r="G1307" s="102"/>
      <c r="H1307" s="102"/>
      <c r="I1307" s="247"/>
      <c r="J1307" s="156"/>
      <c r="K1307" s="183"/>
      <c r="L1307" s="183"/>
      <c r="M1307" s="183"/>
      <c r="N1307" s="183"/>
      <c r="O1307" s="699" t="str">
        <f>I1307/VLOOKUP(K1307,Sheet1!$D$7:$N$16,G1307+1,FALSE)</f>
        <v>#N/A</v>
      </c>
      <c r="P1307" s="684" t="str">
        <f t="shared" si="48"/>
        <v>#REF!</v>
      </c>
      <c r="Q1307" s="702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</row>
    <row r="1308" ht="15.75" hidden="1" customHeight="1">
      <c r="A1308" s="90"/>
      <c r="B1308" s="2"/>
      <c r="C1308" s="90"/>
      <c r="D1308" s="185" t="s">
        <v>51</v>
      </c>
      <c r="E1308" s="264"/>
      <c r="F1308" s="187">
        <v>1.0</v>
      </c>
      <c r="G1308" s="187">
        <v>3.0</v>
      </c>
      <c r="H1308" s="187"/>
      <c r="I1308" s="164">
        <v>145.0</v>
      </c>
      <c r="J1308" s="266">
        <v>7.0</v>
      </c>
      <c r="K1308" s="183">
        <v>7.5</v>
      </c>
      <c r="L1308" s="183"/>
      <c r="M1308" s="183"/>
      <c r="N1308" s="183"/>
      <c r="O1308" s="699">
        <f>I1308/VLOOKUP(K1308,Sheet1!$D$7:$N$16,G1308+1,FALSE)</f>
        <v>170.0879765</v>
      </c>
      <c r="P1308" s="684" t="str">
        <f t="shared" si="48"/>
        <v>#REF!</v>
      </c>
      <c r="Q1308" s="702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</row>
    <row r="1309" ht="3.75" hidden="1" customHeight="1">
      <c r="A1309" s="90"/>
      <c r="B1309" s="2"/>
      <c r="C1309" s="90"/>
      <c r="D1309" s="138"/>
      <c r="E1309" s="321"/>
      <c r="F1309" s="102"/>
      <c r="G1309" s="102"/>
      <c r="H1309" s="102"/>
      <c r="I1309" s="247"/>
      <c r="J1309" s="156"/>
      <c r="K1309" s="183"/>
      <c r="L1309" s="183"/>
      <c r="M1309" s="183"/>
      <c r="N1309" s="183"/>
      <c r="O1309" s="699" t="str">
        <f>I1309/VLOOKUP(K1309,Sheet1!$D$7:$N$16,G1309+1,FALSE)</f>
        <v>#N/A</v>
      </c>
      <c r="P1309" s="684" t="str">
        <f t="shared" si="48"/>
        <v>#REF!</v>
      </c>
      <c r="Q1309" s="702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</row>
    <row r="1310" ht="15.75" hidden="1" customHeight="1">
      <c r="A1310" s="90"/>
      <c r="B1310" s="2"/>
      <c r="C1310" s="90"/>
      <c r="D1310" s="185" t="s">
        <v>51</v>
      </c>
      <c r="E1310" s="264"/>
      <c r="F1310" s="187">
        <v>3.0</v>
      </c>
      <c r="G1310" s="187">
        <v>5.0</v>
      </c>
      <c r="H1310" s="187"/>
      <c r="I1310" s="164">
        <v>125.0</v>
      </c>
      <c r="J1310" s="706">
        <v>-0.12</v>
      </c>
      <c r="K1310" s="183">
        <v>6.5</v>
      </c>
      <c r="L1310" s="183"/>
      <c r="M1310" s="183"/>
      <c r="N1310" s="183"/>
      <c r="O1310" s="699">
        <f>I1310/VLOOKUP(K1310,Sheet1!$D$7:$N$16,G1310+1,FALSE)</f>
        <v>160.7717042</v>
      </c>
      <c r="P1310" s="684" t="str">
        <f t="shared" si="48"/>
        <v>#REF!</v>
      </c>
      <c r="Q1310" s="702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</row>
    <row r="1311" ht="3.75" hidden="1" customHeight="1">
      <c r="A1311" s="90"/>
      <c r="B1311" s="2"/>
      <c r="C1311" s="90"/>
      <c r="D1311" s="138"/>
      <c r="E1311" s="252"/>
      <c r="F1311" s="102"/>
      <c r="G1311" s="102"/>
      <c r="H1311" s="102"/>
      <c r="I1311" s="247"/>
      <c r="J1311" s="156"/>
      <c r="K1311" s="183"/>
      <c r="L1311" s="183"/>
      <c r="M1311" s="183"/>
      <c r="N1311" s="183"/>
      <c r="O1311" s="699" t="str">
        <f>I1311/VLOOKUP(K1311,Sheet1!$D$7:$N$16,G1311+1,FALSE)</f>
        <v>#N/A</v>
      </c>
      <c r="P1311" s="684" t="str">
        <f t="shared" si="48"/>
        <v>#REF!</v>
      </c>
      <c r="Q1311" s="702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</row>
    <row r="1312" ht="15.75" hidden="1" customHeight="1">
      <c r="A1312" s="90"/>
      <c r="B1312" s="2"/>
      <c r="C1312" s="90"/>
      <c r="D1312" s="185" t="s">
        <v>295</v>
      </c>
      <c r="E1312" s="260" t="s">
        <v>296</v>
      </c>
      <c r="F1312" s="187">
        <v>3.0</v>
      </c>
      <c r="G1312" s="731" t="s">
        <v>251</v>
      </c>
      <c r="H1312" s="187"/>
      <c r="I1312" s="164"/>
      <c r="J1312" s="266">
        <v>8.0</v>
      </c>
      <c r="K1312" s="183"/>
      <c r="L1312" s="183"/>
      <c r="M1312" s="183"/>
      <c r="N1312" s="183"/>
      <c r="O1312" s="699" t="str">
        <f>I1312/VLOOKUP(K1312,Sheet1!$D$7:$N$16,G1312+1,FALSE)</f>
        <v>#REF!</v>
      </c>
      <c r="P1312" s="684" t="str">
        <f t="shared" si="48"/>
        <v>#REF!</v>
      </c>
      <c r="Q1312" s="702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</row>
    <row r="1313" ht="3.75" hidden="1" customHeight="1">
      <c r="A1313" s="90"/>
      <c r="B1313" s="2"/>
      <c r="C1313" s="90"/>
      <c r="D1313" s="138"/>
      <c r="E1313" s="252"/>
      <c r="F1313" s="102"/>
      <c r="G1313" s="102"/>
      <c r="H1313" s="102"/>
      <c r="I1313" s="247"/>
      <c r="J1313" s="267"/>
      <c r="K1313" s="183"/>
      <c r="L1313" s="183"/>
      <c r="M1313" s="183"/>
      <c r="N1313" s="183"/>
      <c r="O1313" s="699" t="str">
        <f>I1313/VLOOKUP(K1313,Sheet1!$D$7:$N$16,G1313+1,FALSE)</f>
        <v>#N/A</v>
      </c>
      <c r="P1313" s="684" t="str">
        <f t="shared" si="48"/>
        <v>#REF!</v>
      </c>
      <c r="Q1313" s="702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</row>
    <row r="1314" ht="20.25" hidden="1" customHeight="1">
      <c r="A1314" s="90"/>
      <c r="B1314" s="2"/>
      <c r="C1314" s="90"/>
      <c r="D1314" s="185"/>
      <c r="E1314" s="266"/>
      <c r="F1314" s="187"/>
      <c r="G1314" s="187"/>
      <c r="H1314" s="187"/>
      <c r="I1314" s="164"/>
      <c r="J1314" s="266"/>
      <c r="K1314" s="183"/>
      <c r="L1314" s="183"/>
      <c r="M1314" s="183"/>
      <c r="N1314" s="183"/>
      <c r="O1314" s="699" t="str">
        <f>I1314/VLOOKUP(K1314,Sheet1!$D$7:$N$16,G1314+1,FALSE)</f>
        <v>#N/A</v>
      </c>
      <c r="P1314" s="684" t="str">
        <f t="shared" si="48"/>
        <v>#REF!</v>
      </c>
      <c r="Q1314" s="702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</row>
    <row r="1315" ht="3.75" hidden="1" customHeight="1">
      <c r="A1315" s="191"/>
      <c r="B1315" s="719"/>
      <c r="C1315" s="192"/>
      <c r="D1315" s="138"/>
      <c r="E1315" s="252"/>
      <c r="F1315" s="102"/>
      <c r="G1315" s="102"/>
      <c r="H1315" s="102"/>
      <c r="I1315" s="247"/>
      <c r="J1315" s="156"/>
      <c r="K1315" s="183"/>
      <c r="L1315" s="183"/>
      <c r="M1315" s="183"/>
      <c r="N1315" s="183"/>
      <c r="O1315" s="699" t="str">
        <f>I1315/VLOOKUP(K1315,Sheet1!$D$7:$N$16,G1315+1,FALSE)</f>
        <v>#N/A</v>
      </c>
      <c r="P1315" s="684" t="str">
        <f t="shared" si="48"/>
        <v>#REF!</v>
      </c>
      <c r="Q1315" s="702"/>
      <c r="R1315" s="158"/>
      <c r="S1315" s="158"/>
      <c r="T1315" s="158"/>
      <c r="U1315" s="158"/>
      <c r="V1315" s="158"/>
      <c r="W1315" s="158"/>
      <c r="X1315" s="158"/>
      <c r="Y1315" s="158"/>
      <c r="Z1315" s="158"/>
      <c r="AA1315" s="158"/>
      <c r="AB1315" s="158"/>
      <c r="AC1315" s="158"/>
      <c r="AD1315" s="158"/>
      <c r="AE1315" s="158"/>
      <c r="AF1315" s="158"/>
    </row>
    <row r="1316" ht="15.75" hidden="1" customHeight="1">
      <c r="A1316" s="90"/>
      <c r="B1316" s="2"/>
      <c r="C1316" s="90"/>
      <c r="D1316" s="185"/>
      <c r="E1316" s="260"/>
      <c r="F1316" s="187"/>
      <c r="G1316" s="187"/>
      <c r="H1316" s="187"/>
      <c r="I1316" s="164"/>
      <c r="J1316" s="266"/>
      <c r="K1316" s="183"/>
      <c r="L1316" s="183"/>
      <c r="M1316" s="183"/>
      <c r="N1316" s="183"/>
      <c r="O1316" s="699" t="str">
        <f>I1316/VLOOKUP(K1316,Sheet1!$D$7:$N$16,G1316+1,FALSE)</f>
        <v>#N/A</v>
      </c>
      <c r="P1316" s="684" t="str">
        <f t="shared" si="48"/>
        <v>#REF!</v>
      </c>
      <c r="Q1316" s="702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</row>
    <row r="1317" ht="3.75" hidden="1" customHeight="1">
      <c r="A1317" s="90"/>
      <c r="B1317" s="2"/>
      <c r="C1317" s="90"/>
      <c r="D1317" s="138"/>
      <c r="E1317" s="252"/>
      <c r="F1317" s="102"/>
      <c r="G1317" s="102"/>
      <c r="H1317" s="102"/>
      <c r="I1317" s="247"/>
      <c r="J1317" s="156"/>
      <c r="K1317" s="183"/>
      <c r="L1317" s="183"/>
      <c r="M1317" s="183"/>
      <c r="N1317" s="183"/>
      <c r="O1317" s="699" t="str">
        <f>I1317/VLOOKUP(K1317,Sheet1!$D$7:$N$16,G1317+1,FALSE)</f>
        <v>#N/A</v>
      </c>
      <c r="P1317" s="684" t="str">
        <f t="shared" si="48"/>
        <v>#REF!</v>
      </c>
      <c r="Q1317" s="702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</row>
    <row r="1318" ht="15.75" hidden="1" customHeight="1">
      <c r="A1318" s="90"/>
      <c r="B1318" s="2"/>
      <c r="C1318" s="90"/>
      <c r="D1318" s="185"/>
      <c r="E1318" s="266"/>
      <c r="F1318" s="187"/>
      <c r="G1318" s="187"/>
      <c r="H1318" s="187"/>
      <c r="I1318" s="164"/>
      <c r="J1318" s="266"/>
      <c r="K1318" s="183"/>
      <c r="L1318" s="183"/>
      <c r="M1318" s="183"/>
      <c r="N1318" s="183"/>
      <c r="O1318" s="699" t="str">
        <f>I1318/VLOOKUP(K1318,Sheet1!$D$7:$N$16,G1318+1,FALSE)</f>
        <v>#N/A</v>
      </c>
      <c r="P1318" s="684" t="str">
        <f t="shared" si="48"/>
        <v>#REF!</v>
      </c>
      <c r="Q1318" s="702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</row>
    <row r="1319" ht="3.75" hidden="1" customHeight="1">
      <c r="A1319" s="191"/>
      <c r="B1319" s="719"/>
      <c r="C1319" s="192"/>
      <c r="D1319" s="138"/>
      <c r="E1319" s="267"/>
      <c r="F1319" s="194"/>
      <c r="G1319" s="194"/>
      <c r="H1319" s="194"/>
      <c r="I1319" s="164"/>
      <c r="J1319" s="267"/>
      <c r="K1319" s="183"/>
      <c r="L1319" s="183"/>
      <c r="M1319" s="183"/>
      <c r="N1319" s="183"/>
      <c r="O1319" s="699" t="str">
        <f>I1319/VLOOKUP(K1319,Sheet1!$D$7:$N$16,G1319+1,FALSE)</f>
        <v>#N/A</v>
      </c>
      <c r="P1319" s="684" t="str">
        <f t="shared" si="48"/>
        <v>#REF!</v>
      </c>
      <c r="Q1319" s="702"/>
      <c r="R1319" s="158"/>
      <c r="S1319" s="158"/>
      <c r="T1319" s="158"/>
      <c r="U1319" s="158"/>
      <c r="V1319" s="158"/>
      <c r="W1319" s="158"/>
      <c r="X1319" s="158"/>
      <c r="Y1319" s="158"/>
      <c r="Z1319" s="158"/>
      <c r="AA1319" s="158"/>
      <c r="AB1319" s="158"/>
      <c r="AC1319" s="158"/>
      <c r="AD1319" s="158"/>
      <c r="AE1319" s="158"/>
      <c r="AF1319" s="158"/>
    </row>
    <row r="1320" ht="15.75" hidden="1" customHeight="1">
      <c r="A1320" s="90"/>
      <c r="B1320" s="2"/>
      <c r="C1320" s="90"/>
      <c r="D1320" s="185"/>
      <c r="E1320" s="266"/>
      <c r="F1320" s="187"/>
      <c r="G1320" s="187"/>
      <c r="H1320" s="187"/>
      <c r="I1320" s="164"/>
      <c r="J1320" s="266"/>
      <c r="K1320" s="183"/>
      <c r="L1320" s="183"/>
      <c r="M1320" s="183"/>
      <c r="N1320" s="183"/>
      <c r="O1320" s="699" t="str">
        <f>I1320/VLOOKUP(K1320,Sheet1!$D$7:$N$16,G1320+1,FALSE)</f>
        <v>#N/A</v>
      </c>
      <c r="P1320" s="684" t="str">
        <f t="shared" si="48"/>
        <v>#REF!</v>
      </c>
      <c r="Q1320" s="702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</row>
    <row r="1321" ht="3.75" hidden="1" customHeight="1">
      <c r="A1321" s="90"/>
      <c r="B1321" s="2"/>
      <c r="C1321" s="90"/>
      <c r="D1321" s="252"/>
      <c r="E1321" s="252"/>
      <c r="F1321" s="102"/>
      <c r="G1321" s="102"/>
      <c r="H1321" s="102"/>
      <c r="I1321" s="247"/>
      <c r="J1321" s="156"/>
      <c r="K1321" s="733"/>
      <c r="L1321" s="734"/>
      <c r="M1321" s="734"/>
      <c r="N1321" s="734"/>
      <c r="O1321" s="699" t="str">
        <f>I1321/VLOOKUP(K1321,Sheet1!$D$7:$N$16,G1321+1,FALSE)</f>
        <v>#N/A</v>
      </c>
      <c r="P1321" s="684" t="str">
        <f t="shared" si="48"/>
        <v>#REF!</v>
      </c>
      <c r="Q1321" s="702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</row>
    <row r="1322" ht="0.75" hidden="1" customHeight="1">
      <c r="A1322" s="90"/>
      <c r="B1322" s="2"/>
      <c r="C1322" s="90"/>
      <c r="D1322" s="274"/>
      <c r="E1322" s="266"/>
      <c r="F1322" s="187"/>
      <c r="G1322" s="187"/>
      <c r="H1322" s="187"/>
      <c r="I1322" s="164"/>
      <c r="J1322" s="266"/>
      <c r="K1322" s="733"/>
      <c r="L1322" s="734"/>
      <c r="M1322" s="734"/>
      <c r="N1322" s="734"/>
      <c r="O1322" s="699" t="str">
        <f>I1322/VLOOKUP(K1322,Sheet1!$D$7:$N$16,G1322+1,FALSE)</f>
        <v>#N/A</v>
      </c>
      <c r="P1322" s="684" t="str">
        <f t="shared" si="48"/>
        <v>#REF!</v>
      </c>
      <c r="Q1322" s="697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</row>
    <row r="1323" ht="3.75" hidden="1" customHeight="1">
      <c r="A1323" s="90"/>
      <c r="B1323" s="2"/>
      <c r="C1323" s="90"/>
      <c r="D1323" s="90"/>
      <c r="E1323" s="156"/>
      <c r="F1323" s="102"/>
      <c r="G1323" s="102"/>
      <c r="H1323" s="102"/>
      <c r="I1323" s="102"/>
      <c r="J1323" s="156"/>
      <c r="K1323" s="720"/>
      <c r="L1323" s="201"/>
      <c r="M1323" s="201"/>
      <c r="N1323" s="201"/>
      <c r="O1323" s="699"/>
      <c r="P1323" s="684" t="str">
        <f t="shared" si="48"/>
        <v>#REF!</v>
      </c>
      <c r="Q1323" s="720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</row>
    <row r="1324" ht="30.0" hidden="1" customHeight="1">
      <c r="A1324" s="90"/>
      <c r="B1324" s="2"/>
      <c r="C1324" s="90"/>
      <c r="D1324" s="686" t="s">
        <v>279</v>
      </c>
      <c r="E1324" s="687" t="s">
        <v>15</v>
      </c>
      <c r="F1324" s="721" t="s">
        <v>16</v>
      </c>
      <c r="G1324" s="722" t="s">
        <v>17</v>
      </c>
      <c r="H1324" s="723"/>
      <c r="I1324" s="724"/>
      <c r="J1324" s="725" t="s">
        <v>241</v>
      </c>
      <c r="K1324" s="691"/>
      <c r="L1324" s="692"/>
      <c r="M1324" s="692"/>
      <c r="N1324" s="692"/>
      <c r="O1324" s="699"/>
      <c r="P1324" s="684"/>
      <c r="Q1324" s="693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</row>
    <row r="1325" ht="14.25" hidden="1" customHeight="1">
      <c r="A1325" s="90"/>
      <c r="B1325" s="2"/>
      <c r="C1325" s="90"/>
      <c r="D1325" s="257" t="s">
        <v>25</v>
      </c>
      <c r="E1325" s="257" t="s">
        <v>26</v>
      </c>
      <c r="F1325" s="680"/>
      <c r="G1325" s="681"/>
      <c r="H1325" s="723"/>
      <c r="I1325" s="681"/>
      <c r="J1325" s="725" t="s">
        <v>244</v>
      </c>
      <c r="K1325" s="697"/>
      <c r="L1325" s="692"/>
      <c r="M1325" s="692"/>
      <c r="N1325" s="692"/>
      <c r="O1325" s="699"/>
      <c r="P1325" s="684"/>
      <c r="Q1325" s="698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</row>
    <row r="1326" ht="3.75" hidden="1" customHeight="1">
      <c r="A1326" s="191"/>
      <c r="B1326" s="719"/>
      <c r="C1326" s="192"/>
      <c r="D1326" s="203"/>
      <c r="E1326" s="203"/>
      <c r="F1326" s="726"/>
      <c r="G1326" s="726"/>
      <c r="H1326" s="726"/>
      <c r="I1326" s="727"/>
      <c r="J1326" s="728"/>
      <c r="K1326" s="192"/>
      <c r="L1326" s="194"/>
      <c r="M1326" s="194"/>
      <c r="N1326" s="194"/>
      <c r="O1326" s="699" t="str">
        <f>I1326/VLOOKUP(K1326,Sheet1!$D$7:$N$16,G1326+1,FALSE)</f>
        <v>#N/A</v>
      </c>
      <c r="P1326" s="684" t="str">
        <f t="shared" ref="P1326:P1346" si="49">I1326-#REF!</f>
        <v>#REF!</v>
      </c>
      <c r="Q1326" s="192"/>
      <c r="R1326" s="158"/>
      <c r="S1326" s="158"/>
      <c r="T1326" s="158"/>
      <c r="U1326" s="158"/>
      <c r="V1326" s="158"/>
      <c r="W1326" s="158"/>
      <c r="X1326" s="158"/>
      <c r="Y1326" s="158"/>
      <c r="Z1326" s="158"/>
      <c r="AA1326" s="158"/>
      <c r="AB1326" s="158"/>
      <c r="AC1326" s="158"/>
      <c r="AD1326" s="158"/>
      <c r="AE1326" s="158"/>
      <c r="AF1326" s="158"/>
    </row>
    <row r="1327" ht="15.75" hidden="1" customHeight="1">
      <c r="A1327" s="124"/>
      <c r="B1327" s="2"/>
      <c r="C1327" s="124"/>
      <c r="D1327" s="185" t="s">
        <v>6</v>
      </c>
      <c r="E1327" s="260"/>
      <c r="F1327" s="187">
        <v>1.0</v>
      </c>
      <c r="G1327" s="187">
        <v>4.0</v>
      </c>
      <c r="H1327" s="187"/>
      <c r="I1327" s="164">
        <v>190.0</v>
      </c>
      <c r="J1327" s="266">
        <v>6.0</v>
      </c>
      <c r="K1327" s="164">
        <v>6.5</v>
      </c>
      <c r="L1327" s="164"/>
      <c r="M1327" s="164"/>
      <c r="N1327" s="164"/>
      <c r="O1327" s="699">
        <f>I1327/VLOOKUP(K1327,Sheet1!$D$7:$N$16,G1327+1,FALSE)</f>
        <v>236.7601246</v>
      </c>
      <c r="P1327" s="684" t="str">
        <f t="shared" si="49"/>
        <v>#REF!</v>
      </c>
      <c r="Q1327" s="700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</row>
    <row r="1328" ht="3.75" hidden="1" customHeight="1">
      <c r="A1328" s="124"/>
      <c r="B1328" s="2"/>
      <c r="C1328" s="124"/>
      <c r="D1328" s="138"/>
      <c r="E1328" s="252"/>
      <c r="F1328" s="140"/>
      <c r="G1328" s="140"/>
      <c r="H1328" s="140"/>
      <c r="I1328" s="701"/>
      <c r="J1328" s="141"/>
      <c r="K1328" s="164"/>
      <c r="L1328" s="164"/>
      <c r="M1328" s="164"/>
      <c r="N1328" s="164"/>
      <c r="O1328" s="699" t="str">
        <f>I1328/VLOOKUP(K1328,Sheet1!$D$7:$N$16,G1328+1,FALSE)</f>
        <v>#N/A</v>
      </c>
      <c r="P1328" s="684" t="str">
        <f t="shared" si="49"/>
        <v>#REF!</v>
      </c>
      <c r="Q1328" s="702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</row>
    <row r="1329" ht="15.0" hidden="1" customHeight="1">
      <c r="A1329" s="124"/>
      <c r="B1329" s="2"/>
      <c r="C1329" s="124"/>
      <c r="D1329" s="704" t="s">
        <v>6</v>
      </c>
      <c r="E1329" s="260"/>
      <c r="F1329" s="187">
        <v>2.0</v>
      </c>
      <c r="G1329" s="187">
        <v>4.0</v>
      </c>
      <c r="H1329" s="187"/>
      <c r="I1329" s="164">
        <v>170.0</v>
      </c>
      <c r="J1329" s="706">
        <v>-0.1</v>
      </c>
      <c r="K1329" s="164">
        <v>5.0</v>
      </c>
      <c r="L1329" s="164"/>
      <c r="M1329" s="164"/>
      <c r="N1329" s="164"/>
      <c r="O1329" s="699" t="str">
        <f>I1329/VLOOKUP(K1329,Sheet1!$D$7:$N$16,G1329+1,FALSE)</f>
        <v>#N/A</v>
      </c>
      <c r="P1329" s="684" t="str">
        <f t="shared" si="49"/>
        <v>#REF!</v>
      </c>
      <c r="Q1329" s="702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</row>
    <row r="1330" ht="3.75" hidden="1" customHeight="1">
      <c r="A1330" s="124"/>
      <c r="B1330" s="2"/>
      <c r="C1330" s="124"/>
      <c r="D1330" s="138"/>
      <c r="E1330" s="252"/>
      <c r="F1330" s="102"/>
      <c r="G1330" s="102"/>
      <c r="H1330" s="102"/>
      <c r="I1330" s="247"/>
      <c r="J1330" s="156"/>
      <c r="K1330" s="164"/>
      <c r="L1330" s="164"/>
      <c r="M1330" s="164"/>
      <c r="N1330" s="164"/>
      <c r="O1330" s="699" t="str">
        <f>I1330/VLOOKUP(K1330,Sheet1!$D$7:$N$16,G1330+1,FALSE)</f>
        <v>#N/A</v>
      </c>
      <c r="P1330" s="684" t="str">
        <f t="shared" si="49"/>
        <v>#REF!</v>
      </c>
      <c r="Q1330" s="702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</row>
    <row r="1331" ht="15.75" hidden="1" customHeight="1">
      <c r="A1331" s="124"/>
      <c r="B1331" s="2"/>
      <c r="C1331" s="124"/>
      <c r="D1331" s="704"/>
      <c r="E1331" s="260"/>
      <c r="F1331" s="187"/>
      <c r="G1331" s="187"/>
      <c r="H1331" s="187"/>
      <c r="I1331" s="164"/>
      <c r="J1331" s="706"/>
      <c r="K1331" s="164"/>
      <c r="L1331" s="164"/>
      <c r="M1331" s="164"/>
      <c r="N1331" s="164"/>
      <c r="O1331" s="699" t="str">
        <f>I1331/VLOOKUP(K1331,Sheet1!$D$7:$N$16,G1331+1,FALSE)</f>
        <v>#N/A</v>
      </c>
      <c r="P1331" s="684" t="str">
        <f t="shared" si="49"/>
        <v>#REF!</v>
      </c>
      <c r="Q1331" s="702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</row>
    <row r="1332" ht="3.75" hidden="1" customHeight="1">
      <c r="A1332" s="124"/>
      <c r="B1332" s="2"/>
      <c r="C1332" s="124"/>
      <c r="D1332" s="138"/>
      <c r="E1332" s="252"/>
      <c r="F1332" s="102"/>
      <c r="G1332" s="102"/>
      <c r="H1332" s="102"/>
      <c r="I1332" s="247"/>
      <c r="J1332" s="156"/>
      <c r="K1332" s="164"/>
      <c r="L1332" s="164"/>
      <c r="M1332" s="164"/>
      <c r="N1332" s="164"/>
      <c r="O1332" s="699" t="str">
        <f>I1332/VLOOKUP(K1332,Sheet1!$D$7:$N$16,G1332+1,FALSE)</f>
        <v>#N/A</v>
      </c>
      <c r="P1332" s="684" t="str">
        <f t="shared" si="49"/>
        <v>#REF!</v>
      </c>
      <c r="Q1332" s="702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</row>
    <row r="1333" ht="15.75" hidden="1" customHeight="1">
      <c r="A1333" s="124"/>
      <c r="B1333" s="2"/>
      <c r="C1333" s="124"/>
      <c r="D1333" s="185" t="s">
        <v>292</v>
      </c>
      <c r="E1333" s="224"/>
      <c r="F1333" s="187">
        <v>3.0</v>
      </c>
      <c r="G1333" s="187">
        <v>4.0</v>
      </c>
      <c r="H1333" s="187"/>
      <c r="I1333" s="164">
        <v>125.0</v>
      </c>
      <c r="J1333" s="266"/>
      <c r="K1333" s="164">
        <v>6.0</v>
      </c>
      <c r="L1333" s="164"/>
      <c r="M1333" s="164"/>
      <c r="N1333" s="164"/>
      <c r="O1333" s="699">
        <f>I1333/VLOOKUP(K1333,Sheet1!$D$7:$N$16,G1333+1,FALSE)</f>
        <v>158.2278481</v>
      </c>
      <c r="P1333" s="684" t="str">
        <f t="shared" si="49"/>
        <v>#REF!</v>
      </c>
      <c r="Q1333" s="702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</row>
    <row r="1334" ht="3.75" hidden="1" customHeight="1">
      <c r="A1334" s="90"/>
      <c r="B1334" s="2"/>
      <c r="C1334" s="90"/>
      <c r="D1334" s="138"/>
      <c r="E1334" s="252"/>
      <c r="F1334" s="102"/>
      <c r="G1334" s="102"/>
      <c r="H1334" s="102"/>
      <c r="I1334" s="247"/>
      <c r="J1334" s="156"/>
      <c r="K1334" s="164"/>
      <c r="L1334" s="164"/>
      <c r="M1334" s="164"/>
      <c r="N1334" s="164"/>
      <c r="O1334" s="699" t="str">
        <f>I1334/VLOOKUP(K1334,Sheet1!$D$7:$N$16,G1334+1,FALSE)</f>
        <v>#N/A</v>
      </c>
      <c r="P1334" s="684" t="str">
        <f t="shared" si="49"/>
        <v>#REF!</v>
      </c>
      <c r="Q1334" s="702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</row>
    <row r="1335" ht="15.75" hidden="1" customHeight="1">
      <c r="A1335" s="90"/>
      <c r="B1335" s="2"/>
      <c r="C1335" s="90"/>
      <c r="D1335" s="185"/>
      <c r="E1335" s="260"/>
      <c r="F1335" s="187"/>
      <c r="G1335" s="187"/>
      <c r="H1335" s="187"/>
      <c r="I1335" s="164"/>
      <c r="J1335" s="706"/>
      <c r="K1335" s="164"/>
      <c r="L1335" s="164"/>
      <c r="M1335" s="164"/>
      <c r="N1335" s="164"/>
      <c r="O1335" s="699" t="str">
        <f>I1335/VLOOKUP(K1335,Sheet1!$D$7:$N$16,G1335+1,FALSE)</f>
        <v>#N/A</v>
      </c>
      <c r="P1335" s="684" t="str">
        <f t="shared" si="49"/>
        <v>#REF!</v>
      </c>
      <c r="Q1335" s="702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</row>
    <row r="1336" ht="3.75" hidden="1" customHeight="1">
      <c r="A1336" s="191"/>
      <c r="B1336" s="719"/>
      <c r="C1336" s="192"/>
      <c r="D1336" s="138"/>
      <c r="E1336" s="252"/>
      <c r="F1336" s="102"/>
      <c r="G1336" s="102"/>
      <c r="H1336" s="102"/>
      <c r="I1336" s="247"/>
      <c r="J1336" s="156"/>
      <c r="K1336" s="164"/>
      <c r="L1336" s="164"/>
      <c r="M1336" s="164"/>
      <c r="N1336" s="164"/>
      <c r="O1336" s="699" t="str">
        <f>I1336/VLOOKUP(K1336,Sheet1!$D$7:$N$16,G1336+1,FALSE)</f>
        <v>#N/A</v>
      </c>
      <c r="P1336" s="684" t="str">
        <f t="shared" si="49"/>
        <v>#REF!</v>
      </c>
      <c r="Q1336" s="702"/>
      <c r="R1336" s="158"/>
      <c r="S1336" s="158"/>
      <c r="T1336" s="158"/>
      <c r="U1336" s="158"/>
      <c r="V1336" s="158"/>
      <c r="W1336" s="158"/>
      <c r="X1336" s="158"/>
      <c r="Y1336" s="158"/>
      <c r="Z1336" s="158"/>
      <c r="AA1336" s="158"/>
      <c r="AB1336" s="158"/>
      <c r="AC1336" s="158"/>
      <c r="AD1336" s="158"/>
      <c r="AE1336" s="158"/>
      <c r="AF1336" s="158"/>
    </row>
    <row r="1337" ht="15.75" hidden="1" customHeight="1">
      <c r="A1337" s="90"/>
      <c r="B1337" s="2"/>
      <c r="C1337" s="90"/>
      <c r="D1337" s="185" t="s">
        <v>259</v>
      </c>
      <c r="E1337" s="260"/>
      <c r="F1337" s="187">
        <v>4.0</v>
      </c>
      <c r="G1337" s="731" t="s">
        <v>260</v>
      </c>
      <c r="H1337" s="187"/>
      <c r="I1337" s="164"/>
      <c r="J1337" s="266">
        <v>7.0</v>
      </c>
      <c r="K1337" s="164"/>
      <c r="L1337" s="164"/>
      <c r="M1337" s="164"/>
      <c r="N1337" s="164"/>
      <c r="O1337" s="699" t="str">
        <f>I1337/VLOOKUP(K1337,Sheet1!$D$7:$N$16,G1337+1,FALSE)</f>
        <v>#REF!</v>
      </c>
      <c r="P1337" s="684" t="str">
        <f t="shared" si="49"/>
        <v>#REF!</v>
      </c>
      <c r="Q1337" s="702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</row>
    <row r="1338" ht="3.75" hidden="1" customHeight="1">
      <c r="A1338" s="90"/>
      <c r="B1338" s="2"/>
      <c r="C1338" s="90"/>
      <c r="D1338" s="138"/>
      <c r="E1338" s="252"/>
      <c r="F1338" s="102"/>
      <c r="G1338" s="102"/>
      <c r="H1338" s="102"/>
      <c r="I1338" s="247"/>
      <c r="J1338" s="156"/>
      <c r="K1338" s="164"/>
      <c r="L1338" s="164"/>
      <c r="M1338" s="164"/>
      <c r="N1338" s="164"/>
      <c r="O1338" s="699" t="str">
        <f>I1338/VLOOKUP(K1338,Sheet1!$D$7:$N$16,G1338+1,FALSE)</f>
        <v>#N/A</v>
      </c>
      <c r="P1338" s="684" t="str">
        <f t="shared" si="49"/>
        <v>#REF!</v>
      </c>
      <c r="Q1338" s="702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</row>
    <row r="1339" ht="15.75" hidden="1" customHeight="1">
      <c r="A1339" s="90"/>
      <c r="B1339" s="2"/>
      <c r="C1339" s="90"/>
      <c r="D1339" s="185" t="s">
        <v>263</v>
      </c>
      <c r="E1339" s="260"/>
      <c r="F1339" s="187">
        <v>4.0</v>
      </c>
      <c r="G1339" s="187">
        <v>15.0</v>
      </c>
      <c r="H1339" s="187"/>
      <c r="I1339" s="247"/>
      <c r="J1339" s="266">
        <v>8.0</v>
      </c>
      <c r="K1339" s="164"/>
      <c r="L1339" s="164"/>
      <c r="M1339" s="164"/>
      <c r="N1339" s="164"/>
      <c r="O1339" s="699" t="str">
        <f>I1339/VLOOKUP(K1339,Sheet1!$D$7:$N$16,G1339+1,FALSE)</f>
        <v>#REF!</v>
      </c>
      <c r="P1339" s="684" t="str">
        <f t="shared" si="49"/>
        <v>#REF!</v>
      </c>
      <c r="Q1339" s="702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</row>
    <row r="1340" ht="3.75" hidden="1" customHeight="1">
      <c r="A1340" s="90"/>
      <c r="B1340" s="2"/>
      <c r="C1340" s="90"/>
      <c r="D1340" s="138"/>
      <c r="E1340" s="252"/>
      <c r="F1340" s="102"/>
      <c r="G1340" s="102"/>
      <c r="H1340" s="102"/>
      <c r="I1340" s="247"/>
      <c r="J1340" s="156"/>
      <c r="K1340" s="164"/>
      <c r="L1340" s="164"/>
      <c r="M1340" s="164"/>
      <c r="N1340" s="164"/>
      <c r="O1340" s="699" t="str">
        <f>I1340/VLOOKUP(K1340,Sheet1!$D$7:$N$16,G1340+1,FALSE)</f>
        <v>#N/A</v>
      </c>
      <c r="P1340" s="684" t="str">
        <f t="shared" si="49"/>
        <v>#REF!</v>
      </c>
      <c r="Q1340" s="702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</row>
    <row r="1341" ht="15.75" hidden="1" customHeight="1">
      <c r="A1341" s="90"/>
      <c r="B1341" s="2"/>
      <c r="C1341" s="90"/>
      <c r="D1341" s="185"/>
      <c r="E1341" s="260"/>
      <c r="F1341" s="187"/>
      <c r="G1341" s="187"/>
      <c r="H1341" s="187"/>
      <c r="I1341" s="247"/>
      <c r="J1341" s="266"/>
      <c r="K1341" s="164"/>
      <c r="L1341" s="164"/>
      <c r="M1341" s="164"/>
      <c r="N1341" s="164"/>
      <c r="O1341" s="699" t="str">
        <f>I1341/VLOOKUP(K1341,Sheet1!$D$7:$N$16,G1341+1,FALSE)</f>
        <v>#N/A</v>
      </c>
      <c r="P1341" s="684" t="str">
        <f t="shared" si="49"/>
        <v>#REF!</v>
      </c>
      <c r="Q1341" s="702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</row>
    <row r="1342" ht="3.75" hidden="1" customHeight="1">
      <c r="A1342" s="90"/>
      <c r="B1342" s="2"/>
      <c r="C1342" s="90"/>
      <c r="D1342" s="138"/>
      <c r="E1342" s="252"/>
      <c r="F1342" s="102"/>
      <c r="G1342" s="102"/>
      <c r="H1342" s="102"/>
      <c r="I1342" s="247"/>
      <c r="J1342" s="156"/>
      <c r="K1342" s="164"/>
      <c r="L1342" s="164"/>
      <c r="M1342" s="164"/>
      <c r="N1342" s="164"/>
      <c r="O1342" s="699" t="str">
        <f>I1342/VLOOKUP(K1342,Sheet1!$D$7:$N$16,G1342+1,FALSE)</f>
        <v>#N/A</v>
      </c>
      <c r="P1342" s="684" t="str">
        <f t="shared" si="49"/>
        <v>#REF!</v>
      </c>
      <c r="Q1342" s="702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</row>
    <row r="1343" ht="15.75" hidden="1" customHeight="1">
      <c r="A1343" s="90"/>
      <c r="B1343" s="2"/>
      <c r="C1343" s="90"/>
      <c r="D1343" s="185"/>
      <c r="E1343" s="260"/>
      <c r="F1343" s="187"/>
      <c r="G1343" s="187"/>
      <c r="H1343" s="187"/>
      <c r="I1343" s="247"/>
      <c r="J1343" s="266"/>
      <c r="K1343" s="164"/>
      <c r="L1343" s="164"/>
      <c r="M1343" s="164"/>
      <c r="N1343" s="164"/>
      <c r="O1343" s="699" t="str">
        <f>I1343/VLOOKUP(K1343,Sheet1!$D$7:$N$16,G1343+1,FALSE)</f>
        <v>#N/A</v>
      </c>
      <c r="P1343" s="684" t="str">
        <f t="shared" si="49"/>
        <v>#REF!</v>
      </c>
      <c r="Q1343" s="702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</row>
    <row r="1344" ht="3.75" hidden="1" customHeight="1">
      <c r="A1344" s="90"/>
      <c r="B1344" s="2"/>
      <c r="C1344" s="90"/>
      <c r="D1344" s="138"/>
      <c r="E1344" s="252"/>
      <c r="F1344" s="102"/>
      <c r="G1344" s="102"/>
      <c r="H1344" s="102"/>
      <c r="I1344" s="247"/>
      <c r="J1344" s="156"/>
      <c r="K1344" s="164"/>
      <c r="L1344" s="164"/>
      <c r="M1344" s="164"/>
      <c r="N1344" s="164"/>
      <c r="O1344" s="699" t="str">
        <f>I1344/VLOOKUP(K1344,Sheet1!$D$7:$N$16,G1344+1,FALSE)</f>
        <v>#N/A</v>
      </c>
      <c r="P1344" s="684" t="str">
        <f t="shared" si="49"/>
        <v>#REF!</v>
      </c>
      <c r="Q1344" s="702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</row>
    <row r="1345" ht="15.75" hidden="1" customHeight="1">
      <c r="A1345" s="90"/>
      <c r="B1345" s="2"/>
      <c r="C1345" s="90"/>
      <c r="D1345" s="185"/>
      <c r="E1345" s="266"/>
      <c r="F1345" s="187"/>
      <c r="G1345" s="187"/>
      <c r="H1345" s="187"/>
      <c r="I1345" s="164"/>
      <c r="J1345" s="266"/>
      <c r="K1345" s="164"/>
      <c r="L1345" s="164"/>
      <c r="M1345" s="164"/>
      <c r="N1345" s="164"/>
      <c r="O1345" s="699" t="str">
        <f>I1345/VLOOKUP(K1345,Sheet1!$D$7:$N$16,G1345+1,FALSE)</f>
        <v>#N/A</v>
      </c>
      <c r="P1345" s="684" t="str">
        <f t="shared" si="49"/>
        <v>#REF!</v>
      </c>
      <c r="Q1345" s="697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</row>
    <row r="1346" ht="3.75" hidden="1" customHeight="1">
      <c r="A1346" s="124"/>
      <c r="B1346" s="2"/>
      <c r="C1346" s="124"/>
      <c r="D1346" s="252"/>
      <c r="E1346" s="252"/>
      <c r="F1346" s="102"/>
      <c r="G1346" s="102"/>
      <c r="H1346" s="102"/>
      <c r="I1346" s="102"/>
      <c r="J1346" s="156"/>
      <c r="K1346" s="259"/>
      <c r="L1346" s="201"/>
      <c r="M1346" s="201"/>
      <c r="N1346" s="201"/>
      <c r="O1346" s="699" t="str">
        <f>I1346/VLOOKUP(K1346,Sheet1!$D$7:$N$16,G1346+1,FALSE)</f>
        <v>#N/A</v>
      </c>
      <c r="P1346" s="684" t="str">
        <f t="shared" si="49"/>
        <v>#REF!</v>
      </c>
      <c r="Q1346" s="259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</row>
    <row r="1347" ht="30.75" hidden="1" customHeight="1">
      <c r="A1347" s="90"/>
      <c r="B1347" s="2"/>
      <c r="C1347" s="90"/>
      <c r="D1347" s="686" t="s">
        <v>280</v>
      </c>
      <c r="E1347" s="687" t="s">
        <v>15</v>
      </c>
      <c r="F1347" s="721" t="s">
        <v>16</v>
      </c>
      <c r="G1347" s="722" t="s">
        <v>17</v>
      </c>
      <c r="H1347" s="723"/>
      <c r="I1347" s="724"/>
      <c r="J1347" s="725" t="s">
        <v>241</v>
      </c>
      <c r="K1347" s="691"/>
      <c r="L1347" s="692"/>
      <c r="M1347" s="692"/>
      <c r="N1347" s="692"/>
      <c r="O1347" s="699"/>
      <c r="P1347" s="684"/>
      <c r="Q1347" s="693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</row>
    <row r="1348" ht="14.25" hidden="1" customHeight="1">
      <c r="A1348" s="90"/>
      <c r="B1348" s="2"/>
      <c r="C1348" s="90"/>
      <c r="D1348" s="257" t="s">
        <v>25</v>
      </c>
      <c r="E1348" s="257" t="s">
        <v>26</v>
      </c>
      <c r="F1348" s="680"/>
      <c r="G1348" s="681"/>
      <c r="H1348" s="723"/>
      <c r="I1348" s="681"/>
      <c r="J1348" s="725" t="s">
        <v>244</v>
      </c>
      <c r="K1348" s="697"/>
      <c r="L1348" s="692"/>
      <c r="M1348" s="692"/>
      <c r="N1348" s="692"/>
      <c r="O1348" s="699"/>
      <c r="P1348" s="684"/>
      <c r="Q1348" s="698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</row>
    <row r="1349" ht="3.75" hidden="1" customHeight="1">
      <c r="A1349" s="124"/>
      <c r="B1349" s="2"/>
      <c r="C1349" s="124"/>
      <c r="D1349" s="252"/>
      <c r="E1349" s="252"/>
      <c r="F1349" s="102"/>
      <c r="G1349" s="102"/>
      <c r="H1349" s="102"/>
      <c r="I1349" s="102"/>
      <c r="J1349" s="156"/>
      <c r="K1349" s="259"/>
      <c r="L1349" s="201"/>
      <c r="M1349" s="201"/>
      <c r="N1349" s="201"/>
      <c r="O1349" s="699" t="str">
        <f>I1349/VLOOKUP(K1349,Sheet1!$D$7:$N$16,G1349+1,FALSE)</f>
        <v>#N/A</v>
      </c>
      <c r="P1349" s="684" t="str">
        <f t="shared" ref="P1349:P1362" si="50">I1349-#REF!</f>
        <v>#REF!</v>
      </c>
      <c r="Q1349" s="259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</row>
    <row r="1350" ht="14.25" hidden="1" customHeight="1">
      <c r="A1350" s="124"/>
      <c r="B1350" s="2"/>
      <c r="C1350" s="124"/>
      <c r="D1350" s="185" t="s">
        <v>10</v>
      </c>
      <c r="E1350" s="260"/>
      <c r="F1350" s="187">
        <v>1.0</v>
      </c>
      <c r="G1350" s="187">
        <v>3.0</v>
      </c>
      <c r="H1350" s="187"/>
      <c r="I1350" s="164">
        <v>250.0</v>
      </c>
      <c r="J1350" s="266">
        <v>5.0</v>
      </c>
      <c r="K1350" s="164">
        <v>6.0</v>
      </c>
      <c r="L1350" s="164"/>
      <c r="M1350" s="164"/>
      <c r="N1350" s="164"/>
      <c r="O1350" s="699">
        <f>I1350/VLOOKUP(K1350,Sheet1!$D$7:$N$16,G1350+1,FALSE)</f>
        <v>306.7484663</v>
      </c>
      <c r="P1350" s="684" t="str">
        <f t="shared" si="50"/>
        <v>#REF!</v>
      </c>
      <c r="Q1350" s="736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</row>
    <row r="1351" ht="3.75" hidden="1" customHeight="1">
      <c r="A1351" s="124"/>
      <c r="B1351" s="2"/>
      <c r="C1351" s="124"/>
      <c r="D1351" s="138"/>
      <c r="E1351" s="252"/>
      <c r="F1351" s="102"/>
      <c r="G1351" s="102"/>
      <c r="H1351" s="102"/>
      <c r="I1351" s="247"/>
      <c r="J1351" s="156"/>
      <c r="K1351" s="164"/>
      <c r="L1351" s="164"/>
      <c r="M1351" s="164"/>
      <c r="N1351" s="164"/>
      <c r="O1351" s="699" t="str">
        <f>I1351/VLOOKUP(K1351,Sheet1!$D$7:$N$16,G1351+1,FALSE)</f>
        <v>#N/A</v>
      </c>
      <c r="P1351" s="684" t="str">
        <f t="shared" si="50"/>
        <v>#REF!</v>
      </c>
      <c r="Q1351" s="702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</row>
    <row r="1352" ht="14.25" hidden="1" customHeight="1">
      <c r="A1352" s="124"/>
      <c r="B1352" s="2"/>
      <c r="C1352" s="124"/>
      <c r="D1352" s="185" t="s">
        <v>10</v>
      </c>
      <c r="E1352" s="260"/>
      <c r="F1352" s="187">
        <v>1.0</v>
      </c>
      <c r="G1352" s="187">
        <v>3.0</v>
      </c>
      <c r="H1352" s="187"/>
      <c r="I1352" s="164">
        <v>260.0</v>
      </c>
      <c r="J1352" s="266">
        <v>6.0</v>
      </c>
      <c r="K1352" s="164">
        <v>6.5</v>
      </c>
      <c r="L1352" s="164"/>
      <c r="M1352" s="164"/>
      <c r="N1352" s="164"/>
      <c r="O1352" s="699">
        <f>I1352/VLOOKUP(K1352,Sheet1!$D$7:$N$16,G1352+1,FALSE)</f>
        <v>314.1993958</v>
      </c>
      <c r="P1352" s="684" t="str">
        <f t="shared" si="50"/>
        <v>#REF!</v>
      </c>
      <c r="Q1352" s="702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</row>
    <row r="1353" ht="3.75" hidden="1" customHeight="1">
      <c r="A1353" s="124"/>
      <c r="B1353" s="2"/>
      <c r="C1353" s="124"/>
      <c r="D1353" s="138"/>
      <c r="E1353" s="252"/>
      <c r="F1353" s="102"/>
      <c r="G1353" s="102"/>
      <c r="H1353" s="102"/>
      <c r="I1353" s="247"/>
      <c r="J1353" s="156"/>
      <c r="K1353" s="164"/>
      <c r="L1353" s="164"/>
      <c r="M1353" s="164"/>
      <c r="N1353" s="164"/>
      <c r="O1353" s="699" t="str">
        <f>I1353/VLOOKUP(K1353,Sheet1!$D$7:$N$16,G1353+1,FALSE)</f>
        <v>#N/A</v>
      </c>
      <c r="P1353" s="684" t="str">
        <f t="shared" si="50"/>
        <v>#REF!</v>
      </c>
      <c r="Q1353" s="702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</row>
    <row r="1354" ht="14.25" hidden="1" customHeight="1">
      <c r="A1354" s="124"/>
      <c r="B1354" s="2"/>
      <c r="C1354" s="124"/>
      <c r="D1354" s="185" t="s">
        <v>10</v>
      </c>
      <c r="E1354" s="260"/>
      <c r="F1354" s="187">
        <v>2.0</v>
      </c>
      <c r="G1354" s="187">
        <v>3.0</v>
      </c>
      <c r="H1354" s="187"/>
      <c r="I1354" s="164">
        <v>235.0</v>
      </c>
      <c r="J1354" s="706">
        <v>-0.1</v>
      </c>
      <c r="K1354" s="164">
        <v>6.5</v>
      </c>
      <c r="L1354" s="164"/>
      <c r="M1354" s="164"/>
      <c r="N1354" s="164"/>
      <c r="O1354" s="699">
        <f>I1354/VLOOKUP(K1354,Sheet1!$D$7:$N$16,G1354+1,FALSE)</f>
        <v>283.9879154</v>
      </c>
      <c r="P1354" s="684" t="str">
        <f t="shared" si="50"/>
        <v>#REF!</v>
      </c>
      <c r="Q1354" s="702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</row>
    <row r="1355" ht="3.75" hidden="1" customHeight="1">
      <c r="A1355" s="124"/>
      <c r="B1355" s="2"/>
      <c r="C1355" s="124"/>
      <c r="D1355" s="138"/>
      <c r="E1355" s="252"/>
      <c r="F1355" s="102"/>
      <c r="G1355" s="102"/>
      <c r="H1355" s="102"/>
      <c r="I1355" s="247"/>
      <c r="J1355" s="156"/>
      <c r="K1355" s="164"/>
      <c r="L1355" s="164"/>
      <c r="M1355" s="164"/>
      <c r="N1355" s="164"/>
      <c r="O1355" s="699" t="str">
        <f>I1355/VLOOKUP(K1355,Sheet1!$D$7:$N$16,G1355+1,FALSE)</f>
        <v>#N/A</v>
      </c>
      <c r="P1355" s="684" t="str">
        <f t="shared" si="50"/>
        <v>#REF!</v>
      </c>
      <c r="Q1355" s="702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</row>
    <row r="1356" ht="14.25" hidden="1" customHeight="1">
      <c r="A1356" s="124"/>
      <c r="B1356" s="2"/>
      <c r="C1356" s="124"/>
      <c r="D1356" s="185"/>
      <c r="E1356" s="260"/>
      <c r="F1356" s="187"/>
      <c r="G1356" s="187"/>
      <c r="H1356" s="187"/>
      <c r="I1356" s="164"/>
      <c r="J1356" s="266"/>
      <c r="K1356" s="164"/>
      <c r="L1356" s="164"/>
      <c r="M1356" s="164"/>
      <c r="N1356" s="164"/>
      <c r="O1356" s="699" t="str">
        <f>I1356/VLOOKUP(K1356,Sheet1!$D$7:$N$16,G1356+1,FALSE)</f>
        <v>#N/A</v>
      </c>
      <c r="P1356" s="684" t="str">
        <f t="shared" si="50"/>
        <v>#REF!</v>
      </c>
      <c r="Q1356" s="702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</row>
    <row r="1357" ht="3.75" hidden="1" customHeight="1">
      <c r="A1357" s="124"/>
      <c r="B1357" s="2"/>
      <c r="C1357" s="124"/>
      <c r="D1357" s="138"/>
      <c r="E1357" s="252"/>
      <c r="F1357" s="102"/>
      <c r="G1357" s="102"/>
      <c r="H1357" s="102"/>
      <c r="I1357" s="247"/>
      <c r="J1357" s="156"/>
      <c r="K1357" s="164"/>
      <c r="L1357" s="164"/>
      <c r="M1357" s="164"/>
      <c r="N1357" s="164"/>
      <c r="O1357" s="699" t="str">
        <f>I1357/VLOOKUP(K1357,Sheet1!$D$7:$N$16,G1357+1,FALSE)</f>
        <v>#N/A</v>
      </c>
      <c r="P1357" s="684" t="str">
        <f t="shared" si="50"/>
        <v>#REF!</v>
      </c>
      <c r="Q1357" s="702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</row>
    <row r="1358" ht="14.25" hidden="1" customHeight="1">
      <c r="A1358" s="124"/>
      <c r="B1358" s="2"/>
      <c r="C1358" s="124"/>
      <c r="D1358" s="185" t="s">
        <v>51</v>
      </c>
      <c r="E1358" s="260"/>
      <c r="F1358" s="187">
        <v>1.0</v>
      </c>
      <c r="G1358" s="187">
        <v>2.0</v>
      </c>
      <c r="H1358" s="187"/>
      <c r="I1358" s="164">
        <v>142.5</v>
      </c>
      <c r="J1358" s="266">
        <v>6.5</v>
      </c>
      <c r="K1358" s="164">
        <v>7.5</v>
      </c>
      <c r="L1358" s="164"/>
      <c r="M1358" s="164"/>
      <c r="N1358" s="164"/>
      <c r="O1358" s="699">
        <f>I1358/VLOOKUP(K1358,Sheet1!$D$7:$N$16,G1358+1,FALSE)</f>
        <v>162.3931624</v>
      </c>
      <c r="P1358" s="684" t="str">
        <f t="shared" si="50"/>
        <v>#REF!</v>
      </c>
      <c r="Q1358" s="702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</row>
    <row r="1359" ht="3.75" hidden="1" customHeight="1">
      <c r="A1359" s="261"/>
      <c r="B1359" s="719"/>
      <c r="C1359" s="262"/>
      <c r="D1359" s="138"/>
      <c r="E1359" s="252"/>
      <c r="F1359" s="102"/>
      <c r="G1359" s="102"/>
      <c r="H1359" s="102"/>
      <c r="I1359" s="247"/>
      <c r="J1359" s="156"/>
      <c r="K1359" s="164"/>
      <c r="L1359" s="164"/>
      <c r="M1359" s="164"/>
      <c r="N1359" s="164"/>
      <c r="O1359" s="699" t="str">
        <f>I1359/VLOOKUP(K1359,Sheet1!$D$7:$N$16,G1359+1,FALSE)</f>
        <v>#N/A</v>
      </c>
      <c r="P1359" s="684" t="str">
        <f t="shared" si="50"/>
        <v>#REF!</v>
      </c>
      <c r="Q1359" s="702"/>
      <c r="R1359" s="158"/>
      <c r="S1359" s="158"/>
      <c r="T1359" s="158"/>
      <c r="U1359" s="158"/>
      <c r="V1359" s="158"/>
      <c r="W1359" s="158"/>
      <c r="X1359" s="158"/>
      <c r="Y1359" s="158"/>
      <c r="Z1359" s="158"/>
      <c r="AA1359" s="158"/>
      <c r="AB1359" s="158"/>
      <c r="AC1359" s="158"/>
      <c r="AD1359" s="158"/>
      <c r="AE1359" s="158"/>
      <c r="AF1359" s="158"/>
    </row>
    <row r="1360" ht="14.25" hidden="1" customHeight="1">
      <c r="A1360" s="124"/>
      <c r="B1360" s="2"/>
      <c r="C1360" s="124"/>
      <c r="D1360" s="185" t="s">
        <v>51</v>
      </c>
      <c r="E1360" s="260"/>
      <c r="F1360" s="187">
        <v>4.0</v>
      </c>
      <c r="G1360" s="187">
        <v>4.0</v>
      </c>
      <c r="H1360" s="187"/>
      <c r="I1360" s="164">
        <v>127.5</v>
      </c>
      <c r="J1360" s="706">
        <v>-0.12</v>
      </c>
      <c r="K1360" s="164">
        <v>6.5</v>
      </c>
      <c r="L1360" s="164"/>
      <c r="M1360" s="164"/>
      <c r="N1360" s="164"/>
      <c r="O1360" s="699">
        <f>I1360/VLOOKUP(K1360,Sheet1!$D$7:$N$16,G1360+1,FALSE)</f>
        <v>158.8785047</v>
      </c>
      <c r="P1360" s="684" t="str">
        <f t="shared" si="50"/>
        <v>#REF!</v>
      </c>
      <c r="Q1360" s="702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</row>
    <row r="1361" ht="3.75" hidden="1" customHeight="1">
      <c r="A1361" s="261"/>
      <c r="B1361" s="719"/>
      <c r="C1361" s="262"/>
      <c r="D1361" s="138"/>
      <c r="E1361" s="252"/>
      <c r="F1361" s="102"/>
      <c r="G1361" s="102"/>
      <c r="H1361" s="102"/>
      <c r="I1361" s="247"/>
      <c r="J1361" s="156"/>
      <c r="K1361" s="164"/>
      <c r="L1361" s="164"/>
      <c r="M1361" s="164"/>
      <c r="N1361" s="164"/>
      <c r="O1361" s="699" t="str">
        <f>I1361/VLOOKUP(K1361,Sheet1!$D$7:$N$16,G1361+1,FALSE)</f>
        <v>#N/A</v>
      </c>
      <c r="P1361" s="684" t="str">
        <f t="shared" si="50"/>
        <v>#REF!</v>
      </c>
      <c r="Q1361" s="702"/>
      <c r="R1361" s="158"/>
      <c r="S1361" s="158"/>
      <c r="T1361" s="158"/>
      <c r="U1361" s="158"/>
      <c r="V1361" s="158"/>
      <c r="W1361" s="158"/>
      <c r="X1361" s="158"/>
      <c r="Y1361" s="158"/>
      <c r="Z1361" s="158"/>
      <c r="AA1361" s="158"/>
      <c r="AB1361" s="158"/>
      <c r="AC1361" s="158"/>
      <c r="AD1361" s="158"/>
      <c r="AE1361" s="158"/>
      <c r="AF1361" s="158"/>
    </row>
    <row r="1362" ht="15.75" hidden="1" customHeight="1">
      <c r="A1362" s="124"/>
      <c r="B1362" s="2"/>
      <c r="C1362" s="124"/>
      <c r="D1362" s="185"/>
      <c r="E1362" s="260"/>
      <c r="F1362" s="187"/>
      <c r="G1362" s="187"/>
      <c r="H1362" s="187"/>
      <c r="I1362" s="247"/>
      <c r="J1362" s="266"/>
      <c r="K1362" s="164"/>
      <c r="L1362" s="164"/>
      <c r="M1362" s="164"/>
      <c r="N1362" s="164"/>
      <c r="O1362" s="699" t="str">
        <f>I1362/VLOOKUP(K1362,Sheet1!$D$7:$N$16,G1362+1,FALSE)</f>
        <v>#N/A</v>
      </c>
      <c r="P1362" s="684" t="str">
        <f t="shared" si="50"/>
        <v>#REF!</v>
      </c>
      <c r="Q1362" s="702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</row>
    <row r="1363" ht="3.75" hidden="1" customHeight="1">
      <c r="A1363" s="124"/>
      <c r="B1363" s="2"/>
      <c r="C1363" s="124"/>
      <c r="D1363" s="263"/>
      <c r="E1363" s="252"/>
      <c r="F1363" s="102"/>
      <c r="G1363" s="102"/>
      <c r="H1363" s="102"/>
      <c r="I1363" s="247"/>
      <c r="J1363" s="156"/>
      <c r="K1363" s="164"/>
      <c r="L1363" s="164"/>
      <c r="M1363" s="164"/>
      <c r="N1363" s="164"/>
      <c r="O1363" s="699" t="str">
        <f>I1363/VLOOKUP(K1363,Sheet1!$D$7:$N$16,G1363+1,FALSE)</f>
        <v>#N/A</v>
      </c>
      <c r="P1363" s="684"/>
      <c r="Q1363" s="702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</row>
    <row r="1364" ht="14.25" hidden="1" customHeight="1">
      <c r="A1364" s="90"/>
      <c r="B1364" s="2"/>
      <c r="C1364" s="90"/>
      <c r="D1364" s="185" t="s">
        <v>54</v>
      </c>
      <c r="E1364" s="264"/>
      <c r="F1364" s="187">
        <v>3.0</v>
      </c>
      <c r="G1364" s="731" t="s">
        <v>260</v>
      </c>
      <c r="H1364" s="187"/>
      <c r="I1364" s="164"/>
      <c r="J1364" s="266">
        <v>8.0</v>
      </c>
      <c r="K1364" s="164">
        <v>8.0</v>
      </c>
      <c r="L1364" s="164"/>
      <c r="M1364" s="164"/>
      <c r="N1364" s="164"/>
      <c r="O1364" s="699" t="str">
        <f>I1364/VLOOKUP(K1364,Sheet1!$D$7:$N$16,G1364+1,FALSE)</f>
        <v>#REF!</v>
      </c>
      <c r="P1364" s="684"/>
      <c r="Q1364" s="702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</row>
    <row r="1365" ht="3.75" hidden="1" customHeight="1">
      <c r="A1365" s="261"/>
      <c r="B1365" s="719"/>
      <c r="C1365" s="262"/>
      <c r="D1365" s="263"/>
      <c r="E1365" s="263"/>
      <c r="F1365" s="194"/>
      <c r="G1365" s="194"/>
      <c r="H1365" s="194"/>
      <c r="I1365" s="164"/>
      <c r="J1365" s="267"/>
      <c r="K1365" s="164"/>
      <c r="L1365" s="164"/>
      <c r="M1365" s="164"/>
      <c r="N1365" s="164"/>
      <c r="O1365" s="699" t="str">
        <f>I1365/VLOOKUP(K1365,Sheet1!$D$7:$N$16,G1365+1,FALSE)</f>
        <v>#N/A</v>
      </c>
      <c r="P1365" s="684"/>
      <c r="Q1365" s="702"/>
      <c r="R1365" s="158"/>
      <c r="S1365" s="158"/>
      <c r="T1365" s="158"/>
      <c r="U1365" s="158"/>
      <c r="V1365" s="158"/>
      <c r="W1365" s="158"/>
      <c r="X1365" s="158"/>
      <c r="Y1365" s="158"/>
      <c r="Z1365" s="158"/>
      <c r="AA1365" s="158"/>
      <c r="AB1365" s="158"/>
      <c r="AC1365" s="158"/>
      <c r="AD1365" s="158"/>
      <c r="AE1365" s="158"/>
      <c r="AF1365" s="158"/>
    </row>
    <row r="1366" ht="15.75" hidden="1" customHeight="1">
      <c r="A1366" s="90"/>
      <c r="B1366" s="2"/>
      <c r="C1366" s="90"/>
      <c r="D1366" s="185"/>
      <c r="E1366" s="266"/>
      <c r="F1366" s="187"/>
      <c r="G1366" s="187"/>
      <c r="H1366" s="187"/>
      <c r="I1366" s="164"/>
      <c r="J1366" s="266"/>
      <c r="K1366" s="164"/>
      <c r="L1366" s="164"/>
      <c r="M1366" s="164"/>
      <c r="N1366" s="164"/>
      <c r="O1366" s="699" t="str">
        <f>I1366/VLOOKUP(K1366,Sheet1!$D$7:$N$16,G1366+1,FALSE)</f>
        <v>#N/A</v>
      </c>
      <c r="P1366" s="684"/>
      <c r="Q1366" s="702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</row>
    <row r="1367" ht="3.75" hidden="1" customHeight="1">
      <c r="A1367" s="90"/>
      <c r="B1367" s="2"/>
      <c r="C1367" s="90"/>
      <c r="D1367" s="138"/>
      <c r="E1367" s="252"/>
      <c r="F1367" s="102"/>
      <c r="G1367" s="102"/>
      <c r="H1367" s="102"/>
      <c r="I1367" s="247"/>
      <c r="J1367" s="156"/>
      <c r="K1367" s="164"/>
      <c r="L1367" s="164"/>
      <c r="M1367" s="164"/>
      <c r="N1367" s="164"/>
      <c r="O1367" s="699" t="str">
        <f>I1367/VLOOKUP(K1367,Sheet1!$D$7:$N$16,G1367+1,FALSE)</f>
        <v>#N/A</v>
      </c>
      <c r="P1367" s="684"/>
      <c r="Q1367" s="702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</row>
    <row r="1368" ht="15.75" hidden="1" customHeight="1">
      <c r="A1368" s="90"/>
      <c r="B1368" s="2"/>
      <c r="C1368" s="90"/>
      <c r="D1368" s="185" t="s">
        <v>267</v>
      </c>
      <c r="E1368" s="264"/>
      <c r="F1368" s="187">
        <v>3.0</v>
      </c>
      <c r="G1368" s="731" t="s">
        <v>260</v>
      </c>
      <c r="H1368" s="187"/>
      <c r="I1368" s="164"/>
      <c r="J1368" s="266">
        <v>8.0</v>
      </c>
      <c r="K1368" s="164">
        <v>9.0</v>
      </c>
      <c r="L1368" s="164"/>
      <c r="M1368" s="164"/>
      <c r="N1368" s="164"/>
      <c r="O1368" s="699" t="str">
        <f>I1368/VLOOKUP(K1368,Sheet1!$D$7:$N$16,G1368+1,FALSE)</f>
        <v>#REF!</v>
      </c>
      <c r="P1368" s="684"/>
      <c r="Q1368" s="702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</row>
    <row r="1369" ht="3.75" hidden="1" customHeight="1">
      <c r="A1369" s="191"/>
      <c r="B1369" s="719"/>
      <c r="C1369" s="192"/>
      <c r="D1369" s="138"/>
      <c r="E1369" s="252"/>
      <c r="F1369" s="102"/>
      <c r="G1369" s="102"/>
      <c r="H1369" s="102"/>
      <c r="I1369" s="247"/>
      <c r="J1369" s="156"/>
      <c r="K1369" s="164"/>
      <c r="L1369" s="164"/>
      <c r="M1369" s="164"/>
      <c r="N1369" s="164"/>
      <c r="O1369" s="699" t="str">
        <f>I1369/VLOOKUP(K1369,Sheet1!$D$7:$N$16,G1369+1,FALSE)</f>
        <v>#N/A</v>
      </c>
      <c r="P1369" s="684"/>
      <c r="Q1369" s="702"/>
      <c r="R1369" s="158"/>
      <c r="S1369" s="158"/>
      <c r="T1369" s="158"/>
      <c r="U1369" s="158"/>
      <c r="V1369" s="158"/>
      <c r="W1369" s="158"/>
      <c r="X1369" s="158"/>
      <c r="Y1369" s="158"/>
      <c r="Z1369" s="158"/>
      <c r="AA1369" s="158"/>
      <c r="AB1369" s="158"/>
      <c r="AC1369" s="158"/>
      <c r="AD1369" s="158"/>
      <c r="AE1369" s="158"/>
      <c r="AF1369" s="158"/>
    </row>
    <row r="1370" ht="15.75" hidden="1" customHeight="1">
      <c r="A1370" s="90"/>
      <c r="B1370" s="2"/>
      <c r="C1370" s="90"/>
      <c r="D1370" s="185" t="s">
        <v>270</v>
      </c>
      <c r="E1370" s="260"/>
      <c r="F1370" s="187">
        <v>3.0</v>
      </c>
      <c r="G1370" s="731" t="s">
        <v>260</v>
      </c>
      <c r="H1370" s="187"/>
      <c r="I1370" s="164"/>
      <c r="J1370" s="266">
        <v>9.0</v>
      </c>
      <c r="K1370" s="164"/>
      <c r="L1370" s="164"/>
      <c r="M1370" s="164"/>
      <c r="N1370" s="164"/>
      <c r="O1370" s="699" t="str">
        <f>I1370/VLOOKUP(K1370,Sheet1!$D$7:$N$16,G1370+1,FALSE)</f>
        <v>#REF!</v>
      </c>
      <c r="P1370" s="684"/>
      <c r="Q1370" s="702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</row>
    <row r="1371" ht="3.75" hidden="1" customHeight="1">
      <c r="A1371" s="90"/>
      <c r="B1371" s="2"/>
      <c r="C1371" s="90"/>
      <c r="D1371" s="263"/>
      <c r="E1371" s="252"/>
      <c r="F1371" s="102"/>
      <c r="G1371" s="102"/>
      <c r="H1371" s="102"/>
      <c r="I1371" s="247"/>
      <c r="J1371" s="156"/>
      <c r="K1371" s="164"/>
      <c r="L1371" s="164"/>
      <c r="M1371" s="164"/>
      <c r="N1371" s="164"/>
      <c r="O1371" s="699" t="str">
        <f>I1371/VLOOKUP(K1371,Sheet1!$D$7:$N$16,G1371+1,FALSE)</f>
        <v>#N/A</v>
      </c>
      <c r="P1371" s="684"/>
      <c r="Q1371" s="702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</row>
    <row r="1372" ht="15.75" hidden="1" customHeight="1">
      <c r="A1372" s="90"/>
      <c r="B1372" s="2"/>
      <c r="C1372" s="90"/>
      <c r="D1372" s="185" t="s">
        <v>256</v>
      </c>
      <c r="E1372" s="266"/>
      <c r="F1372" s="187">
        <v>3.0</v>
      </c>
      <c r="G1372" s="187" t="s">
        <v>16</v>
      </c>
      <c r="H1372" s="187"/>
      <c r="I1372" s="164"/>
      <c r="J1372" s="266">
        <v>9.0</v>
      </c>
      <c r="K1372" s="164">
        <v>9.0</v>
      </c>
      <c r="L1372" s="164"/>
      <c r="M1372" s="164"/>
      <c r="N1372" s="164"/>
      <c r="O1372" s="699" t="str">
        <f>I1372/VLOOKUP(K1372,Sheet1!$D$7:$N$16,G1372+1,FALSE)</f>
        <v>#VALUE!</v>
      </c>
      <c r="P1372" s="684"/>
      <c r="Q1372" s="697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</row>
    <row r="1373" ht="3.75" hidden="1" customHeight="1">
      <c r="A1373" s="191"/>
      <c r="B1373" s="719"/>
      <c r="C1373" s="192"/>
      <c r="D1373" s="192"/>
      <c r="E1373" s="267"/>
      <c r="F1373" s="194"/>
      <c r="G1373" s="194"/>
      <c r="H1373" s="194"/>
      <c r="I1373" s="194"/>
      <c r="J1373" s="267"/>
      <c r="K1373" s="273"/>
      <c r="L1373" s="737"/>
      <c r="M1373" s="737"/>
      <c r="N1373" s="737"/>
      <c r="O1373" s="271"/>
      <c r="P1373" s="272"/>
      <c r="Q1373" s="273"/>
      <c r="R1373" s="158"/>
      <c r="S1373" s="158"/>
      <c r="T1373" s="158"/>
      <c r="U1373" s="158"/>
      <c r="V1373" s="158"/>
      <c r="W1373" s="158"/>
      <c r="X1373" s="158"/>
      <c r="Y1373" s="158"/>
      <c r="Z1373" s="158"/>
      <c r="AA1373" s="158"/>
      <c r="AB1373" s="158"/>
      <c r="AC1373" s="158"/>
      <c r="AD1373" s="158"/>
      <c r="AE1373" s="158"/>
      <c r="AF1373" s="158"/>
    </row>
    <row r="1374" ht="14.25" hidden="1" customHeight="1">
      <c r="A1374" s="5"/>
      <c r="B1374" s="2"/>
      <c r="C1374" s="5"/>
      <c r="D1374" s="738"/>
      <c r="E1374" s="739"/>
      <c r="F1374" s="683"/>
      <c r="G1374" s="683"/>
      <c r="H1374" s="683"/>
      <c r="I1374" s="683"/>
      <c r="J1374" s="739"/>
      <c r="K1374" s="738"/>
      <c r="L1374" s="683"/>
      <c r="M1374" s="683"/>
      <c r="N1374" s="683"/>
      <c r="O1374" s="740"/>
      <c r="P1374" s="4"/>
      <c r="Q1374" s="738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</row>
    <row r="1375" ht="14.25" hidden="1" customHeight="1">
      <c r="A1375" s="5"/>
      <c r="B1375" s="2"/>
      <c r="C1375" s="5"/>
      <c r="D1375" s="738"/>
      <c r="E1375" s="739"/>
      <c r="F1375" s="683"/>
      <c r="G1375" s="683"/>
      <c r="H1375" s="683"/>
      <c r="I1375" s="683"/>
      <c r="J1375" s="739"/>
      <c r="K1375" s="738"/>
      <c r="L1375" s="683"/>
      <c r="M1375" s="683"/>
      <c r="N1375" s="683"/>
      <c r="O1375" s="741"/>
      <c r="P1375" s="4"/>
      <c r="Q1375" s="738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</row>
    <row r="1376" ht="14.25" hidden="1" customHeight="1">
      <c r="A1376" s="5"/>
      <c r="B1376" s="2"/>
      <c r="C1376" s="5"/>
      <c r="D1376" s="738"/>
      <c r="E1376" s="739"/>
      <c r="F1376" s="683"/>
      <c r="G1376" s="683"/>
      <c r="H1376" s="683"/>
      <c r="I1376" s="683"/>
      <c r="J1376" s="739"/>
      <c r="K1376" s="738"/>
      <c r="L1376" s="683"/>
      <c r="M1376" s="683"/>
      <c r="N1376" s="683"/>
      <c r="O1376" s="741"/>
      <c r="P1376" s="4"/>
      <c r="Q1376" s="738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</row>
    <row r="1377" ht="14.25" hidden="1" customHeight="1">
      <c r="A1377" s="5"/>
      <c r="B1377" s="2"/>
      <c r="C1377" s="5"/>
      <c r="D1377" s="738"/>
      <c r="E1377" s="739"/>
      <c r="F1377" s="683"/>
      <c r="G1377" s="683"/>
      <c r="H1377" s="683"/>
      <c r="I1377" s="683"/>
      <c r="J1377" s="739"/>
      <c r="K1377" s="738"/>
      <c r="L1377" s="683"/>
      <c r="M1377" s="683"/>
      <c r="N1377" s="683"/>
      <c r="O1377" s="741"/>
      <c r="P1377" s="4"/>
      <c r="Q1377" s="738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</row>
    <row r="1378" ht="14.25" hidden="1" customHeight="1">
      <c r="A1378" s="5"/>
      <c r="B1378" s="2"/>
      <c r="C1378" s="5"/>
      <c r="D1378" s="738"/>
      <c r="E1378" s="739"/>
      <c r="F1378" s="683"/>
      <c r="G1378" s="683"/>
      <c r="H1378" s="683"/>
      <c r="I1378" s="683"/>
      <c r="J1378" s="739"/>
      <c r="K1378" s="738"/>
      <c r="L1378" s="683"/>
      <c r="M1378" s="683"/>
      <c r="N1378" s="683"/>
      <c r="O1378" s="741"/>
      <c r="P1378" s="4"/>
      <c r="Q1378" s="738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</row>
    <row r="1379" ht="14.25" hidden="1" customHeight="1">
      <c r="A1379" s="5"/>
      <c r="B1379" s="2"/>
      <c r="C1379" s="5"/>
      <c r="D1379" s="738"/>
      <c r="E1379" s="739"/>
      <c r="F1379" s="683"/>
      <c r="G1379" s="683"/>
      <c r="H1379" s="683"/>
      <c r="I1379" s="683"/>
      <c r="J1379" s="739"/>
      <c r="K1379" s="738"/>
      <c r="L1379" s="683"/>
      <c r="M1379" s="683"/>
      <c r="N1379" s="683"/>
      <c r="O1379" s="741"/>
      <c r="P1379" s="4"/>
      <c r="Q1379" s="738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</row>
    <row r="1380" ht="14.25" customHeight="1">
      <c r="A1380" s="5"/>
      <c r="B1380" s="2"/>
      <c r="C1380" s="5"/>
      <c r="D1380" s="5"/>
      <c r="E1380" s="75"/>
      <c r="F1380" s="3"/>
      <c r="G1380" s="3"/>
      <c r="H1380" s="3"/>
      <c r="I1380" s="3"/>
      <c r="J1380" s="75"/>
      <c r="K1380" s="5"/>
      <c r="L1380" s="3"/>
      <c r="M1380" s="3"/>
      <c r="N1380" s="3"/>
      <c r="O1380" s="3"/>
      <c r="P1380" s="4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</row>
    <row r="1381" ht="19.5" customHeight="1">
      <c r="A1381" s="5"/>
      <c r="B1381" s="2"/>
      <c r="C1381" s="5"/>
      <c r="D1381" s="663" t="s">
        <v>240</v>
      </c>
      <c r="E1381" s="664">
        <v>1.0</v>
      </c>
      <c r="F1381" s="665"/>
      <c r="G1381" s="666"/>
      <c r="H1381" s="665"/>
      <c r="I1381" s="667"/>
      <c r="J1381" s="668"/>
      <c r="K1381" s="669"/>
      <c r="L1381" s="453"/>
      <c r="M1381" s="453"/>
      <c r="N1381" s="453"/>
      <c r="O1381" s="3"/>
      <c r="P1381" s="4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</row>
    <row r="1382" ht="27.0" customHeight="1">
      <c r="A1382" s="90"/>
      <c r="B1382" s="2"/>
      <c r="C1382" s="90"/>
      <c r="D1382" s="745"/>
      <c r="E1382" s="746"/>
      <c r="F1382" s="747"/>
      <c r="G1382" s="747"/>
      <c r="H1382" s="747"/>
      <c r="I1382" s="747"/>
      <c r="J1382" s="748"/>
      <c r="K1382" s="676"/>
      <c r="L1382" s="676"/>
      <c r="M1382" s="676"/>
      <c r="N1382" s="676"/>
      <c r="O1382" s="122" t="s">
        <v>242</v>
      </c>
      <c r="P1382" s="677" t="s">
        <v>243</v>
      </c>
      <c r="Q1382" s="678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</row>
    <row r="1383" ht="14.25" customHeight="1">
      <c r="A1383" s="90"/>
      <c r="B1383" s="2"/>
      <c r="C1383" s="90"/>
      <c r="D1383" s="749" t="str">
        <f>INT((athlete!$A$14 - TODAY()) / 7) &amp; " weeks, " &amp; MOD(athlete!$A$14 - TODAY(), 7) &amp; " day(s) "&amp;"out from:"</f>
        <v>#REF!</v>
      </c>
      <c r="E1383" s="750"/>
      <c r="F1383" s="747" t="str">
        <f>athlete!$A$16</f>
        <v>#REF!</v>
      </c>
      <c r="G1383" s="83"/>
      <c r="H1383" s="83"/>
      <c r="I1383" s="83"/>
      <c r="J1383" s="83"/>
      <c r="K1383" s="214"/>
      <c r="L1383" s="682"/>
      <c r="M1383" s="682"/>
      <c r="N1383" s="682"/>
      <c r="O1383" s="683"/>
      <c r="P1383" s="684"/>
      <c r="Q1383" s="68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</row>
    <row r="1384" ht="3.75" customHeight="1">
      <c r="A1384" s="90"/>
      <c r="B1384" s="2"/>
      <c r="C1384" s="90"/>
      <c r="D1384" s="97"/>
      <c r="E1384" s="98"/>
      <c r="F1384" s="99"/>
      <c r="G1384" s="99"/>
      <c r="H1384" s="99"/>
      <c r="I1384" s="100"/>
      <c r="J1384" s="101"/>
      <c r="K1384" s="90"/>
      <c r="L1384" s="102"/>
      <c r="M1384" s="102"/>
      <c r="N1384" s="102"/>
      <c r="O1384" s="103"/>
      <c r="P1384" s="4"/>
      <c r="Q1384" s="90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</row>
    <row r="1385" ht="30.0" customHeight="1">
      <c r="A1385" s="90"/>
      <c r="B1385" s="2"/>
      <c r="C1385" s="90"/>
      <c r="D1385" s="686" t="s">
        <v>271</v>
      </c>
      <c r="E1385" s="255" t="s">
        <v>15</v>
      </c>
      <c r="F1385" s="721" t="s">
        <v>16</v>
      </c>
      <c r="G1385" s="722" t="s">
        <v>17</v>
      </c>
      <c r="H1385" s="723"/>
      <c r="I1385" s="724"/>
      <c r="J1385" s="725" t="s">
        <v>241</v>
      </c>
      <c r="K1385" s="751" t="s">
        <v>20</v>
      </c>
      <c r="L1385" s="692"/>
      <c r="M1385" s="752" t="s">
        <v>22</v>
      </c>
      <c r="O1385" s="683"/>
      <c r="P1385" s="684"/>
      <c r="Q1385" s="693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</row>
    <row r="1386" ht="19.5" customHeight="1">
      <c r="A1386" s="90"/>
      <c r="B1386" s="2"/>
      <c r="C1386" s="90"/>
      <c r="D1386" s="257" t="s">
        <v>25</v>
      </c>
      <c r="E1386" s="257" t="s">
        <v>26</v>
      </c>
      <c r="F1386" s="680"/>
      <c r="G1386" s="681"/>
      <c r="H1386" s="723"/>
      <c r="I1386" s="681"/>
      <c r="J1386" s="725" t="s">
        <v>244</v>
      </c>
      <c r="K1386" s="697"/>
      <c r="L1386" s="692" t="s">
        <v>21</v>
      </c>
      <c r="M1386" s="692" t="s">
        <v>27</v>
      </c>
      <c r="N1386" s="692" t="s">
        <v>28</v>
      </c>
      <c r="O1386" s="122" t="s">
        <v>242</v>
      </c>
      <c r="P1386" s="677" t="s">
        <v>243</v>
      </c>
      <c r="Q1386" s="698" t="s">
        <v>30</v>
      </c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</row>
    <row r="1387" ht="3.75" customHeight="1">
      <c r="A1387" s="90"/>
      <c r="B1387" s="2"/>
      <c r="C1387" s="90"/>
      <c r="D1387" s="97"/>
      <c r="E1387" s="98"/>
      <c r="F1387" s="99"/>
      <c r="G1387" s="99"/>
      <c r="H1387" s="99"/>
      <c r="I1387" s="100"/>
      <c r="J1387" s="101"/>
      <c r="K1387" s="90"/>
      <c r="L1387" s="102"/>
      <c r="M1387" s="102"/>
      <c r="N1387" s="102"/>
      <c r="O1387" s="699"/>
      <c r="P1387" s="684"/>
      <c r="Q1387" s="90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</row>
    <row r="1388" ht="15.75" customHeight="1">
      <c r="A1388" s="124"/>
      <c r="B1388" s="2"/>
      <c r="C1388" s="124"/>
      <c r="D1388" s="185" t="s">
        <v>285</v>
      </c>
      <c r="E1388" s="260"/>
      <c r="F1388" s="187">
        <v>1.0</v>
      </c>
      <c r="G1388" s="187">
        <v>6.0</v>
      </c>
      <c r="H1388" s="187"/>
      <c r="I1388" s="164">
        <v>160.0</v>
      </c>
      <c r="J1388" s="266">
        <v>5.0</v>
      </c>
      <c r="K1388" s="183">
        <v>6.5</v>
      </c>
      <c r="L1388" s="753"/>
      <c r="M1388" s="183"/>
      <c r="N1388" s="183"/>
      <c r="O1388" s="699">
        <f>I1388/VLOOKUP(K1388,Sheet1!$D$7:$N$16,G1388+1,FALSE)</f>
        <v>212.6245847</v>
      </c>
      <c r="P1388" s="684" t="str">
        <f t="shared" ref="P1388:P1409" si="51">I1388-#REF!</f>
        <v>#REF!</v>
      </c>
      <c r="Q1388" s="700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</row>
    <row r="1389" ht="3.75" customHeight="1">
      <c r="A1389" s="137"/>
      <c r="B1389" s="661"/>
      <c r="C1389" s="137"/>
      <c r="D1389" s="138"/>
      <c r="E1389" s="252"/>
      <c r="F1389" s="140"/>
      <c r="G1389" s="140"/>
      <c r="H1389" s="140"/>
      <c r="I1389" s="701"/>
      <c r="J1389" s="141"/>
      <c r="K1389" s="183"/>
      <c r="L1389" s="753"/>
      <c r="M1389" s="183"/>
      <c r="N1389" s="183"/>
      <c r="O1389" s="699" t="str">
        <f>I1389/VLOOKUP(K1389,Sheet1!$D$7:$N$16,G1389+1,FALSE)</f>
        <v>#N/A</v>
      </c>
      <c r="P1389" s="684" t="str">
        <f t="shared" si="51"/>
        <v>#REF!</v>
      </c>
      <c r="Q1389" s="702"/>
      <c r="R1389" s="148"/>
      <c r="S1389" s="148"/>
      <c r="T1389" s="148"/>
      <c r="U1389" s="148"/>
      <c r="V1389" s="148"/>
      <c r="W1389" s="148"/>
      <c r="X1389" s="148"/>
      <c r="Y1389" s="148"/>
      <c r="Z1389" s="148"/>
      <c r="AA1389" s="148"/>
      <c r="AB1389" s="148"/>
      <c r="AC1389" s="148"/>
      <c r="AD1389" s="148"/>
      <c r="AE1389" s="148"/>
      <c r="AF1389" s="148"/>
    </row>
    <row r="1390" ht="15.75" customHeight="1">
      <c r="A1390" s="149"/>
      <c r="B1390" s="703"/>
      <c r="C1390" s="149"/>
      <c r="D1390" s="185" t="s">
        <v>285</v>
      </c>
      <c r="E1390" s="260"/>
      <c r="F1390" s="187">
        <v>1.0</v>
      </c>
      <c r="G1390" s="187">
        <v>6.0</v>
      </c>
      <c r="H1390" s="187"/>
      <c r="I1390" s="164">
        <v>170.0</v>
      </c>
      <c r="J1390" s="266">
        <v>6.0</v>
      </c>
      <c r="K1390" s="183">
        <v>6.0</v>
      </c>
      <c r="L1390" s="753"/>
      <c r="M1390" s="183"/>
      <c r="N1390" s="183"/>
      <c r="O1390" s="699">
        <f>I1390/VLOOKUP(K1390,Sheet1!$D$7:$N$16,G1390+1,FALSE)</f>
        <v>229.7297297</v>
      </c>
      <c r="P1390" s="684" t="str">
        <f t="shared" si="51"/>
        <v>#REF!</v>
      </c>
      <c r="Q1390" s="702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</row>
    <row r="1391" ht="3.75" customHeight="1">
      <c r="A1391" s="152"/>
      <c r="B1391" s="705"/>
      <c r="C1391" s="153"/>
      <c r="D1391" s="138"/>
      <c r="E1391" s="263"/>
      <c r="F1391" s="194"/>
      <c r="G1391" s="194"/>
      <c r="H1391" s="194"/>
      <c r="I1391" s="164"/>
      <c r="J1391" s="267"/>
      <c r="K1391" s="183"/>
      <c r="L1391" s="753"/>
      <c r="M1391" s="183"/>
      <c r="N1391" s="183"/>
      <c r="O1391" s="699" t="str">
        <f>I1391/VLOOKUP(K1391,Sheet1!$D$7:$N$16,G1391+1,FALSE)</f>
        <v>#N/A</v>
      </c>
      <c r="P1391" s="684" t="str">
        <f t="shared" si="51"/>
        <v>#REF!</v>
      </c>
      <c r="Q1391" s="702"/>
      <c r="R1391" s="158"/>
      <c r="S1391" s="158"/>
      <c r="T1391" s="158"/>
      <c r="U1391" s="158"/>
      <c r="V1391" s="158"/>
      <c r="W1391" s="158"/>
      <c r="X1391" s="158"/>
      <c r="Y1391" s="158"/>
      <c r="Z1391" s="158"/>
      <c r="AA1391" s="158"/>
      <c r="AB1391" s="158"/>
      <c r="AC1391" s="158"/>
      <c r="AD1391" s="158"/>
      <c r="AE1391" s="158"/>
      <c r="AF1391" s="158"/>
    </row>
    <row r="1392" ht="15.75" customHeight="1">
      <c r="A1392" s="149"/>
      <c r="B1392" s="703"/>
      <c r="C1392" s="149"/>
      <c r="D1392" s="185" t="s">
        <v>285</v>
      </c>
      <c r="E1392" s="264"/>
      <c r="F1392" s="187">
        <v>1.0</v>
      </c>
      <c r="G1392" s="187">
        <v>6.0</v>
      </c>
      <c r="H1392" s="187"/>
      <c r="I1392" s="164">
        <v>170.0</v>
      </c>
      <c r="J1392" s="266" t="s">
        <v>78</v>
      </c>
      <c r="K1392" s="183">
        <v>6.5</v>
      </c>
      <c r="L1392" s="753"/>
      <c r="M1392" s="183"/>
      <c r="N1392" s="183"/>
      <c r="O1392" s="699">
        <f>I1392/VLOOKUP(K1392,Sheet1!$D$7:$N$16,G1392+1,FALSE)</f>
        <v>225.9136213</v>
      </c>
      <c r="P1392" s="684" t="str">
        <f t="shared" si="51"/>
        <v>#REF!</v>
      </c>
      <c r="Q1392" s="702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</row>
    <row r="1393" ht="3.75" customHeight="1">
      <c r="A1393" s="162"/>
      <c r="B1393" s="707"/>
      <c r="C1393" s="162"/>
      <c r="D1393" s="138"/>
      <c r="E1393" s="708"/>
      <c r="F1393" s="140"/>
      <c r="G1393" s="140"/>
      <c r="H1393" s="140"/>
      <c r="I1393" s="701"/>
      <c r="J1393" s="141"/>
      <c r="K1393" s="183"/>
      <c r="L1393" s="753"/>
      <c r="M1393" s="183"/>
      <c r="N1393" s="183"/>
      <c r="O1393" s="699" t="str">
        <f>I1393/VLOOKUP(K1393,Sheet1!$D$7:$N$16,G1393+1,FALSE)</f>
        <v>#N/A</v>
      </c>
      <c r="P1393" s="684" t="str">
        <f t="shared" si="51"/>
        <v>#REF!</v>
      </c>
      <c r="Q1393" s="702"/>
      <c r="R1393" s="148"/>
      <c r="S1393" s="148"/>
      <c r="T1393" s="148"/>
      <c r="U1393" s="148"/>
      <c r="V1393" s="148"/>
      <c r="W1393" s="148"/>
      <c r="X1393" s="148"/>
      <c r="Y1393" s="148"/>
      <c r="Z1393" s="148"/>
      <c r="AA1393" s="148"/>
      <c r="AB1393" s="148"/>
      <c r="AC1393" s="148"/>
      <c r="AD1393" s="148"/>
      <c r="AE1393" s="148"/>
      <c r="AF1393" s="148"/>
    </row>
    <row r="1394" ht="15.75" customHeight="1">
      <c r="A1394" s="149"/>
      <c r="B1394" s="703"/>
      <c r="C1394" s="149"/>
      <c r="D1394" s="185" t="s">
        <v>265</v>
      </c>
      <c r="E1394" s="264"/>
      <c r="F1394" s="187">
        <v>3.0</v>
      </c>
      <c r="G1394" s="187">
        <v>7.0</v>
      </c>
      <c r="H1394" s="187"/>
      <c r="I1394" s="164">
        <v>115.0</v>
      </c>
      <c r="J1394" s="266">
        <v>6.0</v>
      </c>
      <c r="K1394" s="183">
        <v>7.0</v>
      </c>
      <c r="L1394" s="753"/>
      <c r="M1394" s="183"/>
      <c r="N1394" s="183"/>
      <c r="O1394" s="699">
        <f>I1394/VLOOKUP(K1394,Sheet1!$D$7:$N$16,G1394+1,FALSE)</f>
        <v>155.4054054</v>
      </c>
      <c r="P1394" s="684" t="str">
        <f t="shared" si="51"/>
        <v>#REF!</v>
      </c>
      <c r="Q1394" s="702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</row>
    <row r="1395" ht="3.75" customHeight="1">
      <c r="A1395" s="162"/>
      <c r="B1395" s="707"/>
      <c r="C1395" s="162"/>
      <c r="D1395" s="138"/>
      <c r="E1395" s="321"/>
      <c r="F1395" s="102"/>
      <c r="G1395" s="102"/>
      <c r="H1395" s="102"/>
      <c r="I1395" s="247"/>
      <c r="J1395" s="156"/>
      <c r="K1395" s="183"/>
      <c r="L1395" s="753"/>
      <c r="M1395" s="183"/>
      <c r="N1395" s="183"/>
      <c r="O1395" s="699" t="str">
        <f>I1395/VLOOKUP(K1395,Sheet1!$D$7:$N$16,G1395+1,FALSE)</f>
        <v>#N/A</v>
      </c>
      <c r="P1395" s="684" t="str">
        <f t="shared" si="51"/>
        <v>#REF!</v>
      </c>
      <c r="Q1395" s="702"/>
      <c r="R1395" s="148"/>
      <c r="S1395" s="148"/>
      <c r="T1395" s="148"/>
      <c r="U1395" s="148"/>
      <c r="V1395" s="148"/>
      <c r="W1395" s="148"/>
      <c r="X1395" s="148"/>
      <c r="Y1395" s="148"/>
      <c r="Z1395" s="148"/>
      <c r="AA1395" s="148"/>
      <c r="AB1395" s="148"/>
      <c r="AC1395" s="148"/>
      <c r="AD1395" s="148"/>
      <c r="AE1395" s="148"/>
      <c r="AF1395" s="148"/>
    </row>
    <row r="1396" ht="15.75" customHeight="1">
      <c r="A1396" s="90"/>
      <c r="B1396" s="2"/>
      <c r="C1396" s="90"/>
      <c r="D1396" s="260" t="s">
        <v>273</v>
      </c>
      <c r="E1396" s="266"/>
      <c r="F1396" s="187">
        <v>3.0</v>
      </c>
      <c r="G1396" s="731" t="s">
        <v>251</v>
      </c>
      <c r="H1396" s="187"/>
      <c r="I1396" s="164">
        <v>245.0</v>
      </c>
      <c r="J1396" s="266">
        <v>8.0</v>
      </c>
      <c r="K1396" s="183">
        <v>8.0</v>
      </c>
      <c r="L1396" s="753"/>
      <c r="M1396" s="183"/>
      <c r="N1396" s="183"/>
      <c r="O1396" s="699" t="str">
        <f>I1396/VLOOKUP(K1396,Sheet1!$D$7:$N$16,G1396+1,FALSE)</f>
        <v>#REF!</v>
      </c>
      <c r="P1396" s="684" t="str">
        <f t="shared" si="51"/>
        <v>#REF!</v>
      </c>
      <c r="Q1396" s="702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</row>
    <row r="1397" ht="3.75" customHeight="1">
      <c r="A1397" s="168"/>
      <c r="B1397" s="661"/>
      <c r="C1397" s="168"/>
      <c r="D1397" s="171"/>
      <c r="E1397" s="714"/>
      <c r="F1397" s="173"/>
      <c r="G1397" s="173"/>
      <c r="H1397" s="715"/>
      <c r="I1397" s="716"/>
      <c r="J1397" s="174"/>
      <c r="K1397" s="183"/>
      <c r="L1397" s="753"/>
      <c r="M1397" s="183"/>
      <c r="N1397" s="183"/>
      <c r="O1397" s="699" t="str">
        <f>I1397/VLOOKUP(K1397,Sheet1!$D$7:$N$16,G1397+1,FALSE)</f>
        <v>#N/A</v>
      </c>
      <c r="P1397" s="684" t="str">
        <f t="shared" si="51"/>
        <v>#REF!</v>
      </c>
      <c r="Q1397" s="702"/>
      <c r="R1397" s="148"/>
      <c r="S1397" s="148"/>
      <c r="T1397" s="148"/>
      <c r="U1397" s="148"/>
      <c r="V1397" s="148"/>
      <c r="W1397" s="148"/>
      <c r="X1397" s="148"/>
      <c r="Y1397" s="148"/>
      <c r="Z1397" s="148"/>
      <c r="AA1397" s="148"/>
      <c r="AB1397" s="148"/>
      <c r="AC1397" s="148"/>
      <c r="AD1397" s="148"/>
      <c r="AE1397" s="148"/>
      <c r="AF1397" s="148"/>
    </row>
    <row r="1398" ht="15.75" customHeight="1">
      <c r="A1398" s="90"/>
      <c r="B1398" s="2"/>
      <c r="C1398" s="90"/>
      <c r="D1398" s="709" t="s">
        <v>294</v>
      </c>
      <c r="E1398" s="710"/>
      <c r="F1398" s="711">
        <v>3.0</v>
      </c>
      <c r="G1398" s="731" t="s">
        <v>251</v>
      </c>
      <c r="H1398" s="179"/>
      <c r="I1398" s="717"/>
      <c r="J1398" s="713">
        <v>8.0</v>
      </c>
      <c r="K1398" s="183"/>
      <c r="L1398" s="753"/>
      <c r="M1398" s="183"/>
      <c r="N1398" s="183"/>
      <c r="O1398" s="699" t="str">
        <f>I1398/VLOOKUP(K1398,Sheet1!$D$7:$N$16,G1398+1,FALSE)</f>
        <v>#REF!</v>
      </c>
      <c r="P1398" s="684" t="str">
        <f t="shared" si="51"/>
        <v>#REF!</v>
      </c>
      <c r="Q1398" s="702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</row>
    <row r="1399" ht="3.75" customHeight="1">
      <c r="A1399" s="90"/>
      <c r="B1399" s="2"/>
      <c r="C1399" s="90"/>
      <c r="D1399" s="171"/>
      <c r="E1399" s="714"/>
      <c r="F1399" s="173"/>
      <c r="G1399" s="173"/>
      <c r="H1399" s="715"/>
      <c r="I1399" s="716"/>
      <c r="J1399" s="174"/>
      <c r="K1399" s="183"/>
      <c r="L1399" s="753"/>
      <c r="M1399" s="183"/>
      <c r="N1399" s="183"/>
      <c r="O1399" s="699" t="str">
        <f>I1399/VLOOKUP(K1399,Sheet1!$D$7:$N$16,G1399+1,FALSE)</f>
        <v>#N/A</v>
      </c>
      <c r="P1399" s="684" t="str">
        <f t="shared" si="51"/>
        <v>#REF!</v>
      </c>
      <c r="Q1399" s="702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</row>
    <row r="1400" ht="15.75" hidden="1" customHeight="1">
      <c r="A1400" s="90"/>
      <c r="B1400" s="2"/>
      <c r="C1400" s="90"/>
      <c r="D1400" s="260"/>
      <c r="E1400" s="266"/>
      <c r="F1400" s="187"/>
      <c r="G1400" s="187"/>
      <c r="H1400" s="187"/>
      <c r="I1400" s="164"/>
      <c r="J1400" s="266"/>
      <c r="K1400" s="183"/>
      <c r="L1400" s="753"/>
      <c r="M1400" s="183"/>
      <c r="N1400" s="183"/>
      <c r="O1400" s="699" t="str">
        <f>I1400/VLOOKUP(K1400,Sheet1!$D$7:$N$16,G1400+1,FALSE)</f>
        <v>#N/A</v>
      </c>
      <c r="P1400" s="684" t="str">
        <f t="shared" si="51"/>
        <v>#REF!</v>
      </c>
      <c r="Q1400" s="702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</row>
    <row r="1401" ht="3.75" hidden="1" customHeight="1">
      <c r="A1401" s="90"/>
      <c r="B1401" s="2"/>
      <c r="C1401" s="90"/>
      <c r="D1401" s="171"/>
      <c r="E1401" s="714"/>
      <c r="F1401" s="173"/>
      <c r="G1401" s="173"/>
      <c r="H1401" s="715"/>
      <c r="I1401" s="716"/>
      <c r="J1401" s="174"/>
      <c r="K1401" s="183"/>
      <c r="L1401" s="753"/>
      <c r="M1401" s="183"/>
      <c r="N1401" s="183"/>
      <c r="O1401" s="699" t="str">
        <f>I1401/VLOOKUP(K1401,Sheet1!$D$7:$N$16,G1401+1,FALSE)</f>
        <v>#N/A</v>
      </c>
      <c r="P1401" s="684" t="str">
        <f t="shared" si="51"/>
        <v>#REF!</v>
      </c>
      <c r="Q1401" s="702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</row>
    <row r="1402" ht="15.75" hidden="1" customHeight="1">
      <c r="A1402" s="90"/>
      <c r="B1402" s="2"/>
      <c r="C1402" s="90"/>
      <c r="D1402" s="709"/>
      <c r="E1402" s="710"/>
      <c r="F1402" s="711"/>
      <c r="G1402" s="187"/>
      <c r="H1402" s="179"/>
      <c r="I1402" s="717"/>
      <c r="J1402" s="713"/>
      <c r="K1402" s="183"/>
      <c r="L1402" s="753"/>
      <c r="M1402" s="183"/>
      <c r="N1402" s="183"/>
      <c r="O1402" s="699" t="str">
        <f>I1402/VLOOKUP(K1402,Sheet1!$D$7:$N$16,G1402+1,FALSE)</f>
        <v>#N/A</v>
      </c>
      <c r="P1402" s="684" t="str">
        <f t="shared" si="51"/>
        <v>#REF!</v>
      </c>
      <c r="Q1402" s="702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</row>
    <row r="1403" ht="3.75" customHeight="1">
      <c r="A1403" s="90"/>
      <c r="B1403" s="2"/>
      <c r="C1403" s="90"/>
      <c r="D1403" s="138"/>
      <c r="E1403" s="252"/>
      <c r="F1403" s="102"/>
      <c r="G1403" s="102"/>
      <c r="H1403" s="102"/>
      <c r="I1403" s="247"/>
      <c r="J1403" s="156"/>
      <c r="K1403" s="183"/>
      <c r="L1403" s="753"/>
      <c r="M1403" s="183"/>
      <c r="N1403" s="183"/>
      <c r="O1403" s="699" t="str">
        <f>I1403/VLOOKUP(K1403,Sheet1!$D$7:$N$16,G1403+1,FALSE)</f>
        <v>#N/A</v>
      </c>
      <c r="P1403" s="684" t="str">
        <f t="shared" si="51"/>
        <v>#REF!</v>
      </c>
      <c r="Q1403" s="702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</row>
    <row r="1404" ht="15.75" hidden="1" customHeight="1">
      <c r="A1404" s="90"/>
      <c r="B1404" s="2"/>
      <c r="C1404" s="90"/>
      <c r="D1404" s="185"/>
      <c r="E1404" s="266"/>
      <c r="F1404" s="187"/>
      <c r="G1404" s="718"/>
      <c r="H1404" s="187"/>
      <c r="I1404" s="164"/>
      <c r="J1404" s="266"/>
      <c r="K1404" s="183"/>
      <c r="L1404" s="753"/>
      <c r="M1404" s="183"/>
      <c r="N1404" s="183"/>
      <c r="O1404" s="699" t="str">
        <f>I1404/VLOOKUP(K1404,Sheet1!$D$7:$N$16,G1404+1,FALSE)</f>
        <v>#N/A</v>
      </c>
      <c r="P1404" s="684" t="str">
        <f t="shared" si="51"/>
        <v>#REF!</v>
      </c>
      <c r="Q1404" s="702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</row>
    <row r="1405" ht="3.75" hidden="1" customHeight="1">
      <c r="A1405" s="191"/>
      <c r="B1405" s="719"/>
      <c r="C1405" s="192"/>
      <c r="D1405" s="138"/>
      <c r="E1405" s="267"/>
      <c r="F1405" s="194"/>
      <c r="G1405" s="194"/>
      <c r="H1405" s="194"/>
      <c r="I1405" s="164"/>
      <c r="J1405" s="267"/>
      <c r="K1405" s="183"/>
      <c r="L1405" s="753"/>
      <c r="M1405" s="183"/>
      <c r="N1405" s="183"/>
      <c r="O1405" s="699" t="str">
        <f>I1405/VLOOKUP(K1405,Sheet1!$D$7:$N$16,G1405+1,FALSE)</f>
        <v>#N/A</v>
      </c>
      <c r="P1405" s="684" t="str">
        <f t="shared" si="51"/>
        <v>#REF!</v>
      </c>
      <c r="Q1405" s="702"/>
      <c r="R1405" s="158"/>
      <c r="S1405" s="158"/>
      <c r="T1405" s="158"/>
      <c r="U1405" s="158"/>
      <c r="V1405" s="158"/>
      <c r="W1405" s="158"/>
      <c r="X1405" s="158"/>
      <c r="Y1405" s="158"/>
      <c r="Z1405" s="158"/>
      <c r="AA1405" s="158"/>
      <c r="AB1405" s="158"/>
      <c r="AC1405" s="158"/>
      <c r="AD1405" s="158"/>
      <c r="AE1405" s="158"/>
      <c r="AF1405" s="158"/>
    </row>
    <row r="1406" ht="15.75" hidden="1" customHeight="1">
      <c r="A1406" s="90"/>
      <c r="B1406" s="2"/>
      <c r="C1406" s="90"/>
      <c r="D1406" s="185"/>
      <c r="E1406" s="266"/>
      <c r="F1406" s="187"/>
      <c r="G1406" s="187"/>
      <c r="H1406" s="187"/>
      <c r="I1406" s="164"/>
      <c r="J1406" s="266"/>
      <c r="K1406" s="183"/>
      <c r="L1406" s="753"/>
      <c r="M1406" s="183"/>
      <c r="N1406" s="183"/>
      <c r="O1406" s="699" t="str">
        <f>I1406/VLOOKUP(K1406,Sheet1!$D$7:$N$16,G1406+1,FALSE)</f>
        <v>#N/A</v>
      </c>
      <c r="P1406" s="684" t="str">
        <f t="shared" si="51"/>
        <v>#REF!</v>
      </c>
      <c r="Q1406" s="702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</row>
    <row r="1407" ht="3.75" hidden="1" customHeight="1">
      <c r="A1407" s="90"/>
      <c r="B1407" s="2"/>
      <c r="C1407" s="90"/>
      <c r="D1407" s="138"/>
      <c r="E1407" s="252"/>
      <c r="F1407" s="102"/>
      <c r="G1407" s="102"/>
      <c r="H1407" s="102"/>
      <c r="I1407" s="247"/>
      <c r="J1407" s="156"/>
      <c r="K1407" s="183"/>
      <c r="L1407" s="753"/>
      <c r="M1407" s="183"/>
      <c r="N1407" s="183"/>
      <c r="O1407" s="699" t="str">
        <f>I1407/VLOOKUP(K1407,Sheet1!$D$7:$N$16,G1407+1,FALSE)</f>
        <v>#N/A</v>
      </c>
      <c r="P1407" s="684" t="str">
        <f t="shared" si="51"/>
        <v>#REF!</v>
      </c>
      <c r="Q1407" s="702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</row>
    <row r="1408" ht="15.75" hidden="1" customHeight="1">
      <c r="A1408" s="90"/>
      <c r="B1408" s="2"/>
      <c r="C1408" s="90"/>
      <c r="D1408" s="185"/>
      <c r="E1408" s="266"/>
      <c r="F1408" s="187"/>
      <c r="G1408" s="187"/>
      <c r="H1408" s="187"/>
      <c r="I1408" s="164"/>
      <c r="J1408" s="266"/>
      <c r="K1408" s="183"/>
      <c r="L1408" s="753"/>
      <c r="M1408" s="183"/>
      <c r="N1408" s="183"/>
      <c r="O1408" s="699" t="str">
        <f>I1408/VLOOKUP(K1408,Sheet1!$D$7:$N$16,G1408+1,FALSE)</f>
        <v>#N/A</v>
      </c>
      <c r="P1408" s="684" t="str">
        <f t="shared" si="51"/>
        <v>#REF!</v>
      </c>
      <c r="Q1408" s="697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</row>
    <row r="1409" ht="3.75" customHeight="1">
      <c r="A1409" s="90"/>
      <c r="B1409" s="2"/>
      <c r="C1409" s="90"/>
      <c r="D1409" s="90"/>
      <c r="E1409" s="156"/>
      <c r="F1409" s="102"/>
      <c r="G1409" s="102"/>
      <c r="H1409" s="102"/>
      <c r="I1409" s="102"/>
      <c r="J1409" s="156"/>
      <c r="K1409" s="720"/>
      <c r="L1409" s="754"/>
      <c r="M1409" s="201"/>
      <c r="N1409" s="201"/>
      <c r="O1409" s="699" t="str">
        <f>I1409/VLOOKUP(K1409,Sheet1!$D$7:$N$16,G1409+1,FALSE)</f>
        <v>#N/A</v>
      </c>
      <c r="P1409" s="684" t="str">
        <f t="shared" si="51"/>
        <v>#REF!</v>
      </c>
      <c r="Q1409" s="720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</row>
    <row r="1410" ht="30.0" customHeight="1">
      <c r="A1410" s="90"/>
      <c r="B1410" s="2"/>
      <c r="C1410" s="90"/>
      <c r="D1410" s="686" t="s">
        <v>246</v>
      </c>
      <c r="E1410" s="255" t="s">
        <v>15</v>
      </c>
      <c r="F1410" s="721" t="s">
        <v>16</v>
      </c>
      <c r="G1410" s="722" t="s">
        <v>17</v>
      </c>
      <c r="H1410" s="723"/>
      <c r="I1410" s="724"/>
      <c r="J1410" s="725" t="s">
        <v>241</v>
      </c>
      <c r="K1410" s="691"/>
      <c r="L1410" s="755"/>
      <c r="M1410" s="692"/>
      <c r="N1410" s="692"/>
      <c r="O1410" s="699"/>
      <c r="P1410" s="684"/>
      <c r="Q1410" s="693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</row>
    <row r="1411" ht="14.25" customHeight="1">
      <c r="A1411" s="90"/>
      <c r="B1411" s="2"/>
      <c r="C1411" s="90"/>
      <c r="D1411" s="257" t="s">
        <v>25</v>
      </c>
      <c r="E1411" s="258" t="s">
        <v>26</v>
      </c>
      <c r="F1411" s="680"/>
      <c r="G1411" s="681"/>
      <c r="H1411" s="723"/>
      <c r="I1411" s="681"/>
      <c r="J1411" s="725" t="s">
        <v>244</v>
      </c>
      <c r="K1411" s="697"/>
      <c r="L1411" s="755"/>
      <c r="M1411" s="692"/>
      <c r="N1411" s="692"/>
      <c r="O1411" s="699"/>
      <c r="P1411" s="684"/>
      <c r="Q1411" s="698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</row>
    <row r="1412" ht="3.75" customHeight="1">
      <c r="A1412" s="191"/>
      <c r="B1412" s="719"/>
      <c r="C1412" s="192"/>
      <c r="D1412" s="203"/>
      <c r="E1412" s="203"/>
      <c r="F1412" s="726"/>
      <c r="G1412" s="726"/>
      <c r="H1412" s="726"/>
      <c r="I1412" s="727"/>
      <c r="J1412" s="728"/>
      <c r="K1412" s="192"/>
      <c r="L1412" s="756"/>
      <c r="M1412" s="194"/>
      <c r="N1412" s="194"/>
      <c r="O1412" s="699"/>
      <c r="P1412" s="684" t="str">
        <f t="shared" ref="P1412:P1434" si="52">I1412-#REF!</f>
        <v>#REF!</v>
      </c>
      <c r="Q1412" s="192"/>
      <c r="R1412" s="158"/>
      <c r="S1412" s="158"/>
      <c r="T1412" s="158"/>
      <c r="U1412" s="158"/>
      <c r="V1412" s="158"/>
      <c r="W1412" s="158"/>
      <c r="X1412" s="158"/>
      <c r="Y1412" s="158"/>
      <c r="Z1412" s="158"/>
      <c r="AA1412" s="158"/>
      <c r="AB1412" s="158"/>
      <c r="AC1412" s="158"/>
      <c r="AD1412" s="158"/>
      <c r="AE1412" s="158"/>
      <c r="AF1412" s="158"/>
    </row>
    <row r="1413" ht="15.75" customHeight="1">
      <c r="A1413" s="124"/>
      <c r="B1413" s="2"/>
      <c r="C1413" s="124"/>
      <c r="D1413" s="185" t="s">
        <v>248</v>
      </c>
      <c r="E1413" s="743"/>
      <c r="F1413" s="187">
        <v>1.0</v>
      </c>
      <c r="G1413" s="187">
        <v>6.0</v>
      </c>
      <c r="H1413" s="187"/>
      <c r="I1413" s="164">
        <v>205.0</v>
      </c>
      <c r="J1413" s="266">
        <v>7.0</v>
      </c>
      <c r="K1413" s="183">
        <v>6.0</v>
      </c>
      <c r="L1413" s="757"/>
      <c r="M1413" s="183"/>
      <c r="N1413" s="183"/>
      <c r="O1413" s="699">
        <f>I1413/VLOOKUP(K1413,Sheet1!$D$7:$N$16,G1413+1,FALSE)</f>
        <v>277.027027</v>
      </c>
      <c r="P1413" s="684" t="str">
        <f t="shared" si="52"/>
        <v>#REF!</v>
      </c>
      <c r="Q1413" s="730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</row>
    <row r="1414" ht="3.75" customHeight="1">
      <c r="A1414" s="124"/>
      <c r="B1414" s="2"/>
      <c r="C1414" s="124"/>
      <c r="D1414" s="138"/>
      <c r="E1414" s="321"/>
      <c r="F1414" s="102"/>
      <c r="G1414" s="102"/>
      <c r="H1414" s="102"/>
      <c r="I1414" s="247"/>
      <c r="J1414" s="267"/>
      <c r="K1414" s="183"/>
      <c r="L1414" s="753"/>
      <c r="M1414" s="183"/>
      <c r="N1414" s="183"/>
      <c r="O1414" s="699" t="str">
        <f>I1414/VLOOKUP(K1414,Sheet1!$D$7:$N$16,G1414+1,FALSE)</f>
        <v>#N/A</v>
      </c>
      <c r="P1414" s="684" t="str">
        <f t="shared" si="52"/>
        <v>#REF!</v>
      </c>
      <c r="Q1414" s="702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</row>
    <row r="1415" ht="15.75" customHeight="1">
      <c r="A1415" s="90"/>
      <c r="B1415" s="2"/>
      <c r="C1415" s="90"/>
      <c r="D1415" s="185" t="s">
        <v>291</v>
      </c>
      <c r="E1415" s="264"/>
      <c r="F1415" s="187">
        <v>2.0</v>
      </c>
      <c r="G1415" s="187">
        <v>1.0</v>
      </c>
      <c r="H1415" s="187"/>
      <c r="I1415" s="164">
        <v>205.0</v>
      </c>
      <c r="J1415" s="266" t="s">
        <v>78</v>
      </c>
      <c r="K1415" s="183">
        <v>6.5</v>
      </c>
      <c r="L1415" s="753"/>
      <c r="M1415" s="183"/>
      <c r="N1415" s="183"/>
      <c r="O1415" s="699">
        <f>I1415/VLOOKUP(K1415,Sheet1!$D$7:$N$16,G1415+1,FALSE)</f>
        <v>233.6182336</v>
      </c>
      <c r="P1415" s="684" t="str">
        <f t="shared" si="52"/>
        <v>#REF!</v>
      </c>
      <c r="Q1415" s="702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</row>
    <row r="1416" ht="3.75" customHeight="1">
      <c r="A1416" s="90"/>
      <c r="B1416" s="2"/>
      <c r="C1416" s="90"/>
      <c r="D1416" s="138"/>
      <c r="E1416" s="321"/>
      <c r="F1416" s="102"/>
      <c r="G1416" s="102"/>
      <c r="H1416" s="102"/>
      <c r="I1416" s="247"/>
      <c r="J1416" s="267"/>
      <c r="K1416" s="183"/>
      <c r="L1416" s="753"/>
      <c r="M1416" s="183"/>
      <c r="N1416" s="183"/>
      <c r="O1416" s="699" t="str">
        <f>I1416/VLOOKUP(K1416,Sheet1!$D$7:$N$16,G1416+1,FALSE)</f>
        <v>#N/A</v>
      </c>
      <c r="P1416" s="684" t="str">
        <f t="shared" si="52"/>
        <v>#REF!</v>
      </c>
      <c r="Q1416" s="702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</row>
    <row r="1417" ht="15.75" customHeight="1">
      <c r="A1417" s="90"/>
      <c r="B1417" s="2"/>
      <c r="C1417" s="90"/>
      <c r="D1417" s="185" t="s">
        <v>248</v>
      </c>
      <c r="E1417" s="264"/>
      <c r="F1417" s="187">
        <v>2.0</v>
      </c>
      <c r="G1417" s="187">
        <v>6.0</v>
      </c>
      <c r="H1417" s="187"/>
      <c r="I1417" s="164">
        <v>180.0</v>
      </c>
      <c r="J1417" s="706">
        <v>-0.12</v>
      </c>
      <c r="K1417" s="183">
        <v>6.0</v>
      </c>
      <c r="L1417" s="753"/>
      <c r="M1417" s="183"/>
      <c r="N1417" s="183"/>
      <c r="O1417" s="699">
        <f>I1417/VLOOKUP(K1417,Sheet1!$D$7:$N$16,G1417+1,FALSE)</f>
        <v>243.2432432</v>
      </c>
      <c r="P1417" s="684" t="str">
        <f t="shared" si="52"/>
        <v>#REF!</v>
      </c>
      <c r="Q1417" s="702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</row>
    <row r="1418" ht="3.75" customHeight="1">
      <c r="A1418" s="90"/>
      <c r="B1418" s="2"/>
      <c r="C1418" s="90"/>
      <c r="D1418" s="138"/>
      <c r="E1418" s="321"/>
      <c r="F1418" s="102"/>
      <c r="G1418" s="102"/>
      <c r="H1418" s="102"/>
      <c r="I1418" s="247"/>
      <c r="J1418" s="156"/>
      <c r="K1418" s="183"/>
      <c r="L1418" s="753"/>
      <c r="M1418" s="183"/>
      <c r="N1418" s="183"/>
      <c r="O1418" s="699" t="str">
        <f>I1418/VLOOKUP(K1418,Sheet1!$D$7:$N$16,G1418+1,FALSE)</f>
        <v>#N/A</v>
      </c>
      <c r="P1418" s="684" t="str">
        <f t="shared" si="52"/>
        <v>#REF!</v>
      </c>
      <c r="Q1418" s="702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</row>
    <row r="1419" ht="15.75" hidden="1" customHeight="1">
      <c r="A1419" s="90"/>
      <c r="B1419" s="2"/>
      <c r="C1419" s="90"/>
      <c r="D1419" s="185"/>
      <c r="E1419" s="260"/>
      <c r="F1419" s="187"/>
      <c r="G1419" s="187"/>
      <c r="H1419" s="187"/>
      <c r="I1419" s="164"/>
      <c r="J1419" s="266"/>
      <c r="K1419" s="183"/>
      <c r="L1419" s="753"/>
      <c r="M1419" s="183"/>
      <c r="N1419" s="183"/>
      <c r="O1419" s="699" t="str">
        <f>I1419/VLOOKUP(K1419,Sheet1!$D$7:$N$16,G1419+1,FALSE)</f>
        <v>#N/A</v>
      </c>
      <c r="P1419" s="684" t="str">
        <f t="shared" si="52"/>
        <v>#REF!</v>
      </c>
      <c r="Q1419" s="702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</row>
    <row r="1420" ht="3.75" hidden="1" customHeight="1">
      <c r="A1420" s="90"/>
      <c r="B1420" s="2"/>
      <c r="C1420" s="90"/>
      <c r="D1420" s="138"/>
      <c r="E1420" s="321"/>
      <c r="F1420" s="102"/>
      <c r="G1420" s="102"/>
      <c r="H1420" s="102"/>
      <c r="I1420" s="247"/>
      <c r="J1420" s="267"/>
      <c r="K1420" s="183"/>
      <c r="L1420" s="753"/>
      <c r="M1420" s="183"/>
      <c r="N1420" s="183"/>
      <c r="O1420" s="699" t="str">
        <f>I1420/VLOOKUP(K1420,Sheet1!$D$7:$N$16,G1420+1,FALSE)</f>
        <v>#N/A</v>
      </c>
      <c r="P1420" s="684" t="str">
        <f t="shared" si="52"/>
        <v>#REF!</v>
      </c>
      <c r="Q1420" s="702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</row>
    <row r="1421" ht="15.75" hidden="1" customHeight="1">
      <c r="A1421" s="90"/>
      <c r="B1421" s="2"/>
      <c r="C1421" s="90"/>
      <c r="D1421" s="185"/>
      <c r="E1421" s="260"/>
      <c r="F1421" s="187"/>
      <c r="G1421" s="187"/>
      <c r="H1421" s="187"/>
      <c r="I1421" s="164"/>
      <c r="J1421" s="266"/>
      <c r="K1421" s="183"/>
      <c r="L1421" s="753"/>
      <c r="M1421" s="183"/>
      <c r="N1421" s="183"/>
      <c r="O1421" s="699" t="str">
        <f>I1421/VLOOKUP(K1421,Sheet1!$D$7:$N$16,G1421+1,FALSE)</f>
        <v>#N/A</v>
      </c>
      <c r="P1421" s="684" t="str">
        <f t="shared" si="52"/>
        <v>#REF!</v>
      </c>
      <c r="Q1421" s="702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</row>
    <row r="1422" ht="3.75" hidden="1" customHeight="1">
      <c r="A1422" s="90"/>
      <c r="B1422" s="2"/>
      <c r="C1422" s="90"/>
      <c r="D1422" s="138"/>
      <c r="E1422" s="321"/>
      <c r="F1422" s="102"/>
      <c r="G1422" s="102"/>
      <c r="H1422" s="102"/>
      <c r="I1422" s="247"/>
      <c r="J1422" s="267"/>
      <c r="K1422" s="183"/>
      <c r="L1422" s="753"/>
      <c r="M1422" s="183"/>
      <c r="N1422" s="183"/>
      <c r="O1422" s="699" t="str">
        <f>I1422/VLOOKUP(K1422,Sheet1!$D$7:$N$16,G1422+1,FALSE)</f>
        <v>#N/A</v>
      </c>
      <c r="P1422" s="684" t="str">
        <f t="shared" si="52"/>
        <v>#REF!</v>
      </c>
      <c r="Q1422" s="702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</row>
    <row r="1423" ht="15.75" hidden="1" customHeight="1">
      <c r="A1423" s="90"/>
      <c r="B1423" s="2"/>
      <c r="C1423" s="90"/>
      <c r="D1423" s="185"/>
      <c r="E1423" s="260"/>
      <c r="F1423" s="187"/>
      <c r="G1423" s="187"/>
      <c r="H1423" s="187"/>
      <c r="I1423" s="164"/>
      <c r="J1423" s="266"/>
      <c r="K1423" s="183"/>
      <c r="L1423" s="753"/>
      <c r="M1423" s="183"/>
      <c r="N1423" s="183"/>
      <c r="O1423" s="699" t="str">
        <f>I1423/VLOOKUP(K1423,Sheet1!$D$7:$N$16,G1423+1,FALSE)</f>
        <v>#N/A</v>
      </c>
      <c r="P1423" s="684" t="str">
        <f t="shared" si="52"/>
        <v>#REF!</v>
      </c>
      <c r="Q1423" s="702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</row>
    <row r="1424" ht="3.75" hidden="1" customHeight="1">
      <c r="A1424" s="90"/>
      <c r="B1424" s="2"/>
      <c r="C1424" s="90"/>
      <c r="D1424" s="138"/>
      <c r="E1424" s="321"/>
      <c r="F1424" s="102"/>
      <c r="G1424" s="102"/>
      <c r="H1424" s="102"/>
      <c r="I1424" s="247"/>
      <c r="J1424" s="267"/>
      <c r="K1424" s="183"/>
      <c r="L1424" s="753"/>
      <c r="M1424" s="183"/>
      <c r="N1424" s="183"/>
      <c r="O1424" s="699" t="str">
        <f>I1424/VLOOKUP(K1424,Sheet1!$D$7:$N$16,G1424+1,FALSE)</f>
        <v>#N/A</v>
      </c>
      <c r="P1424" s="684" t="str">
        <f t="shared" si="52"/>
        <v>#REF!</v>
      </c>
      <c r="Q1424" s="702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</row>
    <row r="1425" ht="18.0" customHeight="1">
      <c r="A1425" s="90"/>
      <c r="B1425" s="2"/>
      <c r="C1425" s="90"/>
      <c r="D1425" s="185" t="s">
        <v>297</v>
      </c>
      <c r="E1425" s="264"/>
      <c r="F1425" s="187">
        <v>3.0</v>
      </c>
      <c r="G1425" s="731" t="s">
        <v>251</v>
      </c>
      <c r="H1425" s="187"/>
      <c r="I1425" s="164"/>
      <c r="J1425" s="266">
        <v>9.0</v>
      </c>
      <c r="K1425" s="183">
        <v>9.0</v>
      </c>
      <c r="L1425" s="753"/>
      <c r="M1425" s="183"/>
      <c r="N1425" s="183"/>
      <c r="O1425" s="699" t="str">
        <f>I1425/VLOOKUP(K1425,Sheet1!$D$7:$N$16,G1425+1,FALSE)</f>
        <v>#REF!</v>
      </c>
      <c r="P1425" s="684" t="str">
        <f t="shared" si="52"/>
        <v>#REF!</v>
      </c>
      <c r="Q1425" s="702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</row>
    <row r="1426" ht="3.75" customHeight="1">
      <c r="A1426" s="191"/>
      <c r="B1426" s="719"/>
      <c r="C1426" s="192"/>
      <c r="D1426" s="138"/>
      <c r="E1426" s="263"/>
      <c r="F1426" s="194"/>
      <c r="G1426" s="194"/>
      <c r="H1426" s="194"/>
      <c r="I1426" s="164"/>
      <c r="J1426" s="267"/>
      <c r="K1426" s="183"/>
      <c r="L1426" s="753"/>
      <c r="M1426" s="183"/>
      <c r="N1426" s="183"/>
      <c r="O1426" s="699" t="str">
        <f>I1426/VLOOKUP(K1426,Sheet1!$D$7:$N$16,G1426+1,FALSE)</f>
        <v>#N/A</v>
      </c>
      <c r="P1426" s="684" t="str">
        <f t="shared" si="52"/>
        <v>#REF!</v>
      </c>
      <c r="Q1426" s="702"/>
      <c r="R1426" s="158"/>
      <c r="S1426" s="158"/>
      <c r="T1426" s="158"/>
      <c r="U1426" s="158"/>
      <c r="V1426" s="158"/>
      <c r="W1426" s="158"/>
      <c r="X1426" s="158"/>
      <c r="Y1426" s="158"/>
      <c r="Z1426" s="158"/>
      <c r="AA1426" s="158"/>
      <c r="AB1426" s="158"/>
      <c r="AC1426" s="158"/>
      <c r="AD1426" s="158"/>
      <c r="AE1426" s="158"/>
      <c r="AF1426" s="158"/>
    </row>
    <row r="1427" ht="15.75" customHeight="1">
      <c r="A1427" s="90"/>
      <c r="B1427" s="2"/>
      <c r="C1427" s="90"/>
      <c r="D1427" s="185" t="s">
        <v>293</v>
      </c>
      <c r="E1427" s="266"/>
      <c r="F1427" s="187">
        <v>3.0</v>
      </c>
      <c r="G1427" s="731" t="s">
        <v>251</v>
      </c>
      <c r="H1427" s="187"/>
      <c r="I1427" s="164"/>
      <c r="J1427" s="266">
        <v>9.0</v>
      </c>
      <c r="K1427" s="183">
        <v>9.0</v>
      </c>
      <c r="L1427" s="753"/>
      <c r="M1427" s="183"/>
      <c r="N1427" s="183"/>
      <c r="O1427" s="699" t="str">
        <f>I1427/VLOOKUP(K1427,Sheet1!$D$7:$N$16,G1427+1,FALSE)</f>
        <v>#REF!</v>
      </c>
      <c r="P1427" s="684" t="str">
        <f t="shared" si="52"/>
        <v>#REF!</v>
      </c>
      <c r="Q1427" s="702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</row>
    <row r="1428" ht="3.75" customHeight="1">
      <c r="A1428" s="90"/>
      <c r="B1428" s="2"/>
      <c r="C1428" s="90"/>
      <c r="D1428" s="138"/>
      <c r="E1428" s="252"/>
      <c r="F1428" s="102"/>
      <c r="G1428" s="102"/>
      <c r="H1428" s="102"/>
      <c r="I1428" s="247"/>
      <c r="J1428" s="156"/>
      <c r="K1428" s="183"/>
      <c r="L1428" s="753"/>
      <c r="M1428" s="183"/>
      <c r="N1428" s="183"/>
      <c r="O1428" s="699" t="str">
        <f>I1428/VLOOKUP(K1428,Sheet1!$D$7:$N$16,G1428+1,FALSE)</f>
        <v>#N/A</v>
      </c>
      <c r="P1428" s="684" t="str">
        <f t="shared" si="52"/>
        <v>#REF!</v>
      </c>
      <c r="Q1428" s="702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</row>
    <row r="1429" ht="15.75" customHeight="1">
      <c r="A1429" s="90"/>
      <c r="B1429" s="2"/>
      <c r="C1429" s="90"/>
      <c r="D1429" s="185" t="s">
        <v>255</v>
      </c>
      <c r="E1429" s="260"/>
      <c r="F1429" s="187">
        <v>3.0</v>
      </c>
      <c r="G1429" s="731" t="s">
        <v>251</v>
      </c>
      <c r="H1429" s="187"/>
      <c r="I1429" s="164"/>
      <c r="J1429" s="266">
        <v>9.0</v>
      </c>
      <c r="K1429" s="183">
        <v>9.0</v>
      </c>
      <c r="L1429" s="753"/>
      <c r="M1429" s="183"/>
      <c r="N1429" s="183"/>
      <c r="O1429" s="699" t="str">
        <f>I1429/VLOOKUP(K1429,Sheet1!$D$7:$N$16,G1429+1,FALSE)</f>
        <v>#REF!</v>
      </c>
      <c r="P1429" s="684" t="str">
        <f t="shared" si="52"/>
        <v>#REF!</v>
      </c>
      <c r="Q1429" s="702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</row>
    <row r="1430" ht="3.75" customHeight="1">
      <c r="A1430" s="191"/>
      <c r="B1430" s="719"/>
      <c r="C1430" s="192"/>
      <c r="D1430" s="138"/>
      <c r="E1430" s="267"/>
      <c r="F1430" s="194"/>
      <c r="G1430" s="194"/>
      <c r="H1430" s="194"/>
      <c r="I1430" s="164"/>
      <c r="J1430" s="267"/>
      <c r="K1430" s="183"/>
      <c r="L1430" s="753"/>
      <c r="M1430" s="183"/>
      <c r="N1430" s="183"/>
      <c r="O1430" s="699" t="str">
        <f>I1430/VLOOKUP(K1430,Sheet1!$D$7:$N$16,G1430+1,FALSE)</f>
        <v>#N/A</v>
      </c>
      <c r="P1430" s="684" t="str">
        <f t="shared" si="52"/>
        <v>#REF!</v>
      </c>
      <c r="Q1430" s="702"/>
      <c r="R1430" s="158"/>
      <c r="S1430" s="158"/>
      <c r="T1430" s="158"/>
      <c r="U1430" s="158"/>
      <c r="V1430" s="158"/>
      <c r="W1430" s="158"/>
      <c r="X1430" s="158"/>
      <c r="Y1430" s="158"/>
      <c r="Z1430" s="158"/>
      <c r="AA1430" s="158"/>
      <c r="AB1430" s="158"/>
      <c r="AC1430" s="158"/>
      <c r="AD1430" s="158"/>
      <c r="AE1430" s="158"/>
      <c r="AF1430" s="158"/>
    </row>
    <row r="1431" ht="15.75" customHeight="1">
      <c r="A1431" s="90"/>
      <c r="B1431" s="2"/>
      <c r="C1431" s="90"/>
      <c r="D1431" s="185" t="s">
        <v>256</v>
      </c>
      <c r="E1431" s="266"/>
      <c r="F1431" s="187">
        <v>3.0</v>
      </c>
      <c r="G1431" s="187" t="s">
        <v>16</v>
      </c>
      <c r="H1431" s="187"/>
      <c r="I1431" s="164"/>
      <c r="J1431" s="266">
        <v>9.0</v>
      </c>
      <c r="K1431" s="183">
        <v>9.0</v>
      </c>
      <c r="L1431" s="753"/>
      <c r="M1431" s="183"/>
      <c r="N1431" s="183"/>
      <c r="O1431" s="699" t="str">
        <f>I1431/VLOOKUP(K1431,Sheet1!$D$7:$N$16,G1431+1,FALSE)</f>
        <v>#VALUE!</v>
      </c>
      <c r="P1431" s="684" t="str">
        <f t="shared" si="52"/>
        <v>#REF!</v>
      </c>
      <c r="Q1431" s="702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</row>
    <row r="1432" ht="3.75" customHeight="1">
      <c r="A1432" s="90"/>
      <c r="B1432" s="2"/>
      <c r="C1432" s="90"/>
      <c r="D1432" s="138"/>
      <c r="E1432" s="252"/>
      <c r="F1432" s="102"/>
      <c r="G1432" s="102"/>
      <c r="H1432" s="102"/>
      <c r="I1432" s="247"/>
      <c r="J1432" s="156"/>
      <c r="K1432" s="183"/>
      <c r="L1432" s="753"/>
      <c r="M1432" s="183"/>
      <c r="N1432" s="183"/>
      <c r="O1432" s="699" t="str">
        <f>I1432/VLOOKUP(K1432,Sheet1!$D$7:$N$16,G1432+1,FALSE)</f>
        <v>#N/A</v>
      </c>
      <c r="P1432" s="684" t="str">
        <f t="shared" si="52"/>
        <v>#REF!</v>
      </c>
      <c r="Q1432" s="702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</row>
    <row r="1433" ht="15.75" hidden="1" customHeight="1">
      <c r="A1433" s="90"/>
      <c r="B1433" s="2"/>
      <c r="C1433" s="90"/>
      <c r="D1433" s="185"/>
      <c r="E1433" s="266"/>
      <c r="F1433" s="187"/>
      <c r="G1433" s="187"/>
      <c r="H1433" s="187"/>
      <c r="I1433" s="164"/>
      <c r="J1433" s="266"/>
      <c r="K1433" s="183"/>
      <c r="L1433" s="753"/>
      <c r="M1433" s="183"/>
      <c r="N1433" s="183"/>
      <c r="O1433" s="699" t="str">
        <f>I1433/VLOOKUP(K1433,Sheet1!$D$7:$N$16,G1433+1,FALSE)</f>
        <v>#N/A</v>
      </c>
      <c r="P1433" s="684" t="str">
        <f t="shared" si="52"/>
        <v>#REF!</v>
      </c>
      <c r="Q1433" s="697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</row>
    <row r="1434" ht="3.75" hidden="1" customHeight="1">
      <c r="A1434" s="90"/>
      <c r="B1434" s="2"/>
      <c r="C1434" s="90"/>
      <c r="D1434" s="90"/>
      <c r="E1434" s="156"/>
      <c r="F1434" s="102"/>
      <c r="G1434" s="102"/>
      <c r="H1434" s="102"/>
      <c r="I1434" s="102"/>
      <c r="J1434" s="156"/>
      <c r="K1434" s="720"/>
      <c r="L1434" s="754"/>
      <c r="M1434" s="201"/>
      <c r="N1434" s="201"/>
      <c r="O1434" s="699" t="str">
        <f>I1434/VLOOKUP(K1434,Sheet1!$D$7:$N$16,G1434+1,FALSE)</f>
        <v>#N/A</v>
      </c>
      <c r="P1434" s="684" t="str">
        <f t="shared" si="52"/>
        <v>#REF!</v>
      </c>
      <c r="Q1434" s="720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</row>
    <row r="1435" ht="30.75" customHeight="1">
      <c r="A1435" s="90"/>
      <c r="B1435" s="2"/>
      <c r="C1435" s="90"/>
      <c r="D1435" s="686" t="s">
        <v>257</v>
      </c>
      <c r="E1435" s="255" t="s">
        <v>15</v>
      </c>
      <c r="F1435" s="721" t="s">
        <v>16</v>
      </c>
      <c r="G1435" s="722" t="s">
        <v>17</v>
      </c>
      <c r="H1435" s="723"/>
      <c r="I1435" s="724"/>
      <c r="J1435" s="725" t="s">
        <v>241</v>
      </c>
      <c r="K1435" s="691"/>
      <c r="L1435" s="755"/>
      <c r="M1435" s="692"/>
      <c r="N1435" s="692"/>
      <c r="O1435" s="699"/>
      <c r="P1435" s="684"/>
      <c r="Q1435" s="693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</row>
    <row r="1436" ht="14.25" customHeight="1">
      <c r="A1436" s="90"/>
      <c r="B1436" s="2"/>
      <c r="C1436" s="90"/>
      <c r="D1436" s="257" t="s">
        <v>25</v>
      </c>
      <c r="E1436" s="258" t="s">
        <v>26</v>
      </c>
      <c r="F1436" s="680"/>
      <c r="G1436" s="681"/>
      <c r="H1436" s="723"/>
      <c r="I1436" s="681"/>
      <c r="J1436" s="725" t="s">
        <v>244</v>
      </c>
      <c r="K1436" s="697"/>
      <c r="L1436" s="755"/>
      <c r="M1436" s="692"/>
      <c r="N1436" s="692"/>
      <c r="O1436" s="699"/>
      <c r="P1436" s="684"/>
      <c r="Q1436" s="698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</row>
    <row r="1437" ht="3.75" customHeight="1">
      <c r="A1437" s="191"/>
      <c r="B1437" s="719"/>
      <c r="C1437" s="192"/>
      <c r="D1437" s="203"/>
      <c r="E1437" s="203"/>
      <c r="F1437" s="726"/>
      <c r="G1437" s="726"/>
      <c r="H1437" s="726"/>
      <c r="I1437" s="727"/>
      <c r="J1437" s="728"/>
      <c r="K1437" s="192"/>
      <c r="L1437" s="756"/>
      <c r="M1437" s="194"/>
      <c r="N1437" s="194"/>
      <c r="O1437" s="699"/>
      <c r="P1437" s="684" t="str">
        <f t="shared" ref="P1437:P1459" si="53">I1437-#REF!</f>
        <v>#REF!</v>
      </c>
      <c r="Q1437" s="192"/>
      <c r="R1437" s="158"/>
      <c r="S1437" s="158"/>
      <c r="T1437" s="158"/>
      <c r="U1437" s="158"/>
      <c r="V1437" s="158"/>
      <c r="W1437" s="158"/>
      <c r="X1437" s="158"/>
      <c r="Y1437" s="158"/>
      <c r="Z1437" s="158"/>
      <c r="AA1437" s="158"/>
      <c r="AB1437" s="158"/>
      <c r="AC1437" s="158"/>
      <c r="AD1437" s="158"/>
      <c r="AE1437" s="158"/>
      <c r="AF1437" s="158"/>
    </row>
    <row r="1438" ht="15.75" customHeight="1">
      <c r="A1438" s="124"/>
      <c r="B1438" s="2"/>
      <c r="C1438" s="124"/>
      <c r="D1438" s="185" t="s">
        <v>287</v>
      </c>
      <c r="E1438" s="732"/>
      <c r="F1438" s="187">
        <v>3.0</v>
      </c>
      <c r="G1438" s="187">
        <v>3.0</v>
      </c>
      <c r="H1438" s="187"/>
      <c r="I1438" s="164">
        <v>160.0</v>
      </c>
      <c r="J1438" s="266">
        <v>5.0</v>
      </c>
      <c r="K1438" s="183">
        <v>5.0</v>
      </c>
      <c r="L1438" s="753"/>
      <c r="M1438" s="183"/>
      <c r="N1438" s="183"/>
      <c r="O1438" s="699" t="str">
        <f>I1438/VLOOKUP(K1438,Sheet1!$D$7:$N$16,G1438+1,FALSE)</f>
        <v>#N/A</v>
      </c>
      <c r="P1438" s="684" t="str">
        <f t="shared" si="53"/>
        <v>#REF!</v>
      </c>
      <c r="Q1438" s="730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</row>
    <row r="1439" ht="3.75" customHeight="1">
      <c r="A1439" s="124"/>
      <c r="B1439" s="2"/>
      <c r="C1439" s="124"/>
      <c r="D1439" s="138"/>
      <c r="E1439" s="252"/>
      <c r="F1439" s="102"/>
      <c r="G1439" s="102"/>
      <c r="H1439" s="102"/>
      <c r="I1439" s="247"/>
      <c r="J1439" s="156"/>
      <c r="K1439" s="183"/>
      <c r="L1439" s="753"/>
      <c r="M1439" s="183"/>
      <c r="N1439" s="183"/>
      <c r="O1439" s="699" t="str">
        <f>I1439/VLOOKUP(K1439,Sheet1!$D$7:$N$16,G1439+1,FALSE)</f>
        <v>#N/A</v>
      </c>
      <c r="P1439" s="684" t="str">
        <f t="shared" si="53"/>
        <v>#REF!</v>
      </c>
      <c r="Q1439" s="702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</row>
    <row r="1440" ht="15.75" customHeight="1">
      <c r="A1440" s="90"/>
      <c r="B1440" s="2"/>
      <c r="C1440" s="90"/>
      <c r="D1440" s="185" t="s">
        <v>51</v>
      </c>
      <c r="E1440" s="264"/>
      <c r="F1440" s="187">
        <v>1.0</v>
      </c>
      <c r="G1440" s="187">
        <v>3.0</v>
      </c>
      <c r="H1440" s="187"/>
      <c r="I1440" s="164">
        <v>150.0</v>
      </c>
      <c r="J1440" s="266">
        <v>7.0</v>
      </c>
      <c r="K1440" s="183">
        <v>7.0</v>
      </c>
      <c r="L1440" s="753"/>
      <c r="M1440" s="183"/>
      <c r="N1440" s="183"/>
      <c r="O1440" s="699">
        <f>I1440/VLOOKUP(K1440,Sheet1!$D$7:$N$16,G1440+1,FALSE)</f>
        <v>178.5714286</v>
      </c>
      <c r="P1440" s="684" t="str">
        <f t="shared" si="53"/>
        <v>#REF!</v>
      </c>
      <c r="Q1440" s="702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</row>
    <row r="1441" ht="3.75" customHeight="1">
      <c r="A1441" s="90"/>
      <c r="B1441" s="2"/>
      <c r="C1441" s="90"/>
      <c r="D1441" s="138"/>
      <c r="E1441" s="321"/>
      <c r="F1441" s="102"/>
      <c r="G1441" s="102"/>
      <c r="H1441" s="102"/>
      <c r="I1441" s="247"/>
      <c r="J1441" s="156"/>
      <c r="K1441" s="183"/>
      <c r="L1441" s="753"/>
      <c r="M1441" s="183"/>
      <c r="N1441" s="183"/>
      <c r="O1441" s="699" t="str">
        <f>I1441/VLOOKUP(K1441,Sheet1!$D$7:$N$16,G1441+1,FALSE)</f>
        <v>#N/A</v>
      </c>
      <c r="P1441" s="684" t="str">
        <f t="shared" si="53"/>
        <v>#REF!</v>
      </c>
      <c r="Q1441" s="702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</row>
    <row r="1442" ht="15.75" customHeight="1">
      <c r="A1442" s="90"/>
      <c r="B1442" s="2"/>
      <c r="C1442" s="90"/>
      <c r="D1442" s="185" t="s">
        <v>51</v>
      </c>
      <c r="E1442" s="264"/>
      <c r="F1442" s="187">
        <v>3.0</v>
      </c>
      <c r="G1442" s="187">
        <v>5.0</v>
      </c>
      <c r="H1442" s="187"/>
      <c r="I1442" s="164">
        <v>130.0</v>
      </c>
      <c r="J1442" s="706">
        <v>-0.12</v>
      </c>
      <c r="K1442" s="183">
        <v>7.0</v>
      </c>
      <c r="L1442" s="753"/>
      <c r="M1442" s="183"/>
      <c r="N1442" s="183"/>
      <c r="O1442" s="699">
        <f>I1442/VLOOKUP(K1442,Sheet1!$D$7:$N$16,G1442+1,FALSE)</f>
        <v>164.556962</v>
      </c>
      <c r="P1442" s="684" t="str">
        <f t="shared" si="53"/>
        <v>#REF!</v>
      </c>
      <c r="Q1442" s="702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</row>
    <row r="1443" ht="3.75" customHeight="1">
      <c r="A1443" s="90"/>
      <c r="B1443" s="2"/>
      <c r="C1443" s="90"/>
      <c r="D1443" s="138"/>
      <c r="E1443" s="252"/>
      <c r="F1443" s="102"/>
      <c r="G1443" s="102"/>
      <c r="H1443" s="102"/>
      <c r="I1443" s="247"/>
      <c r="J1443" s="156"/>
      <c r="K1443" s="183"/>
      <c r="L1443" s="753"/>
      <c r="M1443" s="183"/>
      <c r="N1443" s="183"/>
      <c r="O1443" s="699" t="str">
        <f>I1443/VLOOKUP(K1443,Sheet1!$D$7:$N$16,G1443+1,FALSE)</f>
        <v>#N/A</v>
      </c>
      <c r="P1443" s="684" t="str">
        <f t="shared" si="53"/>
        <v>#REF!</v>
      </c>
      <c r="Q1443" s="702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</row>
    <row r="1444" ht="15.75" customHeight="1">
      <c r="A1444" s="90"/>
      <c r="B1444" s="2"/>
      <c r="C1444" s="90"/>
      <c r="D1444" s="185" t="s">
        <v>295</v>
      </c>
      <c r="E1444" s="260" t="s">
        <v>296</v>
      </c>
      <c r="F1444" s="187">
        <v>3.0</v>
      </c>
      <c r="G1444" s="731" t="s">
        <v>251</v>
      </c>
      <c r="H1444" s="187"/>
      <c r="I1444" s="164"/>
      <c r="J1444" s="266">
        <v>8.0</v>
      </c>
      <c r="K1444" s="183">
        <v>8.0</v>
      </c>
      <c r="L1444" s="753"/>
      <c r="M1444" s="183"/>
      <c r="N1444" s="183"/>
      <c r="O1444" s="699" t="str">
        <f>I1444/VLOOKUP(K1444,Sheet1!$D$7:$N$16,G1444+1,FALSE)</f>
        <v>#REF!</v>
      </c>
      <c r="P1444" s="684" t="str">
        <f t="shared" si="53"/>
        <v>#REF!</v>
      </c>
      <c r="Q1444" s="702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</row>
    <row r="1445" ht="3.75" customHeight="1">
      <c r="A1445" s="90"/>
      <c r="B1445" s="2"/>
      <c r="C1445" s="90"/>
      <c r="D1445" s="138"/>
      <c r="E1445" s="252"/>
      <c r="F1445" s="102"/>
      <c r="G1445" s="102"/>
      <c r="H1445" s="102"/>
      <c r="I1445" s="247"/>
      <c r="J1445" s="156"/>
      <c r="K1445" s="183"/>
      <c r="L1445" s="753"/>
      <c r="M1445" s="183"/>
      <c r="N1445" s="183"/>
      <c r="O1445" s="699" t="str">
        <f>I1445/VLOOKUP(K1445,Sheet1!$D$7:$N$16,G1445+1,FALSE)</f>
        <v>#N/A</v>
      </c>
      <c r="P1445" s="684" t="str">
        <f t="shared" si="53"/>
        <v>#REF!</v>
      </c>
      <c r="Q1445" s="702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</row>
    <row r="1446" ht="15.75" customHeight="1">
      <c r="A1446" s="90"/>
      <c r="B1446" s="2"/>
      <c r="C1446" s="90"/>
      <c r="D1446" s="185" t="s">
        <v>298</v>
      </c>
      <c r="E1446" s="260"/>
      <c r="F1446" s="187">
        <v>3.0</v>
      </c>
      <c r="G1446" s="731" t="s">
        <v>251</v>
      </c>
      <c r="H1446" s="187"/>
      <c r="I1446" s="164"/>
      <c r="J1446" s="266">
        <v>8.0</v>
      </c>
      <c r="K1446" s="183">
        <v>8.0</v>
      </c>
      <c r="L1446" s="753"/>
      <c r="M1446" s="183"/>
      <c r="N1446" s="183"/>
      <c r="O1446" s="699" t="str">
        <f>I1446/VLOOKUP(K1446,Sheet1!$D$7:$N$16,G1446+1,FALSE)</f>
        <v>#REF!</v>
      </c>
      <c r="P1446" s="684" t="str">
        <f t="shared" si="53"/>
        <v>#REF!</v>
      </c>
      <c r="Q1446" s="702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</row>
    <row r="1447" ht="3.75" customHeight="1">
      <c r="A1447" s="90"/>
      <c r="B1447" s="2"/>
      <c r="C1447" s="90"/>
      <c r="D1447" s="138"/>
      <c r="E1447" s="252"/>
      <c r="F1447" s="102"/>
      <c r="G1447" s="102"/>
      <c r="H1447" s="102"/>
      <c r="I1447" s="247"/>
      <c r="J1447" s="156"/>
      <c r="K1447" s="183"/>
      <c r="L1447" s="753"/>
      <c r="M1447" s="183"/>
      <c r="N1447" s="183"/>
      <c r="O1447" s="699" t="str">
        <f>I1447/VLOOKUP(K1447,Sheet1!$D$7:$N$16,G1447+1,FALSE)</f>
        <v>#N/A</v>
      </c>
      <c r="P1447" s="684" t="str">
        <f t="shared" si="53"/>
        <v>#REF!</v>
      </c>
      <c r="Q1447" s="702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</row>
    <row r="1448" ht="15.75" hidden="1" customHeight="1">
      <c r="A1448" s="90"/>
      <c r="B1448" s="2"/>
      <c r="C1448" s="90"/>
      <c r="D1448" s="185"/>
      <c r="E1448" s="260"/>
      <c r="F1448" s="187"/>
      <c r="G1448" s="187"/>
      <c r="H1448" s="187"/>
      <c r="I1448" s="164"/>
      <c r="J1448" s="266"/>
      <c r="K1448" s="183"/>
      <c r="L1448" s="753"/>
      <c r="M1448" s="183"/>
      <c r="N1448" s="183"/>
      <c r="O1448" s="699" t="str">
        <f>I1448/VLOOKUP(K1448,Sheet1!$D$7:$N$16,G1448+1,FALSE)</f>
        <v>#N/A</v>
      </c>
      <c r="P1448" s="684" t="str">
        <f t="shared" si="53"/>
        <v>#REF!</v>
      </c>
      <c r="Q1448" s="702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</row>
    <row r="1449" ht="3.75" hidden="1" customHeight="1">
      <c r="A1449" s="90"/>
      <c r="B1449" s="2"/>
      <c r="C1449" s="90"/>
      <c r="D1449" s="138"/>
      <c r="E1449" s="252"/>
      <c r="F1449" s="102"/>
      <c r="G1449" s="102"/>
      <c r="H1449" s="102"/>
      <c r="I1449" s="247"/>
      <c r="J1449" s="267"/>
      <c r="K1449" s="183"/>
      <c r="L1449" s="753"/>
      <c r="M1449" s="183"/>
      <c r="N1449" s="183"/>
      <c r="O1449" s="699" t="str">
        <f>I1449/VLOOKUP(K1449,Sheet1!$D$7:$N$16,G1449+1,FALSE)</f>
        <v>#N/A</v>
      </c>
      <c r="P1449" s="684" t="str">
        <f t="shared" si="53"/>
        <v>#REF!</v>
      </c>
      <c r="Q1449" s="702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</row>
    <row r="1450" ht="20.25" hidden="1" customHeight="1">
      <c r="A1450" s="90"/>
      <c r="B1450" s="2"/>
      <c r="C1450" s="90"/>
      <c r="D1450" s="185"/>
      <c r="E1450" s="264"/>
      <c r="F1450" s="187"/>
      <c r="G1450" s="187"/>
      <c r="H1450" s="187"/>
      <c r="I1450" s="164"/>
      <c r="J1450" s="266"/>
      <c r="K1450" s="183"/>
      <c r="L1450" s="753"/>
      <c r="M1450" s="183"/>
      <c r="N1450" s="183"/>
      <c r="O1450" s="699" t="str">
        <f>I1450/VLOOKUP(K1450,Sheet1!$D$7:$N$16,G1450+1,FALSE)</f>
        <v>#N/A</v>
      </c>
      <c r="P1450" s="684" t="str">
        <f t="shared" si="53"/>
        <v>#REF!</v>
      </c>
      <c r="Q1450" s="702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</row>
    <row r="1451" ht="3.75" hidden="1" customHeight="1">
      <c r="A1451" s="191"/>
      <c r="B1451" s="719"/>
      <c r="C1451" s="192"/>
      <c r="D1451" s="138"/>
      <c r="E1451" s="252"/>
      <c r="F1451" s="102"/>
      <c r="G1451" s="102"/>
      <c r="H1451" s="102"/>
      <c r="I1451" s="247"/>
      <c r="J1451" s="156"/>
      <c r="K1451" s="183"/>
      <c r="L1451" s="753"/>
      <c r="M1451" s="183"/>
      <c r="N1451" s="183"/>
      <c r="O1451" s="699" t="str">
        <f>I1451/VLOOKUP(K1451,Sheet1!$D$7:$N$16,G1451+1,FALSE)</f>
        <v>#N/A</v>
      </c>
      <c r="P1451" s="684" t="str">
        <f t="shared" si="53"/>
        <v>#REF!</v>
      </c>
      <c r="Q1451" s="702"/>
      <c r="R1451" s="158"/>
      <c r="S1451" s="158"/>
      <c r="T1451" s="158"/>
      <c r="U1451" s="158"/>
      <c r="V1451" s="158"/>
      <c r="W1451" s="158"/>
      <c r="X1451" s="158"/>
      <c r="Y1451" s="158"/>
      <c r="Z1451" s="158"/>
      <c r="AA1451" s="158"/>
      <c r="AB1451" s="158"/>
      <c r="AC1451" s="158"/>
      <c r="AD1451" s="158"/>
      <c r="AE1451" s="158"/>
      <c r="AF1451" s="158"/>
    </row>
    <row r="1452" ht="15.75" hidden="1" customHeight="1">
      <c r="A1452" s="90"/>
      <c r="B1452" s="2"/>
      <c r="C1452" s="90"/>
      <c r="D1452" s="185"/>
      <c r="E1452" s="260"/>
      <c r="F1452" s="187"/>
      <c r="G1452" s="187"/>
      <c r="H1452" s="187"/>
      <c r="I1452" s="164"/>
      <c r="J1452" s="266"/>
      <c r="K1452" s="183"/>
      <c r="L1452" s="753"/>
      <c r="M1452" s="183"/>
      <c r="N1452" s="183"/>
      <c r="O1452" s="699" t="str">
        <f>I1452/VLOOKUP(K1452,Sheet1!$D$7:$N$16,G1452+1,FALSE)</f>
        <v>#N/A</v>
      </c>
      <c r="P1452" s="684" t="str">
        <f t="shared" si="53"/>
        <v>#REF!</v>
      </c>
      <c r="Q1452" s="702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</row>
    <row r="1453" ht="3.75" hidden="1" customHeight="1">
      <c r="A1453" s="90"/>
      <c r="B1453" s="2"/>
      <c r="C1453" s="90"/>
      <c r="D1453" s="138"/>
      <c r="E1453" s="252"/>
      <c r="F1453" s="102"/>
      <c r="G1453" s="102"/>
      <c r="H1453" s="102"/>
      <c r="I1453" s="247"/>
      <c r="J1453" s="156"/>
      <c r="K1453" s="183"/>
      <c r="L1453" s="753"/>
      <c r="M1453" s="183"/>
      <c r="N1453" s="183"/>
      <c r="O1453" s="699" t="str">
        <f>I1453/VLOOKUP(K1453,Sheet1!$D$7:$N$16,G1453+1,FALSE)</f>
        <v>#N/A</v>
      </c>
      <c r="P1453" s="684" t="str">
        <f t="shared" si="53"/>
        <v>#REF!</v>
      </c>
      <c r="Q1453" s="702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</row>
    <row r="1454" ht="15.75" hidden="1" customHeight="1">
      <c r="A1454" s="90"/>
      <c r="B1454" s="2"/>
      <c r="C1454" s="90"/>
      <c r="D1454" s="185"/>
      <c r="E1454" s="266"/>
      <c r="F1454" s="187"/>
      <c r="G1454" s="187"/>
      <c r="H1454" s="187"/>
      <c r="I1454" s="164"/>
      <c r="J1454" s="266"/>
      <c r="K1454" s="183"/>
      <c r="L1454" s="753"/>
      <c r="M1454" s="183"/>
      <c r="N1454" s="183"/>
      <c r="O1454" s="699" t="str">
        <f>I1454/VLOOKUP(K1454,Sheet1!$D$7:$N$16,G1454+1,FALSE)</f>
        <v>#N/A</v>
      </c>
      <c r="P1454" s="684" t="str">
        <f t="shared" si="53"/>
        <v>#REF!</v>
      </c>
      <c r="Q1454" s="702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</row>
    <row r="1455" ht="3.75" hidden="1" customHeight="1">
      <c r="A1455" s="191"/>
      <c r="B1455" s="719"/>
      <c r="C1455" s="192"/>
      <c r="D1455" s="138"/>
      <c r="E1455" s="267"/>
      <c r="F1455" s="194"/>
      <c r="G1455" s="194"/>
      <c r="H1455" s="194"/>
      <c r="I1455" s="164"/>
      <c r="J1455" s="267"/>
      <c r="K1455" s="183"/>
      <c r="L1455" s="753"/>
      <c r="M1455" s="183"/>
      <c r="N1455" s="183"/>
      <c r="O1455" s="699" t="str">
        <f>I1455/VLOOKUP(K1455,Sheet1!$D$7:$N$16,G1455+1,FALSE)</f>
        <v>#N/A</v>
      </c>
      <c r="P1455" s="684" t="str">
        <f t="shared" si="53"/>
        <v>#REF!</v>
      </c>
      <c r="Q1455" s="702"/>
      <c r="R1455" s="158"/>
      <c r="S1455" s="158"/>
      <c r="T1455" s="158"/>
      <c r="U1455" s="158"/>
      <c r="V1455" s="158"/>
      <c r="W1455" s="158"/>
      <c r="X1455" s="158"/>
      <c r="Y1455" s="158"/>
      <c r="Z1455" s="158"/>
      <c r="AA1455" s="158"/>
      <c r="AB1455" s="158"/>
      <c r="AC1455" s="158"/>
      <c r="AD1455" s="158"/>
      <c r="AE1455" s="158"/>
      <c r="AF1455" s="158"/>
    </row>
    <row r="1456" ht="15.75" hidden="1" customHeight="1">
      <c r="A1456" s="90"/>
      <c r="B1456" s="2"/>
      <c r="C1456" s="90"/>
      <c r="D1456" s="185"/>
      <c r="E1456" s="266"/>
      <c r="F1456" s="187"/>
      <c r="G1456" s="187"/>
      <c r="H1456" s="187"/>
      <c r="I1456" s="164"/>
      <c r="J1456" s="266"/>
      <c r="K1456" s="183"/>
      <c r="L1456" s="753"/>
      <c r="M1456" s="183"/>
      <c r="N1456" s="183"/>
      <c r="O1456" s="699" t="str">
        <f>I1456/VLOOKUP(K1456,Sheet1!$D$7:$N$16,G1456+1,FALSE)</f>
        <v>#N/A</v>
      </c>
      <c r="P1456" s="684" t="str">
        <f t="shared" si="53"/>
        <v>#REF!</v>
      </c>
      <c r="Q1456" s="702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</row>
    <row r="1457" ht="3.75" hidden="1" customHeight="1">
      <c r="A1457" s="90"/>
      <c r="B1457" s="2"/>
      <c r="C1457" s="90"/>
      <c r="D1457" s="252"/>
      <c r="E1457" s="252"/>
      <c r="F1457" s="102"/>
      <c r="G1457" s="102"/>
      <c r="H1457" s="102"/>
      <c r="I1457" s="247"/>
      <c r="J1457" s="156"/>
      <c r="K1457" s="733"/>
      <c r="L1457" s="758"/>
      <c r="M1457" s="734"/>
      <c r="N1457" s="734"/>
      <c r="O1457" s="699" t="str">
        <f>I1457/VLOOKUP(K1457,Sheet1!$D$7:$N$16,G1457+1,FALSE)</f>
        <v>#N/A</v>
      </c>
      <c r="P1457" s="684" t="str">
        <f t="shared" si="53"/>
        <v>#REF!</v>
      </c>
      <c r="Q1457" s="702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</row>
    <row r="1458" ht="0.75" hidden="1" customHeight="1">
      <c r="A1458" s="90"/>
      <c r="B1458" s="2"/>
      <c r="C1458" s="90"/>
      <c r="D1458" s="274"/>
      <c r="E1458" s="266"/>
      <c r="F1458" s="187"/>
      <c r="G1458" s="187"/>
      <c r="H1458" s="187"/>
      <c r="I1458" s="164"/>
      <c r="J1458" s="266"/>
      <c r="K1458" s="733"/>
      <c r="L1458" s="758"/>
      <c r="M1458" s="734"/>
      <c r="N1458" s="734"/>
      <c r="O1458" s="699" t="str">
        <f>I1458/VLOOKUP(K1458,Sheet1!$D$7:$N$16,G1458+1,FALSE)</f>
        <v>#N/A</v>
      </c>
      <c r="P1458" s="684" t="str">
        <f t="shared" si="53"/>
        <v>#REF!</v>
      </c>
      <c r="Q1458" s="697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</row>
    <row r="1459" ht="3.75" customHeight="1">
      <c r="A1459" s="90"/>
      <c r="B1459" s="2"/>
      <c r="C1459" s="90"/>
      <c r="D1459" s="90"/>
      <c r="E1459" s="156"/>
      <c r="F1459" s="102"/>
      <c r="G1459" s="102"/>
      <c r="H1459" s="102"/>
      <c r="I1459" s="102"/>
      <c r="J1459" s="156"/>
      <c r="K1459" s="720"/>
      <c r="L1459" s="754"/>
      <c r="M1459" s="201"/>
      <c r="N1459" s="201"/>
      <c r="O1459" s="699"/>
      <c r="P1459" s="684" t="str">
        <f t="shared" si="53"/>
        <v>#REF!</v>
      </c>
      <c r="Q1459" s="720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</row>
    <row r="1460" ht="30.0" customHeight="1">
      <c r="A1460" s="90"/>
      <c r="B1460" s="2"/>
      <c r="C1460" s="90"/>
      <c r="D1460" s="686" t="s">
        <v>279</v>
      </c>
      <c r="E1460" s="255" t="s">
        <v>15</v>
      </c>
      <c r="F1460" s="721" t="s">
        <v>16</v>
      </c>
      <c r="G1460" s="722" t="s">
        <v>17</v>
      </c>
      <c r="H1460" s="723"/>
      <c r="I1460" s="724"/>
      <c r="J1460" s="725" t="s">
        <v>241</v>
      </c>
      <c r="K1460" s="691"/>
      <c r="L1460" s="755"/>
      <c r="M1460" s="692"/>
      <c r="N1460" s="692"/>
      <c r="O1460" s="699"/>
      <c r="P1460" s="684"/>
      <c r="Q1460" s="693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</row>
    <row r="1461" ht="14.25" customHeight="1">
      <c r="A1461" s="90"/>
      <c r="B1461" s="2"/>
      <c r="C1461" s="90"/>
      <c r="D1461" s="257" t="s">
        <v>25</v>
      </c>
      <c r="E1461" s="258" t="s">
        <v>26</v>
      </c>
      <c r="F1461" s="680"/>
      <c r="G1461" s="681"/>
      <c r="H1461" s="723"/>
      <c r="I1461" s="681"/>
      <c r="J1461" s="725" t="s">
        <v>244</v>
      </c>
      <c r="K1461" s="697"/>
      <c r="L1461" s="755"/>
      <c r="M1461" s="692"/>
      <c r="N1461" s="692"/>
      <c r="O1461" s="699"/>
      <c r="P1461" s="684"/>
      <c r="Q1461" s="698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</row>
    <row r="1462" ht="3.75" customHeight="1">
      <c r="A1462" s="191"/>
      <c r="B1462" s="719"/>
      <c r="C1462" s="192"/>
      <c r="D1462" s="203"/>
      <c r="E1462" s="203"/>
      <c r="F1462" s="726"/>
      <c r="G1462" s="726"/>
      <c r="H1462" s="726"/>
      <c r="I1462" s="727"/>
      <c r="J1462" s="728"/>
      <c r="K1462" s="192"/>
      <c r="L1462" s="756"/>
      <c r="M1462" s="194"/>
      <c r="N1462" s="194"/>
      <c r="O1462" s="699" t="str">
        <f>I1462/VLOOKUP(K1462,Sheet1!$D$7:$N$16,G1462+1,FALSE)</f>
        <v>#N/A</v>
      </c>
      <c r="P1462" s="684" t="str">
        <f t="shared" ref="P1462:P1482" si="54">I1462-#REF!</f>
        <v>#REF!</v>
      </c>
      <c r="Q1462" s="192"/>
      <c r="R1462" s="158"/>
      <c r="S1462" s="158"/>
      <c r="T1462" s="158"/>
      <c r="U1462" s="158"/>
      <c r="V1462" s="158"/>
      <c r="W1462" s="158"/>
      <c r="X1462" s="158"/>
      <c r="Y1462" s="158"/>
      <c r="Z1462" s="158"/>
      <c r="AA1462" s="158"/>
      <c r="AB1462" s="158"/>
      <c r="AC1462" s="158"/>
      <c r="AD1462" s="158"/>
      <c r="AE1462" s="158"/>
      <c r="AF1462" s="158"/>
    </row>
    <row r="1463" ht="15.75" customHeight="1">
      <c r="A1463" s="124"/>
      <c r="B1463" s="2"/>
      <c r="C1463" s="124"/>
      <c r="D1463" s="185" t="s">
        <v>6</v>
      </c>
      <c r="E1463" s="260"/>
      <c r="F1463" s="187">
        <v>1.0</v>
      </c>
      <c r="G1463" s="187">
        <v>4.0</v>
      </c>
      <c r="H1463" s="187"/>
      <c r="I1463" s="164">
        <v>205.0</v>
      </c>
      <c r="J1463" s="266">
        <v>6.0</v>
      </c>
      <c r="K1463" s="164">
        <v>7.0</v>
      </c>
      <c r="L1463" s="759"/>
      <c r="M1463" s="164"/>
      <c r="N1463" s="164"/>
      <c r="O1463" s="699">
        <f>I1463/VLOOKUP(K1463,Sheet1!$D$7:$N$16,G1463+1,FALSE)</f>
        <v>251.5337423</v>
      </c>
      <c r="P1463" s="684" t="str">
        <f t="shared" si="54"/>
        <v>#REF!</v>
      </c>
      <c r="Q1463" s="700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</row>
    <row r="1464" ht="3.75" customHeight="1">
      <c r="A1464" s="124"/>
      <c r="B1464" s="2"/>
      <c r="C1464" s="124"/>
      <c r="D1464" s="138"/>
      <c r="E1464" s="252"/>
      <c r="F1464" s="140"/>
      <c r="G1464" s="140"/>
      <c r="H1464" s="140"/>
      <c r="I1464" s="701"/>
      <c r="J1464" s="141"/>
      <c r="K1464" s="164"/>
      <c r="L1464" s="759"/>
      <c r="M1464" s="164"/>
      <c r="N1464" s="164"/>
      <c r="O1464" s="699" t="str">
        <f>I1464/VLOOKUP(K1464,Sheet1!$D$7:$N$16,G1464+1,FALSE)</f>
        <v>#N/A</v>
      </c>
      <c r="P1464" s="684" t="str">
        <f t="shared" si="54"/>
        <v>#REF!</v>
      </c>
      <c r="Q1464" s="702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</row>
    <row r="1465" ht="15.0" customHeight="1">
      <c r="A1465" s="124"/>
      <c r="B1465" s="2"/>
      <c r="C1465" s="124"/>
      <c r="D1465" s="704" t="s">
        <v>6</v>
      </c>
      <c r="E1465" s="260"/>
      <c r="F1465" s="187">
        <v>3.0</v>
      </c>
      <c r="G1465" s="187">
        <v>4.0</v>
      </c>
      <c r="H1465" s="187"/>
      <c r="I1465" s="164">
        <v>185.0</v>
      </c>
      <c r="J1465" s="706">
        <v>-0.1</v>
      </c>
      <c r="K1465" s="164">
        <v>6.0</v>
      </c>
      <c r="L1465" s="759"/>
      <c r="M1465" s="164"/>
      <c r="N1465" s="164"/>
      <c r="O1465" s="699">
        <f>I1465/VLOOKUP(K1465,Sheet1!$D$7:$N$16,G1465+1,FALSE)</f>
        <v>234.1772152</v>
      </c>
      <c r="P1465" s="684" t="str">
        <f t="shared" si="54"/>
        <v>#REF!</v>
      </c>
      <c r="Q1465" s="702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</row>
    <row r="1466" ht="3.75" customHeight="1">
      <c r="A1466" s="124"/>
      <c r="B1466" s="2"/>
      <c r="C1466" s="124"/>
      <c r="D1466" s="138"/>
      <c r="E1466" s="252"/>
      <c r="F1466" s="102"/>
      <c r="G1466" s="102"/>
      <c r="H1466" s="102"/>
      <c r="I1466" s="247"/>
      <c r="J1466" s="156"/>
      <c r="K1466" s="164"/>
      <c r="L1466" s="759"/>
      <c r="M1466" s="164"/>
      <c r="N1466" s="164"/>
      <c r="O1466" s="699" t="str">
        <f>I1466/VLOOKUP(K1466,Sheet1!$D$7:$N$16,G1466+1,FALSE)</f>
        <v>#N/A</v>
      </c>
      <c r="P1466" s="684" t="str">
        <f t="shared" si="54"/>
        <v>#REF!</v>
      </c>
      <c r="Q1466" s="702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</row>
    <row r="1467" ht="15.75" hidden="1" customHeight="1">
      <c r="A1467" s="124"/>
      <c r="B1467" s="2"/>
      <c r="C1467" s="124"/>
      <c r="D1467" s="704"/>
      <c r="E1467" s="260"/>
      <c r="F1467" s="187"/>
      <c r="G1467" s="187"/>
      <c r="H1467" s="187"/>
      <c r="I1467" s="164"/>
      <c r="J1467" s="706"/>
      <c r="K1467" s="164"/>
      <c r="L1467" s="759"/>
      <c r="M1467" s="164"/>
      <c r="N1467" s="164"/>
      <c r="O1467" s="699" t="str">
        <f>I1467/VLOOKUP(K1467,Sheet1!$D$7:$N$16,G1467+1,FALSE)</f>
        <v>#N/A</v>
      </c>
      <c r="P1467" s="684" t="str">
        <f t="shared" si="54"/>
        <v>#REF!</v>
      </c>
      <c r="Q1467" s="702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</row>
    <row r="1468" ht="3.75" hidden="1" customHeight="1">
      <c r="A1468" s="124"/>
      <c r="B1468" s="2"/>
      <c r="C1468" s="124"/>
      <c r="D1468" s="138"/>
      <c r="E1468" s="252"/>
      <c r="F1468" s="102"/>
      <c r="G1468" s="102"/>
      <c r="H1468" s="102"/>
      <c r="I1468" s="247"/>
      <c r="J1468" s="156"/>
      <c r="K1468" s="164"/>
      <c r="L1468" s="759"/>
      <c r="M1468" s="164"/>
      <c r="N1468" s="164"/>
      <c r="O1468" s="699" t="str">
        <f>I1468/VLOOKUP(K1468,Sheet1!$D$7:$N$16,G1468+1,FALSE)</f>
        <v>#N/A</v>
      </c>
      <c r="P1468" s="684" t="str">
        <f t="shared" si="54"/>
        <v>#REF!</v>
      </c>
      <c r="Q1468" s="702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</row>
    <row r="1469" ht="15.75" customHeight="1">
      <c r="A1469" s="124"/>
      <c r="B1469" s="2"/>
      <c r="C1469" s="124"/>
      <c r="D1469" s="185" t="s">
        <v>292</v>
      </c>
      <c r="E1469" s="224"/>
      <c r="F1469" s="187">
        <v>4.0</v>
      </c>
      <c r="G1469" s="187">
        <v>4.0</v>
      </c>
      <c r="H1469" s="187"/>
      <c r="I1469" s="164">
        <v>127.5</v>
      </c>
      <c r="J1469" s="266"/>
      <c r="K1469" s="164">
        <v>6.0</v>
      </c>
      <c r="L1469" s="759"/>
      <c r="M1469" s="164"/>
      <c r="N1469" s="164"/>
      <c r="O1469" s="699">
        <f>I1469/VLOOKUP(K1469,Sheet1!$D$7:$N$16,G1469+1,FALSE)</f>
        <v>161.3924051</v>
      </c>
      <c r="P1469" s="684" t="str">
        <f t="shared" si="54"/>
        <v>#REF!</v>
      </c>
      <c r="Q1469" s="702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</row>
    <row r="1470" ht="3.75" customHeight="1">
      <c r="A1470" s="90"/>
      <c r="B1470" s="2"/>
      <c r="C1470" s="90"/>
      <c r="D1470" s="138"/>
      <c r="E1470" s="252"/>
      <c r="F1470" s="102"/>
      <c r="G1470" s="102"/>
      <c r="H1470" s="102"/>
      <c r="I1470" s="247"/>
      <c r="J1470" s="156"/>
      <c r="K1470" s="164"/>
      <c r="L1470" s="759"/>
      <c r="M1470" s="164"/>
      <c r="N1470" s="164"/>
      <c r="O1470" s="699" t="str">
        <f>I1470/VLOOKUP(K1470,Sheet1!$D$7:$N$16,G1470+1,FALSE)</f>
        <v>#N/A</v>
      </c>
      <c r="P1470" s="684" t="str">
        <f t="shared" si="54"/>
        <v>#REF!</v>
      </c>
      <c r="Q1470" s="702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</row>
    <row r="1471" ht="15.75" customHeight="1">
      <c r="A1471" s="90"/>
      <c r="B1471" s="2"/>
      <c r="C1471" s="90"/>
      <c r="D1471" s="185"/>
      <c r="E1471" s="260"/>
      <c r="F1471" s="187"/>
      <c r="G1471" s="187"/>
      <c r="H1471" s="187"/>
      <c r="I1471" s="164"/>
      <c r="J1471" s="706"/>
      <c r="K1471" s="164"/>
      <c r="L1471" s="759"/>
      <c r="M1471" s="164"/>
      <c r="N1471" s="164"/>
      <c r="O1471" s="699" t="str">
        <f>I1471/VLOOKUP(K1471,Sheet1!$D$7:$N$16,G1471+1,FALSE)</f>
        <v>#N/A</v>
      </c>
      <c r="P1471" s="684" t="str">
        <f t="shared" si="54"/>
        <v>#REF!</v>
      </c>
      <c r="Q1471" s="702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</row>
    <row r="1472" ht="3.75" customHeight="1">
      <c r="A1472" s="191"/>
      <c r="B1472" s="719"/>
      <c r="C1472" s="192"/>
      <c r="D1472" s="138"/>
      <c r="E1472" s="252"/>
      <c r="F1472" s="102"/>
      <c r="G1472" s="102"/>
      <c r="H1472" s="102"/>
      <c r="I1472" s="247"/>
      <c r="J1472" s="156"/>
      <c r="K1472" s="164"/>
      <c r="L1472" s="759"/>
      <c r="M1472" s="164"/>
      <c r="N1472" s="164"/>
      <c r="O1472" s="699" t="str">
        <f>I1472/VLOOKUP(K1472,Sheet1!$D$7:$N$16,G1472+1,FALSE)</f>
        <v>#N/A</v>
      </c>
      <c r="P1472" s="684" t="str">
        <f t="shared" si="54"/>
        <v>#REF!</v>
      </c>
      <c r="Q1472" s="702"/>
      <c r="R1472" s="158"/>
      <c r="S1472" s="158"/>
      <c r="T1472" s="158"/>
      <c r="U1472" s="158"/>
      <c r="V1472" s="158"/>
      <c r="W1472" s="158"/>
      <c r="X1472" s="158"/>
      <c r="Y1472" s="158"/>
      <c r="Z1472" s="158"/>
      <c r="AA1472" s="158"/>
      <c r="AB1472" s="158"/>
      <c r="AC1472" s="158"/>
      <c r="AD1472" s="158"/>
      <c r="AE1472" s="158"/>
      <c r="AF1472" s="158"/>
    </row>
    <row r="1473" ht="15.75" customHeight="1">
      <c r="A1473" s="90"/>
      <c r="B1473" s="2"/>
      <c r="C1473" s="90"/>
      <c r="D1473" s="185" t="s">
        <v>259</v>
      </c>
      <c r="E1473" s="260"/>
      <c r="F1473" s="187">
        <v>3.0</v>
      </c>
      <c r="G1473" s="731" t="s">
        <v>260</v>
      </c>
      <c r="H1473" s="187"/>
      <c r="I1473" s="164"/>
      <c r="J1473" s="266">
        <v>7.0</v>
      </c>
      <c r="K1473" s="164">
        <v>8.0</v>
      </c>
      <c r="L1473" s="759"/>
      <c r="M1473" s="164"/>
      <c r="N1473" s="164"/>
      <c r="O1473" s="699" t="str">
        <f>I1473/VLOOKUP(K1473,Sheet1!$D$7:$N$16,G1473+1,FALSE)</f>
        <v>#REF!</v>
      </c>
      <c r="P1473" s="684" t="str">
        <f t="shared" si="54"/>
        <v>#REF!</v>
      </c>
      <c r="Q1473" s="702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</row>
    <row r="1474" ht="3.75" customHeight="1">
      <c r="A1474" s="90"/>
      <c r="B1474" s="2"/>
      <c r="C1474" s="90"/>
      <c r="D1474" s="138"/>
      <c r="E1474" s="252"/>
      <c r="F1474" s="102"/>
      <c r="G1474" s="102"/>
      <c r="H1474" s="102"/>
      <c r="I1474" s="247"/>
      <c r="J1474" s="156"/>
      <c r="K1474" s="164"/>
      <c r="L1474" s="759"/>
      <c r="M1474" s="164"/>
      <c r="N1474" s="164"/>
      <c r="O1474" s="699" t="str">
        <f>I1474/VLOOKUP(K1474,Sheet1!$D$7:$N$16,G1474+1,FALSE)</f>
        <v>#N/A</v>
      </c>
      <c r="P1474" s="684" t="str">
        <f t="shared" si="54"/>
        <v>#REF!</v>
      </c>
      <c r="Q1474" s="702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</row>
    <row r="1475" ht="15.75" customHeight="1">
      <c r="A1475" s="90"/>
      <c r="B1475" s="2"/>
      <c r="C1475" s="90"/>
      <c r="D1475" s="185" t="s">
        <v>263</v>
      </c>
      <c r="E1475" s="260"/>
      <c r="F1475" s="187">
        <v>2.0</v>
      </c>
      <c r="G1475" s="187">
        <v>15.0</v>
      </c>
      <c r="H1475" s="187"/>
      <c r="I1475" s="247"/>
      <c r="J1475" s="266">
        <v>8.0</v>
      </c>
      <c r="K1475" s="164">
        <v>6.0</v>
      </c>
      <c r="L1475" s="759"/>
      <c r="M1475" s="164"/>
      <c r="N1475" s="164"/>
      <c r="O1475" s="699" t="str">
        <f>I1475/VLOOKUP(K1475,Sheet1!$D$7:$N$16,G1475+1,FALSE)</f>
        <v>#REF!</v>
      </c>
      <c r="P1475" s="684" t="str">
        <f t="shared" si="54"/>
        <v>#REF!</v>
      </c>
      <c r="Q1475" s="702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</row>
    <row r="1476" ht="3.75" customHeight="1">
      <c r="A1476" s="90"/>
      <c r="B1476" s="2"/>
      <c r="C1476" s="90"/>
      <c r="D1476" s="138"/>
      <c r="E1476" s="252"/>
      <c r="F1476" s="102"/>
      <c r="G1476" s="102"/>
      <c r="H1476" s="102"/>
      <c r="I1476" s="247"/>
      <c r="J1476" s="156"/>
      <c r="K1476" s="164"/>
      <c r="L1476" s="759"/>
      <c r="M1476" s="164"/>
      <c r="N1476" s="164"/>
      <c r="O1476" s="699" t="str">
        <f>I1476/VLOOKUP(K1476,Sheet1!$D$7:$N$16,G1476+1,FALSE)</f>
        <v>#N/A</v>
      </c>
      <c r="P1476" s="684" t="str">
        <f t="shared" si="54"/>
        <v>#REF!</v>
      </c>
      <c r="Q1476" s="702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</row>
    <row r="1477" ht="15.75" hidden="1" customHeight="1">
      <c r="A1477" s="90"/>
      <c r="B1477" s="2"/>
      <c r="C1477" s="90"/>
      <c r="D1477" s="185"/>
      <c r="E1477" s="260"/>
      <c r="F1477" s="187"/>
      <c r="G1477" s="187"/>
      <c r="H1477" s="187"/>
      <c r="I1477" s="247"/>
      <c r="J1477" s="266"/>
      <c r="K1477" s="164"/>
      <c r="L1477" s="759"/>
      <c r="M1477" s="164"/>
      <c r="N1477" s="164"/>
      <c r="O1477" s="699" t="str">
        <f>I1477/VLOOKUP(K1477,Sheet1!$D$7:$N$16,G1477+1,FALSE)</f>
        <v>#N/A</v>
      </c>
      <c r="P1477" s="684" t="str">
        <f t="shared" si="54"/>
        <v>#REF!</v>
      </c>
      <c r="Q1477" s="702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</row>
    <row r="1478" ht="3.75" hidden="1" customHeight="1">
      <c r="A1478" s="90"/>
      <c r="B1478" s="2"/>
      <c r="C1478" s="90"/>
      <c r="D1478" s="138"/>
      <c r="E1478" s="252"/>
      <c r="F1478" s="102"/>
      <c r="G1478" s="102"/>
      <c r="H1478" s="102"/>
      <c r="I1478" s="247"/>
      <c r="J1478" s="156"/>
      <c r="K1478" s="164"/>
      <c r="L1478" s="759"/>
      <c r="M1478" s="164"/>
      <c r="N1478" s="164"/>
      <c r="O1478" s="699" t="str">
        <f>I1478/VLOOKUP(K1478,Sheet1!$D$7:$N$16,G1478+1,FALSE)</f>
        <v>#N/A</v>
      </c>
      <c r="P1478" s="684" t="str">
        <f t="shared" si="54"/>
        <v>#REF!</v>
      </c>
      <c r="Q1478" s="702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</row>
    <row r="1479" ht="15.75" hidden="1" customHeight="1">
      <c r="A1479" s="90"/>
      <c r="B1479" s="2"/>
      <c r="C1479" s="90"/>
      <c r="D1479" s="185"/>
      <c r="E1479" s="260"/>
      <c r="F1479" s="187"/>
      <c r="G1479" s="187"/>
      <c r="H1479" s="187"/>
      <c r="I1479" s="247"/>
      <c r="J1479" s="266"/>
      <c r="K1479" s="164"/>
      <c r="L1479" s="759"/>
      <c r="M1479" s="164"/>
      <c r="N1479" s="164"/>
      <c r="O1479" s="699" t="str">
        <f>I1479/VLOOKUP(K1479,Sheet1!$D$7:$N$16,G1479+1,FALSE)</f>
        <v>#N/A</v>
      </c>
      <c r="P1479" s="684" t="str">
        <f t="shared" si="54"/>
        <v>#REF!</v>
      </c>
      <c r="Q1479" s="702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</row>
    <row r="1480" ht="3.75" customHeight="1">
      <c r="A1480" s="90"/>
      <c r="B1480" s="2"/>
      <c r="C1480" s="90"/>
      <c r="D1480" s="138"/>
      <c r="E1480" s="252"/>
      <c r="F1480" s="102"/>
      <c r="G1480" s="102"/>
      <c r="H1480" s="102"/>
      <c r="I1480" s="247"/>
      <c r="J1480" s="156"/>
      <c r="K1480" s="164"/>
      <c r="L1480" s="759"/>
      <c r="M1480" s="164"/>
      <c r="N1480" s="164"/>
      <c r="O1480" s="699" t="str">
        <f>I1480/VLOOKUP(K1480,Sheet1!$D$7:$N$16,G1480+1,FALSE)</f>
        <v>#N/A</v>
      </c>
      <c r="P1480" s="684" t="str">
        <f t="shared" si="54"/>
        <v>#REF!</v>
      </c>
      <c r="Q1480" s="702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</row>
    <row r="1481" ht="15.75" hidden="1" customHeight="1">
      <c r="A1481" s="90"/>
      <c r="B1481" s="2"/>
      <c r="C1481" s="90"/>
      <c r="D1481" s="185"/>
      <c r="E1481" s="266"/>
      <c r="F1481" s="187"/>
      <c r="G1481" s="187"/>
      <c r="H1481" s="187"/>
      <c r="I1481" s="164"/>
      <c r="J1481" s="266"/>
      <c r="K1481" s="164"/>
      <c r="L1481" s="759"/>
      <c r="M1481" s="164"/>
      <c r="N1481" s="164"/>
      <c r="O1481" s="699" t="str">
        <f>I1481/VLOOKUP(K1481,Sheet1!$D$7:$N$16,G1481+1,FALSE)</f>
        <v>#N/A</v>
      </c>
      <c r="P1481" s="684" t="str">
        <f t="shared" si="54"/>
        <v>#REF!</v>
      </c>
      <c r="Q1481" s="697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</row>
    <row r="1482" ht="3.75" customHeight="1">
      <c r="A1482" s="124"/>
      <c r="B1482" s="2"/>
      <c r="C1482" s="124"/>
      <c r="D1482" s="252"/>
      <c r="E1482" s="252"/>
      <c r="F1482" s="102"/>
      <c r="G1482" s="102"/>
      <c r="H1482" s="102"/>
      <c r="I1482" s="102"/>
      <c r="J1482" s="156"/>
      <c r="K1482" s="259"/>
      <c r="L1482" s="754"/>
      <c r="M1482" s="201"/>
      <c r="N1482" s="201"/>
      <c r="O1482" s="699" t="str">
        <f>I1482/VLOOKUP(K1482,Sheet1!$D$7:$N$16,G1482+1,FALSE)</f>
        <v>#N/A</v>
      </c>
      <c r="P1482" s="684" t="str">
        <f t="shared" si="54"/>
        <v>#REF!</v>
      </c>
      <c r="Q1482" s="259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</row>
    <row r="1483" ht="30.75" customHeight="1">
      <c r="A1483" s="90"/>
      <c r="B1483" s="2"/>
      <c r="C1483" s="90"/>
      <c r="D1483" s="686" t="s">
        <v>280</v>
      </c>
      <c r="E1483" s="255" t="s">
        <v>15</v>
      </c>
      <c r="F1483" s="721" t="s">
        <v>16</v>
      </c>
      <c r="G1483" s="722" t="s">
        <v>17</v>
      </c>
      <c r="H1483" s="723"/>
      <c r="I1483" s="724"/>
      <c r="J1483" s="725" t="s">
        <v>241</v>
      </c>
      <c r="K1483" s="691"/>
      <c r="L1483" s="755"/>
      <c r="M1483" s="692"/>
      <c r="N1483" s="692"/>
      <c r="O1483" s="699"/>
      <c r="P1483" s="684"/>
      <c r="Q1483" s="693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</row>
    <row r="1484" ht="14.25" customHeight="1">
      <c r="A1484" s="90"/>
      <c r="B1484" s="2"/>
      <c r="C1484" s="90"/>
      <c r="D1484" s="257" t="s">
        <v>25</v>
      </c>
      <c r="E1484" s="258" t="s">
        <v>26</v>
      </c>
      <c r="F1484" s="680"/>
      <c r="G1484" s="681"/>
      <c r="H1484" s="723"/>
      <c r="I1484" s="681"/>
      <c r="J1484" s="725" t="s">
        <v>244</v>
      </c>
      <c r="K1484" s="697"/>
      <c r="L1484" s="755"/>
      <c r="M1484" s="692"/>
      <c r="N1484" s="692"/>
      <c r="O1484" s="699"/>
      <c r="P1484" s="684"/>
      <c r="Q1484" s="698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</row>
    <row r="1485" ht="3.75" customHeight="1">
      <c r="A1485" s="124"/>
      <c r="B1485" s="2"/>
      <c r="C1485" s="124"/>
      <c r="D1485" s="252"/>
      <c r="E1485" s="252"/>
      <c r="F1485" s="102"/>
      <c r="G1485" s="102"/>
      <c r="H1485" s="102"/>
      <c r="I1485" s="102"/>
      <c r="J1485" s="156"/>
      <c r="K1485" s="259"/>
      <c r="L1485" s="754"/>
      <c r="M1485" s="201"/>
      <c r="N1485" s="201"/>
      <c r="O1485" s="699" t="str">
        <f>I1485/VLOOKUP(K1485,Sheet1!$D$7:$N$16,G1485+1,FALSE)</f>
        <v>#N/A</v>
      </c>
      <c r="P1485" s="684" t="str">
        <f t="shared" ref="P1485:P1498" si="55">I1485-#REF!</f>
        <v>#REF!</v>
      </c>
      <c r="Q1485" s="259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</row>
    <row r="1486" ht="14.25" hidden="1" customHeight="1">
      <c r="A1486" s="124"/>
      <c r="B1486" s="2"/>
      <c r="C1486" s="124"/>
      <c r="D1486" s="185"/>
      <c r="E1486" s="260"/>
      <c r="F1486" s="187"/>
      <c r="G1486" s="187"/>
      <c r="H1486" s="187"/>
      <c r="I1486" s="164"/>
      <c r="J1486" s="266"/>
      <c r="K1486" s="164"/>
      <c r="L1486" s="759"/>
      <c r="M1486" s="164"/>
      <c r="N1486" s="164"/>
      <c r="O1486" s="699" t="str">
        <f>I1486/VLOOKUP(K1486,Sheet1!$D$7:$N$16,G1486+1,FALSE)</f>
        <v>#N/A</v>
      </c>
      <c r="P1486" s="684" t="str">
        <f t="shared" si="55"/>
        <v>#REF!</v>
      </c>
      <c r="Q1486" s="736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</row>
    <row r="1487" ht="3.75" customHeight="1">
      <c r="A1487" s="124"/>
      <c r="B1487" s="2"/>
      <c r="C1487" s="124"/>
      <c r="D1487" s="138"/>
      <c r="E1487" s="252"/>
      <c r="F1487" s="102"/>
      <c r="G1487" s="102"/>
      <c r="H1487" s="102"/>
      <c r="I1487" s="247"/>
      <c r="J1487" s="156"/>
      <c r="K1487" s="164"/>
      <c r="L1487" s="759"/>
      <c r="M1487" s="164"/>
      <c r="N1487" s="164"/>
      <c r="O1487" s="699" t="str">
        <f>I1487/VLOOKUP(K1487,Sheet1!$D$7:$N$16,G1487+1,FALSE)</f>
        <v>#N/A</v>
      </c>
      <c r="P1487" s="684" t="str">
        <f t="shared" si="55"/>
        <v>#REF!</v>
      </c>
      <c r="Q1487" s="702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</row>
    <row r="1488" ht="14.25" customHeight="1">
      <c r="A1488" s="124"/>
      <c r="B1488" s="2"/>
      <c r="C1488" s="124"/>
      <c r="D1488" s="185" t="s">
        <v>10</v>
      </c>
      <c r="E1488" s="260"/>
      <c r="F1488" s="187">
        <v>1.0</v>
      </c>
      <c r="G1488" s="187">
        <v>3.0</v>
      </c>
      <c r="H1488" s="187"/>
      <c r="I1488" s="164">
        <v>270.0</v>
      </c>
      <c r="J1488" s="266">
        <v>6.5</v>
      </c>
      <c r="K1488" s="164">
        <v>6.5</v>
      </c>
      <c r="L1488" s="759"/>
      <c r="M1488" s="164"/>
      <c r="N1488" s="164"/>
      <c r="O1488" s="699">
        <f>I1488/VLOOKUP(K1488,Sheet1!$D$7:$N$16,G1488+1,FALSE)</f>
        <v>326.2839879</v>
      </c>
      <c r="P1488" s="684" t="str">
        <f t="shared" si="55"/>
        <v>#REF!</v>
      </c>
      <c r="Q1488" s="702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</row>
    <row r="1489" ht="3.75" customHeight="1">
      <c r="A1489" s="124"/>
      <c r="B1489" s="2"/>
      <c r="C1489" s="124"/>
      <c r="D1489" s="138"/>
      <c r="E1489" s="252"/>
      <c r="F1489" s="102"/>
      <c r="G1489" s="102"/>
      <c r="H1489" s="102"/>
      <c r="I1489" s="247"/>
      <c r="J1489" s="156"/>
      <c r="K1489" s="164"/>
      <c r="L1489" s="759"/>
      <c r="M1489" s="164"/>
      <c r="N1489" s="164"/>
      <c r="O1489" s="699" t="str">
        <f>I1489/VLOOKUP(K1489,Sheet1!$D$7:$N$16,G1489+1,FALSE)</f>
        <v>#N/A</v>
      </c>
      <c r="P1489" s="684" t="str">
        <f t="shared" si="55"/>
        <v>#REF!</v>
      </c>
      <c r="Q1489" s="702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</row>
    <row r="1490" ht="14.25" customHeight="1">
      <c r="A1490" s="124"/>
      <c r="B1490" s="2"/>
      <c r="C1490" s="124"/>
      <c r="D1490" s="185" t="s">
        <v>10</v>
      </c>
      <c r="E1490" s="260"/>
      <c r="F1490" s="187">
        <v>4.0</v>
      </c>
      <c r="G1490" s="187">
        <v>3.0</v>
      </c>
      <c r="H1490" s="187"/>
      <c r="I1490" s="164">
        <v>242.5</v>
      </c>
      <c r="J1490" s="706">
        <v>-0.1</v>
      </c>
      <c r="K1490" s="164">
        <v>6.0</v>
      </c>
      <c r="L1490" s="759"/>
      <c r="M1490" s="164"/>
      <c r="N1490" s="164"/>
      <c r="O1490" s="699">
        <f>I1490/VLOOKUP(K1490,Sheet1!$D$7:$N$16,G1490+1,FALSE)</f>
        <v>297.5460123</v>
      </c>
      <c r="P1490" s="684" t="str">
        <f t="shared" si="55"/>
        <v>#REF!</v>
      </c>
      <c r="Q1490" s="702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</row>
    <row r="1491" ht="3.75" customHeight="1">
      <c r="A1491" s="124"/>
      <c r="B1491" s="2"/>
      <c r="C1491" s="124"/>
      <c r="D1491" s="138"/>
      <c r="E1491" s="252"/>
      <c r="F1491" s="102"/>
      <c r="G1491" s="102"/>
      <c r="H1491" s="102"/>
      <c r="I1491" s="247"/>
      <c r="J1491" s="156"/>
      <c r="K1491" s="164"/>
      <c r="L1491" s="759"/>
      <c r="M1491" s="164"/>
      <c r="N1491" s="164"/>
      <c r="O1491" s="699" t="str">
        <f>I1491/VLOOKUP(K1491,Sheet1!$D$7:$N$16,G1491+1,FALSE)</f>
        <v>#N/A</v>
      </c>
      <c r="P1491" s="684" t="str">
        <f t="shared" si="55"/>
        <v>#REF!</v>
      </c>
      <c r="Q1491" s="702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</row>
    <row r="1492" ht="14.25" hidden="1" customHeight="1">
      <c r="A1492" s="124"/>
      <c r="B1492" s="2"/>
      <c r="C1492" s="124"/>
      <c r="D1492" s="185"/>
      <c r="E1492" s="260"/>
      <c r="F1492" s="187"/>
      <c r="G1492" s="187"/>
      <c r="H1492" s="187"/>
      <c r="I1492" s="164"/>
      <c r="J1492" s="266"/>
      <c r="K1492" s="164"/>
      <c r="L1492" s="759"/>
      <c r="M1492" s="164"/>
      <c r="N1492" s="164"/>
      <c r="O1492" s="699" t="str">
        <f>I1492/VLOOKUP(K1492,Sheet1!$D$7:$N$16,G1492+1,FALSE)</f>
        <v>#N/A</v>
      </c>
      <c r="P1492" s="684" t="str">
        <f t="shared" si="55"/>
        <v>#REF!</v>
      </c>
      <c r="Q1492" s="702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</row>
    <row r="1493" ht="3.75" hidden="1" customHeight="1">
      <c r="A1493" s="124"/>
      <c r="B1493" s="2"/>
      <c r="C1493" s="124"/>
      <c r="D1493" s="138"/>
      <c r="E1493" s="252"/>
      <c r="F1493" s="102"/>
      <c r="G1493" s="102"/>
      <c r="H1493" s="102"/>
      <c r="I1493" s="247"/>
      <c r="J1493" s="156"/>
      <c r="K1493" s="164"/>
      <c r="L1493" s="759"/>
      <c r="M1493" s="164"/>
      <c r="N1493" s="164"/>
      <c r="O1493" s="699" t="str">
        <f>I1493/VLOOKUP(K1493,Sheet1!$D$7:$N$16,G1493+1,FALSE)</f>
        <v>#N/A</v>
      </c>
      <c r="P1493" s="684" t="str">
        <f t="shared" si="55"/>
        <v>#REF!</v>
      </c>
      <c r="Q1493" s="702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</row>
    <row r="1494" ht="14.25" customHeight="1">
      <c r="A1494" s="124"/>
      <c r="B1494" s="2"/>
      <c r="C1494" s="124"/>
      <c r="D1494" s="185" t="s">
        <v>51</v>
      </c>
      <c r="E1494" s="260"/>
      <c r="F1494" s="187">
        <v>1.0</v>
      </c>
      <c r="G1494" s="187">
        <v>2.0</v>
      </c>
      <c r="H1494" s="187"/>
      <c r="I1494" s="164">
        <v>155.0</v>
      </c>
      <c r="J1494" s="266">
        <v>6.5</v>
      </c>
      <c r="K1494" s="164">
        <v>6.5</v>
      </c>
      <c r="L1494" s="759"/>
      <c r="M1494" s="164"/>
      <c r="N1494" s="164"/>
      <c r="O1494" s="699">
        <f>I1494/VLOOKUP(K1494,Sheet1!$D$7:$N$16,G1494+1,FALSE)</f>
        <v>181.8181818</v>
      </c>
      <c r="P1494" s="684" t="str">
        <f t="shared" si="55"/>
        <v>#REF!</v>
      </c>
      <c r="Q1494" s="702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</row>
    <row r="1495" ht="3.75" customHeight="1">
      <c r="A1495" s="261"/>
      <c r="B1495" s="719"/>
      <c r="C1495" s="262"/>
      <c r="D1495" s="138"/>
      <c r="E1495" s="252"/>
      <c r="F1495" s="102"/>
      <c r="G1495" s="102"/>
      <c r="H1495" s="102"/>
      <c r="I1495" s="247"/>
      <c r="J1495" s="156"/>
      <c r="K1495" s="164"/>
      <c r="L1495" s="759"/>
      <c r="M1495" s="164"/>
      <c r="N1495" s="164"/>
      <c r="O1495" s="699"/>
      <c r="P1495" s="684" t="str">
        <f t="shared" si="55"/>
        <v>#REF!</v>
      </c>
      <c r="Q1495" s="702"/>
      <c r="R1495" s="158"/>
      <c r="S1495" s="158"/>
      <c r="T1495" s="158"/>
      <c r="U1495" s="158"/>
      <c r="V1495" s="158"/>
      <c r="W1495" s="158"/>
      <c r="X1495" s="158"/>
      <c r="Y1495" s="158"/>
      <c r="Z1495" s="158"/>
      <c r="AA1495" s="158"/>
      <c r="AB1495" s="158"/>
      <c r="AC1495" s="158"/>
      <c r="AD1495" s="158"/>
      <c r="AE1495" s="158"/>
      <c r="AF1495" s="158"/>
    </row>
    <row r="1496" ht="14.25" customHeight="1">
      <c r="A1496" s="124"/>
      <c r="B1496" s="2"/>
      <c r="C1496" s="124"/>
      <c r="D1496" s="185" t="s">
        <v>51</v>
      </c>
      <c r="E1496" s="260"/>
      <c r="F1496" s="187">
        <v>4.0</v>
      </c>
      <c r="G1496" s="187">
        <v>4.0</v>
      </c>
      <c r="H1496" s="187"/>
      <c r="I1496" s="164">
        <v>135.0</v>
      </c>
      <c r="J1496" s="706">
        <v>-0.12</v>
      </c>
      <c r="K1496" s="164">
        <v>7.0</v>
      </c>
      <c r="L1496" s="759"/>
      <c r="M1496" s="164"/>
      <c r="N1496" s="164"/>
      <c r="O1496" s="699">
        <f>I1496/VLOOKUP(K1496,Sheet1!$D$7:$N$16,G1496+1,FALSE)</f>
        <v>165.6441718</v>
      </c>
      <c r="P1496" s="684" t="str">
        <f t="shared" si="55"/>
        <v>#REF!</v>
      </c>
      <c r="Q1496" s="702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</row>
    <row r="1497" ht="3.75" customHeight="1">
      <c r="A1497" s="261"/>
      <c r="B1497" s="719"/>
      <c r="C1497" s="262"/>
      <c r="D1497" s="138"/>
      <c r="E1497" s="252"/>
      <c r="F1497" s="102"/>
      <c r="G1497" s="102"/>
      <c r="H1497" s="102"/>
      <c r="I1497" s="247"/>
      <c r="J1497" s="156"/>
      <c r="K1497" s="164"/>
      <c r="L1497" s="759"/>
      <c r="M1497" s="164"/>
      <c r="N1497" s="164"/>
      <c r="O1497" s="699"/>
      <c r="P1497" s="684" t="str">
        <f t="shared" si="55"/>
        <v>#REF!</v>
      </c>
      <c r="Q1497" s="702"/>
      <c r="R1497" s="158"/>
      <c r="S1497" s="158"/>
      <c r="T1497" s="158"/>
      <c r="U1497" s="158"/>
      <c r="V1497" s="158"/>
      <c r="W1497" s="158"/>
      <c r="X1497" s="158"/>
      <c r="Y1497" s="158"/>
      <c r="Z1497" s="158"/>
      <c r="AA1497" s="158"/>
      <c r="AB1497" s="158"/>
      <c r="AC1497" s="158"/>
      <c r="AD1497" s="158"/>
      <c r="AE1497" s="158"/>
      <c r="AF1497" s="158"/>
    </row>
    <row r="1498" ht="15.75" hidden="1" customHeight="1">
      <c r="A1498" s="124"/>
      <c r="B1498" s="2"/>
      <c r="C1498" s="124"/>
      <c r="D1498" s="185"/>
      <c r="E1498" s="260"/>
      <c r="F1498" s="187"/>
      <c r="G1498" s="187"/>
      <c r="H1498" s="187"/>
      <c r="I1498" s="247"/>
      <c r="J1498" s="266"/>
      <c r="K1498" s="164"/>
      <c r="L1498" s="759"/>
      <c r="M1498" s="164"/>
      <c r="N1498" s="164"/>
      <c r="O1498" s="699" t="str">
        <f>I1498/VLOOKUP(K1498,Sheet1!$D$7:$N$16,G1498+1,FALSE)</f>
        <v>#N/A</v>
      </c>
      <c r="P1498" s="684" t="str">
        <f t="shared" si="55"/>
        <v>#REF!</v>
      </c>
      <c r="Q1498" s="702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</row>
    <row r="1499" ht="3.75" hidden="1" customHeight="1">
      <c r="A1499" s="124"/>
      <c r="B1499" s="2"/>
      <c r="C1499" s="124"/>
      <c r="D1499" s="263"/>
      <c r="E1499" s="252"/>
      <c r="F1499" s="102"/>
      <c r="G1499" s="102"/>
      <c r="H1499" s="102"/>
      <c r="I1499" s="247"/>
      <c r="J1499" s="156"/>
      <c r="K1499" s="164"/>
      <c r="L1499" s="759"/>
      <c r="M1499" s="164"/>
      <c r="N1499" s="164"/>
      <c r="O1499" s="699" t="str">
        <f>I1499/VLOOKUP(K1499,Sheet1!$D$7:$N$16,G1499+1,FALSE)</f>
        <v>#N/A</v>
      </c>
      <c r="P1499" s="684"/>
      <c r="Q1499" s="702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</row>
    <row r="1500" ht="14.25" customHeight="1">
      <c r="A1500" s="90"/>
      <c r="B1500" s="2"/>
      <c r="C1500" s="90"/>
      <c r="D1500" s="185" t="s">
        <v>54</v>
      </c>
      <c r="E1500" s="264"/>
      <c r="F1500" s="187">
        <v>3.0</v>
      </c>
      <c r="G1500" s="731" t="s">
        <v>260</v>
      </c>
      <c r="H1500" s="187"/>
      <c r="I1500" s="164"/>
      <c r="J1500" s="266">
        <v>8.0</v>
      </c>
      <c r="K1500" s="164">
        <v>8.0</v>
      </c>
      <c r="L1500" s="759"/>
      <c r="M1500" s="164"/>
      <c r="N1500" s="164"/>
      <c r="O1500" s="699" t="str">
        <f>I1500/VLOOKUP(K1500,Sheet1!$D$7:$N$16,G1500+1,FALSE)</f>
        <v>#REF!</v>
      </c>
      <c r="P1500" s="684"/>
      <c r="Q1500" s="702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</row>
    <row r="1501" ht="3.75" customHeight="1">
      <c r="A1501" s="261"/>
      <c r="B1501" s="719"/>
      <c r="C1501" s="262"/>
      <c r="D1501" s="263"/>
      <c r="E1501" s="263"/>
      <c r="F1501" s="194"/>
      <c r="G1501" s="194"/>
      <c r="H1501" s="194"/>
      <c r="I1501" s="164"/>
      <c r="J1501" s="267"/>
      <c r="K1501" s="164"/>
      <c r="L1501" s="759"/>
      <c r="M1501" s="164"/>
      <c r="N1501" s="164"/>
      <c r="O1501" s="699"/>
      <c r="P1501" s="684"/>
      <c r="Q1501" s="702"/>
      <c r="R1501" s="158"/>
      <c r="S1501" s="158"/>
      <c r="T1501" s="158"/>
      <c r="U1501" s="158"/>
      <c r="V1501" s="158"/>
      <c r="W1501" s="158"/>
      <c r="X1501" s="158"/>
      <c r="Y1501" s="158"/>
      <c r="Z1501" s="158"/>
      <c r="AA1501" s="158"/>
      <c r="AB1501" s="158"/>
      <c r="AC1501" s="158"/>
      <c r="AD1501" s="158"/>
      <c r="AE1501" s="158"/>
      <c r="AF1501" s="158"/>
    </row>
    <row r="1502" ht="15.75" hidden="1" customHeight="1">
      <c r="A1502" s="90"/>
      <c r="B1502" s="2"/>
      <c r="C1502" s="90"/>
      <c r="D1502" s="185"/>
      <c r="E1502" s="266"/>
      <c r="F1502" s="187"/>
      <c r="G1502" s="187"/>
      <c r="H1502" s="187"/>
      <c r="I1502" s="164"/>
      <c r="J1502" s="266"/>
      <c r="K1502" s="164"/>
      <c r="L1502" s="759"/>
      <c r="M1502" s="164"/>
      <c r="N1502" s="164"/>
      <c r="O1502" s="699" t="str">
        <f>I1502/VLOOKUP(K1502,Sheet1!$D$7:$N$16,G1502+1,FALSE)</f>
        <v>#N/A</v>
      </c>
      <c r="P1502" s="684"/>
      <c r="Q1502" s="702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</row>
    <row r="1503" ht="3.75" hidden="1" customHeight="1">
      <c r="A1503" s="90"/>
      <c r="B1503" s="2"/>
      <c r="C1503" s="90"/>
      <c r="D1503" s="138"/>
      <c r="E1503" s="252"/>
      <c r="F1503" s="102"/>
      <c r="G1503" s="102"/>
      <c r="H1503" s="102"/>
      <c r="I1503" s="247"/>
      <c r="J1503" s="156"/>
      <c r="K1503" s="164"/>
      <c r="L1503" s="759"/>
      <c r="M1503" s="164"/>
      <c r="N1503" s="164"/>
      <c r="O1503" s="699" t="str">
        <f>I1503/VLOOKUP(K1503,Sheet1!$D$7:$N$16,G1503+1,FALSE)</f>
        <v>#N/A</v>
      </c>
      <c r="P1503" s="684"/>
      <c r="Q1503" s="702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</row>
    <row r="1504" ht="15.75" customHeight="1">
      <c r="A1504" s="90"/>
      <c r="B1504" s="2"/>
      <c r="C1504" s="90"/>
      <c r="D1504" s="185" t="s">
        <v>267</v>
      </c>
      <c r="E1504" s="264"/>
      <c r="F1504" s="187">
        <v>3.0</v>
      </c>
      <c r="G1504" s="731" t="s">
        <v>260</v>
      </c>
      <c r="H1504" s="187"/>
      <c r="I1504" s="164"/>
      <c r="J1504" s="266">
        <v>8.0</v>
      </c>
      <c r="K1504" s="164">
        <v>8.0</v>
      </c>
      <c r="L1504" s="759"/>
      <c r="M1504" s="164"/>
      <c r="N1504" s="164"/>
      <c r="O1504" s="699" t="str">
        <f>I1504/VLOOKUP(K1504,Sheet1!$D$7:$N$16,G1504+1,FALSE)</f>
        <v>#REF!</v>
      </c>
      <c r="P1504" s="684"/>
      <c r="Q1504" s="702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</row>
    <row r="1505" ht="3.75" customHeight="1">
      <c r="A1505" s="191"/>
      <c r="B1505" s="719"/>
      <c r="C1505" s="192"/>
      <c r="D1505" s="138"/>
      <c r="E1505" s="252"/>
      <c r="F1505" s="102"/>
      <c r="G1505" s="102"/>
      <c r="H1505" s="102"/>
      <c r="I1505" s="247"/>
      <c r="J1505" s="156"/>
      <c r="K1505" s="164"/>
      <c r="L1505" s="759"/>
      <c r="M1505" s="164"/>
      <c r="N1505" s="164"/>
      <c r="O1505" s="699"/>
      <c r="P1505" s="684"/>
      <c r="Q1505" s="702"/>
      <c r="R1505" s="158"/>
      <c r="S1505" s="158"/>
      <c r="T1505" s="158"/>
      <c r="U1505" s="158"/>
      <c r="V1505" s="158"/>
      <c r="W1505" s="158"/>
      <c r="X1505" s="158"/>
      <c r="Y1505" s="158"/>
      <c r="Z1505" s="158"/>
      <c r="AA1505" s="158"/>
      <c r="AB1505" s="158"/>
      <c r="AC1505" s="158"/>
      <c r="AD1505" s="158"/>
      <c r="AE1505" s="158"/>
      <c r="AF1505" s="158"/>
    </row>
    <row r="1506" ht="15.75" customHeight="1">
      <c r="A1506" s="90"/>
      <c r="B1506" s="2"/>
      <c r="C1506" s="90"/>
      <c r="D1506" s="185" t="s">
        <v>270</v>
      </c>
      <c r="E1506" s="260"/>
      <c r="F1506" s="187">
        <v>3.0</v>
      </c>
      <c r="G1506" s="731" t="s">
        <v>260</v>
      </c>
      <c r="H1506" s="187"/>
      <c r="I1506" s="164"/>
      <c r="J1506" s="266">
        <v>9.0</v>
      </c>
      <c r="K1506" s="164">
        <v>9.0</v>
      </c>
      <c r="L1506" s="759"/>
      <c r="M1506" s="164"/>
      <c r="N1506" s="164"/>
      <c r="O1506" s="699" t="str">
        <f>I1506/VLOOKUP(K1506,Sheet1!$D$7:$N$16,G1506+1,FALSE)</f>
        <v>#REF!</v>
      </c>
      <c r="P1506" s="684"/>
      <c r="Q1506" s="702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</row>
    <row r="1507" ht="3.75" customHeight="1">
      <c r="A1507" s="90"/>
      <c r="B1507" s="2"/>
      <c r="C1507" s="90"/>
      <c r="D1507" s="263"/>
      <c r="E1507" s="252"/>
      <c r="F1507" s="102"/>
      <c r="G1507" s="102"/>
      <c r="H1507" s="102"/>
      <c r="I1507" s="247"/>
      <c r="J1507" s="156"/>
      <c r="K1507" s="164"/>
      <c r="L1507" s="759"/>
      <c r="M1507" s="164"/>
      <c r="N1507" s="164"/>
      <c r="O1507" s="699" t="str">
        <f>I1507/VLOOKUP(K1507,Sheet1!$D$7:$N$16,G1507+1,FALSE)</f>
        <v>#N/A</v>
      </c>
      <c r="P1507" s="684"/>
      <c r="Q1507" s="702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</row>
    <row r="1508" ht="15.75" customHeight="1">
      <c r="A1508" s="90"/>
      <c r="B1508" s="2"/>
      <c r="C1508" s="90"/>
      <c r="D1508" s="185" t="s">
        <v>256</v>
      </c>
      <c r="E1508" s="266"/>
      <c r="F1508" s="187">
        <v>3.0</v>
      </c>
      <c r="G1508" s="187" t="s">
        <v>16</v>
      </c>
      <c r="H1508" s="187"/>
      <c r="I1508" s="164"/>
      <c r="J1508" s="266">
        <v>9.0</v>
      </c>
      <c r="K1508" s="164">
        <v>8.0</v>
      </c>
      <c r="L1508" s="759"/>
      <c r="M1508" s="164"/>
      <c r="N1508" s="164"/>
      <c r="O1508" s="699" t="str">
        <f>I1508/VLOOKUP(K1508,Sheet1!$D$7:$N$16,G1508+1,FALSE)</f>
        <v>#VALUE!</v>
      </c>
      <c r="P1508" s="684"/>
      <c r="Q1508" s="697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</row>
    <row r="1509" ht="3.75" customHeight="1">
      <c r="A1509" s="191"/>
      <c r="B1509" s="719"/>
      <c r="C1509" s="192"/>
      <c r="D1509" s="192"/>
      <c r="E1509" s="267"/>
      <c r="F1509" s="194"/>
      <c r="G1509" s="194"/>
      <c r="H1509" s="194"/>
      <c r="I1509" s="194"/>
      <c r="J1509" s="267"/>
      <c r="K1509" s="273"/>
      <c r="L1509" s="737"/>
      <c r="M1509" s="737"/>
      <c r="N1509" s="737"/>
      <c r="O1509" s="271"/>
      <c r="P1509" s="272"/>
      <c r="Q1509" s="273"/>
      <c r="R1509" s="158"/>
      <c r="S1509" s="158"/>
      <c r="T1509" s="158"/>
      <c r="U1509" s="158"/>
      <c r="V1509" s="158"/>
      <c r="W1509" s="158"/>
      <c r="X1509" s="158"/>
      <c r="Y1509" s="158"/>
      <c r="Z1509" s="158"/>
      <c r="AA1509" s="158"/>
      <c r="AB1509" s="158"/>
      <c r="AC1509" s="158"/>
      <c r="AD1509" s="158"/>
      <c r="AE1509" s="158"/>
      <c r="AF1509" s="158"/>
    </row>
    <row r="1510" ht="14.25" customHeight="1">
      <c r="A1510" s="5"/>
      <c r="B1510" s="2"/>
      <c r="C1510" s="5"/>
      <c r="D1510" s="738"/>
      <c r="E1510" s="739"/>
      <c r="F1510" s="683"/>
      <c r="G1510" s="683"/>
      <c r="H1510" s="683"/>
      <c r="I1510" s="683"/>
      <c r="J1510" s="739"/>
      <c r="K1510" s="738"/>
      <c r="L1510" s="683"/>
      <c r="M1510" s="683"/>
      <c r="N1510" s="683"/>
      <c r="O1510" s="277"/>
      <c r="P1510" s="4"/>
      <c r="Q1510" s="738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</row>
    <row r="1511" ht="14.25" customHeight="1">
      <c r="A1511" s="5"/>
      <c r="B1511" s="2"/>
      <c r="C1511" s="5"/>
      <c r="D1511" s="738"/>
      <c r="E1511" s="739"/>
      <c r="F1511" s="683"/>
      <c r="G1511" s="683"/>
      <c r="H1511" s="683"/>
      <c r="I1511" s="683"/>
      <c r="J1511" s="739"/>
      <c r="K1511" s="738"/>
      <c r="L1511" s="683"/>
      <c r="M1511" s="683"/>
      <c r="N1511" s="683"/>
      <c r="O1511" s="282"/>
      <c r="P1511" s="4"/>
      <c r="Q1511" s="738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</row>
    <row r="1512" ht="14.25" customHeight="1">
      <c r="A1512" s="5"/>
      <c r="B1512" s="2"/>
      <c r="C1512" s="5"/>
      <c r="D1512" s="738"/>
      <c r="E1512" s="739"/>
      <c r="F1512" s="683"/>
      <c r="G1512" s="683"/>
      <c r="H1512" s="683"/>
      <c r="I1512" s="683"/>
      <c r="J1512" s="739"/>
      <c r="K1512" s="738"/>
      <c r="L1512" s="683"/>
      <c r="M1512" s="683"/>
      <c r="N1512" s="683"/>
      <c r="O1512" s="282"/>
      <c r="P1512" s="4"/>
      <c r="Q1512" s="738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</row>
    <row r="1513" ht="14.25" customHeight="1">
      <c r="A1513" s="5"/>
      <c r="B1513" s="2"/>
      <c r="C1513" s="5"/>
      <c r="D1513" s="738"/>
      <c r="E1513" s="739"/>
      <c r="F1513" s="683"/>
      <c r="G1513" s="683"/>
      <c r="H1513" s="683"/>
      <c r="I1513" s="683"/>
      <c r="J1513" s="739"/>
      <c r="K1513" s="738"/>
      <c r="L1513" s="683"/>
      <c r="M1513" s="683"/>
      <c r="N1513" s="683"/>
      <c r="O1513" s="282"/>
      <c r="P1513" s="4"/>
      <c r="Q1513" s="738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</row>
    <row r="1514" ht="14.25" customHeight="1">
      <c r="A1514" s="5"/>
      <c r="B1514" s="2"/>
      <c r="C1514" s="5"/>
      <c r="D1514" s="738"/>
      <c r="E1514" s="739"/>
      <c r="F1514" s="683"/>
      <c r="G1514" s="683"/>
      <c r="H1514" s="683"/>
      <c r="I1514" s="683"/>
      <c r="J1514" s="739"/>
      <c r="K1514" s="738"/>
      <c r="L1514" s="683"/>
      <c r="M1514" s="683"/>
      <c r="N1514" s="683"/>
      <c r="O1514" s="282"/>
      <c r="P1514" s="4"/>
      <c r="Q1514" s="738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</row>
    <row r="1515" ht="14.25" customHeight="1">
      <c r="A1515" s="5"/>
      <c r="B1515" s="2"/>
      <c r="C1515" s="5"/>
      <c r="D1515" s="738"/>
      <c r="E1515" s="739"/>
      <c r="F1515" s="683"/>
      <c r="G1515" s="683"/>
      <c r="H1515" s="683"/>
      <c r="I1515" s="683"/>
      <c r="J1515" s="739"/>
      <c r="K1515" s="738"/>
      <c r="L1515" s="683"/>
      <c r="M1515" s="683"/>
      <c r="N1515" s="683"/>
      <c r="O1515" s="282"/>
      <c r="P1515" s="4"/>
      <c r="Q1515" s="738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</row>
    <row r="1516" ht="12.0" customHeight="1">
      <c r="A1516" s="5"/>
      <c r="B1516" s="2"/>
      <c r="C1516" s="5"/>
      <c r="D1516" s="5"/>
      <c r="E1516" s="75"/>
      <c r="F1516" s="3"/>
      <c r="G1516" s="3"/>
      <c r="H1516" s="3"/>
      <c r="I1516" s="3"/>
      <c r="J1516" s="75"/>
      <c r="K1516" s="5"/>
      <c r="L1516" s="3"/>
      <c r="M1516" s="3"/>
      <c r="N1516" s="3"/>
      <c r="O1516" s="3"/>
      <c r="P1516" s="4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</row>
    <row r="1517" ht="20.25" customHeight="1">
      <c r="A1517" s="5"/>
      <c r="B1517" s="6"/>
      <c r="C1517" s="10"/>
      <c r="D1517" s="79" t="s">
        <v>299</v>
      </c>
      <c r="E1517" s="760"/>
      <c r="F1517" s="761"/>
      <c r="G1517" s="761"/>
      <c r="H1517" s="761"/>
      <c r="I1517" s="8"/>
      <c r="J1517" s="762"/>
      <c r="K1517" s="763"/>
      <c r="O1517" s="8"/>
      <c r="P1517" s="9"/>
      <c r="Q1517" s="11"/>
      <c r="R1517" s="10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</row>
    <row r="1518" ht="9.75" customHeight="1">
      <c r="A1518" s="90"/>
      <c r="B1518" s="6"/>
      <c r="C1518" s="91"/>
      <c r="D1518" s="745"/>
      <c r="E1518" s="746"/>
      <c r="F1518" s="81"/>
      <c r="G1518" s="81"/>
      <c r="H1518" s="81"/>
      <c r="I1518" s="81"/>
      <c r="J1518" s="764"/>
      <c r="K1518" s="93"/>
      <c r="L1518" s="93"/>
      <c r="M1518" s="93"/>
      <c r="N1518" s="93"/>
      <c r="O1518" s="296"/>
      <c r="P1518" s="297"/>
      <c r="Q1518" s="298"/>
      <c r="R1518" s="10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</row>
    <row r="1519" ht="14.25" customHeight="1">
      <c r="A1519" s="90"/>
      <c r="B1519" s="6"/>
      <c r="C1519" s="91"/>
      <c r="D1519" s="749" t="str">
        <f>INT((athlete!$A$14 - TODAY()) / 7) &amp; " weeks, " &amp; MOD(athlete!$A$14 - TODAY(), 7) &amp; " day(s) "&amp;"out from:"</f>
        <v>#REF!</v>
      </c>
      <c r="E1519" s="37"/>
      <c r="F1519" s="81" t="str">
        <f>athlete!$A$16</f>
        <v>#REF!</v>
      </c>
      <c r="G1519" s="83"/>
      <c r="H1519" s="83"/>
      <c r="I1519" s="83"/>
      <c r="J1519" s="83"/>
      <c r="L1519" s="93"/>
      <c r="M1519" s="93"/>
      <c r="N1519" s="93"/>
      <c r="O1519" s="94"/>
      <c r="P1519" s="95"/>
      <c r="Q1519" s="96"/>
      <c r="R1519" s="10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</row>
    <row r="1520" ht="3.75" customHeight="1">
      <c r="A1520" s="90"/>
      <c r="B1520" s="6"/>
      <c r="C1520" s="90"/>
      <c r="D1520" s="97"/>
      <c r="E1520" s="98"/>
      <c r="F1520" s="99"/>
      <c r="G1520" s="99"/>
      <c r="H1520" s="99"/>
      <c r="I1520" s="100"/>
      <c r="J1520" s="101"/>
      <c r="K1520" s="90"/>
      <c r="L1520" s="102"/>
      <c r="M1520" s="102"/>
      <c r="N1520" s="102"/>
      <c r="O1520" s="103"/>
      <c r="P1520" s="4"/>
      <c r="Q1520" s="90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</row>
    <row r="1521" ht="32.25" customHeight="1">
      <c r="A1521" s="90"/>
      <c r="B1521" s="6"/>
      <c r="C1521" s="90"/>
      <c r="D1521" s="765" t="s">
        <v>271</v>
      </c>
      <c r="E1521" s="255" t="s">
        <v>15</v>
      </c>
      <c r="F1521" s="106" t="s">
        <v>16</v>
      </c>
      <c r="G1521" s="106" t="s">
        <v>17</v>
      </c>
      <c r="H1521" s="107"/>
      <c r="I1521" s="106" t="s">
        <v>18</v>
      </c>
      <c r="J1521" s="766" t="s">
        <v>241</v>
      </c>
      <c r="K1521" s="767" t="s">
        <v>20</v>
      </c>
      <c r="L1521" s="110" t="s">
        <v>21</v>
      </c>
      <c r="M1521" s="111" t="s">
        <v>22</v>
      </c>
      <c r="O1521" s="112"/>
      <c r="P1521" s="113" t="s">
        <v>23</v>
      </c>
      <c r="Q1521" s="768"/>
      <c r="R1521" s="11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</row>
    <row r="1522" ht="14.25" customHeight="1">
      <c r="A1522" s="90"/>
      <c r="B1522" s="6"/>
      <c r="C1522" s="90"/>
      <c r="D1522" s="257" t="s">
        <v>25</v>
      </c>
      <c r="E1522" s="258" t="s">
        <v>26</v>
      </c>
      <c r="H1522" s="107"/>
      <c r="J1522" s="766" t="s">
        <v>244</v>
      </c>
      <c r="M1522" s="111" t="s">
        <v>27</v>
      </c>
      <c r="N1522" s="111" t="s">
        <v>28</v>
      </c>
      <c r="O1522" s="112" t="s">
        <v>29</v>
      </c>
      <c r="Q1522" s="118" t="s">
        <v>30</v>
      </c>
      <c r="R1522" s="11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</row>
    <row r="1523" ht="3.75" customHeight="1">
      <c r="A1523" s="90"/>
      <c r="B1523" s="6"/>
      <c r="C1523" s="90"/>
      <c r="D1523" s="97"/>
      <c r="E1523" s="98"/>
      <c r="F1523" s="99"/>
      <c r="G1523" s="99"/>
      <c r="H1523" s="99"/>
      <c r="I1523" s="100"/>
      <c r="J1523" s="101"/>
      <c r="K1523" s="90"/>
      <c r="L1523" s="121"/>
      <c r="M1523" s="102"/>
      <c r="N1523" s="102"/>
      <c r="O1523" s="122"/>
      <c r="P1523" s="4"/>
      <c r="Q1523" s="769"/>
      <c r="R1523" s="11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</row>
    <row r="1524" ht="15.75" customHeight="1">
      <c r="A1524" s="124"/>
      <c r="B1524" s="6" t="s">
        <v>236</v>
      </c>
      <c r="C1524" s="124"/>
      <c r="D1524" s="185" t="s">
        <v>285</v>
      </c>
      <c r="E1524" s="224"/>
      <c r="F1524" s="187">
        <v>1.0</v>
      </c>
      <c r="G1524" s="770">
        <v>6.0</v>
      </c>
      <c r="H1524" s="129"/>
      <c r="I1524" s="164">
        <v>170.0</v>
      </c>
      <c r="J1524" s="189">
        <v>7.0</v>
      </c>
      <c r="K1524" s="183">
        <v>6.0</v>
      </c>
      <c r="L1524" s="134">
        <f>I1388</f>
        <v>160</v>
      </c>
      <c r="M1524" s="135">
        <f>iferror(mround($O1388*((VLOOKUP($J1524,Sheet1!$D:$N,$G1524+1,FALSE)-0.03)),2.5)," ")</f>
        <v>157.5</v>
      </c>
      <c r="N1524" s="135">
        <f>iferror(mround($O1388*((VLOOKUP($J1524,Sheet1!$D:$N,$G1524+1,FALSE)+0.02)),2.5)," ")</f>
        <v>167.5</v>
      </c>
      <c r="O1524" s="56">
        <f>iferror(mround(I1524/VLOOKUP(K1524,Sheet1!$D$7:$N$16,G1524+1,FALSE),2.5),"")</f>
        <v>230</v>
      </c>
      <c r="P1524" s="136">
        <f t="shared" ref="P1524:P1545" si="56">IF(I1524 - I1388 = 0, "", I1524 - I1388)</f>
        <v>10</v>
      </c>
      <c r="R1524" s="11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</row>
    <row r="1525" ht="3.75" customHeight="1">
      <c r="A1525" s="137"/>
      <c r="B1525" s="70"/>
      <c r="C1525" s="137"/>
      <c r="D1525" s="138"/>
      <c r="E1525" s="184"/>
      <c r="F1525" s="140"/>
      <c r="G1525" s="140"/>
      <c r="H1525" s="140"/>
      <c r="I1525" s="140"/>
      <c r="J1525" s="141"/>
      <c r="K1525" s="143"/>
      <c r="L1525" s="144"/>
      <c r="M1525" s="145"/>
      <c r="N1525" s="145"/>
      <c r="O1525" s="122"/>
      <c r="P1525" s="146" t="str">
        <f t="shared" si="56"/>
        <v/>
      </c>
      <c r="R1525" s="147"/>
      <c r="S1525" s="148"/>
      <c r="T1525" s="148"/>
      <c r="U1525" s="148"/>
      <c r="V1525" s="148"/>
      <c r="W1525" s="148"/>
      <c r="X1525" s="148"/>
      <c r="Y1525" s="148"/>
      <c r="Z1525" s="148"/>
      <c r="AA1525" s="148"/>
      <c r="AB1525" s="148"/>
      <c r="AC1525" s="148"/>
      <c r="AD1525" s="148"/>
      <c r="AE1525" s="148"/>
      <c r="AF1525" s="148"/>
    </row>
    <row r="1526" ht="15.75" customHeight="1">
      <c r="A1526" s="149"/>
      <c r="B1526" s="150"/>
      <c r="C1526" s="149"/>
      <c r="D1526" s="185" t="s">
        <v>285</v>
      </c>
      <c r="E1526" s="224"/>
      <c r="F1526" s="187">
        <v>1.0</v>
      </c>
      <c r="G1526" s="771">
        <v>6.0</v>
      </c>
      <c r="H1526" s="129"/>
      <c r="I1526" s="164">
        <v>180.0</v>
      </c>
      <c r="J1526" s="189">
        <v>7.0</v>
      </c>
      <c r="K1526" s="183">
        <v>7.5</v>
      </c>
      <c r="L1526" s="134">
        <f>I1390</f>
        <v>170</v>
      </c>
      <c r="M1526" s="135">
        <f>iferror(mround($O1390*((VLOOKUP($J1526,Sheet1!$D:$N,$G1526+1,FALSE)-0.03)),2.5)," ")</f>
        <v>170</v>
      </c>
      <c r="N1526" s="135">
        <f>iferror(mround($O1390*((VLOOKUP($J1526,Sheet1!$D:$N,$G1526+1,FALSE)+0.02)),2.5)," ")</f>
        <v>180</v>
      </c>
      <c r="O1526" s="56">
        <f>iferror(mround(I1526/VLOOKUP(K1526,Sheet1!$D$7:$N$16,G1526+1,FALSE),2.5),"")</f>
        <v>232.5</v>
      </c>
      <c r="P1526" s="136">
        <f t="shared" si="56"/>
        <v>10</v>
      </c>
      <c r="R1526" s="11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</row>
    <row r="1527" ht="3.75" customHeight="1">
      <c r="A1527" s="152"/>
      <c r="B1527" s="150"/>
      <c r="C1527" s="153"/>
      <c r="D1527" s="138"/>
      <c r="E1527" s="223"/>
      <c r="F1527" s="155"/>
      <c r="G1527" s="102"/>
      <c r="H1527" s="102"/>
      <c r="I1527" s="102"/>
      <c r="J1527" s="156"/>
      <c r="K1527" s="143"/>
      <c r="L1527" s="144"/>
      <c r="M1527" s="145"/>
      <c r="N1527" s="145"/>
      <c r="O1527" s="122"/>
      <c r="P1527" s="146" t="str">
        <f t="shared" si="56"/>
        <v/>
      </c>
      <c r="R1527" s="157"/>
      <c r="S1527" s="5"/>
      <c r="T1527" s="5"/>
      <c r="U1527" s="158"/>
      <c r="V1527" s="158"/>
      <c r="W1527" s="158"/>
      <c r="X1527" s="158"/>
      <c r="Y1527" s="158"/>
      <c r="Z1527" s="158"/>
      <c r="AA1527" s="158"/>
      <c r="AB1527" s="158"/>
      <c r="AC1527" s="158"/>
      <c r="AD1527" s="158"/>
      <c r="AE1527" s="158"/>
      <c r="AF1527" s="158"/>
    </row>
    <row r="1528" ht="15.75" customHeight="1">
      <c r="A1528" s="149"/>
      <c r="B1528" s="150"/>
      <c r="C1528" s="149"/>
      <c r="D1528" s="185" t="s">
        <v>285</v>
      </c>
      <c r="E1528" s="327"/>
      <c r="F1528" s="187">
        <v>1.0</v>
      </c>
      <c r="G1528" s="771">
        <v>6.0</v>
      </c>
      <c r="H1528" s="129"/>
      <c r="I1528" s="164">
        <f>MROUND(I1526*(1+J1528),2.5)</f>
        <v>162.5</v>
      </c>
      <c r="J1528" s="230">
        <v>-0.1</v>
      </c>
      <c r="K1528" s="183">
        <v>6.0</v>
      </c>
      <c r="L1528" s="134">
        <f>I1392</f>
        <v>170</v>
      </c>
      <c r="M1528" s="135" t="str">
        <f>iferror(mround($O1392*((VLOOKUP($J1528,Sheet1!$D:$N,$G1528+1,FALSE)-0.03)),2.5)," ")</f>
        <v> </v>
      </c>
      <c r="N1528" s="135" t="str">
        <f>iferror(mround($O1392*((VLOOKUP($J1528,Sheet1!$D:$N,$G1528+1,FALSE)+0.02)),2.5)," ")</f>
        <v> </v>
      </c>
      <c r="O1528" s="56">
        <f>iferror(mround(I1528/VLOOKUP(K1528,Sheet1!$D$7:$N$16,G1528+1,FALSE),2.5),"")</f>
        <v>220</v>
      </c>
      <c r="P1528" s="136">
        <f t="shared" si="56"/>
        <v>-7.5</v>
      </c>
      <c r="R1528" s="11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</row>
    <row r="1529" ht="3.75" customHeight="1">
      <c r="A1529" s="162"/>
      <c r="B1529" s="163"/>
      <c r="C1529" s="162"/>
      <c r="D1529" s="138"/>
      <c r="E1529" s="184"/>
      <c r="F1529" s="140"/>
      <c r="G1529" s="140"/>
      <c r="H1529" s="140"/>
      <c r="I1529" s="140"/>
      <c r="J1529" s="141"/>
      <c r="K1529" s="143"/>
      <c r="L1529" s="144"/>
      <c r="M1529" s="145"/>
      <c r="N1529" s="145"/>
      <c r="O1529" s="122"/>
      <c r="P1529" s="146" t="str">
        <f t="shared" si="56"/>
        <v/>
      </c>
      <c r="R1529" s="147"/>
      <c r="S1529" s="148"/>
      <c r="T1529" s="148"/>
      <c r="U1529" s="148"/>
      <c r="V1529" s="148"/>
      <c r="W1529" s="148"/>
      <c r="X1529" s="148"/>
      <c r="Y1529" s="148"/>
      <c r="Z1529" s="148"/>
      <c r="AA1529" s="148"/>
      <c r="AB1529" s="148"/>
      <c r="AC1529" s="148"/>
      <c r="AD1529" s="148"/>
      <c r="AE1529" s="148"/>
      <c r="AF1529" s="148"/>
    </row>
    <row r="1530" ht="15.75" customHeight="1">
      <c r="A1530" s="149"/>
      <c r="B1530" s="150"/>
      <c r="C1530" s="149"/>
      <c r="D1530" s="185" t="s">
        <v>265</v>
      </c>
      <c r="E1530" s="327"/>
      <c r="F1530" s="187">
        <v>3.0</v>
      </c>
      <c r="G1530" s="771">
        <v>7.0</v>
      </c>
      <c r="H1530" s="129"/>
      <c r="I1530" s="164">
        <v>117.5</v>
      </c>
      <c r="J1530" s="189">
        <v>6.0</v>
      </c>
      <c r="K1530" s="183">
        <v>7.0</v>
      </c>
      <c r="L1530" s="134">
        <f>I1394</f>
        <v>115</v>
      </c>
      <c r="M1530" s="135">
        <f>iferror(mround($O1394*((VLOOKUP($J1530,Sheet1!$D:$N,$G1530+1,FALSE)-0.03)),2.5)," ")</f>
        <v>107.5</v>
      </c>
      <c r="N1530" s="135">
        <f>iferror(mround($O1394*((VLOOKUP($J1530,Sheet1!$D:$N,$G1530+1,FALSE)+0.02)),2.5)," ")</f>
        <v>115</v>
      </c>
      <c r="O1530" s="56">
        <f>iferror(mround(I1530/VLOOKUP(K1530,Sheet1!$D$7:$N$16,G1530+1,FALSE),2.5),"")</f>
        <v>160</v>
      </c>
      <c r="P1530" s="136">
        <f t="shared" si="56"/>
        <v>2.5</v>
      </c>
      <c r="R1530" s="11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</row>
    <row r="1531" ht="3.75" customHeight="1">
      <c r="A1531" s="162"/>
      <c r="B1531" s="163"/>
      <c r="C1531" s="162"/>
      <c r="D1531" s="138"/>
      <c r="E1531" s="326"/>
      <c r="F1531" s="102"/>
      <c r="G1531" s="102"/>
      <c r="H1531" s="102"/>
      <c r="I1531" s="102"/>
      <c r="J1531" s="156"/>
      <c r="K1531" s="143"/>
      <c r="L1531" s="144"/>
      <c r="M1531" s="145"/>
      <c r="N1531" s="145"/>
      <c r="O1531" s="122"/>
      <c r="P1531" s="146" t="str">
        <f t="shared" si="56"/>
        <v/>
      </c>
      <c r="R1531" s="147"/>
      <c r="S1531" s="148"/>
      <c r="T1531" s="148"/>
      <c r="U1531" s="148"/>
      <c r="V1531" s="148"/>
      <c r="W1531" s="148"/>
      <c r="X1531" s="148"/>
      <c r="Y1531" s="148"/>
      <c r="Z1531" s="148"/>
      <c r="AA1531" s="148"/>
      <c r="AB1531" s="148"/>
      <c r="AC1531" s="148"/>
      <c r="AD1531" s="148"/>
      <c r="AE1531" s="148"/>
      <c r="AF1531" s="148"/>
    </row>
    <row r="1532" ht="15.75" customHeight="1">
      <c r="A1532" s="90"/>
      <c r="B1532" s="6"/>
      <c r="C1532" s="90"/>
      <c r="D1532" s="260" t="s">
        <v>273</v>
      </c>
      <c r="E1532" s="186"/>
      <c r="F1532" s="187">
        <v>3.0</v>
      </c>
      <c r="G1532" s="772" t="s">
        <v>251</v>
      </c>
      <c r="H1532" s="129"/>
      <c r="I1532" s="164">
        <v>225.0</v>
      </c>
      <c r="J1532" s="189">
        <v>8.0</v>
      </c>
      <c r="K1532" s="183">
        <v>8.0</v>
      </c>
      <c r="L1532" s="134">
        <f>I1396</f>
        <v>245</v>
      </c>
      <c r="M1532" s="135" t="str">
        <f>iferror(mround($O1396*((VLOOKUP($J1532,Sheet1!$D:$N,$G1532+1,FALSE)-0.03)),2.5)," ")</f>
        <v> </v>
      </c>
      <c r="N1532" s="135" t="str">
        <f>iferror(mround($O1396*((VLOOKUP($J1532,Sheet1!$D:$N,$G1532+1,FALSE)+0.02)),2.5)," ")</f>
        <v> </v>
      </c>
      <c r="O1532" s="56" t="str">
        <f>iferror(mround(I1532/VLOOKUP(K1532,Sheet1!$D$7:$N$16,G1532+1,FALSE),2.5),"")</f>
        <v/>
      </c>
      <c r="P1532" s="136">
        <f t="shared" si="56"/>
        <v>-20</v>
      </c>
      <c r="R1532" s="11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</row>
    <row r="1533" ht="3.75" customHeight="1">
      <c r="A1533" s="168"/>
      <c r="B1533" s="70"/>
      <c r="C1533" s="168"/>
      <c r="D1533" s="171"/>
      <c r="E1533" s="773"/>
      <c r="F1533" s="173"/>
      <c r="G1533" s="173"/>
      <c r="H1533" s="173"/>
      <c r="I1533" s="173"/>
      <c r="J1533" s="174"/>
      <c r="K1533" s="143"/>
      <c r="L1533" s="144"/>
      <c r="M1533" s="145"/>
      <c r="N1533" s="145"/>
      <c r="O1533" s="122"/>
      <c r="P1533" s="146" t="str">
        <f t="shared" si="56"/>
        <v/>
      </c>
      <c r="R1533" s="147"/>
      <c r="S1533" s="148"/>
      <c r="T1533" s="148"/>
      <c r="U1533" s="148"/>
      <c r="V1533" s="148"/>
      <c r="W1533" s="148"/>
      <c r="X1533" s="148"/>
      <c r="Y1533" s="148"/>
      <c r="Z1533" s="148"/>
      <c r="AA1533" s="148"/>
      <c r="AB1533" s="148"/>
      <c r="AC1533" s="148"/>
      <c r="AD1533" s="148"/>
      <c r="AE1533" s="148"/>
      <c r="AF1533" s="148"/>
    </row>
    <row r="1534" ht="15.75" customHeight="1">
      <c r="A1534" s="90"/>
      <c r="B1534" s="6"/>
      <c r="C1534" s="90"/>
      <c r="D1534" s="709" t="s">
        <v>294</v>
      </c>
      <c r="E1534" s="774"/>
      <c r="F1534" s="711">
        <v>3.0</v>
      </c>
      <c r="G1534" s="775" t="s">
        <v>251</v>
      </c>
      <c r="H1534" s="179"/>
      <c r="I1534" s="180">
        <v>70.0</v>
      </c>
      <c r="J1534" s="713">
        <v>8.0</v>
      </c>
      <c r="K1534" s="183">
        <v>7.0</v>
      </c>
      <c r="L1534" s="134" t="s">
        <v>300</v>
      </c>
      <c r="M1534" s="135" t="str">
        <f>iferror(mround($O1398*((VLOOKUP($J1534,Sheet1!$D:$N,$G1534+1,FALSE)-0.03)),2.5)," ")</f>
        <v> </v>
      </c>
      <c r="N1534" s="135" t="str">
        <f>iferror(mround($O1398*((VLOOKUP($J1534,Sheet1!$D:$N,$G1534+1,FALSE)+0.02)),2.5)," ")</f>
        <v> </v>
      </c>
      <c r="O1534" s="56" t="str">
        <f>iferror(mround(I1534/VLOOKUP(K1534,Sheet1!$D$7:$N$16,G1534+1,FALSE),2.5),"")</f>
        <v/>
      </c>
      <c r="P1534" s="136">
        <f t="shared" si="56"/>
        <v>70</v>
      </c>
      <c r="R1534" s="11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</row>
    <row r="1535" ht="3.75" customHeight="1">
      <c r="A1535" s="90"/>
      <c r="B1535" s="6"/>
      <c r="C1535" s="90"/>
      <c r="D1535" s="171"/>
      <c r="E1535" s="773"/>
      <c r="F1535" s="173"/>
      <c r="G1535" s="173"/>
      <c r="H1535" s="173"/>
      <c r="I1535" s="173"/>
      <c r="J1535" s="174"/>
      <c r="K1535" s="143"/>
      <c r="L1535" s="144"/>
      <c r="M1535" s="145"/>
      <c r="N1535" s="145"/>
      <c r="O1535" s="122"/>
      <c r="P1535" s="146" t="str">
        <f t="shared" si="56"/>
        <v/>
      </c>
      <c r="R1535" s="11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</row>
    <row r="1536" ht="15.75" hidden="1" customHeight="1">
      <c r="A1536" s="90"/>
      <c r="B1536" s="6"/>
      <c r="C1536" s="90"/>
      <c r="D1536" s="260"/>
      <c r="E1536" s="186"/>
      <c r="F1536" s="187"/>
      <c r="G1536" s="195"/>
      <c r="H1536" s="129"/>
      <c r="I1536" s="164"/>
      <c r="J1536" s="189"/>
      <c r="K1536" s="183"/>
      <c r="L1536" s="134" t="str">
        <f>I1400</f>
        <v/>
      </c>
      <c r="M1536" s="135" t="str">
        <f>iferror(mround($O1400*((VLOOKUP($J1536,Sheet1!$D:$N,$G1536+1,FALSE)-0.03)),2.5)," ")</f>
        <v> </v>
      </c>
      <c r="N1536" s="135" t="str">
        <f>iferror(mround($O1400*((VLOOKUP($J1536,Sheet1!$D:$N,$G1536+1,FALSE)+0.02)),2.5)," ")</f>
        <v> </v>
      </c>
      <c r="O1536" s="56" t="str">
        <f>iferror(mround(I1536/VLOOKUP(K1536,Sheet1!$D$7:$N$16,G1536+1,FALSE),2.5),"")</f>
        <v/>
      </c>
      <c r="P1536" s="136" t="str">
        <f t="shared" si="56"/>
        <v/>
      </c>
      <c r="R1536" s="11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</row>
    <row r="1537" ht="3.75" hidden="1" customHeight="1">
      <c r="A1537" s="90"/>
      <c r="B1537" s="6"/>
      <c r="C1537" s="90"/>
      <c r="D1537" s="171"/>
      <c r="E1537" s="773"/>
      <c r="F1537" s="173"/>
      <c r="G1537" s="173"/>
      <c r="H1537" s="173"/>
      <c r="I1537" s="173"/>
      <c r="J1537" s="174"/>
      <c r="K1537" s="143"/>
      <c r="L1537" s="144"/>
      <c r="M1537" s="145"/>
      <c r="N1537" s="145"/>
      <c r="O1537" s="122"/>
      <c r="P1537" s="146" t="str">
        <f t="shared" si="56"/>
        <v/>
      </c>
      <c r="R1537" s="11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</row>
    <row r="1538" ht="15.75" hidden="1" customHeight="1">
      <c r="A1538" s="90"/>
      <c r="B1538" s="6"/>
      <c r="C1538" s="90"/>
      <c r="D1538" s="709"/>
      <c r="E1538" s="774"/>
      <c r="F1538" s="711"/>
      <c r="G1538" s="195"/>
      <c r="H1538" s="179"/>
      <c r="I1538" s="776"/>
      <c r="J1538" s="713"/>
      <c r="K1538" s="183"/>
      <c r="L1538" s="134" t="str">
        <f>I1402</f>
        <v/>
      </c>
      <c r="M1538" s="135" t="str">
        <f>iferror(mround($O1402*((VLOOKUP($J1538,Sheet1!$D:$N,$G1538+1,FALSE)-0.03)),2.5)," ")</f>
        <v> </v>
      </c>
      <c r="N1538" s="135" t="str">
        <f>iferror(mround($O1402*((VLOOKUP($J1538,Sheet1!$D:$N,$G1538+1,FALSE)+0.02)),2.5)," ")</f>
        <v> </v>
      </c>
      <c r="O1538" s="56" t="str">
        <f>iferror(mround(I1538/VLOOKUP(K1538,Sheet1!$D$7:$N$16,G1538+1,FALSE),2.5),"")</f>
        <v/>
      </c>
      <c r="P1538" s="136" t="str">
        <f t="shared" si="56"/>
        <v/>
      </c>
      <c r="R1538" s="11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</row>
    <row r="1539" ht="3.75" hidden="1" customHeight="1">
      <c r="A1539" s="90"/>
      <c r="B1539" s="6"/>
      <c r="C1539" s="90"/>
      <c r="D1539" s="138"/>
      <c r="E1539" s="184"/>
      <c r="F1539" s="102"/>
      <c r="G1539" s="102"/>
      <c r="H1539" s="102"/>
      <c r="I1539" s="102"/>
      <c r="J1539" s="156"/>
      <c r="K1539" s="143"/>
      <c r="L1539" s="144"/>
      <c r="M1539" s="145"/>
      <c r="N1539" s="145"/>
      <c r="O1539" s="122"/>
      <c r="P1539" s="146" t="str">
        <f t="shared" si="56"/>
        <v/>
      </c>
      <c r="R1539" s="11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</row>
    <row r="1540" ht="15.75" hidden="1" customHeight="1">
      <c r="A1540" s="90"/>
      <c r="B1540" s="6"/>
      <c r="C1540" s="90"/>
      <c r="D1540" s="185"/>
      <c r="E1540" s="186"/>
      <c r="F1540" s="187"/>
      <c r="G1540" s="188"/>
      <c r="H1540" s="129"/>
      <c r="I1540" s="164"/>
      <c r="J1540" s="189"/>
      <c r="K1540" s="183"/>
      <c r="L1540" s="134" t="str">
        <f>I1404</f>
        <v/>
      </c>
      <c r="M1540" s="135" t="str">
        <f>iferror(mround($O1404*((VLOOKUP($J1540,Sheet1!$D:$N,$G1540+1,FALSE)-0.03)),2.5)," ")</f>
        <v> </v>
      </c>
      <c r="N1540" s="135" t="str">
        <f>iferror(mround($O1404*((VLOOKUP($J1540,Sheet1!$D:$N,$G1540+1,FALSE)+0.02)),2.5)," ")</f>
        <v> </v>
      </c>
      <c r="O1540" s="56" t="str">
        <f>iferror(mround(I1540/VLOOKUP(K1540,Sheet1!$D$7:$N$16,G1540+1,FALSE),2.5),"")</f>
        <v/>
      </c>
      <c r="P1540" s="136" t="str">
        <f t="shared" si="56"/>
        <v/>
      </c>
      <c r="R1540" s="11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</row>
    <row r="1541" ht="3.75" hidden="1" customHeight="1">
      <c r="A1541" s="191"/>
      <c r="B1541" s="6"/>
      <c r="C1541" s="192"/>
      <c r="D1541" s="138"/>
      <c r="E1541" s="193"/>
      <c r="F1541" s="194"/>
      <c r="G1541" s="155"/>
      <c r="H1541" s="102"/>
      <c r="I1541" s="102"/>
      <c r="J1541" s="156"/>
      <c r="K1541" s="143"/>
      <c r="L1541" s="144"/>
      <c r="M1541" s="145"/>
      <c r="N1541" s="145"/>
      <c r="O1541" s="122"/>
      <c r="P1541" s="146" t="str">
        <f t="shared" si="56"/>
        <v/>
      </c>
      <c r="R1541" s="157"/>
      <c r="S1541" s="5"/>
      <c r="T1541" s="5"/>
      <c r="U1541" s="158"/>
      <c r="V1541" s="158"/>
      <c r="W1541" s="158"/>
      <c r="X1541" s="158"/>
      <c r="Y1541" s="158"/>
      <c r="Z1541" s="158"/>
      <c r="AA1541" s="158"/>
      <c r="AB1541" s="158"/>
      <c r="AC1541" s="158"/>
      <c r="AD1541" s="158"/>
      <c r="AE1541" s="158"/>
      <c r="AF1541" s="158"/>
    </row>
    <row r="1542" ht="15.75" hidden="1" customHeight="1">
      <c r="A1542" s="90"/>
      <c r="B1542" s="6"/>
      <c r="C1542" s="90"/>
      <c r="D1542" s="185"/>
      <c r="E1542" s="186"/>
      <c r="F1542" s="187"/>
      <c r="G1542" s="195"/>
      <c r="H1542" s="129"/>
      <c r="I1542" s="164"/>
      <c r="J1542" s="189"/>
      <c r="K1542" s="183"/>
      <c r="L1542" s="134" t="str">
        <f>I1406</f>
        <v/>
      </c>
      <c r="M1542" s="135" t="str">
        <f>iferror(mround($O1406*((VLOOKUP($J1542,Sheet1!$D:$N,$G1542+1,FALSE)-0.03)),2.5)," ")</f>
        <v> </v>
      </c>
      <c r="N1542" s="135" t="str">
        <f>iferror(mround($O1406*((VLOOKUP($J1542,Sheet1!$D:$N,$G1542+1,FALSE)+0.02)),2.5)," ")</f>
        <v> </v>
      </c>
      <c r="O1542" s="56" t="str">
        <f>iferror(mround(I1542/VLOOKUP(K1542,Sheet1!$D$7:$N$16,G1542+1,FALSE),2.5),"")</f>
        <v/>
      </c>
      <c r="P1542" s="136" t="str">
        <f t="shared" si="56"/>
        <v/>
      </c>
      <c r="R1542" s="11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</row>
    <row r="1543" ht="3.75" hidden="1" customHeight="1">
      <c r="A1543" s="90"/>
      <c r="B1543" s="6"/>
      <c r="C1543" s="90"/>
      <c r="D1543" s="196"/>
      <c r="E1543" s="184"/>
      <c r="F1543" s="102"/>
      <c r="G1543" s="102"/>
      <c r="H1543" s="102"/>
      <c r="I1543" s="102"/>
      <c r="J1543" s="156"/>
      <c r="K1543" s="143"/>
      <c r="L1543" s="144"/>
      <c r="M1543" s="145"/>
      <c r="N1543" s="145"/>
      <c r="O1543" s="122"/>
      <c r="P1543" s="146" t="str">
        <f t="shared" si="56"/>
        <v/>
      </c>
      <c r="R1543" s="11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</row>
    <row r="1544" ht="15.75" hidden="1" customHeight="1">
      <c r="A1544" s="90"/>
      <c r="B1544" s="6"/>
      <c r="C1544" s="90"/>
      <c r="D1544" s="197"/>
      <c r="E1544" s="198"/>
      <c r="F1544" s="199"/>
      <c r="G1544" s="195"/>
      <c r="H1544" s="129"/>
      <c r="I1544" s="164"/>
      <c r="J1544" s="189"/>
      <c r="K1544" s="183"/>
      <c r="L1544" s="134" t="str">
        <f>I1408</f>
        <v/>
      </c>
      <c r="M1544" s="135" t="str">
        <f>iferror(mround($O1408*((VLOOKUP($J1544,Sheet1!$D:$N,$G1544+1,FALSE)-0.03)),2.5)," ")</f>
        <v> </v>
      </c>
      <c r="N1544" s="135" t="str">
        <f>iferror(mround($O1408*((VLOOKUP($J1544,Sheet1!$D:$N,$G1544+1,FALSE)+0.02)),2.5)," ")</f>
        <v> </v>
      </c>
      <c r="O1544" s="56" t="str">
        <f>iferror(mround(I1544/VLOOKUP(K1544,Sheet1!$D$7:$N$16,G1544+1,FALSE),2.5),"")</f>
        <v/>
      </c>
      <c r="P1544" s="136" t="str">
        <f t="shared" si="56"/>
        <v/>
      </c>
      <c r="R1544" s="11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</row>
    <row r="1545" ht="3.75" customHeight="1">
      <c r="A1545" s="90"/>
      <c r="B1545" s="6"/>
      <c r="C1545" s="90"/>
      <c r="D1545" s="90"/>
      <c r="E1545" s="156"/>
      <c r="F1545" s="102"/>
      <c r="G1545" s="102"/>
      <c r="H1545" s="102"/>
      <c r="I1545" s="102"/>
      <c r="J1545" s="156"/>
      <c r="K1545" s="720"/>
      <c r="L1545" s="144"/>
      <c r="M1545" s="47"/>
      <c r="N1545" s="47"/>
      <c r="O1545" s="122"/>
      <c r="P1545" s="146" t="str">
        <f t="shared" si="56"/>
        <v/>
      </c>
      <c r="R1545" s="11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</row>
    <row r="1546" ht="30.0" customHeight="1">
      <c r="A1546" s="90"/>
      <c r="B1546" s="6"/>
      <c r="C1546" s="90"/>
      <c r="D1546" s="765" t="s">
        <v>246</v>
      </c>
      <c r="E1546" s="255" t="s">
        <v>15</v>
      </c>
      <c r="F1546" s="106" t="s">
        <v>16</v>
      </c>
      <c r="G1546" s="106" t="s">
        <v>17</v>
      </c>
      <c r="H1546" s="107"/>
      <c r="I1546" s="106" t="s">
        <v>18</v>
      </c>
      <c r="J1546" s="766" t="s">
        <v>241</v>
      </c>
      <c r="K1546" s="767" t="s">
        <v>20</v>
      </c>
      <c r="L1546" s="110" t="s">
        <v>21</v>
      </c>
      <c r="M1546" s="111" t="s">
        <v>22</v>
      </c>
      <c r="O1546" s="112"/>
      <c r="P1546" s="113" t="s">
        <v>23</v>
      </c>
      <c r="Q1546" s="768"/>
      <c r="R1546" s="11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</row>
    <row r="1547" ht="14.25" customHeight="1">
      <c r="A1547" s="90"/>
      <c r="B1547" s="6"/>
      <c r="C1547" s="90"/>
      <c r="D1547" s="257" t="s">
        <v>25</v>
      </c>
      <c r="E1547" s="258" t="s">
        <v>26</v>
      </c>
      <c r="H1547" s="107"/>
      <c r="J1547" s="766" t="s">
        <v>244</v>
      </c>
      <c r="M1547" s="111" t="s">
        <v>27</v>
      </c>
      <c r="N1547" s="111" t="s">
        <v>28</v>
      </c>
      <c r="O1547" s="112" t="s">
        <v>29</v>
      </c>
      <c r="Q1547" s="118" t="s">
        <v>30</v>
      </c>
      <c r="R1547" s="11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</row>
    <row r="1548" ht="3.75" customHeight="1">
      <c r="A1548" s="191"/>
      <c r="B1548" s="6"/>
      <c r="C1548" s="192"/>
      <c r="D1548" s="203"/>
      <c r="E1548" s="204"/>
      <c r="F1548" s="205"/>
      <c r="G1548" s="205"/>
      <c r="H1548" s="206"/>
      <c r="I1548" s="207"/>
      <c r="J1548" s="208"/>
      <c r="K1548" s="191"/>
      <c r="L1548" s="211"/>
      <c r="M1548" s="47"/>
      <c r="N1548" s="47"/>
      <c r="O1548" s="122"/>
      <c r="P1548" s="146" t="str">
        <f t="shared" ref="P1548:P1570" si="57">IF(I1548 - I1412 = 0, "", I1548 - I1412)</f>
        <v/>
      </c>
      <c r="Q1548" s="196"/>
      <c r="R1548" s="157"/>
      <c r="S1548" s="5"/>
      <c r="T1548" s="5"/>
      <c r="U1548" s="158"/>
      <c r="V1548" s="158"/>
      <c r="W1548" s="158"/>
      <c r="X1548" s="158"/>
      <c r="Y1548" s="158"/>
      <c r="Z1548" s="158"/>
      <c r="AA1548" s="158"/>
      <c r="AB1548" s="158"/>
      <c r="AC1548" s="158"/>
      <c r="AD1548" s="158"/>
      <c r="AE1548" s="158"/>
      <c r="AF1548" s="158"/>
    </row>
    <row r="1549" ht="15.75" customHeight="1">
      <c r="A1549" s="124"/>
      <c r="B1549" s="6" t="s">
        <v>236</v>
      </c>
      <c r="C1549" s="124"/>
      <c r="D1549" s="185" t="s">
        <v>248</v>
      </c>
      <c r="E1549" s="327"/>
      <c r="F1549" s="187">
        <v>1.0</v>
      </c>
      <c r="G1549" s="187">
        <v>6.0</v>
      </c>
      <c r="H1549" s="195"/>
      <c r="I1549" s="164">
        <v>210.0</v>
      </c>
      <c r="J1549" s="189">
        <v>6.0</v>
      </c>
      <c r="K1549" s="183">
        <v>6.5</v>
      </c>
      <c r="L1549" s="134">
        <f>I1413</f>
        <v>205</v>
      </c>
      <c r="M1549" s="135">
        <f>iferror(mround($O1413*((VLOOKUP($J1549,Sheet1!$D:$N,$G1549+1,FALSE)-0.03)),2.5)," ")</f>
        <v>197.5</v>
      </c>
      <c r="N1549" s="135">
        <f>iferror(mround($O1413*((VLOOKUP($J1549,Sheet1!$D:$N,$G1549+1,FALSE)+0.02)),2.5)," ")</f>
        <v>210</v>
      </c>
      <c r="O1549" s="112">
        <f>iferror(mround(I1549/VLOOKUP(K1549,Sheet1!$D$7:$N$16,G1549+1,FALSE),2.5),"")</f>
        <v>280</v>
      </c>
      <c r="P1549" s="136">
        <f t="shared" si="57"/>
        <v>5</v>
      </c>
      <c r="Q1549" s="214"/>
      <c r="R1549" s="11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</row>
    <row r="1550" ht="3.75" customHeight="1">
      <c r="A1550" s="124"/>
      <c r="B1550" s="6"/>
      <c r="C1550" s="124"/>
      <c r="D1550" s="138"/>
      <c r="E1550" s="326"/>
      <c r="F1550" s="102"/>
      <c r="G1550" s="102"/>
      <c r="H1550" s="102"/>
      <c r="I1550" s="102"/>
      <c r="J1550" s="216"/>
      <c r="K1550" s="218"/>
      <c r="L1550" s="144"/>
      <c r="M1550" s="145"/>
      <c r="N1550" s="145"/>
      <c r="O1550" s="122"/>
      <c r="P1550" s="146" t="str">
        <f t="shared" si="57"/>
        <v/>
      </c>
      <c r="Q1550" s="214"/>
      <c r="R1550" s="11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</row>
    <row r="1551" ht="15.75" customHeight="1">
      <c r="A1551" s="90"/>
      <c r="B1551" s="6"/>
      <c r="C1551" s="90"/>
      <c r="D1551" s="185" t="s">
        <v>291</v>
      </c>
      <c r="E1551" s="327"/>
      <c r="F1551" s="187">
        <v>2.0</v>
      </c>
      <c r="G1551" s="187">
        <v>1.0</v>
      </c>
      <c r="H1551" s="195"/>
      <c r="I1551" s="164">
        <v>210.0</v>
      </c>
      <c r="J1551" s="189" t="s">
        <v>78</v>
      </c>
      <c r="K1551" s="183">
        <v>6.0</v>
      </c>
      <c r="L1551" s="134">
        <f>I1415</f>
        <v>205</v>
      </c>
      <c r="M1551" s="135" t="str">
        <f>iferror(mround($O1415*((VLOOKUP($J1551,Sheet1!$D:$N,$G1551+1,FALSE)-0.03)),2.5)," ")</f>
        <v> </v>
      </c>
      <c r="N1551" s="135" t="str">
        <f>iferror(mround($O1415*((VLOOKUP($J1551,Sheet1!$D:$N,$G1551+1,FALSE)+0.02)),2.5)," ")</f>
        <v> </v>
      </c>
      <c r="O1551" s="112">
        <f>iferror(mround(I1551/VLOOKUP(K1551,Sheet1!$D$7:$N$16,G1551+1,FALSE),2.5),"")</f>
        <v>242.5</v>
      </c>
      <c r="P1551" s="136">
        <f t="shared" si="57"/>
        <v>5</v>
      </c>
      <c r="Q1551" s="214"/>
      <c r="R1551" s="11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</row>
    <row r="1552" ht="3.75" customHeight="1">
      <c r="A1552" s="90"/>
      <c r="B1552" s="6"/>
      <c r="C1552" s="90"/>
      <c r="D1552" s="138"/>
      <c r="E1552" s="326"/>
      <c r="F1552" s="102"/>
      <c r="G1552" s="102"/>
      <c r="H1552" s="102"/>
      <c r="I1552" s="102"/>
      <c r="J1552" s="216"/>
      <c r="K1552" s="218"/>
      <c r="L1552" s="144"/>
      <c r="M1552" s="145"/>
      <c r="N1552" s="145"/>
      <c r="O1552" s="122"/>
      <c r="P1552" s="146" t="str">
        <f t="shared" si="57"/>
        <v/>
      </c>
      <c r="Q1552" s="214"/>
      <c r="R1552" s="11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</row>
    <row r="1553" ht="15.75" customHeight="1">
      <c r="A1553" s="90"/>
      <c r="B1553" s="6"/>
      <c r="C1553" s="90"/>
      <c r="D1553" s="185" t="s">
        <v>248</v>
      </c>
      <c r="E1553" s="327"/>
      <c r="F1553" s="187">
        <v>2.0</v>
      </c>
      <c r="G1553" s="187">
        <v>6.0</v>
      </c>
      <c r="H1553" s="195"/>
      <c r="I1553" s="164">
        <f>MROUND(I1551*(1+J1553),2.5)</f>
        <v>185</v>
      </c>
      <c r="J1553" s="230">
        <v>-0.12</v>
      </c>
      <c r="K1553" s="183">
        <v>6.0</v>
      </c>
      <c r="L1553" s="134">
        <f>I1417</f>
        <v>180</v>
      </c>
      <c r="M1553" s="135" t="str">
        <f>iferror(mround($O1417*((VLOOKUP($J1553,Sheet1!$D:$N,$G1553+1,FALSE)-0.03)),2.5)," ")</f>
        <v> </v>
      </c>
      <c r="N1553" s="135" t="str">
        <f>iferror(mround($O1417*((VLOOKUP($J1553,Sheet1!$D:$N,$G1553+1,FALSE)+0.02)),2.5)," ")</f>
        <v> </v>
      </c>
      <c r="O1553" s="112">
        <f>iferror(mround(I1553/VLOOKUP(K1553,Sheet1!$D$7:$N$16,G1553+1,FALSE),2.5),"")</f>
        <v>250</v>
      </c>
      <c r="P1553" s="136">
        <f t="shared" si="57"/>
        <v>5</v>
      </c>
      <c r="Q1553" s="214"/>
      <c r="R1553" s="11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</row>
    <row r="1554" ht="3.75" customHeight="1">
      <c r="A1554" s="90"/>
      <c r="B1554" s="6"/>
      <c r="C1554" s="90"/>
      <c r="D1554" s="138"/>
      <c r="E1554" s="326"/>
      <c r="F1554" s="102"/>
      <c r="G1554" s="102"/>
      <c r="H1554" s="102"/>
      <c r="I1554" s="102"/>
      <c r="J1554" s="156"/>
      <c r="K1554" s="143"/>
      <c r="L1554" s="144"/>
      <c r="M1554" s="145"/>
      <c r="N1554" s="145"/>
      <c r="O1554" s="122"/>
      <c r="P1554" s="146" t="str">
        <f t="shared" si="57"/>
        <v/>
      </c>
      <c r="Q1554" s="214"/>
      <c r="R1554" s="11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</row>
    <row r="1555" ht="15.75" hidden="1" customHeight="1">
      <c r="A1555" s="90"/>
      <c r="B1555" s="6"/>
      <c r="C1555" s="90"/>
      <c r="D1555" s="185"/>
      <c r="E1555" s="224"/>
      <c r="F1555" s="187"/>
      <c r="G1555" s="187"/>
      <c r="H1555" s="195"/>
      <c r="I1555" s="164"/>
      <c r="J1555" s="189"/>
      <c r="K1555" s="183"/>
      <c r="L1555" s="134" t="str">
        <f>I1419</f>
        <v/>
      </c>
      <c r="M1555" s="135" t="str">
        <f>iferror(mround($O1419*((VLOOKUP($J1555,Sheet1!$D:$N,$G1555+1,FALSE)-0.03)),2.5)," ")</f>
        <v> </v>
      </c>
      <c r="N1555" s="135" t="str">
        <f>iferror(mround($O1419*((VLOOKUP($J1555,Sheet1!$D:$N,$G1555+1,FALSE)+0.02)),2.5)," ")</f>
        <v> </v>
      </c>
      <c r="O1555" s="112" t="str">
        <f>iferror(mround(I1555/VLOOKUP(K1555,Sheet1!$D$7:$N$16,G1555+1,FALSE),2.5),"")</f>
        <v/>
      </c>
      <c r="P1555" s="136" t="str">
        <f t="shared" si="57"/>
        <v/>
      </c>
      <c r="Q1555" s="214"/>
      <c r="R1555" s="11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</row>
    <row r="1556" ht="3.75" hidden="1" customHeight="1">
      <c r="A1556" s="90"/>
      <c r="B1556" s="6"/>
      <c r="C1556" s="90"/>
      <c r="D1556" s="138"/>
      <c r="E1556" s="326"/>
      <c r="F1556" s="102"/>
      <c r="G1556" s="102"/>
      <c r="H1556" s="102"/>
      <c r="I1556" s="102"/>
      <c r="J1556" s="216"/>
      <c r="K1556" s="143"/>
      <c r="L1556" s="144"/>
      <c r="M1556" s="145"/>
      <c r="N1556" s="145"/>
      <c r="O1556" s="122"/>
      <c r="P1556" s="146" t="str">
        <f t="shared" si="57"/>
        <v/>
      </c>
      <c r="Q1556" s="214"/>
      <c r="R1556" s="11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</row>
    <row r="1557" ht="15.75" hidden="1" customHeight="1">
      <c r="A1557" s="90"/>
      <c r="B1557" s="6"/>
      <c r="C1557" s="90"/>
      <c r="D1557" s="185"/>
      <c r="E1557" s="224"/>
      <c r="F1557" s="187"/>
      <c r="G1557" s="187"/>
      <c r="H1557" s="195"/>
      <c r="I1557" s="164"/>
      <c r="J1557" s="189"/>
      <c r="K1557" s="183"/>
      <c r="L1557" s="134" t="str">
        <f>I1421</f>
        <v/>
      </c>
      <c r="M1557" s="135" t="str">
        <f>iferror(mround($O1421*((VLOOKUP($J1557,Sheet1!$D:$N,$G1557+1,FALSE)-0.03)),2.5)," ")</f>
        <v> </v>
      </c>
      <c r="N1557" s="135" t="str">
        <f>iferror(mround($O1421*((VLOOKUP($J1557,Sheet1!$D:$N,$G1557+1,FALSE)+0.02)),2.5)," ")</f>
        <v> </v>
      </c>
      <c r="O1557" s="112" t="str">
        <f>iferror(mround(I1557/VLOOKUP(K1557,Sheet1!$D$7:$N$16,G1557+1,FALSE),2.5),"")</f>
        <v/>
      </c>
      <c r="P1557" s="136" t="str">
        <f t="shared" si="57"/>
        <v/>
      </c>
      <c r="Q1557" s="214"/>
      <c r="R1557" s="11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</row>
    <row r="1558" ht="3.75" hidden="1" customHeight="1">
      <c r="A1558" s="90"/>
      <c r="B1558" s="6"/>
      <c r="C1558" s="90"/>
      <c r="D1558" s="138"/>
      <c r="E1558" s="326"/>
      <c r="F1558" s="102"/>
      <c r="G1558" s="102"/>
      <c r="H1558" s="102"/>
      <c r="I1558" s="102"/>
      <c r="J1558" s="216"/>
      <c r="K1558" s="143"/>
      <c r="L1558" s="144"/>
      <c r="M1558" s="145"/>
      <c r="N1558" s="145"/>
      <c r="O1558" s="122"/>
      <c r="P1558" s="146" t="str">
        <f t="shared" si="57"/>
        <v/>
      </c>
      <c r="Q1558" s="214"/>
      <c r="R1558" s="11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</row>
    <row r="1559" ht="15.75" hidden="1" customHeight="1">
      <c r="A1559" s="90"/>
      <c r="B1559" s="6"/>
      <c r="C1559" s="90"/>
      <c r="D1559" s="185"/>
      <c r="E1559" s="224"/>
      <c r="F1559" s="187"/>
      <c r="G1559" s="187"/>
      <c r="H1559" s="195"/>
      <c r="I1559" s="164"/>
      <c r="J1559" s="189"/>
      <c r="K1559" s="183"/>
      <c r="L1559" s="134" t="str">
        <f>I1423</f>
        <v/>
      </c>
      <c r="M1559" s="135" t="str">
        <f>iferror(mround($O1423*((VLOOKUP($J1559,Sheet1!$D:$N,$G1559+1,FALSE)-0.03)),2.5)," ")</f>
        <v> </v>
      </c>
      <c r="N1559" s="135" t="str">
        <f>iferror(mround($O1423*((VLOOKUP($J1559,Sheet1!$D:$N,$G1559+1,FALSE)+0.02)),2.5)," ")</f>
        <v> </v>
      </c>
      <c r="O1559" s="112" t="str">
        <f>iferror(mround(I1559/VLOOKUP(K1559,Sheet1!$D$7:$N$16,G1559+1,FALSE),2.5),"")</f>
        <v/>
      </c>
      <c r="P1559" s="136" t="str">
        <f t="shared" si="57"/>
        <v/>
      </c>
      <c r="Q1559" s="214"/>
      <c r="R1559" s="11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</row>
    <row r="1560" ht="3.75" hidden="1" customHeight="1">
      <c r="A1560" s="90"/>
      <c r="B1560" s="6"/>
      <c r="C1560" s="90"/>
      <c r="D1560" s="138"/>
      <c r="E1560" s="326"/>
      <c r="F1560" s="102"/>
      <c r="G1560" s="102"/>
      <c r="H1560" s="102"/>
      <c r="I1560" s="102"/>
      <c r="J1560" s="216"/>
      <c r="K1560" s="143"/>
      <c r="L1560" s="144"/>
      <c r="M1560" s="145"/>
      <c r="N1560" s="145"/>
      <c r="O1560" s="122"/>
      <c r="P1560" s="146" t="str">
        <f t="shared" si="57"/>
        <v/>
      </c>
      <c r="Q1560" s="214"/>
      <c r="R1560" s="11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</row>
    <row r="1561" ht="18.0" customHeight="1">
      <c r="A1561" s="90"/>
      <c r="B1561" s="6"/>
      <c r="C1561" s="90"/>
      <c r="D1561" s="185" t="s">
        <v>277</v>
      </c>
      <c r="E1561" s="327"/>
      <c r="F1561" s="187">
        <v>3.0</v>
      </c>
      <c r="G1561" s="731" t="s">
        <v>251</v>
      </c>
      <c r="H1561" s="195"/>
      <c r="I1561" s="164"/>
      <c r="J1561" s="189">
        <v>9.0</v>
      </c>
      <c r="K1561" s="183">
        <v>8.0</v>
      </c>
      <c r="L1561" s="134" t="str">
        <f>I1425</f>
        <v/>
      </c>
      <c r="M1561" s="135" t="str">
        <f>iferror(mround($O1425*((VLOOKUP($J1561,Sheet1!$D:$N,$G1561+1,FALSE)-0.03)),2.5)," ")</f>
        <v> </v>
      </c>
      <c r="N1561" s="135" t="str">
        <f>iferror(mround($O1425*((VLOOKUP($J1561,Sheet1!$D:$N,$G1561+1,FALSE)+0.02)),2.5)," ")</f>
        <v> </v>
      </c>
      <c r="O1561" s="112" t="str">
        <f>iferror(mround(I1561/VLOOKUP(K1561,Sheet1!$D$7:$N$16,G1561+1,FALSE),2.5),"")</f>
        <v/>
      </c>
      <c r="P1561" s="136" t="str">
        <f t="shared" si="57"/>
        <v/>
      </c>
      <c r="Q1561" s="214"/>
      <c r="R1561" s="11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</row>
    <row r="1562" ht="3.75" customHeight="1">
      <c r="A1562" s="191"/>
      <c r="B1562" s="6"/>
      <c r="C1562" s="192"/>
      <c r="D1562" s="138"/>
      <c r="E1562" s="223"/>
      <c r="F1562" s="194"/>
      <c r="G1562" s="194"/>
      <c r="H1562" s="155"/>
      <c r="I1562" s="210"/>
      <c r="J1562" s="216"/>
      <c r="K1562" s="143"/>
      <c r="L1562" s="144"/>
      <c r="M1562" s="145"/>
      <c r="N1562" s="145"/>
      <c r="O1562" s="122"/>
      <c r="P1562" s="146" t="str">
        <f t="shared" si="57"/>
        <v/>
      </c>
      <c r="Q1562" s="214"/>
      <c r="R1562" s="157"/>
      <c r="S1562" s="5"/>
      <c r="T1562" s="5"/>
      <c r="U1562" s="158"/>
      <c r="V1562" s="158"/>
      <c r="W1562" s="158"/>
      <c r="X1562" s="158"/>
      <c r="Y1562" s="158"/>
      <c r="Z1562" s="158"/>
      <c r="AA1562" s="158"/>
      <c r="AB1562" s="158"/>
      <c r="AC1562" s="158"/>
      <c r="AD1562" s="158"/>
      <c r="AE1562" s="158"/>
      <c r="AF1562" s="158"/>
    </row>
    <row r="1563" ht="15.75" customHeight="1">
      <c r="A1563" s="90"/>
      <c r="B1563" s="6"/>
      <c r="C1563" s="90"/>
      <c r="D1563" s="185" t="s">
        <v>293</v>
      </c>
      <c r="E1563" s="186"/>
      <c r="F1563" s="187">
        <v>3.0</v>
      </c>
      <c r="G1563" s="731" t="s">
        <v>251</v>
      </c>
      <c r="H1563" s="195"/>
      <c r="I1563" s="164"/>
      <c r="J1563" s="189">
        <v>9.0</v>
      </c>
      <c r="K1563" s="183">
        <v>9.0</v>
      </c>
      <c r="L1563" s="134" t="str">
        <f>I1427</f>
        <v/>
      </c>
      <c r="M1563" s="135" t="str">
        <f>iferror(mround($O1427*((VLOOKUP($J1563,Sheet1!$D:$N,$G1563+1,FALSE)-0.03)),2.5)," ")</f>
        <v> </v>
      </c>
      <c r="N1563" s="135" t="str">
        <f>iferror(mround($O1427*((VLOOKUP($J1563,Sheet1!$D:$N,$G1563+1,FALSE)+0.02)),2.5)," ")</f>
        <v> </v>
      </c>
      <c r="O1563" s="112" t="str">
        <f>iferror(mround(I1563/VLOOKUP(K1563,Sheet1!$D$7:$N$16,G1563+1,FALSE),2.5),"")</f>
        <v/>
      </c>
      <c r="P1563" s="136" t="str">
        <f t="shared" si="57"/>
        <v/>
      </c>
      <c r="Q1563" s="214"/>
      <c r="R1563" s="11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</row>
    <row r="1564" ht="3.75" customHeight="1">
      <c r="A1564" s="90"/>
      <c r="B1564" s="6"/>
      <c r="C1564" s="90"/>
      <c r="D1564" s="138"/>
      <c r="E1564" s="184"/>
      <c r="F1564" s="102"/>
      <c r="G1564" s="102"/>
      <c r="H1564" s="102"/>
      <c r="I1564" s="102"/>
      <c r="J1564" s="156"/>
      <c r="K1564" s="143"/>
      <c r="L1564" s="144"/>
      <c r="M1564" s="145"/>
      <c r="N1564" s="145"/>
      <c r="O1564" s="122"/>
      <c r="P1564" s="146" t="str">
        <f t="shared" si="57"/>
        <v/>
      </c>
      <c r="Q1564" s="214"/>
      <c r="R1564" s="11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</row>
    <row r="1565" ht="15.75" customHeight="1">
      <c r="A1565" s="90"/>
      <c r="B1565" s="6"/>
      <c r="C1565" s="90"/>
      <c r="D1565" s="185" t="s">
        <v>255</v>
      </c>
      <c r="E1565" s="224"/>
      <c r="F1565" s="187">
        <v>3.0</v>
      </c>
      <c r="G1565" s="731" t="s">
        <v>251</v>
      </c>
      <c r="H1565" s="195"/>
      <c r="I1565" s="164"/>
      <c r="J1565" s="189">
        <v>9.0</v>
      </c>
      <c r="K1565" s="183"/>
      <c r="L1565" s="134" t="str">
        <f>I1429</f>
        <v/>
      </c>
      <c r="M1565" s="135" t="str">
        <f>iferror(mround($O1429*((VLOOKUP($J1565,Sheet1!$D:$N,$G1565+1,FALSE)-0.03)),2.5)," ")</f>
        <v> </v>
      </c>
      <c r="N1565" s="135" t="str">
        <f>iferror(mround($O1429*((VLOOKUP($J1565,Sheet1!$D:$N,$G1565+1,FALSE)+0.02)),2.5)," ")</f>
        <v> </v>
      </c>
      <c r="O1565" s="112" t="str">
        <f>iferror(mround(I1565/VLOOKUP(K1565,Sheet1!$D$7:$N$16,G1565+1,FALSE),2.5),"")</f>
        <v/>
      </c>
      <c r="P1565" s="136" t="str">
        <f t="shared" si="57"/>
        <v/>
      </c>
      <c r="Q1565" s="214"/>
      <c r="R1565" s="11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</row>
    <row r="1566" ht="3.75" customHeight="1">
      <c r="A1566" s="191"/>
      <c r="B1566" s="6"/>
      <c r="C1566" s="192"/>
      <c r="D1566" s="138"/>
      <c r="E1566" s="193"/>
      <c r="F1566" s="194"/>
      <c r="G1566" s="194"/>
      <c r="H1566" s="155"/>
      <c r="I1566" s="210"/>
      <c r="J1566" s="216"/>
      <c r="K1566" s="143"/>
      <c r="L1566" s="144"/>
      <c r="M1566" s="145"/>
      <c r="N1566" s="145"/>
      <c r="O1566" s="122"/>
      <c r="P1566" s="146" t="str">
        <f t="shared" si="57"/>
        <v/>
      </c>
      <c r="Q1566" s="214"/>
      <c r="R1566" s="157"/>
      <c r="S1566" s="5"/>
      <c r="T1566" s="5"/>
      <c r="U1566" s="158"/>
      <c r="V1566" s="158"/>
      <c r="W1566" s="158"/>
      <c r="X1566" s="158"/>
      <c r="Y1566" s="158"/>
      <c r="Z1566" s="158"/>
      <c r="AA1566" s="158"/>
      <c r="AB1566" s="158"/>
      <c r="AC1566" s="158"/>
      <c r="AD1566" s="158"/>
      <c r="AE1566" s="158"/>
      <c r="AF1566" s="158"/>
    </row>
    <row r="1567" ht="15.75" customHeight="1">
      <c r="A1567" s="90"/>
      <c r="B1567" s="6"/>
      <c r="C1567" s="90"/>
      <c r="D1567" s="185" t="s">
        <v>256</v>
      </c>
      <c r="E1567" s="186"/>
      <c r="F1567" s="187">
        <v>3.0</v>
      </c>
      <c r="G1567" s="187" t="s">
        <v>16</v>
      </c>
      <c r="H1567" s="195"/>
      <c r="I1567" s="164"/>
      <c r="J1567" s="189">
        <v>9.0</v>
      </c>
      <c r="K1567" s="183"/>
      <c r="L1567" s="134" t="str">
        <f>I1431</f>
        <v/>
      </c>
      <c r="M1567" s="135" t="str">
        <f>iferror(mround($O1431*((VLOOKUP($J1567,Sheet1!$D:$N,$G1567+1,FALSE)-0.03)),2.5)," ")</f>
        <v> </v>
      </c>
      <c r="N1567" s="135" t="str">
        <f>iferror(mround($O1431*((VLOOKUP($J1567,Sheet1!$D:$N,$G1567+1,FALSE)+0.02)),2.5)," ")</f>
        <v> </v>
      </c>
      <c r="O1567" s="112" t="str">
        <f>iferror(mround(I1567/VLOOKUP(K1567,Sheet1!$D$7:$N$16,G1567+1,FALSE),2.5),"")</f>
        <v/>
      </c>
      <c r="P1567" s="136" t="str">
        <f t="shared" si="57"/>
        <v/>
      </c>
      <c r="Q1567" s="214"/>
      <c r="R1567" s="11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</row>
    <row r="1568" ht="3.75" hidden="1" customHeight="1">
      <c r="A1568" s="90"/>
      <c r="B1568" s="6"/>
      <c r="C1568" s="90"/>
      <c r="D1568" s="196"/>
      <c r="E1568" s="184"/>
      <c r="F1568" s="102"/>
      <c r="G1568" s="102"/>
      <c r="H1568" s="102"/>
      <c r="I1568" s="102"/>
      <c r="J1568" s="156"/>
      <c r="K1568" s="143"/>
      <c r="L1568" s="144"/>
      <c r="M1568" s="145"/>
      <c r="N1568" s="145"/>
      <c r="O1568" s="122"/>
      <c r="P1568" s="146" t="str">
        <f t="shared" si="57"/>
        <v/>
      </c>
      <c r="Q1568" s="214"/>
      <c r="R1568" s="11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</row>
    <row r="1569" ht="15.75" hidden="1" customHeight="1">
      <c r="A1569" s="90"/>
      <c r="B1569" s="6"/>
      <c r="C1569" s="90"/>
      <c r="D1569" s="197"/>
      <c r="E1569" s="198"/>
      <c r="F1569" s="199"/>
      <c r="G1569" s="187"/>
      <c r="H1569" s="195"/>
      <c r="I1569" s="164"/>
      <c r="J1569" s="189"/>
      <c r="K1569" s="183"/>
      <c r="L1569" s="134" t="str">
        <f>I1433</f>
        <v/>
      </c>
      <c r="M1569" s="135" t="str">
        <f>iferror(mround($O1433*((VLOOKUP($J1569,Sheet1!$D:$N,$G1569+1,FALSE)-0.03)),2.5)," ")</f>
        <v> </v>
      </c>
      <c r="N1569" s="135" t="str">
        <f>iferror(mround($O1433*((VLOOKUP($J1569,Sheet1!$D:$N,$G1569+1,FALSE)+0.02)),2.5)," ")</f>
        <v> </v>
      </c>
      <c r="O1569" s="112" t="str">
        <f>iferror(mround(I1569/VLOOKUP(K1569,Sheet1!$D$7:$N$16,G1569+1,FALSE),2.5),"")</f>
        <v/>
      </c>
      <c r="P1569" s="136" t="str">
        <f t="shared" si="57"/>
        <v/>
      </c>
      <c r="Q1569" s="214"/>
      <c r="R1569" s="11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</row>
    <row r="1570" ht="3.75" customHeight="1">
      <c r="A1570" s="90"/>
      <c r="B1570" s="6"/>
      <c r="C1570" s="90"/>
      <c r="D1570" s="90"/>
      <c r="E1570" s="156"/>
      <c r="F1570" s="102"/>
      <c r="G1570" s="102"/>
      <c r="H1570" s="102"/>
      <c r="I1570" s="102"/>
      <c r="J1570" s="156"/>
      <c r="K1570" s="720"/>
      <c r="L1570" s="211"/>
      <c r="M1570" s="47"/>
      <c r="N1570" s="47"/>
      <c r="O1570" s="122"/>
      <c r="P1570" s="146" t="str">
        <f t="shared" si="57"/>
        <v/>
      </c>
      <c r="Q1570" s="214"/>
      <c r="R1570" s="11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</row>
    <row r="1571" ht="30.75" customHeight="1">
      <c r="A1571" s="90"/>
      <c r="B1571" s="6"/>
      <c r="C1571" s="90"/>
      <c r="D1571" s="765" t="s">
        <v>257</v>
      </c>
      <c r="E1571" s="255" t="s">
        <v>15</v>
      </c>
      <c r="F1571" s="106" t="s">
        <v>16</v>
      </c>
      <c r="G1571" s="106" t="s">
        <v>17</v>
      </c>
      <c r="H1571" s="107"/>
      <c r="I1571" s="106" t="s">
        <v>18</v>
      </c>
      <c r="J1571" s="766" t="s">
        <v>241</v>
      </c>
      <c r="K1571" s="767" t="s">
        <v>20</v>
      </c>
      <c r="L1571" s="110" t="s">
        <v>21</v>
      </c>
      <c r="M1571" s="111" t="s">
        <v>22</v>
      </c>
      <c r="O1571" s="112"/>
      <c r="P1571" s="113" t="s">
        <v>23</v>
      </c>
      <c r="Q1571" s="768"/>
      <c r="R1571" s="11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</row>
    <row r="1572" ht="14.25" customHeight="1">
      <c r="A1572" s="90"/>
      <c r="B1572" s="6"/>
      <c r="C1572" s="90"/>
      <c r="D1572" s="257" t="s">
        <v>25</v>
      </c>
      <c r="E1572" s="258" t="s">
        <v>26</v>
      </c>
      <c r="H1572" s="107"/>
      <c r="J1572" s="766" t="s">
        <v>244</v>
      </c>
      <c r="M1572" s="111" t="s">
        <v>27</v>
      </c>
      <c r="N1572" s="111" t="s">
        <v>28</v>
      </c>
      <c r="O1572" s="112" t="s">
        <v>29</v>
      </c>
      <c r="Q1572" s="118" t="s">
        <v>30</v>
      </c>
      <c r="R1572" s="11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</row>
    <row r="1573" ht="3.75" customHeight="1">
      <c r="A1573" s="191"/>
      <c r="B1573" s="6"/>
      <c r="C1573" s="192"/>
      <c r="D1573" s="203"/>
      <c r="E1573" s="203"/>
      <c r="F1573" s="205"/>
      <c r="G1573" s="205"/>
      <c r="H1573" s="205"/>
      <c r="I1573" s="225"/>
      <c r="J1573" s="226"/>
      <c r="K1573" s="191"/>
      <c r="L1573" s="211"/>
      <c r="M1573" s="47"/>
      <c r="N1573" s="47"/>
      <c r="O1573" s="122"/>
      <c r="P1573" s="146" t="str">
        <f t="shared" ref="P1573:P1593" si="58">IF(I1573 - I1437 = 0, "", I1573 - I1437)</f>
        <v/>
      </c>
      <c r="Q1573" s="196"/>
      <c r="R1573" s="157"/>
      <c r="S1573" s="5"/>
      <c r="T1573" s="5"/>
      <c r="U1573" s="158"/>
      <c r="V1573" s="158"/>
      <c r="W1573" s="158"/>
      <c r="X1573" s="158"/>
      <c r="Y1573" s="158"/>
      <c r="Z1573" s="158"/>
      <c r="AA1573" s="158"/>
      <c r="AB1573" s="158"/>
      <c r="AC1573" s="158"/>
      <c r="AD1573" s="158"/>
      <c r="AE1573" s="158"/>
      <c r="AF1573" s="158"/>
    </row>
    <row r="1574" ht="15.75" customHeight="1">
      <c r="A1574" s="124"/>
      <c r="B1574" s="6" t="s">
        <v>239</v>
      </c>
      <c r="C1574" s="124"/>
      <c r="D1574" s="185" t="s">
        <v>77</v>
      </c>
      <c r="E1574" s="327"/>
      <c r="F1574" s="187">
        <v>3.0</v>
      </c>
      <c r="G1574" s="187">
        <v>3.0</v>
      </c>
      <c r="H1574" s="195"/>
      <c r="I1574" s="164">
        <v>170.0</v>
      </c>
      <c r="J1574" s="189"/>
      <c r="K1574" s="183">
        <v>6.0</v>
      </c>
      <c r="L1574" s="134">
        <f>I1438</f>
        <v>160</v>
      </c>
      <c r="M1574" s="135" t="str">
        <f>iferror(mround($O1438*((VLOOKUP($J1574,Sheet1!$D:$N,$G1574+1,FALSE)-0.03)),2.5)," ")</f>
        <v> </v>
      </c>
      <c r="N1574" s="135" t="str">
        <f>iferror(mround($O1438*((VLOOKUP($J1574,Sheet1!$D:$N,$G1574+1,FALSE)+0.02)),2.5)," ")</f>
        <v> </v>
      </c>
      <c r="O1574" s="112">
        <f>iferror(mround(I1574/VLOOKUP(K1574,Sheet1!$D$7:$N$16,G1574+1,FALSE),2.5),"")</f>
        <v>207.5</v>
      </c>
      <c r="P1574" s="136">
        <f t="shared" si="58"/>
        <v>10</v>
      </c>
      <c r="Q1574" s="214"/>
      <c r="R1574" s="11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</row>
    <row r="1575" ht="3.75" customHeight="1">
      <c r="A1575" s="124"/>
      <c r="B1575" s="6"/>
      <c r="C1575" s="124"/>
      <c r="D1575" s="138"/>
      <c r="E1575" s="184"/>
      <c r="F1575" s="102"/>
      <c r="G1575" s="102"/>
      <c r="H1575" s="102"/>
      <c r="I1575" s="102"/>
      <c r="J1575" s="156"/>
      <c r="K1575" s="218"/>
      <c r="L1575" s="144"/>
      <c r="M1575" s="145"/>
      <c r="N1575" s="145"/>
      <c r="O1575" s="122"/>
      <c r="P1575" s="146" t="str">
        <f t="shared" si="58"/>
        <v/>
      </c>
      <c r="Q1575" s="214"/>
      <c r="R1575" s="11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</row>
    <row r="1576" ht="15.75" customHeight="1">
      <c r="A1576" s="90"/>
      <c r="B1576" s="6" t="s">
        <v>236</v>
      </c>
      <c r="C1576" s="90"/>
      <c r="D1576" s="185" t="s">
        <v>33</v>
      </c>
      <c r="E1576" s="327"/>
      <c r="F1576" s="187">
        <v>1.0</v>
      </c>
      <c r="G1576" s="187">
        <v>3.0</v>
      </c>
      <c r="H1576" s="195"/>
      <c r="I1576" s="164">
        <v>155.0</v>
      </c>
      <c r="J1576" s="189">
        <v>7.0</v>
      </c>
      <c r="K1576" s="183">
        <v>8.5</v>
      </c>
      <c r="L1576" s="134">
        <f>I1440</f>
        <v>150</v>
      </c>
      <c r="M1576" s="135">
        <f>iferror(mround($O1440*((VLOOKUP($J1576,Sheet1!$D:$N,$G1576+1,FALSE)-0.03)),2.5)," ")</f>
        <v>145</v>
      </c>
      <c r="N1576" s="135">
        <f>iferror(mround($O1440*((VLOOKUP($J1576,Sheet1!$D:$N,$G1576+1,FALSE)+0.02)),2.5)," ")</f>
        <v>152.5</v>
      </c>
      <c r="O1576" s="112">
        <f>iferror(mround(I1576/VLOOKUP(K1576,Sheet1!$D$7:$N$16,G1576+1,FALSE),2.5),"")</f>
        <v>177.5</v>
      </c>
      <c r="P1576" s="136">
        <f t="shared" si="58"/>
        <v>5</v>
      </c>
      <c r="Q1576" s="214"/>
      <c r="R1576" s="11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</row>
    <row r="1577" ht="3.75" customHeight="1">
      <c r="A1577" s="90"/>
      <c r="B1577" s="6"/>
      <c r="C1577" s="90"/>
      <c r="D1577" s="138"/>
      <c r="E1577" s="326"/>
      <c r="F1577" s="102"/>
      <c r="G1577" s="102"/>
      <c r="H1577" s="102"/>
      <c r="I1577" s="102"/>
      <c r="J1577" s="156"/>
      <c r="K1577" s="218"/>
      <c r="L1577" s="144"/>
      <c r="M1577" s="145"/>
      <c r="N1577" s="145"/>
      <c r="O1577" s="122"/>
      <c r="P1577" s="146" t="str">
        <f t="shared" si="58"/>
        <v/>
      </c>
      <c r="Q1577" s="214"/>
      <c r="R1577" s="11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</row>
    <row r="1578" ht="15.75" customHeight="1">
      <c r="A1578" s="90"/>
      <c r="B1578" s="6"/>
      <c r="C1578" s="90"/>
      <c r="D1578" s="185" t="s">
        <v>33</v>
      </c>
      <c r="E1578" s="327"/>
      <c r="F1578" s="187">
        <v>3.0</v>
      </c>
      <c r="G1578" s="187">
        <v>5.0</v>
      </c>
      <c r="H1578" s="195"/>
      <c r="I1578" s="164">
        <f>MROUND(I1576*(1+J1578),2.5)</f>
        <v>132.5</v>
      </c>
      <c r="J1578" s="230">
        <v>-0.15</v>
      </c>
      <c r="K1578" s="183">
        <v>7.0</v>
      </c>
      <c r="L1578" s="134">
        <f>I1442</f>
        <v>130</v>
      </c>
      <c r="M1578" s="135" t="str">
        <f>iferror(mround($O1442*((VLOOKUP($J1578,Sheet1!$D:$N,$G1578+1,FALSE)-0.03)),2.5)," ")</f>
        <v> </v>
      </c>
      <c r="N1578" s="135" t="str">
        <f>iferror(mround($O1442*((VLOOKUP($J1578,Sheet1!$D:$N,$G1578+1,FALSE)+0.02)),2.5)," ")</f>
        <v> </v>
      </c>
      <c r="O1578" s="112">
        <f>iferror(mround(I1578/VLOOKUP(K1578,Sheet1!$D$7:$N$16,G1578+1,FALSE),2.5),"")</f>
        <v>167.5</v>
      </c>
      <c r="P1578" s="136">
        <f t="shared" si="58"/>
        <v>2.5</v>
      </c>
      <c r="Q1578" s="214"/>
      <c r="R1578" s="11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</row>
    <row r="1579" ht="3.75" customHeight="1">
      <c r="A1579" s="90"/>
      <c r="B1579" s="6"/>
      <c r="C1579" s="90"/>
      <c r="D1579" s="138"/>
      <c r="E1579" s="184"/>
      <c r="F1579" s="102"/>
      <c r="G1579" s="102"/>
      <c r="H1579" s="102"/>
      <c r="I1579" s="102"/>
      <c r="J1579" s="156"/>
      <c r="K1579" s="218"/>
      <c r="L1579" s="144"/>
      <c r="M1579" s="145"/>
      <c r="N1579" s="145"/>
      <c r="O1579" s="122"/>
      <c r="P1579" s="146" t="str">
        <f t="shared" si="58"/>
        <v/>
      </c>
      <c r="Q1579" s="214"/>
      <c r="R1579" s="11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</row>
    <row r="1580" ht="15.75" customHeight="1">
      <c r="A1580" s="90"/>
      <c r="B1580" s="6"/>
      <c r="C1580" s="90"/>
      <c r="D1580" s="185" t="s">
        <v>295</v>
      </c>
      <c r="E1580" s="224" t="s">
        <v>296</v>
      </c>
      <c r="F1580" s="187">
        <v>3.0</v>
      </c>
      <c r="G1580" s="731" t="s">
        <v>251</v>
      </c>
      <c r="H1580" s="195"/>
      <c r="I1580" s="164"/>
      <c r="J1580" s="189">
        <v>8.0</v>
      </c>
      <c r="K1580" s="183">
        <v>8.0</v>
      </c>
      <c r="L1580" s="134" t="str">
        <f>I1444</f>
        <v/>
      </c>
      <c r="M1580" s="135" t="str">
        <f>iferror(mround($O1444*((VLOOKUP($J1580,Sheet1!$D:$N,$G1580+1,FALSE)-0.03)),2.5)," ")</f>
        <v> </v>
      </c>
      <c r="N1580" s="135" t="str">
        <f>iferror(mround($O1444*((VLOOKUP($J1580,Sheet1!$D:$N,$G1580+1,FALSE)+0.02)),2.5)," ")</f>
        <v> </v>
      </c>
      <c r="O1580" s="112" t="str">
        <f>iferror(mround(I1580/VLOOKUP(K1580,Sheet1!$D$7:$N$16,G1580+1,FALSE),2.5),"")</f>
        <v/>
      </c>
      <c r="P1580" s="136" t="str">
        <f t="shared" si="58"/>
        <v/>
      </c>
      <c r="Q1580" s="214"/>
      <c r="R1580" s="11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</row>
    <row r="1581" ht="3.75" customHeight="1">
      <c r="A1581" s="90"/>
      <c r="B1581" s="6"/>
      <c r="C1581" s="90"/>
      <c r="D1581" s="138"/>
      <c r="E1581" s="184"/>
      <c r="F1581" s="102"/>
      <c r="G1581" s="102"/>
      <c r="H1581" s="102"/>
      <c r="I1581" s="102"/>
      <c r="J1581" s="156"/>
      <c r="K1581" s="218"/>
      <c r="L1581" s="144"/>
      <c r="M1581" s="145"/>
      <c r="N1581" s="145"/>
      <c r="O1581" s="122"/>
      <c r="P1581" s="146" t="str">
        <f t="shared" si="58"/>
        <v/>
      </c>
      <c r="Q1581" s="214"/>
      <c r="R1581" s="11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</row>
    <row r="1582" ht="15.75" customHeight="1">
      <c r="A1582" s="90"/>
      <c r="B1582" s="6"/>
      <c r="C1582" s="90"/>
      <c r="D1582" s="185" t="s">
        <v>298</v>
      </c>
      <c r="E1582" s="224"/>
      <c r="F1582" s="187">
        <v>3.0</v>
      </c>
      <c r="G1582" s="731" t="s">
        <v>251</v>
      </c>
      <c r="H1582" s="195"/>
      <c r="I1582" s="164"/>
      <c r="J1582" s="189">
        <v>8.0</v>
      </c>
      <c r="K1582" s="183"/>
      <c r="L1582" s="134" t="str">
        <f>I1446</f>
        <v/>
      </c>
      <c r="M1582" s="135" t="str">
        <f>iferror(mround($O1446*((VLOOKUP($J1582,Sheet1!$D:$N,$G1582+1,FALSE)-0.03)),2.5)," ")</f>
        <v> </v>
      </c>
      <c r="N1582" s="135" t="str">
        <f>iferror(mround($O1446*((VLOOKUP($J1582,Sheet1!$D:$N,$G1582+1,FALSE)+0.02)),2.5)," ")</f>
        <v> </v>
      </c>
      <c r="O1582" s="112" t="str">
        <f>iferror(mround(I1582/VLOOKUP(K1582,Sheet1!$D$7:$N$16,G1582+1,FALSE),2.5),"")</f>
        <v/>
      </c>
      <c r="P1582" s="136" t="str">
        <f t="shared" si="58"/>
        <v/>
      </c>
      <c r="Q1582" s="214"/>
      <c r="R1582" s="11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</row>
    <row r="1583" ht="3.75" customHeight="1">
      <c r="A1583" s="90"/>
      <c r="B1583" s="6"/>
      <c r="C1583" s="90"/>
      <c r="D1583" s="138"/>
      <c r="E1583" s="184"/>
      <c r="F1583" s="102"/>
      <c r="G1583" s="102"/>
      <c r="H1583" s="102"/>
      <c r="I1583" s="102"/>
      <c r="J1583" s="156"/>
      <c r="K1583" s="218"/>
      <c r="L1583" s="144"/>
      <c r="M1583" s="145"/>
      <c r="N1583" s="145"/>
      <c r="O1583" s="122"/>
      <c r="P1583" s="146" t="str">
        <f t="shared" si="58"/>
        <v/>
      </c>
      <c r="Q1583" s="214"/>
      <c r="R1583" s="11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</row>
    <row r="1584" ht="15.75" hidden="1" customHeight="1">
      <c r="A1584" s="90"/>
      <c r="B1584" s="6"/>
      <c r="C1584" s="90"/>
      <c r="D1584" s="185"/>
      <c r="E1584" s="224"/>
      <c r="F1584" s="187"/>
      <c r="G1584" s="187"/>
      <c r="H1584" s="195"/>
      <c r="I1584" s="164"/>
      <c r="J1584" s="230"/>
      <c r="K1584" s="183"/>
      <c r="L1584" s="134" t="str">
        <f>I1448</f>
        <v/>
      </c>
      <c r="M1584" s="135" t="str">
        <f>iferror(mround($O1448*((VLOOKUP($J1584,Sheet1!$D:$N,$G1584+1,FALSE)-0.03)),2.5)," ")</f>
        <v> </v>
      </c>
      <c r="N1584" s="135" t="str">
        <f>iferror(mround($O1448*((VLOOKUP($J1584,Sheet1!$D:$N,$G1584+1,FALSE)+0.02)),2.5)," ")</f>
        <v> </v>
      </c>
      <c r="O1584" s="112" t="str">
        <f>iferror(mround(I1584/VLOOKUP(K1584,Sheet1!$D$7:$N$16,G1584+1,FALSE),2.5),"")</f>
        <v/>
      </c>
      <c r="P1584" s="136" t="str">
        <f t="shared" si="58"/>
        <v/>
      </c>
      <c r="Q1584" s="214"/>
      <c r="R1584" s="11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</row>
    <row r="1585" ht="3.75" hidden="1" customHeight="1">
      <c r="A1585" s="90"/>
      <c r="B1585" s="6"/>
      <c r="C1585" s="90"/>
      <c r="D1585" s="138"/>
      <c r="E1585" s="184"/>
      <c r="F1585" s="102"/>
      <c r="G1585" s="102"/>
      <c r="H1585" s="102"/>
      <c r="I1585" s="102"/>
      <c r="J1585" s="216"/>
      <c r="K1585" s="218"/>
      <c r="L1585" s="144"/>
      <c r="M1585" s="145"/>
      <c r="N1585" s="145"/>
      <c r="O1585" s="122"/>
      <c r="P1585" s="146" t="str">
        <f t="shared" si="58"/>
        <v/>
      </c>
      <c r="Q1585" s="214"/>
      <c r="R1585" s="11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</row>
    <row r="1586" ht="15.75" hidden="1" customHeight="1">
      <c r="A1586" s="90"/>
      <c r="B1586" s="6"/>
      <c r="C1586" s="90"/>
      <c r="D1586" s="185"/>
      <c r="E1586" s="327"/>
      <c r="F1586" s="187"/>
      <c r="G1586" s="187"/>
      <c r="H1586" s="195"/>
      <c r="I1586" s="164"/>
      <c r="J1586" s="230"/>
      <c r="K1586" s="183"/>
      <c r="L1586" s="134" t="str">
        <f>I1450</f>
        <v/>
      </c>
      <c r="M1586" s="135" t="str">
        <f>iferror(mround($O1450*((VLOOKUP($J1586,Sheet1!$D:$N,$G1586+1,FALSE)-0.03)),2.5)," ")</f>
        <v> </v>
      </c>
      <c r="N1586" s="135" t="str">
        <f>iferror(mround($O1450*((VLOOKUP($J1586,Sheet1!$D:$N,$G1586+1,FALSE)+0.02)),2.5)," ")</f>
        <v> </v>
      </c>
      <c r="O1586" s="112" t="str">
        <f>iferror(mround(I1586/VLOOKUP(K1586,Sheet1!$D$7:$N$16,G1586+1,FALSE),2.5),"")</f>
        <v/>
      </c>
      <c r="P1586" s="136" t="str">
        <f t="shared" si="58"/>
        <v/>
      </c>
      <c r="Q1586" s="214"/>
      <c r="R1586" s="11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</row>
    <row r="1587" ht="3.75" hidden="1" customHeight="1">
      <c r="A1587" s="191"/>
      <c r="B1587" s="6"/>
      <c r="C1587" s="192"/>
      <c r="D1587" s="138"/>
      <c r="E1587" s="184"/>
      <c r="F1587" s="102"/>
      <c r="G1587" s="102"/>
      <c r="H1587" s="102"/>
      <c r="I1587" s="102"/>
      <c r="J1587" s="156"/>
      <c r="K1587" s="218"/>
      <c r="L1587" s="144"/>
      <c r="M1587" s="145"/>
      <c r="N1587" s="145"/>
      <c r="O1587" s="122"/>
      <c r="P1587" s="146" t="str">
        <f t="shared" si="58"/>
        <v/>
      </c>
      <c r="Q1587" s="214"/>
      <c r="R1587" s="157"/>
      <c r="S1587" s="5"/>
      <c r="T1587" s="5"/>
      <c r="U1587" s="158"/>
      <c r="V1587" s="158"/>
      <c r="W1587" s="158"/>
      <c r="X1587" s="158"/>
      <c r="Y1587" s="158"/>
      <c r="Z1587" s="158"/>
      <c r="AA1587" s="158"/>
      <c r="AB1587" s="158"/>
      <c r="AC1587" s="158"/>
      <c r="AD1587" s="158"/>
      <c r="AE1587" s="158"/>
      <c r="AF1587" s="158"/>
    </row>
    <row r="1588" ht="15.75" hidden="1" customHeight="1">
      <c r="A1588" s="90"/>
      <c r="B1588" s="6"/>
      <c r="C1588" s="90"/>
      <c r="D1588" s="185"/>
      <c r="E1588" s="224"/>
      <c r="F1588" s="187"/>
      <c r="G1588" s="187"/>
      <c r="H1588" s="195"/>
      <c r="I1588" s="164"/>
      <c r="J1588" s="230"/>
      <c r="K1588" s="183"/>
      <c r="L1588" s="134" t="str">
        <f>I1452</f>
        <v/>
      </c>
      <c r="M1588" s="135" t="str">
        <f>iferror(mround($O1452*((VLOOKUP($J1588,Sheet1!$D:$N,$G1588+1,FALSE)-0.03)),2.5)," ")</f>
        <v> </v>
      </c>
      <c r="N1588" s="135" t="str">
        <f>iferror(mround($O1452*((VLOOKUP($J1588,Sheet1!$D:$N,$G1588+1,FALSE)+0.02)),2.5)," ")</f>
        <v> </v>
      </c>
      <c r="O1588" s="112" t="str">
        <f>iferror(mround(I1588/VLOOKUP(K1588,Sheet1!$D$7:$N$16,G1588+1,FALSE),2.5),"")</f>
        <v/>
      </c>
      <c r="P1588" s="136" t="str">
        <f t="shared" si="58"/>
        <v/>
      </c>
      <c r="Q1588" s="214"/>
      <c r="R1588" s="11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</row>
    <row r="1589" ht="3.75" hidden="1" customHeight="1">
      <c r="A1589" s="90"/>
      <c r="B1589" s="6"/>
      <c r="C1589" s="90"/>
      <c r="D1589" s="138"/>
      <c r="E1589" s="184"/>
      <c r="F1589" s="102"/>
      <c r="G1589" s="102"/>
      <c r="H1589" s="102"/>
      <c r="I1589" s="102"/>
      <c r="J1589" s="156"/>
      <c r="K1589" s="218"/>
      <c r="L1589" s="144"/>
      <c r="M1589" s="145"/>
      <c r="N1589" s="145"/>
      <c r="O1589" s="122"/>
      <c r="P1589" s="146" t="str">
        <f t="shared" si="58"/>
        <v/>
      </c>
      <c r="Q1589" s="214"/>
      <c r="R1589" s="11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</row>
    <row r="1590" ht="15.75" hidden="1" customHeight="1">
      <c r="A1590" s="90"/>
      <c r="B1590" s="6"/>
      <c r="C1590" s="90"/>
      <c r="D1590" s="231"/>
      <c r="E1590" s="232"/>
      <c r="F1590" s="187"/>
      <c r="G1590" s="187"/>
      <c r="H1590" s="195"/>
      <c r="I1590" s="164"/>
      <c r="J1590" s="230"/>
      <c r="K1590" s="183"/>
      <c r="L1590" s="134" t="str">
        <f>I1454</f>
        <v/>
      </c>
      <c r="M1590" s="135" t="str">
        <f>iferror(mround($O1454*((VLOOKUP($J1590,Sheet1!$D:$N,$G1590+1,FALSE)-0.03)),2.5)," ")</f>
        <v> </v>
      </c>
      <c r="N1590" s="135" t="str">
        <f>iferror(mround($O1454*((VLOOKUP($J1590,Sheet1!$D:$N,$G1590+1,FALSE)+0.02)),2.5)," ")</f>
        <v> </v>
      </c>
      <c r="O1590" s="112" t="str">
        <f>iferror(mround(I1590/VLOOKUP(K1590,Sheet1!$D$7:$N$16,G1590+1,FALSE),2.5),"")</f>
        <v/>
      </c>
      <c r="P1590" s="136" t="str">
        <f t="shared" si="58"/>
        <v/>
      </c>
      <c r="Q1590" s="214"/>
      <c r="R1590" s="11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</row>
    <row r="1591" ht="3.75" hidden="1" customHeight="1">
      <c r="A1591" s="191"/>
      <c r="B1591" s="6"/>
      <c r="C1591" s="233"/>
      <c r="D1591" s="234"/>
      <c r="E1591" s="235"/>
      <c r="F1591" s="236"/>
      <c r="G1591" s="194"/>
      <c r="H1591" s="155"/>
      <c r="I1591" s="210"/>
      <c r="J1591" s="216"/>
      <c r="K1591" s="218"/>
      <c r="L1591" s="144"/>
      <c r="M1591" s="145"/>
      <c r="N1591" s="145"/>
      <c r="O1591" s="122"/>
      <c r="P1591" s="146" t="str">
        <f t="shared" si="58"/>
        <v/>
      </c>
      <c r="Q1591" s="214"/>
      <c r="R1591" s="157"/>
      <c r="S1591" s="5"/>
      <c r="T1591" s="5"/>
      <c r="U1591" s="158"/>
      <c r="V1591" s="158"/>
      <c r="W1591" s="158"/>
      <c r="X1591" s="158"/>
      <c r="Y1591" s="158"/>
      <c r="Z1591" s="158"/>
      <c r="AA1591" s="158"/>
      <c r="AB1591" s="158"/>
      <c r="AC1591" s="158"/>
      <c r="AD1591" s="158"/>
      <c r="AE1591" s="158"/>
      <c r="AF1591" s="158"/>
    </row>
    <row r="1592" ht="15.75" hidden="1" customHeight="1">
      <c r="A1592" s="90"/>
      <c r="B1592" s="6"/>
      <c r="C1592" s="90"/>
      <c r="D1592" s="197"/>
      <c r="E1592" s="198"/>
      <c r="F1592" s="199"/>
      <c r="G1592" s="187"/>
      <c r="H1592" s="195"/>
      <c r="I1592" s="164"/>
      <c r="J1592" s="189"/>
      <c r="K1592" s="183"/>
      <c r="L1592" s="134" t="str">
        <f>I1456</f>
        <v/>
      </c>
      <c r="M1592" s="135" t="str">
        <f>iferror(mround($O1456*((VLOOKUP($J1592,Sheet1!$D:$N,$G1592+1,FALSE)-0.03)),2.5)," ")</f>
        <v> </v>
      </c>
      <c r="N1592" s="135" t="str">
        <f>iferror(mround($O1456*((VLOOKUP($J1592,Sheet1!$D:$N,$G1592+1,FALSE)+0.02)),2.5)," ")</f>
        <v> </v>
      </c>
      <c r="O1592" s="112" t="str">
        <f>iferror(mround(I1592/VLOOKUP(K1592,Sheet1!$D$7:$N$16,G1592+1,FALSE),2.5),"")</f>
        <v/>
      </c>
      <c r="P1592" s="136" t="str">
        <f t="shared" si="58"/>
        <v/>
      </c>
      <c r="Q1592" s="214"/>
      <c r="R1592" s="11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</row>
    <row r="1593" ht="3.75" hidden="1" customHeight="1">
      <c r="A1593" s="90"/>
      <c r="B1593" s="6"/>
      <c r="C1593" s="90"/>
      <c r="D1593" s="90"/>
      <c r="E1593" s="156"/>
      <c r="F1593" s="102"/>
      <c r="G1593" s="102"/>
      <c r="H1593" s="102"/>
      <c r="I1593" s="102"/>
      <c r="J1593" s="156"/>
      <c r="K1593" s="720"/>
      <c r="L1593" s="211"/>
      <c r="M1593" s="47"/>
      <c r="N1593" s="47"/>
      <c r="O1593" s="122"/>
      <c r="P1593" s="146" t="str">
        <f t="shared" si="58"/>
        <v/>
      </c>
      <c r="Q1593" s="214"/>
      <c r="R1593" s="11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</row>
    <row r="1594" ht="30.0" customHeight="1">
      <c r="A1594" s="90"/>
      <c r="B1594" s="6"/>
      <c r="C1594" s="90"/>
      <c r="D1594" s="765" t="s">
        <v>279</v>
      </c>
      <c r="E1594" s="255" t="s">
        <v>15</v>
      </c>
      <c r="F1594" s="106" t="s">
        <v>16</v>
      </c>
      <c r="G1594" s="106" t="s">
        <v>17</v>
      </c>
      <c r="H1594" s="107"/>
      <c r="I1594" s="106" t="s">
        <v>18</v>
      </c>
      <c r="J1594" s="766" t="s">
        <v>241</v>
      </c>
      <c r="K1594" s="767" t="s">
        <v>20</v>
      </c>
      <c r="L1594" s="110" t="s">
        <v>21</v>
      </c>
      <c r="M1594" s="111" t="s">
        <v>22</v>
      </c>
      <c r="O1594" s="112"/>
      <c r="P1594" s="113" t="s">
        <v>23</v>
      </c>
      <c r="Q1594" s="768"/>
      <c r="R1594" s="11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</row>
    <row r="1595" ht="14.25" customHeight="1">
      <c r="A1595" s="90"/>
      <c r="B1595" s="6"/>
      <c r="C1595" s="90"/>
      <c r="D1595" s="257" t="s">
        <v>25</v>
      </c>
      <c r="E1595" s="258" t="s">
        <v>26</v>
      </c>
      <c r="H1595" s="107"/>
      <c r="J1595" s="766" t="s">
        <v>244</v>
      </c>
      <c r="M1595" s="111" t="s">
        <v>27</v>
      </c>
      <c r="N1595" s="111" t="s">
        <v>28</v>
      </c>
      <c r="O1595" s="112" t="s">
        <v>29</v>
      </c>
      <c r="Q1595" s="118" t="s">
        <v>30</v>
      </c>
      <c r="R1595" s="11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</row>
    <row r="1596" ht="3.75" customHeight="1">
      <c r="A1596" s="191"/>
      <c r="B1596" s="6"/>
      <c r="C1596" s="192"/>
      <c r="D1596" s="203"/>
      <c r="E1596" s="204"/>
      <c r="F1596" s="205"/>
      <c r="G1596" s="205"/>
      <c r="H1596" s="205"/>
      <c r="I1596" s="225"/>
      <c r="J1596" s="237"/>
      <c r="K1596" s="777"/>
      <c r="L1596" s="211" t="str">
        <f t="shared" ref="L1596:L1616" si="59">I1462</f>
        <v/>
      </c>
      <c r="M1596" s="47" t="str">
        <f>iferror(mround($O1462*((VLOOKUP($J1596,Sheet1!$D:$N,$G1596+1,FALSE)-0.03)),2.5)," ")</f>
        <v> </v>
      </c>
      <c r="N1596" s="47" t="str">
        <f>iferror(mround($O1462*((VLOOKUP($J1596,Sheet1!$D:$N,$G1596+1,FALSE)+0.02)),2.5)," ")</f>
        <v> </v>
      </c>
      <c r="O1596" s="122"/>
      <c r="P1596" s="146"/>
      <c r="Q1596" s="778"/>
      <c r="R1596" s="157"/>
      <c r="S1596" s="5"/>
      <c r="T1596" s="5"/>
      <c r="U1596" s="158"/>
      <c r="V1596" s="158"/>
      <c r="W1596" s="158"/>
      <c r="X1596" s="158"/>
      <c r="Y1596" s="158"/>
      <c r="Z1596" s="158"/>
      <c r="AA1596" s="158"/>
      <c r="AB1596" s="158"/>
      <c r="AC1596" s="158"/>
      <c r="AD1596" s="158"/>
      <c r="AE1596" s="158"/>
      <c r="AF1596" s="158"/>
    </row>
    <row r="1597" ht="15.75" customHeight="1">
      <c r="A1597" s="124"/>
      <c r="B1597" s="6" t="s">
        <v>301</v>
      </c>
      <c r="C1597" s="124"/>
      <c r="D1597" s="185" t="s">
        <v>77</v>
      </c>
      <c r="E1597" s="260"/>
      <c r="F1597" s="187">
        <v>1.0</v>
      </c>
      <c r="G1597" s="187">
        <v>4.0</v>
      </c>
      <c r="H1597" s="195"/>
      <c r="I1597" s="164">
        <v>210.0</v>
      </c>
      <c r="J1597" s="248">
        <v>7.0</v>
      </c>
      <c r="K1597" s="164"/>
      <c r="L1597" s="134">
        <f t="shared" si="59"/>
        <v>205</v>
      </c>
      <c r="M1597" s="135">
        <f>iferror(mround($O1463*((VLOOKUP($J1597,Sheet1!$D:$N,$G1597+1,FALSE)-0.03)),2.5)," ")</f>
        <v>197.5</v>
      </c>
      <c r="N1597" s="135">
        <f>iferror(mround($O1463*((VLOOKUP($J1597,Sheet1!$D:$N,$G1597+1,FALSE)+0.02)),2.5)," ")</f>
        <v>210</v>
      </c>
      <c r="O1597" s="112" t="str">
        <f>iferror(mround(I1597/VLOOKUP(K1597,Sheet1!$D$7:$N$16,G1597+1,FALSE),2.5),"")</f>
        <v/>
      </c>
      <c r="P1597" s="136">
        <f>IF(I1597 - I1461 = 0, "", I1597 - I1463)</f>
        <v>5</v>
      </c>
      <c r="Q1597" s="242"/>
      <c r="R1597" s="11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</row>
    <row r="1598" ht="3.75" customHeight="1">
      <c r="A1598" s="124"/>
      <c r="B1598" s="6"/>
      <c r="C1598" s="124"/>
      <c r="D1598" s="138"/>
      <c r="E1598" s="252"/>
      <c r="F1598" s="140"/>
      <c r="G1598" s="140"/>
      <c r="H1598" s="140"/>
      <c r="I1598" s="140"/>
      <c r="J1598" s="141"/>
      <c r="K1598" s="210"/>
      <c r="L1598" s="144" t="str">
        <f t="shared" si="59"/>
        <v/>
      </c>
      <c r="M1598" s="145" t="str">
        <f>iferror(mround($O1464*((VLOOKUP($J1598,Sheet1!$D:$N,$G1598+1,FALSE)-0.03)),2.5)," ")</f>
        <v> </v>
      </c>
      <c r="N1598" s="145" t="str">
        <f>iferror(mround($O1464*((VLOOKUP($J1598,Sheet1!$D:$N,$G1598+1,FALSE)+0.02)),2.5)," ")</f>
        <v> </v>
      </c>
      <c r="O1598" s="122"/>
      <c r="P1598" s="146"/>
      <c r="Q1598" s="242"/>
      <c r="R1598" s="11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</row>
    <row r="1599" ht="15.0" customHeight="1">
      <c r="A1599" s="124"/>
      <c r="B1599" s="6"/>
      <c r="C1599" s="124"/>
      <c r="D1599" s="704" t="s">
        <v>77</v>
      </c>
      <c r="E1599" s="260"/>
      <c r="F1599" s="187">
        <v>3.0</v>
      </c>
      <c r="G1599" s="187">
        <v>4.0</v>
      </c>
      <c r="H1599" s="195"/>
      <c r="I1599" s="164">
        <f>MROUND(I1597*(1+J1599),2.5)</f>
        <v>185</v>
      </c>
      <c r="J1599" s="779">
        <v>-0.12</v>
      </c>
      <c r="K1599" s="164"/>
      <c r="L1599" s="134">
        <f t="shared" si="59"/>
        <v>185</v>
      </c>
      <c r="M1599" s="135" t="str">
        <f>iferror(mround($O1465*((VLOOKUP($J1599,Sheet1!$D:$N,$G1599+1,FALSE)-0.03)),2.5)," ")</f>
        <v> </v>
      </c>
      <c r="N1599" s="135" t="str">
        <f>iferror(mround($O1465*((VLOOKUP($J1599,Sheet1!$D:$N,$G1599+1,FALSE)+0.02)),2.5)," ")</f>
        <v> </v>
      </c>
      <c r="O1599" s="112" t="str">
        <f>iferror(mround(I1599/VLOOKUP(K1599,Sheet1!$D$7:$N$16,G1599+1,FALSE),2.5),"")</f>
        <v/>
      </c>
      <c r="P1599" s="136">
        <f>IF(I1599 - I1463 = 0, "", I1599 - I1465)</f>
        <v>0</v>
      </c>
      <c r="Q1599" s="242"/>
      <c r="R1599" s="11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</row>
    <row r="1600" ht="3.75" customHeight="1">
      <c r="A1600" s="124"/>
      <c r="B1600" s="6"/>
      <c r="C1600" s="124"/>
      <c r="D1600" s="138"/>
      <c r="E1600" s="252"/>
      <c r="F1600" s="102"/>
      <c r="G1600" s="102"/>
      <c r="H1600" s="102"/>
      <c r="I1600" s="102"/>
      <c r="J1600" s="156"/>
      <c r="K1600" s="210"/>
      <c r="L1600" s="144" t="str">
        <f t="shared" si="59"/>
        <v/>
      </c>
      <c r="M1600" s="145" t="str">
        <f>iferror(mround($O1466*((VLOOKUP($J1600,Sheet1!$D:$N,$G1600+1,FALSE)-0.03)),2.5)," ")</f>
        <v> </v>
      </c>
      <c r="N1600" s="145" t="str">
        <f>iferror(mround($O1466*((VLOOKUP($J1600,Sheet1!$D:$N,$G1600+1,FALSE)+0.02)),2.5)," ")</f>
        <v> </v>
      </c>
      <c r="O1600" s="122"/>
      <c r="P1600" s="146"/>
      <c r="Q1600" s="242"/>
      <c r="R1600" s="11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</row>
    <row r="1601" ht="15.75" hidden="1" customHeight="1">
      <c r="A1601" s="124"/>
      <c r="B1601" s="6"/>
      <c r="C1601" s="124"/>
      <c r="D1601" s="704"/>
      <c r="E1601" s="260"/>
      <c r="F1601" s="187"/>
      <c r="G1601" s="187"/>
      <c r="H1601" s="195"/>
      <c r="I1601" s="164"/>
      <c r="J1601" s="779"/>
      <c r="K1601" s="164"/>
      <c r="L1601" s="134" t="str">
        <f t="shared" si="59"/>
        <v/>
      </c>
      <c r="M1601" s="135" t="str">
        <f>iferror(mround($O1467*((VLOOKUP($J1601,Sheet1!$D:$N,$G1601+1,FALSE)-0.03)),2.5)," ")</f>
        <v> </v>
      </c>
      <c r="N1601" s="135" t="str">
        <f>iferror(mround($O1467*((VLOOKUP($J1601,Sheet1!$D:$N,$G1601+1,FALSE)+0.02)),2.5)," ")</f>
        <v> </v>
      </c>
      <c r="O1601" s="112" t="str">
        <f>iferror(mround(I1601/VLOOKUP(K1601,Sheet1!$D$7:$N$16,G1601+1,FALSE),2.5),"")</f>
        <v/>
      </c>
      <c r="P1601" s="136">
        <f>IF(I1601 - I1465 = 0, "", I1601 - I1467)</f>
        <v>0</v>
      </c>
      <c r="Q1601" s="242"/>
      <c r="R1601" s="11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</row>
    <row r="1602" ht="3.75" hidden="1" customHeight="1">
      <c r="A1602" s="124"/>
      <c r="B1602" s="6"/>
      <c r="C1602" s="124"/>
      <c r="D1602" s="138"/>
      <c r="E1602" s="252"/>
      <c r="F1602" s="102"/>
      <c r="G1602" s="102"/>
      <c r="H1602" s="102"/>
      <c r="I1602" s="102"/>
      <c r="J1602" s="156"/>
      <c r="K1602" s="210"/>
      <c r="L1602" s="144" t="str">
        <f t="shared" si="59"/>
        <v/>
      </c>
      <c r="M1602" s="145" t="str">
        <f>iferror(mround($O1468*((VLOOKUP($J1602,Sheet1!$D:$N,$G1602+1,FALSE)-0.03)),2.5)," ")</f>
        <v> </v>
      </c>
      <c r="N1602" s="145" t="str">
        <f>iferror(mround($O1468*((VLOOKUP($J1602,Sheet1!$D:$N,$G1602+1,FALSE)+0.02)),2.5)," ")</f>
        <v> </v>
      </c>
      <c r="O1602" s="122"/>
      <c r="P1602" s="146"/>
      <c r="Q1602" s="242"/>
      <c r="R1602" s="11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</row>
    <row r="1603" ht="15.75" customHeight="1">
      <c r="A1603" s="124"/>
      <c r="B1603" s="6" t="s">
        <v>302</v>
      </c>
      <c r="C1603" s="124"/>
      <c r="D1603" s="185" t="s">
        <v>33</v>
      </c>
      <c r="E1603" s="224" t="s">
        <v>303</v>
      </c>
      <c r="F1603" s="187">
        <v>4.0</v>
      </c>
      <c r="G1603" s="187">
        <v>4.0</v>
      </c>
      <c r="H1603" s="195"/>
      <c r="I1603" s="164">
        <v>130.0</v>
      </c>
      <c r="J1603" s="248"/>
      <c r="K1603" s="164"/>
      <c r="L1603" s="134">
        <f t="shared" si="59"/>
        <v>127.5</v>
      </c>
      <c r="M1603" s="135" t="str">
        <f>iferror(mround($O1469*((VLOOKUP($J1603,Sheet1!$D:$N,$G1603+1,FALSE)-0.03)),2.5)," ")</f>
        <v> </v>
      </c>
      <c r="N1603" s="135" t="str">
        <f>iferror(mround($O1469*((VLOOKUP($J1603,Sheet1!$D:$N,$G1603+1,FALSE)+0.02)),2.5)," ")</f>
        <v> </v>
      </c>
      <c r="O1603" s="112" t="str">
        <f>iferror(mround(I1603/VLOOKUP(K1603,Sheet1!$D$7:$N$16,G1603+1,FALSE),2.5),"")</f>
        <v/>
      </c>
      <c r="P1603" s="136">
        <f>IF(I1603 - I1467 = 0, "", I1603 - I1469)</f>
        <v>2.5</v>
      </c>
      <c r="Q1603" s="242"/>
      <c r="R1603" s="11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</row>
    <row r="1604" ht="3.75" customHeight="1">
      <c r="A1604" s="90"/>
      <c r="B1604" s="6"/>
      <c r="C1604" s="90"/>
      <c r="D1604" s="138"/>
      <c r="E1604" s="252"/>
      <c r="F1604" s="102"/>
      <c r="G1604" s="102"/>
      <c r="H1604" s="102"/>
      <c r="I1604" s="102"/>
      <c r="J1604" s="156"/>
      <c r="K1604" s="210"/>
      <c r="L1604" s="144" t="str">
        <f t="shared" si="59"/>
        <v/>
      </c>
      <c r="M1604" s="145" t="str">
        <f>iferror(mround($O1470*((VLOOKUP($J1604,Sheet1!$D:$N,$G1604+1,FALSE)-0.03)),2.5)," ")</f>
        <v> </v>
      </c>
      <c r="N1604" s="145" t="str">
        <f>iferror(mround($O1470*((VLOOKUP($J1604,Sheet1!$D:$N,$G1604+1,FALSE)+0.02)),2.5)," ")</f>
        <v> </v>
      </c>
      <c r="O1604" s="122"/>
      <c r="P1604" s="146"/>
      <c r="Q1604" s="242"/>
      <c r="R1604" s="11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</row>
    <row r="1605" ht="15.75" hidden="1" customHeight="1">
      <c r="A1605" s="90"/>
      <c r="B1605" s="6"/>
      <c r="C1605" s="90"/>
      <c r="D1605" s="185"/>
      <c r="E1605" s="260"/>
      <c r="F1605" s="187"/>
      <c r="G1605" s="187"/>
      <c r="H1605" s="195"/>
      <c r="I1605" s="164"/>
      <c r="J1605" s="779"/>
      <c r="K1605" s="164"/>
      <c r="L1605" s="134" t="str">
        <f t="shared" si="59"/>
        <v/>
      </c>
      <c r="M1605" s="135" t="str">
        <f>iferror(mround($O1471*((VLOOKUP($J1605,Sheet1!$D:$N,$G1605+1,FALSE)-0.03)),2.5)," ")</f>
        <v> </v>
      </c>
      <c r="N1605" s="135" t="str">
        <f>iferror(mround($O1471*((VLOOKUP($J1605,Sheet1!$D:$N,$G1605+1,FALSE)+0.02)),2.5)," ")</f>
        <v> </v>
      </c>
      <c r="O1605" s="112" t="str">
        <f>iferror(mround(I1605/VLOOKUP(K1605,Sheet1!$D$7:$N$16,G1605+1,FALSE),2.5),"")</f>
        <v/>
      </c>
      <c r="P1605" s="136">
        <f>IF(I1605 - I1469 = 0, "", I1605 - I1471)</f>
        <v>0</v>
      </c>
      <c r="Q1605" s="242"/>
      <c r="R1605" s="11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</row>
    <row r="1606" ht="3.75" hidden="1" customHeight="1">
      <c r="A1606" s="191"/>
      <c r="B1606" s="6"/>
      <c r="C1606" s="192"/>
      <c r="D1606" s="138"/>
      <c r="E1606" s="252"/>
      <c r="F1606" s="102"/>
      <c r="G1606" s="102"/>
      <c r="H1606" s="102"/>
      <c r="I1606" s="102"/>
      <c r="J1606" s="156"/>
      <c r="K1606" s="210"/>
      <c r="L1606" s="144" t="str">
        <f t="shared" si="59"/>
        <v/>
      </c>
      <c r="M1606" s="145" t="str">
        <f>iferror(mround($O1472*((VLOOKUP($J1606,Sheet1!$D:$N,$G1606+1,FALSE)-0.03)),2.5)," ")</f>
        <v> </v>
      </c>
      <c r="N1606" s="145" t="str">
        <f>iferror(mround($O1472*((VLOOKUP($J1606,Sheet1!$D:$N,$G1606+1,FALSE)+0.02)),2.5)," ")</f>
        <v> </v>
      </c>
      <c r="O1606" s="122"/>
      <c r="P1606" s="146"/>
      <c r="Q1606" s="242"/>
      <c r="R1606" s="157"/>
      <c r="S1606" s="5"/>
      <c r="T1606" s="5"/>
      <c r="U1606" s="158"/>
      <c r="V1606" s="158"/>
      <c r="W1606" s="158"/>
      <c r="X1606" s="158"/>
      <c r="Y1606" s="158"/>
      <c r="Z1606" s="158"/>
      <c r="AA1606" s="158"/>
      <c r="AB1606" s="158"/>
      <c r="AC1606" s="158"/>
      <c r="AD1606" s="158"/>
      <c r="AE1606" s="158"/>
      <c r="AF1606" s="158"/>
    </row>
    <row r="1607" ht="15.75" customHeight="1">
      <c r="A1607" s="90"/>
      <c r="B1607" s="6"/>
      <c r="C1607" s="90"/>
      <c r="D1607" s="185" t="s">
        <v>259</v>
      </c>
      <c r="E1607" s="260"/>
      <c r="F1607" s="187">
        <v>3.0</v>
      </c>
      <c r="G1607" s="731" t="s">
        <v>260</v>
      </c>
      <c r="H1607" s="195"/>
      <c r="I1607" s="164"/>
      <c r="J1607" s="248">
        <v>7.0</v>
      </c>
      <c r="K1607" s="164"/>
      <c r="L1607" s="134" t="str">
        <f t="shared" si="59"/>
        <v/>
      </c>
      <c r="M1607" s="135" t="str">
        <f>iferror(mround($O1473*((VLOOKUP($J1607,Sheet1!$D:$N,$G1607+1,FALSE)-0.03)),2.5)," ")</f>
        <v> </v>
      </c>
      <c r="N1607" s="135" t="str">
        <f>iferror(mround($O1473*((VLOOKUP($J1607,Sheet1!$D:$N,$G1607+1,FALSE)+0.02)),2.5)," ")</f>
        <v> </v>
      </c>
      <c r="O1607" s="112" t="str">
        <f>iferror(mround(I1607/VLOOKUP(K1607,Sheet1!$D$7:$N$16,G1607+1,FALSE),2.5),"")</f>
        <v/>
      </c>
      <c r="P1607" s="136" t="str">
        <f>IF(I1607 - I1471 = 0, "", I1607 - I1473)</f>
        <v/>
      </c>
      <c r="Q1607" s="242"/>
      <c r="R1607" s="11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</row>
    <row r="1608" ht="3.75" customHeight="1">
      <c r="A1608" s="90"/>
      <c r="B1608" s="6"/>
      <c r="C1608" s="90"/>
      <c r="D1608" s="138"/>
      <c r="E1608" s="252"/>
      <c r="F1608" s="102"/>
      <c r="G1608" s="102"/>
      <c r="H1608" s="102"/>
      <c r="I1608" s="102"/>
      <c r="J1608" s="156"/>
      <c r="K1608" s="210"/>
      <c r="L1608" s="144" t="str">
        <f t="shared" si="59"/>
        <v/>
      </c>
      <c r="M1608" s="145" t="str">
        <f>iferror(mround($O1474*((VLOOKUP($J1608,Sheet1!$D:$N,$G1608+1,FALSE)-0.03)),2.5)," ")</f>
        <v> </v>
      </c>
      <c r="N1608" s="145" t="str">
        <f>iferror(mround($O1474*((VLOOKUP($J1608,Sheet1!$D:$N,$G1608+1,FALSE)+0.02)),2.5)," ")</f>
        <v> </v>
      </c>
      <c r="O1608" s="122"/>
      <c r="P1608" s="146"/>
      <c r="Q1608" s="242"/>
      <c r="R1608" s="11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</row>
    <row r="1609" ht="15.75" customHeight="1">
      <c r="A1609" s="90"/>
      <c r="B1609" s="6"/>
      <c r="C1609" s="90"/>
      <c r="D1609" s="185" t="s">
        <v>263</v>
      </c>
      <c r="E1609" s="260"/>
      <c r="F1609" s="187">
        <v>2.0</v>
      </c>
      <c r="G1609" s="187">
        <v>15.0</v>
      </c>
      <c r="H1609" s="195"/>
      <c r="I1609" s="247"/>
      <c r="J1609" s="248">
        <v>8.0</v>
      </c>
      <c r="K1609" s="164"/>
      <c r="L1609" s="134" t="str">
        <f t="shared" si="59"/>
        <v/>
      </c>
      <c r="M1609" s="135" t="str">
        <f>iferror(mround($O1475*((VLOOKUP($J1609,Sheet1!$D:$N,$G1609+1,FALSE)-0.03)),2.5)," ")</f>
        <v> </v>
      </c>
      <c r="N1609" s="135" t="str">
        <f>iferror(mround($O1475*((VLOOKUP($J1609,Sheet1!$D:$N,$G1609+1,FALSE)+0.02)),2.5)," ")</f>
        <v> </v>
      </c>
      <c r="O1609" s="112" t="str">
        <f>iferror(mround(I1609/VLOOKUP(K1609,Sheet1!$D$7:$N$16,G1609+1,FALSE),2.5),"")</f>
        <v/>
      </c>
      <c r="P1609" s="136" t="str">
        <f>IF(I1609 - I1473 = 0, "", I1609 - I1475)</f>
        <v/>
      </c>
      <c r="Q1609" s="242"/>
      <c r="R1609" s="11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</row>
    <row r="1610" ht="3.75" customHeight="1">
      <c r="A1610" s="90"/>
      <c r="B1610" s="6"/>
      <c r="C1610" s="90"/>
      <c r="D1610" s="138"/>
      <c r="E1610" s="184"/>
      <c r="F1610" s="102"/>
      <c r="G1610" s="102"/>
      <c r="H1610" s="102"/>
      <c r="I1610" s="102"/>
      <c r="J1610" s="156"/>
      <c r="K1610" s="210"/>
      <c r="L1610" s="144" t="str">
        <f t="shared" si="59"/>
        <v/>
      </c>
      <c r="M1610" s="145" t="str">
        <f>iferror(mround($O1476*((VLOOKUP($J1610,Sheet1!$D:$N,$G1610+1,FALSE)-0.03)),2.5)," ")</f>
        <v> </v>
      </c>
      <c r="N1610" s="145" t="str">
        <f>iferror(mround($O1476*((VLOOKUP($J1610,Sheet1!$D:$N,$G1610+1,FALSE)+0.02)),2.5)," ")</f>
        <v> </v>
      </c>
      <c r="O1610" s="122"/>
      <c r="P1610" s="146"/>
      <c r="Q1610" s="242"/>
      <c r="R1610" s="11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</row>
    <row r="1611" ht="15.75" hidden="1" customHeight="1">
      <c r="A1611" s="90"/>
      <c r="B1611" s="6"/>
      <c r="C1611" s="90"/>
      <c r="D1611" s="185"/>
      <c r="E1611" s="224"/>
      <c r="F1611" s="187"/>
      <c r="G1611" s="187"/>
      <c r="H1611" s="195"/>
      <c r="I1611" s="247"/>
      <c r="J1611" s="248"/>
      <c r="K1611" s="164"/>
      <c r="L1611" s="134" t="str">
        <f t="shared" si="59"/>
        <v/>
      </c>
      <c r="M1611" s="135" t="str">
        <f>iferror(mround($O1477*((VLOOKUP($J1611,Sheet1!$D:$N,$G1611+1,FALSE)-0.03)),2.5)," ")</f>
        <v> </v>
      </c>
      <c r="N1611" s="135" t="str">
        <f>iferror(mround($O1477*((VLOOKUP($J1611,Sheet1!$D:$N,$G1611+1,FALSE)+0.02)),2.5)," ")</f>
        <v> </v>
      </c>
      <c r="O1611" s="112" t="str">
        <f>iferror(mround(I1611/VLOOKUP(K1611,Sheet1!$D$7:$N$16,G1611+1,FALSE),2.5),"")</f>
        <v/>
      </c>
      <c r="P1611" s="136" t="str">
        <f>IF(I1611 - I1475 = 0, "", I1611 - I1477)</f>
        <v/>
      </c>
      <c r="Q1611" s="242"/>
      <c r="R1611" s="11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</row>
    <row r="1612" ht="3.75" hidden="1" customHeight="1">
      <c r="A1612" s="90"/>
      <c r="B1612" s="6"/>
      <c r="C1612" s="90"/>
      <c r="D1612" s="196"/>
      <c r="E1612" s="184"/>
      <c r="F1612" s="102"/>
      <c r="G1612" s="102"/>
      <c r="H1612" s="102"/>
      <c r="I1612" s="102"/>
      <c r="J1612" s="156"/>
      <c r="K1612" s="210"/>
      <c r="L1612" s="144" t="str">
        <f t="shared" si="59"/>
        <v/>
      </c>
      <c r="M1612" s="145" t="str">
        <f>iferror(mround($O1478*((VLOOKUP($J1612,Sheet1!$D:$N,$G1612+1,FALSE)-0.03)),2.5)," ")</f>
        <v> </v>
      </c>
      <c r="N1612" s="145" t="str">
        <f>iferror(mround($O1478*((VLOOKUP($J1612,Sheet1!$D:$N,$G1612+1,FALSE)+0.02)),2.5)," ")</f>
        <v> </v>
      </c>
      <c r="O1612" s="122"/>
      <c r="P1612" s="146"/>
      <c r="Q1612" s="242"/>
      <c r="R1612" s="11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</row>
    <row r="1613" ht="15.75" hidden="1" customHeight="1">
      <c r="A1613" s="90"/>
      <c r="B1613" s="6"/>
      <c r="C1613" s="90"/>
      <c r="D1613" s="197"/>
      <c r="E1613" s="250"/>
      <c r="F1613" s="129"/>
      <c r="G1613" s="199"/>
      <c r="H1613" s="195"/>
      <c r="I1613" s="247"/>
      <c r="J1613" s="248"/>
      <c r="K1613" s="164"/>
      <c r="L1613" s="134" t="str">
        <f t="shared" si="59"/>
        <v/>
      </c>
      <c r="M1613" s="135" t="str">
        <f>iferror(mround($O1479*((VLOOKUP($J1613,Sheet1!$D:$N,$G1613+1,FALSE)-0.03)),2.5)," ")</f>
        <v> </v>
      </c>
      <c r="N1613" s="135" t="str">
        <f>iferror(mround($O1479*((VLOOKUP($J1613,Sheet1!$D:$N,$G1613+1,FALSE)+0.02)),2.5)," ")</f>
        <v> </v>
      </c>
      <c r="O1613" s="112" t="str">
        <f>iferror(mround(I1613/VLOOKUP(K1613,Sheet1!$D$7:$N$16,G1613+1,FALSE),2.5),"")</f>
        <v/>
      </c>
      <c r="P1613" s="136" t="str">
        <f>IF(I1613 - I1477 = 0, "", I1613 - I1479)</f>
        <v/>
      </c>
      <c r="Q1613" s="242"/>
      <c r="R1613" s="11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</row>
    <row r="1614" ht="3.75" hidden="1" customHeight="1">
      <c r="A1614" s="90"/>
      <c r="B1614" s="6"/>
      <c r="C1614" s="90"/>
      <c r="D1614" s="234"/>
      <c r="E1614" s="184"/>
      <c r="F1614" s="102"/>
      <c r="G1614" s="102"/>
      <c r="H1614" s="102"/>
      <c r="I1614" s="102"/>
      <c r="J1614" s="156"/>
      <c r="K1614" s="210"/>
      <c r="L1614" s="144" t="str">
        <f t="shared" si="59"/>
        <v/>
      </c>
      <c r="M1614" s="145" t="str">
        <f>iferror(mround($O1480*((VLOOKUP($J1614,Sheet1!$D:$N,$G1614+1,FALSE)-0.03)),2.5)," ")</f>
        <v> </v>
      </c>
      <c r="N1614" s="145" t="str">
        <f>iferror(mround($O1480*((VLOOKUP($J1614,Sheet1!$D:$N,$G1614+1,FALSE)+0.02)),2.5)," ")</f>
        <v> </v>
      </c>
      <c r="O1614" s="122"/>
      <c r="P1614" s="146"/>
      <c r="Q1614" s="242"/>
      <c r="R1614" s="11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</row>
    <row r="1615" ht="15.75" hidden="1" customHeight="1">
      <c r="A1615" s="90"/>
      <c r="B1615" s="6"/>
      <c r="C1615" s="90"/>
      <c r="D1615" s="197"/>
      <c r="E1615" s="198"/>
      <c r="F1615" s="129"/>
      <c r="G1615" s="199"/>
      <c r="H1615" s="195"/>
      <c r="I1615" s="164"/>
      <c r="J1615" s="248"/>
      <c r="K1615" s="164"/>
      <c r="L1615" s="134" t="str">
        <f t="shared" si="59"/>
        <v/>
      </c>
      <c r="M1615" s="135" t="str">
        <f>iferror(mround($O1481*((VLOOKUP($J1615,Sheet1!$D:$N,$G1615+1,FALSE)-0.03)),2.5)," ")</f>
        <v> </v>
      </c>
      <c r="N1615" s="135" t="str">
        <f>iferror(mround($O1481*((VLOOKUP($J1615,Sheet1!$D:$N,$G1615+1,FALSE)+0.02)),2.5)," ")</f>
        <v> </v>
      </c>
      <c r="O1615" s="112" t="str">
        <f>iferror(mround(I1615/VLOOKUP(K1615,Sheet1!$D$7:$N$16,G1615+1,FALSE),2.5),"")</f>
        <v/>
      </c>
      <c r="P1615" s="136" t="str">
        <f>IF(I1615 - I1479 = 0, "", I1615 - I1481)</f>
        <v/>
      </c>
      <c r="Q1615" s="242"/>
      <c r="R1615" s="11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</row>
    <row r="1616" ht="3.75" hidden="1" customHeight="1">
      <c r="A1616" s="124"/>
      <c r="B1616" s="6"/>
      <c r="C1616" s="124"/>
      <c r="D1616" s="252"/>
      <c r="E1616" s="252"/>
      <c r="F1616" s="102"/>
      <c r="G1616" s="102"/>
      <c r="H1616" s="102"/>
      <c r="I1616" s="102"/>
      <c r="J1616" s="156"/>
      <c r="K1616" s="259"/>
      <c r="L1616" s="211" t="str">
        <f t="shared" si="59"/>
        <v/>
      </c>
      <c r="M1616" s="47" t="str">
        <f>iferror(mround($O1482*((VLOOKUP($J1616,Sheet1!$D:$N,$G1616+1,FALSE)-0.03)),2.5)," ")</f>
        <v> </v>
      </c>
      <c r="N1616" s="47" t="str">
        <f>iferror(mround($O1482*((VLOOKUP($J1616,Sheet1!$D:$N,$G1616+1,FALSE)+0.02)),2.5)," ")</f>
        <v> </v>
      </c>
      <c r="O1616" s="122"/>
      <c r="P1616" s="146"/>
      <c r="Q1616" s="242"/>
      <c r="R1616" s="11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</row>
    <row r="1617" ht="30.75" customHeight="1">
      <c r="A1617" s="90"/>
      <c r="B1617" s="6"/>
      <c r="C1617" s="90"/>
      <c r="D1617" s="780" t="s">
        <v>280</v>
      </c>
      <c r="E1617" s="255" t="s">
        <v>15</v>
      </c>
      <c r="F1617" s="106" t="s">
        <v>16</v>
      </c>
      <c r="G1617" s="106" t="s">
        <v>17</v>
      </c>
      <c r="H1617" s="107"/>
      <c r="I1617" s="106" t="s">
        <v>18</v>
      </c>
      <c r="J1617" s="766" t="s">
        <v>241</v>
      </c>
      <c r="K1617" s="767" t="s">
        <v>20</v>
      </c>
      <c r="L1617" s="110" t="s">
        <v>21</v>
      </c>
      <c r="M1617" s="111" t="s">
        <v>22</v>
      </c>
      <c r="O1617" s="112"/>
      <c r="P1617" s="113" t="s">
        <v>23</v>
      </c>
      <c r="Q1617" s="768"/>
      <c r="R1617" s="11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</row>
    <row r="1618" ht="14.25" customHeight="1">
      <c r="A1618" s="90"/>
      <c r="B1618" s="6"/>
      <c r="C1618" s="90"/>
      <c r="D1618" s="257" t="s">
        <v>25</v>
      </c>
      <c r="E1618" s="258" t="s">
        <v>26</v>
      </c>
      <c r="H1618" s="107"/>
      <c r="J1618" s="766" t="s">
        <v>244</v>
      </c>
      <c r="M1618" s="111" t="s">
        <v>27</v>
      </c>
      <c r="N1618" s="111" t="s">
        <v>28</v>
      </c>
      <c r="O1618" s="781" t="s">
        <v>29</v>
      </c>
      <c r="Q1618" s="118" t="s">
        <v>30</v>
      </c>
      <c r="R1618" s="11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</row>
    <row r="1619" ht="3.75" customHeight="1">
      <c r="A1619" s="124"/>
      <c r="B1619" s="6"/>
      <c r="C1619" s="124"/>
      <c r="D1619" s="252"/>
      <c r="E1619" s="252"/>
      <c r="F1619" s="102"/>
      <c r="G1619" s="102"/>
      <c r="H1619" s="102"/>
      <c r="I1619" s="102"/>
      <c r="J1619" s="156"/>
      <c r="K1619" s="259"/>
      <c r="L1619" s="211" t="str">
        <f t="shared" ref="L1619:L1620" si="60">I1485</f>
        <v/>
      </c>
      <c r="M1619" s="47"/>
      <c r="N1619" s="47"/>
      <c r="O1619" s="122"/>
      <c r="P1619" s="146" t="str">
        <f>IF(I1619 - I1483 = 0, "", I1619 - I1483)</f>
        <v/>
      </c>
      <c r="Q1619" s="259"/>
      <c r="R1619" s="11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</row>
    <row r="1620" ht="14.25" hidden="1" customHeight="1">
      <c r="A1620" s="124"/>
      <c r="B1620" s="6"/>
      <c r="C1620" s="124"/>
      <c r="D1620" s="185"/>
      <c r="E1620" s="224"/>
      <c r="F1620" s="187"/>
      <c r="G1620" s="187"/>
      <c r="H1620" s="195"/>
      <c r="I1620" s="164"/>
      <c r="J1620" s="248"/>
      <c r="K1620" s="164"/>
      <c r="L1620" s="134" t="str">
        <f t="shared" si="60"/>
        <v/>
      </c>
      <c r="M1620" s="135" t="str">
        <f>iferror(mround($O1486*((VLOOKUP($J1620,Sheet1!$D:$N,$G1620+1,FALSE)-0.03)),2.5)," ")</f>
        <v> </v>
      </c>
      <c r="N1620" s="135" t="str">
        <f>iferror(mround($O1486*((VLOOKUP($J1620,Sheet1!$D:$N,$G1620+1,FALSE)+0.02)),2.5)," ")</f>
        <v> </v>
      </c>
      <c r="O1620" s="56" t="str">
        <f>iferror(mround(I1620/VLOOKUP(K1620,Sheet1!$D$7:$N$16,G1620+1,FALSE),2.5),"")</f>
        <v/>
      </c>
      <c r="P1620" s="136" t="str">
        <f>IF(I1620 - I1484 = 0, "", I1620 - I1486)</f>
        <v/>
      </c>
      <c r="R1620" s="11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</row>
    <row r="1621" ht="3.75" hidden="1" customHeight="1">
      <c r="A1621" s="124"/>
      <c r="B1621" s="6"/>
      <c r="C1621" s="124"/>
      <c r="D1621" s="138"/>
      <c r="E1621" s="184"/>
      <c r="F1621" s="102"/>
      <c r="G1621" s="102"/>
      <c r="H1621" s="102"/>
      <c r="I1621" s="102"/>
      <c r="J1621" s="156"/>
      <c r="K1621" s="210"/>
      <c r="L1621" s="144"/>
      <c r="M1621" s="145"/>
      <c r="N1621" s="145"/>
      <c r="O1621" s="122"/>
      <c r="P1621" s="146" t="str">
        <f>IF(I1621 - I1485 = 0, "", I1621 - I1485)</f>
        <v/>
      </c>
      <c r="R1621" s="11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</row>
    <row r="1622" ht="14.25" customHeight="1">
      <c r="A1622" s="124"/>
      <c r="B1622" s="6" t="s">
        <v>301</v>
      </c>
      <c r="C1622" s="124"/>
      <c r="D1622" s="185" t="s">
        <v>97</v>
      </c>
      <c r="E1622" s="260"/>
      <c r="F1622" s="187">
        <v>1.0</v>
      </c>
      <c r="G1622" s="187">
        <v>3.0</v>
      </c>
      <c r="H1622" s="195"/>
      <c r="I1622" s="164">
        <v>280.0</v>
      </c>
      <c r="J1622" s="248">
        <v>7.0</v>
      </c>
      <c r="K1622" s="164"/>
      <c r="L1622" s="134">
        <f>I1488</f>
        <v>270</v>
      </c>
      <c r="M1622" s="135">
        <f>iferror(mround($O1488*((VLOOKUP($J1622,Sheet1!$D:$N,$G1622+1,FALSE)-0.03)),2.5)," ")</f>
        <v>265</v>
      </c>
      <c r="N1622" s="135">
        <f>iferror(mround($O1488*((VLOOKUP($J1622,Sheet1!$D:$N,$G1622+1,FALSE)+0.02)),2.5)," ")</f>
        <v>280</v>
      </c>
      <c r="O1622" s="112" t="str">
        <f>iferror(mround(I1622/VLOOKUP(K1622,Sheet1!$D$7:$N$16,G1622+1,FALSE),2.5),"")</f>
        <v/>
      </c>
      <c r="P1622" s="136">
        <f>IF(I1622 - I1486 = 0, "", I1622 - I1488)</f>
        <v>10</v>
      </c>
      <c r="R1622" s="11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</row>
    <row r="1623" ht="3.75" customHeight="1">
      <c r="A1623" s="124"/>
      <c r="B1623" s="6"/>
      <c r="C1623" s="124"/>
      <c r="D1623" s="138"/>
      <c r="E1623" s="252"/>
      <c r="F1623" s="102"/>
      <c r="G1623" s="102"/>
      <c r="H1623" s="102"/>
      <c r="I1623" s="102"/>
      <c r="J1623" s="156"/>
      <c r="K1623" s="210"/>
      <c r="L1623" s="144"/>
      <c r="M1623" s="145"/>
      <c r="N1623" s="145"/>
      <c r="O1623" s="122"/>
      <c r="P1623" s="146" t="str">
        <f>IF(I1623 - I1487 = 0, "", I1623 - I1487)</f>
        <v/>
      </c>
      <c r="R1623" s="11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</row>
    <row r="1624" ht="14.25" customHeight="1">
      <c r="A1624" s="124"/>
      <c r="B1624" s="6"/>
      <c r="C1624" s="124"/>
      <c r="D1624" s="185" t="s">
        <v>97</v>
      </c>
      <c r="E1624" s="260"/>
      <c r="F1624" s="187">
        <v>4.0</v>
      </c>
      <c r="G1624" s="187">
        <v>3.0</v>
      </c>
      <c r="H1624" s="195"/>
      <c r="I1624" s="164">
        <f>MROUND(I1622*(1+J1624),2.5)</f>
        <v>247.5</v>
      </c>
      <c r="J1624" s="779">
        <v>-0.12</v>
      </c>
      <c r="K1624" s="164"/>
      <c r="L1624" s="134">
        <f>I1490</f>
        <v>242.5</v>
      </c>
      <c r="M1624" s="135" t="str">
        <f>iferror(mround($O1490*((VLOOKUP($J1624,Sheet1!$D:$N,$G1624+1,FALSE)-0.03)),2.5)," ")</f>
        <v> </v>
      </c>
      <c r="N1624" s="135" t="str">
        <f>iferror(mround($O1490*((VLOOKUP($J1624,Sheet1!$D:$N,$G1624+1,FALSE)+0.02)),2.5)," ")</f>
        <v> </v>
      </c>
      <c r="O1624" s="112" t="str">
        <f>iferror(mround(I1624/VLOOKUP(K1624,Sheet1!$D$7:$N$16,G1624+1,FALSE),2.5),"")</f>
        <v/>
      </c>
      <c r="P1624" s="136">
        <f>IF(I1624 - I1488 = 0, "", I1624 - I1490)</f>
        <v>5</v>
      </c>
      <c r="R1624" s="11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</row>
    <row r="1625" ht="3.75" customHeight="1">
      <c r="A1625" s="124"/>
      <c r="B1625" s="6"/>
      <c r="C1625" s="124"/>
      <c r="D1625" s="138"/>
      <c r="E1625" s="252"/>
      <c r="F1625" s="102"/>
      <c r="G1625" s="102"/>
      <c r="H1625" s="102"/>
      <c r="I1625" s="102"/>
      <c r="J1625" s="156"/>
      <c r="K1625" s="210"/>
      <c r="L1625" s="144"/>
      <c r="M1625" s="145"/>
      <c r="N1625" s="145"/>
      <c r="O1625" s="122"/>
      <c r="P1625" s="146" t="str">
        <f t="shared" ref="P1625:P1642" si="61">IF(I1625 - I1489 = 0, "", I1625 - I1489)</f>
        <v/>
      </c>
      <c r="R1625" s="11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</row>
    <row r="1626" ht="14.25" hidden="1" customHeight="1">
      <c r="A1626" s="124"/>
      <c r="B1626" s="6"/>
      <c r="C1626" s="124"/>
      <c r="D1626" s="185"/>
      <c r="E1626" s="260"/>
      <c r="F1626" s="187"/>
      <c r="G1626" s="187"/>
      <c r="H1626" s="195"/>
      <c r="I1626" s="164"/>
      <c r="J1626" s="248"/>
      <c r="K1626" s="164"/>
      <c r="L1626" s="134" t="str">
        <f>I1492</f>
        <v/>
      </c>
      <c r="M1626" s="135" t="str">
        <f>iferror(mround($O1492*((VLOOKUP($J1626,Sheet1!$D:$N,$G1626+1,FALSE)-0.03)),2.5)," ")</f>
        <v> </v>
      </c>
      <c r="N1626" s="135" t="str">
        <f>iferror(mround($O1492*((VLOOKUP($J1626,Sheet1!$D:$N,$G1626+1,FALSE)+0.02)),2.5)," ")</f>
        <v> </v>
      </c>
      <c r="O1626" s="112" t="str">
        <f>iferror(mround(I1626/VLOOKUP(K1626,Sheet1!$D$7:$N$16,G1626+1,FALSE),2.5),"")</f>
        <v/>
      </c>
      <c r="P1626" s="136">
        <f t="shared" si="61"/>
        <v>-242.5</v>
      </c>
      <c r="R1626" s="11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</row>
    <row r="1627" ht="3.75" hidden="1" customHeight="1">
      <c r="A1627" s="124"/>
      <c r="B1627" s="6"/>
      <c r="C1627" s="124"/>
      <c r="D1627" s="138"/>
      <c r="E1627" s="252"/>
      <c r="F1627" s="102"/>
      <c r="G1627" s="102"/>
      <c r="H1627" s="102"/>
      <c r="I1627" s="102"/>
      <c r="J1627" s="156"/>
      <c r="K1627" s="210"/>
      <c r="L1627" s="144"/>
      <c r="M1627" s="145"/>
      <c r="N1627" s="145"/>
      <c r="O1627" s="122"/>
      <c r="P1627" s="146" t="str">
        <f t="shared" si="61"/>
        <v/>
      </c>
      <c r="R1627" s="11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</row>
    <row r="1628" ht="14.25" customHeight="1">
      <c r="A1628" s="124"/>
      <c r="B1628" s="6" t="s">
        <v>301</v>
      </c>
      <c r="C1628" s="124"/>
      <c r="D1628" s="185" t="s">
        <v>33</v>
      </c>
      <c r="E1628" s="260"/>
      <c r="F1628" s="187">
        <v>1.0</v>
      </c>
      <c r="G1628" s="187">
        <v>2.0</v>
      </c>
      <c r="H1628" s="195"/>
      <c r="I1628" s="164"/>
      <c r="J1628" s="248">
        <v>7.5</v>
      </c>
      <c r="K1628" s="164"/>
      <c r="L1628" s="134">
        <f>I1494</f>
        <v>155</v>
      </c>
      <c r="M1628" s="135">
        <f>iferror(mround($O1494*((VLOOKUP($J1628,Sheet1!$D:$N,$G1628+1,FALSE)-0.03)),2.5)," ")</f>
        <v>155</v>
      </c>
      <c r="N1628" s="135">
        <f>iferror(mround($O1494*((VLOOKUP($J1628,Sheet1!$D:$N,$G1628+1,FALSE)+0.02)),2.5)," ")</f>
        <v>162.5</v>
      </c>
      <c r="O1628" s="112" t="str">
        <f>iferror(mround(I1628/VLOOKUP(K1628,Sheet1!$D$7:$N$16,G1628+1,FALSE),2.5),"")</f>
        <v/>
      </c>
      <c r="P1628" s="136" t="str">
        <f t="shared" si="61"/>
        <v/>
      </c>
      <c r="R1628" s="11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</row>
    <row r="1629" ht="3.75" customHeight="1">
      <c r="A1629" s="261"/>
      <c r="B1629" s="6"/>
      <c r="C1629" s="262"/>
      <c r="D1629" s="138"/>
      <c r="E1629" s="252"/>
      <c r="F1629" s="102"/>
      <c r="G1629" s="102"/>
      <c r="H1629" s="102"/>
      <c r="I1629" s="102"/>
      <c r="J1629" s="156"/>
      <c r="K1629" s="210"/>
      <c r="L1629" s="144"/>
      <c r="M1629" s="145"/>
      <c r="N1629" s="145"/>
      <c r="O1629" s="122"/>
      <c r="P1629" s="146" t="str">
        <f t="shared" si="61"/>
        <v/>
      </c>
      <c r="R1629" s="157"/>
      <c r="S1629" s="5"/>
      <c r="T1629" s="5"/>
      <c r="U1629" s="158"/>
      <c r="V1629" s="158"/>
      <c r="W1629" s="158"/>
      <c r="X1629" s="158"/>
      <c r="Y1629" s="158"/>
      <c r="Z1629" s="158"/>
      <c r="AA1629" s="158"/>
      <c r="AB1629" s="158"/>
      <c r="AC1629" s="158"/>
      <c r="AD1629" s="158"/>
      <c r="AE1629" s="158"/>
      <c r="AF1629" s="158"/>
    </row>
    <row r="1630" ht="14.25" customHeight="1">
      <c r="A1630" s="124"/>
      <c r="B1630" s="6"/>
      <c r="C1630" s="124"/>
      <c r="D1630" s="185" t="s">
        <v>33</v>
      </c>
      <c r="E1630" s="260"/>
      <c r="F1630" s="187">
        <v>4.0</v>
      </c>
      <c r="G1630" s="187">
        <v>4.0</v>
      </c>
      <c r="H1630" s="195"/>
      <c r="I1630" s="164">
        <f>MROUND(I1628*(1+J1630),2.5)</f>
        <v>0</v>
      </c>
      <c r="J1630" s="779">
        <v>-0.12</v>
      </c>
      <c r="K1630" s="164"/>
      <c r="L1630" s="134">
        <f>I1496</f>
        <v>135</v>
      </c>
      <c r="M1630" s="135" t="str">
        <f>iferror(mround($O1496*((VLOOKUP($J1630,Sheet1!$D:$N,$G1630+1,FALSE)-0.03)),2.5)," ")</f>
        <v> </v>
      </c>
      <c r="N1630" s="135" t="str">
        <f>iferror(mround($O1496*((VLOOKUP($J1630,Sheet1!$D:$N,$G1630+1,FALSE)+0.02)),2.5)," ")</f>
        <v> </v>
      </c>
      <c r="O1630" s="112" t="str">
        <f>iferror(mround(I1630/VLOOKUP(K1630,Sheet1!$D$7:$N$16,G1630+1,FALSE),2.5),"")</f>
        <v/>
      </c>
      <c r="P1630" s="136">
        <f t="shared" si="61"/>
        <v>-155</v>
      </c>
      <c r="R1630" s="11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</row>
    <row r="1631" ht="3.75" customHeight="1">
      <c r="A1631" s="261"/>
      <c r="B1631" s="6"/>
      <c r="C1631" s="262"/>
      <c r="D1631" s="138"/>
      <c r="E1631" s="252"/>
      <c r="F1631" s="102"/>
      <c r="G1631" s="102"/>
      <c r="H1631" s="102"/>
      <c r="I1631" s="102"/>
      <c r="J1631" s="156"/>
      <c r="K1631" s="210"/>
      <c r="L1631" s="144"/>
      <c r="M1631" s="145"/>
      <c r="N1631" s="145"/>
      <c r="O1631" s="122"/>
      <c r="P1631" s="146" t="str">
        <f t="shared" si="61"/>
        <v/>
      </c>
      <c r="R1631" s="157"/>
      <c r="S1631" s="5"/>
      <c r="T1631" s="5"/>
      <c r="U1631" s="158"/>
      <c r="V1631" s="158"/>
      <c r="W1631" s="158"/>
      <c r="X1631" s="158"/>
      <c r="Y1631" s="158"/>
      <c r="Z1631" s="158"/>
      <c r="AA1631" s="158"/>
      <c r="AB1631" s="158"/>
      <c r="AC1631" s="158"/>
      <c r="AD1631" s="158"/>
      <c r="AE1631" s="158"/>
      <c r="AF1631" s="158"/>
    </row>
    <row r="1632" ht="15.75" hidden="1" customHeight="1">
      <c r="A1632" s="124"/>
      <c r="B1632" s="6"/>
      <c r="C1632" s="124"/>
      <c r="D1632" s="185"/>
      <c r="E1632" s="260"/>
      <c r="F1632" s="187"/>
      <c r="G1632" s="187"/>
      <c r="H1632" s="195"/>
      <c r="I1632" s="247"/>
      <c r="J1632" s="248"/>
      <c r="K1632" s="164"/>
      <c r="L1632" s="134" t="str">
        <f>I1498</f>
        <v/>
      </c>
      <c r="M1632" s="135" t="str">
        <f>iferror(mround($O1498*((VLOOKUP($J1632,Sheet1!$D:$N,$G1632+1,FALSE)-0.03)),2.5)," ")</f>
        <v> </v>
      </c>
      <c r="N1632" s="135" t="str">
        <f>iferror(mround($O1498*((VLOOKUP($J1632,Sheet1!$D:$N,$G1632+1,FALSE)+0.02)),2.5)," ")</f>
        <v> </v>
      </c>
      <c r="O1632" s="112" t="str">
        <f>iferror(mround(I1632/VLOOKUP(K1632,Sheet1!$D$7:$N$16,G1632+1,FALSE),2.5),"")</f>
        <v/>
      </c>
      <c r="P1632" s="136">
        <f t="shared" si="61"/>
        <v>-135</v>
      </c>
      <c r="R1632" s="11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</row>
    <row r="1633" ht="3.75" hidden="1" customHeight="1">
      <c r="A1633" s="124"/>
      <c r="B1633" s="6"/>
      <c r="C1633" s="124"/>
      <c r="D1633" s="263"/>
      <c r="E1633" s="252"/>
      <c r="F1633" s="102"/>
      <c r="G1633" s="102"/>
      <c r="H1633" s="102"/>
      <c r="I1633" s="102"/>
      <c r="J1633" s="156"/>
      <c r="K1633" s="210"/>
      <c r="L1633" s="144"/>
      <c r="M1633" s="145"/>
      <c r="N1633" s="145"/>
      <c r="O1633" s="122"/>
      <c r="P1633" s="146" t="str">
        <f t="shared" si="61"/>
        <v/>
      </c>
      <c r="R1633" s="11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</row>
    <row r="1634" ht="14.25" customHeight="1">
      <c r="A1634" s="90"/>
      <c r="B1634" s="6"/>
      <c r="C1634" s="90"/>
      <c r="D1634" s="185" t="s">
        <v>54</v>
      </c>
      <c r="E1634" s="264"/>
      <c r="F1634" s="187">
        <v>3.0</v>
      </c>
      <c r="G1634" s="731" t="s">
        <v>260</v>
      </c>
      <c r="H1634" s="195"/>
      <c r="I1634" s="164"/>
      <c r="J1634" s="248">
        <v>8.0</v>
      </c>
      <c r="K1634" s="164"/>
      <c r="L1634" s="134" t="str">
        <f>I1500</f>
        <v/>
      </c>
      <c r="M1634" s="135" t="str">
        <f>iferror(mround($O1500*((VLOOKUP($J1634,Sheet1!$D:$N,$G1634+1,FALSE)-0.03)),2.5)," ")</f>
        <v> </v>
      </c>
      <c r="N1634" s="135" t="str">
        <f>iferror(mround($O1500*((VLOOKUP($J1634,Sheet1!$D:$N,$G1634+1,FALSE)+0.02)),2.5)," ")</f>
        <v> </v>
      </c>
      <c r="O1634" s="112" t="str">
        <f>iferror(mround(I1634/VLOOKUP(K1634,Sheet1!$D$7:$N$16,G1634+1,FALSE),2.5),"")</f>
        <v/>
      </c>
      <c r="P1634" s="136" t="str">
        <f t="shared" si="61"/>
        <v/>
      </c>
      <c r="R1634" s="11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</row>
    <row r="1635" ht="3.75" customHeight="1">
      <c r="A1635" s="261"/>
      <c r="B1635" s="6"/>
      <c r="C1635" s="262"/>
      <c r="D1635" s="263"/>
      <c r="E1635" s="263"/>
      <c r="F1635" s="194"/>
      <c r="G1635" s="194"/>
      <c r="H1635" s="155"/>
      <c r="I1635" s="210"/>
      <c r="J1635" s="265"/>
      <c r="K1635" s="210"/>
      <c r="L1635" s="144"/>
      <c r="M1635" s="145"/>
      <c r="N1635" s="145"/>
      <c r="O1635" s="122"/>
      <c r="P1635" s="146" t="str">
        <f t="shared" si="61"/>
        <v/>
      </c>
      <c r="R1635" s="157"/>
      <c r="S1635" s="5"/>
      <c r="T1635" s="5"/>
      <c r="U1635" s="158"/>
      <c r="V1635" s="158"/>
      <c r="W1635" s="158"/>
      <c r="X1635" s="158"/>
      <c r="Y1635" s="158"/>
      <c r="Z1635" s="158"/>
      <c r="AA1635" s="158"/>
      <c r="AB1635" s="158"/>
      <c r="AC1635" s="158"/>
      <c r="AD1635" s="158"/>
      <c r="AE1635" s="158"/>
      <c r="AF1635" s="158"/>
    </row>
    <row r="1636" ht="15.75" hidden="1" customHeight="1">
      <c r="A1636" s="90"/>
      <c r="B1636" s="6"/>
      <c r="C1636" s="90"/>
      <c r="D1636" s="185"/>
      <c r="E1636" s="266"/>
      <c r="F1636" s="187"/>
      <c r="G1636" s="187"/>
      <c r="H1636" s="195"/>
      <c r="I1636" s="164"/>
      <c r="J1636" s="248"/>
      <c r="K1636" s="164"/>
      <c r="L1636" s="134" t="str">
        <f>I1502</f>
        <v/>
      </c>
      <c r="M1636" s="135" t="str">
        <f>iferror(mround($O1502*((VLOOKUP($J1636,Sheet1!$D:$N,$G1636+1,FALSE)-0.03)),2.5)," ")</f>
        <v> </v>
      </c>
      <c r="N1636" s="135" t="str">
        <f>iferror(mround($O1502*((VLOOKUP($J1636,Sheet1!$D:$N,$G1636+1,FALSE)+0.02)),2.5)," ")</f>
        <v> </v>
      </c>
      <c r="O1636" s="112" t="str">
        <f>iferror(mround(I1636/VLOOKUP(K1636,Sheet1!$D$7:$N$16,G1636+1,FALSE),2.5),"")</f>
        <v/>
      </c>
      <c r="P1636" s="136" t="str">
        <f t="shared" si="61"/>
        <v/>
      </c>
      <c r="R1636" s="11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</row>
    <row r="1637" ht="3.75" hidden="1" customHeight="1">
      <c r="A1637" s="90"/>
      <c r="B1637" s="6"/>
      <c r="C1637" s="90"/>
      <c r="D1637" s="138"/>
      <c r="E1637" s="252"/>
      <c r="F1637" s="102"/>
      <c r="G1637" s="102"/>
      <c r="H1637" s="102"/>
      <c r="I1637" s="102"/>
      <c r="J1637" s="156"/>
      <c r="K1637" s="210"/>
      <c r="L1637" s="144"/>
      <c r="M1637" s="145"/>
      <c r="N1637" s="145"/>
      <c r="O1637" s="122"/>
      <c r="P1637" s="146" t="str">
        <f t="shared" si="61"/>
        <v/>
      </c>
      <c r="R1637" s="11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</row>
    <row r="1638" ht="15.75" customHeight="1">
      <c r="A1638" s="90"/>
      <c r="B1638" s="6"/>
      <c r="C1638" s="90"/>
      <c r="D1638" s="185" t="s">
        <v>267</v>
      </c>
      <c r="E1638" s="264"/>
      <c r="F1638" s="187">
        <v>3.0</v>
      </c>
      <c r="G1638" s="731" t="s">
        <v>260</v>
      </c>
      <c r="H1638" s="195"/>
      <c r="I1638" s="164"/>
      <c r="J1638" s="248">
        <v>8.0</v>
      </c>
      <c r="K1638" s="164"/>
      <c r="L1638" s="134" t="str">
        <f>I1504</f>
        <v/>
      </c>
      <c r="M1638" s="135" t="str">
        <f>iferror(mround($O1504*((VLOOKUP($J1638,Sheet1!$D:$N,$G1638+1,FALSE)-0.03)),2.5)," ")</f>
        <v> </v>
      </c>
      <c r="N1638" s="135" t="str">
        <f>iferror(mround($O1504*((VLOOKUP($J1638,Sheet1!$D:$N,$G1638+1,FALSE)+0.02)),2.5)," ")</f>
        <v> </v>
      </c>
      <c r="O1638" s="112" t="str">
        <f>iferror(mround(I1638/VLOOKUP(K1638,Sheet1!$D$7:$N$16,G1638+1,FALSE),2.5),"")</f>
        <v/>
      </c>
      <c r="P1638" s="136" t="str">
        <f t="shared" si="61"/>
        <v/>
      </c>
      <c r="R1638" s="11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</row>
    <row r="1639" ht="3.75" customHeight="1">
      <c r="A1639" s="191"/>
      <c r="B1639" s="6"/>
      <c r="C1639" s="192"/>
      <c r="D1639" s="138"/>
      <c r="E1639" s="252"/>
      <c r="F1639" s="102"/>
      <c r="G1639" s="102"/>
      <c r="H1639" s="102"/>
      <c r="I1639" s="102"/>
      <c r="J1639" s="156"/>
      <c r="K1639" s="210"/>
      <c r="L1639" s="144"/>
      <c r="M1639" s="145"/>
      <c r="N1639" s="145"/>
      <c r="O1639" s="122"/>
      <c r="P1639" s="146" t="str">
        <f t="shared" si="61"/>
        <v/>
      </c>
      <c r="R1639" s="157"/>
      <c r="S1639" s="5"/>
      <c r="T1639" s="5"/>
      <c r="U1639" s="158"/>
      <c r="V1639" s="158"/>
      <c r="W1639" s="158"/>
      <c r="X1639" s="158"/>
      <c r="Y1639" s="158"/>
      <c r="Z1639" s="158"/>
      <c r="AA1639" s="158"/>
      <c r="AB1639" s="158"/>
      <c r="AC1639" s="158"/>
      <c r="AD1639" s="158"/>
      <c r="AE1639" s="158"/>
      <c r="AF1639" s="158"/>
    </row>
    <row r="1640" ht="15.75" customHeight="1">
      <c r="A1640" s="90"/>
      <c r="B1640" s="6"/>
      <c r="C1640" s="90"/>
      <c r="D1640" s="185" t="s">
        <v>270</v>
      </c>
      <c r="E1640" s="260"/>
      <c r="F1640" s="187">
        <v>3.0</v>
      </c>
      <c r="G1640" s="731" t="s">
        <v>260</v>
      </c>
      <c r="H1640" s="195"/>
      <c r="I1640" s="164"/>
      <c r="J1640" s="248">
        <v>9.0</v>
      </c>
      <c r="K1640" s="164"/>
      <c r="L1640" s="134" t="str">
        <f>I1506</f>
        <v/>
      </c>
      <c r="M1640" s="135" t="str">
        <f>iferror(mround($O1506*((VLOOKUP($J1640,Sheet1!$D:$N,$G1640+1,FALSE)-0.03)),2.5)," ")</f>
        <v> </v>
      </c>
      <c r="N1640" s="135" t="str">
        <f>iferror(mround($O1506*((VLOOKUP($J1640,Sheet1!$D:$N,$G1640+1,FALSE)+0.02)),2.5)," ")</f>
        <v> </v>
      </c>
      <c r="O1640" s="112" t="str">
        <f>iferror(mround(I1640/VLOOKUP(K1640,Sheet1!$D$7:$N$16,G1640+1,FALSE),2.5),"")</f>
        <v/>
      </c>
      <c r="P1640" s="136" t="str">
        <f t="shared" si="61"/>
        <v/>
      </c>
      <c r="R1640" s="11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</row>
    <row r="1641" ht="3.75" customHeight="1">
      <c r="A1641" s="90"/>
      <c r="B1641" s="6"/>
      <c r="C1641" s="90"/>
      <c r="D1641" s="263"/>
      <c r="E1641" s="252"/>
      <c r="F1641" s="102"/>
      <c r="G1641" s="102"/>
      <c r="H1641" s="102"/>
      <c r="I1641" s="102"/>
      <c r="J1641" s="156"/>
      <c r="K1641" s="210"/>
      <c r="L1641" s="144"/>
      <c r="M1641" s="145"/>
      <c r="N1641" s="145"/>
      <c r="O1641" s="122"/>
      <c r="P1641" s="146" t="str">
        <f t="shared" si="61"/>
        <v/>
      </c>
      <c r="R1641" s="11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</row>
    <row r="1642" ht="15.75" customHeight="1">
      <c r="A1642" s="90"/>
      <c r="B1642" s="6"/>
      <c r="C1642" s="90"/>
      <c r="D1642" s="185" t="s">
        <v>256</v>
      </c>
      <c r="E1642" s="266"/>
      <c r="F1642" s="187">
        <v>3.0</v>
      </c>
      <c r="G1642" s="187" t="s">
        <v>16</v>
      </c>
      <c r="H1642" s="195"/>
      <c r="I1642" s="164"/>
      <c r="J1642" s="248">
        <v>9.0</v>
      </c>
      <c r="K1642" s="164"/>
      <c r="L1642" s="134" t="str">
        <f>I1508</f>
        <v/>
      </c>
      <c r="M1642" s="135" t="str">
        <f>iferror(mround($O1508*((VLOOKUP($J1642,Sheet1!$D:$N,$G1642+1,FALSE)-0.03)),2.5)," ")</f>
        <v> </v>
      </c>
      <c r="N1642" s="135" t="str">
        <f>iferror(mround($O1508*((VLOOKUP($J1642,Sheet1!$D:$N,$G1642+1,FALSE)+0.02)),2.5)," ")</f>
        <v> </v>
      </c>
      <c r="O1642" s="112" t="str">
        <f>iferror(mround(I1642/VLOOKUP(K1642,Sheet1!$D$7:$N$16,G1642+1,FALSE),2.5),"")</f>
        <v/>
      </c>
      <c r="P1642" s="136" t="str">
        <f t="shared" si="61"/>
        <v/>
      </c>
      <c r="R1642" s="11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</row>
    <row r="1643" ht="3.75" customHeight="1">
      <c r="A1643" s="191"/>
      <c r="B1643" s="6"/>
      <c r="C1643" s="192"/>
      <c r="D1643" s="192"/>
      <c r="E1643" s="267"/>
      <c r="F1643" s="194"/>
      <c r="G1643" s="194"/>
      <c r="H1643" s="155"/>
      <c r="I1643" s="210"/>
      <c r="J1643" s="268"/>
      <c r="K1643" s="782"/>
      <c r="L1643" s="270"/>
      <c r="M1643" s="269"/>
      <c r="N1643" s="269"/>
      <c r="O1643" s="271"/>
      <c r="P1643" s="272"/>
      <c r="Q1643" s="273"/>
      <c r="R1643" s="157"/>
      <c r="S1643" s="5"/>
      <c r="T1643" s="5"/>
      <c r="U1643" s="158"/>
      <c r="V1643" s="158"/>
      <c r="W1643" s="158"/>
      <c r="X1643" s="158"/>
      <c r="Y1643" s="158"/>
      <c r="Z1643" s="158"/>
      <c r="AA1643" s="158"/>
      <c r="AB1643" s="158"/>
      <c r="AC1643" s="158"/>
      <c r="AD1643" s="158"/>
      <c r="AE1643" s="158"/>
      <c r="AF1643" s="158"/>
    </row>
    <row r="1644" ht="14.25" customHeight="1">
      <c r="A1644" s="5"/>
      <c r="B1644" s="6"/>
      <c r="C1644" s="5"/>
      <c r="D1644" s="274"/>
      <c r="E1644" s="266"/>
      <c r="F1644" s="187"/>
      <c r="G1644" s="187"/>
      <c r="H1644" s="195"/>
      <c r="I1644" s="129"/>
      <c r="J1644" s="275"/>
      <c r="K1644" s="274"/>
      <c r="L1644" s="187"/>
      <c r="M1644" s="187"/>
      <c r="N1644" s="187"/>
      <c r="O1644" s="277"/>
      <c r="P1644" s="278"/>
      <c r="Q1644" s="279"/>
      <c r="R1644" s="11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</row>
    <row r="1645" ht="14.25" customHeight="1">
      <c r="A1645" s="5"/>
      <c r="B1645" s="6"/>
      <c r="C1645" s="5"/>
      <c r="D1645" s="274" t="s">
        <v>59</v>
      </c>
      <c r="E1645" s="266" t="s">
        <v>16</v>
      </c>
      <c r="F1645" s="187" t="s">
        <v>17</v>
      </c>
      <c r="G1645" s="187" t="s">
        <v>60</v>
      </c>
      <c r="H1645" s="187"/>
      <c r="I1645" s="280" t="s">
        <v>61</v>
      </c>
      <c r="J1645" s="266" t="s">
        <v>62</v>
      </c>
      <c r="K1645" s="274"/>
      <c r="L1645" s="285"/>
      <c r="M1645" s="285"/>
      <c r="N1645" s="285"/>
      <c r="O1645" s="282"/>
      <c r="P1645" s="278"/>
      <c r="Q1645" s="279"/>
      <c r="R1645" s="11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</row>
    <row r="1646" ht="14.25" customHeight="1">
      <c r="A1646" s="5"/>
      <c r="B1646" s="6"/>
      <c r="C1646" s="5"/>
      <c r="D1646" s="274" t="s">
        <v>6</v>
      </c>
      <c r="E1646" s="283">
        <f>IFERROR(__xludf.DUMMYFUNCTION("SUM(FILTER(F1521:F1645, ISNUMBER(SEARCH(""squat"", D1521:D1645))))"),10.0)</f>
        <v>10</v>
      </c>
      <c r="F1646" s="284">
        <f>IFERROR(__xludf.DUMMYFUNCTION("SUMPRODUCT(FILTER(F1521:F1645 * G1521:G1645, ISNUMBER(SEARCH(""squat"", D1521:D1645))))"),43.0)</f>
        <v>43</v>
      </c>
      <c r="G1646" s="135">
        <f>IFERROR(__xludf.DUMMYFUNCTION("ROUND(SUMPRODUCT(FILTER(F1521:F1645 * G1521:G1645 * I1521:I1645, ISNUMBER(SEARCH(""squat"", D1521:D1645)))), 0)"),7665.0)</f>
        <v>7665</v>
      </c>
      <c r="H1646" s="285"/>
      <c r="I1646" s="135">
        <f>IFERROR(__xludf.DUMMYFUNCTION("ROUND(AVERAGE(FILTER(I1521:I1645, ISNUMBER(SEARCH(""squat"", D1521:D1645)), I1521:I1645 &lt;&gt; """")) / J1646 * 100, 0)"),87.0)</f>
        <v>87</v>
      </c>
      <c r="J1646" s="283">
        <f>IFERROR(__xludf.DUMMYFUNCTION("IFERROR(MROUND(AVERAGE(FILTER(O1521:O1645, D1521:D1645 = ""comp squat"", O1521:O1645 &lt;&gt; """", O1521:O1645 &gt;= 0.9 * MAX(FILTER(O1521:O1645, D1521:D1645 = ""comp squat"", O1521:O1645 &lt;&gt; """")), O1521:O1645 &lt;= 1.1 * MAX(FILTER(O1521:O1645, D1521:D1645 = ""co"&amp;"mp squat"", O1521:O1645 &lt;&gt; """")))), 2.5), ""No valid data"")"),207.5)</f>
        <v>207.5</v>
      </c>
      <c r="K1646" s="274"/>
      <c r="L1646" s="305"/>
      <c r="M1646" s="305"/>
      <c r="N1646" s="305"/>
      <c r="O1646" s="282"/>
      <c r="P1646" s="278"/>
      <c r="Q1646" s="60"/>
      <c r="R1646" s="11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</row>
    <row r="1647" ht="3.0" customHeight="1">
      <c r="A1647" s="5"/>
      <c r="B1647" s="6"/>
      <c r="C1647" s="5"/>
      <c r="D1647" s="90"/>
      <c r="E1647" s="156"/>
      <c r="F1647" s="102"/>
      <c r="G1647" s="145"/>
      <c r="H1647" s="102"/>
      <c r="I1647" s="145"/>
      <c r="J1647" s="156"/>
      <c r="K1647" s="274"/>
      <c r="L1647" s="284"/>
      <c r="M1647" s="284"/>
      <c r="N1647" s="305"/>
      <c r="O1647" s="282"/>
      <c r="P1647" s="278"/>
      <c r="Q1647" s="783"/>
      <c r="R1647" s="11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</row>
    <row r="1648" ht="15.75" customHeight="1">
      <c r="A1648" s="5"/>
      <c r="B1648" s="6"/>
      <c r="C1648" s="5"/>
      <c r="D1648" s="274" t="s">
        <v>66</v>
      </c>
      <c r="E1648" s="293">
        <f>IFERROR(__xludf.DUMMYFUNCTION("SUM(FILTER(F1521:F1645, ISNUMBER(SEARCH(""bench press"", D1521:D1645))))"),16.0)</f>
        <v>16</v>
      </c>
      <c r="F1648" s="284">
        <f>IFERROR(__xludf.DUMMYFUNCTION("SUMPRODUCT(FILTER(F1522:F1646 * G1522:G1646, ISNUMBER(SEARCH(""bench press"", D1522:D1646))))"),73.0)</f>
        <v>73</v>
      </c>
      <c r="G1648" s="135">
        <f>IFERROR(__xludf.DUMMYFUNCTION("ROUND(SUMPRODUCT(FILTER(F1521:F1645 * G1521:G1645 * I1521:I1645, ISNUMBER(SEARCH(""bench press"", D1521:D1645)))), 0)"),7000.0)</f>
        <v>7000</v>
      </c>
      <c r="H1648" s="285"/>
      <c r="I1648" s="135">
        <f>IFERROR(__xludf.DUMMYFUNCTION("ROUND(AVERAGE(FILTER(I1521:I1645, ISNUMBER(SEARCH(""bench press"", D1521:D1645)), I1521:I1645 &lt;&gt; """")) / J1648 * 100, 0)"),62.0)</f>
        <v>62</v>
      </c>
      <c r="J1648" s="293">
        <f>IFERROR(__xludf.DUMMYFUNCTION("IFERROR(MROUND(AVERAGE(FILTER(O1521:O1645, D1521:D1645 = ""comp bench press"", O1521:O1645 &lt;&gt; """", O1521:O1645 &gt;= 0.9 * MAX(FILTER(O1521:O1645, D1521:D1645 = ""comp bench press"", O1521:O1645 &lt;&gt; """")), O1521:O1645 &lt;= 1.1 * MAX(FILTER(O1521:O1645, D1521:"&amp;"D1645 = ""comp bench press"", O1521:O1645 &lt;&gt; """")))), 2.5), ""No valid data"")"),172.5)</f>
        <v>172.5</v>
      </c>
      <c r="K1648" s="274"/>
      <c r="L1648" s="285"/>
      <c r="M1648" s="285"/>
      <c r="N1648" s="305"/>
      <c r="O1648" s="282"/>
      <c r="P1648" s="278"/>
      <c r="Q1648" s="279"/>
      <c r="R1648" s="11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</row>
    <row r="1649" ht="3.0" customHeight="1">
      <c r="A1649" s="5"/>
      <c r="B1649" s="6"/>
      <c r="C1649" s="5"/>
      <c r="D1649" s="90"/>
      <c r="E1649" s="156"/>
      <c r="F1649" s="102"/>
      <c r="G1649" s="145"/>
      <c r="H1649" s="102"/>
      <c r="I1649" s="145"/>
      <c r="J1649" s="156"/>
      <c r="K1649" s="274"/>
      <c r="L1649" s="285"/>
      <c r="M1649" s="285"/>
      <c r="N1649" s="284"/>
      <c r="O1649" s="282"/>
      <c r="P1649" s="278"/>
      <c r="Q1649" s="279"/>
      <c r="R1649" s="11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</row>
    <row r="1650" ht="14.25" customHeight="1">
      <c r="A1650" s="5"/>
      <c r="B1650" s="6"/>
      <c r="C1650" s="5"/>
      <c r="D1650" s="274" t="s">
        <v>10</v>
      </c>
      <c r="E1650" s="293">
        <f>IFERROR(__xludf.DUMMYFUNCTION("SUM(FILTER(F1521:F1645, ISNUMBER(SEARCH(""deadlift"", D1521:D1645))))"),10.0)</f>
        <v>10</v>
      </c>
      <c r="F1650" s="284">
        <f>IFERROR(__xludf.DUMMYFUNCTION("SUMPRODUCT(FILTER(F1521:F1645 * G1521:G1645, ISNUMBER(SEARCH(""deadlift"", D1521:D1645))))"),35.0)</f>
        <v>35</v>
      </c>
      <c r="G1650" s="135">
        <f>IFERROR(__xludf.DUMMYFUNCTION("ROUND(SUMPRODUCT(FILTER(F1521:F1645 * G1521:G1645 * I1521:I1645, ISNUMBER(SEARCH(""deadlift"", D1521:D1645)))), 0)"),7710.0)</f>
        <v>7710</v>
      </c>
      <c r="H1650" s="285"/>
      <c r="I1650" s="135" t="str">
        <f>IFERROR(__xludf.DUMMYFUNCTION("ROUND(AVERAGE(FILTER(I1521:I1645, ISNUMBER(SEARCH(""deadlift"", D1521:D1645)), I1521:I1645 &lt;&gt; """")) / J1650 * 100, 0)"),"#VALUE!")</f>
        <v>#VALUE!</v>
      </c>
      <c r="J1650" s="293" t="str">
        <f>IFERROR(__xludf.DUMMYFUNCTION("IFERROR(MROUND(AVERAGE(FILTER(O1521:O1645, D1521:D1645 = ""comp deadlift"", O1521:O1645 &lt;&gt; """", O1521:O1645 &gt;= 0.9 * MAX(FILTER(O1521:O1645, D1521:D1645 = ""comp deadlift"", O1521:O1645 &lt;&gt; """")), O1521:O1645 &lt;= 1.1 * MAX(FILTER(O1521:O1645, D1521:D1645 "&amp;"= ""comp deadlift"", O1521:O1645 &lt;&gt; """")))), 2.5), ""No valid data"")"),"No valid data")</f>
        <v>No valid data</v>
      </c>
      <c r="K1650" s="274"/>
      <c r="L1650" s="285"/>
      <c r="M1650" s="285"/>
      <c r="N1650" s="285"/>
      <c r="O1650" s="282"/>
      <c r="P1650" s="278"/>
      <c r="Q1650" s="279"/>
      <c r="R1650" s="11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</row>
    <row r="1651" ht="14.25" customHeight="1">
      <c r="A1651" s="5"/>
      <c r="B1651" s="6"/>
      <c r="C1651" s="5"/>
      <c r="D1651" s="274"/>
      <c r="E1651" s="266"/>
      <c r="F1651" s="187"/>
      <c r="G1651" s="187"/>
      <c r="H1651" s="187"/>
      <c r="I1651" s="187"/>
      <c r="J1651" s="295"/>
      <c r="K1651" s="274"/>
      <c r="L1651" s="285"/>
      <c r="M1651" s="285"/>
      <c r="N1651" s="285"/>
      <c r="O1651" s="282"/>
      <c r="P1651" s="278"/>
      <c r="Q1651" s="279"/>
      <c r="R1651" s="11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</row>
    <row r="1652" ht="14.25" customHeight="1">
      <c r="A1652" s="5"/>
      <c r="B1652" s="2"/>
      <c r="C1652" s="5"/>
      <c r="D1652" s="5"/>
      <c r="E1652" s="75"/>
      <c r="F1652" s="3"/>
      <c r="G1652" s="3"/>
      <c r="H1652" s="3"/>
      <c r="I1652" s="3"/>
      <c r="J1652" s="75"/>
      <c r="K1652" s="5"/>
      <c r="L1652" s="47"/>
      <c r="M1652" s="3"/>
      <c r="N1652" s="3"/>
      <c r="O1652" s="3"/>
      <c r="P1652" s="4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</row>
    <row r="1653" ht="3.0" customHeight="1">
      <c r="A1653" s="5"/>
      <c r="B1653" s="6"/>
      <c r="C1653" s="10"/>
      <c r="D1653" s="79"/>
      <c r="E1653" s="760"/>
      <c r="F1653" s="761"/>
      <c r="G1653" s="761"/>
      <c r="H1653" s="761"/>
      <c r="I1653" s="8"/>
      <c r="J1653" s="762"/>
      <c r="K1653" s="763"/>
      <c r="O1653" s="8"/>
      <c r="P1653" s="9"/>
      <c r="Q1653" s="11"/>
      <c r="R1653" s="10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</row>
    <row r="1654" ht="15.0" customHeight="1">
      <c r="A1654" s="90"/>
      <c r="B1654" s="6"/>
      <c r="C1654" s="91"/>
      <c r="D1654" s="79" t="s">
        <v>304</v>
      </c>
      <c r="E1654" s="746"/>
      <c r="F1654" s="81"/>
      <c r="G1654" s="81"/>
      <c r="H1654" s="81"/>
      <c r="I1654" s="81"/>
      <c r="J1654" s="764"/>
      <c r="K1654" s="93"/>
      <c r="L1654" s="93"/>
      <c r="M1654" s="93"/>
      <c r="N1654" s="93"/>
      <c r="O1654" s="296"/>
      <c r="P1654" s="297"/>
      <c r="Q1654" s="298"/>
      <c r="R1654" s="10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</row>
    <row r="1655" ht="14.25" customHeight="1">
      <c r="A1655" s="90"/>
      <c r="B1655" s="6"/>
      <c r="C1655" s="91"/>
      <c r="D1655" s="36" t="str">
        <f>INT((athlete!$A$14 - TODAY()) / 7) &amp; " weeks, " &amp; MOD(athlete!$A$14 - TODAY(), 7) &amp; " day(s) "&amp;"out from:"</f>
        <v>#REF!</v>
      </c>
      <c r="E1655" s="37"/>
      <c r="F1655" s="784" t="str">
        <f>athlete!$A$16</f>
        <v>#REF!</v>
      </c>
      <c r="G1655" s="83"/>
      <c r="H1655" s="83"/>
      <c r="I1655" s="83"/>
      <c r="J1655" s="83"/>
      <c r="L1655" s="93"/>
      <c r="M1655" s="93"/>
      <c r="N1655" s="93"/>
      <c r="O1655" s="94"/>
      <c r="P1655" s="95"/>
      <c r="Q1655" s="96"/>
      <c r="R1655" s="10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</row>
    <row r="1656" ht="3.75" customHeight="1">
      <c r="A1656" s="90"/>
      <c r="B1656" s="6"/>
      <c r="C1656" s="90"/>
      <c r="D1656" s="97"/>
      <c r="E1656" s="98"/>
      <c r="F1656" s="99"/>
      <c r="G1656" s="99"/>
      <c r="H1656" s="99"/>
      <c r="I1656" s="100"/>
      <c r="J1656" s="101"/>
      <c r="K1656" s="90"/>
      <c r="L1656" s="102"/>
      <c r="M1656" s="102"/>
      <c r="N1656" s="102"/>
      <c r="O1656" s="103"/>
      <c r="P1656" s="4"/>
      <c r="Q1656" s="90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</row>
    <row r="1657" ht="30.75" customHeight="1">
      <c r="A1657" s="90"/>
      <c r="B1657" s="6"/>
      <c r="C1657" s="90"/>
      <c r="D1657" s="202" t="s">
        <v>271</v>
      </c>
      <c r="E1657" s="255" t="s">
        <v>15</v>
      </c>
      <c r="F1657" s="106" t="s">
        <v>16</v>
      </c>
      <c r="G1657" s="106" t="s">
        <v>17</v>
      </c>
      <c r="H1657" s="107"/>
      <c r="I1657" s="106" t="s">
        <v>18</v>
      </c>
      <c r="J1657" s="766" t="s">
        <v>241</v>
      </c>
      <c r="K1657" s="767" t="s">
        <v>20</v>
      </c>
      <c r="L1657" s="110" t="s">
        <v>21</v>
      </c>
      <c r="M1657" s="111" t="s">
        <v>22</v>
      </c>
      <c r="O1657" s="112"/>
      <c r="P1657" s="113" t="s">
        <v>23</v>
      </c>
      <c r="Q1657" s="768"/>
      <c r="R1657" s="11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</row>
    <row r="1658" ht="14.25" customHeight="1">
      <c r="A1658" s="90"/>
      <c r="B1658" s="6"/>
      <c r="C1658" s="90"/>
      <c r="D1658" s="257" t="s">
        <v>25</v>
      </c>
      <c r="E1658" s="258" t="s">
        <v>26</v>
      </c>
      <c r="H1658" s="107"/>
      <c r="J1658" s="766" t="s">
        <v>244</v>
      </c>
      <c r="M1658" s="111" t="s">
        <v>27</v>
      </c>
      <c r="N1658" s="111" t="s">
        <v>28</v>
      </c>
      <c r="O1658" s="112" t="s">
        <v>29</v>
      </c>
      <c r="Q1658" s="118" t="s">
        <v>30</v>
      </c>
      <c r="R1658" s="11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</row>
    <row r="1659" ht="3.75" customHeight="1">
      <c r="A1659" s="90"/>
      <c r="B1659" s="6"/>
      <c r="C1659" s="90"/>
      <c r="D1659" s="97"/>
      <c r="E1659" s="98"/>
      <c r="F1659" s="99"/>
      <c r="G1659" s="99"/>
      <c r="H1659" s="99"/>
      <c r="I1659" s="100"/>
      <c r="J1659" s="302"/>
      <c r="K1659" s="90"/>
      <c r="L1659" s="121"/>
      <c r="M1659" s="102"/>
      <c r="N1659" s="102"/>
      <c r="O1659" s="122"/>
      <c r="P1659" s="4"/>
      <c r="Q1659" s="769"/>
      <c r="R1659" s="11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</row>
    <row r="1660" ht="15.75" customHeight="1">
      <c r="A1660" s="124"/>
      <c r="B1660" s="6" t="s">
        <v>236</v>
      </c>
      <c r="C1660" s="124"/>
      <c r="D1660" s="185" t="s">
        <v>285</v>
      </c>
      <c r="E1660" s="224"/>
      <c r="F1660" s="187">
        <v>1.0</v>
      </c>
      <c r="G1660" s="770">
        <v>6.0</v>
      </c>
      <c r="H1660" s="129"/>
      <c r="I1660" s="164"/>
      <c r="J1660" s="189">
        <v>7.0</v>
      </c>
      <c r="K1660" s="183"/>
      <c r="L1660" s="134">
        <f>I1524</f>
        <v>170</v>
      </c>
      <c r="M1660" s="135">
        <f>iferror(mround($O1524*((VLOOKUP($J1660,Sheet1!$D:$N,$G1660+1,FALSE)-0.03)),2.5)," ")</f>
        <v>170</v>
      </c>
      <c r="N1660" s="135">
        <f>iferror(mround($O1524*((VLOOKUP($J1660,Sheet1!$D:$N,$G1660+1,FALSE)+0.02)),2.5)," ")</f>
        <v>180</v>
      </c>
      <c r="O1660" s="56" t="str">
        <f>iferror(mround(I1660/VLOOKUP(K1660,Sheet1!$D$7:$N$16,G1660+1,FALSE),2.5),"")</f>
        <v/>
      </c>
      <c r="P1660" s="136">
        <f t="shared" ref="P1660:P1681" si="62">IF(I1660 - I1524 = 0, "", I1660 - I1524)</f>
        <v>-170</v>
      </c>
      <c r="R1660" s="11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</row>
    <row r="1661" ht="3.75" customHeight="1">
      <c r="A1661" s="137"/>
      <c r="B1661" s="70"/>
      <c r="C1661" s="137"/>
      <c r="D1661" s="138"/>
      <c r="E1661" s="184"/>
      <c r="F1661" s="140"/>
      <c r="G1661" s="140"/>
      <c r="H1661" s="140"/>
      <c r="I1661" s="140"/>
      <c r="J1661" s="141"/>
      <c r="K1661" s="143"/>
      <c r="L1661" s="144"/>
      <c r="M1661" s="145"/>
      <c r="N1661" s="145"/>
      <c r="O1661" s="122"/>
      <c r="P1661" s="146" t="str">
        <f t="shared" si="62"/>
        <v/>
      </c>
      <c r="R1661" s="147"/>
      <c r="S1661" s="148"/>
      <c r="T1661" s="148"/>
      <c r="U1661" s="148"/>
      <c r="V1661" s="148"/>
      <c r="W1661" s="148"/>
      <c r="X1661" s="148"/>
      <c r="Y1661" s="148"/>
      <c r="Z1661" s="148"/>
      <c r="AA1661" s="148"/>
      <c r="AB1661" s="148"/>
      <c r="AC1661" s="148"/>
      <c r="AD1661" s="148"/>
      <c r="AE1661" s="148"/>
      <c r="AF1661" s="148"/>
    </row>
    <row r="1662" ht="15.75" customHeight="1">
      <c r="A1662" s="149"/>
      <c r="B1662" s="150"/>
      <c r="C1662" s="149"/>
      <c r="D1662" s="185" t="s">
        <v>285</v>
      </c>
      <c r="E1662" s="224"/>
      <c r="F1662" s="187">
        <v>1.0</v>
      </c>
      <c r="G1662" s="771">
        <v>6.0</v>
      </c>
      <c r="H1662" s="129"/>
      <c r="I1662" s="164"/>
      <c r="J1662" s="189">
        <v>8.0</v>
      </c>
      <c r="K1662" s="183"/>
      <c r="L1662" s="134">
        <f>I1526</f>
        <v>180</v>
      </c>
      <c r="M1662" s="135">
        <f>iferror(mround($O1526*((VLOOKUP($J1662,Sheet1!$D:$N,$G1662+1,FALSE)-0.03)),2.5)," ")</f>
        <v>177.5</v>
      </c>
      <c r="N1662" s="135">
        <f>iferror(mround($O1526*((VLOOKUP($J1662,Sheet1!$D:$N,$G1662+1,FALSE)+0.02)),2.5)," ")</f>
        <v>187.5</v>
      </c>
      <c r="O1662" s="56" t="str">
        <f>iferror(mround(I1662/VLOOKUP(K1662,Sheet1!$D$7:$N$16,G1662+1,FALSE),2.5),"")</f>
        <v/>
      </c>
      <c r="P1662" s="136">
        <f t="shared" si="62"/>
        <v>-180</v>
      </c>
      <c r="R1662" s="11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</row>
    <row r="1663" ht="3.75" customHeight="1">
      <c r="A1663" s="152"/>
      <c r="B1663" s="150"/>
      <c r="C1663" s="153"/>
      <c r="D1663" s="138"/>
      <c r="E1663" s="223"/>
      <c r="F1663" s="155"/>
      <c r="G1663" s="102"/>
      <c r="H1663" s="102"/>
      <c r="I1663" s="102"/>
      <c r="J1663" s="156"/>
      <c r="K1663" s="143"/>
      <c r="L1663" s="144"/>
      <c r="M1663" s="145"/>
      <c r="N1663" s="145"/>
      <c r="O1663" s="122"/>
      <c r="P1663" s="146" t="str">
        <f t="shared" si="62"/>
        <v/>
      </c>
      <c r="R1663" s="157"/>
      <c r="S1663" s="5"/>
      <c r="T1663" s="5"/>
      <c r="U1663" s="158"/>
      <c r="V1663" s="158"/>
      <c r="W1663" s="158"/>
      <c r="X1663" s="158"/>
      <c r="Y1663" s="158"/>
      <c r="Z1663" s="158"/>
      <c r="AA1663" s="158"/>
      <c r="AB1663" s="158"/>
      <c r="AC1663" s="158"/>
      <c r="AD1663" s="158"/>
      <c r="AE1663" s="158"/>
      <c r="AF1663" s="158"/>
    </row>
    <row r="1664" ht="15.75" customHeight="1">
      <c r="A1664" s="149"/>
      <c r="B1664" s="150"/>
      <c r="C1664" s="149"/>
      <c r="D1664" s="185" t="s">
        <v>285</v>
      </c>
      <c r="E1664" s="327"/>
      <c r="F1664" s="187">
        <v>1.0</v>
      </c>
      <c r="G1664" s="771">
        <v>6.0</v>
      </c>
      <c r="H1664" s="129"/>
      <c r="I1664" s="164">
        <f>MROUND(I1662*(1+J1664),2.5)</f>
        <v>0</v>
      </c>
      <c r="J1664" s="230">
        <v>-0.1</v>
      </c>
      <c r="K1664" s="183"/>
      <c r="L1664" s="134">
        <f>I1528</f>
        <v>162.5</v>
      </c>
      <c r="M1664" s="135" t="str">
        <f>iferror(mround($O1528*((VLOOKUP($J1664,Sheet1!$D:$N,$G1664+1,FALSE)-0.03)),2.5)," ")</f>
        <v> </v>
      </c>
      <c r="N1664" s="135" t="str">
        <f>iferror(mround($O1528*((VLOOKUP($J1664,Sheet1!$D:$N,$G1664+1,FALSE)+0.02)),2.5)," ")</f>
        <v> </v>
      </c>
      <c r="O1664" s="56" t="str">
        <f>iferror(mround(I1664/VLOOKUP(K1664,Sheet1!$D$7:$N$16,G1664+1,FALSE),2.5),"")</f>
        <v/>
      </c>
      <c r="P1664" s="136">
        <f t="shared" si="62"/>
        <v>-162.5</v>
      </c>
      <c r="R1664" s="11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</row>
    <row r="1665" ht="3.75" customHeight="1">
      <c r="A1665" s="162"/>
      <c r="B1665" s="163"/>
      <c r="C1665" s="162"/>
      <c r="D1665" s="138"/>
      <c r="E1665" s="184"/>
      <c r="F1665" s="140"/>
      <c r="G1665" s="140"/>
      <c r="H1665" s="140"/>
      <c r="I1665" s="140"/>
      <c r="J1665" s="141"/>
      <c r="K1665" s="143"/>
      <c r="L1665" s="144"/>
      <c r="M1665" s="145"/>
      <c r="N1665" s="145"/>
      <c r="O1665" s="122"/>
      <c r="P1665" s="146" t="str">
        <f t="shared" si="62"/>
        <v/>
      </c>
      <c r="R1665" s="147"/>
      <c r="S1665" s="148"/>
      <c r="T1665" s="148"/>
      <c r="U1665" s="148"/>
      <c r="V1665" s="148"/>
      <c r="W1665" s="148"/>
      <c r="X1665" s="148"/>
      <c r="Y1665" s="148"/>
      <c r="Z1665" s="148"/>
      <c r="AA1665" s="148"/>
      <c r="AB1665" s="148"/>
      <c r="AC1665" s="148"/>
      <c r="AD1665" s="148"/>
      <c r="AE1665" s="148"/>
      <c r="AF1665" s="148"/>
    </row>
    <row r="1666" ht="15.75" customHeight="1">
      <c r="A1666" s="149"/>
      <c r="B1666" s="150"/>
      <c r="C1666" s="149"/>
      <c r="D1666" s="185" t="s">
        <v>265</v>
      </c>
      <c r="E1666" s="327"/>
      <c r="F1666" s="187">
        <v>3.0</v>
      </c>
      <c r="G1666" s="771">
        <v>7.0</v>
      </c>
      <c r="H1666" s="129"/>
      <c r="I1666" s="164"/>
      <c r="J1666" s="189">
        <v>6.5</v>
      </c>
      <c r="K1666" s="183"/>
      <c r="L1666" s="134">
        <f>I1530</f>
        <v>117.5</v>
      </c>
      <c r="M1666" s="135">
        <f>iferror(mround($O1530*((VLOOKUP($J1666,Sheet1!$D:$N,$G1666+1,FALSE)-0.03)),2.5)," ")</f>
        <v>112.5</v>
      </c>
      <c r="N1666" s="135">
        <f>iferror(mround($O1530*((VLOOKUP($J1666,Sheet1!$D:$N,$G1666+1,FALSE)+0.02)),2.5)," ")</f>
        <v>120</v>
      </c>
      <c r="O1666" s="56" t="str">
        <f>iferror(mround(I1666/VLOOKUP(K1666,Sheet1!$D$7:$N$16,G1666+1,FALSE),2.5),"")</f>
        <v/>
      </c>
      <c r="P1666" s="136">
        <f t="shared" si="62"/>
        <v>-117.5</v>
      </c>
      <c r="R1666" s="11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</row>
    <row r="1667" ht="3.75" customHeight="1">
      <c r="A1667" s="162"/>
      <c r="B1667" s="163"/>
      <c r="C1667" s="162"/>
      <c r="D1667" s="138"/>
      <c r="E1667" s="326"/>
      <c r="F1667" s="102"/>
      <c r="G1667" s="102"/>
      <c r="H1667" s="102"/>
      <c r="I1667" s="102"/>
      <c r="J1667" s="156"/>
      <c r="K1667" s="143"/>
      <c r="L1667" s="144"/>
      <c r="M1667" s="145"/>
      <c r="N1667" s="145"/>
      <c r="O1667" s="122"/>
      <c r="P1667" s="146" t="str">
        <f t="shared" si="62"/>
        <v/>
      </c>
      <c r="R1667" s="147"/>
      <c r="S1667" s="148"/>
      <c r="T1667" s="148"/>
      <c r="U1667" s="148"/>
      <c r="V1667" s="148"/>
      <c r="W1667" s="148"/>
      <c r="X1667" s="148"/>
      <c r="Y1667" s="148"/>
      <c r="Z1667" s="148"/>
      <c r="AA1667" s="148"/>
      <c r="AB1667" s="148"/>
      <c r="AC1667" s="148"/>
      <c r="AD1667" s="148"/>
      <c r="AE1667" s="148"/>
      <c r="AF1667" s="148"/>
    </row>
    <row r="1668" ht="15.75" customHeight="1">
      <c r="A1668" s="90"/>
      <c r="B1668" s="6"/>
      <c r="C1668" s="90"/>
      <c r="D1668" s="260" t="s">
        <v>273</v>
      </c>
      <c r="E1668" s="186"/>
      <c r="F1668" s="187">
        <v>3.0</v>
      </c>
      <c r="G1668" s="772" t="s">
        <v>251</v>
      </c>
      <c r="H1668" s="129"/>
      <c r="I1668" s="164"/>
      <c r="J1668" s="189">
        <v>8.0</v>
      </c>
      <c r="K1668" s="183"/>
      <c r="L1668" s="134">
        <f>I1532</f>
        <v>225</v>
      </c>
      <c r="M1668" s="135" t="str">
        <f>iferror(mround($O1532*((VLOOKUP($J1668,Sheet1!$D:$N,$G1668+1,FALSE)-0.03)),2.5)," ")</f>
        <v> </v>
      </c>
      <c r="N1668" s="135" t="str">
        <f>iferror(mround($O1532*((VLOOKUP($J1668,Sheet1!$D:$N,$G1668+1,FALSE)+0.02)),2.5)," ")</f>
        <v> </v>
      </c>
      <c r="O1668" s="56" t="str">
        <f>iferror(mround(I1668/VLOOKUP(K1668,Sheet1!$D$7:$N$16,G1668+1,FALSE),2.5),"")</f>
        <v/>
      </c>
      <c r="P1668" s="136">
        <f t="shared" si="62"/>
        <v>-225</v>
      </c>
      <c r="R1668" s="11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</row>
    <row r="1669" ht="3.75" customHeight="1">
      <c r="A1669" s="168"/>
      <c r="B1669" s="70"/>
      <c r="C1669" s="168"/>
      <c r="D1669" s="171"/>
      <c r="E1669" s="773"/>
      <c r="F1669" s="173"/>
      <c r="G1669" s="173"/>
      <c r="H1669" s="173"/>
      <c r="I1669" s="173"/>
      <c r="J1669" s="174"/>
      <c r="K1669" s="143"/>
      <c r="L1669" s="144"/>
      <c r="M1669" s="145"/>
      <c r="N1669" s="145"/>
      <c r="O1669" s="122"/>
      <c r="P1669" s="146" t="str">
        <f t="shared" si="62"/>
        <v/>
      </c>
      <c r="R1669" s="147"/>
      <c r="S1669" s="148"/>
      <c r="T1669" s="148"/>
      <c r="U1669" s="148"/>
      <c r="V1669" s="148"/>
      <c r="W1669" s="148"/>
      <c r="X1669" s="148"/>
      <c r="Y1669" s="148"/>
      <c r="Z1669" s="148"/>
      <c r="AA1669" s="148"/>
      <c r="AB1669" s="148"/>
      <c r="AC1669" s="148"/>
      <c r="AD1669" s="148"/>
      <c r="AE1669" s="148"/>
      <c r="AF1669" s="148"/>
    </row>
    <row r="1670" ht="15.75" customHeight="1">
      <c r="A1670" s="90"/>
      <c r="B1670" s="6"/>
      <c r="C1670" s="90"/>
      <c r="D1670" s="709" t="s">
        <v>294</v>
      </c>
      <c r="E1670" s="774"/>
      <c r="F1670" s="711">
        <v>3.0</v>
      </c>
      <c r="G1670" s="775" t="s">
        <v>251</v>
      </c>
      <c r="H1670" s="179"/>
      <c r="I1670" s="180"/>
      <c r="J1670" s="713">
        <v>8.0</v>
      </c>
      <c r="K1670" s="183"/>
      <c r="L1670" s="134" t="s">
        <v>300</v>
      </c>
      <c r="M1670" s="135" t="str">
        <f>iferror(mround($O1534*((VLOOKUP($J1670,Sheet1!$D:$N,$G1670+1,FALSE)-0.03)),2.5)," ")</f>
        <v> </v>
      </c>
      <c r="N1670" s="135" t="str">
        <f>iferror(mround($O1534*((VLOOKUP($J1670,Sheet1!$D:$N,$G1670+1,FALSE)+0.02)),2.5)," ")</f>
        <v> </v>
      </c>
      <c r="O1670" s="56" t="str">
        <f>iferror(mround(I1670/VLOOKUP(K1670,Sheet1!$D$7:$N$16,G1670+1,FALSE),2.5),"")</f>
        <v/>
      </c>
      <c r="P1670" s="136">
        <f t="shared" si="62"/>
        <v>-70</v>
      </c>
      <c r="R1670" s="11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</row>
    <row r="1671" ht="3.75" customHeight="1">
      <c r="A1671" s="90"/>
      <c r="B1671" s="6"/>
      <c r="C1671" s="90"/>
      <c r="D1671" s="171"/>
      <c r="E1671" s="773"/>
      <c r="F1671" s="173"/>
      <c r="G1671" s="173"/>
      <c r="H1671" s="173"/>
      <c r="I1671" s="173"/>
      <c r="J1671" s="174"/>
      <c r="K1671" s="143"/>
      <c r="L1671" s="144"/>
      <c r="M1671" s="145"/>
      <c r="N1671" s="145"/>
      <c r="O1671" s="122"/>
      <c r="P1671" s="146" t="str">
        <f t="shared" si="62"/>
        <v/>
      </c>
      <c r="R1671" s="11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</row>
    <row r="1672" ht="15.75" hidden="1" customHeight="1">
      <c r="A1672" s="90"/>
      <c r="B1672" s="6"/>
      <c r="C1672" s="90"/>
      <c r="D1672" s="260"/>
      <c r="E1672" s="186"/>
      <c r="F1672" s="187"/>
      <c r="G1672" s="195"/>
      <c r="H1672" s="129"/>
      <c r="I1672" s="164"/>
      <c r="J1672" s="189"/>
      <c r="K1672" s="183"/>
      <c r="L1672" s="134" t="str">
        <f>I1536</f>
        <v/>
      </c>
      <c r="M1672" s="135" t="str">
        <f>iferror(mround($O1536*((VLOOKUP($J1672,Sheet1!$D:$N,$G1672+1,FALSE)-0.03)),2.5)," ")</f>
        <v> </v>
      </c>
      <c r="N1672" s="135" t="str">
        <f>iferror(mround($O1536*((VLOOKUP($J1672,Sheet1!$D:$N,$G1672+1,FALSE)+0.02)),2.5)," ")</f>
        <v> </v>
      </c>
      <c r="O1672" s="56" t="str">
        <f>iferror(mround(I1672/VLOOKUP(K1672,Sheet1!$D$7:$N$16,G1672+1,FALSE),2.5),"")</f>
        <v/>
      </c>
      <c r="P1672" s="136" t="str">
        <f t="shared" si="62"/>
        <v/>
      </c>
      <c r="R1672" s="11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</row>
    <row r="1673" ht="3.75" hidden="1" customHeight="1">
      <c r="A1673" s="90"/>
      <c r="B1673" s="6"/>
      <c r="C1673" s="90"/>
      <c r="D1673" s="171"/>
      <c r="E1673" s="773"/>
      <c r="F1673" s="173"/>
      <c r="G1673" s="173"/>
      <c r="H1673" s="173"/>
      <c r="I1673" s="173"/>
      <c r="J1673" s="174"/>
      <c r="K1673" s="143"/>
      <c r="L1673" s="144"/>
      <c r="M1673" s="145"/>
      <c r="N1673" s="145"/>
      <c r="O1673" s="122"/>
      <c r="P1673" s="146" t="str">
        <f t="shared" si="62"/>
        <v/>
      </c>
      <c r="R1673" s="11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</row>
    <row r="1674" ht="15.75" hidden="1" customHeight="1">
      <c r="A1674" s="90"/>
      <c r="B1674" s="6"/>
      <c r="C1674" s="90"/>
      <c r="D1674" s="709"/>
      <c r="E1674" s="774"/>
      <c r="F1674" s="711"/>
      <c r="G1674" s="195"/>
      <c r="H1674" s="179"/>
      <c r="I1674" s="776"/>
      <c r="J1674" s="713"/>
      <c r="K1674" s="183"/>
      <c r="L1674" s="134" t="str">
        <f>I1538</f>
        <v/>
      </c>
      <c r="M1674" s="135" t="str">
        <f>iferror(mround($O1538*((VLOOKUP($J1674,Sheet1!$D:$N,$G1674+1,FALSE)-0.03)),2.5)," ")</f>
        <v> </v>
      </c>
      <c r="N1674" s="135" t="str">
        <f>iferror(mround($O1538*((VLOOKUP($J1674,Sheet1!$D:$N,$G1674+1,FALSE)+0.02)),2.5)," ")</f>
        <v> </v>
      </c>
      <c r="O1674" s="56" t="str">
        <f>iferror(mround(I1674/VLOOKUP(K1674,Sheet1!$D$7:$N$16,G1674+1,FALSE),2.5),"")</f>
        <v/>
      </c>
      <c r="P1674" s="136" t="str">
        <f t="shared" si="62"/>
        <v/>
      </c>
      <c r="R1674" s="11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</row>
    <row r="1675" ht="3.75" hidden="1" customHeight="1">
      <c r="A1675" s="90"/>
      <c r="B1675" s="6"/>
      <c r="C1675" s="90"/>
      <c r="D1675" s="138"/>
      <c r="E1675" s="184"/>
      <c r="F1675" s="102"/>
      <c r="G1675" s="102"/>
      <c r="H1675" s="102"/>
      <c r="I1675" s="102"/>
      <c r="J1675" s="156"/>
      <c r="K1675" s="143"/>
      <c r="L1675" s="144"/>
      <c r="M1675" s="145"/>
      <c r="N1675" s="145"/>
      <c r="O1675" s="122"/>
      <c r="P1675" s="146" t="str">
        <f t="shared" si="62"/>
        <v/>
      </c>
      <c r="R1675" s="11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</row>
    <row r="1676" ht="15.75" hidden="1" customHeight="1">
      <c r="A1676" s="90"/>
      <c r="B1676" s="6"/>
      <c r="C1676" s="90"/>
      <c r="D1676" s="185"/>
      <c r="E1676" s="186"/>
      <c r="F1676" s="187"/>
      <c r="G1676" s="188"/>
      <c r="H1676" s="129"/>
      <c r="I1676" s="164"/>
      <c r="J1676" s="189"/>
      <c r="K1676" s="183"/>
      <c r="L1676" s="134" t="str">
        <f>I1540</f>
        <v/>
      </c>
      <c r="M1676" s="135" t="str">
        <f>iferror(mround($O1540*((VLOOKUP($J1676,Sheet1!$D:$N,$G1676+1,FALSE)-0.03)),2.5)," ")</f>
        <v> </v>
      </c>
      <c r="N1676" s="135" t="str">
        <f>iferror(mround($O1540*((VLOOKUP($J1676,Sheet1!$D:$N,$G1676+1,FALSE)+0.02)),2.5)," ")</f>
        <v> </v>
      </c>
      <c r="O1676" s="56" t="str">
        <f>iferror(mround(I1676/VLOOKUP(K1676,Sheet1!$D$7:$N$16,G1676+1,FALSE),2.5),"")</f>
        <v/>
      </c>
      <c r="P1676" s="136" t="str">
        <f t="shared" si="62"/>
        <v/>
      </c>
      <c r="R1676" s="11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</row>
    <row r="1677" ht="3.75" hidden="1" customHeight="1">
      <c r="A1677" s="191"/>
      <c r="B1677" s="6"/>
      <c r="C1677" s="192"/>
      <c r="D1677" s="138"/>
      <c r="E1677" s="193"/>
      <c r="F1677" s="194"/>
      <c r="G1677" s="155"/>
      <c r="H1677" s="102"/>
      <c r="I1677" s="102"/>
      <c r="J1677" s="156"/>
      <c r="K1677" s="143"/>
      <c r="L1677" s="144"/>
      <c r="M1677" s="145"/>
      <c r="N1677" s="145"/>
      <c r="O1677" s="122"/>
      <c r="P1677" s="146" t="str">
        <f t="shared" si="62"/>
        <v/>
      </c>
      <c r="R1677" s="157"/>
      <c r="S1677" s="5"/>
      <c r="T1677" s="5"/>
      <c r="U1677" s="158"/>
      <c r="V1677" s="158"/>
      <c r="W1677" s="158"/>
      <c r="X1677" s="158"/>
      <c r="Y1677" s="158"/>
      <c r="Z1677" s="158"/>
      <c r="AA1677" s="158"/>
      <c r="AB1677" s="158"/>
      <c r="AC1677" s="158"/>
      <c r="AD1677" s="158"/>
      <c r="AE1677" s="158"/>
      <c r="AF1677" s="158"/>
    </row>
    <row r="1678" ht="15.75" hidden="1" customHeight="1">
      <c r="A1678" s="90"/>
      <c r="B1678" s="6"/>
      <c r="C1678" s="90"/>
      <c r="D1678" s="185"/>
      <c r="E1678" s="186"/>
      <c r="F1678" s="187"/>
      <c r="G1678" s="195"/>
      <c r="H1678" s="129"/>
      <c r="I1678" s="164"/>
      <c r="J1678" s="189"/>
      <c r="K1678" s="183"/>
      <c r="L1678" s="134" t="str">
        <f>I1542</f>
        <v/>
      </c>
      <c r="M1678" s="135" t="str">
        <f>iferror(mround($O1542*((VLOOKUP($J1678,Sheet1!$D:$N,$G1678+1,FALSE)-0.03)),2.5)," ")</f>
        <v> </v>
      </c>
      <c r="N1678" s="135" t="str">
        <f>iferror(mround($O1542*((VLOOKUP($J1678,Sheet1!$D:$N,$G1678+1,FALSE)+0.02)),2.5)," ")</f>
        <v> </v>
      </c>
      <c r="O1678" s="56" t="str">
        <f>iferror(mround(I1678/VLOOKUP(K1678,Sheet1!$D$7:$N$16,G1678+1,FALSE),2.5),"")</f>
        <v/>
      </c>
      <c r="P1678" s="136" t="str">
        <f t="shared" si="62"/>
        <v/>
      </c>
      <c r="R1678" s="11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</row>
    <row r="1679" ht="3.75" hidden="1" customHeight="1">
      <c r="A1679" s="90"/>
      <c r="B1679" s="6"/>
      <c r="C1679" s="90"/>
      <c r="D1679" s="196"/>
      <c r="E1679" s="184"/>
      <c r="F1679" s="102"/>
      <c r="G1679" s="102"/>
      <c r="H1679" s="102"/>
      <c r="I1679" s="102"/>
      <c r="J1679" s="156"/>
      <c r="K1679" s="143"/>
      <c r="L1679" s="144"/>
      <c r="M1679" s="145"/>
      <c r="N1679" s="145"/>
      <c r="O1679" s="122"/>
      <c r="P1679" s="146" t="str">
        <f t="shared" si="62"/>
        <v/>
      </c>
      <c r="R1679" s="11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</row>
    <row r="1680" ht="15.75" hidden="1" customHeight="1">
      <c r="A1680" s="90"/>
      <c r="B1680" s="6"/>
      <c r="C1680" s="90"/>
      <c r="D1680" s="197"/>
      <c r="E1680" s="198"/>
      <c r="F1680" s="199"/>
      <c r="G1680" s="195"/>
      <c r="H1680" s="129"/>
      <c r="I1680" s="164"/>
      <c r="J1680" s="189"/>
      <c r="K1680" s="183"/>
      <c r="L1680" s="134" t="str">
        <f>I1544</f>
        <v/>
      </c>
      <c r="M1680" s="135" t="str">
        <f>iferror(mround($O1544*((VLOOKUP($J1680,Sheet1!$D:$N,$G1680+1,FALSE)-0.03)),2.5)," ")</f>
        <v> </v>
      </c>
      <c r="N1680" s="135" t="str">
        <f>iferror(mround($O1544*((VLOOKUP($J1680,Sheet1!$D:$N,$G1680+1,FALSE)+0.02)),2.5)," ")</f>
        <v> </v>
      </c>
      <c r="O1680" s="56" t="str">
        <f>iferror(mround(I1680/VLOOKUP(K1680,Sheet1!$D$7:$N$16,G1680+1,FALSE),2.5),"")</f>
        <v/>
      </c>
      <c r="P1680" s="136" t="str">
        <f t="shared" si="62"/>
        <v/>
      </c>
      <c r="R1680" s="11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</row>
    <row r="1681" ht="3.75" customHeight="1">
      <c r="A1681" s="90"/>
      <c r="B1681" s="6"/>
      <c r="C1681" s="90"/>
      <c r="D1681" s="90"/>
      <c r="E1681" s="156"/>
      <c r="F1681" s="102"/>
      <c r="G1681" s="102"/>
      <c r="H1681" s="102"/>
      <c r="I1681" s="102"/>
      <c r="J1681" s="156"/>
      <c r="K1681" s="720"/>
      <c r="L1681" s="144"/>
      <c r="M1681" s="47"/>
      <c r="N1681" s="47"/>
      <c r="O1681" s="122"/>
      <c r="P1681" s="146" t="str">
        <f t="shared" si="62"/>
        <v/>
      </c>
      <c r="R1681" s="11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</row>
    <row r="1682" ht="30.0" customHeight="1">
      <c r="A1682" s="90"/>
      <c r="B1682" s="6"/>
      <c r="C1682" s="90"/>
      <c r="D1682" s="202" t="s">
        <v>246</v>
      </c>
      <c r="E1682" s="255" t="s">
        <v>15</v>
      </c>
      <c r="F1682" s="106" t="s">
        <v>16</v>
      </c>
      <c r="G1682" s="106" t="s">
        <v>17</v>
      </c>
      <c r="H1682" s="107"/>
      <c r="I1682" s="106" t="s">
        <v>18</v>
      </c>
      <c r="J1682" s="766" t="s">
        <v>241</v>
      </c>
      <c r="K1682" s="767" t="s">
        <v>20</v>
      </c>
      <c r="L1682" s="110" t="s">
        <v>21</v>
      </c>
      <c r="M1682" s="111" t="s">
        <v>22</v>
      </c>
      <c r="O1682" s="112"/>
      <c r="P1682" s="113" t="s">
        <v>23</v>
      </c>
      <c r="Q1682" s="768"/>
      <c r="R1682" s="11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</row>
    <row r="1683" ht="14.25" customHeight="1">
      <c r="A1683" s="90"/>
      <c r="B1683" s="6"/>
      <c r="C1683" s="90"/>
      <c r="D1683" s="257" t="s">
        <v>25</v>
      </c>
      <c r="E1683" s="258" t="s">
        <v>26</v>
      </c>
      <c r="H1683" s="107"/>
      <c r="J1683" s="766" t="s">
        <v>244</v>
      </c>
      <c r="M1683" s="111" t="s">
        <v>27</v>
      </c>
      <c r="N1683" s="111" t="s">
        <v>28</v>
      </c>
      <c r="O1683" s="112" t="s">
        <v>29</v>
      </c>
      <c r="Q1683" s="118" t="s">
        <v>30</v>
      </c>
      <c r="R1683" s="11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</row>
    <row r="1684" ht="3.75" customHeight="1">
      <c r="A1684" s="191"/>
      <c r="B1684" s="6"/>
      <c r="C1684" s="192"/>
      <c r="D1684" s="203"/>
      <c r="E1684" s="204"/>
      <c r="F1684" s="205"/>
      <c r="G1684" s="205"/>
      <c r="H1684" s="206"/>
      <c r="I1684" s="207"/>
      <c r="J1684" s="208"/>
      <c r="K1684" s="191"/>
      <c r="L1684" s="211"/>
      <c r="M1684" s="47"/>
      <c r="N1684" s="47"/>
      <c r="O1684" s="122"/>
      <c r="P1684" s="146" t="str">
        <f t="shared" ref="P1684:P1706" si="63">IF(I1684 - I1548 = 0, "", I1684 - I1548)</f>
        <v/>
      </c>
      <c r="Q1684" s="196"/>
      <c r="R1684" s="157"/>
      <c r="S1684" s="5"/>
      <c r="T1684" s="5"/>
      <c r="U1684" s="158"/>
      <c r="V1684" s="158"/>
      <c r="W1684" s="158"/>
      <c r="X1684" s="158"/>
      <c r="Y1684" s="158"/>
      <c r="Z1684" s="158"/>
      <c r="AA1684" s="158"/>
      <c r="AB1684" s="158"/>
      <c r="AC1684" s="158"/>
      <c r="AD1684" s="158"/>
      <c r="AE1684" s="158"/>
      <c r="AF1684" s="158"/>
    </row>
    <row r="1685" ht="15.75" customHeight="1">
      <c r="A1685" s="124"/>
      <c r="B1685" s="6" t="s">
        <v>236</v>
      </c>
      <c r="C1685" s="124"/>
      <c r="D1685" s="185" t="s">
        <v>248</v>
      </c>
      <c r="E1685" s="327"/>
      <c r="F1685" s="187">
        <v>1.0</v>
      </c>
      <c r="G1685" s="187">
        <v>6.0</v>
      </c>
      <c r="H1685" s="195"/>
      <c r="I1685" s="164"/>
      <c r="J1685" s="189">
        <v>6.5</v>
      </c>
      <c r="K1685" s="183"/>
      <c r="L1685" s="134">
        <f>I1549</f>
        <v>210</v>
      </c>
      <c r="M1685" s="135">
        <f>iferror(mround($O1549*((VLOOKUP($J1685,Sheet1!$D:$N,$G1685+1,FALSE)-0.03)),2.5)," ")</f>
        <v>202.5</v>
      </c>
      <c r="N1685" s="135">
        <f>iferror(mround($O1549*((VLOOKUP($J1685,Sheet1!$D:$N,$G1685+1,FALSE)+0.02)),2.5)," ")</f>
        <v>217.5</v>
      </c>
      <c r="O1685" s="112" t="str">
        <f>iferror(mround(I1685/VLOOKUP(K1685,Sheet1!$D$7:$N$16,G1685+1,FALSE),2.5),"")</f>
        <v/>
      </c>
      <c r="P1685" s="136">
        <f t="shared" si="63"/>
        <v>-210</v>
      </c>
      <c r="Q1685" s="214"/>
      <c r="R1685" s="11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</row>
    <row r="1686" ht="3.75" customHeight="1">
      <c r="A1686" s="124"/>
      <c r="B1686" s="6"/>
      <c r="C1686" s="124"/>
      <c r="D1686" s="138"/>
      <c r="E1686" s="326"/>
      <c r="F1686" s="102"/>
      <c r="G1686" s="102"/>
      <c r="H1686" s="102"/>
      <c r="I1686" s="102"/>
      <c r="J1686" s="216"/>
      <c r="K1686" s="218"/>
      <c r="L1686" s="144"/>
      <c r="M1686" s="145"/>
      <c r="N1686" s="145"/>
      <c r="O1686" s="122"/>
      <c r="P1686" s="146" t="str">
        <f t="shared" si="63"/>
        <v/>
      </c>
      <c r="Q1686" s="214"/>
      <c r="R1686" s="11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</row>
    <row r="1687" ht="15.75" customHeight="1">
      <c r="A1687" s="90"/>
      <c r="B1687" s="6"/>
      <c r="C1687" s="90"/>
      <c r="D1687" s="185" t="s">
        <v>291</v>
      </c>
      <c r="E1687" s="327"/>
      <c r="F1687" s="187">
        <v>2.0</v>
      </c>
      <c r="G1687" s="187">
        <v>1.0</v>
      </c>
      <c r="H1687" s="195"/>
      <c r="I1687" s="164"/>
      <c r="J1687" s="189" t="s">
        <v>78</v>
      </c>
      <c r="K1687" s="183"/>
      <c r="L1687" s="134">
        <f>I1551</f>
        <v>210</v>
      </c>
      <c r="M1687" s="135" t="str">
        <f>iferror(mround($O1551*((VLOOKUP($J1687,Sheet1!$D:$N,$G1687+1,FALSE)-0.03)),2.5)," ")</f>
        <v> </v>
      </c>
      <c r="N1687" s="135" t="str">
        <f>iferror(mround($O1551*((VLOOKUP($J1687,Sheet1!$D:$N,$G1687+1,FALSE)+0.02)),2.5)," ")</f>
        <v> </v>
      </c>
      <c r="O1687" s="112" t="str">
        <f>iferror(mround(I1687/VLOOKUP(K1687,Sheet1!$D$7:$N$16,G1687+1,FALSE),2.5),"")</f>
        <v/>
      </c>
      <c r="P1687" s="136">
        <f t="shared" si="63"/>
        <v>-210</v>
      </c>
      <c r="Q1687" s="214"/>
      <c r="R1687" s="11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</row>
    <row r="1688" ht="3.75" customHeight="1">
      <c r="A1688" s="90"/>
      <c r="B1688" s="6"/>
      <c r="C1688" s="90"/>
      <c r="D1688" s="138"/>
      <c r="E1688" s="326"/>
      <c r="F1688" s="102"/>
      <c r="G1688" s="102"/>
      <c r="H1688" s="102"/>
      <c r="I1688" s="102"/>
      <c r="J1688" s="216"/>
      <c r="K1688" s="218"/>
      <c r="L1688" s="144"/>
      <c r="M1688" s="145"/>
      <c r="N1688" s="145"/>
      <c r="O1688" s="122"/>
      <c r="P1688" s="146" t="str">
        <f t="shared" si="63"/>
        <v/>
      </c>
      <c r="Q1688" s="214"/>
      <c r="R1688" s="11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</row>
    <row r="1689" ht="15.75" customHeight="1">
      <c r="A1689" s="90"/>
      <c r="B1689" s="6"/>
      <c r="C1689" s="90"/>
      <c r="D1689" s="185" t="s">
        <v>248</v>
      </c>
      <c r="E1689" s="327"/>
      <c r="F1689" s="187">
        <v>2.0</v>
      </c>
      <c r="G1689" s="187">
        <v>6.0</v>
      </c>
      <c r="H1689" s="195"/>
      <c r="I1689" s="164">
        <f>MROUND(I1687*(1+J1689),2.5)</f>
        <v>0</v>
      </c>
      <c r="J1689" s="230">
        <v>-0.12</v>
      </c>
      <c r="K1689" s="183"/>
      <c r="L1689" s="134">
        <f>I1553</f>
        <v>185</v>
      </c>
      <c r="M1689" s="135" t="str">
        <f>iferror(mround($O1553*((VLOOKUP($J1689,Sheet1!$D:$N,$G1689+1,FALSE)-0.03)),2.5)," ")</f>
        <v> </v>
      </c>
      <c r="N1689" s="135" t="str">
        <f>iferror(mround($O1553*((VLOOKUP($J1689,Sheet1!$D:$N,$G1689+1,FALSE)+0.02)),2.5)," ")</f>
        <v> </v>
      </c>
      <c r="O1689" s="112" t="str">
        <f>iferror(mround(I1689/VLOOKUP(K1689,Sheet1!$D$7:$N$16,G1689+1,FALSE),2.5),"")</f>
        <v/>
      </c>
      <c r="P1689" s="136">
        <f t="shared" si="63"/>
        <v>-185</v>
      </c>
      <c r="Q1689" s="214"/>
      <c r="R1689" s="11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</row>
    <row r="1690" ht="3.75" customHeight="1">
      <c r="A1690" s="90"/>
      <c r="B1690" s="6"/>
      <c r="C1690" s="90"/>
      <c r="D1690" s="138"/>
      <c r="E1690" s="326"/>
      <c r="F1690" s="102"/>
      <c r="G1690" s="102"/>
      <c r="H1690" s="102"/>
      <c r="I1690" s="102"/>
      <c r="J1690" s="156"/>
      <c r="K1690" s="143"/>
      <c r="L1690" s="144"/>
      <c r="M1690" s="145"/>
      <c r="N1690" s="145"/>
      <c r="O1690" s="122"/>
      <c r="P1690" s="146" t="str">
        <f t="shared" si="63"/>
        <v/>
      </c>
      <c r="Q1690" s="214"/>
      <c r="R1690" s="11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</row>
    <row r="1691" ht="15.75" hidden="1" customHeight="1">
      <c r="A1691" s="90"/>
      <c r="B1691" s="6"/>
      <c r="C1691" s="90"/>
      <c r="D1691" s="185"/>
      <c r="E1691" s="224"/>
      <c r="F1691" s="187"/>
      <c r="G1691" s="187"/>
      <c r="H1691" s="195"/>
      <c r="I1691" s="164"/>
      <c r="J1691" s="189"/>
      <c r="K1691" s="183"/>
      <c r="L1691" s="134" t="str">
        <f>I1555</f>
        <v/>
      </c>
      <c r="M1691" s="135" t="str">
        <f>iferror(mround($O1555*((VLOOKUP($J1691,Sheet1!$D:$N,$G1691+1,FALSE)-0.03)),2.5)," ")</f>
        <v> </v>
      </c>
      <c r="N1691" s="135" t="str">
        <f>iferror(mround($O1555*((VLOOKUP($J1691,Sheet1!$D:$N,$G1691+1,FALSE)+0.02)),2.5)," ")</f>
        <v> </v>
      </c>
      <c r="O1691" s="112" t="str">
        <f>iferror(mround(I1691/VLOOKUP(K1691,Sheet1!$D$7:$N$16,G1691+1,FALSE),2.5),"")</f>
        <v/>
      </c>
      <c r="P1691" s="136" t="str">
        <f t="shared" si="63"/>
        <v/>
      </c>
      <c r="Q1691" s="214"/>
      <c r="R1691" s="11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</row>
    <row r="1692" ht="3.75" hidden="1" customHeight="1">
      <c r="A1692" s="90"/>
      <c r="B1692" s="6"/>
      <c r="C1692" s="90"/>
      <c r="D1692" s="138"/>
      <c r="E1692" s="326"/>
      <c r="F1692" s="102"/>
      <c r="G1692" s="102"/>
      <c r="H1692" s="102"/>
      <c r="I1692" s="102"/>
      <c r="J1692" s="216"/>
      <c r="K1692" s="143"/>
      <c r="L1692" s="144"/>
      <c r="M1692" s="145"/>
      <c r="N1692" s="145"/>
      <c r="O1692" s="122"/>
      <c r="P1692" s="146" t="str">
        <f t="shared" si="63"/>
        <v/>
      </c>
      <c r="Q1692" s="214"/>
      <c r="R1692" s="11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</row>
    <row r="1693" ht="15.75" hidden="1" customHeight="1">
      <c r="A1693" s="90"/>
      <c r="B1693" s="6"/>
      <c r="C1693" s="90"/>
      <c r="D1693" s="185"/>
      <c r="E1693" s="224"/>
      <c r="F1693" s="187"/>
      <c r="G1693" s="187"/>
      <c r="H1693" s="195"/>
      <c r="I1693" s="164"/>
      <c r="J1693" s="189"/>
      <c r="K1693" s="183"/>
      <c r="L1693" s="134" t="str">
        <f>I1557</f>
        <v/>
      </c>
      <c r="M1693" s="135" t="str">
        <f>iferror(mround($O1557*((VLOOKUP($J1693,Sheet1!$D:$N,$G1693+1,FALSE)-0.03)),2.5)," ")</f>
        <v> </v>
      </c>
      <c r="N1693" s="135" t="str">
        <f>iferror(mround($O1557*((VLOOKUP($J1693,Sheet1!$D:$N,$G1693+1,FALSE)+0.02)),2.5)," ")</f>
        <v> </v>
      </c>
      <c r="O1693" s="112" t="str">
        <f>iferror(mround(I1693/VLOOKUP(K1693,Sheet1!$D$7:$N$16,G1693+1,FALSE),2.5),"")</f>
        <v/>
      </c>
      <c r="P1693" s="136" t="str">
        <f t="shared" si="63"/>
        <v/>
      </c>
      <c r="Q1693" s="214"/>
      <c r="R1693" s="11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</row>
    <row r="1694" ht="3.75" hidden="1" customHeight="1">
      <c r="A1694" s="90"/>
      <c r="B1694" s="6"/>
      <c r="C1694" s="90"/>
      <c r="D1694" s="138"/>
      <c r="E1694" s="326"/>
      <c r="F1694" s="102"/>
      <c r="G1694" s="102"/>
      <c r="H1694" s="102"/>
      <c r="I1694" s="102"/>
      <c r="J1694" s="216"/>
      <c r="K1694" s="143"/>
      <c r="L1694" s="144"/>
      <c r="M1694" s="145"/>
      <c r="N1694" s="145"/>
      <c r="O1694" s="122"/>
      <c r="P1694" s="146" t="str">
        <f t="shared" si="63"/>
        <v/>
      </c>
      <c r="Q1694" s="214"/>
      <c r="R1694" s="11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</row>
    <row r="1695" ht="15.75" hidden="1" customHeight="1">
      <c r="A1695" s="90"/>
      <c r="B1695" s="6"/>
      <c r="C1695" s="90"/>
      <c r="D1695" s="185"/>
      <c r="E1695" s="224"/>
      <c r="F1695" s="187"/>
      <c r="G1695" s="187"/>
      <c r="H1695" s="195"/>
      <c r="I1695" s="164"/>
      <c r="J1695" s="189"/>
      <c r="K1695" s="183"/>
      <c r="L1695" s="134" t="str">
        <f>I1559</f>
        <v/>
      </c>
      <c r="M1695" s="135" t="str">
        <f>iferror(mround($O1559*((VLOOKUP($J1695,Sheet1!$D:$N,$G1695+1,FALSE)-0.03)),2.5)," ")</f>
        <v> </v>
      </c>
      <c r="N1695" s="135" t="str">
        <f>iferror(mround($O1559*((VLOOKUP($J1695,Sheet1!$D:$N,$G1695+1,FALSE)+0.02)),2.5)," ")</f>
        <v> </v>
      </c>
      <c r="O1695" s="112" t="str">
        <f>iferror(mround(I1695/VLOOKUP(K1695,Sheet1!$D$7:$N$16,G1695+1,FALSE),2.5),"")</f>
        <v/>
      </c>
      <c r="P1695" s="136" t="str">
        <f t="shared" si="63"/>
        <v/>
      </c>
      <c r="Q1695" s="214"/>
      <c r="R1695" s="11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</row>
    <row r="1696" ht="3.75" hidden="1" customHeight="1">
      <c r="A1696" s="90"/>
      <c r="B1696" s="6"/>
      <c r="C1696" s="90"/>
      <c r="D1696" s="138"/>
      <c r="E1696" s="326"/>
      <c r="F1696" s="102"/>
      <c r="G1696" s="102"/>
      <c r="H1696" s="102"/>
      <c r="I1696" s="102"/>
      <c r="J1696" s="216"/>
      <c r="K1696" s="143"/>
      <c r="L1696" s="144"/>
      <c r="M1696" s="145"/>
      <c r="N1696" s="145"/>
      <c r="O1696" s="122"/>
      <c r="P1696" s="146" t="str">
        <f t="shared" si="63"/>
        <v/>
      </c>
      <c r="Q1696" s="214"/>
      <c r="R1696" s="11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</row>
    <row r="1697" ht="18.0" customHeight="1">
      <c r="A1697" s="90"/>
      <c r="B1697" s="6"/>
      <c r="C1697" s="90"/>
      <c r="D1697" s="185" t="s">
        <v>277</v>
      </c>
      <c r="E1697" s="327"/>
      <c r="F1697" s="187">
        <v>3.0</v>
      </c>
      <c r="G1697" s="731" t="s">
        <v>251</v>
      </c>
      <c r="H1697" s="195"/>
      <c r="I1697" s="164"/>
      <c r="J1697" s="189">
        <v>9.0</v>
      </c>
      <c r="K1697" s="183"/>
      <c r="L1697" s="134" t="str">
        <f>I1561</f>
        <v/>
      </c>
      <c r="M1697" s="135" t="str">
        <f>iferror(mround($O1561*((VLOOKUP($J1697,Sheet1!$D:$N,$G1697+1,FALSE)-0.03)),2.5)," ")</f>
        <v> </v>
      </c>
      <c r="N1697" s="135" t="str">
        <f>iferror(mround($O1561*((VLOOKUP($J1697,Sheet1!$D:$N,$G1697+1,FALSE)+0.02)),2.5)," ")</f>
        <v> </v>
      </c>
      <c r="O1697" s="112" t="str">
        <f>iferror(mround(I1697/VLOOKUP(K1697,Sheet1!$D$7:$N$16,G1697+1,FALSE),2.5),"")</f>
        <v/>
      </c>
      <c r="P1697" s="136" t="str">
        <f t="shared" si="63"/>
        <v/>
      </c>
      <c r="Q1697" s="214"/>
      <c r="R1697" s="11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</row>
    <row r="1698" ht="3.75" customHeight="1">
      <c r="A1698" s="191"/>
      <c r="B1698" s="6"/>
      <c r="C1698" s="192"/>
      <c r="D1698" s="138"/>
      <c r="E1698" s="223"/>
      <c r="F1698" s="194"/>
      <c r="G1698" s="194"/>
      <c r="H1698" s="155"/>
      <c r="I1698" s="210"/>
      <c r="J1698" s="216"/>
      <c r="K1698" s="143"/>
      <c r="L1698" s="144"/>
      <c r="M1698" s="145"/>
      <c r="N1698" s="145"/>
      <c r="O1698" s="122"/>
      <c r="P1698" s="146" t="str">
        <f t="shared" si="63"/>
        <v/>
      </c>
      <c r="Q1698" s="214"/>
      <c r="R1698" s="157"/>
      <c r="S1698" s="5"/>
      <c r="T1698" s="5"/>
      <c r="U1698" s="158"/>
      <c r="V1698" s="158"/>
      <c r="W1698" s="158"/>
      <c r="X1698" s="158"/>
      <c r="Y1698" s="158"/>
      <c r="Z1698" s="158"/>
      <c r="AA1698" s="158"/>
      <c r="AB1698" s="158"/>
      <c r="AC1698" s="158"/>
      <c r="AD1698" s="158"/>
      <c r="AE1698" s="158"/>
      <c r="AF1698" s="158"/>
    </row>
    <row r="1699" ht="15.75" customHeight="1">
      <c r="A1699" s="90"/>
      <c r="B1699" s="6"/>
      <c r="C1699" s="90"/>
      <c r="D1699" s="185" t="s">
        <v>293</v>
      </c>
      <c r="E1699" s="186"/>
      <c r="F1699" s="187">
        <v>3.0</v>
      </c>
      <c r="G1699" s="731" t="s">
        <v>251</v>
      </c>
      <c r="H1699" s="195"/>
      <c r="I1699" s="164"/>
      <c r="J1699" s="189">
        <v>9.0</v>
      </c>
      <c r="K1699" s="183"/>
      <c r="L1699" s="134" t="str">
        <f>I1563</f>
        <v/>
      </c>
      <c r="M1699" s="135" t="str">
        <f>iferror(mround($O1563*((VLOOKUP($J1699,Sheet1!$D:$N,$G1699+1,FALSE)-0.03)),2.5)," ")</f>
        <v> </v>
      </c>
      <c r="N1699" s="135" t="str">
        <f>iferror(mround($O1563*((VLOOKUP($J1699,Sheet1!$D:$N,$G1699+1,FALSE)+0.02)),2.5)," ")</f>
        <v> </v>
      </c>
      <c r="O1699" s="112" t="str">
        <f>iferror(mround(I1699/VLOOKUP(K1699,Sheet1!$D$7:$N$16,G1699+1,FALSE),2.5),"")</f>
        <v/>
      </c>
      <c r="P1699" s="136" t="str">
        <f t="shared" si="63"/>
        <v/>
      </c>
      <c r="Q1699" s="214"/>
      <c r="R1699" s="11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</row>
    <row r="1700" ht="3.75" customHeight="1">
      <c r="A1700" s="90"/>
      <c r="B1700" s="6"/>
      <c r="C1700" s="90"/>
      <c r="D1700" s="138"/>
      <c r="E1700" s="184"/>
      <c r="F1700" s="102"/>
      <c r="G1700" s="102"/>
      <c r="H1700" s="102"/>
      <c r="I1700" s="102"/>
      <c r="J1700" s="156"/>
      <c r="K1700" s="143"/>
      <c r="L1700" s="144"/>
      <c r="M1700" s="145"/>
      <c r="N1700" s="145"/>
      <c r="O1700" s="122"/>
      <c r="P1700" s="146" t="str">
        <f t="shared" si="63"/>
        <v/>
      </c>
      <c r="Q1700" s="214"/>
      <c r="R1700" s="11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</row>
    <row r="1701" ht="15.75" customHeight="1">
      <c r="A1701" s="90"/>
      <c r="B1701" s="6"/>
      <c r="C1701" s="90"/>
      <c r="D1701" s="185" t="s">
        <v>255</v>
      </c>
      <c r="E1701" s="224"/>
      <c r="F1701" s="187">
        <v>3.0</v>
      </c>
      <c r="G1701" s="731" t="s">
        <v>251</v>
      </c>
      <c r="H1701" s="195"/>
      <c r="I1701" s="164"/>
      <c r="J1701" s="189">
        <v>9.0</v>
      </c>
      <c r="K1701" s="183"/>
      <c r="L1701" s="134" t="str">
        <f>I1565</f>
        <v/>
      </c>
      <c r="M1701" s="135" t="str">
        <f>iferror(mround($O1565*((VLOOKUP($J1701,Sheet1!$D:$N,$G1701+1,FALSE)-0.03)),2.5)," ")</f>
        <v> </v>
      </c>
      <c r="N1701" s="135" t="str">
        <f>iferror(mround($O1565*((VLOOKUP($J1701,Sheet1!$D:$N,$G1701+1,FALSE)+0.02)),2.5)," ")</f>
        <v> </v>
      </c>
      <c r="O1701" s="112" t="str">
        <f>iferror(mround(I1701/VLOOKUP(K1701,Sheet1!$D$7:$N$16,G1701+1,FALSE),2.5),"")</f>
        <v/>
      </c>
      <c r="P1701" s="136" t="str">
        <f t="shared" si="63"/>
        <v/>
      </c>
      <c r="Q1701" s="214"/>
      <c r="R1701" s="11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</row>
    <row r="1702" ht="3.75" customHeight="1">
      <c r="A1702" s="191"/>
      <c r="B1702" s="6"/>
      <c r="C1702" s="192"/>
      <c r="D1702" s="138"/>
      <c r="E1702" s="193"/>
      <c r="F1702" s="194"/>
      <c r="G1702" s="194"/>
      <c r="H1702" s="155"/>
      <c r="I1702" s="210"/>
      <c r="J1702" s="216"/>
      <c r="K1702" s="143"/>
      <c r="L1702" s="144"/>
      <c r="M1702" s="145"/>
      <c r="N1702" s="145"/>
      <c r="O1702" s="122"/>
      <c r="P1702" s="146" t="str">
        <f t="shared" si="63"/>
        <v/>
      </c>
      <c r="Q1702" s="214"/>
      <c r="R1702" s="157"/>
      <c r="S1702" s="5"/>
      <c r="T1702" s="5"/>
      <c r="U1702" s="158"/>
      <c r="V1702" s="158"/>
      <c r="W1702" s="158"/>
      <c r="X1702" s="158"/>
      <c r="Y1702" s="158"/>
      <c r="Z1702" s="158"/>
      <c r="AA1702" s="158"/>
      <c r="AB1702" s="158"/>
      <c r="AC1702" s="158"/>
      <c r="AD1702" s="158"/>
      <c r="AE1702" s="158"/>
      <c r="AF1702" s="158"/>
    </row>
    <row r="1703" ht="15.75" customHeight="1">
      <c r="A1703" s="90"/>
      <c r="B1703" s="6"/>
      <c r="C1703" s="90"/>
      <c r="D1703" s="185" t="s">
        <v>256</v>
      </c>
      <c r="E1703" s="186"/>
      <c r="F1703" s="187">
        <v>3.0</v>
      </c>
      <c r="G1703" s="187" t="s">
        <v>16</v>
      </c>
      <c r="H1703" s="195"/>
      <c r="I1703" s="164"/>
      <c r="J1703" s="189">
        <v>9.0</v>
      </c>
      <c r="K1703" s="183"/>
      <c r="L1703" s="134" t="str">
        <f>I1567</f>
        <v/>
      </c>
      <c r="M1703" s="135" t="str">
        <f>iferror(mround($O1567*((VLOOKUP($J1703,Sheet1!$D:$N,$G1703+1,FALSE)-0.03)),2.5)," ")</f>
        <v> </v>
      </c>
      <c r="N1703" s="135" t="str">
        <f>iferror(mround($O1567*((VLOOKUP($J1703,Sheet1!$D:$N,$G1703+1,FALSE)+0.02)),2.5)," ")</f>
        <v> </v>
      </c>
      <c r="O1703" s="112" t="str">
        <f>iferror(mround(I1703/VLOOKUP(K1703,Sheet1!$D$7:$N$16,G1703+1,FALSE),2.5),"")</f>
        <v/>
      </c>
      <c r="P1703" s="136" t="str">
        <f t="shared" si="63"/>
        <v/>
      </c>
      <c r="Q1703" s="214"/>
      <c r="R1703" s="11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</row>
    <row r="1704" ht="3.75" hidden="1" customHeight="1">
      <c r="A1704" s="90"/>
      <c r="B1704" s="6"/>
      <c r="C1704" s="90"/>
      <c r="D1704" s="196"/>
      <c r="E1704" s="184"/>
      <c r="F1704" s="102"/>
      <c r="G1704" s="102"/>
      <c r="H1704" s="102"/>
      <c r="I1704" s="102"/>
      <c r="J1704" s="156"/>
      <c r="K1704" s="143"/>
      <c r="L1704" s="144"/>
      <c r="M1704" s="145"/>
      <c r="N1704" s="145"/>
      <c r="O1704" s="122"/>
      <c r="P1704" s="146" t="str">
        <f t="shared" si="63"/>
        <v/>
      </c>
      <c r="Q1704" s="214"/>
      <c r="R1704" s="11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</row>
    <row r="1705" ht="15.75" hidden="1" customHeight="1">
      <c r="A1705" s="90"/>
      <c r="B1705" s="6"/>
      <c r="C1705" s="90"/>
      <c r="D1705" s="197"/>
      <c r="E1705" s="198"/>
      <c r="F1705" s="199"/>
      <c r="G1705" s="187"/>
      <c r="H1705" s="195"/>
      <c r="I1705" s="164"/>
      <c r="J1705" s="189"/>
      <c r="K1705" s="183"/>
      <c r="L1705" s="134" t="str">
        <f>I1569</f>
        <v/>
      </c>
      <c r="M1705" s="135" t="str">
        <f>iferror(mround($O1569*((VLOOKUP($J1705,Sheet1!$D:$N,$G1705+1,FALSE)-0.03)),2.5)," ")</f>
        <v> </v>
      </c>
      <c r="N1705" s="135" t="str">
        <f>iferror(mround($O1569*((VLOOKUP($J1705,Sheet1!$D:$N,$G1705+1,FALSE)+0.02)),2.5)," ")</f>
        <v> </v>
      </c>
      <c r="O1705" s="112" t="str">
        <f>iferror(mround(I1705/VLOOKUP(K1705,Sheet1!$D$7:$N$16,G1705+1,FALSE),2.5),"")</f>
        <v/>
      </c>
      <c r="P1705" s="136" t="str">
        <f t="shared" si="63"/>
        <v/>
      </c>
      <c r="Q1705" s="214"/>
      <c r="R1705" s="11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</row>
    <row r="1706" ht="3.75" customHeight="1">
      <c r="A1706" s="90"/>
      <c r="B1706" s="6"/>
      <c r="C1706" s="90"/>
      <c r="D1706" s="90"/>
      <c r="E1706" s="156"/>
      <c r="F1706" s="102"/>
      <c r="G1706" s="102"/>
      <c r="H1706" s="102"/>
      <c r="I1706" s="102"/>
      <c r="J1706" s="156"/>
      <c r="K1706" s="720"/>
      <c r="L1706" s="211"/>
      <c r="M1706" s="47"/>
      <c r="N1706" s="47"/>
      <c r="O1706" s="122"/>
      <c r="P1706" s="146" t="str">
        <f t="shared" si="63"/>
        <v/>
      </c>
      <c r="Q1706" s="214"/>
      <c r="R1706" s="11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</row>
    <row r="1707" ht="30.75" customHeight="1">
      <c r="A1707" s="90"/>
      <c r="B1707" s="6"/>
      <c r="C1707" s="90"/>
      <c r="D1707" s="202" t="s">
        <v>257</v>
      </c>
      <c r="E1707" s="255" t="s">
        <v>15</v>
      </c>
      <c r="F1707" s="106" t="s">
        <v>16</v>
      </c>
      <c r="G1707" s="106" t="s">
        <v>17</v>
      </c>
      <c r="H1707" s="107"/>
      <c r="I1707" s="106" t="s">
        <v>18</v>
      </c>
      <c r="J1707" s="766" t="s">
        <v>241</v>
      </c>
      <c r="K1707" s="767" t="s">
        <v>20</v>
      </c>
      <c r="L1707" s="110" t="s">
        <v>21</v>
      </c>
      <c r="M1707" s="111" t="s">
        <v>22</v>
      </c>
      <c r="O1707" s="112"/>
      <c r="P1707" s="113" t="s">
        <v>23</v>
      </c>
      <c r="Q1707" s="768"/>
      <c r="R1707" s="11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</row>
    <row r="1708" ht="14.25" customHeight="1">
      <c r="A1708" s="90"/>
      <c r="B1708" s="6"/>
      <c r="C1708" s="90"/>
      <c r="D1708" s="257" t="s">
        <v>25</v>
      </c>
      <c r="E1708" s="258" t="s">
        <v>26</v>
      </c>
      <c r="H1708" s="107"/>
      <c r="J1708" s="766" t="s">
        <v>244</v>
      </c>
      <c r="M1708" s="111" t="s">
        <v>27</v>
      </c>
      <c r="N1708" s="111" t="s">
        <v>28</v>
      </c>
      <c r="O1708" s="112" t="s">
        <v>29</v>
      </c>
      <c r="Q1708" s="118" t="s">
        <v>30</v>
      </c>
      <c r="R1708" s="11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</row>
    <row r="1709" ht="3.75" customHeight="1">
      <c r="A1709" s="191"/>
      <c r="B1709" s="6"/>
      <c r="C1709" s="192"/>
      <c r="D1709" s="203"/>
      <c r="E1709" s="203"/>
      <c r="F1709" s="205"/>
      <c r="G1709" s="205"/>
      <c r="H1709" s="205"/>
      <c r="I1709" s="225"/>
      <c r="J1709" s="226"/>
      <c r="K1709" s="191"/>
      <c r="L1709" s="211"/>
      <c r="M1709" s="47"/>
      <c r="N1709" s="47"/>
      <c r="O1709" s="122"/>
      <c r="P1709" s="146" t="str">
        <f t="shared" ref="P1709:P1729" si="64">IF(I1709 - I1573 = 0, "", I1709 - I1573)</f>
        <v/>
      </c>
      <c r="Q1709" s="196"/>
      <c r="R1709" s="157"/>
      <c r="S1709" s="5"/>
      <c r="T1709" s="5"/>
      <c r="U1709" s="158"/>
      <c r="V1709" s="158"/>
      <c r="W1709" s="158"/>
      <c r="X1709" s="158"/>
      <c r="Y1709" s="158"/>
      <c r="Z1709" s="158"/>
      <c r="AA1709" s="158"/>
      <c r="AB1709" s="158"/>
      <c r="AC1709" s="158"/>
      <c r="AD1709" s="158"/>
      <c r="AE1709" s="158"/>
      <c r="AF1709" s="158"/>
    </row>
    <row r="1710" ht="15.75" customHeight="1">
      <c r="A1710" s="124"/>
      <c r="B1710" s="6" t="s">
        <v>239</v>
      </c>
      <c r="C1710" s="124"/>
      <c r="D1710" s="185" t="s">
        <v>77</v>
      </c>
      <c r="E1710" s="327"/>
      <c r="F1710" s="187">
        <v>3.0</v>
      </c>
      <c r="G1710" s="187">
        <v>3.0</v>
      </c>
      <c r="H1710" s="195"/>
      <c r="I1710" s="164">
        <v>175.0</v>
      </c>
      <c r="J1710" s="189"/>
      <c r="K1710" s="183"/>
      <c r="L1710" s="134">
        <f>I1574</f>
        <v>170</v>
      </c>
      <c r="M1710" s="135" t="str">
        <f>iferror(mround($O1574*((VLOOKUP($J1710,Sheet1!$D:$N,$G1710+1,FALSE)-0.03)),2.5)," ")</f>
        <v> </v>
      </c>
      <c r="N1710" s="135" t="str">
        <f>iferror(mround($O1574*((VLOOKUP($J1710,Sheet1!$D:$N,$G1710+1,FALSE)+0.02)),2.5)," ")</f>
        <v> </v>
      </c>
      <c r="O1710" s="112" t="str">
        <f>iferror(mround(I1710/VLOOKUP(K1710,Sheet1!$D$7:$N$16,G1710+1,FALSE),2.5),"")</f>
        <v/>
      </c>
      <c r="P1710" s="136">
        <f t="shared" si="64"/>
        <v>5</v>
      </c>
      <c r="Q1710" s="214"/>
      <c r="R1710" s="11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</row>
    <row r="1711" ht="3.75" customHeight="1">
      <c r="A1711" s="124"/>
      <c r="B1711" s="6"/>
      <c r="C1711" s="124"/>
      <c r="D1711" s="138"/>
      <c r="E1711" s="184"/>
      <c r="F1711" s="102"/>
      <c r="G1711" s="102"/>
      <c r="H1711" s="102"/>
      <c r="I1711" s="102"/>
      <c r="J1711" s="156"/>
      <c r="K1711" s="218"/>
      <c r="L1711" s="144"/>
      <c r="M1711" s="145"/>
      <c r="N1711" s="145"/>
      <c r="O1711" s="122"/>
      <c r="P1711" s="146" t="str">
        <f t="shared" si="64"/>
        <v/>
      </c>
      <c r="Q1711" s="214"/>
      <c r="R1711" s="11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</row>
    <row r="1712" ht="15.75" customHeight="1">
      <c r="A1712" s="90"/>
      <c r="B1712" s="6" t="s">
        <v>236</v>
      </c>
      <c r="C1712" s="90"/>
      <c r="D1712" s="185" t="s">
        <v>33</v>
      </c>
      <c r="E1712" s="327"/>
      <c r="F1712" s="187">
        <v>1.0</v>
      </c>
      <c r="G1712" s="187">
        <v>3.0</v>
      </c>
      <c r="H1712" s="195"/>
      <c r="I1712" s="164"/>
      <c r="J1712" s="189">
        <v>8.0</v>
      </c>
      <c r="K1712" s="183"/>
      <c r="L1712" s="134">
        <f>I1576</f>
        <v>155</v>
      </c>
      <c r="M1712" s="135">
        <f>iferror(mround($O1576*((VLOOKUP($J1712,Sheet1!$D:$N,$G1712+1,FALSE)-0.03)),2.5)," ")</f>
        <v>147.5</v>
      </c>
      <c r="N1712" s="135">
        <f>iferror(mround($O1576*((VLOOKUP($J1712,Sheet1!$D:$N,$G1712+1,FALSE)+0.02)),2.5)," ")</f>
        <v>157.5</v>
      </c>
      <c r="O1712" s="112" t="str">
        <f>iferror(mround(I1712/VLOOKUP(K1712,Sheet1!$D$7:$N$16,G1712+1,FALSE),2.5),"")</f>
        <v/>
      </c>
      <c r="P1712" s="136">
        <f t="shared" si="64"/>
        <v>-155</v>
      </c>
      <c r="Q1712" s="214"/>
      <c r="R1712" s="11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</row>
    <row r="1713" ht="3.75" customHeight="1">
      <c r="A1713" s="90"/>
      <c r="B1713" s="6"/>
      <c r="C1713" s="90"/>
      <c r="D1713" s="138"/>
      <c r="E1713" s="326"/>
      <c r="F1713" s="102"/>
      <c r="G1713" s="102"/>
      <c r="H1713" s="102"/>
      <c r="I1713" s="102"/>
      <c r="J1713" s="156"/>
      <c r="K1713" s="218"/>
      <c r="L1713" s="144"/>
      <c r="M1713" s="145"/>
      <c r="N1713" s="145"/>
      <c r="O1713" s="122"/>
      <c r="P1713" s="146" t="str">
        <f t="shared" si="64"/>
        <v/>
      </c>
      <c r="Q1713" s="214"/>
      <c r="R1713" s="11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</row>
    <row r="1714" ht="15.75" customHeight="1">
      <c r="A1714" s="90"/>
      <c r="B1714" s="6"/>
      <c r="C1714" s="90"/>
      <c r="D1714" s="185" t="s">
        <v>33</v>
      </c>
      <c r="E1714" s="327"/>
      <c r="F1714" s="187">
        <v>3.0</v>
      </c>
      <c r="G1714" s="187">
        <v>5.0</v>
      </c>
      <c r="H1714" s="195"/>
      <c r="I1714" s="164">
        <f>MROUND(I1712*(1+J1714),2.5)</f>
        <v>0</v>
      </c>
      <c r="J1714" s="230">
        <v>-0.15</v>
      </c>
      <c r="K1714" s="183"/>
      <c r="L1714" s="134">
        <f>I1578</f>
        <v>132.5</v>
      </c>
      <c r="M1714" s="135" t="str">
        <f>iferror(mround($O1578*((VLOOKUP($J1714,Sheet1!$D:$N,$G1714+1,FALSE)-0.03)),2.5)," ")</f>
        <v> </v>
      </c>
      <c r="N1714" s="135" t="str">
        <f>iferror(mround($O1578*((VLOOKUP($J1714,Sheet1!$D:$N,$G1714+1,FALSE)+0.02)),2.5)," ")</f>
        <v> </v>
      </c>
      <c r="O1714" s="112" t="str">
        <f>iferror(mround(I1714/VLOOKUP(K1714,Sheet1!$D$7:$N$16,G1714+1,FALSE),2.5),"")</f>
        <v/>
      </c>
      <c r="P1714" s="136">
        <f t="shared" si="64"/>
        <v>-132.5</v>
      </c>
      <c r="Q1714" s="214"/>
      <c r="R1714" s="11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</row>
    <row r="1715" ht="3.75" customHeight="1">
      <c r="A1715" s="90"/>
      <c r="B1715" s="6"/>
      <c r="C1715" s="90"/>
      <c r="D1715" s="138"/>
      <c r="E1715" s="184"/>
      <c r="F1715" s="102"/>
      <c r="G1715" s="102"/>
      <c r="H1715" s="102"/>
      <c r="I1715" s="102"/>
      <c r="J1715" s="156"/>
      <c r="K1715" s="218"/>
      <c r="L1715" s="144"/>
      <c r="M1715" s="145"/>
      <c r="N1715" s="145"/>
      <c r="O1715" s="122"/>
      <c r="P1715" s="146" t="str">
        <f t="shared" si="64"/>
        <v/>
      </c>
      <c r="Q1715" s="214"/>
      <c r="R1715" s="11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</row>
    <row r="1716" ht="15.75" customHeight="1">
      <c r="A1716" s="90"/>
      <c r="B1716" s="6"/>
      <c r="C1716" s="90"/>
      <c r="D1716" s="185" t="s">
        <v>295</v>
      </c>
      <c r="E1716" s="224" t="s">
        <v>296</v>
      </c>
      <c r="F1716" s="187">
        <v>3.0</v>
      </c>
      <c r="G1716" s="731" t="s">
        <v>251</v>
      </c>
      <c r="H1716" s="195"/>
      <c r="I1716" s="164"/>
      <c r="J1716" s="189">
        <v>8.0</v>
      </c>
      <c r="K1716" s="183"/>
      <c r="L1716" s="134" t="str">
        <f>I1580</f>
        <v/>
      </c>
      <c r="M1716" s="135" t="str">
        <f>iferror(mround($O1580*((VLOOKUP($J1716,Sheet1!$D:$N,$G1716+1,FALSE)-0.03)),2.5)," ")</f>
        <v> </v>
      </c>
      <c r="N1716" s="135" t="str">
        <f>iferror(mround($O1580*((VLOOKUP($J1716,Sheet1!$D:$N,$G1716+1,FALSE)+0.02)),2.5)," ")</f>
        <v> </v>
      </c>
      <c r="O1716" s="112" t="str">
        <f>iferror(mround(I1716/VLOOKUP(K1716,Sheet1!$D$7:$N$16,G1716+1,FALSE),2.5),"")</f>
        <v/>
      </c>
      <c r="P1716" s="136" t="str">
        <f t="shared" si="64"/>
        <v/>
      </c>
      <c r="Q1716" s="214"/>
      <c r="R1716" s="11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</row>
    <row r="1717" ht="3.75" customHeight="1">
      <c r="A1717" s="90"/>
      <c r="B1717" s="6"/>
      <c r="C1717" s="90"/>
      <c r="D1717" s="138"/>
      <c r="E1717" s="184"/>
      <c r="F1717" s="102"/>
      <c r="G1717" s="102"/>
      <c r="H1717" s="102"/>
      <c r="I1717" s="102"/>
      <c r="J1717" s="156"/>
      <c r="K1717" s="218"/>
      <c r="L1717" s="144"/>
      <c r="M1717" s="145"/>
      <c r="N1717" s="145"/>
      <c r="O1717" s="122"/>
      <c r="P1717" s="146" t="str">
        <f t="shared" si="64"/>
        <v/>
      </c>
      <c r="Q1717" s="214"/>
      <c r="R1717" s="11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</row>
    <row r="1718" ht="15.75" customHeight="1">
      <c r="A1718" s="90"/>
      <c r="B1718" s="6"/>
      <c r="C1718" s="90"/>
      <c r="D1718" s="185" t="s">
        <v>298</v>
      </c>
      <c r="E1718" s="224"/>
      <c r="F1718" s="187">
        <v>3.0</v>
      </c>
      <c r="G1718" s="731" t="s">
        <v>251</v>
      </c>
      <c r="H1718" s="195"/>
      <c r="I1718" s="164"/>
      <c r="J1718" s="189">
        <v>8.0</v>
      </c>
      <c r="K1718" s="183"/>
      <c r="L1718" s="134" t="str">
        <f>I1582</f>
        <v/>
      </c>
      <c r="M1718" s="135" t="str">
        <f>iferror(mround($O1582*((VLOOKUP($J1718,Sheet1!$D:$N,$G1718+1,FALSE)-0.03)),2.5)," ")</f>
        <v> </v>
      </c>
      <c r="N1718" s="135" t="str">
        <f>iferror(mround($O1582*((VLOOKUP($J1718,Sheet1!$D:$N,$G1718+1,FALSE)+0.02)),2.5)," ")</f>
        <v> </v>
      </c>
      <c r="O1718" s="112" t="str">
        <f>iferror(mround(I1718/VLOOKUP(K1718,Sheet1!$D$7:$N$16,G1718+1,FALSE),2.5),"")</f>
        <v/>
      </c>
      <c r="P1718" s="136" t="str">
        <f t="shared" si="64"/>
        <v/>
      </c>
      <c r="Q1718" s="214"/>
      <c r="R1718" s="11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</row>
    <row r="1719" ht="3.75" customHeight="1">
      <c r="A1719" s="90"/>
      <c r="B1719" s="6"/>
      <c r="C1719" s="90"/>
      <c r="D1719" s="138"/>
      <c r="E1719" s="184"/>
      <c r="F1719" s="102"/>
      <c r="G1719" s="102"/>
      <c r="H1719" s="102"/>
      <c r="I1719" s="102"/>
      <c r="J1719" s="156"/>
      <c r="K1719" s="218"/>
      <c r="L1719" s="144"/>
      <c r="M1719" s="145"/>
      <c r="N1719" s="145"/>
      <c r="O1719" s="122"/>
      <c r="P1719" s="146" t="str">
        <f t="shared" si="64"/>
        <v/>
      </c>
      <c r="Q1719" s="214"/>
      <c r="R1719" s="11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</row>
    <row r="1720" ht="15.75" hidden="1" customHeight="1">
      <c r="A1720" s="90"/>
      <c r="B1720" s="6"/>
      <c r="C1720" s="90"/>
      <c r="D1720" s="185"/>
      <c r="E1720" s="224"/>
      <c r="F1720" s="187"/>
      <c r="G1720" s="187"/>
      <c r="H1720" s="195"/>
      <c r="I1720" s="164"/>
      <c r="J1720" s="230"/>
      <c r="K1720" s="183"/>
      <c r="L1720" s="134" t="str">
        <f>I1584</f>
        <v/>
      </c>
      <c r="M1720" s="135" t="str">
        <f>iferror(mround($O1584*((VLOOKUP($J1720,Sheet1!$D:$N,$G1720+1,FALSE)-0.03)),2.5)," ")</f>
        <v> </v>
      </c>
      <c r="N1720" s="135" t="str">
        <f>iferror(mround($O1584*((VLOOKUP($J1720,Sheet1!$D:$N,$G1720+1,FALSE)+0.02)),2.5)," ")</f>
        <v> </v>
      </c>
      <c r="O1720" s="112" t="str">
        <f>iferror(mround(I1720/VLOOKUP(K1720,Sheet1!$D$7:$N$16,G1720+1,FALSE),2.5),"")</f>
        <v/>
      </c>
      <c r="P1720" s="136" t="str">
        <f t="shared" si="64"/>
        <v/>
      </c>
      <c r="Q1720" s="214"/>
      <c r="R1720" s="11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</row>
    <row r="1721" ht="3.75" hidden="1" customHeight="1">
      <c r="A1721" s="90"/>
      <c r="B1721" s="6"/>
      <c r="C1721" s="90"/>
      <c r="D1721" s="138"/>
      <c r="E1721" s="184"/>
      <c r="F1721" s="102"/>
      <c r="G1721" s="102"/>
      <c r="H1721" s="102"/>
      <c r="I1721" s="102"/>
      <c r="J1721" s="216"/>
      <c r="K1721" s="218"/>
      <c r="L1721" s="144"/>
      <c r="M1721" s="145"/>
      <c r="N1721" s="145"/>
      <c r="O1721" s="122"/>
      <c r="P1721" s="146" t="str">
        <f t="shared" si="64"/>
        <v/>
      </c>
      <c r="Q1721" s="214"/>
      <c r="R1721" s="11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</row>
    <row r="1722" ht="15.75" hidden="1" customHeight="1">
      <c r="A1722" s="90"/>
      <c r="B1722" s="6"/>
      <c r="C1722" s="90"/>
      <c r="D1722" s="185"/>
      <c r="E1722" s="327"/>
      <c r="F1722" s="187"/>
      <c r="G1722" s="187"/>
      <c r="H1722" s="195"/>
      <c r="I1722" s="164"/>
      <c r="J1722" s="230"/>
      <c r="K1722" s="183"/>
      <c r="L1722" s="134" t="str">
        <f>I1586</f>
        <v/>
      </c>
      <c r="M1722" s="135" t="str">
        <f>iferror(mround($O1586*((VLOOKUP($J1722,Sheet1!$D:$N,$G1722+1,FALSE)-0.03)),2.5)," ")</f>
        <v> </v>
      </c>
      <c r="N1722" s="135" t="str">
        <f>iferror(mround($O1586*((VLOOKUP($J1722,Sheet1!$D:$N,$G1722+1,FALSE)+0.02)),2.5)," ")</f>
        <v> </v>
      </c>
      <c r="O1722" s="112" t="str">
        <f>iferror(mround(I1722/VLOOKUP(K1722,Sheet1!$D$7:$N$16,G1722+1,FALSE),2.5),"")</f>
        <v/>
      </c>
      <c r="P1722" s="136" t="str">
        <f t="shared" si="64"/>
        <v/>
      </c>
      <c r="Q1722" s="214"/>
      <c r="R1722" s="11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</row>
    <row r="1723" ht="3.75" hidden="1" customHeight="1">
      <c r="A1723" s="191"/>
      <c r="B1723" s="6"/>
      <c r="C1723" s="192"/>
      <c r="D1723" s="138"/>
      <c r="E1723" s="184"/>
      <c r="F1723" s="102"/>
      <c r="G1723" s="102"/>
      <c r="H1723" s="102"/>
      <c r="I1723" s="102"/>
      <c r="J1723" s="156"/>
      <c r="K1723" s="218"/>
      <c r="L1723" s="144"/>
      <c r="M1723" s="145"/>
      <c r="N1723" s="145"/>
      <c r="O1723" s="122"/>
      <c r="P1723" s="146" t="str">
        <f t="shared" si="64"/>
        <v/>
      </c>
      <c r="Q1723" s="214"/>
      <c r="R1723" s="157"/>
      <c r="S1723" s="5"/>
      <c r="T1723" s="5"/>
      <c r="U1723" s="158"/>
      <c r="V1723" s="158"/>
      <c r="W1723" s="158"/>
      <c r="X1723" s="158"/>
      <c r="Y1723" s="158"/>
      <c r="Z1723" s="158"/>
      <c r="AA1723" s="158"/>
      <c r="AB1723" s="158"/>
      <c r="AC1723" s="158"/>
      <c r="AD1723" s="158"/>
      <c r="AE1723" s="158"/>
      <c r="AF1723" s="158"/>
    </row>
    <row r="1724" ht="15.75" hidden="1" customHeight="1">
      <c r="A1724" s="90"/>
      <c r="B1724" s="6"/>
      <c r="C1724" s="90"/>
      <c r="D1724" s="185"/>
      <c r="E1724" s="224"/>
      <c r="F1724" s="187"/>
      <c r="G1724" s="187"/>
      <c r="H1724" s="195"/>
      <c r="I1724" s="164"/>
      <c r="J1724" s="230"/>
      <c r="K1724" s="183"/>
      <c r="L1724" s="134" t="str">
        <f>I1588</f>
        <v/>
      </c>
      <c r="M1724" s="135" t="str">
        <f>iferror(mround($O1588*((VLOOKUP($J1724,Sheet1!$D:$N,$G1724+1,FALSE)-0.03)),2.5)," ")</f>
        <v> </v>
      </c>
      <c r="N1724" s="135" t="str">
        <f>iferror(mround($O1588*((VLOOKUP($J1724,Sheet1!$D:$N,$G1724+1,FALSE)+0.02)),2.5)," ")</f>
        <v> </v>
      </c>
      <c r="O1724" s="112" t="str">
        <f>iferror(mround(I1724/VLOOKUP(K1724,Sheet1!$D$7:$N$16,G1724+1,FALSE),2.5),"")</f>
        <v/>
      </c>
      <c r="P1724" s="136" t="str">
        <f t="shared" si="64"/>
        <v/>
      </c>
      <c r="Q1724" s="214"/>
      <c r="R1724" s="11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</row>
    <row r="1725" ht="3.75" hidden="1" customHeight="1">
      <c r="A1725" s="90"/>
      <c r="B1725" s="6"/>
      <c r="C1725" s="90"/>
      <c r="D1725" s="138"/>
      <c r="E1725" s="184"/>
      <c r="F1725" s="102"/>
      <c r="G1725" s="102"/>
      <c r="H1725" s="102"/>
      <c r="I1725" s="102"/>
      <c r="J1725" s="156"/>
      <c r="K1725" s="218"/>
      <c r="L1725" s="144"/>
      <c r="M1725" s="145"/>
      <c r="N1725" s="145"/>
      <c r="O1725" s="122"/>
      <c r="P1725" s="146" t="str">
        <f t="shared" si="64"/>
        <v/>
      </c>
      <c r="Q1725" s="214"/>
      <c r="R1725" s="11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</row>
    <row r="1726" ht="15.75" hidden="1" customHeight="1">
      <c r="A1726" s="90"/>
      <c r="B1726" s="6"/>
      <c r="C1726" s="90"/>
      <c r="D1726" s="231"/>
      <c r="E1726" s="232"/>
      <c r="F1726" s="187"/>
      <c r="G1726" s="187"/>
      <c r="H1726" s="195"/>
      <c r="I1726" s="164"/>
      <c r="J1726" s="230"/>
      <c r="K1726" s="183"/>
      <c r="L1726" s="134" t="str">
        <f>I1590</f>
        <v/>
      </c>
      <c r="M1726" s="135" t="str">
        <f>iferror(mround($O1590*((VLOOKUP($J1726,Sheet1!$D:$N,$G1726+1,FALSE)-0.03)),2.5)," ")</f>
        <v> </v>
      </c>
      <c r="N1726" s="135" t="str">
        <f>iferror(mround($O1590*((VLOOKUP($J1726,Sheet1!$D:$N,$G1726+1,FALSE)+0.02)),2.5)," ")</f>
        <v> </v>
      </c>
      <c r="O1726" s="112" t="str">
        <f>iferror(mround(I1726/VLOOKUP(K1726,Sheet1!$D$7:$N$16,G1726+1,FALSE),2.5),"")</f>
        <v/>
      </c>
      <c r="P1726" s="136" t="str">
        <f t="shared" si="64"/>
        <v/>
      </c>
      <c r="Q1726" s="214"/>
      <c r="R1726" s="11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</row>
    <row r="1727" ht="3.75" hidden="1" customHeight="1">
      <c r="A1727" s="191"/>
      <c r="B1727" s="6"/>
      <c r="C1727" s="233"/>
      <c r="D1727" s="234"/>
      <c r="E1727" s="235"/>
      <c r="F1727" s="236"/>
      <c r="G1727" s="194"/>
      <c r="H1727" s="155"/>
      <c r="I1727" s="210"/>
      <c r="J1727" s="216"/>
      <c r="K1727" s="218"/>
      <c r="L1727" s="144"/>
      <c r="M1727" s="145"/>
      <c r="N1727" s="145"/>
      <c r="O1727" s="122"/>
      <c r="P1727" s="146" t="str">
        <f t="shared" si="64"/>
        <v/>
      </c>
      <c r="Q1727" s="214"/>
      <c r="R1727" s="157"/>
      <c r="S1727" s="5"/>
      <c r="T1727" s="5"/>
      <c r="U1727" s="158"/>
      <c r="V1727" s="158"/>
      <c r="W1727" s="158"/>
      <c r="X1727" s="158"/>
      <c r="Y1727" s="158"/>
      <c r="Z1727" s="158"/>
      <c r="AA1727" s="158"/>
      <c r="AB1727" s="158"/>
      <c r="AC1727" s="158"/>
      <c r="AD1727" s="158"/>
      <c r="AE1727" s="158"/>
      <c r="AF1727" s="158"/>
    </row>
    <row r="1728" ht="15.75" hidden="1" customHeight="1">
      <c r="A1728" s="90"/>
      <c r="B1728" s="6"/>
      <c r="C1728" s="90"/>
      <c r="D1728" s="197"/>
      <c r="E1728" s="198"/>
      <c r="F1728" s="199"/>
      <c r="G1728" s="187"/>
      <c r="H1728" s="195"/>
      <c r="I1728" s="164"/>
      <c r="J1728" s="189"/>
      <c r="K1728" s="183"/>
      <c r="L1728" s="134" t="str">
        <f>I1592</f>
        <v/>
      </c>
      <c r="M1728" s="135" t="str">
        <f>iferror(mround($O1592*((VLOOKUP($J1728,Sheet1!$D:$N,$G1728+1,FALSE)-0.03)),2.5)," ")</f>
        <v> </v>
      </c>
      <c r="N1728" s="135" t="str">
        <f>iferror(mround($O1592*((VLOOKUP($J1728,Sheet1!$D:$N,$G1728+1,FALSE)+0.02)),2.5)," ")</f>
        <v> </v>
      </c>
      <c r="O1728" s="112" t="str">
        <f>iferror(mround(I1728/VLOOKUP(K1728,Sheet1!$D$7:$N$16,G1728+1,FALSE),2.5),"")</f>
        <v/>
      </c>
      <c r="P1728" s="136" t="str">
        <f t="shared" si="64"/>
        <v/>
      </c>
      <c r="Q1728" s="214"/>
      <c r="R1728" s="11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</row>
    <row r="1729" ht="3.75" hidden="1" customHeight="1">
      <c r="A1729" s="90"/>
      <c r="B1729" s="6"/>
      <c r="C1729" s="90"/>
      <c r="D1729" s="90"/>
      <c r="E1729" s="156"/>
      <c r="F1729" s="102"/>
      <c r="G1729" s="102"/>
      <c r="H1729" s="102"/>
      <c r="I1729" s="102"/>
      <c r="J1729" s="156"/>
      <c r="K1729" s="720"/>
      <c r="L1729" s="211"/>
      <c r="M1729" s="47"/>
      <c r="N1729" s="47"/>
      <c r="O1729" s="122"/>
      <c r="P1729" s="146" t="str">
        <f t="shared" si="64"/>
        <v/>
      </c>
      <c r="Q1729" s="214"/>
      <c r="R1729" s="11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</row>
    <row r="1730" ht="30.0" customHeight="1">
      <c r="A1730" s="90"/>
      <c r="B1730" s="6"/>
      <c r="C1730" s="90"/>
      <c r="D1730" s="202" t="s">
        <v>279</v>
      </c>
      <c r="E1730" s="255" t="s">
        <v>15</v>
      </c>
      <c r="F1730" s="106" t="s">
        <v>16</v>
      </c>
      <c r="G1730" s="106" t="s">
        <v>17</v>
      </c>
      <c r="H1730" s="107"/>
      <c r="I1730" s="106" t="s">
        <v>18</v>
      </c>
      <c r="J1730" s="766" t="s">
        <v>241</v>
      </c>
      <c r="K1730" s="767" t="s">
        <v>20</v>
      </c>
      <c r="L1730" s="110" t="s">
        <v>21</v>
      </c>
      <c r="M1730" s="111" t="s">
        <v>22</v>
      </c>
      <c r="O1730" s="112"/>
      <c r="P1730" s="113" t="s">
        <v>23</v>
      </c>
      <c r="Q1730" s="768"/>
      <c r="R1730" s="11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</row>
    <row r="1731" ht="14.25" customHeight="1">
      <c r="A1731" s="90"/>
      <c r="B1731" s="6"/>
      <c r="C1731" s="90"/>
      <c r="D1731" s="257" t="s">
        <v>25</v>
      </c>
      <c r="E1731" s="258" t="s">
        <v>26</v>
      </c>
      <c r="H1731" s="107"/>
      <c r="J1731" s="766" t="s">
        <v>244</v>
      </c>
      <c r="M1731" s="111" t="s">
        <v>27</v>
      </c>
      <c r="N1731" s="111" t="s">
        <v>28</v>
      </c>
      <c r="O1731" s="112" t="s">
        <v>29</v>
      </c>
      <c r="Q1731" s="118" t="s">
        <v>30</v>
      </c>
      <c r="R1731" s="11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</row>
    <row r="1732" ht="3.75" customHeight="1">
      <c r="A1732" s="191"/>
      <c r="B1732" s="6"/>
      <c r="C1732" s="192"/>
      <c r="D1732" s="203"/>
      <c r="E1732" s="204"/>
      <c r="F1732" s="205"/>
      <c r="G1732" s="205"/>
      <c r="H1732" s="205"/>
      <c r="I1732" s="225"/>
      <c r="J1732" s="237"/>
      <c r="K1732" s="777"/>
      <c r="L1732" s="211"/>
      <c r="M1732" s="47"/>
      <c r="N1732" s="47"/>
      <c r="O1732" s="122"/>
      <c r="P1732" s="146" t="str">
        <f t="shared" ref="P1732:P1752" si="65">IF(I1732 - I1596 = 0, "", I1732 - I1596)</f>
        <v/>
      </c>
      <c r="Q1732" s="778"/>
      <c r="R1732" s="157"/>
      <c r="S1732" s="5"/>
      <c r="T1732" s="5"/>
      <c r="U1732" s="158"/>
      <c r="V1732" s="158"/>
      <c r="W1732" s="158"/>
      <c r="X1732" s="158"/>
      <c r="Y1732" s="158"/>
      <c r="Z1732" s="158"/>
      <c r="AA1732" s="158"/>
      <c r="AB1732" s="158"/>
      <c r="AC1732" s="158"/>
      <c r="AD1732" s="158"/>
      <c r="AE1732" s="158"/>
      <c r="AF1732" s="158"/>
    </row>
    <row r="1733" ht="15.75" customHeight="1">
      <c r="A1733" s="124"/>
      <c r="B1733" s="6" t="s">
        <v>301</v>
      </c>
      <c r="C1733" s="124"/>
      <c r="D1733" s="185" t="s">
        <v>77</v>
      </c>
      <c r="E1733" s="260"/>
      <c r="F1733" s="187">
        <v>1.0</v>
      </c>
      <c r="G1733" s="187">
        <v>4.0</v>
      </c>
      <c r="H1733" s="195"/>
      <c r="I1733" s="164">
        <v>220.0</v>
      </c>
      <c r="J1733" s="248">
        <v>7.5</v>
      </c>
      <c r="K1733" s="164"/>
      <c r="L1733" s="134">
        <f>I1597</f>
        <v>210</v>
      </c>
      <c r="M1733" s="135">
        <f>iferror(mround($O1597*((VLOOKUP($J1733,Sheet1!$D:$N,$G1733+1,FALSE)-0.03)),2.5)," ")</f>
        <v>0</v>
      </c>
      <c r="N1733" s="135">
        <f>iferror(mround($O1597*((VLOOKUP($J1733,Sheet1!$D:$N,$G1733+1,FALSE)+0.02)),2.5)," ")</f>
        <v>0</v>
      </c>
      <c r="O1733" s="112" t="str">
        <f>iferror(mround(I1733/VLOOKUP(K1733,Sheet1!$D$7:$N$16,G1733+1,FALSE),2.5),"")</f>
        <v/>
      </c>
      <c r="P1733" s="136">
        <f t="shared" si="65"/>
        <v>10</v>
      </c>
      <c r="Q1733" s="242"/>
      <c r="R1733" s="11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</row>
    <row r="1734" ht="3.75" customHeight="1">
      <c r="A1734" s="124"/>
      <c r="B1734" s="6"/>
      <c r="C1734" s="124"/>
      <c r="D1734" s="138"/>
      <c r="E1734" s="252"/>
      <c r="F1734" s="140"/>
      <c r="G1734" s="140"/>
      <c r="H1734" s="140"/>
      <c r="I1734" s="140"/>
      <c r="J1734" s="141"/>
      <c r="K1734" s="210"/>
      <c r="L1734" s="144"/>
      <c r="M1734" s="145"/>
      <c r="N1734" s="145"/>
      <c r="O1734" s="122"/>
      <c r="P1734" s="146" t="str">
        <f t="shared" si="65"/>
        <v/>
      </c>
      <c r="Q1734" s="242"/>
      <c r="R1734" s="11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</row>
    <row r="1735" ht="15.0" customHeight="1">
      <c r="A1735" s="124"/>
      <c r="B1735" s="6"/>
      <c r="C1735" s="124"/>
      <c r="D1735" s="704" t="s">
        <v>77</v>
      </c>
      <c r="E1735" s="260"/>
      <c r="F1735" s="187">
        <v>3.0</v>
      </c>
      <c r="G1735" s="187">
        <v>4.0</v>
      </c>
      <c r="H1735" s="195"/>
      <c r="I1735" s="164">
        <f>MROUND(I1733*(1+J1735),2.5)</f>
        <v>192.5</v>
      </c>
      <c r="J1735" s="779">
        <v>-0.12</v>
      </c>
      <c r="K1735" s="164"/>
      <c r="L1735" s="134">
        <f>I1599</f>
        <v>185</v>
      </c>
      <c r="M1735" s="135" t="str">
        <f>iferror(mround($O1599*((VLOOKUP($J1735,Sheet1!$D:$N,$G1735+1,FALSE)-0.03)),2.5)," ")</f>
        <v> </v>
      </c>
      <c r="N1735" s="135" t="str">
        <f>iferror(mround($O1599*((VLOOKUP($J1735,Sheet1!$D:$N,$G1735+1,FALSE)+0.02)),2.5)," ")</f>
        <v> </v>
      </c>
      <c r="O1735" s="112" t="str">
        <f>iferror(mround(I1735/VLOOKUP(K1735,Sheet1!$D$7:$N$16,G1735+1,FALSE),2.5),"")</f>
        <v/>
      </c>
      <c r="P1735" s="136">
        <f t="shared" si="65"/>
        <v>7.5</v>
      </c>
      <c r="Q1735" s="242"/>
      <c r="R1735" s="11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</row>
    <row r="1736" ht="3.75" customHeight="1">
      <c r="A1736" s="124"/>
      <c r="B1736" s="6"/>
      <c r="C1736" s="124"/>
      <c r="D1736" s="138"/>
      <c r="E1736" s="252"/>
      <c r="F1736" s="102"/>
      <c r="G1736" s="102"/>
      <c r="H1736" s="102"/>
      <c r="I1736" s="102"/>
      <c r="J1736" s="156"/>
      <c r="K1736" s="210"/>
      <c r="L1736" s="144"/>
      <c r="M1736" s="145"/>
      <c r="N1736" s="145"/>
      <c r="O1736" s="122"/>
      <c r="P1736" s="146" t="str">
        <f t="shared" si="65"/>
        <v/>
      </c>
      <c r="Q1736" s="242"/>
      <c r="R1736" s="11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</row>
    <row r="1737" ht="15.75" hidden="1" customHeight="1">
      <c r="A1737" s="124"/>
      <c r="B1737" s="6"/>
      <c r="C1737" s="124"/>
      <c r="D1737" s="704"/>
      <c r="E1737" s="260"/>
      <c r="F1737" s="187"/>
      <c r="G1737" s="187"/>
      <c r="H1737" s="195"/>
      <c r="I1737" s="164"/>
      <c r="J1737" s="779"/>
      <c r="K1737" s="164"/>
      <c r="L1737" s="134" t="str">
        <f>I1601</f>
        <v/>
      </c>
      <c r="M1737" s="135" t="str">
        <f>iferror(mround($O1601*((VLOOKUP($J1737,Sheet1!$D:$N,$G1737+1,FALSE)-0.03)),2.5)," ")</f>
        <v> </v>
      </c>
      <c r="N1737" s="135" t="str">
        <f>iferror(mround($O1601*((VLOOKUP($J1737,Sheet1!$D:$N,$G1737+1,FALSE)+0.02)),2.5)," ")</f>
        <v> </v>
      </c>
      <c r="O1737" s="112" t="str">
        <f>iferror(mround(I1737/VLOOKUP(K1737,Sheet1!$D$7:$N$16,G1737+1,FALSE),2.5),"")</f>
        <v/>
      </c>
      <c r="P1737" s="136" t="str">
        <f t="shared" si="65"/>
        <v/>
      </c>
      <c r="Q1737" s="242"/>
      <c r="R1737" s="11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</row>
    <row r="1738" ht="3.75" hidden="1" customHeight="1">
      <c r="A1738" s="124"/>
      <c r="B1738" s="6"/>
      <c r="C1738" s="124"/>
      <c r="D1738" s="138"/>
      <c r="E1738" s="252"/>
      <c r="F1738" s="102"/>
      <c r="G1738" s="102"/>
      <c r="H1738" s="102"/>
      <c r="I1738" s="102"/>
      <c r="J1738" s="156"/>
      <c r="K1738" s="210"/>
      <c r="L1738" s="144"/>
      <c r="M1738" s="145"/>
      <c r="N1738" s="145"/>
      <c r="O1738" s="122"/>
      <c r="P1738" s="146" t="str">
        <f t="shared" si="65"/>
        <v/>
      </c>
      <c r="Q1738" s="242"/>
      <c r="R1738" s="11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</row>
    <row r="1739" ht="15.75" customHeight="1">
      <c r="A1739" s="124"/>
      <c r="B1739" s="6" t="s">
        <v>302</v>
      </c>
      <c r="C1739" s="124"/>
      <c r="D1739" s="185" t="s">
        <v>33</v>
      </c>
      <c r="E1739" s="224" t="s">
        <v>303</v>
      </c>
      <c r="F1739" s="187">
        <v>4.0</v>
      </c>
      <c r="G1739" s="187">
        <v>4.0</v>
      </c>
      <c r="H1739" s="195"/>
      <c r="I1739" s="164">
        <v>132.5</v>
      </c>
      <c r="J1739" s="248"/>
      <c r="K1739" s="164"/>
      <c r="L1739" s="134">
        <f>I1603</f>
        <v>130</v>
      </c>
      <c r="M1739" s="135" t="str">
        <f>iferror(mround($O1603*((VLOOKUP($J1739,Sheet1!$D:$N,$G1739+1,FALSE)-0.03)),2.5)," ")</f>
        <v> </v>
      </c>
      <c r="N1739" s="135" t="str">
        <f>iferror(mround($O1603*((VLOOKUP($J1739,Sheet1!$D:$N,$G1739+1,FALSE)+0.02)),2.5)," ")</f>
        <v> </v>
      </c>
      <c r="O1739" s="112" t="str">
        <f>iferror(mround(I1739/VLOOKUP(K1739,Sheet1!$D$7:$N$16,G1739+1,FALSE),2.5),"")</f>
        <v/>
      </c>
      <c r="P1739" s="136">
        <f t="shared" si="65"/>
        <v>2.5</v>
      </c>
      <c r="Q1739" s="242"/>
      <c r="R1739" s="11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</row>
    <row r="1740" ht="3.75" customHeight="1">
      <c r="A1740" s="90"/>
      <c r="B1740" s="6"/>
      <c r="C1740" s="90"/>
      <c r="D1740" s="138"/>
      <c r="E1740" s="252"/>
      <c r="F1740" s="102"/>
      <c r="G1740" s="102"/>
      <c r="H1740" s="102"/>
      <c r="I1740" s="102"/>
      <c r="J1740" s="156"/>
      <c r="K1740" s="210"/>
      <c r="L1740" s="144"/>
      <c r="M1740" s="145"/>
      <c r="N1740" s="145"/>
      <c r="O1740" s="122"/>
      <c r="P1740" s="146" t="str">
        <f t="shared" si="65"/>
        <v/>
      </c>
      <c r="Q1740" s="242"/>
      <c r="R1740" s="11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</row>
    <row r="1741" ht="15.75" hidden="1" customHeight="1">
      <c r="A1741" s="90"/>
      <c r="B1741" s="6"/>
      <c r="C1741" s="90"/>
      <c r="D1741" s="185"/>
      <c r="E1741" s="260"/>
      <c r="F1741" s="187"/>
      <c r="G1741" s="187"/>
      <c r="H1741" s="195"/>
      <c r="I1741" s="164"/>
      <c r="J1741" s="779"/>
      <c r="K1741" s="164"/>
      <c r="L1741" s="134" t="str">
        <f>I1605</f>
        <v/>
      </c>
      <c r="M1741" s="135" t="str">
        <f>iferror(mround($O1605*((VLOOKUP($J1741,Sheet1!$D:$N,$G1741+1,FALSE)-0.03)),2.5)," ")</f>
        <v> </v>
      </c>
      <c r="N1741" s="135" t="str">
        <f>iferror(mround($O1605*((VLOOKUP($J1741,Sheet1!$D:$N,$G1741+1,FALSE)+0.02)),2.5)," ")</f>
        <v> </v>
      </c>
      <c r="O1741" s="112" t="str">
        <f>iferror(mround(I1741/VLOOKUP(K1741,Sheet1!$D$7:$N$16,G1741+1,FALSE),2.5),"")</f>
        <v/>
      </c>
      <c r="P1741" s="136" t="str">
        <f t="shared" si="65"/>
        <v/>
      </c>
      <c r="Q1741" s="242"/>
      <c r="R1741" s="11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</row>
    <row r="1742" ht="3.75" hidden="1" customHeight="1">
      <c r="A1742" s="191"/>
      <c r="B1742" s="6"/>
      <c r="C1742" s="192"/>
      <c r="D1742" s="138"/>
      <c r="E1742" s="252"/>
      <c r="F1742" s="102"/>
      <c r="G1742" s="102"/>
      <c r="H1742" s="102"/>
      <c r="I1742" s="102"/>
      <c r="J1742" s="156"/>
      <c r="K1742" s="210"/>
      <c r="L1742" s="144"/>
      <c r="M1742" s="145"/>
      <c r="N1742" s="145"/>
      <c r="O1742" s="122"/>
      <c r="P1742" s="146" t="str">
        <f t="shared" si="65"/>
        <v/>
      </c>
      <c r="Q1742" s="242"/>
      <c r="R1742" s="157"/>
      <c r="S1742" s="5"/>
      <c r="T1742" s="5"/>
      <c r="U1742" s="158"/>
      <c r="V1742" s="158"/>
      <c r="W1742" s="158"/>
      <c r="X1742" s="158"/>
      <c r="Y1742" s="158"/>
      <c r="Z1742" s="158"/>
      <c r="AA1742" s="158"/>
      <c r="AB1742" s="158"/>
      <c r="AC1742" s="158"/>
      <c r="AD1742" s="158"/>
      <c r="AE1742" s="158"/>
      <c r="AF1742" s="158"/>
    </row>
    <row r="1743" ht="15.75" customHeight="1">
      <c r="A1743" s="90"/>
      <c r="B1743" s="6"/>
      <c r="C1743" s="90"/>
      <c r="D1743" s="185" t="s">
        <v>259</v>
      </c>
      <c r="E1743" s="260"/>
      <c r="F1743" s="187">
        <v>3.0</v>
      </c>
      <c r="G1743" s="731" t="s">
        <v>260</v>
      </c>
      <c r="H1743" s="195"/>
      <c r="I1743" s="164"/>
      <c r="J1743" s="248">
        <v>7.0</v>
      </c>
      <c r="K1743" s="164"/>
      <c r="L1743" s="134" t="str">
        <f>I1607</f>
        <v/>
      </c>
      <c r="M1743" s="135" t="str">
        <f>iferror(mround($O1607*((VLOOKUP($J1743,Sheet1!$D:$N,$G1743+1,FALSE)-0.03)),2.5)," ")</f>
        <v> </v>
      </c>
      <c r="N1743" s="135" t="str">
        <f>iferror(mround($O1607*((VLOOKUP($J1743,Sheet1!$D:$N,$G1743+1,FALSE)+0.02)),2.5)," ")</f>
        <v> </v>
      </c>
      <c r="O1743" s="112" t="str">
        <f>iferror(mround(I1743/VLOOKUP(K1743,Sheet1!$D$7:$N$16,G1743+1,FALSE),2.5),"")</f>
        <v/>
      </c>
      <c r="P1743" s="136" t="str">
        <f t="shared" si="65"/>
        <v/>
      </c>
      <c r="Q1743" s="242"/>
      <c r="R1743" s="11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</row>
    <row r="1744" ht="3.75" customHeight="1">
      <c r="A1744" s="90"/>
      <c r="B1744" s="6"/>
      <c r="C1744" s="90"/>
      <c r="D1744" s="138"/>
      <c r="E1744" s="252"/>
      <c r="F1744" s="102"/>
      <c r="G1744" s="102"/>
      <c r="H1744" s="102"/>
      <c r="I1744" s="102"/>
      <c r="J1744" s="156"/>
      <c r="K1744" s="210"/>
      <c r="L1744" s="144"/>
      <c r="M1744" s="145"/>
      <c r="N1744" s="145"/>
      <c r="O1744" s="122"/>
      <c r="P1744" s="146" t="str">
        <f t="shared" si="65"/>
        <v/>
      </c>
      <c r="Q1744" s="242"/>
      <c r="R1744" s="11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</row>
    <row r="1745" ht="15.75" customHeight="1">
      <c r="A1745" s="90"/>
      <c r="B1745" s="6"/>
      <c r="C1745" s="90"/>
      <c r="D1745" s="185" t="s">
        <v>263</v>
      </c>
      <c r="E1745" s="260"/>
      <c r="F1745" s="187">
        <v>2.0</v>
      </c>
      <c r="G1745" s="187">
        <v>15.0</v>
      </c>
      <c r="H1745" s="195"/>
      <c r="I1745" s="247"/>
      <c r="J1745" s="248">
        <v>8.0</v>
      </c>
      <c r="K1745" s="164"/>
      <c r="L1745" s="134" t="str">
        <f>I1609</f>
        <v/>
      </c>
      <c r="M1745" s="135" t="str">
        <f>iferror(mround($O1609*((VLOOKUP($J1745,Sheet1!$D:$N,$G1745+1,FALSE)-0.03)),2.5)," ")</f>
        <v> </v>
      </c>
      <c r="N1745" s="135" t="str">
        <f>iferror(mround($O1609*((VLOOKUP($J1745,Sheet1!$D:$N,$G1745+1,FALSE)+0.02)),2.5)," ")</f>
        <v> </v>
      </c>
      <c r="O1745" s="112" t="str">
        <f>iferror(mround(I1745/VLOOKUP(K1745,Sheet1!$D$7:$N$16,G1745+1,FALSE),2.5),"")</f>
        <v/>
      </c>
      <c r="P1745" s="136" t="str">
        <f t="shared" si="65"/>
        <v/>
      </c>
      <c r="Q1745" s="242"/>
      <c r="R1745" s="11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</row>
    <row r="1746" ht="3.75" customHeight="1">
      <c r="A1746" s="90"/>
      <c r="B1746" s="6"/>
      <c r="C1746" s="90"/>
      <c r="D1746" s="138"/>
      <c r="E1746" s="184"/>
      <c r="F1746" s="102"/>
      <c r="G1746" s="102"/>
      <c r="H1746" s="102"/>
      <c r="I1746" s="102"/>
      <c r="J1746" s="156"/>
      <c r="K1746" s="210"/>
      <c r="L1746" s="144"/>
      <c r="M1746" s="145"/>
      <c r="N1746" s="145"/>
      <c r="O1746" s="122"/>
      <c r="P1746" s="146" t="str">
        <f t="shared" si="65"/>
        <v/>
      </c>
      <c r="Q1746" s="242"/>
      <c r="R1746" s="11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</row>
    <row r="1747" ht="15.75" hidden="1" customHeight="1">
      <c r="A1747" s="90"/>
      <c r="B1747" s="6"/>
      <c r="C1747" s="90"/>
      <c r="D1747" s="185"/>
      <c r="E1747" s="224"/>
      <c r="F1747" s="187"/>
      <c r="G1747" s="187"/>
      <c r="H1747" s="195"/>
      <c r="I1747" s="247"/>
      <c r="J1747" s="248"/>
      <c r="K1747" s="164"/>
      <c r="L1747" s="134" t="str">
        <f>I1611</f>
        <v/>
      </c>
      <c r="M1747" s="135" t="str">
        <f>iferror(mround($O1611*((VLOOKUP($J1747,Sheet1!$D:$N,$G1747+1,FALSE)-0.03)),2.5)," ")</f>
        <v> </v>
      </c>
      <c r="N1747" s="135" t="str">
        <f>iferror(mround($O1611*((VLOOKUP($J1747,Sheet1!$D:$N,$G1747+1,FALSE)+0.02)),2.5)," ")</f>
        <v> </v>
      </c>
      <c r="O1747" s="112" t="str">
        <f>iferror(mround(I1747/VLOOKUP(K1747,Sheet1!$D$7:$N$16,G1747+1,FALSE),2.5),"")</f>
        <v/>
      </c>
      <c r="P1747" s="136" t="str">
        <f t="shared" si="65"/>
        <v/>
      </c>
      <c r="Q1747" s="242"/>
      <c r="R1747" s="11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</row>
    <row r="1748" ht="3.75" hidden="1" customHeight="1">
      <c r="A1748" s="90"/>
      <c r="B1748" s="6"/>
      <c r="C1748" s="90"/>
      <c r="D1748" s="196"/>
      <c r="E1748" s="184"/>
      <c r="F1748" s="102"/>
      <c r="G1748" s="102"/>
      <c r="H1748" s="102"/>
      <c r="I1748" s="102"/>
      <c r="J1748" s="156"/>
      <c r="K1748" s="210"/>
      <c r="L1748" s="144"/>
      <c r="M1748" s="145"/>
      <c r="N1748" s="145"/>
      <c r="O1748" s="122"/>
      <c r="P1748" s="146" t="str">
        <f t="shared" si="65"/>
        <v/>
      </c>
      <c r="Q1748" s="242"/>
      <c r="R1748" s="11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</row>
    <row r="1749" ht="15.75" hidden="1" customHeight="1">
      <c r="A1749" s="90"/>
      <c r="B1749" s="6"/>
      <c r="C1749" s="90"/>
      <c r="D1749" s="197"/>
      <c r="E1749" s="250"/>
      <c r="F1749" s="129"/>
      <c r="G1749" s="199"/>
      <c r="H1749" s="195"/>
      <c r="I1749" s="247"/>
      <c r="J1749" s="248"/>
      <c r="K1749" s="164"/>
      <c r="L1749" s="134" t="str">
        <f>I1613</f>
        <v/>
      </c>
      <c r="M1749" s="135" t="str">
        <f>iferror(mround($O1613*((VLOOKUP($J1749,Sheet1!$D:$N,$G1749+1,FALSE)-0.03)),2.5)," ")</f>
        <v> </v>
      </c>
      <c r="N1749" s="135" t="str">
        <f>iferror(mround($O1613*((VLOOKUP($J1749,Sheet1!$D:$N,$G1749+1,FALSE)+0.02)),2.5)," ")</f>
        <v> </v>
      </c>
      <c r="O1749" s="112" t="str">
        <f>iferror(mround(I1749/VLOOKUP(K1749,Sheet1!$D$7:$N$16,G1749+1,FALSE),2.5),"")</f>
        <v/>
      </c>
      <c r="P1749" s="136" t="str">
        <f t="shared" si="65"/>
        <v/>
      </c>
      <c r="Q1749" s="242"/>
      <c r="R1749" s="11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</row>
    <row r="1750" ht="3.75" hidden="1" customHeight="1">
      <c r="A1750" s="90"/>
      <c r="B1750" s="6"/>
      <c r="C1750" s="90"/>
      <c r="D1750" s="234"/>
      <c r="E1750" s="184"/>
      <c r="F1750" s="102"/>
      <c r="G1750" s="102"/>
      <c r="H1750" s="102"/>
      <c r="I1750" s="102"/>
      <c r="J1750" s="156"/>
      <c r="K1750" s="210"/>
      <c r="L1750" s="144"/>
      <c r="M1750" s="145"/>
      <c r="N1750" s="145"/>
      <c r="O1750" s="122"/>
      <c r="P1750" s="146" t="str">
        <f t="shared" si="65"/>
        <v/>
      </c>
      <c r="Q1750" s="242"/>
      <c r="R1750" s="11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</row>
    <row r="1751" ht="15.75" hidden="1" customHeight="1">
      <c r="A1751" s="90"/>
      <c r="B1751" s="6"/>
      <c r="C1751" s="90"/>
      <c r="D1751" s="197"/>
      <c r="E1751" s="198"/>
      <c r="F1751" s="129"/>
      <c r="G1751" s="199"/>
      <c r="H1751" s="195"/>
      <c r="I1751" s="164"/>
      <c r="J1751" s="248"/>
      <c r="K1751" s="164"/>
      <c r="L1751" s="134" t="str">
        <f>I1615</f>
        <v/>
      </c>
      <c r="M1751" s="135" t="str">
        <f>iferror(mround($O1615*((VLOOKUP($J1751,Sheet1!$D:$N,$G1751+1,FALSE)-0.03)),2.5)," ")</f>
        <v> </v>
      </c>
      <c r="N1751" s="135" t="str">
        <f>iferror(mround($O1615*((VLOOKUP($J1751,Sheet1!$D:$N,$G1751+1,FALSE)+0.02)),2.5)," ")</f>
        <v> </v>
      </c>
      <c r="O1751" s="112" t="str">
        <f>iferror(mround(I1751/VLOOKUP(K1751,Sheet1!$D$7:$N$16,G1751+1,FALSE),2.5),"")</f>
        <v/>
      </c>
      <c r="P1751" s="136" t="str">
        <f t="shared" si="65"/>
        <v/>
      </c>
      <c r="Q1751" s="242"/>
      <c r="R1751" s="11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</row>
    <row r="1752" ht="3.75" hidden="1" customHeight="1">
      <c r="A1752" s="124"/>
      <c r="B1752" s="6"/>
      <c r="C1752" s="124"/>
      <c r="D1752" s="252"/>
      <c r="E1752" s="252"/>
      <c r="F1752" s="102"/>
      <c r="G1752" s="102"/>
      <c r="H1752" s="102"/>
      <c r="I1752" s="102"/>
      <c r="J1752" s="156"/>
      <c r="K1752" s="259"/>
      <c r="L1752" s="211"/>
      <c r="M1752" s="47"/>
      <c r="N1752" s="47"/>
      <c r="O1752" s="122"/>
      <c r="P1752" s="146" t="str">
        <f t="shared" si="65"/>
        <v/>
      </c>
      <c r="Q1752" s="242"/>
      <c r="R1752" s="11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</row>
    <row r="1753" ht="30.75" customHeight="1">
      <c r="A1753" s="90"/>
      <c r="B1753" s="6"/>
      <c r="C1753" s="90"/>
      <c r="D1753" s="254" t="s">
        <v>280</v>
      </c>
      <c r="E1753" s="255" t="s">
        <v>15</v>
      </c>
      <c r="F1753" s="106" t="s">
        <v>16</v>
      </c>
      <c r="G1753" s="106" t="s">
        <v>17</v>
      </c>
      <c r="H1753" s="107"/>
      <c r="I1753" s="106" t="s">
        <v>18</v>
      </c>
      <c r="J1753" s="766" t="s">
        <v>241</v>
      </c>
      <c r="K1753" s="767" t="s">
        <v>20</v>
      </c>
      <c r="L1753" s="110" t="s">
        <v>21</v>
      </c>
      <c r="M1753" s="111" t="s">
        <v>22</v>
      </c>
      <c r="O1753" s="112"/>
      <c r="P1753" s="113" t="s">
        <v>23</v>
      </c>
      <c r="Q1753" s="768"/>
      <c r="R1753" s="11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</row>
    <row r="1754" ht="14.25" customHeight="1">
      <c r="A1754" s="90"/>
      <c r="B1754" s="6"/>
      <c r="C1754" s="90"/>
      <c r="D1754" s="257" t="s">
        <v>25</v>
      </c>
      <c r="E1754" s="258" t="s">
        <v>26</v>
      </c>
      <c r="H1754" s="107"/>
      <c r="J1754" s="766" t="s">
        <v>244</v>
      </c>
      <c r="M1754" s="111" t="s">
        <v>27</v>
      </c>
      <c r="N1754" s="111" t="s">
        <v>28</v>
      </c>
      <c r="O1754" s="781" t="s">
        <v>29</v>
      </c>
      <c r="Q1754" s="118" t="s">
        <v>30</v>
      </c>
      <c r="R1754" s="11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</row>
    <row r="1755" ht="3.75" customHeight="1">
      <c r="A1755" s="124"/>
      <c r="B1755" s="6"/>
      <c r="C1755" s="124"/>
      <c r="D1755" s="252"/>
      <c r="E1755" s="252"/>
      <c r="F1755" s="102"/>
      <c r="G1755" s="102"/>
      <c r="H1755" s="102"/>
      <c r="I1755" s="102"/>
      <c r="J1755" s="156"/>
      <c r="K1755" s="259"/>
      <c r="L1755" s="211"/>
      <c r="M1755" s="47"/>
      <c r="N1755" s="47"/>
      <c r="O1755" s="122"/>
      <c r="P1755" s="146" t="str">
        <f t="shared" ref="P1755:P1778" si="66">IF(I1755 - I1619 = 0, "", I1755 - I1619)</f>
        <v/>
      </c>
      <c r="Q1755" s="259"/>
      <c r="R1755" s="11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</row>
    <row r="1756" ht="14.25" hidden="1" customHeight="1">
      <c r="A1756" s="124"/>
      <c r="B1756" s="6"/>
      <c r="C1756" s="124"/>
      <c r="D1756" s="185"/>
      <c r="E1756" s="224"/>
      <c r="F1756" s="187"/>
      <c r="G1756" s="187"/>
      <c r="H1756" s="195"/>
      <c r="I1756" s="164"/>
      <c r="J1756" s="248"/>
      <c r="K1756" s="164"/>
      <c r="L1756" s="134">
        <f>I1622</f>
        <v>280</v>
      </c>
      <c r="M1756" s="135" t="str">
        <f>iferror(mround($O1622*((VLOOKUP($J1756,Sheet1!$D:$N,$G1756+1,FALSE)-0.03)),2.5)," ")</f>
        <v> </v>
      </c>
      <c r="N1756" s="135" t="str">
        <f>iferror(mround($O1622*((VLOOKUP($J1756,Sheet1!$D:$N,$G1756+1,FALSE)+0.02)),2.5)," ")</f>
        <v> </v>
      </c>
      <c r="O1756" s="56" t="str">
        <f>iferror(mround(I1756/VLOOKUP(K1756,Sheet1!$D$7:$N$16,G1756+1,FALSE),2.5),"")</f>
        <v/>
      </c>
      <c r="P1756" s="136" t="str">
        <f t="shared" si="66"/>
        <v/>
      </c>
      <c r="R1756" s="11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</row>
    <row r="1757" ht="3.75" hidden="1" customHeight="1">
      <c r="A1757" s="124"/>
      <c r="B1757" s="6"/>
      <c r="C1757" s="124"/>
      <c r="D1757" s="138"/>
      <c r="E1757" s="184"/>
      <c r="F1757" s="102"/>
      <c r="G1757" s="102"/>
      <c r="H1757" s="102"/>
      <c r="I1757" s="102"/>
      <c r="J1757" s="156"/>
      <c r="K1757" s="210"/>
      <c r="L1757" s="144"/>
      <c r="M1757" s="145"/>
      <c r="N1757" s="145"/>
      <c r="O1757" s="122"/>
      <c r="P1757" s="146" t="str">
        <f t="shared" si="66"/>
        <v/>
      </c>
      <c r="R1757" s="11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</row>
    <row r="1758" ht="14.25" customHeight="1">
      <c r="A1758" s="124"/>
      <c r="B1758" s="6" t="s">
        <v>301</v>
      </c>
      <c r="C1758" s="124"/>
      <c r="D1758" s="185" t="s">
        <v>97</v>
      </c>
      <c r="E1758" s="260"/>
      <c r="F1758" s="187">
        <v>1.0</v>
      </c>
      <c r="G1758" s="187">
        <v>3.0</v>
      </c>
      <c r="H1758" s="195"/>
      <c r="I1758" s="164">
        <v>290.0</v>
      </c>
      <c r="J1758" s="248">
        <v>7.5</v>
      </c>
      <c r="K1758" s="164"/>
      <c r="L1758" s="134">
        <f>I1622</f>
        <v>280</v>
      </c>
      <c r="M1758" s="135">
        <f>iferror(mround($O1622*((VLOOKUP($J1758,Sheet1!$D:$N,$G1758+1,FALSE)-0.03)),2.5)," ")</f>
        <v>0</v>
      </c>
      <c r="N1758" s="135">
        <f>iferror(mround($O1622*((VLOOKUP($J1758,Sheet1!$D:$N,$G1758+1,FALSE)+0.02)),2.5)," ")</f>
        <v>0</v>
      </c>
      <c r="O1758" s="112" t="str">
        <f>iferror(mround(I1758/VLOOKUP(K1758,Sheet1!$D$7:$N$16,G1758+1,FALSE),2.5),"")</f>
        <v/>
      </c>
      <c r="P1758" s="136">
        <f t="shared" si="66"/>
        <v>10</v>
      </c>
      <c r="R1758" s="11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</row>
    <row r="1759" ht="3.75" customHeight="1">
      <c r="A1759" s="124"/>
      <c r="B1759" s="6"/>
      <c r="C1759" s="124"/>
      <c r="D1759" s="138"/>
      <c r="E1759" s="252"/>
      <c r="F1759" s="102"/>
      <c r="G1759" s="102"/>
      <c r="H1759" s="102"/>
      <c r="I1759" s="102"/>
      <c r="J1759" s="156"/>
      <c r="K1759" s="210"/>
      <c r="L1759" s="144"/>
      <c r="M1759" s="145"/>
      <c r="N1759" s="145"/>
      <c r="O1759" s="122"/>
      <c r="P1759" s="146" t="str">
        <f t="shared" si="66"/>
        <v/>
      </c>
      <c r="R1759" s="11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</row>
    <row r="1760" ht="14.25" customHeight="1">
      <c r="A1760" s="124"/>
      <c r="B1760" s="6"/>
      <c r="C1760" s="124"/>
      <c r="D1760" s="185" t="s">
        <v>97</v>
      </c>
      <c r="E1760" s="260"/>
      <c r="F1760" s="187">
        <v>4.0</v>
      </c>
      <c r="G1760" s="187">
        <v>3.0</v>
      </c>
      <c r="H1760" s="195"/>
      <c r="I1760" s="164"/>
      <c r="J1760" s="779">
        <v>-0.12</v>
      </c>
      <c r="K1760" s="164"/>
      <c r="L1760" s="134">
        <f>I1624</f>
        <v>247.5</v>
      </c>
      <c r="M1760" s="135" t="str">
        <f>iferror(mround($O1624*((VLOOKUP($J1760,Sheet1!$D:$N,$G1760+1,FALSE)-0.03)),2.5)," ")</f>
        <v> </v>
      </c>
      <c r="N1760" s="135" t="str">
        <f>iferror(mround($O1624*((VLOOKUP($J1760,Sheet1!$D:$N,$G1760+1,FALSE)+0.02)),2.5)," ")</f>
        <v> </v>
      </c>
      <c r="O1760" s="112" t="str">
        <f>iferror(mround(I1760/VLOOKUP(K1760,Sheet1!$D$7:$N$16,G1760+1,FALSE),2.5),"")</f>
        <v/>
      </c>
      <c r="P1760" s="136">
        <f t="shared" si="66"/>
        <v>-247.5</v>
      </c>
      <c r="R1760" s="11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</row>
    <row r="1761" ht="3.75" customHeight="1">
      <c r="A1761" s="124"/>
      <c r="B1761" s="6"/>
      <c r="C1761" s="124"/>
      <c r="D1761" s="138"/>
      <c r="E1761" s="252"/>
      <c r="F1761" s="102"/>
      <c r="G1761" s="102"/>
      <c r="H1761" s="102"/>
      <c r="I1761" s="102"/>
      <c r="J1761" s="156"/>
      <c r="K1761" s="210"/>
      <c r="L1761" s="144"/>
      <c r="M1761" s="145"/>
      <c r="N1761" s="145"/>
      <c r="O1761" s="122"/>
      <c r="P1761" s="146" t="str">
        <f t="shared" si="66"/>
        <v/>
      </c>
      <c r="R1761" s="11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</row>
    <row r="1762" ht="14.25" hidden="1" customHeight="1">
      <c r="A1762" s="124"/>
      <c r="B1762" s="6"/>
      <c r="C1762" s="124"/>
      <c r="D1762" s="185"/>
      <c r="E1762" s="260"/>
      <c r="F1762" s="187"/>
      <c r="G1762" s="187"/>
      <c r="H1762" s="195"/>
      <c r="I1762" s="164"/>
      <c r="J1762" s="248"/>
      <c r="K1762" s="164"/>
      <c r="L1762" s="134"/>
      <c r="M1762" s="135" t="str">
        <f>iferror(mround($O1626*((VLOOKUP($J1762,Sheet1!$D:$N,$G1762+1,FALSE)-0.03)),2.5)," ")</f>
        <v> </v>
      </c>
      <c r="N1762" s="135" t="str">
        <f>iferror(mround($O1626*((VLOOKUP($J1762,Sheet1!$D:$N,$G1762+1,FALSE)+0.02)),2.5)," ")</f>
        <v> </v>
      </c>
      <c r="O1762" s="112" t="str">
        <f>iferror(mround(I1762/VLOOKUP(K1762,Sheet1!$D$7:$N$16,G1762+1,FALSE),2.5),"")</f>
        <v/>
      </c>
      <c r="P1762" s="136" t="str">
        <f t="shared" si="66"/>
        <v/>
      </c>
      <c r="R1762" s="11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</row>
    <row r="1763" ht="3.75" hidden="1" customHeight="1">
      <c r="A1763" s="124"/>
      <c r="B1763" s="6"/>
      <c r="C1763" s="124"/>
      <c r="D1763" s="138"/>
      <c r="E1763" s="252"/>
      <c r="F1763" s="102"/>
      <c r="G1763" s="102"/>
      <c r="H1763" s="102"/>
      <c r="I1763" s="102"/>
      <c r="J1763" s="156"/>
      <c r="K1763" s="210"/>
      <c r="L1763" s="144"/>
      <c r="M1763" s="135" t="str">
        <f>iferror(mround($O1627*((VLOOKUP($J1763,Sheet1!$D:$N,$G1763+1,FALSE)-0.03)),2.5)," ")</f>
        <v> </v>
      </c>
      <c r="N1763" s="135" t="str">
        <f>iferror(mround($O1627*((VLOOKUP($J1763,Sheet1!$D:$N,$G1763+1,FALSE)+0.02)),2.5)," ")</f>
        <v> </v>
      </c>
      <c r="O1763" s="122"/>
      <c r="P1763" s="146" t="str">
        <f t="shared" si="66"/>
        <v/>
      </c>
      <c r="R1763" s="11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</row>
    <row r="1764" ht="14.25" customHeight="1">
      <c r="A1764" s="124"/>
      <c r="B1764" s="6" t="s">
        <v>301</v>
      </c>
      <c r="C1764" s="124"/>
      <c r="D1764" s="185" t="s">
        <v>33</v>
      </c>
      <c r="E1764" s="260"/>
      <c r="F1764" s="187">
        <v>1.0</v>
      </c>
      <c r="G1764" s="187">
        <v>2.0</v>
      </c>
      <c r="H1764" s="195"/>
      <c r="I1764" s="164">
        <v>160.0</v>
      </c>
      <c r="J1764" s="248">
        <v>8.0</v>
      </c>
      <c r="K1764" s="164"/>
      <c r="L1764" s="134" t="str">
        <f>I1628</f>
        <v/>
      </c>
      <c r="M1764" s="135">
        <f>iferror(mround($O1628*((VLOOKUP($J1764,Sheet1!$D:$N,$G1764+1,FALSE)-0.03)),2.5)," ")</f>
        <v>0</v>
      </c>
      <c r="N1764" s="135">
        <f>iferror(mround($O1628*((VLOOKUP($J1764,Sheet1!$D:$N,$G1764+1,FALSE)+0.02)),2.5)," ")</f>
        <v>0</v>
      </c>
      <c r="O1764" s="112" t="str">
        <f>iferror(mround(I1764/VLOOKUP(K1764,Sheet1!$D$7:$N$16,G1764+1,FALSE),2.5),"")</f>
        <v/>
      </c>
      <c r="P1764" s="136">
        <f t="shared" si="66"/>
        <v>160</v>
      </c>
      <c r="R1764" s="11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</row>
    <row r="1765" ht="3.75" customHeight="1">
      <c r="A1765" s="261"/>
      <c r="B1765" s="6"/>
      <c r="C1765" s="262"/>
      <c r="D1765" s="138"/>
      <c r="E1765" s="252"/>
      <c r="F1765" s="102"/>
      <c r="G1765" s="102"/>
      <c r="H1765" s="102"/>
      <c r="I1765" s="102"/>
      <c r="J1765" s="156"/>
      <c r="K1765" s="210"/>
      <c r="L1765" s="144"/>
      <c r="M1765" s="145"/>
      <c r="N1765" s="145"/>
      <c r="O1765" s="122"/>
      <c r="P1765" s="146" t="str">
        <f t="shared" si="66"/>
        <v/>
      </c>
      <c r="R1765" s="157"/>
      <c r="S1765" s="5"/>
      <c r="T1765" s="5"/>
      <c r="U1765" s="158"/>
      <c r="V1765" s="158"/>
      <c r="W1765" s="158"/>
      <c r="X1765" s="158"/>
      <c r="Y1765" s="158"/>
      <c r="Z1765" s="158"/>
      <c r="AA1765" s="158"/>
      <c r="AB1765" s="158"/>
      <c r="AC1765" s="158"/>
      <c r="AD1765" s="158"/>
      <c r="AE1765" s="158"/>
      <c r="AF1765" s="158"/>
    </row>
    <row r="1766" ht="14.25" customHeight="1">
      <c r="A1766" s="124"/>
      <c r="B1766" s="6"/>
      <c r="C1766" s="124"/>
      <c r="D1766" s="185" t="s">
        <v>33</v>
      </c>
      <c r="E1766" s="260"/>
      <c r="F1766" s="187">
        <v>4.0</v>
      </c>
      <c r="G1766" s="187">
        <v>4.0</v>
      </c>
      <c r="H1766" s="195"/>
      <c r="I1766" s="164">
        <f>MROUND(I1764*(1+J1766),2.5)</f>
        <v>140</v>
      </c>
      <c r="J1766" s="779">
        <v>-0.12</v>
      </c>
      <c r="K1766" s="164"/>
      <c r="L1766" s="134">
        <f>I1630</f>
        <v>0</v>
      </c>
      <c r="M1766" s="135" t="str">
        <f>iferror(mround($O1630*((VLOOKUP($J1766,Sheet1!$D:$N,$G1766+1,FALSE)-0.03)),2.5)," ")</f>
        <v> </v>
      </c>
      <c r="N1766" s="135" t="str">
        <f>iferror(mround($O1630*((VLOOKUP($J1766,Sheet1!$D:$N,$G1766+1,FALSE)+0.02)),2.5)," ")</f>
        <v> </v>
      </c>
      <c r="O1766" s="112" t="str">
        <f>iferror(mround(I1766/VLOOKUP(K1766,Sheet1!$D$7:$N$16,G1766+1,FALSE),2.5),"")</f>
        <v/>
      </c>
      <c r="P1766" s="136">
        <f t="shared" si="66"/>
        <v>140</v>
      </c>
      <c r="R1766" s="11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</row>
    <row r="1767" ht="3.75" customHeight="1">
      <c r="A1767" s="261"/>
      <c r="B1767" s="6"/>
      <c r="C1767" s="262"/>
      <c r="D1767" s="138"/>
      <c r="E1767" s="252"/>
      <c r="F1767" s="102"/>
      <c r="G1767" s="102"/>
      <c r="H1767" s="102"/>
      <c r="I1767" s="102"/>
      <c r="J1767" s="156"/>
      <c r="K1767" s="210"/>
      <c r="L1767" s="144"/>
      <c r="M1767" s="145"/>
      <c r="N1767" s="145"/>
      <c r="O1767" s="122"/>
      <c r="P1767" s="146" t="str">
        <f t="shared" si="66"/>
        <v/>
      </c>
      <c r="R1767" s="157"/>
      <c r="S1767" s="5"/>
      <c r="T1767" s="5"/>
      <c r="U1767" s="158"/>
      <c r="V1767" s="158"/>
      <c r="W1767" s="158"/>
      <c r="X1767" s="158"/>
      <c r="Y1767" s="158"/>
      <c r="Z1767" s="158"/>
      <c r="AA1767" s="158"/>
      <c r="AB1767" s="158"/>
      <c r="AC1767" s="158"/>
      <c r="AD1767" s="158"/>
      <c r="AE1767" s="158"/>
      <c r="AF1767" s="158"/>
    </row>
    <row r="1768" ht="15.75" hidden="1" customHeight="1">
      <c r="A1768" s="124"/>
      <c r="B1768" s="6"/>
      <c r="C1768" s="124"/>
      <c r="D1768" s="185"/>
      <c r="E1768" s="260"/>
      <c r="F1768" s="187"/>
      <c r="G1768" s="187"/>
      <c r="H1768" s="195"/>
      <c r="I1768" s="247"/>
      <c r="J1768" s="248"/>
      <c r="K1768" s="164"/>
      <c r="L1768" s="134"/>
      <c r="M1768" s="135" t="str">
        <f>iferror(mround($O1632*((VLOOKUP($J1768,Sheet1!$D:$N,$G1768+1,FALSE)-0.03)),2.5)," ")</f>
        <v> </v>
      </c>
      <c r="N1768" s="135" t="str">
        <f>iferror(mround($O1632*((VLOOKUP($J1768,Sheet1!$D:$N,$G1768+1,FALSE)+0.02)),2.5)," ")</f>
        <v> </v>
      </c>
      <c r="O1768" s="112" t="str">
        <f>iferror(mround(I1768/VLOOKUP(K1768,Sheet1!$D$7:$N$16,G1768+1,FALSE),2.5),"")</f>
        <v/>
      </c>
      <c r="P1768" s="136" t="str">
        <f t="shared" si="66"/>
        <v/>
      </c>
      <c r="R1768" s="11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</row>
    <row r="1769" ht="3.75" hidden="1" customHeight="1">
      <c r="A1769" s="124"/>
      <c r="B1769" s="6"/>
      <c r="C1769" s="124"/>
      <c r="D1769" s="263"/>
      <c r="E1769" s="252"/>
      <c r="F1769" s="102"/>
      <c r="G1769" s="102"/>
      <c r="H1769" s="102"/>
      <c r="I1769" s="102"/>
      <c r="J1769" s="156"/>
      <c r="K1769" s="210"/>
      <c r="L1769" s="144"/>
      <c r="M1769" s="135" t="str">
        <f>iferror(mround($O1633*((VLOOKUP($J1769,Sheet1!$D:$N,$G1769+1,FALSE)-0.03)),2.5)," ")</f>
        <v> </v>
      </c>
      <c r="N1769" s="135" t="str">
        <f>iferror(mround($O1633*((VLOOKUP($J1769,Sheet1!$D:$N,$G1769+1,FALSE)+0.02)),2.5)," ")</f>
        <v> </v>
      </c>
      <c r="O1769" s="122"/>
      <c r="P1769" s="146" t="str">
        <f t="shared" si="66"/>
        <v/>
      </c>
      <c r="R1769" s="11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</row>
    <row r="1770" ht="14.25" customHeight="1">
      <c r="A1770" s="90"/>
      <c r="B1770" s="6"/>
      <c r="C1770" s="90"/>
      <c r="D1770" s="185" t="s">
        <v>54</v>
      </c>
      <c r="E1770" s="264"/>
      <c r="F1770" s="187">
        <v>3.0</v>
      </c>
      <c r="G1770" s="731" t="s">
        <v>260</v>
      </c>
      <c r="H1770" s="195"/>
      <c r="I1770" s="164"/>
      <c r="J1770" s="248">
        <v>8.0</v>
      </c>
      <c r="K1770" s="164"/>
      <c r="L1770" s="134" t="str">
        <f>I1634</f>
        <v/>
      </c>
      <c r="M1770" s="135" t="str">
        <f>iferror(mround($O1634*((VLOOKUP($J1770,Sheet1!$D:$N,$G1770+1,FALSE)-0.03)),2.5)," ")</f>
        <v> </v>
      </c>
      <c r="N1770" s="135" t="str">
        <f>iferror(mround($O1634*((VLOOKUP($J1770,Sheet1!$D:$N,$G1770+1,FALSE)+0.02)),2.5)," ")</f>
        <v> </v>
      </c>
      <c r="O1770" s="112" t="str">
        <f>iferror(mround(I1770/VLOOKUP(K1770,Sheet1!$D$7:$N$16,G1770+1,FALSE),2.5),"")</f>
        <v/>
      </c>
      <c r="P1770" s="136" t="str">
        <f t="shared" si="66"/>
        <v/>
      </c>
      <c r="R1770" s="11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</row>
    <row r="1771" ht="3.75" customHeight="1">
      <c r="A1771" s="261"/>
      <c r="B1771" s="6"/>
      <c r="C1771" s="262"/>
      <c r="D1771" s="263"/>
      <c r="E1771" s="263"/>
      <c r="F1771" s="194"/>
      <c r="G1771" s="194"/>
      <c r="H1771" s="155"/>
      <c r="I1771" s="210"/>
      <c r="J1771" s="265"/>
      <c r="K1771" s="210"/>
      <c r="L1771" s="144"/>
      <c r="M1771" s="145"/>
      <c r="N1771" s="145"/>
      <c r="O1771" s="122"/>
      <c r="P1771" s="146" t="str">
        <f t="shared" si="66"/>
        <v/>
      </c>
      <c r="R1771" s="157"/>
      <c r="S1771" s="5"/>
      <c r="T1771" s="5"/>
      <c r="U1771" s="158"/>
      <c r="V1771" s="158"/>
      <c r="W1771" s="158"/>
      <c r="X1771" s="158"/>
      <c r="Y1771" s="158"/>
      <c r="Z1771" s="158"/>
      <c r="AA1771" s="158"/>
      <c r="AB1771" s="158"/>
      <c r="AC1771" s="158"/>
      <c r="AD1771" s="158"/>
      <c r="AE1771" s="158"/>
      <c r="AF1771" s="158"/>
    </row>
    <row r="1772" ht="15.75" hidden="1" customHeight="1">
      <c r="A1772" s="90"/>
      <c r="B1772" s="6"/>
      <c r="C1772" s="90"/>
      <c r="D1772" s="185"/>
      <c r="E1772" s="266"/>
      <c r="F1772" s="187"/>
      <c r="G1772" s="187"/>
      <c r="H1772" s="195"/>
      <c r="I1772" s="164"/>
      <c r="J1772" s="248"/>
      <c r="K1772" s="164"/>
      <c r="L1772" s="134"/>
      <c r="M1772" s="135" t="str">
        <f>iferror(mround($O1636*((VLOOKUP($J1772,Sheet1!$D:$N,$G1772+1,FALSE)-0.03)),2.5)," ")</f>
        <v> </v>
      </c>
      <c r="N1772" s="135" t="str">
        <f>iferror(mround($O1636*((VLOOKUP($J1772,Sheet1!$D:$N,$G1772+1,FALSE)+0.02)),2.5)," ")</f>
        <v> </v>
      </c>
      <c r="O1772" s="112" t="str">
        <f>iferror(mround(I1772/VLOOKUP(K1772,Sheet1!$D$7:$N$16,G1772+1,FALSE),2.5),"")</f>
        <v/>
      </c>
      <c r="P1772" s="136" t="str">
        <f t="shared" si="66"/>
        <v/>
      </c>
      <c r="R1772" s="11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</row>
    <row r="1773" ht="3.75" hidden="1" customHeight="1">
      <c r="A1773" s="90"/>
      <c r="B1773" s="6"/>
      <c r="C1773" s="90"/>
      <c r="D1773" s="138"/>
      <c r="E1773" s="252"/>
      <c r="F1773" s="102"/>
      <c r="G1773" s="102"/>
      <c r="H1773" s="102"/>
      <c r="I1773" s="102"/>
      <c r="J1773" s="156"/>
      <c r="K1773" s="210"/>
      <c r="L1773" s="144"/>
      <c r="M1773" s="135" t="str">
        <f>iferror(mround($O1637*((VLOOKUP($J1773,Sheet1!$D:$N,$G1773+1,FALSE)-0.03)),2.5)," ")</f>
        <v> </v>
      </c>
      <c r="N1773" s="135" t="str">
        <f>iferror(mround($O1637*((VLOOKUP($J1773,Sheet1!$D:$N,$G1773+1,FALSE)+0.02)),2.5)," ")</f>
        <v> </v>
      </c>
      <c r="O1773" s="122"/>
      <c r="P1773" s="146" t="str">
        <f t="shared" si="66"/>
        <v/>
      </c>
      <c r="R1773" s="11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</row>
    <row r="1774" ht="15.75" customHeight="1">
      <c r="A1774" s="90"/>
      <c r="B1774" s="6"/>
      <c r="C1774" s="90"/>
      <c r="D1774" s="185" t="s">
        <v>267</v>
      </c>
      <c r="E1774" s="264"/>
      <c r="F1774" s="187">
        <v>3.0</v>
      </c>
      <c r="G1774" s="731" t="s">
        <v>260</v>
      </c>
      <c r="H1774" s="195"/>
      <c r="I1774" s="164"/>
      <c r="J1774" s="248">
        <v>8.0</v>
      </c>
      <c r="K1774" s="164"/>
      <c r="L1774" s="134" t="str">
        <f>I1638</f>
        <v/>
      </c>
      <c r="M1774" s="135" t="str">
        <f>iferror(mround($O1638*((VLOOKUP($J1774,Sheet1!$D:$N,$G1774+1,FALSE)-0.03)),2.5)," ")</f>
        <v> </v>
      </c>
      <c r="N1774" s="135" t="str">
        <f>iferror(mround($O1638*((VLOOKUP($J1774,Sheet1!$D:$N,$G1774+1,FALSE)+0.02)),2.5)," ")</f>
        <v> </v>
      </c>
      <c r="O1774" s="112" t="str">
        <f>iferror(mround(I1774/VLOOKUP(K1774,Sheet1!$D$7:$N$16,G1774+1,FALSE),2.5),"")</f>
        <v/>
      </c>
      <c r="P1774" s="136" t="str">
        <f t="shared" si="66"/>
        <v/>
      </c>
      <c r="R1774" s="11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</row>
    <row r="1775" ht="3.75" customHeight="1">
      <c r="A1775" s="191"/>
      <c r="B1775" s="6"/>
      <c r="C1775" s="192"/>
      <c r="D1775" s="138"/>
      <c r="E1775" s="252"/>
      <c r="F1775" s="102"/>
      <c r="G1775" s="102"/>
      <c r="H1775" s="102"/>
      <c r="I1775" s="102"/>
      <c r="J1775" s="156"/>
      <c r="K1775" s="210"/>
      <c r="L1775" s="144"/>
      <c r="M1775" s="145"/>
      <c r="N1775" s="145"/>
      <c r="O1775" s="122"/>
      <c r="P1775" s="146" t="str">
        <f t="shared" si="66"/>
        <v/>
      </c>
      <c r="R1775" s="157"/>
      <c r="S1775" s="5"/>
      <c r="T1775" s="5"/>
      <c r="U1775" s="158"/>
      <c r="V1775" s="158"/>
      <c r="W1775" s="158"/>
      <c r="X1775" s="158"/>
      <c r="Y1775" s="158"/>
      <c r="Z1775" s="158"/>
      <c r="AA1775" s="158"/>
      <c r="AB1775" s="158"/>
      <c r="AC1775" s="158"/>
      <c r="AD1775" s="158"/>
      <c r="AE1775" s="158"/>
      <c r="AF1775" s="158"/>
    </row>
    <row r="1776" ht="15.75" customHeight="1">
      <c r="A1776" s="90"/>
      <c r="B1776" s="6"/>
      <c r="C1776" s="90"/>
      <c r="D1776" s="185" t="s">
        <v>270</v>
      </c>
      <c r="E1776" s="260"/>
      <c r="F1776" s="187">
        <v>3.0</v>
      </c>
      <c r="G1776" s="731" t="s">
        <v>260</v>
      </c>
      <c r="H1776" s="195"/>
      <c r="I1776" s="164"/>
      <c r="J1776" s="248">
        <v>9.0</v>
      </c>
      <c r="K1776" s="164"/>
      <c r="L1776" s="134" t="str">
        <f>I1640</f>
        <v/>
      </c>
      <c r="M1776" s="135" t="str">
        <f>iferror(mround($O1640*((VLOOKUP($J1776,Sheet1!$D:$N,$G1776+1,FALSE)-0.03)),2.5)," ")</f>
        <v> </v>
      </c>
      <c r="N1776" s="135" t="str">
        <f>iferror(mround($O1640*((VLOOKUP($J1776,Sheet1!$D:$N,$G1776+1,FALSE)+0.02)),2.5)," ")</f>
        <v> </v>
      </c>
      <c r="O1776" s="112" t="str">
        <f>iferror(mround(I1776/VLOOKUP(K1776,Sheet1!$D$7:$N$16,G1776+1,FALSE),2.5),"")</f>
        <v/>
      </c>
      <c r="P1776" s="136" t="str">
        <f t="shared" si="66"/>
        <v/>
      </c>
      <c r="R1776" s="11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</row>
    <row r="1777" ht="3.75" customHeight="1">
      <c r="A1777" s="90"/>
      <c r="B1777" s="6"/>
      <c r="C1777" s="90"/>
      <c r="D1777" s="263"/>
      <c r="E1777" s="252"/>
      <c r="F1777" s="102"/>
      <c r="G1777" s="102"/>
      <c r="H1777" s="102"/>
      <c r="I1777" s="102"/>
      <c r="J1777" s="156"/>
      <c r="K1777" s="210"/>
      <c r="L1777" s="144"/>
      <c r="M1777" s="145"/>
      <c r="N1777" s="145"/>
      <c r="O1777" s="122"/>
      <c r="P1777" s="146" t="str">
        <f t="shared" si="66"/>
        <v/>
      </c>
      <c r="R1777" s="11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</row>
    <row r="1778" ht="15.75" customHeight="1">
      <c r="A1778" s="90"/>
      <c r="B1778" s="6"/>
      <c r="C1778" s="90"/>
      <c r="D1778" s="185" t="s">
        <v>256</v>
      </c>
      <c r="E1778" s="266"/>
      <c r="F1778" s="187">
        <v>3.0</v>
      </c>
      <c r="G1778" s="187" t="s">
        <v>16</v>
      </c>
      <c r="H1778" s="195"/>
      <c r="I1778" s="164"/>
      <c r="J1778" s="248">
        <v>9.0</v>
      </c>
      <c r="K1778" s="164"/>
      <c r="L1778" s="134" t="str">
        <f>I1642</f>
        <v/>
      </c>
      <c r="M1778" s="135" t="str">
        <f>iferror(mround($O1642*((VLOOKUP($J1778,Sheet1!$D:$N,$G1778+1,FALSE)-0.03)),2.5)," ")</f>
        <v> </v>
      </c>
      <c r="N1778" s="135" t="str">
        <f>iferror(mround($O1642*((VLOOKUP($J1778,Sheet1!$D:$N,$G1778+1,FALSE)+0.02)),2.5)," ")</f>
        <v> </v>
      </c>
      <c r="O1778" s="112" t="str">
        <f>iferror(mround(I1778/VLOOKUP(K1778,Sheet1!$D$7:$N$16,G1778+1,FALSE),2.5),"")</f>
        <v/>
      </c>
      <c r="P1778" s="136" t="str">
        <f t="shared" si="66"/>
        <v/>
      </c>
      <c r="R1778" s="11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</row>
    <row r="1779" ht="3.75" customHeight="1">
      <c r="A1779" s="191"/>
      <c r="B1779" s="6"/>
      <c r="C1779" s="192"/>
      <c r="D1779" s="192"/>
      <c r="E1779" s="267"/>
      <c r="F1779" s="194"/>
      <c r="G1779" s="194"/>
      <c r="H1779" s="155"/>
      <c r="I1779" s="210"/>
      <c r="J1779" s="268"/>
      <c r="K1779" s="782"/>
      <c r="L1779" s="270"/>
      <c r="M1779" s="269"/>
      <c r="N1779" s="269"/>
      <c r="O1779" s="271"/>
      <c r="P1779" s="272"/>
      <c r="Q1779" s="273"/>
      <c r="R1779" s="157"/>
      <c r="S1779" s="5"/>
      <c r="T1779" s="5"/>
      <c r="U1779" s="158"/>
      <c r="V1779" s="158"/>
      <c r="W1779" s="158"/>
      <c r="X1779" s="158"/>
      <c r="Y1779" s="158"/>
      <c r="Z1779" s="158"/>
      <c r="AA1779" s="158"/>
      <c r="AB1779" s="158"/>
      <c r="AC1779" s="158"/>
      <c r="AD1779" s="158"/>
      <c r="AE1779" s="158"/>
      <c r="AF1779" s="158"/>
    </row>
    <row r="1780" ht="14.25" customHeight="1">
      <c r="A1780" s="5"/>
      <c r="B1780" s="6"/>
      <c r="C1780" s="5"/>
      <c r="D1780" s="274"/>
      <c r="E1780" s="266"/>
      <c r="F1780" s="187"/>
      <c r="G1780" s="187"/>
      <c r="H1780" s="195"/>
      <c r="I1780" s="129"/>
      <c r="J1780" s="275"/>
      <c r="K1780" s="274"/>
      <c r="L1780" s="187"/>
      <c r="M1780" s="187"/>
      <c r="N1780" s="187"/>
      <c r="O1780" s="277"/>
      <c r="P1780" s="278"/>
      <c r="Q1780" s="279"/>
      <c r="R1780" s="11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</row>
    <row r="1781" ht="14.25" customHeight="1">
      <c r="A1781" s="5"/>
      <c r="B1781" s="6"/>
      <c r="C1781" s="5"/>
      <c r="D1781" s="274" t="s">
        <v>59</v>
      </c>
      <c r="E1781" s="266" t="s">
        <v>16</v>
      </c>
      <c r="F1781" s="187" t="s">
        <v>17</v>
      </c>
      <c r="G1781" s="187" t="s">
        <v>60</v>
      </c>
      <c r="H1781" s="187"/>
      <c r="I1781" s="280" t="s">
        <v>61</v>
      </c>
      <c r="J1781" s="266" t="s">
        <v>62</v>
      </c>
      <c r="K1781" s="274"/>
      <c r="L1781" s="285"/>
      <c r="M1781" s="285"/>
      <c r="N1781" s="285"/>
      <c r="O1781" s="282"/>
      <c r="P1781" s="278"/>
      <c r="Q1781" s="279"/>
      <c r="R1781" s="11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</row>
    <row r="1782" ht="14.25" customHeight="1">
      <c r="A1782" s="5"/>
      <c r="B1782" s="6"/>
      <c r="C1782" s="5"/>
      <c r="D1782" s="274" t="s">
        <v>6</v>
      </c>
      <c r="E1782" s="283">
        <f>IFERROR(__xludf.DUMMYFUNCTION("SUM(FILTER(F1657:F1781, ISNUMBER(SEARCH(""squat"", D1657:D1781))))"),10.0)</f>
        <v>10</v>
      </c>
      <c r="F1782" s="284">
        <f>IFERROR(__xludf.DUMMYFUNCTION("SUMPRODUCT(FILTER(F1657:F1781 * G1657:G1781, ISNUMBER(SEARCH(""squat"", D1657:D1781))))"),43.0)</f>
        <v>43</v>
      </c>
      <c r="G1782" s="135">
        <f>IFERROR(__xludf.DUMMYFUNCTION("ROUND(SUMPRODUCT(FILTER(F1657:F1781 * G1657:G1781 * I1657:I1781, ISNUMBER(SEARCH(""squat"", D1657:D1781)))), 0)"),4765.0)</f>
        <v>4765</v>
      </c>
      <c r="H1782" s="285"/>
      <c r="I1782" s="135" t="str">
        <f>IFERROR(__xludf.DUMMYFUNCTION("ROUND(AVERAGE(FILTER(I1657:I1781, ISNUMBER(SEARCH(""squat"", D1657:D1781)), I1657:I1781 &lt;&gt; """")) / J1782 * 100, 0)"),"#VALUE!")</f>
        <v>#VALUE!</v>
      </c>
      <c r="J1782" s="283" t="str">
        <f>IFERROR(__xludf.DUMMYFUNCTION("IFERROR(MROUND(AVERAGE(FILTER(O1657:O1781, D1657:D1781 = ""comp squat"", O1657:O1781 &lt;&gt; """", O1657:O1781 &gt;= 0.9 * MAX(FILTER(O1657:O1781, D1657:D1781 = ""comp squat"", O1657:O1781 &lt;&gt; """")), O1657:O1781 &lt;= 1.1 * MAX(FILTER(O1657:O1781, D1657:D1781 = ""co"&amp;"mp squat"", O1657:O1781 &lt;&gt; """")))), 2.5), ""No valid data"")"),"No valid data")</f>
        <v>No valid data</v>
      </c>
      <c r="K1782" s="274"/>
      <c r="L1782" s="305"/>
      <c r="M1782" s="305"/>
      <c r="N1782" s="305"/>
      <c r="O1782" s="282"/>
      <c r="P1782" s="278"/>
      <c r="Q1782" s="60"/>
      <c r="R1782" s="11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</row>
    <row r="1783" ht="3.0" customHeight="1">
      <c r="A1783" s="5"/>
      <c r="B1783" s="6"/>
      <c r="C1783" s="5"/>
      <c r="D1783" s="90"/>
      <c r="E1783" s="156"/>
      <c r="F1783" s="102"/>
      <c r="G1783" s="145"/>
      <c r="H1783" s="102"/>
      <c r="I1783" s="145"/>
      <c r="J1783" s="156"/>
      <c r="K1783" s="274"/>
      <c r="L1783" s="284"/>
      <c r="M1783" s="284"/>
      <c r="N1783" s="305"/>
      <c r="O1783" s="282"/>
      <c r="P1783" s="278"/>
      <c r="Q1783" s="783"/>
      <c r="R1783" s="11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</row>
    <row r="1784" ht="15.75" customHeight="1">
      <c r="A1784" s="5"/>
      <c r="B1784" s="6"/>
      <c r="C1784" s="5"/>
      <c r="D1784" s="274" t="s">
        <v>66</v>
      </c>
      <c r="E1784" s="293">
        <f>IFERROR(__xludf.DUMMYFUNCTION("SUM(FILTER(F1657:F1781, ISNUMBER(SEARCH(""bench press"", D1657:D1781))))"),16.0)</f>
        <v>16</v>
      </c>
      <c r="F1784" s="284">
        <f>IFERROR(__xludf.DUMMYFUNCTION("SUMPRODUCT(FILTER(F1658:F1782 * G1658:G1782, ISNUMBER(SEARCH(""bench press"", D1658:D1782))))"),73.0)</f>
        <v>73</v>
      </c>
      <c r="G1784" s="135">
        <f>IFERROR(__xludf.DUMMYFUNCTION("ROUND(SUMPRODUCT(FILTER(F1657:F1781 * G1657:G1781 * I1657:I1781, ISNUMBER(SEARCH(""bench press"", D1657:D1781)))), 0)"),4680.0)</f>
        <v>4680</v>
      </c>
      <c r="H1784" s="285"/>
      <c r="I1784" s="135" t="str">
        <f>IFERROR(__xludf.DUMMYFUNCTION("ROUND(AVERAGE(FILTER(I1657:I1781, ISNUMBER(SEARCH(""bench press"", D1657:D1781)), I1657:I1781 &lt;&gt; """")) / J1784 * 100, 0)"),"#VALUE!")</f>
        <v>#VALUE!</v>
      </c>
      <c r="J1784" s="293" t="str">
        <f>IFERROR(__xludf.DUMMYFUNCTION("IFERROR(MROUND(AVERAGE(FILTER(O1657:O1781, D1657:D1781 = ""comp bench press"", O1657:O1781 &lt;&gt; """", O1657:O1781 &gt;= 0.9 * MAX(FILTER(O1657:O1781, D1657:D1781 = ""comp bench press"", O1657:O1781 &lt;&gt; """")), O1657:O1781 &lt;= 1.1 * MAX(FILTER(O1657:O1781, D1657:"&amp;"D1781 = ""comp bench press"", O1657:O1781 &lt;&gt; """")))), 2.5), ""No valid data"")"),"No valid data")</f>
        <v>No valid data</v>
      </c>
      <c r="K1784" s="274"/>
      <c r="L1784" s="285"/>
      <c r="M1784" s="285"/>
      <c r="N1784" s="305"/>
      <c r="O1784" s="282"/>
      <c r="P1784" s="278"/>
      <c r="Q1784" s="279"/>
      <c r="R1784" s="11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</row>
    <row r="1785" ht="3.0" customHeight="1">
      <c r="A1785" s="5"/>
      <c r="B1785" s="6"/>
      <c r="C1785" s="5"/>
      <c r="D1785" s="90"/>
      <c r="E1785" s="156"/>
      <c r="F1785" s="102"/>
      <c r="G1785" s="145"/>
      <c r="H1785" s="102"/>
      <c r="I1785" s="145"/>
      <c r="J1785" s="156"/>
      <c r="K1785" s="274"/>
      <c r="L1785" s="285"/>
      <c r="M1785" s="285"/>
      <c r="N1785" s="284"/>
      <c r="O1785" s="282"/>
      <c r="P1785" s="278"/>
      <c r="Q1785" s="279"/>
      <c r="R1785" s="11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</row>
    <row r="1786" ht="14.25" customHeight="1">
      <c r="A1786" s="5"/>
      <c r="B1786" s="6"/>
      <c r="C1786" s="5"/>
      <c r="D1786" s="274" t="s">
        <v>10</v>
      </c>
      <c r="E1786" s="293">
        <f>IFERROR(__xludf.DUMMYFUNCTION("SUM(FILTER(F1657:F1781, ISNUMBER(SEARCH(""deadlift"", D1657:D1781))))"),10.0)</f>
        <v>10</v>
      </c>
      <c r="F1786" s="284">
        <f>IFERROR(__xludf.DUMMYFUNCTION("SUMPRODUCT(FILTER(F1657:F1781 * G1657:G1781, ISNUMBER(SEARCH(""deadlift"", D1657:D1781))))"),35.0)</f>
        <v>35</v>
      </c>
      <c r="G1786" s="135">
        <f>IFERROR(__xludf.DUMMYFUNCTION("ROUND(SUMPRODUCT(FILTER(F1657:F1781 * G1657:G1781 * I1657:I1781, ISNUMBER(SEARCH(""deadlift"", D1657:D1781)))), 0)"),870.0)</f>
        <v>870</v>
      </c>
      <c r="H1786" s="285"/>
      <c r="I1786" s="135" t="str">
        <f>IFERROR(__xludf.DUMMYFUNCTION("ROUND(AVERAGE(FILTER(I1657:I1781, ISNUMBER(SEARCH(""deadlift"", D1657:D1781)), I1657:I1781 &lt;&gt; """")) / J1786 * 100, 0)"),"#VALUE!")</f>
        <v>#VALUE!</v>
      </c>
      <c r="J1786" s="293" t="str">
        <f>IFERROR(__xludf.DUMMYFUNCTION("IFERROR(MROUND(AVERAGE(FILTER(O1657:O1781, D1657:D1781 = ""comp deadlift"", O1657:O1781 &lt;&gt; """", O1657:O1781 &gt;= 0.9 * MAX(FILTER(O1657:O1781, D1657:D1781 = ""comp deadlift"", O1657:O1781 &lt;&gt; """")), O1657:O1781 &lt;= 1.1 * MAX(FILTER(O1657:O1781, D1657:D1781 "&amp;"= ""comp deadlift"", O1657:O1781 &lt;&gt; """")))), 2.5), ""No valid data"")"),"No valid data")</f>
        <v>No valid data</v>
      </c>
      <c r="K1786" s="274"/>
      <c r="L1786" s="285"/>
      <c r="M1786" s="285"/>
      <c r="N1786" s="285"/>
      <c r="O1786" s="282"/>
      <c r="P1786" s="278"/>
      <c r="Q1786" s="279"/>
      <c r="R1786" s="11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</row>
    <row r="1787" ht="14.25" customHeight="1">
      <c r="A1787" s="5"/>
      <c r="B1787" s="6"/>
      <c r="C1787" s="5"/>
      <c r="D1787" s="274"/>
      <c r="E1787" s="266"/>
      <c r="F1787" s="187"/>
      <c r="G1787" s="187"/>
      <c r="H1787" s="187"/>
      <c r="I1787" s="187"/>
      <c r="J1787" s="295"/>
      <c r="K1787" s="274"/>
      <c r="L1787" s="285"/>
      <c r="M1787" s="285"/>
      <c r="N1787" s="285"/>
      <c r="O1787" s="282"/>
      <c r="P1787" s="278"/>
      <c r="Q1787" s="279"/>
      <c r="R1787" s="11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</row>
    <row r="1788" ht="14.25" customHeight="1">
      <c r="A1788" s="5"/>
      <c r="B1788" s="2"/>
      <c r="C1788" s="5"/>
      <c r="D1788" s="5"/>
      <c r="E1788" s="75"/>
      <c r="F1788" s="3"/>
      <c r="G1788" s="3"/>
      <c r="H1788" s="3"/>
      <c r="I1788" s="3"/>
      <c r="J1788" s="75"/>
      <c r="K1788" s="5"/>
      <c r="L1788" s="47"/>
      <c r="M1788" s="3"/>
      <c r="N1788" s="3"/>
      <c r="O1788" s="3"/>
      <c r="P1788" s="4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</row>
    <row r="1789" ht="19.5" customHeight="1">
      <c r="A1789" s="5"/>
      <c r="B1789" s="6"/>
      <c r="C1789" s="10"/>
      <c r="D1789" s="79" t="s">
        <v>305</v>
      </c>
      <c r="E1789" s="760"/>
      <c r="F1789" s="761"/>
      <c r="G1789" s="761"/>
      <c r="H1789" s="761"/>
      <c r="I1789" s="8"/>
      <c r="J1789" s="762"/>
      <c r="K1789" s="763"/>
      <c r="O1789" s="8"/>
      <c r="P1789" s="9"/>
      <c r="Q1789" s="11"/>
      <c r="R1789" s="10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</row>
    <row r="1790" ht="27.0" customHeight="1">
      <c r="A1790" s="90"/>
      <c r="B1790" s="6"/>
      <c r="C1790" s="91"/>
      <c r="D1790" s="745"/>
      <c r="E1790" s="746"/>
      <c r="F1790" s="81"/>
      <c r="G1790" s="81"/>
      <c r="H1790" s="81"/>
      <c r="I1790" s="81"/>
      <c r="J1790" s="764"/>
      <c r="K1790" s="93"/>
      <c r="L1790" s="93"/>
      <c r="M1790" s="93"/>
      <c r="N1790" s="93"/>
      <c r="O1790" s="296"/>
      <c r="P1790" s="297"/>
      <c r="Q1790" s="298"/>
      <c r="R1790" s="10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</row>
    <row r="1791" ht="14.25" customHeight="1">
      <c r="A1791" s="90"/>
      <c r="B1791" s="6"/>
      <c r="C1791" s="91"/>
      <c r="D1791" s="749" t="str">
        <f>INT((athlete!$A$14 - TODAY()) / 7) &amp; " weeks, " &amp; MOD(athlete!$A$14 - TODAY(), 7) &amp; " day(s) "&amp;"out from:"</f>
        <v>#REF!</v>
      </c>
      <c r="E1791" s="37"/>
      <c r="F1791" s="81" t="str">
        <f>athlete!$A$16</f>
        <v>#REF!</v>
      </c>
      <c r="G1791" s="83"/>
      <c r="H1791" s="83"/>
      <c r="I1791" s="83"/>
      <c r="J1791" s="83"/>
      <c r="L1791" s="93"/>
      <c r="M1791" s="93"/>
      <c r="N1791" s="93"/>
      <c r="O1791" s="94"/>
      <c r="P1791" s="95"/>
      <c r="Q1791" s="96"/>
      <c r="R1791" s="10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</row>
    <row r="1792" ht="3.75" customHeight="1">
      <c r="A1792" s="90"/>
      <c r="B1792" s="6"/>
      <c r="C1792" s="90"/>
      <c r="D1792" s="97"/>
      <c r="E1792" s="98"/>
      <c r="F1792" s="99"/>
      <c r="G1792" s="99"/>
      <c r="H1792" s="99"/>
      <c r="I1792" s="100"/>
      <c r="J1792" s="101"/>
      <c r="K1792" s="90"/>
      <c r="L1792" s="102"/>
      <c r="M1792" s="102"/>
      <c r="N1792" s="102"/>
      <c r="O1792" s="103"/>
      <c r="P1792" s="4"/>
      <c r="Q1792" s="90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</row>
    <row r="1793" ht="32.25" customHeight="1">
      <c r="A1793" s="90"/>
      <c r="B1793" s="6"/>
      <c r="C1793" s="90"/>
      <c r="D1793" s="202" t="s">
        <v>271</v>
      </c>
      <c r="E1793" s="255" t="s">
        <v>15</v>
      </c>
      <c r="F1793" s="106" t="s">
        <v>16</v>
      </c>
      <c r="G1793" s="106" t="s">
        <v>17</v>
      </c>
      <c r="H1793" s="107"/>
      <c r="I1793" s="106" t="s">
        <v>18</v>
      </c>
      <c r="J1793" s="766" t="s">
        <v>241</v>
      </c>
      <c r="K1793" s="767" t="s">
        <v>20</v>
      </c>
      <c r="L1793" s="110" t="s">
        <v>21</v>
      </c>
      <c r="M1793" s="111" t="s">
        <v>22</v>
      </c>
      <c r="O1793" s="112"/>
      <c r="P1793" s="113" t="s">
        <v>23</v>
      </c>
      <c r="Q1793" s="768"/>
      <c r="R1793" s="11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</row>
    <row r="1794" ht="14.25" customHeight="1">
      <c r="A1794" s="90"/>
      <c r="B1794" s="6"/>
      <c r="C1794" s="90"/>
      <c r="D1794" s="257" t="s">
        <v>25</v>
      </c>
      <c r="E1794" s="258" t="s">
        <v>26</v>
      </c>
      <c r="H1794" s="107"/>
      <c r="J1794" s="766" t="s">
        <v>244</v>
      </c>
      <c r="M1794" s="111" t="s">
        <v>27</v>
      </c>
      <c r="N1794" s="111" t="s">
        <v>28</v>
      </c>
      <c r="O1794" s="112" t="s">
        <v>29</v>
      </c>
      <c r="Q1794" s="118" t="s">
        <v>30</v>
      </c>
      <c r="R1794" s="11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</row>
    <row r="1795" ht="3.75" customHeight="1">
      <c r="A1795" s="90"/>
      <c r="B1795" s="6"/>
      <c r="C1795" s="90"/>
      <c r="D1795" s="97"/>
      <c r="E1795" s="98"/>
      <c r="F1795" s="99"/>
      <c r="G1795" s="99"/>
      <c r="H1795" s="99"/>
      <c r="I1795" s="100"/>
      <c r="J1795" s="101"/>
      <c r="K1795" s="90"/>
      <c r="L1795" s="121"/>
      <c r="M1795" s="102"/>
      <c r="N1795" s="102"/>
      <c r="O1795" s="122"/>
      <c r="P1795" s="4"/>
      <c r="Q1795" s="769"/>
      <c r="R1795" s="11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</row>
    <row r="1796" ht="15.75" customHeight="1">
      <c r="A1796" s="124"/>
      <c r="B1796" s="6" t="s">
        <v>236</v>
      </c>
      <c r="C1796" s="124"/>
      <c r="D1796" s="185" t="s">
        <v>285</v>
      </c>
      <c r="E1796" s="224"/>
      <c r="F1796" s="187">
        <v>1.0</v>
      </c>
      <c r="G1796" s="770">
        <v>6.0</v>
      </c>
      <c r="H1796" s="129"/>
      <c r="I1796" s="164"/>
      <c r="J1796" s="189">
        <v>7.5</v>
      </c>
      <c r="K1796" s="183"/>
      <c r="L1796" s="134" t="str">
        <f>I1660</f>
        <v/>
      </c>
      <c r="M1796" s="135">
        <f>iferror(mround($O1660*((VLOOKUP($J1796,Sheet1!$D:$N,$G1796+1,FALSE)-0.03)),2.5)," ")</f>
        <v>0</v>
      </c>
      <c r="N1796" s="135">
        <f>iferror(mround($O1660*((VLOOKUP($J1796,Sheet1!$D:$N,$G1796+1,FALSE)+0.02)),2.5)," ")</f>
        <v>0</v>
      </c>
      <c r="O1796" s="56" t="str">
        <f>iferror(mround(I1796/VLOOKUP(K1796,Sheet1!$D$7:$N$16,G1796+1,FALSE),2.5),"")</f>
        <v/>
      </c>
      <c r="P1796" s="136" t="str">
        <f t="shared" ref="P1796:P1817" si="67">IF(I1796 - I1660 = 0, "", I1796 - I1660)</f>
        <v/>
      </c>
      <c r="R1796" s="11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</row>
    <row r="1797" ht="3.75" customHeight="1">
      <c r="A1797" s="137"/>
      <c r="B1797" s="70"/>
      <c r="C1797" s="137"/>
      <c r="D1797" s="138"/>
      <c r="E1797" s="184"/>
      <c r="F1797" s="140"/>
      <c r="G1797" s="140"/>
      <c r="H1797" s="140"/>
      <c r="I1797" s="140"/>
      <c r="J1797" s="141"/>
      <c r="K1797" s="143"/>
      <c r="L1797" s="144"/>
      <c r="M1797" s="145"/>
      <c r="N1797" s="145"/>
      <c r="O1797" s="122"/>
      <c r="P1797" s="146" t="str">
        <f t="shared" si="67"/>
        <v/>
      </c>
      <c r="R1797" s="147"/>
      <c r="S1797" s="148"/>
      <c r="T1797" s="148"/>
      <c r="U1797" s="148"/>
      <c r="V1797" s="148"/>
      <c r="W1797" s="148"/>
      <c r="X1797" s="148"/>
      <c r="Y1797" s="148"/>
      <c r="Z1797" s="148"/>
      <c r="AA1797" s="148"/>
      <c r="AB1797" s="148"/>
      <c r="AC1797" s="148"/>
      <c r="AD1797" s="148"/>
      <c r="AE1797" s="148"/>
      <c r="AF1797" s="148"/>
    </row>
    <row r="1798" ht="15.75" customHeight="1">
      <c r="A1798" s="149"/>
      <c r="B1798" s="150"/>
      <c r="C1798" s="149"/>
      <c r="D1798" s="185" t="s">
        <v>285</v>
      </c>
      <c r="E1798" s="224"/>
      <c r="F1798" s="187">
        <v>1.0</v>
      </c>
      <c r="G1798" s="771">
        <v>6.0</v>
      </c>
      <c r="H1798" s="129"/>
      <c r="I1798" s="164"/>
      <c r="J1798" s="189">
        <v>9.0</v>
      </c>
      <c r="K1798" s="183"/>
      <c r="L1798" s="134" t="str">
        <f>I1662</f>
        <v/>
      </c>
      <c r="M1798" s="135">
        <f>iferror(mround($O1662*((VLOOKUP($J1798,Sheet1!$D:$N,$G1798+1,FALSE)-0.03)),2.5)," ")</f>
        <v>0</v>
      </c>
      <c r="N1798" s="135">
        <f>iferror(mround($O1662*((VLOOKUP($J1798,Sheet1!$D:$N,$G1798+1,FALSE)+0.02)),2.5)," ")</f>
        <v>0</v>
      </c>
      <c r="O1798" s="56" t="str">
        <f>iferror(mround(I1798/VLOOKUP(K1798,Sheet1!$D$7:$N$16,G1798+1,FALSE),2.5),"")</f>
        <v/>
      </c>
      <c r="P1798" s="136" t="str">
        <f t="shared" si="67"/>
        <v/>
      </c>
      <c r="R1798" s="11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</row>
    <row r="1799" ht="3.75" customHeight="1">
      <c r="A1799" s="152"/>
      <c r="B1799" s="150"/>
      <c r="C1799" s="153"/>
      <c r="D1799" s="138"/>
      <c r="E1799" s="223"/>
      <c r="F1799" s="155"/>
      <c r="G1799" s="102"/>
      <c r="H1799" s="102"/>
      <c r="I1799" s="102"/>
      <c r="J1799" s="156"/>
      <c r="K1799" s="143"/>
      <c r="L1799" s="144"/>
      <c r="M1799" s="145"/>
      <c r="N1799" s="145"/>
      <c r="O1799" s="122"/>
      <c r="P1799" s="146" t="str">
        <f t="shared" si="67"/>
        <v/>
      </c>
      <c r="R1799" s="157"/>
      <c r="S1799" s="5"/>
      <c r="T1799" s="5"/>
      <c r="U1799" s="158"/>
      <c r="V1799" s="158"/>
      <c r="W1799" s="158"/>
      <c r="X1799" s="158"/>
      <c r="Y1799" s="158"/>
      <c r="Z1799" s="158"/>
      <c r="AA1799" s="158"/>
      <c r="AB1799" s="158"/>
      <c r="AC1799" s="158"/>
      <c r="AD1799" s="158"/>
      <c r="AE1799" s="158"/>
      <c r="AF1799" s="158"/>
    </row>
    <row r="1800" ht="15.75" customHeight="1">
      <c r="A1800" s="149"/>
      <c r="B1800" s="150"/>
      <c r="C1800" s="149"/>
      <c r="D1800" s="185" t="s">
        <v>285</v>
      </c>
      <c r="E1800" s="327"/>
      <c r="F1800" s="187">
        <v>1.0</v>
      </c>
      <c r="G1800" s="771">
        <v>6.0</v>
      </c>
      <c r="H1800" s="129"/>
      <c r="I1800" s="164">
        <f>MROUND(I1798*(1+J1800),2.5)</f>
        <v>0</v>
      </c>
      <c r="J1800" s="230">
        <v>-0.1</v>
      </c>
      <c r="K1800" s="183"/>
      <c r="L1800" s="134">
        <f>I1664</f>
        <v>0</v>
      </c>
      <c r="M1800" s="135" t="str">
        <f>iferror(mround($O1664*((VLOOKUP($J1800,Sheet1!$D:$N,$G1800+1,FALSE)-0.03)),2.5)," ")</f>
        <v> </v>
      </c>
      <c r="N1800" s="135" t="str">
        <f>iferror(mround($O1664*((VLOOKUP($J1800,Sheet1!$D:$N,$G1800+1,FALSE)+0.02)),2.5)," ")</f>
        <v> </v>
      </c>
      <c r="O1800" s="56" t="str">
        <f>iferror(mround(I1800/VLOOKUP(K1800,Sheet1!$D$7:$N$16,G1800+1,FALSE),2.5),"")</f>
        <v/>
      </c>
      <c r="P1800" s="136" t="str">
        <f t="shared" si="67"/>
        <v/>
      </c>
      <c r="R1800" s="11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</row>
    <row r="1801" ht="3.75" customHeight="1">
      <c r="A1801" s="162"/>
      <c r="B1801" s="163"/>
      <c r="C1801" s="162"/>
      <c r="D1801" s="138"/>
      <c r="E1801" s="184"/>
      <c r="F1801" s="140"/>
      <c r="G1801" s="140"/>
      <c r="H1801" s="140"/>
      <c r="I1801" s="140"/>
      <c r="J1801" s="141"/>
      <c r="K1801" s="143"/>
      <c r="L1801" s="144"/>
      <c r="M1801" s="145"/>
      <c r="N1801" s="145"/>
      <c r="O1801" s="122"/>
      <c r="P1801" s="146" t="str">
        <f t="shared" si="67"/>
        <v/>
      </c>
      <c r="R1801" s="147"/>
      <c r="S1801" s="148"/>
      <c r="T1801" s="148"/>
      <c r="U1801" s="148"/>
      <c r="V1801" s="148"/>
      <c r="W1801" s="148"/>
      <c r="X1801" s="148"/>
      <c r="Y1801" s="148"/>
      <c r="Z1801" s="148"/>
      <c r="AA1801" s="148"/>
      <c r="AB1801" s="148"/>
      <c r="AC1801" s="148"/>
      <c r="AD1801" s="148"/>
      <c r="AE1801" s="148"/>
      <c r="AF1801" s="148"/>
    </row>
    <row r="1802" ht="15.75" customHeight="1">
      <c r="A1802" s="149"/>
      <c r="B1802" s="150"/>
      <c r="C1802" s="149"/>
      <c r="D1802" s="185" t="s">
        <v>265</v>
      </c>
      <c r="E1802" s="327"/>
      <c r="F1802" s="187">
        <v>3.0</v>
      </c>
      <c r="G1802" s="771">
        <v>7.0</v>
      </c>
      <c r="H1802" s="129"/>
      <c r="I1802" s="164"/>
      <c r="J1802" s="189">
        <v>6.5</v>
      </c>
      <c r="K1802" s="183"/>
      <c r="L1802" s="134" t="str">
        <f>I1666</f>
        <v/>
      </c>
      <c r="M1802" s="135">
        <f>iferror(mround($O1666*((VLOOKUP($J1802,Sheet1!$D:$N,$G1802+1,FALSE)-0.03)),2.5)," ")</f>
        <v>0</v>
      </c>
      <c r="N1802" s="135">
        <f>iferror(mround($O1666*((VLOOKUP($J1802,Sheet1!$D:$N,$G1802+1,FALSE)+0.02)),2.5)," ")</f>
        <v>0</v>
      </c>
      <c r="O1802" s="56" t="str">
        <f>iferror(mround(I1802/VLOOKUP(K1802,Sheet1!$D$7:$N$16,G1802+1,FALSE),2.5),"")</f>
        <v/>
      </c>
      <c r="P1802" s="136" t="str">
        <f t="shared" si="67"/>
        <v/>
      </c>
      <c r="R1802" s="11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</row>
    <row r="1803" ht="3.75" customHeight="1">
      <c r="A1803" s="162"/>
      <c r="B1803" s="163"/>
      <c r="C1803" s="162"/>
      <c r="D1803" s="138"/>
      <c r="E1803" s="326"/>
      <c r="F1803" s="102"/>
      <c r="G1803" s="102"/>
      <c r="H1803" s="102"/>
      <c r="I1803" s="102"/>
      <c r="J1803" s="156"/>
      <c r="K1803" s="143"/>
      <c r="L1803" s="144"/>
      <c r="M1803" s="145"/>
      <c r="N1803" s="145"/>
      <c r="O1803" s="122"/>
      <c r="P1803" s="146" t="str">
        <f t="shared" si="67"/>
        <v/>
      </c>
      <c r="R1803" s="147"/>
      <c r="S1803" s="148"/>
      <c r="T1803" s="148"/>
      <c r="U1803" s="148"/>
      <c r="V1803" s="148"/>
      <c r="W1803" s="148"/>
      <c r="X1803" s="148"/>
      <c r="Y1803" s="148"/>
      <c r="Z1803" s="148"/>
      <c r="AA1803" s="148"/>
      <c r="AB1803" s="148"/>
      <c r="AC1803" s="148"/>
      <c r="AD1803" s="148"/>
      <c r="AE1803" s="148"/>
      <c r="AF1803" s="148"/>
    </row>
    <row r="1804" ht="15.75" customHeight="1">
      <c r="A1804" s="90"/>
      <c r="B1804" s="6"/>
      <c r="C1804" s="90"/>
      <c r="D1804" s="260" t="s">
        <v>273</v>
      </c>
      <c r="E1804" s="186"/>
      <c r="F1804" s="187">
        <v>3.0</v>
      </c>
      <c r="G1804" s="772" t="s">
        <v>251</v>
      </c>
      <c r="H1804" s="129"/>
      <c r="I1804" s="164"/>
      <c r="J1804" s="189">
        <v>8.0</v>
      </c>
      <c r="K1804" s="183"/>
      <c r="L1804" s="134" t="str">
        <f>I1668</f>
        <v/>
      </c>
      <c r="M1804" s="135" t="str">
        <f>iferror(mround($O1668*((VLOOKUP($J1804,Sheet1!$D:$N,$G1804+1,FALSE)-0.03)),2.5)," ")</f>
        <v> </v>
      </c>
      <c r="N1804" s="135" t="str">
        <f>iferror(mround($O1668*((VLOOKUP($J1804,Sheet1!$D:$N,$G1804+1,FALSE)+0.02)),2.5)," ")</f>
        <v> </v>
      </c>
      <c r="O1804" s="56" t="str">
        <f>iferror(mround(I1804/VLOOKUP(K1804,Sheet1!$D$7:$N$16,G1804+1,FALSE),2.5),"")</f>
        <v/>
      </c>
      <c r="P1804" s="136" t="str">
        <f t="shared" si="67"/>
        <v/>
      </c>
      <c r="R1804" s="11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</row>
    <row r="1805" ht="3.75" customHeight="1">
      <c r="A1805" s="168"/>
      <c r="B1805" s="70"/>
      <c r="C1805" s="168"/>
      <c r="D1805" s="171"/>
      <c r="E1805" s="773"/>
      <c r="F1805" s="173"/>
      <c r="G1805" s="173"/>
      <c r="H1805" s="173"/>
      <c r="I1805" s="173"/>
      <c r="J1805" s="174"/>
      <c r="K1805" s="143"/>
      <c r="L1805" s="144"/>
      <c r="M1805" s="145"/>
      <c r="N1805" s="145"/>
      <c r="O1805" s="122"/>
      <c r="P1805" s="146" t="str">
        <f t="shared" si="67"/>
        <v/>
      </c>
      <c r="R1805" s="147"/>
      <c r="S1805" s="148"/>
      <c r="T1805" s="148"/>
      <c r="U1805" s="148"/>
      <c r="V1805" s="148"/>
      <c r="W1805" s="148"/>
      <c r="X1805" s="148"/>
      <c r="Y1805" s="148"/>
      <c r="Z1805" s="148"/>
      <c r="AA1805" s="148"/>
      <c r="AB1805" s="148"/>
      <c r="AC1805" s="148"/>
      <c r="AD1805" s="148"/>
      <c r="AE1805" s="148"/>
      <c r="AF1805" s="148"/>
    </row>
    <row r="1806" ht="15.75" customHeight="1">
      <c r="A1806" s="90"/>
      <c r="B1806" s="6"/>
      <c r="C1806" s="90"/>
      <c r="D1806" s="709" t="s">
        <v>294</v>
      </c>
      <c r="E1806" s="774"/>
      <c r="F1806" s="711">
        <v>3.0</v>
      </c>
      <c r="G1806" s="775" t="s">
        <v>251</v>
      </c>
      <c r="H1806" s="179"/>
      <c r="I1806" s="180"/>
      <c r="J1806" s="713">
        <v>8.0</v>
      </c>
      <c r="K1806" s="183"/>
      <c r="L1806" s="134" t="s">
        <v>300</v>
      </c>
      <c r="M1806" s="135" t="str">
        <f>iferror(mround($O1670*((VLOOKUP($J1806,Sheet1!$D:$N,$G1806+1,FALSE)-0.03)),2.5)," ")</f>
        <v> </v>
      </c>
      <c r="N1806" s="135" t="str">
        <f>iferror(mround($O1670*((VLOOKUP($J1806,Sheet1!$D:$N,$G1806+1,FALSE)+0.02)),2.5)," ")</f>
        <v> </v>
      </c>
      <c r="O1806" s="56" t="str">
        <f>iferror(mround(I1806/VLOOKUP(K1806,Sheet1!$D$7:$N$16,G1806+1,FALSE),2.5),"")</f>
        <v/>
      </c>
      <c r="P1806" s="136" t="str">
        <f t="shared" si="67"/>
        <v/>
      </c>
      <c r="R1806" s="11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</row>
    <row r="1807" ht="3.75" customHeight="1">
      <c r="A1807" s="90"/>
      <c r="B1807" s="6"/>
      <c r="C1807" s="90"/>
      <c r="D1807" s="171"/>
      <c r="E1807" s="773"/>
      <c r="F1807" s="173"/>
      <c r="G1807" s="173"/>
      <c r="H1807" s="173"/>
      <c r="I1807" s="173"/>
      <c r="J1807" s="174"/>
      <c r="K1807" s="143"/>
      <c r="L1807" s="144"/>
      <c r="M1807" s="145"/>
      <c r="N1807" s="145"/>
      <c r="O1807" s="122"/>
      <c r="P1807" s="146" t="str">
        <f t="shared" si="67"/>
        <v/>
      </c>
      <c r="R1807" s="11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</row>
    <row r="1808" ht="15.75" hidden="1" customHeight="1">
      <c r="A1808" s="90"/>
      <c r="B1808" s="6"/>
      <c r="C1808" s="90"/>
      <c r="D1808" s="260"/>
      <c r="E1808" s="186"/>
      <c r="F1808" s="187"/>
      <c r="G1808" s="195"/>
      <c r="H1808" s="129"/>
      <c r="I1808" s="164"/>
      <c r="J1808" s="189"/>
      <c r="K1808" s="183"/>
      <c r="L1808" s="134" t="str">
        <f>I1672</f>
        <v/>
      </c>
      <c r="M1808" s="135" t="str">
        <f>iferror(mround($O1672*((VLOOKUP($J1808,Sheet1!$D:$N,$G1808+1,FALSE)-0.03)),2.5)," ")</f>
        <v> </v>
      </c>
      <c r="N1808" s="135" t="str">
        <f>iferror(mround($O1672*((VLOOKUP($J1808,Sheet1!$D:$N,$G1808+1,FALSE)+0.02)),2.5)," ")</f>
        <v> </v>
      </c>
      <c r="O1808" s="56" t="str">
        <f>iferror(mround(I1808/VLOOKUP(K1808,Sheet1!$D$7:$N$16,G1808+1,FALSE),2.5),"")</f>
        <v/>
      </c>
      <c r="P1808" s="136" t="str">
        <f t="shared" si="67"/>
        <v/>
      </c>
      <c r="R1808" s="11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</row>
    <row r="1809" ht="3.75" hidden="1" customHeight="1">
      <c r="A1809" s="90"/>
      <c r="B1809" s="6"/>
      <c r="C1809" s="90"/>
      <c r="D1809" s="171"/>
      <c r="E1809" s="773"/>
      <c r="F1809" s="173"/>
      <c r="G1809" s="173"/>
      <c r="H1809" s="173"/>
      <c r="I1809" s="173"/>
      <c r="J1809" s="174"/>
      <c r="K1809" s="143"/>
      <c r="L1809" s="144"/>
      <c r="M1809" s="145"/>
      <c r="N1809" s="145"/>
      <c r="O1809" s="122"/>
      <c r="P1809" s="146" t="str">
        <f t="shared" si="67"/>
        <v/>
      </c>
      <c r="R1809" s="11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</row>
    <row r="1810" ht="15.75" hidden="1" customHeight="1">
      <c r="A1810" s="90"/>
      <c r="B1810" s="6"/>
      <c r="C1810" s="90"/>
      <c r="D1810" s="709"/>
      <c r="E1810" s="774"/>
      <c r="F1810" s="711"/>
      <c r="G1810" s="195"/>
      <c r="H1810" s="179"/>
      <c r="I1810" s="776"/>
      <c r="J1810" s="713"/>
      <c r="K1810" s="183"/>
      <c r="L1810" s="134" t="str">
        <f>I1674</f>
        <v/>
      </c>
      <c r="M1810" s="135" t="str">
        <f>iferror(mround($O1674*((VLOOKUP($J1810,Sheet1!$D:$N,$G1810+1,FALSE)-0.03)),2.5)," ")</f>
        <v> </v>
      </c>
      <c r="N1810" s="135" t="str">
        <f>iferror(mround($O1674*((VLOOKUP($J1810,Sheet1!$D:$N,$G1810+1,FALSE)+0.02)),2.5)," ")</f>
        <v> </v>
      </c>
      <c r="O1810" s="56" t="str">
        <f>iferror(mround(I1810/VLOOKUP(K1810,Sheet1!$D$7:$N$16,G1810+1,FALSE),2.5),"")</f>
        <v/>
      </c>
      <c r="P1810" s="136" t="str">
        <f t="shared" si="67"/>
        <v/>
      </c>
      <c r="R1810" s="11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</row>
    <row r="1811" ht="3.75" hidden="1" customHeight="1">
      <c r="A1811" s="90"/>
      <c r="B1811" s="6"/>
      <c r="C1811" s="90"/>
      <c r="D1811" s="138"/>
      <c r="E1811" s="184"/>
      <c r="F1811" s="102"/>
      <c r="G1811" s="102"/>
      <c r="H1811" s="102"/>
      <c r="I1811" s="102"/>
      <c r="J1811" s="156"/>
      <c r="K1811" s="143"/>
      <c r="L1811" s="144"/>
      <c r="M1811" s="145"/>
      <c r="N1811" s="145"/>
      <c r="O1811" s="122"/>
      <c r="P1811" s="146" t="str">
        <f t="shared" si="67"/>
        <v/>
      </c>
      <c r="R1811" s="11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</row>
    <row r="1812" ht="15.75" hidden="1" customHeight="1">
      <c r="A1812" s="90"/>
      <c r="B1812" s="6"/>
      <c r="C1812" s="90"/>
      <c r="D1812" s="185"/>
      <c r="E1812" s="186"/>
      <c r="F1812" s="187"/>
      <c r="G1812" s="188"/>
      <c r="H1812" s="129"/>
      <c r="I1812" s="164"/>
      <c r="J1812" s="189"/>
      <c r="K1812" s="183"/>
      <c r="L1812" s="134" t="str">
        <f>I1676</f>
        <v/>
      </c>
      <c r="M1812" s="135" t="str">
        <f>iferror(mround($O1676*((VLOOKUP($J1812,Sheet1!$D:$N,$G1812+1,FALSE)-0.03)),2.5)," ")</f>
        <v> </v>
      </c>
      <c r="N1812" s="135" t="str">
        <f>iferror(mround($O1676*((VLOOKUP($J1812,Sheet1!$D:$N,$G1812+1,FALSE)+0.02)),2.5)," ")</f>
        <v> </v>
      </c>
      <c r="O1812" s="56" t="str">
        <f>iferror(mround(I1812/VLOOKUP(K1812,Sheet1!$D$7:$N$16,G1812+1,FALSE),2.5),"")</f>
        <v/>
      </c>
      <c r="P1812" s="136" t="str">
        <f t="shared" si="67"/>
        <v/>
      </c>
      <c r="R1812" s="11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</row>
    <row r="1813" ht="3.75" hidden="1" customHeight="1">
      <c r="A1813" s="191"/>
      <c r="B1813" s="6"/>
      <c r="C1813" s="192"/>
      <c r="D1813" s="138"/>
      <c r="E1813" s="193"/>
      <c r="F1813" s="194"/>
      <c r="G1813" s="155"/>
      <c r="H1813" s="102"/>
      <c r="I1813" s="102"/>
      <c r="J1813" s="156"/>
      <c r="K1813" s="143"/>
      <c r="L1813" s="144"/>
      <c r="M1813" s="145"/>
      <c r="N1813" s="145"/>
      <c r="O1813" s="122"/>
      <c r="P1813" s="146" t="str">
        <f t="shared" si="67"/>
        <v/>
      </c>
      <c r="R1813" s="157"/>
      <c r="S1813" s="5"/>
      <c r="T1813" s="5"/>
      <c r="U1813" s="158"/>
      <c r="V1813" s="158"/>
      <c r="W1813" s="158"/>
      <c r="X1813" s="158"/>
      <c r="Y1813" s="158"/>
      <c r="Z1813" s="158"/>
      <c r="AA1813" s="158"/>
      <c r="AB1813" s="158"/>
      <c r="AC1813" s="158"/>
      <c r="AD1813" s="158"/>
      <c r="AE1813" s="158"/>
      <c r="AF1813" s="158"/>
    </row>
    <row r="1814" ht="15.75" hidden="1" customHeight="1">
      <c r="A1814" s="90"/>
      <c r="B1814" s="6"/>
      <c r="C1814" s="90"/>
      <c r="D1814" s="185"/>
      <c r="E1814" s="186"/>
      <c r="F1814" s="187"/>
      <c r="G1814" s="195"/>
      <c r="H1814" s="129"/>
      <c r="I1814" s="164"/>
      <c r="J1814" s="189"/>
      <c r="K1814" s="183"/>
      <c r="L1814" s="134" t="str">
        <f>I1678</f>
        <v/>
      </c>
      <c r="M1814" s="135" t="str">
        <f>iferror(mround($O1678*((VLOOKUP($J1814,Sheet1!$D:$N,$G1814+1,FALSE)-0.03)),2.5)," ")</f>
        <v> </v>
      </c>
      <c r="N1814" s="135" t="str">
        <f>iferror(mround($O1678*((VLOOKUP($J1814,Sheet1!$D:$N,$G1814+1,FALSE)+0.02)),2.5)," ")</f>
        <v> </v>
      </c>
      <c r="O1814" s="56" t="str">
        <f>iferror(mround(I1814/VLOOKUP(K1814,Sheet1!$D$7:$N$16,G1814+1,FALSE),2.5),"")</f>
        <v/>
      </c>
      <c r="P1814" s="136" t="str">
        <f t="shared" si="67"/>
        <v/>
      </c>
      <c r="R1814" s="11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</row>
    <row r="1815" ht="3.75" hidden="1" customHeight="1">
      <c r="A1815" s="90"/>
      <c r="B1815" s="6"/>
      <c r="C1815" s="90"/>
      <c r="D1815" s="196"/>
      <c r="E1815" s="184"/>
      <c r="F1815" s="102"/>
      <c r="G1815" s="102"/>
      <c r="H1815" s="102"/>
      <c r="I1815" s="102"/>
      <c r="J1815" s="156"/>
      <c r="K1815" s="143"/>
      <c r="L1815" s="144"/>
      <c r="M1815" s="145"/>
      <c r="N1815" s="145"/>
      <c r="O1815" s="122"/>
      <c r="P1815" s="146" t="str">
        <f t="shared" si="67"/>
        <v/>
      </c>
      <c r="R1815" s="11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</row>
    <row r="1816" ht="15.75" hidden="1" customHeight="1">
      <c r="A1816" s="90"/>
      <c r="B1816" s="6"/>
      <c r="C1816" s="90"/>
      <c r="D1816" s="197"/>
      <c r="E1816" s="198"/>
      <c r="F1816" s="199"/>
      <c r="G1816" s="195"/>
      <c r="H1816" s="129"/>
      <c r="I1816" s="164"/>
      <c r="J1816" s="189"/>
      <c r="K1816" s="183"/>
      <c r="L1816" s="134" t="str">
        <f>I1680</f>
        <v/>
      </c>
      <c r="M1816" s="135" t="str">
        <f>iferror(mround($O1680*((VLOOKUP($J1816,Sheet1!$D:$N,$G1816+1,FALSE)-0.03)),2.5)," ")</f>
        <v> </v>
      </c>
      <c r="N1816" s="135" t="str">
        <f>iferror(mround($O1680*((VLOOKUP($J1816,Sheet1!$D:$N,$G1816+1,FALSE)+0.02)),2.5)," ")</f>
        <v> </v>
      </c>
      <c r="O1816" s="56" t="str">
        <f>iferror(mround(I1816/VLOOKUP(K1816,Sheet1!$D$7:$N$16,G1816+1,FALSE),2.5),"")</f>
        <v/>
      </c>
      <c r="P1816" s="136" t="str">
        <f t="shared" si="67"/>
        <v/>
      </c>
      <c r="R1816" s="11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</row>
    <row r="1817" ht="3.75" customHeight="1">
      <c r="A1817" s="90"/>
      <c r="B1817" s="6"/>
      <c r="C1817" s="90"/>
      <c r="D1817" s="90"/>
      <c r="E1817" s="156"/>
      <c r="F1817" s="102"/>
      <c r="G1817" s="102"/>
      <c r="H1817" s="102"/>
      <c r="I1817" s="102"/>
      <c r="J1817" s="156"/>
      <c r="K1817" s="720"/>
      <c r="L1817" s="144"/>
      <c r="M1817" s="47"/>
      <c r="N1817" s="47"/>
      <c r="O1817" s="122"/>
      <c r="P1817" s="146" t="str">
        <f t="shared" si="67"/>
        <v/>
      </c>
      <c r="R1817" s="11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</row>
    <row r="1818" ht="30.0" customHeight="1">
      <c r="A1818" s="90"/>
      <c r="B1818" s="6"/>
      <c r="C1818" s="90"/>
      <c r="D1818" s="202" t="s">
        <v>246</v>
      </c>
      <c r="E1818" s="255" t="s">
        <v>15</v>
      </c>
      <c r="F1818" s="106" t="s">
        <v>16</v>
      </c>
      <c r="G1818" s="106" t="s">
        <v>17</v>
      </c>
      <c r="H1818" s="107"/>
      <c r="I1818" s="106" t="s">
        <v>18</v>
      </c>
      <c r="J1818" s="766" t="s">
        <v>241</v>
      </c>
      <c r="K1818" s="767" t="s">
        <v>20</v>
      </c>
      <c r="L1818" s="110" t="s">
        <v>21</v>
      </c>
      <c r="M1818" s="111" t="s">
        <v>22</v>
      </c>
      <c r="O1818" s="112"/>
      <c r="P1818" s="113" t="s">
        <v>23</v>
      </c>
      <c r="Q1818" s="768"/>
      <c r="R1818" s="11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</row>
    <row r="1819" ht="14.25" customHeight="1">
      <c r="A1819" s="90"/>
      <c r="B1819" s="6"/>
      <c r="C1819" s="90"/>
      <c r="D1819" s="257" t="s">
        <v>25</v>
      </c>
      <c r="E1819" s="258" t="s">
        <v>26</v>
      </c>
      <c r="H1819" s="107"/>
      <c r="J1819" s="766" t="s">
        <v>244</v>
      </c>
      <c r="M1819" s="111" t="s">
        <v>27</v>
      </c>
      <c r="N1819" s="111" t="s">
        <v>28</v>
      </c>
      <c r="O1819" s="112" t="s">
        <v>29</v>
      </c>
      <c r="Q1819" s="118" t="s">
        <v>30</v>
      </c>
      <c r="R1819" s="11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</row>
    <row r="1820" ht="3.75" customHeight="1">
      <c r="A1820" s="191"/>
      <c r="B1820" s="6"/>
      <c r="C1820" s="192"/>
      <c r="D1820" s="203"/>
      <c r="E1820" s="204"/>
      <c r="F1820" s="205"/>
      <c r="G1820" s="205"/>
      <c r="H1820" s="206"/>
      <c r="I1820" s="207"/>
      <c r="J1820" s="208"/>
      <c r="K1820" s="191"/>
      <c r="L1820" s="211"/>
      <c r="M1820" s="47"/>
      <c r="N1820" s="47"/>
      <c r="O1820" s="122"/>
      <c r="P1820" s="146" t="str">
        <f t="shared" ref="P1820:P1842" si="68">IF(I1820 - I1684 = 0, "", I1820 - I1684)</f>
        <v/>
      </c>
      <c r="Q1820" s="196"/>
      <c r="R1820" s="157"/>
      <c r="S1820" s="5"/>
      <c r="T1820" s="5"/>
      <c r="U1820" s="158"/>
      <c r="V1820" s="158"/>
      <c r="W1820" s="158"/>
      <c r="X1820" s="158"/>
      <c r="Y1820" s="158"/>
      <c r="Z1820" s="158"/>
      <c r="AA1820" s="158"/>
      <c r="AB1820" s="158"/>
      <c r="AC1820" s="158"/>
      <c r="AD1820" s="158"/>
      <c r="AE1820" s="158"/>
      <c r="AF1820" s="158"/>
    </row>
    <row r="1821" ht="15.75" customHeight="1">
      <c r="A1821" s="124"/>
      <c r="B1821" s="6" t="s">
        <v>236</v>
      </c>
      <c r="C1821" s="124"/>
      <c r="D1821" s="185" t="s">
        <v>248</v>
      </c>
      <c r="E1821" s="327"/>
      <c r="F1821" s="187">
        <v>1.0</v>
      </c>
      <c r="G1821" s="187">
        <v>6.0</v>
      </c>
      <c r="H1821" s="195"/>
      <c r="I1821" s="164"/>
      <c r="J1821" s="189">
        <v>7.0</v>
      </c>
      <c r="K1821" s="183"/>
      <c r="L1821" s="134" t="str">
        <f>I1685</f>
        <v/>
      </c>
      <c r="M1821" s="135">
        <f>iferror(mround($O1685*((VLOOKUP($J1821,Sheet1!$D:$N,$G1821+1,FALSE)-0.03)),2.5)," ")</f>
        <v>0</v>
      </c>
      <c r="N1821" s="135">
        <f>iferror(mround($O1685*((VLOOKUP($J1821,Sheet1!$D:$N,$G1821+1,FALSE)+0.02)),2.5)," ")</f>
        <v>0</v>
      </c>
      <c r="O1821" s="112" t="str">
        <f>iferror(mround(I1821/VLOOKUP(K1821,Sheet1!$D$7:$N$16,G1821+1,FALSE),2.5),"")</f>
        <v/>
      </c>
      <c r="P1821" s="136" t="str">
        <f t="shared" si="68"/>
        <v/>
      </c>
      <c r="Q1821" s="214"/>
      <c r="R1821" s="11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</row>
    <row r="1822" ht="3.75" customHeight="1">
      <c r="A1822" s="124"/>
      <c r="B1822" s="6"/>
      <c r="C1822" s="124"/>
      <c r="D1822" s="138"/>
      <c r="E1822" s="326"/>
      <c r="F1822" s="102"/>
      <c r="G1822" s="102"/>
      <c r="H1822" s="102"/>
      <c r="I1822" s="102"/>
      <c r="J1822" s="216"/>
      <c r="K1822" s="218"/>
      <c r="L1822" s="144"/>
      <c r="M1822" s="145"/>
      <c r="N1822" s="145"/>
      <c r="O1822" s="122"/>
      <c r="P1822" s="146" t="str">
        <f t="shared" si="68"/>
        <v/>
      </c>
      <c r="Q1822" s="214"/>
      <c r="R1822" s="11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</row>
    <row r="1823" ht="15.75" customHeight="1">
      <c r="A1823" s="90"/>
      <c r="B1823" s="6"/>
      <c r="C1823" s="90"/>
      <c r="D1823" s="185" t="s">
        <v>291</v>
      </c>
      <c r="E1823" s="327"/>
      <c r="F1823" s="187">
        <v>1.0</v>
      </c>
      <c r="G1823" s="187">
        <v>1.0</v>
      </c>
      <c r="H1823" s="195"/>
      <c r="I1823" s="164"/>
      <c r="J1823" s="189">
        <v>7.0</v>
      </c>
      <c r="K1823" s="183"/>
      <c r="L1823" s="134" t="str">
        <f>I1687</f>
        <v/>
      </c>
      <c r="M1823" s="135">
        <f>iferror(mround($O1687*((VLOOKUP($J1823,Sheet1!$D:$N,$G1823+1,FALSE)-0.03)),2.5)," ")</f>
        <v>0</v>
      </c>
      <c r="N1823" s="135">
        <f>iferror(mround($O1687*((VLOOKUP($J1823,Sheet1!$D:$N,$G1823+1,FALSE)+0.02)),2.5)," ")</f>
        <v>0</v>
      </c>
      <c r="O1823" s="112" t="str">
        <f>iferror(mround(I1823/VLOOKUP(K1823,Sheet1!$D$7:$N$16,G1823+1,FALSE),2.5),"")</f>
        <v/>
      </c>
      <c r="P1823" s="136" t="str">
        <f t="shared" si="68"/>
        <v/>
      </c>
      <c r="Q1823" s="214"/>
      <c r="R1823" s="11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</row>
    <row r="1824" ht="3.75" customHeight="1">
      <c r="A1824" s="90"/>
      <c r="B1824" s="6"/>
      <c r="C1824" s="90"/>
      <c r="D1824" s="138"/>
      <c r="E1824" s="326"/>
      <c r="F1824" s="102"/>
      <c r="G1824" s="102"/>
      <c r="H1824" s="102"/>
      <c r="I1824" s="102"/>
      <c r="J1824" s="216"/>
      <c r="K1824" s="218"/>
      <c r="L1824" s="144"/>
      <c r="M1824" s="145"/>
      <c r="N1824" s="145"/>
      <c r="O1824" s="122"/>
      <c r="P1824" s="146" t="str">
        <f t="shared" si="68"/>
        <v/>
      </c>
      <c r="Q1824" s="214"/>
      <c r="R1824" s="11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</row>
    <row r="1825" ht="15.75" customHeight="1">
      <c r="A1825" s="90"/>
      <c r="B1825" s="6"/>
      <c r="C1825" s="90"/>
      <c r="D1825" s="185" t="s">
        <v>248</v>
      </c>
      <c r="E1825" s="327"/>
      <c r="F1825" s="187">
        <v>2.0</v>
      </c>
      <c r="G1825" s="187">
        <v>6.0</v>
      </c>
      <c r="H1825" s="195"/>
      <c r="I1825" s="164">
        <f>MROUND(I1823*(1+J1825),2.5)</f>
        <v>0</v>
      </c>
      <c r="J1825" s="230">
        <v>-0.12</v>
      </c>
      <c r="K1825" s="183"/>
      <c r="L1825" s="134">
        <f>I1689</f>
        <v>0</v>
      </c>
      <c r="M1825" s="135" t="str">
        <f>iferror(mround($O1689*((VLOOKUP($J1825,Sheet1!$D:$N,$G1825+1,FALSE)-0.03)),2.5)," ")</f>
        <v> </v>
      </c>
      <c r="N1825" s="135" t="str">
        <f>iferror(mround($O1689*((VLOOKUP($J1825,Sheet1!$D:$N,$G1825+1,FALSE)+0.02)),2.5)," ")</f>
        <v> </v>
      </c>
      <c r="O1825" s="112" t="str">
        <f>iferror(mround(I1825/VLOOKUP(K1825,Sheet1!$D$7:$N$16,G1825+1,FALSE),2.5),"")</f>
        <v/>
      </c>
      <c r="P1825" s="136" t="str">
        <f t="shared" si="68"/>
        <v/>
      </c>
      <c r="Q1825" s="214"/>
      <c r="R1825" s="11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</row>
    <row r="1826" ht="3.75" customHeight="1">
      <c r="A1826" s="90"/>
      <c r="B1826" s="6"/>
      <c r="C1826" s="90"/>
      <c r="D1826" s="138"/>
      <c r="E1826" s="326"/>
      <c r="F1826" s="102"/>
      <c r="G1826" s="102"/>
      <c r="H1826" s="102"/>
      <c r="I1826" s="102"/>
      <c r="J1826" s="156"/>
      <c r="K1826" s="143"/>
      <c r="L1826" s="144"/>
      <c r="M1826" s="145"/>
      <c r="N1826" s="145"/>
      <c r="O1826" s="122"/>
      <c r="P1826" s="146" t="str">
        <f t="shared" si="68"/>
        <v/>
      </c>
      <c r="Q1826" s="214"/>
      <c r="R1826" s="11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</row>
    <row r="1827" ht="15.75" hidden="1" customHeight="1">
      <c r="A1827" s="90"/>
      <c r="B1827" s="6"/>
      <c r="C1827" s="90"/>
      <c r="D1827" s="185"/>
      <c r="E1827" s="224"/>
      <c r="F1827" s="187"/>
      <c r="G1827" s="187"/>
      <c r="H1827" s="195"/>
      <c r="I1827" s="164"/>
      <c r="J1827" s="189"/>
      <c r="K1827" s="183"/>
      <c r="L1827" s="134" t="str">
        <f>I1691</f>
        <v/>
      </c>
      <c r="M1827" s="135" t="str">
        <f>iferror(mround($O1691*((VLOOKUP($J1827,Sheet1!$D:$N,$G1827+1,FALSE)-0.03)),2.5)," ")</f>
        <v> </v>
      </c>
      <c r="N1827" s="135" t="str">
        <f>iferror(mround($O1691*((VLOOKUP($J1827,Sheet1!$D:$N,$G1827+1,FALSE)+0.02)),2.5)," ")</f>
        <v> </v>
      </c>
      <c r="O1827" s="112" t="str">
        <f>iferror(mround(I1827/VLOOKUP(K1827,Sheet1!$D$7:$N$16,G1827+1,FALSE),2.5),"")</f>
        <v/>
      </c>
      <c r="P1827" s="136" t="str">
        <f t="shared" si="68"/>
        <v/>
      </c>
      <c r="Q1827" s="214"/>
      <c r="R1827" s="11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</row>
    <row r="1828" ht="3.75" hidden="1" customHeight="1">
      <c r="A1828" s="90"/>
      <c r="B1828" s="6"/>
      <c r="C1828" s="90"/>
      <c r="D1828" s="138"/>
      <c r="E1828" s="326"/>
      <c r="F1828" s="102"/>
      <c r="G1828" s="102"/>
      <c r="H1828" s="102"/>
      <c r="I1828" s="102"/>
      <c r="J1828" s="216"/>
      <c r="K1828" s="143"/>
      <c r="L1828" s="144"/>
      <c r="M1828" s="145"/>
      <c r="N1828" s="145"/>
      <c r="O1828" s="122"/>
      <c r="P1828" s="146" t="str">
        <f t="shared" si="68"/>
        <v/>
      </c>
      <c r="Q1828" s="214"/>
      <c r="R1828" s="11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</row>
    <row r="1829" ht="15.75" hidden="1" customHeight="1">
      <c r="A1829" s="90"/>
      <c r="B1829" s="6"/>
      <c r="C1829" s="90"/>
      <c r="D1829" s="185"/>
      <c r="E1829" s="224"/>
      <c r="F1829" s="187"/>
      <c r="G1829" s="187"/>
      <c r="H1829" s="195"/>
      <c r="I1829" s="164"/>
      <c r="J1829" s="189"/>
      <c r="K1829" s="183"/>
      <c r="L1829" s="134" t="str">
        <f>I1693</f>
        <v/>
      </c>
      <c r="M1829" s="135" t="str">
        <f>iferror(mround($O1693*((VLOOKUP($J1829,Sheet1!$D:$N,$G1829+1,FALSE)-0.03)),2.5)," ")</f>
        <v> </v>
      </c>
      <c r="N1829" s="135" t="str">
        <f>iferror(mround($O1693*((VLOOKUP($J1829,Sheet1!$D:$N,$G1829+1,FALSE)+0.02)),2.5)," ")</f>
        <v> </v>
      </c>
      <c r="O1829" s="112" t="str">
        <f>iferror(mround(I1829/VLOOKUP(K1829,Sheet1!$D$7:$N$16,G1829+1,FALSE),2.5),"")</f>
        <v/>
      </c>
      <c r="P1829" s="136" t="str">
        <f t="shared" si="68"/>
        <v/>
      </c>
      <c r="Q1829" s="214"/>
      <c r="R1829" s="11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</row>
    <row r="1830" ht="3.75" hidden="1" customHeight="1">
      <c r="A1830" s="90"/>
      <c r="B1830" s="6"/>
      <c r="C1830" s="90"/>
      <c r="D1830" s="138"/>
      <c r="E1830" s="326"/>
      <c r="F1830" s="102"/>
      <c r="G1830" s="102"/>
      <c r="H1830" s="102"/>
      <c r="I1830" s="102"/>
      <c r="J1830" s="216"/>
      <c r="K1830" s="143"/>
      <c r="L1830" s="144"/>
      <c r="M1830" s="145"/>
      <c r="N1830" s="145"/>
      <c r="O1830" s="122"/>
      <c r="P1830" s="146" t="str">
        <f t="shared" si="68"/>
        <v/>
      </c>
      <c r="Q1830" s="214"/>
      <c r="R1830" s="11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</row>
    <row r="1831" ht="15.75" hidden="1" customHeight="1">
      <c r="A1831" s="90"/>
      <c r="B1831" s="6"/>
      <c r="C1831" s="90"/>
      <c r="D1831" s="185"/>
      <c r="E1831" s="224"/>
      <c r="F1831" s="187"/>
      <c r="G1831" s="187"/>
      <c r="H1831" s="195"/>
      <c r="I1831" s="164"/>
      <c r="J1831" s="189"/>
      <c r="K1831" s="183"/>
      <c r="L1831" s="134" t="str">
        <f>I1695</f>
        <v/>
      </c>
      <c r="M1831" s="135" t="str">
        <f>iferror(mround($O1695*((VLOOKUP($J1831,Sheet1!$D:$N,$G1831+1,FALSE)-0.03)),2.5)," ")</f>
        <v> </v>
      </c>
      <c r="N1831" s="135" t="str">
        <f>iferror(mround($O1695*((VLOOKUP($J1831,Sheet1!$D:$N,$G1831+1,FALSE)+0.02)),2.5)," ")</f>
        <v> </v>
      </c>
      <c r="O1831" s="112" t="str">
        <f>iferror(mround(I1831/VLOOKUP(K1831,Sheet1!$D$7:$N$16,G1831+1,FALSE),2.5),"")</f>
        <v/>
      </c>
      <c r="P1831" s="136" t="str">
        <f t="shared" si="68"/>
        <v/>
      </c>
      <c r="Q1831" s="214"/>
      <c r="R1831" s="11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</row>
    <row r="1832" ht="3.75" hidden="1" customHeight="1">
      <c r="A1832" s="90"/>
      <c r="B1832" s="6"/>
      <c r="C1832" s="90"/>
      <c r="D1832" s="138"/>
      <c r="E1832" s="326"/>
      <c r="F1832" s="102"/>
      <c r="G1832" s="102"/>
      <c r="H1832" s="102"/>
      <c r="I1832" s="102"/>
      <c r="J1832" s="216"/>
      <c r="K1832" s="143"/>
      <c r="L1832" s="144"/>
      <c r="M1832" s="145"/>
      <c r="N1832" s="145"/>
      <c r="O1832" s="122"/>
      <c r="P1832" s="146" t="str">
        <f t="shared" si="68"/>
        <v/>
      </c>
      <c r="Q1832" s="214"/>
      <c r="R1832" s="11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</row>
    <row r="1833" ht="18.0" customHeight="1">
      <c r="A1833" s="90"/>
      <c r="B1833" s="6"/>
      <c r="C1833" s="90"/>
      <c r="D1833" s="185" t="s">
        <v>277</v>
      </c>
      <c r="E1833" s="327"/>
      <c r="F1833" s="187">
        <v>3.0</v>
      </c>
      <c r="G1833" s="731" t="s">
        <v>251</v>
      </c>
      <c r="H1833" s="195"/>
      <c r="I1833" s="164"/>
      <c r="J1833" s="189">
        <v>9.0</v>
      </c>
      <c r="K1833" s="183"/>
      <c r="L1833" s="134" t="str">
        <f>I1697</f>
        <v/>
      </c>
      <c r="M1833" s="135" t="str">
        <f>iferror(mround($O1697*((VLOOKUP($J1833,Sheet1!$D:$N,$G1833+1,FALSE)-0.03)),2.5)," ")</f>
        <v> </v>
      </c>
      <c r="N1833" s="135" t="str">
        <f>iferror(mround($O1697*((VLOOKUP($J1833,Sheet1!$D:$N,$G1833+1,FALSE)+0.02)),2.5)," ")</f>
        <v> </v>
      </c>
      <c r="O1833" s="112" t="str">
        <f>iferror(mround(I1833/VLOOKUP(K1833,Sheet1!$D$7:$N$16,G1833+1,FALSE),2.5),"")</f>
        <v/>
      </c>
      <c r="P1833" s="136" t="str">
        <f t="shared" si="68"/>
        <v/>
      </c>
      <c r="Q1833" s="214"/>
      <c r="R1833" s="11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</row>
    <row r="1834" ht="3.75" customHeight="1">
      <c r="A1834" s="191"/>
      <c r="B1834" s="6"/>
      <c r="C1834" s="192"/>
      <c r="D1834" s="138"/>
      <c r="E1834" s="223"/>
      <c r="F1834" s="194"/>
      <c r="G1834" s="194"/>
      <c r="H1834" s="155"/>
      <c r="I1834" s="210"/>
      <c r="J1834" s="216"/>
      <c r="K1834" s="143"/>
      <c r="L1834" s="144"/>
      <c r="M1834" s="145"/>
      <c r="N1834" s="145"/>
      <c r="O1834" s="122"/>
      <c r="P1834" s="146" t="str">
        <f t="shared" si="68"/>
        <v/>
      </c>
      <c r="Q1834" s="214"/>
      <c r="R1834" s="157"/>
      <c r="S1834" s="5"/>
      <c r="T1834" s="5"/>
      <c r="U1834" s="158"/>
      <c r="V1834" s="158"/>
      <c r="W1834" s="158"/>
      <c r="X1834" s="158"/>
      <c r="Y1834" s="158"/>
      <c r="Z1834" s="158"/>
      <c r="AA1834" s="158"/>
      <c r="AB1834" s="158"/>
      <c r="AC1834" s="158"/>
      <c r="AD1834" s="158"/>
      <c r="AE1834" s="158"/>
      <c r="AF1834" s="158"/>
    </row>
    <row r="1835" ht="15.75" customHeight="1">
      <c r="A1835" s="90"/>
      <c r="B1835" s="6"/>
      <c r="C1835" s="90"/>
      <c r="D1835" s="185" t="s">
        <v>293</v>
      </c>
      <c r="E1835" s="186"/>
      <c r="F1835" s="187">
        <v>3.0</v>
      </c>
      <c r="G1835" s="731" t="s">
        <v>251</v>
      </c>
      <c r="H1835" s="195"/>
      <c r="I1835" s="164"/>
      <c r="J1835" s="189">
        <v>9.0</v>
      </c>
      <c r="K1835" s="183"/>
      <c r="L1835" s="134" t="str">
        <f>I1699</f>
        <v/>
      </c>
      <c r="M1835" s="135" t="str">
        <f>iferror(mround($O1699*((VLOOKUP($J1835,Sheet1!$D:$N,$G1835+1,FALSE)-0.03)),2.5)," ")</f>
        <v> </v>
      </c>
      <c r="N1835" s="135" t="str">
        <f>iferror(mround($O1699*((VLOOKUP($J1835,Sheet1!$D:$N,$G1835+1,FALSE)+0.02)),2.5)," ")</f>
        <v> </v>
      </c>
      <c r="O1835" s="112" t="str">
        <f>iferror(mround(I1835/VLOOKUP(K1835,Sheet1!$D$7:$N$16,G1835+1,FALSE),2.5),"")</f>
        <v/>
      </c>
      <c r="P1835" s="136" t="str">
        <f t="shared" si="68"/>
        <v/>
      </c>
      <c r="Q1835" s="214"/>
      <c r="R1835" s="11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</row>
    <row r="1836" ht="3.75" customHeight="1">
      <c r="A1836" s="90"/>
      <c r="B1836" s="6"/>
      <c r="C1836" s="90"/>
      <c r="D1836" s="138"/>
      <c r="E1836" s="184"/>
      <c r="F1836" s="102"/>
      <c r="G1836" s="102"/>
      <c r="H1836" s="102"/>
      <c r="I1836" s="102"/>
      <c r="J1836" s="156"/>
      <c r="K1836" s="143"/>
      <c r="L1836" s="144"/>
      <c r="M1836" s="145"/>
      <c r="N1836" s="145"/>
      <c r="O1836" s="122"/>
      <c r="P1836" s="146" t="str">
        <f t="shared" si="68"/>
        <v/>
      </c>
      <c r="Q1836" s="214"/>
      <c r="R1836" s="11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</row>
    <row r="1837" ht="15.75" customHeight="1">
      <c r="A1837" s="90"/>
      <c r="B1837" s="6"/>
      <c r="C1837" s="90"/>
      <c r="D1837" s="185" t="s">
        <v>255</v>
      </c>
      <c r="E1837" s="224"/>
      <c r="F1837" s="187">
        <v>3.0</v>
      </c>
      <c r="G1837" s="731" t="s">
        <v>251</v>
      </c>
      <c r="H1837" s="195"/>
      <c r="I1837" s="164"/>
      <c r="J1837" s="189">
        <v>9.0</v>
      </c>
      <c r="K1837" s="183"/>
      <c r="L1837" s="134" t="str">
        <f>I1701</f>
        <v/>
      </c>
      <c r="M1837" s="135" t="str">
        <f>iferror(mround($O1701*((VLOOKUP($J1837,Sheet1!$D:$N,$G1837+1,FALSE)-0.03)),2.5)," ")</f>
        <v> </v>
      </c>
      <c r="N1837" s="135" t="str">
        <f>iferror(mround($O1701*((VLOOKUP($J1837,Sheet1!$D:$N,$G1837+1,FALSE)+0.02)),2.5)," ")</f>
        <v> </v>
      </c>
      <c r="O1837" s="112" t="str">
        <f>iferror(mround(I1837/VLOOKUP(K1837,Sheet1!$D$7:$N$16,G1837+1,FALSE),2.5),"")</f>
        <v/>
      </c>
      <c r="P1837" s="136" t="str">
        <f t="shared" si="68"/>
        <v/>
      </c>
      <c r="Q1837" s="214"/>
      <c r="R1837" s="11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</row>
    <row r="1838" ht="3.75" customHeight="1">
      <c r="A1838" s="191"/>
      <c r="B1838" s="6"/>
      <c r="C1838" s="192"/>
      <c r="D1838" s="138"/>
      <c r="E1838" s="193"/>
      <c r="F1838" s="194"/>
      <c r="G1838" s="194"/>
      <c r="H1838" s="155"/>
      <c r="I1838" s="210"/>
      <c r="J1838" s="216"/>
      <c r="K1838" s="143"/>
      <c r="L1838" s="144"/>
      <c r="M1838" s="145"/>
      <c r="N1838" s="145"/>
      <c r="O1838" s="122"/>
      <c r="P1838" s="146" t="str">
        <f t="shared" si="68"/>
        <v/>
      </c>
      <c r="Q1838" s="214"/>
      <c r="R1838" s="157"/>
      <c r="S1838" s="5"/>
      <c r="T1838" s="5"/>
      <c r="U1838" s="158"/>
      <c r="V1838" s="158"/>
      <c r="W1838" s="158"/>
      <c r="X1838" s="158"/>
      <c r="Y1838" s="158"/>
      <c r="Z1838" s="158"/>
      <c r="AA1838" s="158"/>
      <c r="AB1838" s="158"/>
      <c r="AC1838" s="158"/>
      <c r="AD1838" s="158"/>
      <c r="AE1838" s="158"/>
      <c r="AF1838" s="158"/>
    </row>
    <row r="1839" ht="15.75" customHeight="1">
      <c r="A1839" s="90"/>
      <c r="B1839" s="6"/>
      <c r="C1839" s="90"/>
      <c r="D1839" s="185" t="s">
        <v>256</v>
      </c>
      <c r="E1839" s="186"/>
      <c r="F1839" s="187">
        <v>3.0</v>
      </c>
      <c r="G1839" s="187" t="s">
        <v>16</v>
      </c>
      <c r="H1839" s="195"/>
      <c r="I1839" s="164"/>
      <c r="J1839" s="189">
        <v>9.0</v>
      </c>
      <c r="K1839" s="183"/>
      <c r="L1839" s="134" t="str">
        <f>I1703</f>
        <v/>
      </c>
      <c r="M1839" s="135" t="str">
        <f>iferror(mround($O1703*((VLOOKUP($J1839,Sheet1!$D:$N,$G1839+1,FALSE)-0.03)),2.5)," ")</f>
        <v> </v>
      </c>
      <c r="N1839" s="135" t="str">
        <f>iferror(mround($O1703*((VLOOKUP($J1839,Sheet1!$D:$N,$G1839+1,FALSE)+0.02)),2.5)," ")</f>
        <v> </v>
      </c>
      <c r="O1839" s="112" t="str">
        <f>iferror(mround(I1839/VLOOKUP(K1839,Sheet1!$D$7:$N$16,G1839+1,FALSE),2.5),"")</f>
        <v/>
      </c>
      <c r="P1839" s="136" t="str">
        <f t="shared" si="68"/>
        <v/>
      </c>
      <c r="Q1839" s="214"/>
      <c r="R1839" s="11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</row>
    <row r="1840" ht="3.75" hidden="1" customHeight="1">
      <c r="A1840" s="90"/>
      <c r="B1840" s="6"/>
      <c r="C1840" s="90"/>
      <c r="D1840" s="196"/>
      <c r="E1840" s="184"/>
      <c r="F1840" s="102"/>
      <c r="G1840" s="102"/>
      <c r="H1840" s="102"/>
      <c r="I1840" s="102"/>
      <c r="J1840" s="156"/>
      <c r="K1840" s="143"/>
      <c r="L1840" s="144"/>
      <c r="M1840" s="145"/>
      <c r="N1840" s="145"/>
      <c r="O1840" s="122"/>
      <c r="P1840" s="146" t="str">
        <f t="shared" si="68"/>
        <v/>
      </c>
      <c r="Q1840" s="214"/>
      <c r="R1840" s="11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</row>
    <row r="1841" ht="15.75" hidden="1" customHeight="1">
      <c r="A1841" s="90"/>
      <c r="B1841" s="6"/>
      <c r="C1841" s="90"/>
      <c r="D1841" s="197"/>
      <c r="E1841" s="198"/>
      <c r="F1841" s="199"/>
      <c r="G1841" s="187"/>
      <c r="H1841" s="195"/>
      <c r="I1841" s="164"/>
      <c r="J1841" s="189"/>
      <c r="K1841" s="183"/>
      <c r="L1841" s="134" t="str">
        <f>I1705</f>
        <v/>
      </c>
      <c r="M1841" s="135" t="str">
        <f>iferror(mround($O1705*((VLOOKUP($J1841,Sheet1!$D:$N,$G1841+1,FALSE)-0.03)),2.5)," ")</f>
        <v> </v>
      </c>
      <c r="N1841" s="135" t="str">
        <f>iferror(mround($O1705*((VLOOKUP($J1841,Sheet1!$D:$N,$G1841+1,FALSE)+0.02)),2.5)," ")</f>
        <v> </v>
      </c>
      <c r="O1841" s="112" t="str">
        <f>iferror(mround(I1841/VLOOKUP(K1841,Sheet1!$D$7:$N$16,G1841+1,FALSE),2.5),"")</f>
        <v/>
      </c>
      <c r="P1841" s="136" t="str">
        <f t="shared" si="68"/>
        <v/>
      </c>
      <c r="Q1841" s="214"/>
      <c r="R1841" s="11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</row>
    <row r="1842" ht="3.75" customHeight="1">
      <c r="A1842" s="90"/>
      <c r="B1842" s="6"/>
      <c r="C1842" s="90"/>
      <c r="D1842" s="90"/>
      <c r="E1842" s="156"/>
      <c r="F1842" s="102"/>
      <c r="G1842" s="102"/>
      <c r="H1842" s="102"/>
      <c r="I1842" s="102"/>
      <c r="J1842" s="156"/>
      <c r="K1842" s="720"/>
      <c r="L1842" s="211"/>
      <c r="M1842" s="47"/>
      <c r="N1842" s="47"/>
      <c r="O1842" s="122"/>
      <c r="P1842" s="146" t="str">
        <f t="shared" si="68"/>
        <v/>
      </c>
      <c r="Q1842" s="214"/>
      <c r="R1842" s="11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</row>
    <row r="1843" ht="30.75" customHeight="1">
      <c r="A1843" s="90"/>
      <c r="B1843" s="6"/>
      <c r="C1843" s="90"/>
      <c r="D1843" s="202" t="s">
        <v>257</v>
      </c>
      <c r="E1843" s="255" t="s">
        <v>15</v>
      </c>
      <c r="F1843" s="106" t="s">
        <v>16</v>
      </c>
      <c r="G1843" s="106" t="s">
        <v>17</v>
      </c>
      <c r="H1843" s="107"/>
      <c r="I1843" s="106" t="s">
        <v>18</v>
      </c>
      <c r="J1843" s="766" t="s">
        <v>241</v>
      </c>
      <c r="K1843" s="767" t="s">
        <v>20</v>
      </c>
      <c r="L1843" s="110" t="s">
        <v>21</v>
      </c>
      <c r="M1843" s="111" t="s">
        <v>22</v>
      </c>
      <c r="O1843" s="112"/>
      <c r="P1843" s="113" t="s">
        <v>23</v>
      </c>
      <c r="Q1843" s="768"/>
      <c r="R1843" s="11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</row>
    <row r="1844" ht="14.25" customHeight="1">
      <c r="A1844" s="90"/>
      <c r="B1844" s="6"/>
      <c r="C1844" s="90"/>
      <c r="D1844" s="257" t="s">
        <v>25</v>
      </c>
      <c r="E1844" s="258" t="s">
        <v>26</v>
      </c>
      <c r="H1844" s="107"/>
      <c r="J1844" s="766" t="s">
        <v>244</v>
      </c>
      <c r="M1844" s="111" t="s">
        <v>27</v>
      </c>
      <c r="N1844" s="111" t="s">
        <v>28</v>
      </c>
      <c r="O1844" s="112" t="s">
        <v>29</v>
      </c>
      <c r="Q1844" s="118" t="s">
        <v>30</v>
      </c>
      <c r="R1844" s="11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</row>
    <row r="1845" ht="3.75" customHeight="1">
      <c r="A1845" s="191"/>
      <c r="B1845" s="6"/>
      <c r="C1845" s="192"/>
      <c r="D1845" s="203"/>
      <c r="E1845" s="203"/>
      <c r="F1845" s="205"/>
      <c r="G1845" s="205"/>
      <c r="H1845" s="205"/>
      <c r="I1845" s="225"/>
      <c r="J1845" s="226"/>
      <c r="K1845" s="191"/>
      <c r="L1845" s="211"/>
      <c r="M1845" s="47"/>
      <c r="N1845" s="47"/>
      <c r="O1845" s="122"/>
      <c r="P1845" s="146" t="str">
        <f t="shared" ref="P1845:P1865" si="69">IF(I1845 - I1709 = 0, "", I1845 - I1709)</f>
        <v/>
      </c>
      <c r="Q1845" s="196"/>
      <c r="R1845" s="157"/>
      <c r="S1845" s="5"/>
      <c r="T1845" s="5"/>
      <c r="U1845" s="158"/>
      <c r="V1845" s="158"/>
      <c r="W1845" s="158"/>
      <c r="X1845" s="158"/>
      <c r="Y1845" s="158"/>
      <c r="Z1845" s="158"/>
      <c r="AA1845" s="158"/>
      <c r="AB1845" s="158"/>
      <c r="AC1845" s="158"/>
      <c r="AD1845" s="158"/>
      <c r="AE1845" s="158"/>
      <c r="AF1845" s="158"/>
    </row>
    <row r="1846" ht="15.75" customHeight="1">
      <c r="A1846" s="124"/>
      <c r="B1846" s="6" t="s">
        <v>239</v>
      </c>
      <c r="C1846" s="124"/>
      <c r="D1846" s="185" t="s">
        <v>77</v>
      </c>
      <c r="E1846" s="327"/>
      <c r="F1846" s="187">
        <v>3.0</v>
      </c>
      <c r="G1846" s="187">
        <v>3.0</v>
      </c>
      <c r="H1846" s="195"/>
      <c r="I1846" s="164">
        <v>180.0</v>
      </c>
      <c r="J1846" s="189"/>
      <c r="K1846" s="183"/>
      <c r="L1846" s="134">
        <f>I1710</f>
        <v>175</v>
      </c>
      <c r="M1846" s="135" t="str">
        <f>iferror(mround($O1710*((VLOOKUP($J1846,Sheet1!$D:$N,$G1846+1,FALSE)-0.03)),2.5)," ")</f>
        <v> </v>
      </c>
      <c r="N1846" s="135" t="str">
        <f>iferror(mround($O1710*((VLOOKUP($J1846,Sheet1!$D:$N,$G1846+1,FALSE)+0.02)),2.5)," ")</f>
        <v> </v>
      </c>
      <c r="O1846" s="112" t="str">
        <f>iferror(mround(I1846/VLOOKUP(K1846,Sheet1!$D$7:$N$16,G1846+1,FALSE),2.5),"")</f>
        <v/>
      </c>
      <c r="P1846" s="136">
        <f t="shared" si="69"/>
        <v>5</v>
      </c>
      <c r="Q1846" s="214"/>
      <c r="R1846" s="11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</row>
    <row r="1847" ht="3.75" customHeight="1">
      <c r="A1847" s="124"/>
      <c r="B1847" s="6"/>
      <c r="C1847" s="124"/>
      <c r="D1847" s="138"/>
      <c r="E1847" s="184"/>
      <c r="F1847" s="102"/>
      <c r="G1847" s="102"/>
      <c r="H1847" s="102"/>
      <c r="I1847" s="102"/>
      <c r="J1847" s="156"/>
      <c r="K1847" s="218"/>
      <c r="L1847" s="144"/>
      <c r="M1847" s="145"/>
      <c r="N1847" s="145"/>
      <c r="O1847" s="122"/>
      <c r="P1847" s="146" t="str">
        <f t="shared" si="69"/>
        <v/>
      </c>
      <c r="Q1847" s="214"/>
      <c r="R1847" s="11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</row>
    <row r="1848" ht="15.75" customHeight="1">
      <c r="A1848" s="90"/>
      <c r="B1848" s="6" t="s">
        <v>236</v>
      </c>
      <c r="C1848" s="90"/>
      <c r="D1848" s="185" t="s">
        <v>33</v>
      </c>
      <c r="E1848" s="327"/>
      <c r="F1848" s="187">
        <v>1.0</v>
      </c>
      <c r="G1848" s="187">
        <v>3.0</v>
      </c>
      <c r="H1848" s="195"/>
      <c r="I1848" s="164"/>
      <c r="J1848" s="189">
        <v>8.0</v>
      </c>
      <c r="K1848" s="183"/>
      <c r="L1848" s="134" t="str">
        <f>I1712</f>
        <v/>
      </c>
      <c r="M1848" s="135">
        <f>iferror(mround($O1712*((VLOOKUP($J1848,Sheet1!$D:$N,$G1848+1,FALSE)-0.03)),2.5)," ")</f>
        <v>0</v>
      </c>
      <c r="N1848" s="135">
        <f>iferror(mround($O1712*((VLOOKUP($J1848,Sheet1!$D:$N,$G1848+1,FALSE)+0.02)),2.5)," ")</f>
        <v>0</v>
      </c>
      <c r="O1848" s="112" t="str">
        <f>iferror(mround(I1848/VLOOKUP(K1848,Sheet1!$D$7:$N$16,G1848+1,FALSE),2.5),"")</f>
        <v/>
      </c>
      <c r="P1848" s="136" t="str">
        <f t="shared" si="69"/>
        <v/>
      </c>
      <c r="Q1848" s="214"/>
      <c r="R1848" s="11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</row>
    <row r="1849" ht="3.75" customHeight="1">
      <c r="A1849" s="90"/>
      <c r="B1849" s="6"/>
      <c r="C1849" s="90"/>
      <c r="D1849" s="138"/>
      <c r="E1849" s="326"/>
      <c r="F1849" s="102"/>
      <c r="G1849" s="102"/>
      <c r="H1849" s="102"/>
      <c r="I1849" s="102"/>
      <c r="J1849" s="156"/>
      <c r="K1849" s="218"/>
      <c r="L1849" s="144"/>
      <c r="M1849" s="145"/>
      <c r="N1849" s="145"/>
      <c r="O1849" s="122"/>
      <c r="P1849" s="146" t="str">
        <f t="shared" si="69"/>
        <v/>
      </c>
      <c r="Q1849" s="214"/>
      <c r="R1849" s="11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</row>
    <row r="1850" ht="15.75" customHeight="1">
      <c r="A1850" s="90"/>
      <c r="B1850" s="6"/>
      <c r="C1850" s="90"/>
      <c r="D1850" s="185" t="s">
        <v>33</v>
      </c>
      <c r="E1850" s="327"/>
      <c r="F1850" s="187">
        <v>3.0</v>
      </c>
      <c r="G1850" s="187">
        <v>5.0</v>
      </c>
      <c r="H1850" s="195"/>
      <c r="I1850" s="164">
        <f>MROUND(I1848*(1+J1850),2.5)</f>
        <v>0</v>
      </c>
      <c r="J1850" s="230">
        <v>-0.15</v>
      </c>
      <c r="K1850" s="183"/>
      <c r="L1850" s="134">
        <f>I1714</f>
        <v>0</v>
      </c>
      <c r="M1850" s="135" t="str">
        <f>iferror(mround($O1714*((VLOOKUP($J1850,Sheet1!$D:$N,$G1850+1,FALSE)-0.03)),2.5)," ")</f>
        <v> </v>
      </c>
      <c r="N1850" s="135" t="str">
        <f>iferror(mround($O1714*((VLOOKUP($J1850,Sheet1!$D:$N,$G1850+1,FALSE)+0.02)),2.5)," ")</f>
        <v> </v>
      </c>
      <c r="O1850" s="112" t="str">
        <f>iferror(mround(I1850/VLOOKUP(K1850,Sheet1!$D$7:$N$16,G1850+1,FALSE),2.5),"")</f>
        <v/>
      </c>
      <c r="P1850" s="136" t="str">
        <f t="shared" si="69"/>
        <v/>
      </c>
      <c r="Q1850" s="214"/>
      <c r="R1850" s="11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</row>
    <row r="1851" ht="3.75" customHeight="1">
      <c r="A1851" s="90"/>
      <c r="B1851" s="6"/>
      <c r="C1851" s="90"/>
      <c r="D1851" s="138"/>
      <c r="E1851" s="184"/>
      <c r="F1851" s="102"/>
      <c r="G1851" s="102"/>
      <c r="H1851" s="102"/>
      <c r="I1851" s="102"/>
      <c r="J1851" s="156"/>
      <c r="K1851" s="218"/>
      <c r="L1851" s="144"/>
      <c r="M1851" s="145"/>
      <c r="N1851" s="145"/>
      <c r="O1851" s="122"/>
      <c r="P1851" s="146" t="str">
        <f t="shared" si="69"/>
        <v/>
      </c>
      <c r="Q1851" s="214"/>
      <c r="R1851" s="11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</row>
    <row r="1852" ht="15.75" customHeight="1">
      <c r="A1852" s="90"/>
      <c r="B1852" s="6"/>
      <c r="C1852" s="90"/>
      <c r="D1852" s="185" t="s">
        <v>295</v>
      </c>
      <c r="E1852" s="224" t="s">
        <v>296</v>
      </c>
      <c r="F1852" s="187">
        <v>3.0</v>
      </c>
      <c r="G1852" s="731" t="s">
        <v>251</v>
      </c>
      <c r="H1852" s="195"/>
      <c r="I1852" s="164"/>
      <c r="J1852" s="189">
        <v>8.0</v>
      </c>
      <c r="K1852" s="183"/>
      <c r="L1852" s="134" t="str">
        <f>I1716</f>
        <v/>
      </c>
      <c r="M1852" s="135" t="str">
        <f>iferror(mround($O1716*((VLOOKUP($J1852,Sheet1!$D:$N,$G1852+1,FALSE)-0.03)),2.5)," ")</f>
        <v> </v>
      </c>
      <c r="N1852" s="135" t="str">
        <f>iferror(mround($O1716*((VLOOKUP($J1852,Sheet1!$D:$N,$G1852+1,FALSE)+0.02)),2.5)," ")</f>
        <v> </v>
      </c>
      <c r="O1852" s="112" t="str">
        <f>iferror(mround(I1852/VLOOKUP(K1852,Sheet1!$D$7:$N$16,G1852+1,FALSE),2.5),"")</f>
        <v/>
      </c>
      <c r="P1852" s="136" t="str">
        <f t="shared" si="69"/>
        <v/>
      </c>
      <c r="Q1852" s="214"/>
      <c r="R1852" s="11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</row>
    <row r="1853" ht="3.75" customHeight="1">
      <c r="A1853" s="90"/>
      <c r="B1853" s="6"/>
      <c r="C1853" s="90"/>
      <c r="D1853" s="138"/>
      <c r="E1853" s="184"/>
      <c r="F1853" s="102"/>
      <c r="G1853" s="102"/>
      <c r="H1853" s="102"/>
      <c r="I1853" s="102"/>
      <c r="J1853" s="156"/>
      <c r="K1853" s="218"/>
      <c r="L1853" s="144"/>
      <c r="M1853" s="145"/>
      <c r="N1853" s="145"/>
      <c r="O1853" s="122"/>
      <c r="P1853" s="146" t="str">
        <f t="shared" si="69"/>
        <v/>
      </c>
      <c r="Q1853" s="214"/>
      <c r="R1853" s="11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</row>
    <row r="1854" ht="15.75" customHeight="1">
      <c r="A1854" s="90"/>
      <c r="B1854" s="6"/>
      <c r="C1854" s="90"/>
      <c r="D1854" s="185" t="s">
        <v>298</v>
      </c>
      <c r="E1854" s="224"/>
      <c r="F1854" s="187">
        <v>3.0</v>
      </c>
      <c r="G1854" s="731" t="s">
        <v>251</v>
      </c>
      <c r="H1854" s="195"/>
      <c r="I1854" s="164"/>
      <c r="J1854" s="189">
        <v>8.0</v>
      </c>
      <c r="K1854" s="183"/>
      <c r="L1854" s="134" t="str">
        <f>I1718</f>
        <v/>
      </c>
      <c r="M1854" s="135" t="str">
        <f>iferror(mround($O1718*((VLOOKUP($J1854,Sheet1!$D:$N,$G1854+1,FALSE)-0.03)),2.5)," ")</f>
        <v> </v>
      </c>
      <c r="N1854" s="135" t="str">
        <f>iferror(mround($O1718*((VLOOKUP($J1854,Sheet1!$D:$N,$G1854+1,FALSE)+0.02)),2.5)," ")</f>
        <v> </v>
      </c>
      <c r="O1854" s="112" t="str">
        <f>iferror(mround(I1854/VLOOKUP(K1854,Sheet1!$D$7:$N$16,G1854+1,FALSE),2.5),"")</f>
        <v/>
      </c>
      <c r="P1854" s="136" t="str">
        <f t="shared" si="69"/>
        <v/>
      </c>
      <c r="Q1854" s="214"/>
      <c r="R1854" s="11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</row>
    <row r="1855" ht="3.75" customHeight="1">
      <c r="A1855" s="90"/>
      <c r="B1855" s="6"/>
      <c r="C1855" s="90"/>
      <c r="D1855" s="138"/>
      <c r="E1855" s="184"/>
      <c r="F1855" s="102"/>
      <c r="G1855" s="102"/>
      <c r="H1855" s="102"/>
      <c r="I1855" s="102"/>
      <c r="J1855" s="156"/>
      <c r="K1855" s="218"/>
      <c r="L1855" s="144"/>
      <c r="M1855" s="145"/>
      <c r="N1855" s="145"/>
      <c r="O1855" s="122"/>
      <c r="P1855" s="146" t="str">
        <f t="shared" si="69"/>
        <v/>
      </c>
      <c r="Q1855" s="214"/>
      <c r="R1855" s="11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</row>
    <row r="1856" ht="15.75" hidden="1" customHeight="1">
      <c r="A1856" s="90"/>
      <c r="B1856" s="6"/>
      <c r="C1856" s="90"/>
      <c r="D1856" s="185"/>
      <c r="E1856" s="224"/>
      <c r="F1856" s="187"/>
      <c r="G1856" s="187"/>
      <c r="H1856" s="195"/>
      <c r="I1856" s="164"/>
      <c r="J1856" s="230"/>
      <c r="K1856" s="183"/>
      <c r="L1856" s="134" t="str">
        <f>I1720</f>
        <v/>
      </c>
      <c r="M1856" s="135" t="str">
        <f>iferror(mround($O1720*((VLOOKUP($J1856,Sheet1!$D:$N,$G1856+1,FALSE)-0.03)),2.5)," ")</f>
        <v> </v>
      </c>
      <c r="N1856" s="135" t="str">
        <f>iferror(mround($O1720*((VLOOKUP($J1856,Sheet1!$D:$N,$G1856+1,FALSE)+0.02)),2.5)," ")</f>
        <v> </v>
      </c>
      <c r="O1856" s="112" t="str">
        <f>iferror(mround(I1856/VLOOKUP(K1856,Sheet1!$D$7:$N$16,G1856+1,FALSE),2.5),"")</f>
        <v/>
      </c>
      <c r="P1856" s="136" t="str">
        <f t="shared" si="69"/>
        <v/>
      </c>
      <c r="Q1856" s="214"/>
      <c r="R1856" s="11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</row>
    <row r="1857" ht="3.75" hidden="1" customHeight="1">
      <c r="A1857" s="90"/>
      <c r="B1857" s="6"/>
      <c r="C1857" s="90"/>
      <c r="D1857" s="138"/>
      <c r="E1857" s="184"/>
      <c r="F1857" s="102"/>
      <c r="G1857" s="102"/>
      <c r="H1857" s="102"/>
      <c r="I1857" s="102"/>
      <c r="J1857" s="216"/>
      <c r="K1857" s="218"/>
      <c r="L1857" s="144"/>
      <c r="M1857" s="145"/>
      <c r="N1857" s="145"/>
      <c r="O1857" s="122"/>
      <c r="P1857" s="146" t="str">
        <f t="shared" si="69"/>
        <v/>
      </c>
      <c r="Q1857" s="214"/>
      <c r="R1857" s="11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</row>
    <row r="1858" ht="15.75" hidden="1" customHeight="1">
      <c r="A1858" s="90"/>
      <c r="B1858" s="6"/>
      <c r="C1858" s="90"/>
      <c r="D1858" s="185"/>
      <c r="E1858" s="327"/>
      <c r="F1858" s="187"/>
      <c r="G1858" s="187"/>
      <c r="H1858" s="195"/>
      <c r="I1858" s="164"/>
      <c r="J1858" s="230"/>
      <c r="K1858" s="183"/>
      <c r="L1858" s="134" t="str">
        <f>I1722</f>
        <v/>
      </c>
      <c r="M1858" s="135" t="str">
        <f>iferror(mround($O1722*((VLOOKUP($J1858,Sheet1!$D:$N,$G1858+1,FALSE)-0.03)),2.5)," ")</f>
        <v> </v>
      </c>
      <c r="N1858" s="135" t="str">
        <f>iferror(mround($O1722*((VLOOKUP($J1858,Sheet1!$D:$N,$G1858+1,FALSE)+0.02)),2.5)," ")</f>
        <v> </v>
      </c>
      <c r="O1858" s="112" t="str">
        <f>iferror(mround(I1858/VLOOKUP(K1858,Sheet1!$D$7:$N$16,G1858+1,FALSE),2.5),"")</f>
        <v/>
      </c>
      <c r="P1858" s="136" t="str">
        <f t="shared" si="69"/>
        <v/>
      </c>
      <c r="Q1858" s="214"/>
      <c r="R1858" s="11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</row>
    <row r="1859" ht="3.75" hidden="1" customHeight="1">
      <c r="A1859" s="191"/>
      <c r="B1859" s="6"/>
      <c r="C1859" s="192"/>
      <c r="D1859" s="138"/>
      <c r="E1859" s="184"/>
      <c r="F1859" s="102"/>
      <c r="G1859" s="102"/>
      <c r="H1859" s="102"/>
      <c r="I1859" s="102"/>
      <c r="J1859" s="156"/>
      <c r="K1859" s="218"/>
      <c r="L1859" s="144"/>
      <c r="M1859" s="145"/>
      <c r="N1859" s="145"/>
      <c r="O1859" s="122"/>
      <c r="P1859" s="146" t="str">
        <f t="shared" si="69"/>
        <v/>
      </c>
      <c r="Q1859" s="214"/>
      <c r="R1859" s="157"/>
      <c r="S1859" s="5"/>
      <c r="T1859" s="5"/>
      <c r="U1859" s="158"/>
      <c r="V1859" s="158"/>
      <c r="W1859" s="158"/>
      <c r="X1859" s="158"/>
      <c r="Y1859" s="158"/>
      <c r="Z1859" s="158"/>
      <c r="AA1859" s="158"/>
      <c r="AB1859" s="158"/>
      <c r="AC1859" s="158"/>
      <c r="AD1859" s="158"/>
      <c r="AE1859" s="158"/>
      <c r="AF1859" s="158"/>
    </row>
    <row r="1860" ht="15.75" hidden="1" customHeight="1">
      <c r="A1860" s="90"/>
      <c r="B1860" s="6"/>
      <c r="C1860" s="90"/>
      <c r="D1860" s="185"/>
      <c r="E1860" s="224"/>
      <c r="F1860" s="187"/>
      <c r="G1860" s="187"/>
      <c r="H1860" s="195"/>
      <c r="I1860" s="164"/>
      <c r="J1860" s="230"/>
      <c r="K1860" s="183"/>
      <c r="L1860" s="134" t="str">
        <f>I1724</f>
        <v/>
      </c>
      <c r="M1860" s="135" t="str">
        <f>iferror(mround($O1724*((VLOOKUP($J1860,Sheet1!$D:$N,$G1860+1,FALSE)-0.03)),2.5)," ")</f>
        <v> </v>
      </c>
      <c r="N1860" s="135" t="str">
        <f>iferror(mround($O1724*((VLOOKUP($J1860,Sheet1!$D:$N,$G1860+1,FALSE)+0.02)),2.5)," ")</f>
        <v> </v>
      </c>
      <c r="O1860" s="112" t="str">
        <f>iferror(mround(I1860/VLOOKUP(K1860,Sheet1!$D$7:$N$16,G1860+1,FALSE),2.5),"")</f>
        <v/>
      </c>
      <c r="P1860" s="136" t="str">
        <f t="shared" si="69"/>
        <v/>
      </c>
      <c r="Q1860" s="214"/>
      <c r="R1860" s="11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</row>
    <row r="1861" ht="3.75" hidden="1" customHeight="1">
      <c r="A1861" s="90"/>
      <c r="B1861" s="6"/>
      <c r="C1861" s="90"/>
      <c r="D1861" s="138"/>
      <c r="E1861" s="184"/>
      <c r="F1861" s="102"/>
      <c r="G1861" s="102"/>
      <c r="H1861" s="102"/>
      <c r="I1861" s="102"/>
      <c r="J1861" s="156"/>
      <c r="K1861" s="218"/>
      <c r="L1861" s="144"/>
      <c r="M1861" s="145"/>
      <c r="N1861" s="145"/>
      <c r="O1861" s="122"/>
      <c r="P1861" s="146" t="str">
        <f t="shared" si="69"/>
        <v/>
      </c>
      <c r="Q1861" s="214"/>
      <c r="R1861" s="11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</row>
    <row r="1862" ht="15.75" hidden="1" customHeight="1">
      <c r="A1862" s="90"/>
      <c r="B1862" s="6"/>
      <c r="C1862" s="90"/>
      <c r="D1862" s="231"/>
      <c r="E1862" s="232"/>
      <c r="F1862" s="187"/>
      <c r="G1862" s="187"/>
      <c r="H1862" s="195"/>
      <c r="I1862" s="164"/>
      <c r="J1862" s="230"/>
      <c r="K1862" s="183"/>
      <c r="L1862" s="134" t="str">
        <f>I1726</f>
        <v/>
      </c>
      <c r="M1862" s="135" t="str">
        <f>iferror(mround($O1726*((VLOOKUP($J1862,Sheet1!$D:$N,$G1862+1,FALSE)-0.03)),2.5)," ")</f>
        <v> </v>
      </c>
      <c r="N1862" s="135" t="str">
        <f>iferror(mround($O1726*((VLOOKUP($J1862,Sheet1!$D:$N,$G1862+1,FALSE)+0.02)),2.5)," ")</f>
        <v> </v>
      </c>
      <c r="O1862" s="112" t="str">
        <f>iferror(mround(I1862/VLOOKUP(K1862,Sheet1!$D$7:$N$16,G1862+1,FALSE),2.5),"")</f>
        <v/>
      </c>
      <c r="P1862" s="136" t="str">
        <f t="shared" si="69"/>
        <v/>
      </c>
      <c r="Q1862" s="214"/>
      <c r="R1862" s="11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</row>
    <row r="1863" ht="3.75" hidden="1" customHeight="1">
      <c r="A1863" s="191"/>
      <c r="B1863" s="6"/>
      <c r="C1863" s="233"/>
      <c r="D1863" s="234"/>
      <c r="E1863" s="235"/>
      <c r="F1863" s="236"/>
      <c r="G1863" s="194"/>
      <c r="H1863" s="155"/>
      <c r="I1863" s="210"/>
      <c r="J1863" s="216"/>
      <c r="K1863" s="218"/>
      <c r="L1863" s="144"/>
      <c r="M1863" s="145"/>
      <c r="N1863" s="145"/>
      <c r="O1863" s="122"/>
      <c r="P1863" s="146" t="str">
        <f t="shared" si="69"/>
        <v/>
      </c>
      <c r="Q1863" s="214"/>
      <c r="R1863" s="157"/>
      <c r="S1863" s="5"/>
      <c r="T1863" s="5"/>
      <c r="U1863" s="158"/>
      <c r="V1863" s="158"/>
      <c r="W1863" s="158"/>
      <c r="X1863" s="158"/>
      <c r="Y1863" s="158"/>
      <c r="Z1863" s="158"/>
      <c r="AA1863" s="158"/>
      <c r="AB1863" s="158"/>
      <c r="AC1863" s="158"/>
      <c r="AD1863" s="158"/>
      <c r="AE1863" s="158"/>
      <c r="AF1863" s="158"/>
    </row>
    <row r="1864" ht="15.75" hidden="1" customHeight="1">
      <c r="A1864" s="90"/>
      <c r="B1864" s="6"/>
      <c r="C1864" s="90"/>
      <c r="D1864" s="197"/>
      <c r="E1864" s="198"/>
      <c r="F1864" s="199"/>
      <c r="G1864" s="187"/>
      <c r="H1864" s="195"/>
      <c r="I1864" s="164"/>
      <c r="J1864" s="189"/>
      <c r="K1864" s="183"/>
      <c r="L1864" s="134" t="str">
        <f>I1728</f>
        <v/>
      </c>
      <c r="M1864" s="135" t="str">
        <f>iferror(mround($O1728*((VLOOKUP($J1864,Sheet1!$D:$N,$G1864+1,FALSE)-0.03)),2.5)," ")</f>
        <v> </v>
      </c>
      <c r="N1864" s="135" t="str">
        <f>iferror(mround($O1728*((VLOOKUP($J1864,Sheet1!$D:$N,$G1864+1,FALSE)+0.02)),2.5)," ")</f>
        <v> </v>
      </c>
      <c r="O1864" s="112" t="str">
        <f>iferror(mround(I1864/VLOOKUP(K1864,Sheet1!$D$7:$N$16,G1864+1,FALSE),2.5),"")</f>
        <v/>
      </c>
      <c r="P1864" s="136" t="str">
        <f t="shared" si="69"/>
        <v/>
      </c>
      <c r="Q1864" s="214"/>
      <c r="R1864" s="11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</row>
    <row r="1865" ht="3.75" hidden="1" customHeight="1">
      <c r="A1865" s="90"/>
      <c r="B1865" s="6"/>
      <c r="C1865" s="90"/>
      <c r="D1865" s="90"/>
      <c r="E1865" s="156"/>
      <c r="F1865" s="102"/>
      <c r="G1865" s="102"/>
      <c r="H1865" s="102"/>
      <c r="I1865" s="102"/>
      <c r="J1865" s="156"/>
      <c r="K1865" s="720"/>
      <c r="L1865" s="211"/>
      <c r="M1865" s="47"/>
      <c r="N1865" s="47"/>
      <c r="O1865" s="122"/>
      <c r="P1865" s="146" t="str">
        <f t="shared" si="69"/>
        <v/>
      </c>
      <c r="Q1865" s="214"/>
      <c r="R1865" s="11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</row>
    <row r="1866" ht="30.0" customHeight="1">
      <c r="A1866" s="90"/>
      <c r="B1866" s="6"/>
      <c r="C1866" s="90"/>
      <c r="D1866" s="202" t="s">
        <v>279</v>
      </c>
      <c r="E1866" s="255" t="s">
        <v>15</v>
      </c>
      <c r="F1866" s="106" t="s">
        <v>16</v>
      </c>
      <c r="G1866" s="106" t="s">
        <v>17</v>
      </c>
      <c r="H1866" s="107"/>
      <c r="I1866" s="106" t="s">
        <v>18</v>
      </c>
      <c r="J1866" s="766" t="s">
        <v>241</v>
      </c>
      <c r="K1866" s="767" t="s">
        <v>20</v>
      </c>
      <c r="L1866" s="110" t="s">
        <v>21</v>
      </c>
      <c r="M1866" s="111" t="s">
        <v>22</v>
      </c>
      <c r="O1866" s="112"/>
      <c r="P1866" s="113" t="s">
        <v>23</v>
      </c>
      <c r="Q1866" s="768"/>
      <c r="R1866" s="11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</row>
    <row r="1867" ht="14.25" customHeight="1">
      <c r="A1867" s="90"/>
      <c r="B1867" s="6"/>
      <c r="C1867" s="90"/>
      <c r="D1867" s="257" t="s">
        <v>25</v>
      </c>
      <c r="E1867" s="258" t="s">
        <v>26</v>
      </c>
      <c r="H1867" s="107"/>
      <c r="J1867" s="766" t="s">
        <v>244</v>
      </c>
      <c r="M1867" s="111" t="s">
        <v>27</v>
      </c>
      <c r="N1867" s="111" t="s">
        <v>28</v>
      </c>
      <c r="O1867" s="112" t="s">
        <v>29</v>
      </c>
      <c r="Q1867" s="118" t="s">
        <v>30</v>
      </c>
      <c r="R1867" s="11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</row>
    <row r="1868" ht="3.75" customHeight="1">
      <c r="A1868" s="191"/>
      <c r="B1868" s="6"/>
      <c r="C1868" s="192"/>
      <c r="D1868" s="203"/>
      <c r="E1868" s="204"/>
      <c r="F1868" s="205"/>
      <c r="G1868" s="205"/>
      <c r="H1868" s="205"/>
      <c r="I1868" s="225"/>
      <c r="J1868" s="237"/>
      <c r="K1868" s="777"/>
      <c r="L1868" s="211"/>
      <c r="M1868" s="47"/>
      <c r="N1868" s="47"/>
      <c r="O1868" s="122"/>
      <c r="P1868" s="146" t="str">
        <f t="shared" ref="P1868:P1888" si="70">IF(I1868 - I1732 = 0, "", I1868 - I1732)</f>
        <v/>
      </c>
      <c r="Q1868" s="778"/>
      <c r="R1868" s="157"/>
      <c r="S1868" s="5"/>
      <c r="T1868" s="5"/>
      <c r="U1868" s="158"/>
      <c r="V1868" s="158"/>
      <c r="W1868" s="158"/>
      <c r="X1868" s="158"/>
      <c r="Y1868" s="158"/>
      <c r="Z1868" s="158"/>
      <c r="AA1868" s="158"/>
      <c r="AB1868" s="158"/>
      <c r="AC1868" s="158"/>
      <c r="AD1868" s="158"/>
      <c r="AE1868" s="158"/>
      <c r="AF1868" s="158"/>
    </row>
    <row r="1869" ht="15.75" customHeight="1">
      <c r="A1869" s="124"/>
      <c r="B1869" s="6" t="s">
        <v>301</v>
      </c>
      <c r="C1869" s="124"/>
      <c r="D1869" s="185" t="s">
        <v>77</v>
      </c>
      <c r="E1869" s="260"/>
      <c r="F1869" s="187">
        <v>1.0</v>
      </c>
      <c r="G1869" s="187">
        <v>4.0</v>
      </c>
      <c r="H1869" s="195"/>
      <c r="I1869" s="164"/>
      <c r="J1869" s="248">
        <v>8.5</v>
      </c>
      <c r="K1869" s="164"/>
      <c r="L1869" s="134">
        <f>I1733</f>
        <v>220</v>
      </c>
      <c r="M1869" s="135">
        <f>iferror(mround($O1733*((VLOOKUP($J1869,Sheet1!$D:$N,$G1869+1,FALSE)-0.03)),2.5)," ")</f>
        <v>0</v>
      </c>
      <c r="N1869" s="135">
        <f>iferror(mround($O1733*((VLOOKUP($J1869,Sheet1!$D:$N,$G1869+1,FALSE)+0.02)),2.5)," ")</f>
        <v>0</v>
      </c>
      <c r="O1869" s="112" t="str">
        <f>iferror(mround(I1869/VLOOKUP(K1869,Sheet1!$D$7:$N$16,G1869+1,FALSE),2.5),"")</f>
        <v/>
      </c>
      <c r="P1869" s="136">
        <f t="shared" si="70"/>
        <v>-220</v>
      </c>
      <c r="Q1869" s="242"/>
      <c r="R1869" s="11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</row>
    <row r="1870" ht="3.75" customHeight="1">
      <c r="A1870" s="124"/>
      <c r="B1870" s="6"/>
      <c r="C1870" s="124"/>
      <c r="D1870" s="138"/>
      <c r="E1870" s="252"/>
      <c r="F1870" s="140"/>
      <c r="G1870" s="140"/>
      <c r="H1870" s="140"/>
      <c r="I1870" s="140"/>
      <c r="J1870" s="141"/>
      <c r="K1870" s="210"/>
      <c r="L1870" s="144"/>
      <c r="M1870" s="145"/>
      <c r="N1870" s="145"/>
      <c r="O1870" s="122"/>
      <c r="P1870" s="146" t="str">
        <f t="shared" si="70"/>
        <v/>
      </c>
      <c r="Q1870" s="242"/>
      <c r="R1870" s="11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</row>
    <row r="1871" ht="15.0" customHeight="1">
      <c r="A1871" s="124"/>
      <c r="B1871" s="6"/>
      <c r="C1871" s="124"/>
      <c r="D1871" s="704" t="s">
        <v>77</v>
      </c>
      <c r="E1871" s="260"/>
      <c r="F1871" s="187">
        <v>3.0</v>
      </c>
      <c r="G1871" s="187">
        <v>4.0</v>
      </c>
      <c r="H1871" s="195"/>
      <c r="I1871" s="164">
        <f>MROUND(I1869*(1+J1871),2.5)</f>
        <v>0</v>
      </c>
      <c r="J1871" s="779">
        <v>-0.12</v>
      </c>
      <c r="K1871" s="164"/>
      <c r="L1871" s="134">
        <f>I1735</f>
        <v>192.5</v>
      </c>
      <c r="M1871" s="135" t="str">
        <f>iferror(mround($O1735*((VLOOKUP($J1871,Sheet1!$D:$N,$G1871+1,FALSE)-0.03)),2.5)," ")</f>
        <v> </v>
      </c>
      <c r="N1871" s="135" t="str">
        <f>iferror(mround($O1735*((VLOOKUP($J1871,Sheet1!$D:$N,$G1871+1,FALSE)+0.02)),2.5)," ")</f>
        <v> </v>
      </c>
      <c r="O1871" s="112" t="str">
        <f>iferror(mround(I1871/VLOOKUP(K1871,Sheet1!$D$7:$N$16,G1871+1,FALSE),2.5),"")</f>
        <v/>
      </c>
      <c r="P1871" s="136">
        <f t="shared" si="70"/>
        <v>-192.5</v>
      </c>
      <c r="Q1871" s="242"/>
      <c r="R1871" s="11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</row>
    <row r="1872" ht="3.75" customHeight="1">
      <c r="A1872" s="124"/>
      <c r="B1872" s="6"/>
      <c r="C1872" s="124"/>
      <c r="D1872" s="138"/>
      <c r="E1872" s="252"/>
      <c r="F1872" s="102"/>
      <c r="G1872" s="102"/>
      <c r="H1872" s="102"/>
      <c r="I1872" s="102"/>
      <c r="J1872" s="156"/>
      <c r="K1872" s="210"/>
      <c r="L1872" s="144"/>
      <c r="M1872" s="145"/>
      <c r="N1872" s="145"/>
      <c r="O1872" s="122"/>
      <c r="P1872" s="146" t="str">
        <f t="shared" si="70"/>
        <v/>
      </c>
      <c r="Q1872" s="242"/>
      <c r="R1872" s="11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</row>
    <row r="1873" ht="15.75" hidden="1" customHeight="1">
      <c r="A1873" s="124"/>
      <c r="B1873" s="6"/>
      <c r="C1873" s="124"/>
      <c r="D1873" s="704"/>
      <c r="E1873" s="260"/>
      <c r="F1873" s="187"/>
      <c r="G1873" s="187"/>
      <c r="H1873" s="195"/>
      <c r="I1873" s="164"/>
      <c r="J1873" s="779"/>
      <c r="K1873" s="164"/>
      <c r="L1873" s="134" t="str">
        <f>I1737</f>
        <v/>
      </c>
      <c r="M1873" s="135" t="str">
        <f>iferror(mround($O1737*((VLOOKUP($J1873,Sheet1!$D:$N,$G1873+1,FALSE)-0.03)),2.5)," ")</f>
        <v> </v>
      </c>
      <c r="N1873" s="135" t="str">
        <f>iferror(mround($O1737*((VLOOKUP($J1873,Sheet1!$D:$N,$G1873+1,FALSE)+0.02)),2.5)," ")</f>
        <v> </v>
      </c>
      <c r="O1873" s="112" t="str">
        <f>iferror(mround(I1873/VLOOKUP(K1873,Sheet1!$D$7:$N$16,G1873+1,FALSE),2.5),"")</f>
        <v/>
      </c>
      <c r="P1873" s="136" t="str">
        <f t="shared" si="70"/>
        <v/>
      </c>
      <c r="Q1873" s="242"/>
      <c r="R1873" s="11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</row>
    <row r="1874" ht="3.75" hidden="1" customHeight="1">
      <c r="A1874" s="124"/>
      <c r="B1874" s="6"/>
      <c r="C1874" s="124"/>
      <c r="D1874" s="138"/>
      <c r="E1874" s="252"/>
      <c r="F1874" s="102"/>
      <c r="G1874" s="102"/>
      <c r="H1874" s="102"/>
      <c r="I1874" s="102"/>
      <c r="J1874" s="156"/>
      <c r="K1874" s="210"/>
      <c r="L1874" s="144"/>
      <c r="M1874" s="145"/>
      <c r="N1874" s="145"/>
      <c r="O1874" s="122"/>
      <c r="P1874" s="146" t="str">
        <f t="shared" si="70"/>
        <v/>
      </c>
      <c r="Q1874" s="242"/>
      <c r="R1874" s="11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</row>
    <row r="1875" ht="15.75" customHeight="1">
      <c r="A1875" s="124"/>
      <c r="B1875" s="6" t="s">
        <v>302</v>
      </c>
      <c r="C1875" s="124"/>
      <c r="D1875" s="185" t="s">
        <v>33</v>
      </c>
      <c r="E1875" s="224" t="s">
        <v>303</v>
      </c>
      <c r="F1875" s="187">
        <v>4.0</v>
      </c>
      <c r="G1875" s="187">
        <v>4.0</v>
      </c>
      <c r="H1875" s="195"/>
      <c r="I1875" s="164">
        <v>135.0</v>
      </c>
      <c r="J1875" s="248"/>
      <c r="K1875" s="164"/>
      <c r="L1875" s="134">
        <f>I1739</f>
        <v>132.5</v>
      </c>
      <c r="M1875" s="135" t="str">
        <f>iferror(mround($O1739*((VLOOKUP($J1875,Sheet1!$D:$N,$G1875+1,FALSE)-0.03)),2.5)," ")</f>
        <v> </v>
      </c>
      <c r="N1875" s="135" t="str">
        <f>iferror(mround($O1739*((VLOOKUP($J1875,Sheet1!$D:$N,$G1875+1,FALSE)+0.02)),2.5)," ")</f>
        <v> </v>
      </c>
      <c r="O1875" s="112" t="str">
        <f>iferror(mround(I1875/VLOOKUP(K1875,Sheet1!$D$7:$N$16,G1875+1,FALSE),2.5),"")</f>
        <v/>
      </c>
      <c r="P1875" s="136">
        <f t="shared" si="70"/>
        <v>2.5</v>
      </c>
      <c r="Q1875" s="242"/>
      <c r="R1875" s="11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</row>
    <row r="1876" ht="3.75" customHeight="1">
      <c r="A1876" s="90"/>
      <c r="B1876" s="6"/>
      <c r="C1876" s="90"/>
      <c r="D1876" s="138"/>
      <c r="E1876" s="252"/>
      <c r="F1876" s="102"/>
      <c r="G1876" s="102"/>
      <c r="H1876" s="102"/>
      <c r="I1876" s="102"/>
      <c r="J1876" s="156"/>
      <c r="K1876" s="210"/>
      <c r="L1876" s="144"/>
      <c r="M1876" s="145"/>
      <c r="N1876" s="145"/>
      <c r="O1876" s="122"/>
      <c r="P1876" s="146" t="str">
        <f t="shared" si="70"/>
        <v/>
      </c>
      <c r="Q1876" s="242"/>
      <c r="R1876" s="11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</row>
    <row r="1877" ht="15.75" hidden="1" customHeight="1">
      <c r="A1877" s="90"/>
      <c r="B1877" s="6"/>
      <c r="C1877" s="90"/>
      <c r="D1877" s="185"/>
      <c r="E1877" s="260"/>
      <c r="F1877" s="187"/>
      <c r="G1877" s="187"/>
      <c r="H1877" s="195"/>
      <c r="I1877" s="164"/>
      <c r="J1877" s="779"/>
      <c r="K1877" s="164"/>
      <c r="L1877" s="134" t="str">
        <f>I1741</f>
        <v/>
      </c>
      <c r="M1877" s="135" t="str">
        <f>iferror(mround($O1741*((VLOOKUP($J1877,Sheet1!$D:$N,$G1877+1,FALSE)-0.03)),2.5)," ")</f>
        <v> </v>
      </c>
      <c r="N1877" s="135" t="str">
        <f>iferror(mround($O1741*((VLOOKUP($J1877,Sheet1!$D:$N,$G1877+1,FALSE)+0.02)),2.5)," ")</f>
        <v> </v>
      </c>
      <c r="O1877" s="112" t="str">
        <f>iferror(mround(I1877/VLOOKUP(K1877,Sheet1!$D$7:$N$16,G1877+1,FALSE),2.5),"")</f>
        <v/>
      </c>
      <c r="P1877" s="136" t="str">
        <f t="shared" si="70"/>
        <v/>
      </c>
      <c r="Q1877" s="242"/>
      <c r="R1877" s="11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</row>
    <row r="1878" ht="3.75" hidden="1" customHeight="1">
      <c r="A1878" s="191"/>
      <c r="B1878" s="6"/>
      <c r="C1878" s="192"/>
      <c r="D1878" s="138"/>
      <c r="E1878" s="252"/>
      <c r="F1878" s="102"/>
      <c r="G1878" s="102"/>
      <c r="H1878" s="102"/>
      <c r="I1878" s="102"/>
      <c r="J1878" s="156"/>
      <c r="K1878" s="210"/>
      <c r="L1878" s="144"/>
      <c r="M1878" s="145"/>
      <c r="N1878" s="145"/>
      <c r="O1878" s="122"/>
      <c r="P1878" s="146" t="str">
        <f t="shared" si="70"/>
        <v/>
      </c>
      <c r="Q1878" s="242"/>
      <c r="R1878" s="157"/>
      <c r="S1878" s="5"/>
      <c r="T1878" s="5"/>
      <c r="U1878" s="158"/>
      <c r="V1878" s="158"/>
      <c r="W1878" s="158"/>
      <c r="X1878" s="158"/>
      <c r="Y1878" s="158"/>
      <c r="Z1878" s="158"/>
      <c r="AA1878" s="158"/>
      <c r="AB1878" s="158"/>
      <c r="AC1878" s="158"/>
      <c r="AD1878" s="158"/>
      <c r="AE1878" s="158"/>
      <c r="AF1878" s="158"/>
    </row>
    <row r="1879" ht="15.75" customHeight="1">
      <c r="A1879" s="90"/>
      <c r="B1879" s="6"/>
      <c r="C1879" s="90"/>
      <c r="D1879" s="185" t="s">
        <v>259</v>
      </c>
      <c r="E1879" s="260"/>
      <c r="F1879" s="187">
        <v>3.0</v>
      </c>
      <c r="G1879" s="731" t="s">
        <v>260</v>
      </c>
      <c r="H1879" s="195"/>
      <c r="I1879" s="164"/>
      <c r="J1879" s="248">
        <v>7.0</v>
      </c>
      <c r="K1879" s="164"/>
      <c r="L1879" s="134" t="str">
        <f>I1743</f>
        <v/>
      </c>
      <c r="M1879" s="135" t="str">
        <f>iferror(mround($O1743*((VLOOKUP($J1879,Sheet1!$D:$N,$G1879+1,FALSE)-0.03)),2.5)," ")</f>
        <v> </v>
      </c>
      <c r="N1879" s="135" t="str">
        <f>iferror(mround($O1743*((VLOOKUP($J1879,Sheet1!$D:$N,$G1879+1,FALSE)+0.02)),2.5)," ")</f>
        <v> </v>
      </c>
      <c r="O1879" s="112" t="str">
        <f>iferror(mround(I1879/VLOOKUP(K1879,Sheet1!$D$7:$N$16,G1879+1,FALSE),2.5),"")</f>
        <v/>
      </c>
      <c r="P1879" s="136" t="str">
        <f t="shared" si="70"/>
        <v/>
      </c>
      <c r="Q1879" s="242"/>
      <c r="R1879" s="11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</row>
    <row r="1880" ht="3.75" customHeight="1">
      <c r="A1880" s="90"/>
      <c r="B1880" s="6"/>
      <c r="C1880" s="90"/>
      <c r="D1880" s="138"/>
      <c r="E1880" s="252"/>
      <c r="F1880" s="102"/>
      <c r="G1880" s="102"/>
      <c r="H1880" s="102"/>
      <c r="I1880" s="102"/>
      <c r="J1880" s="156"/>
      <c r="K1880" s="210"/>
      <c r="L1880" s="144"/>
      <c r="M1880" s="145"/>
      <c r="N1880" s="145"/>
      <c r="O1880" s="122"/>
      <c r="P1880" s="146" t="str">
        <f t="shared" si="70"/>
        <v/>
      </c>
      <c r="Q1880" s="242"/>
      <c r="R1880" s="11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</row>
    <row r="1881" ht="15.75" customHeight="1">
      <c r="A1881" s="90"/>
      <c r="B1881" s="6"/>
      <c r="C1881" s="90"/>
      <c r="D1881" s="185" t="s">
        <v>263</v>
      </c>
      <c r="E1881" s="260"/>
      <c r="F1881" s="187">
        <v>2.0</v>
      </c>
      <c r="G1881" s="187">
        <v>15.0</v>
      </c>
      <c r="H1881" s="195"/>
      <c r="I1881" s="247"/>
      <c r="J1881" s="248">
        <v>8.0</v>
      </c>
      <c r="K1881" s="164"/>
      <c r="L1881" s="134" t="str">
        <f>I1745</f>
        <v/>
      </c>
      <c r="M1881" s="135" t="str">
        <f>iferror(mround($O1745*((VLOOKUP($J1881,Sheet1!$D:$N,$G1881+1,FALSE)-0.03)),2.5)," ")</f>
        <v> </v>
      </c>
      <c r="N1881" s="135" t="str">
        <f>iferror(mround($O1745*((VLOOKUP($J1881,Sheet1!$D:$N,$G1881+1,FALSE)+0.02)),2.5)," ")</f>
        <v> </v>
      </c>
      <c r="O1881" s="112" t="str">
        <f>iferror(mround(I1881/VLOOKUP(K1881,Sheet1!$D$7:$N$16,G1881+1,FALSE),2.5),"")</f>
        <v/>
      </c>
      <c r="P1881" s="136" t="str">
        <f t="shared" si="70"/>
        <v/>
      </c>
      <c r="Q1881" s="242"/>
      <c r="R1881" s="11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</row>
    <row r="1882" ht="3.75" customHeight="1">
      <c r="A1882" s="90"/>
      <c r="B1882" s="6"/>
      <c r="C1882" s="90"/>
      <c r="D1882" s="138"/>
      <c r="E1882" s="184"/>
      <c r="F1882" s="102"/>
      <c r="G1882" s="102"/>
      <c r="H1882" s="102"/>
      <c r="I1882" s="102"/>
      <c r="J1882" s="156"/>
      <c r="K1882" s="210"/>
      <c r="L1882" s="144"/>
      <c r="M1882" s="145"/>
      <c r="N1882" s="145"/>
      <c r="O1882" s="122"/>
      <c r="P1882" s="146" t="str">
        <f t="shared" si="70"/>
        <v/>
      </c>
      <c r="Q1882" s="242"/>
      <c r="R1882" s="11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</row>
    <row r="1883" ht="15.75" hidden="1" customHeight="1">
      <c r="A1883" s="90"/>
      <c r="B1883" s="6"/>
      <c r="C1883" s="90"/>
      <c r="D1883" s="185"/>
      <c r="E1883" s="224"/>
      <c r="F1883" s="187"/>
      <c r="G1883" s="187"/>
      <c r="H1883" s="195"/>
      <c r="I1883" s="247"/>
      <c r="J1883" s="248"/>
      <c r="K1883" s="164"/>
      <c r="L1883" s="134" t="str">
        <f>I1747</f>
        <v/>
      </c>
      <c r="M1883" s="135" t="str">
        <f>iferror(mround($O1747*((VLOOKUP($J1883,Sheet1!$D:$N,$G1883+1,FALSE)-0.03)),2.5)," ")</f>
        <v> </v>
      </c>
      <c r="N1883" s="135" t="str">
        <f>iferror(mround($O1747*((VLOOKUP($J1883,Sheet1!$D:$N,$G1883+1,FALSE)+0.02)),2.5)," ")</f>
        <v> </v>
      </c>
      <c r="O1883" s="112" t="str">
        <f>iferror(mround(I1883/VLOOKUP(K1883,Sheet1!$D$7:$N$16,G1883+1,FALSE),2.5),"")</f>
        <v/>
      </c>
      <c r="P1883" s="136" t="str">
        <f t="shared" si="70"/>
        <v/>
      </c>
      <c r="Q1883" s="242"/>
      <c r="R1883" s="11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</row>
    <row r="1884" ht="3.75" hidden="1" customHeight="1">
      <c r="A1884" s="90"/>
      <c r="B1884" s="6"/>
      <c r="C1884" s="90"/>
      <c r="D1884" s="196"/>
      <c r="E1884" s="184"/>
      <c r="F1884" s="102"/>
      <c r="G1884" s="102"/>
      <c r="H1884" s="102"/>
      <c r="I1884" s="102"/>
      <c r="J1884" s="156"/>
      <c r="K1884" s="210"/>
      <c r="L1884" s="144"/>
      <c r="M1884" s="145"/>
      <c r="N1884" s="145"/>
      <c r="O1884" s="122"/>
      <c r="P1884" s="146" t="str">
        <f t="shared" si="70"/>
        <v/>
      </c>
      <c r="Q1884" s="242"/>
      <c r="R1884" s="11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</row>
    <row r="1885" ht="15.75" hidden="1" customHeight="1">
      <c r="A1885" s="90"/>
      <c r="B1885" s="6"/>
      <c r="C1885" s="90"/>
      <c r="D1885" s="197"/>
      <c r="E1885" s="250"/>
      <c r="F1885" s="129"/>
      <c r="G1885" s="199"/>
      <c r="H1885" s="195"/>
      <c r="I1885" s="247"/>
      <c r="J1885" s="248"/>
      <c r="K1885" s="164"/>
      <c r="L1885" s="134" t="str">
        <f>I1749</f>
        <v/>
      </c>
      <c r="M1885" s="135" t="str">
        <f>iferror(mround($O1749*((VLOOKUP($J1885,Sheet1!$D:$N,$G1885+1,FALSE)-0.03)),2.5)," ")</f>
        <v> </v>
      </c>
      <c r="N1885" s="135" t="str">
        <f>iferror(mround($O1749*((VLOOKUP($J1885,Sheet1!$D:$N,$G1885+1,FALSE)+0.02)),2.5)," ")</f>
        <v> </v>
      </c>
      <c r="O1885" s="112" t="str">
        <f>iferror(mround(I1885/VLOOKUP(K1885,Sheet1!$D$7:$N$16,G1885+1,FALSE),2.5),"")</f>
        <v/>
      </c>
      <c r="P1885" s="136" t="str">
        <f t="shared" si="70"/>
        <v/>
      </c>
      <c r="Q1885" s="242"/>
      <c r="R1885" s="11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</row>
    <row r="1886" ht="3.75" hidden="1" customHeight="1">
      <c r="A1886" s="90"/>
      <c r="B1886" s="6"/>
      <c r="C1886" s="90"/>
      <c r="D1886" s="234"/>
      <c r="E1886" s="184"/>
      <c r="F1886" s="102"/>
      <c r="G1886" s="102"/>
      <c r="H1886" s="102"/>
      <c r="I1886" s="102"/>
      <c r="J1886" s="156"/>
      <c r="K1886" s="210"/>
      <c r="L1886" s="144"/>
      <c r="M1886" s="145"/>
      <c r="N1886" s="145"/>
      <c r="O1886" s="122"/>
      <c r="P1886" s="146" t="str">
        <f t="shared" si="70"/>
        <v/>
      </c>
      <c r="Q1886" s="242"/>
      <c r="R1886" s="11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</row>
    <row r="1887" ht="15.75" hidden="1" customHeight="1">
      <c r="A1887" s="90"/>
      <c r="B1887" s="6"/>
      <c r="C1887" s="90"/>
      <c r="D1887" s="197"/>
      <c r="E1887" s="198"/>
      <c r="F1887" s="129"/>
      <c r="G1887" s="199"/>
      <c r="H1887" s="195"/>
      <c r="I1887" s="164"/>
      <c r="J1887" s="248"/>
      <c r="K1887" s="164"/>
      <c r="L1887" s="134" t="str">
        <f>I1751</f>
        <v/>
      </c>
      <c r="M1887" s="135" t="str">
        <f>iferror(mround($O1751*((VLOOKUP($J1887,Sheet1!$D:$N,$G1887+1,FALSE)-0.03)),2.5)," ")</f>
        <v> </v>
      </c>
      <c r="N1887" s="135" t="str">
        <f>iferror(mround($O1751*((VLOOKUP($J1887,Sheet1!$D:$N,$G1887+1,FALSE)+0.02)),2.5)," ")</f>
        <v> </v>
      </c>
      <c r="O1887" s="112" t="str">
        <f>iferror(mround(I1887/VLOOKUP(K1887,Sheet1!$D$7:$N$16,G1887+1,FALSE),2.5),"")</f>
        <v/>
      </c>
      <c r="P1887" s="136" t="str">
        <f t="shared" si="70"/>
        <v/>
      </c>
      <c r="Q1887" s="242"/>
      <c r="R1887" s="11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</row>
    <row r="1888" ht="3.75" hidden="1" customHeight="1">
      <c r="A1888" s="124"/>
      <c r="B1888" s="6"/>
      <c r="C1888" s="124"/>
      <c r="D1888" s="252"/>
      <c r="E1888" s="252"/>
      <c r="F1888" s="102"/>
      <c r="G1888" s="102"/>
      <c r="H1888" s="102"/>
      <c r="I1888" s="102"/>
      <c r="J1888" s="156"/>
      <c r="K1888" s="259"/>
      <c r="L1888" s="211"/>
      <c r="M1888" s="47"/>
      <c r="N1888" s="47"/>
      <c r="O1888" s="122"/>
      <c r="P1888" s="146" t="str">
        <f t="shared" si="70"/>
        <v/>
      </c>
      <c r="Q1888" s="242"/>
      <c r="R1888" s="11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</row>
    <row r="1889" ht="30.75" customHeight="1">
      <c r="A1889" s="90"/>
      <c r="B1889" s="6"/>
      <c r="C1889" s="90"/>
      <c r="D1889" s="254" t="s">
        <v>280</v>
      </c>
      <c r="E1889" s="255" t="s">
        <v>15</v>
      </c>
      <c r="F1889" s="106" t="s">
        <v>16</v>
      </c>
      <c r="G1889" s="106" t="s">
        <v>17</v>
      </c>
      <c r="H1889" s="107"/>
      <c r="I1889" s="106" t="s">
        <v>18</v>
      </c>
      <c r="J1889" s="766" t="s">
        <v>241</v>
      </c>
      <c r="K1889" s="767" t="s">
        <v>20</v>
      </c>
      <c r="L1889" s="110" t="s">
        <v>21</v>
      </c>
      <c r="M1889" s="111" t="s">
        <v>22</v>
      </c>
      <c r="O1889" s="112"/>
      <c r="P1889" s="113" t="s">
        <v>23</v>
      </c>
      <c r="Q1889" s="768"/>
      <c r="R1889" s="11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</row>
    <row r="1890" ht="14.25" customHeight="1">
      <c r="A1890" s="90"/>
      <c r="B1890" s="6"/>
      <c r="C1890" s="90"/>
      <c r="D1890" s="257" t="s">
        <v>25</v>
      </c>
      <c r="E1890" s="258" t="s">
        <v>26</v>
      </c>
      <c r="H1890" s="107"/>
      <c r="J1890" s="766" t="s">
        <v>244</v>
      </c>
      <c r="M1890" s="111" t="s">
        <v>27</v>
      </c>
      <c r="N1890" s="111" t="s">
        <v>28</v>
      </c>
      <c r="O1890" s="781" t="s">
        <v>29</v>
      </c>
      <c r="Q1890" s="118" t="s">
        <v>30</v>
      </c>
      <c r="R1890" s="11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</row>
    <row r="1891" ht="3.75" customHeight="1">
      <c r="A1891" s="124"/>
      <c r="B1891" s="6"/>
      <c r="C1891" s="124"/>
      <c r="D1891" s="252"/>
      <c r="E1891" s="252"/>
      <c r="F1891" s="102"/>
      <c r="G1891" s="102"/>
      <c r="H1891" s="102"/>
      <c r="I1891" s="102"/>
      <c r="J1891" s="156"/>
      <c r="K1891" s="259"/>
      <c r="L1891" s="211"/>
      <c r="M1891" s="47"/>
      <c r="N1891" s="47"/>
      <c r="O1891" s="122"/>
      <c r="P1891" s="146" t="str">
        <f t="shared" ref="P1891:P1914" si="71">IF(I1891 - I1755 = 0, "", I1891 - I1755)</f>
        <v/>
      </c>
      <c r="Q1891" s="259"/>
      <c r="R1891" s="11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</row>
    <row r="1892" ht="14.25" hidden="1" customHeight="1">
      <c r="A1892" s="124"/>
      <c r="B1892" s="6"/>
      <c r="C1892" s="124"/>
      <c r="D1892" s="185"/>
      <c r="E1892" s="224"/>
      <c r="F1892" s="187"/>
      <c r="G1892" s="187"/>
      <c r="H1892" s="195"/>
      <c r="I1892" s="164"/>
      <c r="J1892" s="248"/>
      <c r="K1892" s="164"/>
      <c r="L1892" s="134">
        <f>I1758</f>
        <v>290</v>
      </c>
      <c r="M1892" s="135" t="str">
        <f>iferror(mround($O1758*((VLOOKUP($J1892,Sheet1!$D:$N,$G1892+1,FALSE)-0.03)),2.5)," ")</f>
        <v> </v>
      </c>
      <c r="N1892" s="135" t="str">
        <f>iferror(mround($O1758*((VLOOKUP($J1892,Sheet1!$D:$N,$G1892+1,FALSE)+0.02)),2.5)," ")</f>
        <v> </v>
      </c>
      <c r="O1892" s="56" t="str">
        <f>iferror(mround(I1892/VLOOKUP(K1892,Sheet1!$D$7:$N$16,G1892+1,FALSE),2.5),"")</f>
        <v/>
      </c>
      <c r="P1892" s="136" t="str">
        <f t="shared" si="71"/>
        <v/>
      </c>
      <c r="R1892" s="11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</row>
    <row r="1893" ht="3.75" hidden="1" customHeight="1">
      <c r="A1893" s="124"/>
      <c r="B1893" s="6"/>
      <c r="C1893" s="124"/>
      <c r="D1893" s="138"/>
      <c r="E1893" s="184"/>
      <c r="F1893" s="102"/>
      <c r="G1893" s="102"/>
      <c r="H1893" s="102"/>
      <c r="I1893" s="102"/>
      <c r="J1893" s="156"/>
      <c r="K1893" s="210"/>
      <c r="L1893" s="144"/>
      <c r="M1893" s="145"/>
      <c r="N1893" s="145"/>
      <c r="O1893" s="122"/>
      <c r="P1893" s="146" t="str">
        <f t="shared" si="71"/>
        <v/>
      </c>
      <c r="R1893" s="11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</row>
    <row r="1894" ht="14.25" customHeight="1">
      <c r="A1894" s="124"/>
      <c r="B1894" s="6" t="s">
        <v>301</v>
      </c>
      <c r="C1894" s="124"/>
      <c r="D1894" s="185" t="s">
        <v>97</v>
      </c>
      <c r="E1894" s="260"/>
      <c r="F1894" s="187">
        <v>1.0</v>
      </c>
      <c r="G1894" s="187">
        <v>3.0</v>
      </c>
      <c r="H1894" s="195"/>
      <c r="I1894" s="164"/>
      <c r="J1894" s="248">
        <v>8.5</v>
      </c>
      <c r="K1894" s="164"/>
      <c r="L1894" s="134">
        <f>I1758</f>
        <v>290</v>
      </c>
      <c r="M1894" s="135">
        <f>iferror(mround($O1758*((VLOOKUP($J1894,Sheet1!$D:$N,$G1894+1,FALSE)-0.03)),2.5)," ")</f>
        <v>0</v>
      </c>
      <c r="N1894" s="135">
        <f>iferror(mround($O1758*((VLOOKUP($J1894,Sheet1!$D:$N,$G1894+1,FALSE)+0.02)),2.5)," ")</f>
        <v>0</v>
      </c>
      <c r="O1894" s="112" t="str">
        <f>iferror(mround(I1894/VLOOKUP(K1894,Sheet1!$D$7:$N$16,G1894+1,FALSE),2.5),"")</f>
        <v/>
      </c>
      <c r="P1894" s="136">
        <f t="shared" si="71"/>
        <v>-290</v>
      </c>
      <c r="R1894" s="11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</row>
    <row r="1895" ht="3.75" customHeight="1">
      <c r="A1895" s="124"/>
      <c r="B1895" s="6"/>
      <c r="C1895" s="124"/>
      <c r="D1895" s="138"/>
      <c r="E1895" s="252"/>
      <c r="F1895" s="102"/>
      <c r="G1895" s="102"/>
      <c r="H1895" s="102"/>
      <c r="I1895" s="102"/>
      <c r="J1895" s="156"/>
      <c r="K1895" s="210"/>
      <c r="L1895" s="144"/>
      <c r="M1895" s="145"/>
      <c r="N1895" s="145"/>
      <c r="O1895" s="122"/>
      <c r="P1895" s="146" t="str">
        <f t="shared" si="71"/>
        <v/>
      </c>
      <c r="R1895" s="11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</row>
    <row r="1896" ht="14.25" customHeight="1">
      <c r="A1896" s="124"/>
      <c r="B1896" s="6"/>
      <c r="C1896" s="124"/>
      <c r="D1896" s="185" t="s">
        <v>97</v>
      </c>
      <c r="E1896" s="260"/>
      <c r="F1896" s="187">
        <v>4.0</v>
      </c>
      <c r="G1896" s="187">
        <v>3.0</v>
      </c>
      <c r="H1896" s="195"/>
      <c r="I1896" s="164"/>
      <c r="J1896" s="779">
        <v>-0.12</v>
      </c>
      <c r="K1896" s="164"/>
      <c r="L1896" s="134" t="str">
        <f>I1760</f>
        <v/>
      </c>
      <c r="M1896" s="135" t="str">
        <f>iferror(mround($O1760*((VLOOKUP($J1896,Sheet1!$D:$N,$G1896+1,FALSE)-0.03)),2.5)," ")</f>
        <v> </v>
      </c>
      <c r="N1896" s="135" t="str">
        <f>iferror(mround($O1760*((VLOOKUP($J1896,Sheet1!$D:$N,$G1896+1,FALSE)+0.02)),2.5)," ")</f>
        <v> </v>
      </c>
      <c r="O1896" s="112" t="str">
        <f>iferror(mround(I1896/VLOOKUP(K1896,Sheet1!$D$7:$N$16,G1896+1,FALSE),2.5),"")</f>
        <v/>
      </c>
      <c r="P1896" s="136" t="str">
        <f t="shared" si="71"/>
        <v/>
      </c>
      <c r="R1896" s="11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</row>
    <row r="1897" ht="3.75" customHeight="1">
      <c r="A1897" s="124"/>
      <c r="B1897" s="6"/>
      <c r="C1897" s="124"/>
      <c r="D1897" s="138"/>
      <c r="E1897" s="252"/>
      <c r="F1897" s="102"/>
      <c r="G1897" s="102"/>
      <c r="H1897" s="102"/>
      <c r="I1897" s="102"/>
      <c r="J1897" s="156"/>
      <c r="K1897" s="210"/>
      <c r="L1897" s="144"/>
      <c r="M1897" s="145"/>
      <c r="N1897" s="145"/>
      <c r="O1897" s="122"/>
      <c r="P1897" s="146" t="str">
        <f t="shared" si="71"/>
        <v/>
      </c>
      <c r="R1897" s="11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</row>
    <row r="1898" ht="14.25" hidden="1" customHeight="1">
      <c r="A1898" s="124"/>
      <c r="B1898" s="6"/>
      <c r="C1898" s="124"/>
      <c r="D1898" s="185"/>
      <c r="E1898" s="260"/>
      <c r="F1898" s="187"/>
      <c r="G1898" s="187"/>
      <c r="H1898" s="195"/>
      <c r="I1898" s="164"/>
      <c r="J1898" s="248"/>
      <c r="K1898" s="164"/>
      <c r="L1898" s="134"/>
      <c r="M1898" s="135" t="str">
        <f>iferror(mround($O1762*((VLOOKUP($J1898,Sheet1!$D:$N,$G1898+1,FALSE)-0.03)),2.5)," ")</f>
        <v> </v>
      </c>
      <c r="N1898" s="135" t="str">
        <f>iferror(mround($O1762*((VLOOKUP($J1898,Sheet1!$D:$N,$G1898+1,FALSE)+0.02)),2.5)," ")</f>
        <v> </v>
      </c>
      <c r="O1898" s="112" t="str">
        <f>iferror(mround(I1898/VLOOKUP(K1898,Sheet1!$D$7:$N$16,G1898+1,FALSE),2.5),"")</f>
        <v/>
      </c>
      <c r="P1898" s="136" t="str">
        <f t="shared" si="71"/>
        <v/>
      </c>
      <c r="R1898" s="11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</row>
    <row r="1899" ht="3.75" hidden="1" customHeight="1">
      <c r="A1899" s="124"/>
      <c r="B1899" s="6"/>
      <c r="C1899" s="124"/>
      <c r="D1899" s="138"/>
      <c r="E1899" s="252"/>
      <c r="F1899" s="102"/>
      <c r="G1899" s="102"/>
      <c r="H1899" s="102"/>
      <c r="I1899" s="102"/>
      <c r="J1899" s="156"/>
      <c r="K1899" s="210"/>
      <c r="L1899" s="144"/>
      <c r="M1899" s="135" t="str">
        <f>iferror(mround($O1763*((VLOOKUP($J1899,Sheet1!$D:$N,$G1899+1,FALSE)-0.03)),2.5)," ")</f>
        <v> </v>
      </c>
      <c r="N1899" s="135" t="str">
        <f>iferror(mround($O1763*((VLOOKUP($J1899,Sheet1!$D:$N,$G1899+1,FALSE)+0.02)),2.5)," ")</f>
        <v> </v>
      </c>
      <c r="O1899" s="122"/>
      <c r="P1899" s="146" t="str">
        <f t="shared" si="71"/>
        <v/>
      </c>
      <c r="R1899" s="11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</row>
    <row r="1900" ht="14.25" customHeight="1">
      <c r="A1900" s="124"/>
      <c r="B1900" s="6" t="s">
        <v>301</v>
      </c>
      <c r="C1900" s="124"/>
      <c r="D1900" s="185" t="s">
        <v>33</v>
      </c>
      <c r="E1900" s="260"/>
      <c r="F1900" s="187">
        <v>1.0</v>
      </c>
      <c r="G1900" s="187">
        <v>2.0</v>
      </c>
      <c r="H1900" s="195"/>
      <c r="I1900" s="164"/>
      <c r="J1900" s="248">
        <v>9.0</v>
      </c>
      <c r="K1900" s="164"/>
      <c r="L1900" s="134">
        <f>I1764</f>
        <v>160</v>
      </c>
      <c r="M1900" s="135">
        <f>iferror(mround($O1764*((VLOOKUP($J1900,Sheet1!$D:$N,$G1900+1,FALSE)-0.03)),2.5)," ")</f>
        <v>0</v>
      </c>
      <c r="N1900" s="135">
        <f>iferror(mround($O1764*((VLOOKUP($J1900,Sheet1!$D:$N,$G1900+1,FALSE)+0.02)),2.5)," ")</f>
        <v>0</v>
      </c>
      <c r="O1900" s="112" t="str">
        <f>iferror(mround(I1900/VLOOKUP(K1900,Sheet1!$D$7:$N$16,G1900+1,FALSE),2.5),"")</f>
        <v/>
      </c>
      <c r="P1900" s="136">
        <f t="shared" si="71"/>
        <v>-160</v>
      </c>
      <c r="R1900" s="11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</row>
    <row r="1901" ht="3.75" customHeight="1">
      <c r="A1901" s="261"/>
      <c r="B1901" s="6"/>
      <c r="C1901" s="262"/>
      <c r="D1901" s="138"/>
      <c r="E1901" s="252"/>
      <c r="F1901" s="102"/>
      <c r="G1901" s="102"/>
      <c r="H1901" s="102"/>
      <c r="I1901" s="102"/>
      <c r="J1901" s="156"/>
      <c r="K1901" s="210"/>
      <c r="L1901" s="144"/>
      <c r="M1901" s="145"/>
      <c r="N1901" s="145"/>
      <c r="O1901" s="122"/>
      <c r="P1901" s="146" t="str">
        <f t="shared" si="71"/>
        <v/>
      </c>
      <c r="R1901" s="157"/>
      <c r="S1901" s="5"/>
      <c r="T1901" s="5"/>
      <c r="U1901" s="158"/>
      <c r="V1901" s="158"/>
      <c r="W1901" s="158"/>
      <c r="X1901" s="158"/>
      <c r="Y1901" s="158"/>
      <c r="Z1901" s="158"/>
      <c r="AA1901" s="158"/>
      <c r="AB1901" s="158"/>
      <c r="AC1901" s="158"/>
      <c r="AD1901" s="158"/>
      <c r="AE1901" s="158"/>
      <c r="AF1901" s="158"/>
    </row>
    <row r="1902" ht="14.25" customHeight="1">
      <c r="A1902" s="124"/>
      <c r="B1902" s="6"/>
      <c r="C1902" s="124"/>
      <c r="D1902" s="185" t="s">
        <v>33</v>
      </c>
      <c r="E1902" s="260"/>
      <c r="F1902" s="187">
        <v>4.0</v>
      </c>
      <c r="G1902" s="187">
        <v>4.0</v>
      </c>
      <c r="H1902" s="195"/>
      <c r="I1902" s="164">
        <f>MROUND(I1900*(1+J1902),2.5)</f>
        <v>0</v>
      </c>
      <c r="J1902" s="779">
        <v>-0.12</v>
      </c>
      <c r="K1902" s="164"/>
      <c r="L1902" s="134">
        <f>I1766</f>
        <v>140</v>
      </c>
      <c r="M1902" s="135" t="str">
        <f>iferror(mround($O1766*((VLOOKUP($J1902,Sheet1!$D:$N,$G1902+1,FALSE)-0.03)),2.5)," ")</f>
        <v> </v>
      </c>
      <c r="N1902" s="135" t="str">
        <f>iferror(mround($O1766*((VLOOKUP($J1902,Sheet1!$D:$N,$G1902+1,FALSE)+0.02)),2.5)," ")</f>
        <v> </v>
      </c>
      <c r="O1902" s="112" t="str">
        <f>iferror(mround(I1902/VLOOKUP(K1902,Sheet1!$D$7:$N$16,G1902+1,FALSE),2.5),"")</f>
        <v/>
      </c>
      <c r="P1902" s="136">
        <f t="shared" si="71"/>
        <v>-140</v>
      </c>
      <c r="R1902" s="11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</row>
    <row r="1903" ht="3.75" customHeight="1">
      <c r="A1903" s="261"/>
      <c r="B1903" s="6"/>
      <c r="C1903" s="262"/>
      <c r="D1903" s="138"/>
      <c r="E1903" s="252"/>
      <c r="F1903" s="102"/>
      <c r="G1903" s="102"/>
      <c r="H1903" s="102"/>
      <c r="I1903" s="102"/>
      <c r="J1903" s="156"/>
      <c r="K1903" s="210"/>
      <c r="L1903" s="144"/>
      <c r="M1903" s="145"/>
      <c r="N1903" s="145"/>
      <c r="O1903" s="122"/>
      <c r="P1903" s="146" t="str">
        <f t="shared" si="71"/>
        <v/>
      </c>
      <c r="R1903" s="157"/>
      <c r="S1903" s="5"/>
      <c r="T1903" s="5"/>
      <c r="U1903" s="158"/>
      <c r="V1903" s="158"/>
      <c r="W1903" s="158"/>
      <c r="X1903" s="158"/>
      <c r="Y1903" s="158"/>
      <c r="Z1903" s="158"/>
      <c r="AA1903" s="158"/>
      <c r="AB1903" s="158"/>
      <c r="AC1903" s="158"/>
      <c r="AD1903" s="158"/>
      <c r="AE1903" s="158"/>
      <c r="AF1903" s="158"/>
    </row>
    <row r="1904" ht="15.75" hidden="1" customHeight="1">
      <c r="A1904" s="124"/>
      <c r="B1904" s="6"/>
      <c r="C1904" s="124"/>
      <c r="D1904" s="185"/>
      <c r="E1904" s="260"/>
      <c r="F1904" s="187"/>
      <c r="G1904" s="187"/>
      <c r="H1904" s="195"/>
      <c r="I1904" s="247"/>
      <c r="J1904" s="248"/>
      <c r="K1904" s="164"/>
      <c r="L1904" s="134"/>
      <c r="M1904" s="135" t="str">
        <f>iferror(mround($O1768*((VLOOKUP($J1904,Sheet1!$D:$N,$G1904+1,FALSE)-0.03)),2.5)," ")</f>
        <v> </v>
      </c>
      <c r="N1904" s="135" t="str">
        <f>iferror(mround($O1768*((VLOOKUP($J1904,Sheet1!$D:$N,$G1904+1,FALSE)+0.02)),2.5)," ")</f>
        <v> </v>
      </c>
      <c r="O1904" s="112" t="str">
        <f>iferror(mround(I1904/VLOOKUP(K1904,Sheet1!$D$7:$N$16,G1904+1,FALSE),2.5),"")</f>
        <v/>
      </c>
      <c r="P1904" s="136" t="str">
        <f t="shared" si="71"/>
        <v/>
      </c>
      <c r="R1904" s="11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</row>
    <row r="1905" ht="3.75" hidden="1" customHeight="1">
      <c r="A1905" s="124"/>
      <c r="B1905" s="6"/>
      <c r="C1905" s="124"/>
      <c r="D1905" s="263"/>
      <c r="E1905" s="252"/>
      <c r="F1905" s="102"/>
      <c r="G1905" s="102"/>
      <c r="H1905" s="102"/>
      <c r="I1905" s="102"/>
      <c r="J1905" s="156"/>
      <c r="K1905" s="210"/>
      <c r="L1905" s="144"/>
      <c r="M1905" s="135" t="str">
        <f>iferror(mround($O1769*((VLOOKUP($J1905,Sheet1!$D:$N,$G1905+1,FALSE)-0.03)),2.5)," ")</f>
        <v> </v>
      </c>
      <c r="N1905" s="135" t="str">
        <f>iferror(mround($O1769*((VLOOKUP($J1905,Sheet1!$D:$N,$G1905+1,FALSE)+0.02)),2.5)," ")</f>
        <v> </v>
      </c>
      <c r="O1905" s="122"/>
      <c r="P1905" s="146" t="str">
        <f t="shared" si="71"/>
        <v/>
      </c>
      <c r="R1905" s="11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</row>
    <row r="1906" ht="14.25" customHeight="1">
      <c r="A1906" s="90"/>
      <c r="B1906" s="6"/>
      <c r="C1906" s="90"/>
      <c r="D1906" s="185" t="s">
        <v>54</v>
      </c>
      <c r="E1906" s="264"/>
      <c r="F1906" s="187">
        <v>3.0</v>
      </c>
      <c r="G1906" s="731" t="s">
        <v>260</v>
      </c>
      <c r="H1906" s="195"/>
      <c r="I1906" s="164"/>
      <c r="J1906" s="248">
        <v>8.0</v>
      </c>
      <c r="K1906" s="164"/>
      <c r="L1906" s="134" t="str">
        <f>I1770</f>
        <v/>
      </c>
      <c r="M1906" s="135" t="str">
        <f>iferror(mround($O1770*((VLOOKUP($J1906,Sheet1!$D:$N,$G1906+1,FALSE)-0.03)),2.5)," ")</f>
        <v> </v>
      </c>
      <c r="N1906" s="135" t="str">
        <f>iferror(mround($O1770*((VLOOKUP($J1906,Sheet1!$D:$N,$G1906+1,FALSE)+0.02)),2.5)," ")</f>
        <v> </v>
      </c>
      <c r="O1906" s="112" t="str">
        <f>iferror(mround(I1906/VLOOKUP(K1906,Sheet1!$D$7:$N$16,G1906+1,FALSE),2.5),"")</f>
        <v/>
      </c>
      <c r="P1906" s="136" t="str">
        <f t="shared" si="71"/>
        <v/>
      </c>
      <c r="R1906" s="11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</row>
    <row r="1907" ht="3.75" customHeight="1">
      <c r="A1907" s="261"/>
      <c r="B1907" s="6"/>
      <c r="C1907" s="262"/>
      <c r="D1907" s="263"/>
      <c r="E1907" s="263"/>
      <c r="F1907" s="194"/>
      <c r="G1907" s="194"/>
      <c r="H1907" s="155"/>
      <c r="I1907" s="210"/>
      <c r="J1907" s="265"/>
      <c r="K1907" s="210"/>
      <c r="L1907" s="144"/>
      <c r="M1907" s="145"/>
      <c r="N1907" s="145"/>
      <c r="O1907" s="122"/>
      <c r="P1907" s="146" t="str">
        <f t="shared" si="71"/>
        <v/>
      </c>
      <c r="R1907" s="157"/>
      <c r="S1907" s="5"/>
      <c r="T1907" s="5"/>
      <c r="U1907" s="158"/>
      <c r="V1907" s="158"/>
      <c r="W1907" s="158"/>
      <c r="X1907" s="158"/>
      <c r="Y1907" s="158"/>
      <c r="Z1907" s="158"/>
      <c r="AA1907" s="158"/>
      <c r="AB1907" s="158"/>
      <c r="AC1907" s="158"/>
      <c r="AD1907" s="158"/>
      <c r="AE1907" s="158"/>
      <c r="AF1907" s="158"/>
    </row>
    <row r="1908" ht="15.75" hidden="1" customHeight="1">
      <c r="A1908" s="90"/>
      <c r="B1908" s="6"/>
      <c r="C1908" s="90"/>
      <c r="D1908" s="185"/>
      <c r="E1908" s="266"/>
      <c r="F1908" s="187"/>
      <c r="G1908" s="187"/>
      <c r="H1908" s="195"/>
      <c r="I1908" s="164"/>
      <c r="J1908" s="248"/>
      <c r="K1908" s="164"/>
      <c r="L1908" s="134"/>
      <c r="M1908" s="135" t="str">
        <f>iferror(mround($O1772*((VLOOKUP($J1908,Sheet1!$D:$N,$G1908+1,FALSE)-0.03)),2.5)," ")</f>
        <v> </v>
      </c>
      <c r="N1908" s="135" t="str">
        <f>iferror(mround($O1772*((VLOOKUP($J1908,Sheet1!$D:$N,$G1908+1,FALSE)+0.02)),2.5)," ")</f>
        <v> </v>
      </c>
      <c r="O1908" s="112" t="str">
        <f>iferror(mround(I1908/VLOOKUP(K1908,Sheet1!$D$7:$N$16,G1908+1,FALSE),2.5),"")</f>
        <v/>
      </c>
      <c r="P1908" s="136" t="str">
        <f t="shared" si="71"/>
        <v/>
      </c>
      <c r="R1908" s="11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</row>
    <row r="1909" ht="3.75" hidden="1" customHeight="1">
      <c r="A1909" s="90"/>
      <c r="B1909" s="6"/>
      <c r="C1909" s="90"/>
      <c r="D1909" s="138"/>
      <c r="E1909" s="252"/>
      <c r="F1909" s="102"/>
      <c r="G1909" s="102"/>
      <c r="H1909" s="102"/>
      <c r="I1909" s="102"/>
      <c r="J1909" s="156"/>
      <c r="K1909" s="210"/>
      <c r="L1909" s="144"/>
      <c r="M1909" s="135" t="str">
        <f>iferror(mround($O1773*((VLOOKUP($J1909,Sheet1!$D:$N,$G1909+1,FALSE)-0.03)),2.5)," ")</f>
        <v> </v>
      </c>
      <c r="N1909" s="135" t="str">
        <f>iferror(mround($O1773*((VLOOKUP($J1909,Sheet1!$D:$N,$G1909+1,FALSE)+0.02)),2.5)," ")</f>
        <v> </v>
      </c>
      <c r="O1909" s="122"/>
      <c r="P1909" s="146" t="str">
        <f t="shared" si="71"/>
        <v/>
      </c>
      <c r="R1909" s="11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</row>
    <row r="1910" ht="15.75" customHeight="1">
      <c r="A1910" s="90"/>
      <c r="B1910" s="6"/>
      <c r="C1910" s="90"/>
      <c r="D1910" s="185" t="s">
        <v>267</v>
      </c>
      <c r="E1910" s="264"/>
      <c r="F1910" s="187">
        <v>3.0</v>
      </c>
      <c r="G1910" s="731" t="s">
        <v>260</v>
      </c>
      <c r="H1910" s="195"/>
      <c r="I1910" s="164"/>
      <c r="J1910" s="248">
        <v>8.0</v>
      </c>
      <c r="K1910" s="164"/>
      <c r="L1910" s="134" t="str">
        <f>I1774</f>
        <v/>
      </c>
      <c r="M1910" s="135" t="str">
        <f>iferror(mround($O1774*((VLOOKUP($J1910,Sheet1!$D:$N,$G1910+1,FALSE)-0.03)),2.5)," ")</f>
        <v> </v>
      </c>
      <c r="N1910" s="135" t="str">
        <f>iferror(mround($O1774*((VLOOKUP($J1910,Sheet1!$D:$N,$G1910+1,FALSE)+0.02)),2.5)," ")</f>
        <v> </v>
      </c>
      <c r="O1910" s="112" t="str">
        <f>iferror(mround(I1910/VLOOKUP(K1910,Sheet1!$D$7:$N$16,G1910+1,FALSE),2.5),"")</f>
        <v/>
      </c>
      <c r="P1910" s="136" t="str">
        <f t="shared" si="71"/>
        <v/>
      </c>
      <c r="R1910" s="11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</row>
    <row r="1911" ht="3.75" customHeight="1">
      <c r="A1911" s="191"/>
      <c r="B1911" s="6"/>
      <c r="C1911" s="192"/>
      <c r="D1911" s="138"/>
      <c r="E1911" s="252"/>
      <c r="F1911" s="102"/>
      <c r="G1911" s="102"/>
      <c r="H1911" s="102"/>
      <c r="I1911" s="102"/>
      <c r="J1911" s="156"/>
      <c r="K1911" s="210"/>
      <c r="L1911" s="144"/>
      <c r="M1911" s="145"/>
      <c r="N1911" s="145"/>
      <c r="O1911" s="122"/>
      <c r="P1911" s="146" t="str">
        <f t="shared" si="71"/>
        <v/>
      </c>
      <c r="R1911" s="157"/>
      <c r="S1911" s="5"/>
      <c r="T1911" s="5"/>
      <c r="U1911" s="158"/>
      <c r="V1911" s="158"/>
      <c r="W1911" s="158"/>
      <c r="X1911" s="158"/>
      <c r="Y1911" s="158"/>
      <c r="Z1911" s="158"/>
      <c r="AA1911" s="158"/>
      <c r="AB1911" s="158"/>
      <c r="AC1911" s="158"/>
      <c r="AD1911" s="158"/>
      <c r="AE1911" s="158"/>
      <c r="AF1911" s="158"/>
    </row>
    <row r="1912" ht="15.75" customHeight="1">
      <c r="A1912" s="90"/>
      <c r="B1912" s="6"/>
      <c r="C1912" s="90"/>
      <c r="D1912" s="185" t="s">
        <v>270</v>
      </c>
      <c r="E1912" s="260"/>
      <c r="F1912" s="187">
        <v>3.0</v>
      </c>
      <c r="G1912" s="731" t="s">
        <v>260</v>
      </c>
      <c r="H1912" s="195"/>
      <c r="I1912" s="164"/>
      <c r="J1912" s="248">
        <v>9.0</v>
      </c>
      <c r="K1912" s="164"/>
      <c r="L1912" s="134" t="str">
        <f>I1776</f>
        <v/>
      </c>
      <c r="M1912" s="135" t="str">
        <f>iferror(mround($O1776*((VLOOKUP($J1912,Sheet1!$D:$N,$G1912+1,FALSE)-0.03)),2.5)," ")</f>
        <v> </v>
      </c>
      <c r="N1912" s="135" t="str">
        <f>iferror(mround($O1776*((VLOOKUP($J1912,Sheet1!$D:$N,$G1912+1,FALSE)+0.02)),2.5)," ")</f>
        <v> </v>
      </c>
      <c r="O1912" s="112" t="str">
        <f>iferror(mround(I1912/VLOOKUP(K1912,Sheet1!$D$7:$N$16,G1912+1,FALSE),2.5),"")</f>
        <v/>
      </c>
      <c r="P1912" s="136" t="str">
        <f t="shared" si="71"/>
        <v/>
      </c>
      <c r="R1912" s="11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</row>
    <row r="1913" ht="3.75" customHeight="1">
      <c r="A1913" s="90"/>
      <c r="B1913" s="6"/>
      <c r="C1913" s="90"/>
      <c r="D1913" s="263"/>
      <c r="E1913" s="252"/>
      <c r="F1913" s="102"/>
      <c r="G1913" s="102"/>
      <c r="H1913" s="102"/>
      <c r="I1913" s="102"/>
      <c r="J1913" s="156"/>
      <c r="K1913" s="210"/>
      <c r="L1913" s="144"/>
      <c r="M1913" s="145"/>
      <c r="N1913" s="145"/>
      <c r="O1913" s="122"/>
      <c r="P1913" s="146" t="str">
        <f t="shared" si="71"/>
        <v/>
      </c>
      <c r="R1913" s="11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</row>
    <row r="1914" ht="15.75" customHeight="1">
      <c r="A1914" s="90"/>
      <c r="B1914" s="6"/>
      <c r="C1914" s="90"/>
      <c r="D1914" s="185" t="s">
        <v>256</v>
      </c>
      <c r="E1914" s="266"/>
      <c r="F1914" s="187">
        <v>3.0</v>
      </c>
      <c r="G1914" s="187" t="s">
        <v>16</v>
      </c>
      <c r="H1914" s="195"/>
      <c r="I1914" s="164"/>
      <c r="J1914" s="248">
        <v>9.0</v>
      </c>
      <c r="K1914" s="164"/>
      <c r="L1914" s="134" t="str">
        <f>I1778</f>
        <v/>
      </c>
      <c r="M1914" s="135" t="str">
        <f>iferror(mround($O1778*((VLOOKUP($J1914,Sheet1!$D:$N,$G1914+1,FALSE)-0.03)),2.5)," ")</f>
        <v> </v>
      </c>
      <c r="N1914" s="135" t="str">
        <f>iferror(mround($O1778*((VLOOKUP($J1914,Sheet1!$D:$N,$G1914+1,FALSE)+0.02)),2.5)," ")</f>
        <v> </v>
      </c>
      <c r="O1914" s="112" t="str">
        <f>iferror(mround(I1914/VLOOKUP(K1914,Sheet1!$D$7:$N$16,G1914+1,FALSE),2.5),"")</f>
        <v/>
      </c>
      <c r="P1914" s="136" t="str">
        <f t="shared" si="71"/>
        <v/>
      </c>
      <c r="R1914" s="11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</row>
    <row r="1915" ht="3.75" customHeight="1">
      <c r="A1915" s="191"/>
      <c r="B1915" s="6"/>
      <c r="C1915" s="192"/>
      <c r="D1915" s="192"/>
      <c r="E1915" s="267"/>
      <c r="F1915" s="194"/>
      <c r="G1915" s="194"/>
      <c r="H1915" s="155"/>
      <c r="I1915" s="210"/>
      <c r="J1915" s="268"/>
      <c r="K1915" s="782"/>
      <c r="L1915" s="270"/>
      <c r="M1915" s="269"/>
      <c r="N1915" s="269"/>
      <c r="O1915" s="271"/>
      <c r="P1915" s="272"/>
      <c r="Q1915" s="273"/>
      <c r="R1915" s="157"/>
      <c r="S1915" s="5"/>
      <c r="T1915" s="5"/>
      <c r="U1915" s="158"/>
      <c r="V1915" s="158"/>
      <c r="W1915" s="158"/>
      <c r="X1915" s="158"/>
      <c r="Y1915" s="158"/>
      <c r="Z1915" s="158"/>
      <c r="AA1915" s="158"/>
      <c r="AB1915" s="158"/>
      <c r="AC1915" s="158"/>
      <c r="AD1915" s="158"/>
      <c r="AE1915" s="158"/>
      <c r="AF1915" s="158"/>
    </row>
    <row r="1916" ht="14.25" customHeight="1">
      <c r="A1916" s="5"/>
      <c r="B1916" s="6"/>
      <c r="C1916" s="5"/>
      <c r="D1916" s="274"/>
      <c r="E1916" s="266"/>
      <c r="F1916" s="187"/>
      <c r="G1916" s="187"/>
      <c r="H1916" s="195"/>
      <c r="I1916" s="129"/>
      <c r="J1916" s="275"/>
      <c r="K1916" s="274"/>
      <c r="L1916" s="187"/>
      <c r="M1916" s="187"/>
      <c r="N1916" s="187"/>
      <c r="O1916" s="277"/>
      <c r="P1916" s="278"/>
      <c r="Q1916" s="279"/>
      <c r="R1916" s="11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</row>
    <row r="1917" ht="14.25" customHeight="1">
      <c r="A1917" s="5"/>
      <c r="B1917" s="6"/>
      <c r="C1917" s="5"/>
      <c r="D1917" s="274" t="s">
        <v>59</v>
      </c>
      <c r="E1917" s="266" t="s">
        <v>16</v>
      </c>
      <c r="F1917" s="187" t="s">
        <v>17</v>
      </c>
      <c r="G1917" s="187" t="s">
        <v>60</v>
      </c>
      <c r="H1917" s="187"/>
      <c r="I1917" s="280" t="s">
        <v>61</v>
      </c>
      <c r="J1917" s="266" t="s">
        <v>62</v>
      </c>
      <c r="K1917" s="274"/>
      <c r="L1917" s="285"/>
      <c r="M1917" s="285"/>
      <c r="N1917" s="285"/>
      <c r="O1917" s="282"/>
      <c r="P1917" s="278"/>
      <c r="Q1917" s="279"/>
      <c r="R1917" s="11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</row>
    <row r="1918" ht="14.25" customHeight="1">
      <c r="A1918" s="5"/>
      <c r="B1918" s="6"/>
      <c r="C1918" s="5"/>
      <c r="D1918" s="274" t="s">
        <v>6</v>
      </c>
      <c r="E1918" s="283">
        <f>IFERROR(__xludf.DUMMYFUNCTION("SUM(FILTER(F1793:F1917, ISNUMBER(SEARCH(""squat"", D1793:D1917))))"),10.0)</f>
        <v>10</v>
      </c>
      <c r="F1918" s="284">
        <f>IFERROR(__xludf.DUMMYFUNCTION("SUMPRODUCT(FILTER(F1793:F1917 * G1793:G1917, ISNUMBER(SEARCH(""squat"", D1793:D1917))))"),43.0)</f>
        <v>43</v>
      </c>
      <c r="G1918" s="135">
        <f>IFERROR(__xludf.DUMMYFUNCTION("ROUND(SUMPRODUCT(FILTER(F1793:F1917 * G1793:G1917 * I1793:I1917, ISNUMBER(SEARCH(""squat"", D1793:D1917)))), 0)"),1620.0)</f>
        <v>1620</v>
      </c>
      <c r="H1918" s="285"/>
      <c r="I1918" s="135" t="str">
        <f>IFERROR(__xludf.DUMMYFUNCTION("ROUND(AVERAGE(FILTER(I1793:I1917, ISNUMBER(SEARCH(""squat"", D1793:D1917)), I1793:I1917 &lt;&gt; """")) / J1918 * 100, 0)"),"#VALUE!")</f>
        <v>#VALUE!</v>
      </c>
      <c r="J1918" s="283" t="str">
        <f>IFERROR(__xludf.DUMMYFUNCTION("IFERROR(MROUND(AVERAGE(FILTER(O1793:O1917, D1793:D1917 = ""comp squat"", O1793:O1917 &lt;&gt; """", O1793:O1917 &gt;= 0.9 * MAX(FILTER(O1793:O1917, D1793:D1917 = ""comp squat"", O1793:O1917 &lt;&gt; """")), O1793:O1917 &lt;= 1.1 * MAX(FILTER(O1793:O1917, D1793:D1917 = ""co"&amp;"mp squat"", O1793:O1917 &lt;&gt; """")))), 2.5), ""No valid data"")"),"No valid data")</f>
        <v>No valid data</v>
      </c>
      <c r="K1918" s="274"/>
      <c r="L1918" s="305"/>
      <c r="M1918" s="305"/>
      <c r="N1918" s="305"/>
      <c r="O1918" s="282"/>
      <c r="P1918" s="278"/>
      <c r="Q1918" s="60"/>
      <c r="R1918" s="11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</row>
    <row r="1919" ht="3.0" customHeight="1">
      <c r="A1919" s="5"/>
      <c r="B1919" s="6"/>
      <c r="C1919" s="5"/>
      <c r="D1919" s="90"/>
      <c r="E1919" s="156"/>
      <c r="F1919" s="102"/>
      <c r="G1919" s="145"/>
      <c r="H1919" s="102"/>
      <c r="I1919" s="145"/>
      <c r="J1919" s="156"/>
      <c r="K1919" s="274"/>
      <c r="L1919" s="284"/>
      <c r="M1919" s="284"/>
      <c r="N1919" s="305"/>
      <c r="O1919" s="282"/>
      <c r="P1919" s="278"/>
      <c r="Q1919" s="783"/>
      <c r="R1919" s="11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</row>
    <row r="1920" ht="15.75" customHeight="1">
      <c r="A1920" s="5"/>
      <c r="B1920" s="6"/>
      <c r="C1920" s="5"/>
      <c r="D1920" s="274" t="s">
        <v>66</v>
      </c>
      <c r="E1920" s="293">
        <f>IFERROR(__xludf.DUMMYFUNCTION("SUM(FILTER(F1793:F1917, ISNUMBER(SEARCH(""bench press"", D1793:D1917))))"),16.0)</f>
        <v>16</v>
      </c>
      <c r="F1920" s="284">
        <f>IFERROR(__xludf.DUMMYFUNCTION("SUMPRODUCT(FILTER(F1794:F1918 * G1794:G1918, ISNUMBER(SEARCH(""bench press"", D1794:D1918))))"),73.0)</f>
        <v>73</v>
      </c>
      <c r="G1920" s="135">
        <f>IFERROR(__xludf.DUMMYFUNCTION("ROUND(SUMPRODUCT(FILTER(F1793:F1917 * G1793:G1917 * I1793:I1917, ISNUMBER(SEARCH(""bench press"", D1793:D1917)))), 0)"),2160.0)</f>
        <v>2160</v>
      </c>
      <c r="H1920" s="285"/>
      <c r="I1920" s="135" t="str">
        <f>IFERROR(__xludf.DUMMYFUNCTION("ROUND(AVERAGE(FILTER(I1793:I1917, ISNUMBER(SEARCH(""bench press"", D1793:D1917)), I1793:I1917 &lt;&gt; """")) / J1920 * 100, 0)"),"#VALUE!")</f>
        <v>#VALUE!</v>
      </c>
      <c r="J1920" s="293" t="str">
        <f>IFERROR(__xludf.DUMMYFUNCTION("IFERROR(MROUND(AVERAGE(FILTER(O1793:O1917, D1793:D1917 = ""comp bench press"", O1793:O1917 &lt;&gt; """", O1793:O1917 &gt;= 0.9 * MAX(FILTER(O1793:O1917, D1793:D1917 = ""comp bench press"", O1793:O1917 &lt;&gt; """")), O1793:O1917 &lt;= 1.1 * MAX(FILTER(O1793:O1917, D1793:"&amp;"D1917 = ""comp bench press"", O1793:O1917 &lt;&gt; """")))), 2.5), ""No valid data"")"),"No valid data")</f>
        <v>No valid data</v>
      </c>
      <c r="K1920" s="274"/>
      <c r="L1920" s="285"/>
      <c r="M1920" s="285"/>
      <c r="N1920" s="305"/>
      <c r="O1920" s="282"/>
      <c r="P1920" s="278"/>
      <c r="Q1920" s="279"/>
      <c r="R1920" s="11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</row>
    <row r="1921" ht="3.0" customHeight="1">
      <c r="A1921" s="5"/>
      <c r="B1921" s="6"/>
      <c r="C1921" s="5"/>
      <c r="D1921" s="90"/>
      <c r="E1921" s="156"/>
      <c r="F1921" s="102"/>
      <c r="G1921" s="145"/>
      <c r="H1921" s="102"/>
      <c r="I1921" s="145"/>
      <c r="J1921" s="156"/>
      <c r="K1921" s="274"/>
      <c r="L1921" s="285"/>
      <c r="M1921" s="285"/>
      <c r="N1921" s="284"/>
      <c r="O1921" s="282"/>
      <c r="P1921" s="278"/>
      <c r="Q1921" s="279"/>
      <c r="R1921" s="11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</row>
    <row r="1922" ht="14.25" customHeight="1">
      <c r="A1922" s="5"/>
      <c r="B1922" s="6"/>
      <c r="C1922" s="5"/>
      <c r="D1922" s="274" t="s">
        <v>10</v>
      </c>
      <c r="E1922" s="293">
        <f>IFERROR(__xludf.DUMMYFUNCTION("SUM(FILTER(F1793:F1917, ISNUMBER(SEARCH(""deadlift"", D1793:D1917))))"),9.0)</f>
        <v>9</v>
      </c>
      <c r="F1922" s="284">
        <f>IFERROR(__xludf.DUMMYFUNCTION("SUMPRODUCT(FILTER(F1793:F1917 * G1793:G1917, ISNUMBER(SEARCH(""deadlift"", D1793:D1917))))"),34.0)</f>
        <v>34</v>
      </c>
      <c r="G1922" s="135">
        <f>IFERROR(__xludf.DUMMYFUNCTION("ROUND(SUMPRODUCT(FILTER(F1793:F1917 * G1793:G1917 * I1793:I1917, ISNUMBER(SEARCH(""deadlift"", D1793:D1917)))), 0)"),0.0)</f>
        <v>0</v>
      </c>
      <c r="H1922" s="285"/>
      <c r="I1922" s="135" t="str">
        <f>IFERROR(__xludf.DUMMYFUNCTION("ROUND(AVERAGE(FILTER(I1793:I1917, ISNUMBER(SEARCH(""deadlift"", D1793:D1917)), I1793:I1917 &lt;&gt; """")) / J1922 * 100, 0)"),"#VALUE!")</f>
        <v>#VALUE!</v>
      </c>
      <c r="J1922" s="293" t="str">
        <f>IFERROR(__xludf.DUMMYFUNCTION("IFERROR(MROUND(AVERAGE(FILTER(O1793:O1917, D1793:D1917 = ""comp deadlift"", O1793:O1917 &lt;&gt; """", O1793:O1917 &gt;= 0.9 * MAX(FILTER(O1793:O1917, D1793:D1917 = ""comp deadlift"", O1793:O1917 &lt;&gt; """")), O1793:O1917 &lt;= 1.1 * MAX(FILTER(O1793:O1917, D1793:D1917 "&amp;"= ""comp deadlift"", O1793:O1917 &lt;&gt; """")))), 2.5), ""No valid data"")"),"No valid data")</f>
        <v>No valid data</v>
      </c>
      <c r="K1922" s="274"/>
      <c r="L1922" s="285"/>
      <c r="M1922" s="285"/>
      <c r="N1922" s="285"/>
      <c r="O1922" s="282"/>
      <c r="P1922" s="278"/>
      <c r="Q1922" s="279"/>
      <c r="R1922" s="11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</row>
    <row r="1923" ht="14.25" customHeight="1">
      <c r="A1923" s="5"/>
      <c r="B1923" s="6"/>
      <c r="C1923" s="5"/>
      <c r="D1923" s="274"/>
      <c r="E1923" s="266"/>
      <c r="F1923" s="187"/>
      <c r="G1923" s="187"/>
      <c r="H1923" s="187"/>
      <c r="I1923" s="187"/>
      <c r="J1923" s="295"/>
      <c r="K1923" s="274"/>
      <c r="L1923" s="285"/>
      <c r="M1923" s="285"/>
      <c r="N1923" s="285"/>
      <c r="O1923" s="282"/>
      <c r="P1923" s="278"/>
      <c r="Q1923" s="279"/>
      <c r="R1923" s="11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</row>
    <row r="1924" ht="14.25" customHeight="1">
      <c r="A1924" s="5"/>
      <c r="B1924" s="2"/>
      <c r="C1924" s="5"/>
      <c r="D1924" s="5"/>
      <c r="E1924" s="75"/>
      <c r="F1924" s="3"/>
      <c r="G1924" s="3"/>
      <c r="H1924" s="3"/>
      <c r="I1924" s="3"/>
      <c r="J1924" s="75"/>
      <c r="K1924" s="5"/>
      <c r="L1924" s="47"/>
      <c r="M1924" s="3"/>
      <c r="N1924" s="3"/>
      <c r="O1924" s="3"/>
      <c r="P1924" s="4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</row>
    <row r="1925" ht="19.5" customHeight="1">
      <c r="A1925" s="5"/>
      <c r="B1925" s="6"/>
      <c r="C1925" s="10"/>
      <c r="D1925" s="79" t="s">
        <v>306</v>
      </c>
      <c r="E1925" s="760"/>
      <c r="F1925" s="761"/>
      <c r="G1925" s="761"/>
      <c r="H1925" s="761"/>
      <c r="I1925" s="8"/>
      <c r="J1925" s="762"/>
      <c r="K1925" s="763"/>
      <c r="O1925" s="8"/>
      <c r="P1925" s="9"/>
      <c r="Q1925" s="11"/>
      <c r="R1925" s="10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</row>
    <row r="1926" ht="27.0" customHeight="1">
      <c r="A1926" s="90"/>
      <c r="B1926" s="6"/>
      <c r="C1926" s="91"/>
      <c r="D1926" s="745"/>
      <c r="E1926" s="746"/>
      <c r="F1926" s="81"/>
      <c r="G1926" s="81"/>
      <c r="H1926" s="81"/>
      <c r="I1926" s="81"/>
      <c r="J1926" s="764"/>
      <c r="K1926" s="93"/>
      <c r="L1926" s="93"/>
      <c r="M1926" s="93"/>
      <c r="N1926" s="93"/>
      <c r="O1926" s="296"/>
      <c r="P1926" s="297"/>
      <c r="Q1926" s="298"/>
      <c r="R1926" s="10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</row>
    <row r="1927" ht="14.25" customHeight="1">
      <c r="A1927" s="90"/>
      <c r="B1927" s="6"/>
      <c r="C1927" s="91"/>
      <c r="D1927" s="749" t="str">
        <f>INT((athlete!$A$14 - TODAY()) / 7) &amp; " weeks, " &amp; MOD(athlete!$A$14 - TODAY(), 7) &amp; " day(s) "&amp;"out from:"</f>
        <v>#REF!</v>
      </c>
      <c r="E1927" s="37"/>
      <c r="F1927" s="81" t="str">
        <f>athlete!$A$16</f>
        <v>#REF!</v>
      </c>
      <c r="G1927" s="83"/>
      <c r="H1927" s="83"/>
      <c r="I1927" s="83"/>
      <c r="J1927" s="83"/>
      <c r="L1927" s="93"/>
      <c r="M1927" s="93"/>
      <c r="N1927" s="93"/>
      <c r="O1927" s="94"/>
      <c r="P1927" s="95"/>
      <c r="Q1927" s="96"/>
      <c r="R1927" s="10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</row>
    <row r="1928" ht="3.75" customHeight="1">
      <c r="A1928" s="90"/>
      <c r="B1928" s="6"/>
      <c r="C1928" s="90"/>
      <c r="D1928" s="97"/>
      <c r="E1928" s="98"/>
      <c r="F1928" s="99"/>
      <c r="G1928" s="99"/>
      <c r="H1928" s="99"/>
      <c r="I1928" s="100"/>
      <c r="J1928" s="101"/>
      <c r="K1928" s="90"/>
      <c r="L1928" s="102"/>
      <c r="M1928" s="102"/>
      <c r="N1928" s="102"/>
      <c r="O1928" s="103"/>
      <c r="P1928" s="4"/>
      <c r="Q1928" s="90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</row>
    <row r="1929" ht="31.5" customHeight="1">
      <c r="A1929" s="90"/>
      <c r="B1929" s="6"/>
      <c r="C1929" s="90"/>
      <c r="D1929" s="202" t="s">
        <v>271</v>
      </c>
      <c r="E1929" s="255" t="s">
        <v>15</v>
      </c>
      <c r="F1929" s="106" t="s">
        <v>16</v>
      </c>
      <c r="G1929" s="106" t="s">
        <v>17</v>
      </c>
      <c r="H1929" s="107"/>
      <c r="I1929" s="106" t="s">
        <v>18</v>
      </c>
      <c r="J1929" s="766" t="s">
        <v>241</v>
      </c>
      <c r="K1929" s="767" t="s">
        <v>20</v>
      </c>
      <c r="L1929" s="110" t="s">
        <v>21</v>
      </c>
      <c r="M1929" s="111" t="s">
        <v>22</v>
      </c>
      <c r="O1929" s="112"/>
      <c r="P1929" s="113" t="s">
        <v>23</v>
      </c>
      <c r="Q1929" s="768"/>
      <c r="R1929" s="11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</row>
    <row r="1930" ht="14.25" customHeight="1">
      <c r="A1930" s="90"/>
      <c r="B1930" s="6"/>
      <c r="C1930" s="90"/>
      <c r="D1930" s="257" t="s">
        <v>25</v>
      </c>
      <c r="E1930" s="258" t="s">
        <v>26</v>
      </c>
      <c r="H1930" s="107"/>
      <c r="J1930" s="766" t="s">
        <v>244</v>
      </c>
      <c r="M1930" s="111" t="s">
        <v>27</v>
      </c>
      <c r="N1930" s="111" t="s">
        <v>28</v>
      </c>
      <c r="O1930" s="112" t="s">
        <v>29</v>
      </c>
      <c r="Q1930" s="118" t="s">
        <v>30</v>
      </c>
      <c r="R1930" s="11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</row>
    <row r="1931" ht="3.75" customHeight="1">
      <c r="A1931" s="90"/>
      <c r="B1931" s="6"/>
      <c r="C1931" s="90"/>
      <c r="D1931" s="97"/>
      <c r="E1931" s="98"/>
      <c r="F1931" s="99"/>
      <c r="G1931" s="99"/>
      <c r="H1931" s="99"/>
      <c r="I1931" s="100"/>
      <c r="J1931" s="101"/>
      <c r="K1931" s="90"/>
      <c r="L1931" s="121"/>
      <c r="M1931" s="102"/>
      <c r="N1931" s="102"/>
      <c r="O1931" s="122"/>
      <c r="P1931" s="4"/>
      <c r="Q1931" s="769"/>
      <c r="R1931" s="11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</row>
    <row r="1932" ht="15.75" customHeight="1">
      <c r="A1932" s="124"/>
      <c r="B1932" s="6" t="s">
        <v>236</v>
      </c>
      <c r="C1932" s="124"/>
      <c r="D1932" s="185" t="s">
        <v>285</v>
      </c>
      <c r="E1932" s="224"/>
      <c r="F1932" s="187">
        <v>1.0</v>
      </c>
      <c r="G1932" s="770">
        <v>6.0</v>
      </c>
      <c r="H1932" s="129"/>
      <c r="I1932" s="164"/>
      <c r="J1932" s="189">
        <v>5.0</v>
      </c>
      <c r="K1932" s="183"/>
      <c r="L1932" s="134" t="str">
        <f>I1796</f>
        <v/>
      </c>
      <c r="M1932" s="135">
        <f>iferror(mround($O1796*((VLOOKUP($J1932,Sheet1!$D:$N,$G1932+1,FALSE)-0.03)),2.5)," ")</f>
        <v>0</v>
      </c>
      <c r="N1932" s="135">
        <f>iferror(mround($O1796*((VLOOKUP($J1932,Sheet1!$D:$N,$G1932+1,FALSE)+0.02)),2.5)," ")</f>
        <v>0</v>
      </c>
      <c r="O1932" s="56" t="str">
        <f>iferror(mround(I1932/VLOOKUP(K1932,Sheet1!$D$7:$N$16,G1932+1,FALSE),2.5),"")</f>
        <v/>
      </c>
      <c r="P1932" s="136" t="str">
        <f t="shared" ref="P1932:P1953" si="72">IF(I1932 - I1796 = 0, "", I1932 - I1796)</f>
        <v/>
      </c>
      <c r="R1932" s="11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</row>
    <row r="1933" ht="3.75" customHeight="1">
      <c r="A1933" s="137"/>
      <c r="B1933" s="70"/>
      <c r="C1933" s="137"/>
      <c r="D1933" s="138"/>
      <c r="E1933" s="184"/>
      <c r="F1933" s="140"/>
      <c r="G1933" s="140"/>
      <c r="H1933" s="140"/>
      <c r="I1933" s="140"/>
      <c r="J1933" s="141"/>
      <c r="K1933" s="143"/>
      <c r="L1933" s="144"/>
      <c r="M1933" s="145"/>
      <c r="N1933" s="145"/>
      <c r="O1933" s="122"/>
      <c r="P1933" s="146" t="str">
        <f t="shared" si="72"/>
        <v/>
      </c>
      <c r="R1933" s="147"/>
      <c r="S1933" s="148"/>
      <c r="T1933" s="148"/>
      <c r="U1933" s="148"/>
      <c r="V1933" s="148"/>
      <c r="W1933" s="148"/>
      <c r="X1933" s="148"/>
      <c r="Y1933" s="148"/>
      <c r="Z1933" s="148"/>
      <c r="AA1933" s="148"/>
      <c r="AB1933" s="148"/>
      <c r="AC1933" s="148"/>
      <c r="AD1933" s="148"/>
      <c r="AE1933" s="148"/>
      <c r="AF1933" s="148"/>
    </row>
    <row r="1934" ht="15.75" customHeight="1">
      <c r="A1934" s="149"/>
      <c r="B1934" s="150"/>
      <c r="C1934" s="149"/>
      <c r="D1934" s="185" t="s">
        <v>285</v>
      </c>
      <c r="E1934" s="224"/>
      <c r="F1934" s="187">
        <v>1.0</v>
      </c>
      <c r="G1934" s="771">
        <v>6.0</v>
      </c>
      <c r="H1934" s="129"/>
      <c r="I1934" s="164"/>
      <c r="J1934" s="189">
        <v>6.0</v>
      </c>
      <c r="K1934" s="183"/>
      <c r="L1934" s="134" t="str">
        <f>I1798</f>
        <v/>
      </c>
      <c r="M1934" s="135">
        <f>iferror(mround($O1798*((VLOOKUP($J1934,Sheet1!$D:$N,$G1934+1,FALSE)-0.03)),2.5)," ")</f>
        <v>0</v>
      </c>
      <c r="N1934" s="135">
        <f>iferror(mround($O1798*((VLOOKUP($J1934,Sheet1!$D:$N,$G1934+1,FALSE)+0.02)),2.5)," ")</f>
        <v>0</v>
      </c>
      <c r="O1934" s="56" t="str">
        <f>iferror(mround(I1934/VLOOKUP(K1934,Sheet1!$D$7:$N$16,G1934+1,FALSE),2.5),"")</f>
        <v/>
      </c>
      <c r="P1934" s="136" t="str">
        <f t="shared" si="72"/>
        <v/>
      </c>
      <c r="R1934" s="11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</row>
    <row r="1935" ht="3.75" customHeight="1">
      <c r="A1935" s="152"/>
      <c r="B1935" s="150"/>
      <c r="C1935" s="153"/>
      <c r="D1935" s="138"/>
      <c r="E1935" s="223"/>
      <c r="F1935" s="155"/>
      <c r="G1935" s="102"/>
      <c r="H1935" s="102"/>
      <c r="I1935" s="102"/>
      <c r="J1935" s="156"/>
      <c r="K1935" s="143"/>
      <c r="L1935" s="144"/>
      <c r="M1935" s="145"/>
      <c r="N1935" s="145"/>
      <c r="O1935" s="122"/>
      <c r="P1935" s="146" t="str">
        <f t="shared" si="72"/>
        <v/>
      </c>
      <c r="R1935" s="157"/>
      <c r="S1935" s="5"/>
      <c r="T1935" s="5"/>
      <c r="U1935" s="158"/>
      <c r="V1935" s="158"/>
      <c r="W1935" s="158"/>
      <c r="X1935" s="158"/>
      <c r="Y1935" s="158"/>
      <c r="Z1935" s="158"/>
      <c r="AA1935" s="158"/>
      <c r="AB1935" s="158"/>
      <c r="AC1935" s="158"/>
      <c r="AD1935" s="158"/>
      <c r="AE1935" s="158"/>
      <c r="AF1935" s="158"/>
    </row>
    <row r="1936" ht="15.75" customHeight="1">
      <c r="A1936" s="149"/>
      <c r="B1936" s="150"/>
      <c r="C1936" s="149"/>
      <c r="D1936" s="185" t="s">
        <v>285</v>
      </c>
      <c r="E1936" s="327"/>
      <c r="F1936" s="187">
        <v>1.0</v>
      </c>
      <c r="G1936" s="771">
        <v>6.0</v>
      </c>
      <c r="H1936" s="129"/>
      <c r="I1936" s="164">
        <f>MROUND(I1934*(1+J1936),2.5)</f>
        <v>0</v>
      </c>
      <c r="J1936" s="230">
        <v>-0.1</v>
      </c>
      <c r="K1936" s="183"/>
      <c r="L1936" s="134">
        <f>I1800</f>
        <v>0</v>
      </c>
      <c r="M1936" s="135" t="str">
        <f>iferror(mround($O1800*((VLOOKUP($J1936,Sheet1!$D:$N,$G1936+1,FALSE)-0.03)),2.5)," ")</f>
        <v> </v>
      </c>
      <c r="N1936" s="135" t="str">
        <f>iferror(mround($O1800*((VLOOKUP($J1936,Sheet1!$D:$N,$G1936+1,FALSE)+0.02)),2.5)," ")</f>
        <v> </v>
      </c>
      <c r="O1936" s="56" t="str">
        <f>iferror(mround(I1936/VLOOKUP(K1936,Sheet1!$D$7:$N$16,G1936+1,FALSE),2.5),"")</f>
        <v/>
      </c>
      <c r="P1936" s="136" t="str">
        <f t="shared" si="72"/>
        <v/>
      </c>
      <c r="R1936" s="11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</row>
    <row r="1937" ht="3.75" customHeight="1">
      <c r="A1937" s="162"/>
      <c r="B1937" s="163"/>
      <c r="C1937" s="162"/>
      <c r="D1937" s="138"/>
      <c r="E1937" s="184"/>
      <c r="F1937" s="140"/>
      <c r="G1937" s="140"/>
      <c r="H1937" s="140"/>
      <c r="I1937" s="140"/>
      <c r="J1937" s="141"/>
      <c r="K1937" s="143"/>
      <c r="L1937" s="144"/>
      <c r="M1937" s="145"/>
      <c r="N1937" s="145"/>
      <c r="O1937" s="122"/>
      <c r="P1937" s="146" t="str">
        <f t="shared" si="72"/>
        <v/>
      </c>
      <c r="R1937" s="147"/>
      <c r="S1937" s="148"/>
      <c r="T1937" s="148"/>
      <c r="U1937" s="148"/>
      <c r="V1937" s="148"/>
      <c r="W1937" s="148"/>
      <c r="X1937" s="148"/>
      <c r="Y1937" s="148"/>
      <c r="Z1937" s="148"/>
      <c r="AA1937" s="148"/>
      <c r="AB1937" s="148"/>
      <c r="AC1937" s="148"/>
      <c r="AD1937" s="148"/>
      <c r="AE1937" s="148"/>
      <c r="AF1937" s="148"/>
    </row>
    <row r="1938" ht="15.75" customHeight="1">
      <c r="A1938" s="149"/>
      <c r="B1938" s="150"/>
      <c r="C1938" s="149"/>
      <c r="D1938" s="185" t="s">
        <v>265</v>
      </c>
      <c r="E1938" s="327"/>
      <c r="F1938" s="187">
        <v>3.0</v>
      </c>
      <c r="G1938" s="771">
        <v>6.0</v>
      </c>
      <c r="H1938" s="129"/>
      <c r="I1938" s="164"/>
      <c r="J1938" s="189">
        <v>6.0</v>
      </c>
      <c r="K1938" s="183"/>
      <c r="L1938" s="134" t="str">
        <f>I1802</f>
        <v/>
      </c>
      <c r="M1938" s="135">
        <f>iferror(mround($O1802*((VLOOKUP($J1938,Sheet1!$D:$N,$G1938+1,FALSE)-0.03)),2.5)," ")</f>
        <v>0</v>
      </c>
      <c r="N1938" s="135">
        <f>iferror(mround($O1802*((VLOOKUP($J1938,Sheet1!$D:$N,$G1938+1,FALSE)+0.02)),2.5)," ")</f>
        <v>0</v>
      </c>
      <c r="O1938" s="56" t="str">
        <f>iferror(mround(I1938/VLOOKUP(K1938,Sheet1!$D$7:$N$16,G1938+1,FALSE),2.5),"")</f>
        <v/>
      </c>
      <c r="P1938" s="136" t="str">
        <f t="shared" si="72"/>
        <v/>
      </c>
      <c r="R1938" s="11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</row>
    <row r="1939" ht="3.75" customHeight="1">
      <c r="A1939" s="162"/>
      <c r="B1939" s="163"/>
      <c r="C1939" s="162"/>
      <c r="D1939" s="138"/>
      <c r="E1939" s="326"/>
      <c r="F1939" s="102"/>
      <c r="G1939" s="102"/>
      <c r="H1939" s="102"/>
      <c r="I1939" s="102"/>
      <c r="J1939" s="156"/>
      <c r="K1939" s="143"/>
      <c r="L1939" s="144"/>
      <c r="M1939" s="145"/>
      <c r="N1939" s="145"/>
      <c r="O1939" s="122"/>
      <c r="P1939" s="146" t="str">
        <f t="shared" si="72"/>
        <v/>
      </c>
      <c r="R1939" s="147"/>
      <c r="S1939" s="148"/>
      <c r="T1939" s="148"/>
      <c r="U1939" s="148"/>
      <c r="V1939" s="148"/>
      <c r="W1939" s="148"/>
      <c r="X1939" s="148"/>
      <c r="Y1939" s="148"/>
      <c r="Z1939" s="148"/>
      <c r="AA1939" s="148"/>
      <c r="AB1939" s="148"/>
      <c r="AC1939" s="148"/>
      <c r="AD1939" s="148"/>
      <c r="AE1939" s="148"/>
      <c r="AF1939" s="148"/>
    </row>
    <row r="1940" ht="15.75" customHeight="1">
      <c r="A1940" s="90"/>
      <c r="B1940" s="6"/>
      <c r="C1940" s="90"/>
      <c r="D1940" s="260" t="s">
        <v>273</v>
      </c>
      <c r="E1940" s="186"/>
      <c r="F1940" s="187">
        <v>2.0</v>
      </c>
      <c r="G1940" s="772" t="s">
        <v>251</v>
      </c>
      <c r="H1940" s="129"/>
      <c r="I1940" s="164"/>
      <c r="J1940" s="189">
        <v>8.0</v>
      </c>
      <c r="K1940" s="183"/>
      <c r="L1940" s="134" t="str">
        <f>I1804</f>
        <v/>
      </c>
      <c r="M1940" s="135" t="str">
        <f>iferror(mround($O1804*((VLOOKUP($J1940,Sheet1!$D:$N,$G1940+1,FALSE)-0.03)),2.5)," ")</f>
        <v> </v>
      </c>
      <c r="N1940" s="135" t="str">
        <f>iferror(mround($O1804*((VLOOKUP($J1940,Sheet1!$D:$N,$G1940+1,FALSE)+0.02)),2.5)," ")</f>
        <v> </v>
      </c>
      <c r="O1940" s="56" t="str">
        <f>iferror(mround(I1940/VLOOKUP(K1940,Sheet1!$D$7:$N$16,G1940+1,FALSE),2.5),"")</f>
        <v/>
      </c>
      <c r="P1940" s="136" t="str">
        <f t="shared" si="72"/>
        <v/>
      </c>
      <c r="R1940" s="11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</row>
    <row r="1941" ht="3.75" customHeight="1">
      <c r="A1941" s="168"/>
      <c r="B1941" s="70"/>
      <c r="C1941" s="168"/>
      <c r="D1941" s="171"/>
      <c r="E1941" s="773"/>
      <c r="F1941" s="173"/>
      <c r="G1941" s="173"/>
      <c r="H1941" s="173"/>
      <c r="I1941" s="173"/>
      <c r="J1941" s="174"/>
      <c r="K1941" s="143"/>
      <c r="L1941" s="144"/>
      <c r="M1941" s="145"/>
      <c r="N1941" s="145"/>
      <c r="O1941" s="122"/>
      <c r="P1941" s="146" t="str">
        <f t="shared" si="72"/>
        <v/>
      </c>
      <c r="R1941" s="147"/>
      <c r="S1941" s="148"/>
      <c r="T1941" s="148"/>
      <c r="U1941" s="148"/>
      <c r="V1941" s="148"/>
      <c r="W1941" s="148"/>
      <c r="X1941" s="148"/>
      <c r="Y1941" s="148"/>
      <c r="Z1941" s="148"/>
      <c r="AA1941" s="148"/>
      <c r="AB1941" s="148"/>
      <c r="AC1941" s="148"/>
      <c r="AD1941" s="148"/>
      <c r="AE1941" s="148"/>
      <c r="AF1941" s="148"/>
    </row>
    <row r="1942" ht="15.75" customHeight="1">
      <c r="A1942" s="90"/>
      <c r="B1942" s="6"/>
      <c r="C1942" s="90"/>
      <c r="D1942" s="709" t="s">
        <v>294</v>
      </c>
      <c r="E1942" s="774"/>
      <c r="F1942" s="711">
        <v>2.0</v>
      </c>
      <c r="G1942" s="775" t="s">
        <v>251</v>
      </c>
      <c r="H1942" s="179"/>
      <c r="I1942" s="180"/>
      <c r="J1942" s="713">
        <v>8.0</v>
      </c>
      <c r="K1942" s="183"/>
      <c r="L1942" s="134" t="s">
        <v>300</v>
      </c>
      <c r="M1942" s="135" t="str">
        <f>iferror(mround($O1806*((VLOOKUP($J1942,Sheet1!$D:$N,$G1942+1,FALSE)-0.03)),2.5)," ")</f>
        <v> </v>
      </c>
      <c r="N1942" s="135" t="str">
        <f>iferror(mround($O1806*((VLOOKUP($J1942,Sheet1!$D:$N,$G1942+1,FALSE)+0.02)),2.5)," ")</f>
        <v> </v>
      </c>
      <c r="O1942" s="56" t="str">
        <f>iferror(mround(I1942/VLOOKUP(K1942,Sheet1!$D$7:$N$16,G1942+1,FALSE),2.5),"")</f>
        <v/>
      </c>
      <c r="P1942" s="136" t="str">
        <f t="shared" si="72"/>
        <v/>
      </c>
      <c r="R1942" s="11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</row>
    <row r="1943" ht="3.75" customHeight="1">
      <c r="A1943" s="90"/>
      <c r="B1943" s="6"/>
      <c r="C1943" s="90"/>
      <c r="D1943" s="171"/>
      <c r="E1943" s="773"/>
      <c r="F1943" s="173"/>
      <c r="G1943" s="173"/>
      <c r="H1943" s="173"/>
      <c r="I1943" s="173"/>
      <c r="J1943" s="174"/>
      <c r="K1943" s="143"/>
      <c r="L1943" s="144"/>
      <c r="M1943" s="145"/>
      <c r="N1943" s="145"/>
      <c r="O1943" s="122"/>
      <c r="P1943" s="146" t="str">
        <f t="shared" si="72"/>
        <v/>
      </c>
      <c r="R1943" s="11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</row>
    <row r="1944" ht="15.75" hidden="1" customHeight="1">
      <c r="A1944" s="90"/>
      <c r="B1944" s="6"/>
      <c r="C1944" s="90"/>
      <c r="D1944" s="260"/>
      <c r="E1944" s="186"/>
      <c r="F1944" s="187"/>
      <c r="G1944" s="195"/>
      <c r="H1944" s="129"/>
      <c r="I1944" s="164"/>
      <c r="J1944" s="189"/>
      <c r="K1944" s="183"/>
      <c r="L1944" s="134" t="str">
        <f>I1808</f>
        <v/>
      </c>
      <c r="M1944" s="135" t="str">
        <f>iferror(mround($O1808*((VLOOKUP($J1944,Sheet1!$D:$N,$G1944+1,FALSE)-0.03)),2.5)," ")</f>
        <v> </v>
      </c>
      <c r="N1944" s="135" t="str">
        <f>iferror(mround($O1808*((VLOOKUP($J1944,Sheet1!$D:$N,$G1944+1,FALSE)+0.02)),2.5)," ")</f>
        <v> </v>
      </c>
      <c r="O1944" s="56" t="str">
        <f>iferror(mround(I1944/VLOOKUP(K1944,Sheet1!$D$7:$N$16,G1944+1,FALSE),2.5),"")</f>
        <v/>
      </c>
      <c r="P1944" s="136" t="str">
        <f t="shared" si="72"/>
        <v/>
      </c>
      <c r="R1944" s="11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</row>
    <row r="1945" ht="3.75" hidden="1" customHeight="1">
      <c r="A1945" s="90"/>
      <c r="B1945" s="6"/>
      <c r="C1945" s="90"/>
      <c r="D1945" s="171"/>
      <c r="E1945" s="773"/>
      <c r="F1945" s="173"/>
      <c r="G1945" s="173"/>
      <c r="H1945" s="173"/>
      <c r="I1945" s="173"/>
      <c r="J1945" s="174"/>
      <c r="K1945" s="143"/>
      <c r="L1945" s="144"/>
      <c r="M1945" s="145"/>
      <c r="N1945" s="145"/>
      <c r="O1945" s="122"/>
      <c r="P1945" s="146" t="str">
        <f t="shared" si="72"/>
        <v/>
      </c>
      <c r="R1945" s="11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</row>
    <row r="1946" ht="15.75" hidden="1" customHeight="1">
      <c r="A1946" s="90"/>
      <c r="B1946" s="6"/>
      <c r="C1946" s="90"/>
      <c r="D1946" s="709"/>
      <c r="E1946" s="774"/>
      <c r="F1946" s="711"/>
      <c r="G1946" s="195"/>
      <c r="H1946" s="179"/>
      <c r="I1946" s="776"/>
      <c r="J1946" s="713"/>
      <c r="K1946" s="183"/>
      <c r="L1946" s="134" t="str">
        <f>I1810</f>
        <v/>
      </c>
      <c r="M1946" s="135" t="str">
        <f>iferror(mround($O1810*((VLOOKUP($J1946,Sheet1!$D:$N,$G1946+1,FALSE)-0.03)),2.5)," ")</f>
        <v> </v>
      </c>
      <c r="N1946" s="135" t="str">
        <f>iferror(mround($O1810*((VLOOKUP($J1946,Sheet1!$D:$N,$G1946+1,FALSE)+0.02)),2.5)," ")</f>
        <v> </v>
      </c>
      <c r="O1946" s="56" t="str">
        <f>iferror(mround(I1946/VLOOKUP(K1946,Sheet1!$D$7:$N$16,G1946+1,FALSE),2.5),"")</f>
        <v/>
      </c>
      <c r="P1946" s="136" t="str">
        <f t="shared" si="72"/>
        <v/>
      </c>
      <c r="R1946" s="11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</row>
    <row r="1947" ht="3.75" hidden="1" customHeight="1">
      <c r="A1947" s="90"/>
      <c r="B1947" s="6"/>
      <c r="C1947" s="90"/>
      <c r="D1947" s="138"/>
      <c r="E1947" s="184"/>
      <c r="F1947" s="102"/>
      <c r="G1947" s="102"/>
      <c r="H1947" s="102"/>
      <c r="I1947" s="102"/>
      <c r="J1947" s="156"/>
      <c r="K1947" s="143"/>
      <c r="L1947" s="144"/>
      <c r="M1947" s="145"/>
      <c r="N1947" s="145"/>
      <c r="O1947" s="122"/>
      <c r="P1947" s="146" t="str">
        <f t="shared" si="72"/>
        <v/>
      </c>
      <c r="R1947" s="11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</row>
    <row r="1948" ht="15.75" hidden="1" customHeight="1">
      <c r="A1948" s="90"/>
      <c r="B1948" s="6"/>
      <c r="C1948" s="90"/>
      <c r="D1948" s="185"/>
      <c r="E1948" s="186"/>
      <c r="F1948" s="187"/>
      <c r="G1948" s="188"/>
      <c r="H1948" s="129"/>
      <c r="I1948" s="164"/>
      <c r="J1948" s="189"/>
      <c r="K1948" s="183"/>
      <c r="L1948" s="134" t="str">
        <f>I1812</f>
        <v/>
      </c>
      <c r="M1948" s="135" t="str">
        <f>iferror(mround($O1812*((VLOOKUP($J1948,Sheet1!$D:$N,$G1948+1,FALSE)-0.03)),2.5)," ")</f>
        <v> </v>
      </c>
      <c r="N1948" s="135" t="str">
        <f>iferror(mround($O1812*((VLOOKUP($J1948,Sheet1!$D:$N,$G1948+1,FALSE)+0.02)),2.5)," ")</f>
        <v> </v>
      </c>
      <c r="O1948" s="56" t="str">
        <f>iferror(mround(I1948/VLOOKUP(K1948,Sheet1!$D$7:$N$16,G1948+1,FALSE),2.5),"")</f>
        <v/>
      </c>
      <c r="P1948" s="136" t="str">
        <f t="shared" si="72"/>
        <v/>
      </c>
      <c r="R1948" s="11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</row>
    <row r="1949" ht="3.75" hidden="1" customHeight="1">
      <c r="A1949" s="191"/>
      <c r="B1949" s="6"/>
      <c r="C1949" s="192"/>
      <c r="D1949" s="138"/>
      <c r="E1949" s="193"/>
      <c r="F1949" s="194"/>
      <c r="G1949" s="155"/>
      <c r="H1949" s="102"/>
      <c r="I1949" s="102"/>
      <c r="J1949" s="156"/>
      <c r="K1949" s="143"/>
      <c r="L1949" s="144"/>
      <c r="M1949" s="145"/>
      <c r="N1949" s="145"/>
      <c r="O1949" s="122"/>
      <c r="P1949" s="146" t="str">
        <f t="shared" si="72"/>
        <v/>
      </c>
      <c r="R1949" s="157"/>
      <c r="S1949" s="5"/>
      <c r="T1949" s="5"/>
      <c r="U1949" s="158"/>
      <c r="V1949" s="158"/>
      <c r="W1949" s="158"/>
      <c r="X1949" s="158"/>
      <c r="Y1949" s="158"/>
      <c r="Z1949" s="158"/>
      <c r="AA1949" s="158"/>
      <c r="AB1949" s="158"/>
      <c r="AC1949" s="158"/>
      <c r="AD1949" s="158"/>
      <c r="AE1949" s="158"/>
      <c r="AF1949" s="158"/>
    </row>
    <row r="1950" ht="15.75" hidden="1" customHeight="1">
      <c r="A1950" s="90"/>
      <c r="B1950" s="6"/>
      <c r="C1950" s="90"/>
      <c r="D1950" s="185"/>
      <c r="E1950" s="186"/>
      <c r="F1950" s="187"/>
      <c r="G1950" s="195"/>
      <c r="H1950" s="129"/>
      <c r="I1950" s="164"/>
      <c r="J1950" s="189"/>
      <c r="K1950" s="183"/>
      <c r="L1950" s="134" t="str">
        <f>I1814</f>
        <v/>
      </c>
      <c r="M1950" s="135" t="str">
        <f>iferror(mround($O1814*((VLOOKUP($J1950,Sheet1!$D:$N,$G1950+1,FALSE)-0.03)),2.5)," ")</f>
        <v> </v>
      </c>
      <c r="N1950" s="135" t="str">
        <f>iferror(mround($O1814*((VLOOKUP($J1950,Sheet1!$D:$N,$G1950+1,FALSE)+0.02)),2.5)," ")</f>
        <v> </v>
      </c>
      <c r="O1950" s="56" t="str">
        <f>iferror(mround(I1950/VLOOKUP(K1950,Sheet1!$D$7:$N$16,G1950+1,FALSE),2.5),"")</f>
        <v/>
      </c>
      <c r="P1950" s="136" t="str">
        <f t="shared" si="72"/>
        <v/>
      </c>
      <c r="R1950" s="11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</row>
    <row r="1951" ht="3.75" hidden="1" customHeight="1">
      <c r="A1951" s="90"/>
      <c r="B1951" s="6"/>
      <c r="C1951" s="90"/>
      <c r="D1951" s="196"/>
      <c r="E1951" s="184"/>
      <c r="F1951" s="102"/>
      <c r="G1951" s="102"/>
      <c r="H1951" s="102"/>
      <c r="I1951" s="102"/>
      <c r="J1951" s="156"/>
      <c r="K1951" s="143"/>
      <c r="L1951" s="144"/>
      <c r="M1951" s="145"/>
      <c r="N1951" s="145"/>
      <c r="O1951" s="122"/>
      <c r="P1951" s="146" t="str">
        <f t="shared" si="72"/>
        <v/>
      </c>
      <c r="R1951" s="11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</row>
    <row r="1952" ht="15.75" hidden="1" customHeight="1">
      <c r="A1952" s="90"/>
      <c r="B1952" s="6"/>
      <c r="C1952" s="90"/>
      <c r="D1952" s="197"/>
      <c r="E1952" s="198"/>
      <c r="F1952" s="199"/>
      <c r="G1952" s="195"/>
      <c r="H1952" s="129"/>
      <c r="I1952" s="164"/>
      <c r="J1952" s="189"/>
      <c r="K1952" s="183"/>
      <c r="L1952" s="134" t="str">
        <f>I1816</f>
        <v/>
      </c>
      <c r="M1952" s="135" t="str">
        <f>iferror(mround($O1816*((VLOOKUP($J1952,Sheet1!$D:$N,$G1952+1,FALSE)-0.03)),2.5)," ")</f>
        <v> </v>
      </c>
      <c r="N1952" s="135" t="str">
        <f>iferror(mround($O1816*((VLOOKUP($J1952,Sheet1!$D:$N,$G1952+1,FALSE)+0.02)),2.5)," ")</f>
        <v> </v>
      </c>
      <c r="O1952" s="56" t="str">
        <f>iferror(mround(I1952/VLOOKUP(K1952,Sheet1!$D$7:$N$16,G1952+1,FALSE),2.5),"")</f>
        <v/>
      </c>
      <c r="P1952" s="136" t="str">
        <f t="shared" si="72"/>
        <v/>
      </c>
      <c r="R1952" s="11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</row>
    <row r="1953" ht="3.75" customHeight="1">
      <c r="A1953" s="90"/>
      <c r="B1953" s="6"/>
      <c r="C1953" s="90"/>
      <c r="D1953" s="90"/>
      <c r="E1953" s="156"/>
      <c r="F1953" s="102"/>
      <c r="G1953" s="102"/>
      <c r="H1953" s="102"/>
      <c r="I1953" s="102"/>
      <c r="J1953" s="156"/>
      <c r="K1953" s="720"/>
      <c r="L1953" s="144"/>
      <c r="M1953" s="47"/>
      <c r="N1953" s="47"/>
      <c r="O1953" s="122"/>
      <c r="P1953" s="146" t="str">
        <f t="shared" si="72"/>
        <v/>
      </c>
      <c r="R1953" s="11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</row>
    <row r="1954" ht="30.0" customHeight="1">
      <c r="A1954" s="90"/>
      <c r="B1954" s="6"/>
      <c r="C1954" s="90"/>
      <c r="D1954" s="202" t="s">
        <v>246</v>
      </c>
      <c r="E1954" s="255" t="s">
        <v>15</v>
      </c>
      <c r="F1954" s="106" t="s">
        <v>16</v>
      </c>
      <c r="G1954" s="106" t="s">
        <v>17</v>
      </c>
      <c r="H1954" s="107"/>
      <c r="I1954" s="106" t="s">
        <v>18</v>
      </c>
      <c r="J1954" s="766" t="s">
        <v>241</v>
      </c>
      <c r="K1954" s="767" t="s">
        <v>20</v>
      </c>
      <c r="L1954" s="110" t="s">
        <v>21</v>
      </c>
      <c r="M1954" s="111" t="s">
        <v>22</v>
      </c>
      <c r="O1954" s="112"/>
      <c r="P1954" s="113" t="s">
        <v>23</v>
      </c>
      <c r="Q1954" s="768"/>
      <c r="R1954" s="11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</row>
    <row r="1955" ht="14.25" customHeight="1">
      <c r="A1955" s="90"/>
      <c r="B1955" s="6"/>
      <c r="C1955" s="90"/>
      <c r="D1955" s="257" t="s">
        <v>25</v>
      </c>
      <c r="E1955" s="258" t="s">
        <v>26</v>
      </c>
      <c r="H1955" s="107"/>
      <c r="J1955" s="766" t="s">
        <v>244</v>
      </c>
      <c r="M1955" s="111" t="s">
        <v>27</v>
      </c>
      <c r="N1955" s="111" t="s">
        <v>28</v>
      </c>
      <c r="O1955" s="112" t="s">
        <v>29</v>
      </c>
      <c r="Q1955" s="118" t="s">
        <v>30</v>
      </c>
      <c r="R1955" s="11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</row>
    <row r="1956" ht="3.75" customHeight="1">
      <c r="A1956" s="191"/>
      <c r="B1956" s="6"/>
      <c r="C1956" s="192"/>
      <c r="D1956" s="203"/>
      <c r="E1956" s="204"/>
      <c r="F1956" s="205"/>
      <c r="G1956" s="205"/>
      <c r="H1956" s="206"/>
      <c r="I1956" s="207"/>
      <c r="J1956" s="208"/>
      <c r="K1956" s="191"/>
      <c r="L1956" s="211"/>
      <c r="M1956" s="47"/>
      <c r="N1956" s="47"/>
      <c r="O1956" s="122"/>
      <c r="P1956" s="146" t="str">
        <f t="shared" ref="P1956:P1978" si="73">IF(I1956 - I1820 = 0, "", I1956 - I1820)</f>
        <v/>
      </c>
      <c r="Q1956" s="196"/>
      <c r="R1956" s="157"/>
      <c r="S1956" s="5"/>
      <c r="T1956" s="5"/>
      <c r="U1956" s="158"/>
      <c r="V1956" s="158"/>
      <c r="W1956" s="158"/>
      <c r="X1956" s="158"/>
      <c r="Y1956" s="158"/>
      <c r="Z1956" s="158"/>
      <c r="AA1956" s="158"/>
      <c r="AB1956" s="158"/>
      <c r="AC1956" s="158"/>
      <c r="AD1956" s="158"/>
      <c r="AE1956" s="158"/>
      <c r="AF1956" s="158"/>
    </row>
    <row r="1957" ht="15.75" customHeight="1">
      <c r="A1957" s="124"/>
      <c r="B1957" s="6" t="s">
        <v>236</v>
      </c>
      <c r="C1957" s="124"/>
      <c r="D1957" s="185" t="s">
        <v>248</v>
      </c>
      <c r="E1957" s="327"/>
      <c r="F1957" s="187">
        <v>1.0</v>
      </c>
      <c r="G1957" s="187">
        <v>6.0</v>
      </c>
      <c r="H1957" s="195"/>
      <c r="I1957" s="164"/>
      <c r="J1957" s="189">
        <v>5.0</v>
      </c>
      <c r="K1957" s="183"/>
      <c r="L1957" s="134" t="str">
        <f>I1821</f>
        <v/>
      </c>
      <c r="M1957" s="135">
        <f>iferror(mround($O1821*((VLOOKUP($J1957,Sheet1!$D:$N,$G1957+1,FALSE)-0.03)),2.5)," ")</f>
        <v>0</v>
      </c>
      <c r="N1957" s="135">
        <f>iferror(mround($O1821*((VLOOKUP($J1957,Sheet1!$D:$N,$G1957+1,FALSE)+0.02)),2.5)," ")</f>
        <v>0</v>
      </c>
      <c r="O1957" s="112" t="str">
        <f>iferror(mround(I1957/VLOOKUP(K1957,Sheet1!$D$7:$N$16,G1957+1,FALSE),2.5),"")</f>
        <v/>
      </c>
      <c r="P1957" s="136" t="str">
        <f t="shared" si="73"/>
        <v/>
      </c>
      <c r="Q1957" s="214"/>
      <c r="R1957" s="11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</row>
    <row r="1958" ht="3.75" customHeight="1">
      <c r="A1958" s="124"/>
      <c r="B1958" s="6"/>
      <c r="C1958" s="124"/>
      <c r="D1958" s="138"/>
      <c r="E1958" s="326"/>
      <c r="F1958" s="102"/>
      <c r="G1958" s="102"/>
      <c r="H1958" s="102"/>
      <c r="I1958" s="102"/>
      <c r="J1958" s="216"/>
      <c r="K1958" s="218"/>
      <c r="L1958" s="144"/>
      <c r="M1958" s="145"/>
      <c r="N1958" s="145"/>
      <c r="O1958" s="122"/>
      <c r="P1958" s="146" t="str">
        <f t="shared" si="73"/>
        <v/>
      </c>
      <c r="Q1958" s="214"/>
      <c r="R1958" s="11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</row>
    <row r="1959" ht="15.75" customHeight="1">
      <c r="A1959" s="90"/>
      <c r="B1959" s="6"/>
      <c r="C1959" s="90"/>
      <c r="D1959" s="185" t="s">
        <v>291</v>
      </c>
      <c r="E1959" s="327"/>
      <c r="F1959" s="187">
        <v>1.0</v>
      </c>
      <c r="G1959" s="187">
        <v>1.0</v>
      </c>
      <c r="H1959" s="195"/>
      <c r="I1959" s="164"/>
      <c r="J1959" s="189" t="s">
        <v>78</v>
      </c>
      <c r="K1959" s="183"/>
      <c r="L1959" s="134" t="str">
        <f>I1823</f>
        <v/>
      </c>
      <c r="M1959" s="135" t="str">
        <f>iferror(mround($O1823*((VLOOKUP($J1959,Sheet1!$D:$N,$G1959+1,FALSE)-0.03)),2.5)," ")</f>
        <v> </v>
      </c>
      <c r="N1959" s="135" t="str">
        <f>iferror(mround($O1823*((VLOOKUP($J1959,Sheet1!$D:$N,$G1959+1,FALSE)+0.02)),2.5)," ")</f>
        <v> </v>
      </c>
      <c r="O1959" s="112" t="str">
        <f>iferror(mround(I1959/VLOOKUP(K1959,Sheet1!$D$7:$N$16,G1959+1,FALSE),2.5),"")</f>
        <v/>
      </c>
      <c r="P1959" s="136" t="str">
        <f t="shared" si="73"/>
        <v/>
      </c>
      <c r="Q1959" s="214"/>
      <c r="R1959" s="11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</row>
    <row r="1960" ht="3.75" customHeight="1">
      <c r="A1960" s="90"/>
      <c r="B1960" s="6"/>
      <c r="C1960" s="90"/>
      <c r="D1960" s="138"/>
      <c r="E1960" s="326"/>
      <c r="F1960" s="102"/>
      <c r="G1960" s="102"/>
      <c r="H1960" s="102"/>
      <c r="I1960" s="102"/>
      <c r="J1960" s="216"/>
      <c r="K1960" s="218"/>
      <c r="L1960" s="144"/>
      <c r="M1960" s="145"/>
      <c r="N1960" s="145"/>
      <c r="O1960" s="122"/>
      <c r="P1960" s="146" t="str">
        <f t="shared" si="73"/>
        <v/>
      </c>
      <c r="Q1960" s="214"/>
      <c r="R1960" s="11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</row>
    <row r="1961" ht="15.75" customHeight="1">
      <c r="A1961" s="90"/>
      <c r="B1961" s="6"/>
      <c r="C1961" s="90"/>
      <c r="D1961" s="185" t="s">
        <v>248</v>
      </c>
      <c r="E1961" s="327"/>
      <c r="F1961" s="187">
        <v>2.0</v>
      </c>
      <c r="G1961" s="187">
        <v>5.0</v>
      </c>
      <c r="H1961" s="195"/>
      <c r="I1961" s="164">
        <f>MROUND(I1959*(1+J1961),2.5)</f>
        <v>0</v>
      </c>
      <c r="J1961" s="230">
        <v>-0.12</v>
      </c>
      <c r="K1961" s="183"/>
      <c r="L1961" s="134">
        <f>I1825</f>
        <v>0</v>
      </c>
      <c r="M1961" s="135" t="str">
        <f>iferror(mround($O1825*((VLOOKUP($J1961,Sheet1!$D:$N,$G1961+1,FALSE)-0.03)),2.5)," ")</f>
        <v> </v>
      </c>
      <c r="N1961" s="135" t="str">
        <f>iferror(mround($O1825*((VLOOKUP($J1961,Sheet1!$D:$N,$G1961+1,FALSE)+0.02)),2.5)," ")</f>
        <v> </v>
      </c>
      <c r="O1961" s="112" t="str">
        <f>iferror(mround(I1961/VLOOKUP(K1961,Sheet1!$D$7:$N$16,G1961+1,FALSE),2.5),"")</f>
        <v/>
      </c>
      <c r="P1961" s="136" t="str">
        <f t="shared" si="73"/>
        <v/>
      </c>
      <c r="Q1961" s="214"/>
      <c r="R1961" s="11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</row>
    <row r="1962" ht="3.75" customHeight="1">
      <c r="A1962" s="90"/>
      <c r="B1962" s="6"/>
      <c r="C1962" s="90"/>
      <c r="D1962" s="138"/>
      <c r="E1962" s="326"/>
      <c r="F1962" s="102"/>
      <c r="G1962" s="102"/>
      <c r="H1962" s="102"/>
      <c r="I1962" s="102"/>
      <c r="J1962" s="156"/>
      <c r="K1962" s="143"/>
      <c r="L1962" s="144"/>
      <c r="M1962" s="145"/>
      <c r="N1962" s="145"/>
      <c r="O1962" s="122"/>
      <c r="P1962" s="146" t="str">
        <f t="shared" si="73"/>
        <v/>
      </c>
      <c r="Q1962" s="214"/>
      <c r="R1962" s="11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</row>
    <row r="1963" ht="15.75" hidden="1" customHeight="1">
      <c r="A1963" s="90"/>
      <c r="B1963" s="6"/>
      <c r="C1963" s="90"/>
      <c r="D1963" s="185"/>
      <c r="E1963" s="224"/>
      <c r="F1963" s="187"/>
      <c r="G1963" s="187"/>
      <c r="H1963" s="195"/>
      <c r="I1963" s="164"/>
      <c r="J1963" s="189"/>
      <c r="K1963" s="183"/>
      <c r="L1963" s="134" t="str">
        <f>I1827</f>
        <v/>
      </c>
      <c r="M1963" s="135" t="str">
        <f>iferror(mround($O1827*((VLOOKUP($J1963,Sheet1!$D:$N,$G1963+1,FALSE)-0.03)),2.5)," ")</f>
        <v> </v>
      </c>
      <c r="N1963" s="135" t="str">
        <f>iferror(mround($O1827*((VLOOKUP($J1963,Sheet1!$D:$N,$G1963+1,FALSE)+0.02)),2.5)," ")</f>
        <v> </v>
      </c>
      <c r="O1963" s="112" t="str">
        <f>iferror(mround(I1963/VLOOKUP(K1963,Sheet1!$D$7:$N$16,G1963+1,FALSE),2.5),"")</f>
        <v/>
      </c>
      <c r="P1963" s="136" t="str">
        <f t="shared" si="73"/>
        <v/>
      </c>
      <c r="Q1963" s="214"/>
      <c r="R1963" s="11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</row>
    <row r="1964" ht="3.75" hidden="1" customHeight="1">
      <c r="A1964" s="90"/>
      <c r="B1964" s="6"/>
      <c r="C1964" s="90"/>
      <c r="D1964" s="138"/>
      <c r="E1964" s="326"/>
      <c r="F1964" s="102"/>
      <c r="G1964" s="102"/>
      <c r="H1964" s="102"/>
      <c r="I1964" s="102"/>
      <c r="J1964" s="216"/>
      <c r="K1964" s="143"/>
      <c r="L1964" s="144"/>
      <c r="M1964" s="145"/>
      <c r="N1964" s="145"/>
      <c r="O1964" s="122"/>
      <c r="P1964" s="146" t="str">
        <f t="shared" si="73"/>
        <v/>
      </c>
      <c r="Q1964" s="214"/>
      <c r="R1964" s="11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</row>
    <row r="1965" ht="15.75" hidden="1" customHeight="1">
      <c r="A1965" s="90"/>
      <c r="B1965" s="6"/>
      <c r="C1965" s="90"/>
      <c r="D1965" s="185"/>
      <c r="E1965" s="224"/>
      <c r="F1965" s="187"/>
      <c r="G1965" s="187"/>
      <c r="H1965" s="195"/>
      <c r="I1965" s="164"/>
      <c r="J1965" s="189"/>
      <c r="K1965" s="183"/>
      <c r="L1965" s="134" t="str">
        <f>I1829</f>
        <v/>
      </c>
      <c r="M1965" s="135" t="str">
        <f>iferror(mround($O1829*((VLOOKUP($J1965,Sheet1!$D:$N,$G1965+1,FALSE)-0.03)),2.5)," ")</f>
        <v> </v>
      </c>
      <c r="N1965" s="135" t="str">
        <f>iferror(mround($O1829*((VLOOKUP($J1965,Sheet1!$D:$N,$G1965+1,FALSE)+0.02)),2.5)," ")</f>
        <v> </v>
      </c>
      <c r="O1965" s="112" t="str">
        <f>iferror(mround(I1965/VLOOKUP(K1965,Sheet1!$D$7:$N$16,G1965+1,FALSE),2.5),"")</f>
        <v/>
      </c>
      <c r="P1965" s="136" t="str">
        <f t="shared" si="73"/>
        <v/>
      </c>
      <c r="Q1965" s="214"/>
      <c r="R1965" s="11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</row>
    <row r="1966" ht="3.75" hidden="1" customHeight="1">
      <c r="A1966" s="90"/>
      <c r="B1966" s="6"/>
      <c r="C1966" s="90"/>
      <c r="D1966" s="138"/>
      <c r="E1966" s="326"/>
      <c r="F1966" s="102"/>
      <c r="G1966" s="102"/>
      <c r="H1966" s="102"/>
      <c r="I1966" s="102"/>
      <c r="J1966" s="216"/>
      <c r="K1966" s="143"/>
      <c r="L1966" s="144"/>
      <c r="M1966" s="145"/>
      <c r="N1966" s="145"/>
      <c r="O1966" s="122"/>
      <c r="P1966" s="146" t="str">
        <f t="shared" si="73"/>
        <v/>
      </c>
      <c r="Q1966" s="214"/>
      <c r="R1966" s="11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</row>
    <row r="1967" ht="15.75" hidden="1" customHeight="1">
      <c r="A1967" s="90"/>
      <c r="B1967" s="6"/>
      <c r="C1967" s="90"/>
      <c r="D1967" s="185"/>
      <c r="E1967" s="224"/>
      <c r="F1967" s="187"/>
      <c r="G1967" s="187"/>
      <c r="H1967" s="195"/>
      <c r="I1967" s="164"/>
      <c r="J1967" s="189"/>
      <c r="K1967" s="183"/>
      <c r="L1967" s="134" t="str">
        <f>I1831</f>
        <v/>
      </c>
      <c r="M1967" s="135" t="str">
        <f>iferror(mround($O1831*((VLOOKUP($J1967,Sheet1!$D:$N,$G1967+1,FALSE)-0.03)),2.5)," ")</f>
        <v> </v>
      </c>
      <c r="N1967" s="135" t="str">
        <f>iferror(mround($O1831*((VLOOKUP($J1967,Sheet1!$D:$N,$G1967+1,FALSE)+0.02)),2.5)," ")</f>
        <v> </v>
      </c>
      <c r="O1967" s="112" t="str">
        <f>iferror(mround(I1967/VLOOKUP(K1967,Sheet1!$D$7:$N$16,G1967+1,FALSE),2.5),"")</f>
        <v/>
      </c>
      <c r="P1967" s="136" t="str">
        <f t="shared" si="73"/>
        <v/>
      </c>
      <c r="Q1967" s="214"/>
      <c r="R1967" s="11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</row>
    <row r="1968" ht="3.75" hidden="1" customHeight="1">
      <c r="A1968" s="90"/>
      <c r="B1968" s="6"/>
      <c r="C1968" s="90"/>
      <c r="D1968" s="138"/>
      <c r="E1968" s="326"/>
      <c r="F1968" s="102"/>
      <c r="G1968" s="102"/>
      <c r="H1968" s="102"/>
      <c r="I1968" s="102"/>
      <c r="J1968" s="216"/>
      <c r="K1968" s="143"/>
      <c r="L1968" s="144"/>
      <c r="M1968" s="145"/>
      <c r="N1968" s="145"/>
      <c r="O1968" s="122"/>
      <c r="P1968" s="146" t="str">
        <f t="shared" si="73"/>
        <v/>
      </c>
      <c r="Q1968" s="214"/>
      <c r="R1968" s="11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</row>
    <row r="1969" ht="18.0" customHeight="1">
      <c r="A1969" s="90"/>
      <c r="B1969" s="6"/>
      <c r="C1969" s="90"/>
      <c r="D1969" s="185" t="s">
        <v>277</v>
      </c>
      <c r="E1969" s="327"/>
      <c r="F1969" s="187">
        <v>3.0</v>
      </c>
      <c r="G1969" s="731" t="s">
        <v>251</v>
      </c>
      <c r="H1969" s="195"/>
      <c r="I1969" s="164"/>
      <c r="J1969" s="189">
        <v>9.0</v>
      </c>
      <c r="K1969" s="183"/>
      <c r="L1969" s="134" t="str">
        <f>I1833</f>
        <v/>
      </c>
      <c r="M1969" s="135" t="str">
        <f>iferror(mround($O1833*((VLOOKUP($J1969,Sheet1!$D:$N,$G1969+1,FALSE)-0.03)),2.5)," ")</f>
        <v> </v>
      </c>
      <c r="N1969" s="135" t="str">
        <f>iferror(mround($O1833*((VLOOKUP($J1969,Sheet1!$D:$N,$G1969+1,FALSE)+0.02)),2.5)," ")</f>
        <v> </v>
      </c>
      <c r="O1969" s="112" t="str">
        <f>iferror(mround(I1969/VLOOKUP(K1969,Sheet1!$D$7:$N$16,G1969+1,FALSE),2.5),"")</f>
        <v/>
      </c>
      <c r="P1969" s="136" t="str">
        <f t="shared" si="73"/>
        <v/>
      </c>
      <c r="Q1969" s="214"/>
      <c r="R1969" s="11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</row>
    <row r="1970" ht="3.75" customHeight="1">
      <c r="A1970" s="191"/>
      <c r="B1970" s="6"/>
      <c r="C1970" s="192"/>
      <c r="D1970" s="138"/>
      <c r="E1970" s="223"/>
      <c r="F1970" s="194"/>
      <c r="G1970" s="194"/>
      <c r="H1970" s="155"/>
      <c r="I1970" s="210"/>
      <c r="J1970" s="216"/>
      <c r="K1970" s="143"/>
      <c r="L1970" s="144"/>
      <c r="M1970" s="145"/>
      <c r="N1970" s="145"/>
      <c r="O1970" s="122"/>
      <c r="P1970" s="146" t="str">
        <f t="shared" si="73"/>
        <v/>
      </c>
      <c r="Q1970" s="214"/>
      <c r="R1970" s="157"/>
      <c r="S1970" s="5"/>
      <c r="T1970" s="5"/>
      <c r="U1970" s="158"/>
      <c r="V1970" s="158"/>
      <c r="W1970" s="158"/>
      <c r="X1970" s="158"/>
      <c r="Y1970" s="158"/>
      <c r="Z1970" s="158"/>
      <c r="AA1970" s="158"/>
      <c r="AB1970" s="158"/>
      <c r="AC1970" s="158"/>
      <c r="AD1970" s="158"/>
      <c r="AE1970" s="158"/>
      <c r="AF1970" s="158"/>
    </row>
    <row r="1971" ht="15.75" customHeight="1">
      <c r="A1971" s="90"/>
      <c r="B1971" s="6"/>
      <c r="C1971" s="90"/>
      <c r="D1971" s="185" t="s">
        <v>293</v>
      </c>
      <c r="E1971" s="186"/>
      <c r="F1971" s="187">
        <v>3.0</v>
      </c>
      <c r="G1971" s="731" t="s">
        <v>251</v>
      </c>
      <c r="H1971" s="195"/>
      <c r="I1971" s="164"/>
      <c r="J1971" s="189">
        <v>9.0</v>
      </c>
      <c r="K1971" s="183"/>
      <c r="L1971" s="134" t="str">
        <f>I1835</f>
        <v/>
      </c>
      <c r="M1971" s="135" t="str">
        <f>iferror(mround($O1835*((VLOOKUP($J1971,Sheet1!$D:$N,$G1971+1,FALSE)-0.03)),2.5)," ")</f>
        <v> </v>
      </c>
      <c r="N1971" s="135" t="str">
        <f>iferror(mround($O1835*((VLOOKUP($J1971,Sheet1!$D:$N,$G1971+1,FALSE)+0.02)),2.5)," ")</f>
        <v> </v>
      </c>
      <c r="O1971" s="112" t="str">
        <f>iferror(mround(I1971/VLOOKUP(K1971,Sheet1!$D$7:$N$16,G1971+1,FALSE),2.5),"")</f>
        <v/>
      </c>
      <c r="P1971" s="136" t="str">
        <f t="shared" si="73"/>
        <v/>
      </c>
      <c r="Q1971" s="214"/>
      <c r="R1971" s="11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</row>
    <row r="1972" ht="3.75" customHeight="1">
      <c r="A1972" s="90"/>
      <c r="B1972" s="6"/>
      <c r="C1972" s="90"/>
      <c r="D1972" s="138"/>
      <c r="E1972" s="184"/>
      <c r="F1972" s="102"/>
      <c r="G1972" s="102"/>
      <c r="H1972" s="102"/>
      <c r="I1972" s="102"/>
      <c r="J1972" s="156"/>
      <c r="K1972" s="143"/>
      <c r="L1972" s="144"/>
      <c r="M1972" s="145"/>
      <c r="N1972" s="145"/>
      <c r="O1972" s="122"/>
      <c r="P1972" s="146" t="str">
        <f t="shared" si="73"/>
        <v/>
      </c>
      <c r="Q1972" s="214"/>
      <c r="R1972" s="11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</row>
    <row r="1973" ht="15.75" customHeight="1">
      <c r="A1973" s="90"/>
      <c r="B1973" s="6"/>
      <c r="C1973" s="90"/>
      <c r="D1973" s="185" t="s">
        <v>255</v>
      </c>
      <c r="E1973" s="224"/>
      <c r="F1973" s="187">
        <v>3.0</v>
      </c>
      <c r="G1973" s="731" t="s">
        <v>251</v>
      </c>
      <c r="H1973" s="195"/>
      <c r="I1973" s="164"/>
      <c r="J1973" s="189">
        <v>9.0</v>
      </c>
      <c r="K1973" s="183"/>
      <c r="L1973" s="134" t="str">
        <f>I1837</f>
        <v/>
      </c>
      <c r="M1973" s="135" t="str">
        <f>iferror(mround($O1837*((VLOOKUP($J1973,Sheet1!$D:$N,$G1973+1,FALSE)-0.03)),2.5)," ")</f>
        <v> </v>
      </c>
      <c r="N1973" s="135" t="str">
        <f>iferror(mround($O1837*((VLOOKUP($J1973,Sheet1!$D:$N,$G1973+1,FALSE)+0.02)),2.5)," ")</f>
        <v> </v>
      </c>
      <c r="O1973" s="112" t="str">
        <f>iferror(mround(I1973/VLOOKUP(K1973,Sheet1!$D$7:$N$16,G1973+1,FALSE),2.5),"")</f>
        <v/>
      </c>
      <c r="P1973" s="136" t="str">
        <f t="shared" si="73"/>
        <v/>
      </c>
      <c r="Q1973" s="214"/>
      <c r="R1973" s="11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</row>
    <row r="1974" ht="3.75" customHeight="1">
      <c r="A1974" s="191"/>
      <c r="B1974" s="6"/>
      <c r="C1974" s="192"/>
      <c r="D1974" s="138"/>
      <c r="E1974" s="193"/>
      <c r="F1974" s="194"/>
      <c r="G1974" s="194"/>
      <c r="H1974" s="155"/>
      <c r="I1974" s="210"/>
      <c r="J1974" s="216"/>
      <c r="K1974" s="143"/>
      <c r="L1974" s="144"/>
      <c r="M1974" s="145"/>
      <c r="N1974" s="145"/>
      <c r="O1974" s="122"/>
      <c r="P1974" s="146" t="str">
        <f t="shared" si="73"/>
        <v/>
      </c>
      <c r="Q1974" s="214"/>
      <c r="R1974" s="157"/>
      <c r="S1974" s="5"/>
      <c r="T1974" s="5"/>
      <c r="U1974" s="158"/>
      <c r="V1974" s="158"/>
      <c r="W1974" s="158"/>
      <c r="X1974" s="158"/>
      <c r="Y1974" s="158"/>
      <c r="Z1974" s="158"/>
      <c r="AA1974" s="158"/>
      <c r="AB1974" s="158"/>
      <c r="AC1974" s="158"/>
      <c r="AD1974" s="158"/>
      <c r="AE1974" s="158"/>
      <c r="AF1974" s="158"/>
    </row>
    <row r="1975" ht="15.75" customHeight="1">
      <c r="A1975" s="90"/>
      <c r="B1975" s="6"/>
      <c r="C1975" s="90"/>
      <c r="D1975" s="185" t="s">
        <v>256</v>
      </c>
      <c r="E1975" s="186"/>
      <c r="F1975" s="187">
        <v>3.0</v>
      </c>
      <c r="G1975" s="187" t="s">
        <v>16</v>
      </c>
      <c r="H1975" s="195"/>
      <c r="I1975" s="164"/>
      <c r="J1975" s="189">
        <v>9.0</v>
      </c>
      <c r="K1975" s="183"/>
      <c r="L1975" s="134" t="str">
        <f>I1839</f>
        <v/>
      </c>
      <c r="M1975" s="135" t="str">
        <f>iferror(mround($O1839*((VLOOKUP($J1975,Sheet1!$D:$N,$G1975+1,FALSE)-0.03)),2.5)," ")</f>
        <v> </v>
      </c>
      <c r="N1975" s="135" t="str">
        <f>iferror(mround($O1839*((VLOOKUP($J1975,Sheet1!$D:$N,$G1975+1,FALSE)+0.02)),2.5)," ")</f>
        <v> </v>
      </c>
      <c r="O1975" s="112" t="str">
        <f>iferror(mround(I1975/VLOOKUP(K1975,Sheet1!$D$7:$N$16,G1975+1,FALSE),2.5),"")</f>
        <v/>
      </c>
      <c r="P1975" s="136" t="str">
        <f t="shared" si="73"/>
        <v/>
      </c>
      <c r="Q1975" s="214"/>
      <c r="R1975" s="11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</row>
    <row r="1976" ht="3.75" hidden="1" customHeight="1">
      <c r="A1976" s="90"/>
      <c r="B1976" s="6"/>
      <c r="C1976" s="90"/>
      <c r="D1976" s="196"/>
      <c r="E1976" s="184"/>
      <c r="F1976" s="102"/>
      <c r="G1976" s="102"/>
      <c r="H1976" s="102"/>
      <c r="I1976" s="102"/>
      <c r="J1976" s="156"/>
      <c r="K1976" s="143"/>
      <c r="L1976" s="144"/>
      <c r="M1976" s="145"/>
      <c r="N1976" s="145"/>
      <c r="O1976" s="122"/>
      <c r="P1976" s="146" t="str">
        <f t="shared" si="73"/>
        <v/>
      </c>
      <c r="Q1976" s="214"/>
      <c r="R1976" s="11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</row>
    <row r="1977" ht="15.75" hidden="1" customHeight="1">
      <c r="A1977" s="90"/>
      <c r="B1977" s="6"/>
      <c r="C1977" s="90"/>
      <c r="D1977" s="197"/>
      <c r="E1977" s="198"/>
      <c r="F1977" s="199"/>
      <c r="G1977" s="187"/>
      <c r="H1977" s="195"/>
      <c r="I1977" s="164"/>
      <c r="J1977" s="189"/>
      <c r="K1977" s="183"/>
      <c r="L1977" s="134" t="str">
        <f>I1841</f>
        <v/>
      </c>
      <c r="M1977" s="135" t="str">
        <f>iferror(mround($O1841*((VLOOKUP($J1977,Sheet1!$D:$N,$G1977+1,FALSE)-0.03)),2.5)," ")</f>
        <v> </v>
      </c>
      <c r="N1977" s="135" t="str">
        <f>iferror(mround($O1841*((VLOOKUP($J1977,Sheet1!$D:$N,$G1977+1,FALSE)+0.02)),2.5)," ")</f>
        <v> </v>
      </c>
      <c r="O1977" s="112" t="str">
        <f>iferror(mround(I1977/VLOOKUP(K1977,Sheet1!$D$7:$N$16,G1977+1,FALSE),2.5),"")</f>
        <v/>
      </c>
      <c r="P1977" s="136" t="str">
        <f t="shared" si="73"/>
        <v/>
      </c>
      <c r="Q1977" s="214"/>
      <c r="R1977" s="11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</row>
    <row r="1978" ht="3.75" customHeight="1">
      <c r="A1978" s="90"/>
      <c r="B1978" s="6"/>
      <c r="C1978" s="90"/>
      <c r="D1978" s="90"/>
      <c r="E1978" s="156"/>
      <c r="F1978" s="102"/>
      <c r="G1978" s="102"/>
      <c r="H1978" s="102"/>
      <c r="I1978" s="102"/>
      <c r="J1978" s="156"/>
      <c r="K1978" s="720"/>
      <c r="L1978" s="211"/>
      <c r="M1978" s="47"/>
      <c r="N1978" s="47"/>
      <c r="O1978" s="122"/>
      <c r="P1978" s="146" t="str">
        <f t="shared" si="73"/>
        <v/>
      </c>
      <c r="Q1978" s="214"/>
      <c r="R1978" s="11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</row>
    <row r="1979" ht="30.75" customHeight="1">
      <c r="A1979" s="90"/>
      <c r="B1979" s="6"/>
      <c r="C1979" s="90"/>
      <c r="D1979" s="202" t="s">
        <v>257</v>
      </c>
      <c r="E1979" s="255" t="s">
        <v>15</v>
      </c>
      <c r="F1979" s="106" t="s">
        <v>16</v>
      </c>
      <c r="G1979" s="106" t="s">
        <v>17</v>
      </c>
      <c r="H1979" s="107"/>
      <c r="I1979" s="106" t="s">
        <v>18</v>
      </c>
      <c r="J1979" s="766" t="s">
        <v>241</v>
      </c>
      <c r="K1979" s="767" t="s">
        <v>20</v>
      </c>
      <c r="L1979" s="110" t="s">
        <v>21</v>
      </c>
      <c r="M1979" s="111" t="s">
        <v>22</v>
      </c>
      <c r="O1979" s="112"/>
      <c r="P1979" s="113" t="s">
        <v>23</v>
      </c>
      <c r="Q1979" s="768"/>
      <c r="R1979" s="11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</row>
    <row r="1980" ht="14.25" customHeight="1">
      <c r="A1980" s="90"/>
      <c r="B1980" s="6"/>
      <c r="C1980" s="90"/>
      <c r="D1980" s="257" t="s">
        <v>25</v>
      </c>
      <c r="E1980" s="258" t="s">
        <v>26</v>
      </c>
      <c r="H1980" s="107"/>
      <c r="J1980" s="766" t="s">
        <v>244</v>
      </c>
      <c r="M1980" s="111" t="s">
        <v>27</v>
      </c>
      <c r="N1980" s="111" t="s">
        <v>28</v>
      </c>
      <c r="O1980" s="112" t="s">
        <v>29</v>
      </c>
      <c r="Q1980" s="118" t="s">
        <v>30</v>
      </c>
      <c r="R1980" s="11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</row>
    <row r="1981" ht="3.75" customHeight="1">
      <c r="A1981" s="191"/>
      <c r="B1981" s="6"/>
      <c r="C1981" s="192"/>
      <c r="D1981" s="203"/>
      <c r="E1981" s="203"/>
      <c r="F1981" s="205"/>
      <c r="G1981" s="205"/>
      <c r="H1981" s="205"/>
      <c r="I1981" s="225"/>
      <c r="J1981" s="226"/>
      <c r="K1981" s="191"/>
      <c r="L1981" s="211"/>
      <c r="M1981" s="47"/>
      <c r="N1981" s="47"/>
      <c r="O1981" s="122"/>
      <c r="P1981" s="146" t="str">
        <f t="shared" ref="P1981:P2001" si="74">IF(I1981 - I1845 = 0, "", I1981 - I1845)</f>
        <v/>
      </c>
      <c r="Q1981" s="196"/>
      <c r="R1981" s="157"/>
      <c r="S1981" s="5"/>
      <c r="T1981" s="5"/>
      <c r="U1981" s="158"/>
      <c r="V1981" s="158"/>
      <c r="W1981" s="158"/>
      <c r="X1981" s="158"/>
      <c r="Y1981" s="158"/>
      <c r="Z1981" s="158"/>
      <c r="AA1981" s="158"/>
      <c r="AB1981" s="158"/>
      <c r="AC1981" s="158"/>
      <c r="AD1981" s="158"/>
      <c r="AE1981" s="158"/>
      <c r="AF1981" s="158"/>
    </row>
    <row r="1982" ht="15.75" customHeight="1">
      <c r="A1982" s="124"/>
      <c r="B1982" s="6" t="s">
        <v>239</v>
      </c>
      <c r="C1982" s="124"/>
      <c r="D1982" s="185" t="s">
        <v>77</v>
      </c>
      <c r="E1982" s="327"/>
      <c r="F1982" s="187">
        <v>3.0</v>
      </c>
      <c r="G1982" s="187">
        <v>2.0</v>
      </c>
      <c r="H1982" s="195"/>
      <c r="I1982" s="164">
        <v>155.0</v>
      </c>
      <c r="J1982" s="189"/>
      <c r="K1982" s="183"/>
      <c r="L1982" s="134">
        <f>I1846</f>
        <v>180</v>
      </c>
      <c r="M1982" s="135" t="str">
        <f>iferror(mround($O1846*((VLOOKUP($J1982,Sheet1!$D:$N,$G1982+1,FALSE)-0.03)),2.5)," ")</f>
        <v> </v>
      </c>
      <c r="N1982" s="135" t="str">
        <f>iferror(mround($O1846*((VLOOKUP($J1982,Sheet1!$D:$N,$G1982+1,FALSE)+0.02)),2.5)," ")</f>
        <v> </v>
      </c>
      <c r="O1982" s="112" t="str">
        <f>iferror(mround(I1982/VLOOKUP(K1982,Sheet1!$D$7:$N$16,G1982+1,FALSE),2.5),"")</f>
        <v/>
      </c>
      <c r="P1982" s="136">
        <f t="shared" si="74"/>
        <v>-25</v>
      </c>
      <c r="Q1982" s="214"/>
      <c r="R1982" s="11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</row>
    <row r="1983" ht="3.75" customHeight="1">
      <c r="A1983" s="124"/>
      <c r="B1983" s="6"/>
      <c r="C1983" s="124"/>
      <c r="D1983" s="138"/>
      <c r="E1983" s="184"/>
      <c r="F1983" s="102"/>
      <c r="G1983" s="102"/>
      <c r="H1983" s="102"/>
      <c r="I1983" s="102"/>
      <c r="J1983" s="156"/>
      <c r="K1983" s="218"/>
      <c r="L1983" s="144"/>
      <c r="M1983" s="145"/>
      <c r="N1983" s="145"/>
      <c r="O1983" s="122"/>
      <c r="P1983" s="146" t="str">
        <f t="shared" si="74"/>
        <v/>
      </c>
      <c r="Q1983" s="214"/>
      <c r="R1983" s="11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</row>
    <row r="1984" ht="15.75" customHeight="1">
      <c r="A1984" s="90"/>
      <c r="B1984" s="6" t="s">
        <v>236</v>
      </c>
      <c r="C1984" s="90"/>
      <c r="D1984" s="185" t="s">
        <v>33</v>
      </c>
      <c r="E1984" s="327"/>
      <c r="F1984" s="187">
        <v>1.0</v>
      </c>
      <c r="G1984" s="187">
        <v>3.0</v>
      </c>
      <c r="H1984" s="195"/>
      <c r="I1984" s="164"/>
      <c r="J1984" s="189">
        <v>6.5</v>
      </c>
      <c r="K1984" s="183"/>
      <c r="L1984" s="134" t="str">
        <f>I1848</f>
        <v/>
      </c>
      <c r="M1984" s="135">
        <f>iferror(mround($O1848*((VLOOKUP($J1984,Sheet1!$D:$N,$G1984+1,FALSE)-0.03)),2.5)," ")</f>
        <v>0</v>
      </c>
      <c r="N1984" s="135">
        <f>iferror(mround($O1848*((VLOOKUP($J1984,Sheet1!$D:$N,$G1984+1,FALSE)+0.02)),2.5)," ")</f>
        <v>0</v>
      </c>
      <c r="O1984" s="112" t="str">
        <f>iferror(mround(I1984/VLOOKUP(K1984,Sheet1!$D$7:$N$16,G1984+1,FALSE),2.5),"")</f>
        <v/>
      </c>
      <c r="P1984" s="136" t="str">
        <f t="shared" si="74"/>
        <v/>
      </c>
      <c r="Q1984" s="214"/>
      <c r="R1984" s="11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</row>
    <row r="1985" ht="3.75" customHeight="1">
      <c r="A1985" s="90"/>
      <c r="B1985" s="6"/>
      <c r="C1985" s="90"/>
      <c r="D1985" s="138"/>
      <c r="E1985" s="326"/>
      <c r="F1985" s="102"/>
      <c r="G1985" s="102"/>
      <c r="H1985" s="102"/>
      <c r="I1985" s="102"/>
      <c r="J1985" s="156"/>
      <c r="K1985" s="218"/>
      <c r="L1985" s="144"/>
      <c r="M1985" s="145"/>
      <c r="N1985" s="145"/>
      <c r="O1985" s="122"/>
      <c r="P1985" s="146" t="str">
        <f t="shared" si="74"/>
        <v/>
      </c>
      <c r="Q1985" s="214"/>
      <c r="R1985" s="11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</row>
    <row r="1986" ht="15.75" customHeight="1">
      <c r="A1986" s="90"/>
      <c r="B1986" s="6"/>
      <c r="C1986" s="90"/>
      <c r="D1986" s="185" t="s">
        <v>33</v>
      </c>
      <c r="E1986" s="327"/>
      <c r="F1986" s="187">
        <v>3.0</v>
      </c>
      <c r="G1986" s="187">
        <v>4.0</v>
      </c>
      <c r="H1986" s="195"/>
      <c r="I1986" s="164">
        <f>MROUND(I1984*(1+J1986),2.5)</f>
        <v>0</v>
      </c>
      <c r="J1986" s="230">
        <v>-0.15</v>
      </c>
      <c r="K1986" s="183"/>
      <c r="L1986" s="134">
        <f>I1850</f>
        <v>0</v>
      </c>
      <c r="M1986" s="135" t="str">
        <f>iferror(mround($O1850*((VLOOKUP($J1986,Sheet1!$D:$N,$G1986+1,FALSE)-0.03)),2.5)," ")</f>
        <v> </v>
      </c>
      <c r="N1986" s="135" t="str">
        <f>iferror(mround($O1850*((VLOOKUP($J1986,Sheet1!$D:$N,$G1986+1,FALSE)+0.02)),2.5)," ")</f>
        <v> </v>
      </c>
      <c r="O1986" s="112" t="str">
        <f>iferror(mround(I1986/VLOOKUP(K1986,Sheet1!$D$7:$N$16,G1986+1,FALSE),2.5),"")</f>
        <v/>
      </c>
      <c r="P1986" s="136" t="str">
        <f t="shared" si="74"/>
        <v/>
      </c>
      <c r="Q1986" s="214"/>
      <c r="R1986" s="11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</row>
    <row r="1987" ht="3.75" customHeight="1">
      <c r="A1987" s="90"/>
      <c r="B1987" s="6"/>
      <c r="C1987" s="90"/>
      <c r="D1987" s="138"/>
      <c r="E1987" s="184"/>
      <c r="F1987" s="102"/>
      <c r="G1987" s="102"/>
      <c r="H1987" s="102"/>
      <c r="I1987" s="102"/>
      <c r="J1987" s="156"/>
      <c r="K1987" s="218"/>
      <c r="L1987" s="144"/>
      <c r="M1987" s="145"/>
      <c r="N1987" s="145"/>
      <c r="O1987" s="122"/>
      <c r="P1987" s="146" t="str">
        <f t="shared" si="74"/>
        <v/>
      </c>
      <c r="Q1987" s="214"/>
      <c r="R1987" s="11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</row>
    <row r="1988" ht="15.75" customHeight="1">
      <c r="A1988" s="90"/>
      <c r="B1988" s="6"/>
      <c r="C1988" s="90"/>
      <c r="D1988" s="185" t="s">
        <v>295</v>
      </c>
      <c r="E1988" s="224" t="s">
        <v>296</v>
      </c>
      <c r="F1988" s="187">
        <v>3.0</v>
      </c>
      <c r="G1988" s="731" t="s">
        <v>251</v>
      </c>
      <c r="H1988" s="195"/>
      <c r="I1988" s="164"/>
      <c r="J1988" s="189">
        <v>8.0</v>
      </c>
      <c r="K1988" s="183"/>
      <c r="L1988" s="134" t="str">
        <f>I1852</f>
        <v/>
      </c>
      <c r="M1988" s="135" t="str">
        <f>iferror(mround($O1852*((VLOOKUP($J1988,Sheet1!$D:$N,$G1988+1,FALSE)-0.03)),2.5)," ")</f>
        <v> </v>
      </c>
      <c r="N1988" s="135" t="str">
        <f>iferror(mround($O1852*((VLOOKUP($J1988,Sheet1!$D:$N,$G1988+1,FALSE)+0.02)),2.5)," ")</f>
        <v> </v>
      </c>
      <c r="O1988" s="112" t="str">
        <f>iferror(mround(I1988/VLOOKUP(K1988,Sheet1!$D$7:$N$16,G1988+1,FALSE),2.5),"")</f>
        <v/>
      </c>
      <c r="P1988" s="136" t="str">
        <f t="shared" si="74"/>
        <v/>
      </c>
      <c r="Q1988" s="214"/>
      <c r="R1988" s="11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</row>
    <row r="1989" ht="3.75" customHeight="1">
      <c r="A1989" s="90"/>
      <c r="B1989" s="6"/>
      <c r="C1989" s="90"/>
      <c r="D1989" s="138"/>
      <c r="E1989" s="184"/>
      <c r="F1989" s="102"/>
      <c r="G1989" s="102"/>
      <c r="H1989" s="102"/>
      <c r="I1989" s="102"/>
      <c r="J1989" s="156"/>
      <c r="K1989" s="218"/>
      <c r="L1989" s="144"/>
      <c r="M1989" s="145"/>
      <c r="N1989" s="145"/>
      <c r="O1989" s="122"/>
      <c r="P1989" s="146" t="str">
        <f t="shared" si="74"/>
        <v/>
      </c>
      <c r="Q1989" s="214"/>
      <c r="R1989" s="11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</row>
    <row r="1990" ht="15.75" customHeight="1">
      <c r="A1990" s="90"/>
      <c r="B1990" s="6"/>
      <c r="C1990" s="90"/>
      <c r="D1990" s="185" t="s">
        <v>298</v>
      </c>
      <c r="E1990" s="224"/>
      <c r="F1990" s="187">
        <v>3.0</v>
      </c>
      <c r="G1990" s="731" t="s">
        <v>251</v>
      </c>
      <c r="H1990" s="195"/>
      <c r="I1990" s="164"/>
      <c r="J1990" s="189">
        <v>8.0</v>
      </c>
      <c r="K1990" s="183"/>
      <c r="L1990" s="134" t="str">
        <f>I1854</f>
        <v/>
      </c>
      <c r="M1990" s="135" t="str">
        <f>iferror(mround($O1854*((VLOOKUP($J1990,Sheet1!$D:$N,$G1990+1,FALSE)-0.03)),2.5)," ")</f>
        <v> </v>
      </c>
      <c r="N1990" s="135" t="str">
        <f>iferror(mround($O1854*((VLOOKUP($J1990,Sheet1!$D:$N,$G1990+1,FALSE)+0.02)),2.5)," ")</f>
        <v> </v>
      </c>
      <c r="O1990" s="112" t="str">
        <f>iferror(mround(I1990/VLOOKUP(K1990,Sheet1!$D$7:$N$16,G1990+1,FALSE),2.5),"")</f>
        <v/>
      </c>
      <c r="P1990" s="136" t="str">
        <f t="shared" si="74"/>
        <v/>
      </c>
      <c r="Q1990" s="214"/>
      <c r="R1990" s="11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</row>
    <row r="1991" ht="3.75" customHeight="1">
      <c r="A1991" s="90"/>
      <c r="B1991" s="6"/>
      <c r="C1991" s="90"/>
      <c r="D1991" s="138"/>
      <c r="E1991" s="184"/>
      <c r="F1991" s="102"/>
      <c r="G1991" s="102"/>
      <c r="H1991" s="102"/>
      <c r="I1991" s="102"/>
      <c r="J1991" s="156"/>
      <c r="K1991" s="218"/>
      <c r="L1991" s="144"/>
      <c r="M1991" s="145"/>
      <c r="N1991" s="145"/>
      <c r="O1991" s="122"/>
      <c r="P1991" s="146" t="str">
        <f t="shared" si="74"/>
        <v/>
      </c>
      <c r="Q1991" s="214"/>
      <c r="R1991" s="11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</row>
    <row r="1992" ht="15.75" hidden="1" customHeight="1">
      <c r="A1992" s="90"/>
      <c r="B1992" s="6"/>
      <c r="C1992" s="90"/>
      <c r="D1992" s="185"/>
      <c r="E1992" s="224"/>
      <c r="F1992" s="187"/>
      <c r="G1992" s="187"/>
      <c r="H1992" s="195"/>
      <c r="I1992" s="164"/>
      <c r="J1992" s="230"/>
      <c r="K1992" s="183"/>
      <c r="L1992" s="134" t="str">
        <f>I1856</f>
        <v/>
      </c>
      <c r="M1992" s="135" t="str">
        <f>iferror(mround($O1856*((VLOOKUP($J1992,Sheet1!$D:$N,$G1992+1,FALSE)-0.03)),2.5)," ")</f>
        <v> </v>
      </c>
      <c r="N1992" s="135" t="str">
        <f>iferror(mround($O1856*((VLOOKUP($J1992,Sheet1!$D:$N,$G1992+1,FALSE)+0.02)),2.5)," ")</f>
        <v> </v>
      </c>
      <c r="O1992" s="112" t="str">
        <f>iferror(mround(I1992/VLOOKUP(K1992,Sheet1!$D$7:$N$16,G1992+1,FALSE),2.5),"")</f>
        <v/>
      </c>
      <c r="P1992" s="136" t="str">
        <f t="shared" si="74"/>
        <v/>
      </c>
      <c r="Q1992" s="214"/>
      <c r="R1992" s="11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</row>
    <row r="1993" ht="3.75" hidden="1" customHeight="1">
      <c r="A1993" s="90"/>
      <c r="B1993" s="6"/>
      <c r="C1993" s="90"/>
      <c r="D1993" s="138"/>
      <c r="E1993" s="184"/>
      <c r="F1993" s="102"/>
      <c r="G1993" s="102"/>
      <c r="H1993" s="102"/>
      <c r="I1993" s="102"/>
      <c r="J1993" s="216"/>
      <c r="K1993" s="218"/>
      <c r="L1993" s="144"/>
      <c r="M1993" s="145"/>
      <c r="N1993" s="145"/>
      <c r="O1993" s="122"/>
      <c r="P1993" s="146" t="str">
        <f t="shared" si="74"/>
        <v/>
      </c>
      <c r="Q1993" s="214"/>
      <c r="R1993" s="11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</row>
    <row r="1994" ht="15.75" hidden="1" customHeight="1">
      <c r="A1994" s="90"/>
      <c r="B1994" s="6"/>
      <c r="C1994" s="90"/>
      <c r="D1994" s="185"/>
      <c r="E1994" s="327"/>
      <c r="F1994" s="187"/>
      <c r="G1994" s="187"/>
      <c r="H1994" s="195"/>
      <c r="I1994" s="164"/>
      <c r="J1994" s="230"/>
      <c r="K1994" s="183"/>
      <c r="L1994" s="134" t="str">
        <f>I1858</f>
        <v/>
      </c>
      <c r="M1994" s="135" t="str">
        <f>iferror(mround($O1858*((VLOOKUP($J1994,Sheet1!$D:$N,$G1994+1,FALSE)-0.03)),2.5)," ")</f>
        <v> </v>
      </c>
      <c r="N1994" s="135" t="str">
        <f>iferror(mround($O1858*((VLOOKUP($J1994,Sheet1!$D:$N,$G1994+1,FALSE)+0.02)),2.5)," ")</f>
        <v> </v>
      </c>
      <c r="O1994" s="112" t="str">
        <f>iferror(mround(I1994/VLOOKUP(K1994,Sheet1!$D$7:$N$16,G1994+1,FALSE),2.5),"")</f>
        <v/>
      </c>
      <c r="P1994" s="136" t="str">
        <f t="shared" si="74"/>
        <v/>
      </c>
      <c r="Q1994" s="214"/>
      <c r="R1994" s="11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</row>
    <row r="1995" ht="3.75" hidden="1" customHeight="1">
      <c r="A1995" s="191"/>
      <c r="B1995" s="6"/>
      <c r="C1995" s="192"/>
      <c r="D1995" s="138"/>
      <c r="E1995" s="184"/>
      <c r="F1995" s="102"/>
      <c r="G1995" s="102"/>
      <c r="H1995" s="102"/>
      <c r="I1995" s="102"/>
      <c r="J1995" s="156"/>
      <c r="K1995" s="218"/>
      <c r="L1995" s="144"/>
      <c r="M1995" s="145"/>
      <c r="N1995" s="145"/>
      <c r="O1995" s="122"/>
      <c r="P1995" s="146" t="str">
        <f t="shared" si="74"/>
        <v/>
      </c>
      <c r="Q1995" s="214"/>
      <c r="R1995" s="157"/>
      <c r="S1995" s="5"/>
      <c r="T1995" s="5"/>
      <c r="U1995" s="158"/>
      <c r="V1995" s="158"/>
      <c r="W1995" s="158"/>
      <c r="X1995" s="158"/>
      <c r="Y1995" s="158"/>
      <c r="Z1995" s="158"/>
      <c r="AA1995" s="158"/>
      <c r="AB1995" s="158"/>
      <c r="AC1995" s="158"/>
      <c r="AD1995" s="158"/>
      <c r="AE1995" s="158"/>
      <c r="AF1995" s="158"/>
    </row>
    <row r="1996" ht="15.75" hidden="1" customHeight="1">
      <c r="A1996" s="90"/>
      <c r="B1996" s="6"/>
      <c r="C1996" s="90"/>
      <c r="D1996" s="185"/>
      <c r="E1996" s="224"/>
      <c r="F1996" s="187"/>
      <c r="G1996" s="187"/>
      <c r="H1996" s="195"/>
      <c r="I1996" s="164"/>
      <c r="J1996" s="230"/>
      <c r="K1996" s="183"/>
      <c r="L1996" s="134" t="str">
        <f>I1860</f>
        <v/>
      </c>
      <c r="M1996" s="135" t="str">
        <f>iferror(mround($O1860*((VLOOKUP($J1996,Sheet1!$D:$N,$G1996+1,FALSE)-0.03)),2.5)," ")</f>
        <v> </v>
      </c>
      <c r="N1996" s="135" t="str">
        <f>iferror(mround($O1860*((VLOOKUP($J1996,Sheet1!$D:$N,$G1996+1,FALSE)+0.02)),2.5)," ")</f>
        <v> </v>
      </c>
      <c r="O1996" s="112" t="str">
        <f>iferror(mround(I1996/VLOOKUP(K1996,Sheet1!$D$7:$N$16,G1996+1,FALSE),2.5),"")</f>
        <v/>
      </c>
      <c r="P1996" s="136" t="str">
        <f t="shared" si="74"/>
        <v/>
      </c>
      <c r="Q1996" s="214"/>
      <c r="R1996" s="11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</row>
    <row r="1997" ht="3.75" hidden="1" customHeight="1">
      <c r="A1997" s="90"/>
      <c r="B1997" s="6"/>
      <c r="C1997" s="90"/>
      <c r="D1997" s="138"/>
      <c r="E1997" s="184"/>
      <c r="F1997" s="102"/>
      <c r="G1997" s="102"/>
      <c r="H1997" s="102"/>
      <c r="I1997" s="102"/>
      <c r="J1997" s="156"/>
      <c r="K1997" s="218"/>
      <c r="L1997" s="144"/>
      <c r="M1997" s="145"/>
      <c r="N1997" s="145"/>
      <c r="O1997" s="122"/>
      <c r="P1997" s="146" t="str">
        <f t="shared" si="74"/>
        <v/>
      </c>
      <c r="Q1997" s="214"/>
      <c r="R1997" s="11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</row>
    <row r="1998" ht="15.75" hidden="1" customHeight="1">
      <c r="A1998" s="90"/>
      <c r="B1998" s="6"/>
      <c r="C1998" s="90"/>
      <c r="D1998" s="231"/>
      <c r="E1998" s="232"/>
      <c r="F1998" s="187"/>
      <c r="G1998" s="187"/>
      <c r="H1998" s="195"/>
      <c r="I1998" s="164"/>
      <c r="J1998" s="230"/>
      <c r="K1998" s="183"/>
      <c r="L1998" s="134" t="str">
        <f>I1862</f>
        <v/>
      </c>
      <c r="M1998" s="135" t="str">
        <f>iferror(mround($O1862*((VLOOKUP($J1998,Sheet1!$D:$N,$G1998+1,FALSE)-0.03)),2.5)," ")</f>
        <v> </v>
      </c>
      <c r="N1998" s="135" t="str">
        <f>iferror(mround($O1862*((VLOOKUP($J1998,Sheet1!$D:$N,$G1998+1,FALSE)+0.02)),2.5)," ")</f>
        <v> </v>
      </c>
      <c r="O1998" s="112" t="str">
        <f>iferror(mround(I1998/VLOOKUP(K1998,Sheet1!$D$7:$N$16,G1998+1,FALSE),2.5),"")</f>
        <v/>
      </c>
      <c r="P1998" s="136" t="str">
        <f t="shared" si="74"/>
        <v/>
      </c>
      <c r="Q1998" s="214"/>
      <c r="R1998" s="11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</row>
    <row r="1999" ht="3.75" hidden="1" customHeight="1">
      <c r="A1999" s="191"/>
      <c r="B1999" s="6"/>
      <c r="C1999" s="233"/>
      <c r="D1999" s="234"/>
      <c r="E1999" s="235"/>
      <c r="F1999" s="236"/>
      <c r="G1999" s="194"/>
      <c r="H1999" s="155"/>
      <c r="I1999" s="210"/>
      <c r="J1999" s="216"/>
      <c r="K1999" s="218"/>
      <c r="L1999" s="144"/>
      <c r="M1999" s="145"/>
      <c r="N1999" s="145"/>
      <c r="O1999" s="122"/>
      <c r="P1999" s="146" t="str">
        <f t="shared" si="74"/>
        <v/>
      </c>
      <c r="Q1999" s="214"/>
      <c r="R1999" s="157"/>
      <c r="S1999" s="5"/>
      <c r="T1999" s="5"/>
      <c r="U1999" s="158"/>
      <c r="V1999" s="158"/>
      <c r="W1999" s="158"/>
      <c r="X1999" s="158"/>
      <c r="Y1999" s="158"/>
      <c r="Z1999" s="158"/>
      <c r="AA1999" s="158"/>
      <c r="AB1999" s="158"/>
      <c r="AC1999" s="158"/>
      <c r="AD1999" s="158"/>
      <c r="AE1999" s="158"/>
      <c r="AF1999" s="158"/>
    </row>
    <row r="2000" ht="15.75" hidden="1" customHeight="1">
      <c r="A2000" s="90"/>
      <c r="B2000" s="6"/>
      <c r="C2000" s="90"/>
      <c r="D2000" s="197"/>
      <c r="E2000" s="198"/>
      <c r="F2000" s="199"/>
      <c r="G2000" s="187"/>
      <c r="H2000" s="195"/>
      <c r="I2000" s="164"/>
      <c r="J2000" s="189"/>
      <c r="K2000" s="183"/>
      <c r="L2000" s="134" t="str">
        <f>I1864</f>
        <v/>
      </c>
      <c r="M2000" s="135" t="str">
        <f>iferror(mround($O1864*((VLOOKUP($J2000,Sheet1!$D:$N,$G2000+1,FALSE)-0.03)),2.5)," ")</f>
        <v> </v>
      </c>
      <c r="N2000" s="135" t="str">
        <f>iferror(mround($O1864*((VLOOKUP($J2000,Sheet1!$D:$N,$G2000+1,FALSE)+0.02)),2.5)," ")</f>
        <v> </v>
      </c>
      <c r="O2000" s="112" t="str">
        <f>iferror(mround(I2000/VLOOKUP(K2000,Sheet1!$D$7:$N$16,G2000+1,FALSE),2.5),"")</f>
        <v/>
      </c>
      <c r="P2000" s="136" t="str">
        <f t="shared" si="74"/>
        <v/>
      </c>
      <c r="Q2000" s="214"/>
      <c r="R2000" s="11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</row>
    <row r="2001" ht="3.75" hidden="1" customHeight="1">
      <c r="A2001" s="90"/>
      <c r="B2001" s="6"/>
      <c r="C2001" s="90"/>
      <c r="D2001" s="90"/>
      <c r="E2001" s="156"/>
      <c r="F2001" s="102"/>
      <c r="G2001" s="102"/>
      <c r="H2001" s="102"/>
      <c r="I2001" s="102"/>
      <c r="J2001" s="156"/>
      <c r="K2001" s="720"/>
      <c r="L2001" s="211"/>
      <c r="M2001" s="47"/>
      <c r="N2001" s="47"/>
      <c r="O2001" s="122"/>
      <c r="P2001" s="146" t="str">
        <f t="shared" si="74"/>
        <v/>
      </c>
      <c r="Q2001" s="214"/>
      <c r="R2001" s="11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</row>
    <row r="2002" ht="30.0" customHeight="1">
      <c r="A2002" s="90"/>
      <c r="B2002" s="6"/>
      <c r="C2002" s="90"/>
      <c r="D2002" s="202" t="s">
        <v>279</v>
      </c>
      <c r="E2002" s="255" t="s">
        <v>15</v>
      </c>
      <c r="F2002" s="106" t="s">
        <v>16</v>
      </c>
      <c r="G2002" s="106" t="s">
        <v>17</v>
      </c>
      <c r="H2002" s="107"/>
      <c r="I2002" s="106" t="s">
        <v>18</v>
      </c>
      <c r="J2002" s="766" t="s">
        <v>241</v>
      </c>
      <c r="K2002" s="767" t="s">
        <v>20</v>
      </c>
      <c r="L2002" s="110" t="s">
        <v>21</v>
      </c>
      <c r="M2002" s="111" t="s">
        <v>22</v>
      </c>
      <c r="O2002" s="112"/>
      <c r="P2002" s="113" t="s">
        <v>23</v>
      </c>
      <c r="Q2002" s="768"/>
      <c r="R2002" s="11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</row>
    <row r="2003" ht="14.25" customHeight="1">
      <c r="A2003" s="90"/>
      <c r="B2003" s="6"/>
      <c r="C2003" s="90"/>
      <c r="D2003" s="257" t="s">
        <v>25</v>
      </c>
      <c r="E2003" s="258" t="s">
        <v>26</v>
      </c>
      <c r="H2003" s="107"/>
      <c r="J2003" s="766" t="s">
        <v>244</v>
      </c>
      <c r="M2003" s="111" t="s">
        <v>27</v>
      </c>
      <c r="N2003" s="111" t="s">
        <v>28</v>
      </c>
      <c r="O2003" s="112" t="s">
        <v>29</v>
      </c>
      <c r="Q2003" s="118" t="s">
        <v>30</v>
      </c>
      <c r="R2003" s="11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</row>
    <row r="2004" ht="3.75" customHeight="1">
      <c r="A2004" s="191"/>
      <c r="B2004" s="6"/>
      <c r="C2004" s="192"/>
      <c r="D2004" s="203"/>
      <c r="E2004" s="204"/>
      <c r="F2004" s="205"/>
      <c r="G2004" s="205"/>
      <c r="H2004" s="205"/>
      <c r="I2004" s="225"/>
      <c r="J2004" s="237"/>
      <c r="K2004" s="777"/>
      <c r="L2004" s="211"/>
      <c r="M2004" s="47"/>
      <c r="N2004" s="47"/>
      <c r="O2004" s="122"/>
      <c r="P2004" s="146" t="str">
        <f t="shared" ref="P2004:P2024" si="75">IF(I2004 - I1868 = 0, "", I2004 - I1868)</f>
        <v/>
      </c>
      <c r="Q2004" s="778"/>
      <c r="R2004" s="157"/>
      <c r="S2004" s="5"/>
      <c r="T2004" s="5"/>
      <c r="U2004" s="158"/>
      <c r="V2004" s="158"/>
      <c r="W2004" s="158"/>
      <c r="X2004" s="158"/>
      <c r="Y2004" s="158"/>
      <c r="Z2004" s="158"/>
      <c r="AA2004" s="158"/>
      <c r="AB2004" s="158"/>
      <c r="AC2004" s="158"/>
      <c r="AD2004" s="158"/>
      <c r="AE2004" s="158"/>
      <c r="AF2004" s="158"/>
    </row>
    <row r="2005" ht="15.75" customHeight="1">
      <c r="A2005" s="124"/>
      <c r="B2005" s="6" t="s">
        <v>301</v>
      </c>
      <c r="C2005" s="124"/>
      <c r="D2005" s="185" t="s">
        <v>77</v>
      </c>
      <c r="E2005" s="260"/>
      <c r="F2005" s="187">
        <v>1.0</v>
      </c>
      <c r="G2005" s="187">
        <v>4.0</v>
      </c>
      <c r="H2005" s="195"/>
      <c r="I2005" s="164"/>
      <c r="J2005" s="248">
        <v>6.0</v>
      </c>
      <c r="K2005" s="164"/>
      <c r="L2005" s="134" t="str">
        <f>I1869</f>
        <v/>
      </c>
      <c r="M2005" s="135">
        <f>iferror(mround($O1869*((VLOOKUP($J2005,Sheet1!$D:$N,$G2005+1,FALSE)-0.03)),2.5)," ")</f>
        <v>0</v>
      </c>
      <c r="N2005" s="135">
        <f>iferror(mround($O1869*((VLOOKUP($J2005,Sheet1!$D:$N,$G2005+1,FALSE)+0.02)),2.5)," ")</f>
        <v>0</v>
      </c>
      <c r="O2005" s="112" t="str">
        <f>iferror(mround(I2005/VLOOKUP(K2005,Sheet1!$D$7:$N$16,G2005+1,FALSE),2.5),"")</f>
        <v/>
      </c>
      <c r="P2005" s="136" t="str">
        <f t="shared" si="75"/>
        <v/>
      </c>
      <c r="Q2005" s="242"/>
      <c r="R2005" s="11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</row>
    <row r="2006" ht="3.75" customHeight="1">
      <c r="A2006" s="124"/>
      <c r="B2006" s="6"/>
      <c r="C2006" s="124"/>
      <c r="D2006" s="138"/>
      <c r="E2006" s="252"/>
      <c r="F2006" s="140"/>
      <c r="G2006" s="140"/>
      <c r="H2006" s="140"/>
      <c r="I2006" s="140"/>
      <c r="J2006" s="141"/>
      <c r="K2006" s="210"/>
      <c r="L2006" s="144"/>
      <c r="M2006" s="145"/>
      <c r="N2006" s="145"/>
      <c r="O2006" s="122"/>
      <c r="P2006" s="146" t="str">
        <f t="shared" si="75"/>
        <v/>
      </c>
      <c r="Q2006" s="242"/>
      <c r="R2006" s="11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</row>
    <row r="2007" ht="15.0" customHeight="1">
      <c r="A2007" s="124"/>
      <c r="B2007" s="6"/>
      <c r="C2007" s="124"/>
      <c r="D2007" s="704" t="s">
        <v>77</v>
      </c>
      <c r="E2007" s="260"/>
      <c r="F2007" s="187">
        <v>2.0</v>
      </c>
      <c r="G2007" s="187">
        <v>4.0</v>
      </c>
      <c r="H2007" s="195"/>
      <c r="I2007" s="164"/>
      <c r="J2007" s="779">
        <v>-0.1</v>
      </c>
      <c r="K2007" s="164"/>
      <c r="L2007" s="134">
        <f>I1871</f>
        <v>0</v>
      </c>
      <c r="M2007" s="135" t="str">
        <f>iferror(mround($O1871*((VLOOKUP($J2007,Sheet1!$D:$N,$G2007+1,FALSE)-0.03)),2.5)," ")</f>
        <v> </v>
      </c>
      <c r="N2007" s="135" t="str">
        <f>iferror(mround($O1871*((VLOOKUP($J2007,Sheet1!$D:$N,$G2007+1,FALSE)+0.02)),2.5)," ")</f>
        <v> </v>
      </c>
      <c r="O2007" s="112" t="str">
        <f>iferror(mround(I2007/VLOOKUP(K2007,Sheet1!$D$7:$N$16,G2007+1,FALSE),2.5),"")</f>
        <v/>
      </c>
      <c r="P2007" s="136" t="str">
        <f t="shared" si="75"/>
        <v/>
      </c>
      <c r="Q2007" s="242"/>
      <c r="R2007" s="11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</row>
    <row r="2008" ht="3.75" customHeight="1">
      <c r="A2008" s="124"/>
      <c r="B2008" s="6"/>
      <c r="C2008" s="124"/>
      <c r="D2008" s="138"/>
      <c r="E2008" s="252"/>
      <c r="F2008" s="102"/>
      <c r="G2008" s="102"/>
      <c r="H2008" s="102"/>
      <c r="I2008" s="102"/>
      <c r="J2008" s="156"/>
      <c r="K2008" s="210"/>
      <c r="L2008" s="144"/>
      <c r="M2008" s="145"/>
      <c r="N2008" s="145"/>
      <c r="O2008" s="122"/>
      <c r="P2008" s="146" t="str">
        <f t="shared" si="75"/>
        <v/>
      </c>
      <c r="Q2008" s="242"/>
      <c r="R2008" s="11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</row>
    <row r="2009" ht="15.75" hidden="1" customHeight="1">
      <c r="A2009" s="124"/>
      <c r="B2009" s="6"/>
      <c r="C2009" s="124"/>
      <c r="D2009" s="704"/>
      <c r="E2009" s="260"/>
      <c r="F2009" s="187"/>
      <c r="G2009" s="187"/>
      <c r="H2009" s="195"/>
      <c r="I2009" s="164"/>
      <c r="J2009" s="779"/>
      <c r="K2009" s="164"/>
      <c r="L2009" s="134" t="str">
        <f>I1873</f>
        <v/>
      </c>
      <c r="M2009" s="135" t="str">
        <f>iferror(mround($O1873*((VLOOKUP($J2009,Sheet1!$D:$N,$G2009+1,FALSE)-0.03)),2.5)," ")</f>
        <v> </v>
      </c>
      <c r="N2009" s="135" t="str">
        <f>iferror(mround($O1873*((VLOOKUP($J2009,Sheet1!$D:$N,$G2009+1,FALSE)+0.02)),2.5)," ")</f>
        <v> </v>
      </c>
      <c r="O2009" s="112" t="str">
        <f>iferror(mround(I2009/VLOOKUP(K2009,Sheet1!$D$7:$N$16,G2009+1,FALSE),2.5),"")</f>
        <v/>
      </c>
      <c r="P2009" s="136" t="str">
        <f t="shared" si="75"/>
        <v/>
      </c>
      <c r="Q2009" s="242"/>
      <c r="R2009" s="11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</row>
    <row r="2010" ht="3.75" hidden="1" customHeight="1">
      <c r="A2010" s="124"/>
      <c r="B2010" s="6"/>
      <c r="C2010" s="124"/>
      <c r="D2010" s="138"/>
      <c r="E2010" s="252"/>
      <c r="F2010" s="102"/>
      <c r="G2010" s="102"/>
      <c r="H2010" s="102"/>
      <c r="I2010" s="102"/>
      <c r="J2010" s="156"/>
      <c r="K2010" s="210"/>
      <c r="L2010" s="144"/>
      <c r="M2010" s="145"/>
      <c r="N2010" s="145"/>
      <c r="O2010" s="122"/>
      <c r="P2010" s="146" t="str">
        <f t="shared" si="75"/>
        <v/>
      </c>
      <c r="Q2010" s="242"/>
      <c r="R2010" s="11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</row>
    <row r="2011" ht="15.75" customHeight="1">
      <c r="A2011" s="124"/>
      <c r="B2011" s="6" t="s">
        <v>302</v>
      </c>
      <c r="C2011" s="124"/>
      <c r="D2011" s="185" t="s">
        <v>33</v>
      </c>
      <c r="E2011" s="224" t="s">
        <v>303</v>
      </c>
      <c r="F2011" s="187">
        <v>4.0</v>
      </c>
      <c r="G2011" s="187">
        <v>3.0</v>
      </c>
      <c r="H2011" s="195"/>
      <c r="I2011" s="164">
        <v>120.0</v>
      </c>
      <c r="J2011" s="248"/>
      <c r="K2011" s="164"/>
      <c r="L2011" s="134">
        <f>I1875</f>
        <v>135</v>
      </c>
      <c r="M2011" s="135" t="str">
        <f>iferror(mround($O1875*((VLOOKUP($J2011,Sheet1!$D:$N,$G2011+1,FALSE)-0.03)),2.5)," ")</f>
        <v> </v>
      </c>
      <c r="N2011" s="135" t="str">
        <f>iferror(mround($O1875*((VLOOKUP($J2011,Sheet1!$D:$N,$G2011+1,FALSE)+0.02)),2.5)," ")</f>
        <v> </v>
      </c>
      <c r="O2011" s="112" t="str">
        <f>iferror(mround(I2011/VLOOKUP(K2011,Sheet1!$D$7:$N$16,G2011+1,FALSE),2.5),"")</f>
        <v/>
      </c>
      <c r="P2011" s="136">
        <f t="shared" si="75"/>
        <v>-15</v>
      </c>
      <c r="Q2011" s="242"/>
      <c r="R2011" s="11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</row>
    <row r="2012" ht="3.75" customHeight="1">
      <c r="A2012" s="90"/>
      <c r="B2012" s="6"/>
      <c r="C2012" s="90"/>
      <c r="D2012" s="138"/>
      <c r="E2012" s="252"/>
      <c r="F2012" s="102"/>
      <c r="G2012" s="102"/>
      <c r="H2012" s="102"/>
      <c r="I2012" s="102"/>
      <c r="J2012" s="156"/>
      <c r="K2012" s="210"/>
      <c r="L2012" s="144"/>
      <c r="M2012" s="145"/>
      <c r="N2012" s="145"/>
      <c r="O2012" s="122"/>
      <c r="P2012" s="146" t="str">
        <f t="shared" si="75"/>
        <v/>
      </c>
      <c r="Q2012" s="242"/>
      <c r="R2012" s="11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</row>
    <row r="2013" ht="15.75" hidden="1" customHeight="1">
      <c r="A2013" s="90"/>
      <c r="B2013" s="6"/>
      <c r="C2013" s="90"/>
      <c r="D2013" s="185"/>
      <c r="E2013" s="260"/>
      <c r="F2013" s="187"/>
      <c r="G2013" s="187"/>
      <c r="H2013" s="195"/>
      <c r="I2013" s="164"/>
      <c r="J2013" s="779"/>
      <c r="K2013" s="164"/>
      <c r="L2013" s="134" t="str">
        <f>I1877</f>
        <v/>
      </c>
      <c r="M2013" s="135" t="str">
        <f>iferror(mround($O1877*((VLOOKUP($J2013,Sheet1!$D:$N,$G2013+1,FALSE)-0.03)),2.5)," ")</f>
        <v> </v>
      </c>
      <c r="N2013" s="135" t="str">
        <f>iferror(mround($O1877*((VLOOKUP($J2013,Sheet1!$D:$N,$G2013+1,FALSE)+0.02)),2.5)," ")</f>
        <v> </v>
      </c>
      <c r="O2013" s="112" t="str">
        <f>iferror(mround(I2013/VLOOKUP(K2013,Sheet1!$D$7:$N$16,G2013+1,FALSE),2.5),"")</f>
        <v/>
      </c>
      <c r="P2013" s="136" t="str">
        <f t="shared" si="75"/>
        <v/>
      </c>
      <c r="Q2013" s="242"/>
      <c r="R2013" s="11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</row>
    <row r="2014" ht="3.75" hidden="1" customHeight="1">
      <c r="A2014" s="191"/>
      <c r="B2014" s="6"/>
      <c r="C2014" s="192"/>
      <c r="D2014" s="138"/>
      <c r="E2014" s="252"/>
      <c r="F2014" s="102"/>
      <c r="G2014" s="102"/>
      <c r="H2014" s="102"/>
      <c r="I2014" s="102"/>
      <c r="J2014" s="156"/>
      <c r="K2014" s="210"/>
      <c r="L2014" s="144"/>
      <c r="M2014" s="145"/>
      <c r="N2014" s="145"/>
      <c r="O2014" s="122"/>
      <c r="P2014" s="146" t="str">
        <f t="shared" si="75"/>
        <v/>
      </c>
      <c r="Q2014" s="242"/>
      <c r="R2014" s="157"/>
      <c r="S2014" s="5"/>
      <c r="T2014" s="5"/>
      <c r="U2014" s="158"/>
      <c r="V2014" s="158"/>
      <c r="W2014" s="158"/>
      <c r="X2014" s="158"/>
      <c r="Y2014" s="158"/>
      <c r="Z2014" s="158"/>
      <c r="AA2014" s="158"/>
      <c r="AB2014" s="158"/>
      <c r="AC2014" s="158"/>
      <c r="AD2014" s="158"/>
      <c r="AE2014" s="158"/>
      <c r="AF2014" s="158"/>
    </row>
    <row r="2015" ht="15.75" customHeight="1">
      <c r="A2015" s="90"/>
      <c r="B2015" s="6"/>
      <c r="C2015" s="90"/>
      <c r="D2015" s="185" t="s">
        <v>259</v>
      </c>
      <c r="E2015" s="260"/>
      <c r="F2015" s="187">
        <v>2.0</v>
      </c>
      <c r="G2015" s="731" t="s">
        <v>260</v>
      </c>
      <c r="H2015" s="195"/>
      <c r="I2015" s="164"/>
      <c r="J2015" s="248">
        <v>7.0</v>
      </c>
      <c r="K2015" s="164"/>
      <c r="L2015" s="134" t="str">
        <f>I1879</f>
        <v/>
      </c>
      <c r="M2015" s="135" t="str">
        <f>iferror(mround($O1879*((VLOOKUP($J2015,Sheet1!$D:$N,$G2015+1,FALSE)-0.03)),2.5)," ")</f>
        <v> </v>
      </c>
      <c r="N2015" s="135" t="str">
        <f>iferror(mround($O1879*((VLOOKUP($J2015,Sheet1!$D:$N,$G2015+1,FALSE)+0.02)),2.5)," ")</f>
        <v> </v>
      </c>
      <c r="O2015" s="112" t="str">
        <f>iferror(mround(I2015/VLOOKUP(K2015,Sheet1!$D$7:$N$16,G2015+1,FALSE),2.5),"")</f>
        <v/>
      </c>
      <c r="P2015" s="136" t="str">
        <f t="shared" si="75"/>
        <v/>
      </c>
      <c r="Q2015" s="242"/>
      <c r="R2015" s="11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</row>
    <row r="2016" ht="3.75" customHeight="1">
      <c r="A2016" s="90"/>
      <c r="B2016" s="6"/>
      <c r="C2016" s="90"/>
      <c r="D2016" s="138"/>
      <c r="E2016" s="252"/>
      <c r="F2016" s="102"/>
      <c r="G2016" s="102"/>
      <c r="H2016" s="102"/>
      <c r="I2016" s="102"/>
      <c r="J2016" s="156"/>
      <c r="K2016" s="210"/>
      <c r="L2016" s="144"/>
      <c r="M2016" s="145"/>
      <c r="N2016" s="145"/>
      <c r="O2016" s="122"/>
      <c r="P2016" s="146" t="str">
        <f t="shared" si="75"/>
        <v/>
      </c>
      <c r="Q2016" s="242"/>
      <c r="R2016" s="11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</row>
    <row r="2017" ht="15.75" customHeight="1">
      <c r="A2017" s="90"/>
      <c r="B2017" s="6"/>
      <c r="C2017" s="90"/>
      <c r="D2017" s="185" t="s">
        <v>263</v>
      </c>
      <c r="E2017" s="260"/>
      <c r="F2017" s="187">
        <v>2.0</v>
      </c>
      <c r="G2017" s="187">
        <v>15.0</v>
      </c>
      <c r="H2017" s="195"/>
      <c r="I2017" s="247"/>
      <c r="J2017" s="248">
        <v>8.0</v>
      </c>
      <c r="K2017" s="164"/>
      <c r="L2017" s="134" t="str">
        <f>I1881</f>
        <v/>
      </c>
      <c r="M2017" s="135" t="str">
        <f>iferror(mround($O1881*((VLOOKUP($J2017,Sheet1!$D:$N,$G2017+1,FALSE)-0.03)),2.5)," ")</f>
        <v> </v>
      </c>
      <c r="N2017" s="135" t="str">
        <f>iferror(mround($O1881*((VLOOKUP($J2017,Sheet1!$D:$N,$G2017+1,FALSE)+0.02)),2.5)," ")</f>
        <v> </v>
      </c>
      <c r="O2017" s="112" t="str">
        <f>iferror(mround(I2017/VLOOKUP(K2017,Sheet1!$D$7:$N$16,G2017+1,FALSE),2.5),"")</f>
        <v/>
      </c>
      <c r="P2017" s="136" t="str">
        <f t="shared" si="75"/>
        <v/>
      </c>
      <c r="Q2017" s="242"/>
      <c r="R2017" s="11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</row>
    <row r="2018" ht="3.75" customHeight="1">
      <c r="A2018" s="90"/>
      <c r="B2018" s="6"/>
      <c r="C2018" s="90"/>
      <c r="D2018" s="138"/>
      <c r="E2018" s="184"/>
      <c r="F2018" s="102"/>
      <c r="G2018" s="102"/>
      <c r="H2018" s="102"/>
      <c r="I2018" s="102"/>
      <c r="J2018" s="156"/>
      <c r="K2018" s="210"/>
      <c r="L2018" s="144"/>
      <c r="M2018" s="145"/>
      <c r="N2018" s="145"/>
      <c r="O2018" s="122"/>
      <c r="P2018" s="146" t="str">
        <f t="shared" si="75"/>
        <v/>
      </c>
      <c r="Q2018" s="242"/>
      <c r="R2018" s="11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</row>
    <row r="2019" ht="15.75" hidden="1" customHeight="1">
      <c r="A2019" s="90"/>
      <c r="B2019" s="6"/>
      <c r="C2019" s="90"/>
      <c r="D2019" s="185"/>
      <c r="E2019" s="224"/>
      <c r="F2019" s="187"/>
      <c r="G2019" s="187"/>
      <c r="H2019" s="195"/>
      <c r="I2019" s="247"/>
      <c r="J2019" s="248"/>
      <c r="K2019" s="164"/>
      <c r="L2019" s="134" t="str">
        <f>I1883</f>
        <v/>
      </c>
      <c r="M2019" s="135" t="str">
        <f>iferror(mround($O1883*((VLOOKUP($J2019,Sheet1!$D:$N,$G2019+1,FALSE)-0.03)),2.5)," ")</f>
        <v> </v>
      </c>
      <c r="N2019" s="135" t="str">
        <f>iferror(mround($O1883*((VLOOKUP($J2019,Sheet1!$D:$N,$G2019+1,FALSE)+0.02)),2.5)," ")</f>
        <v> </v>
      </c>
      <c r="O2019" s="112" t="str">
        <f>iferror(mround(I2019/VLOOKUP(K2019,Sheet1!$D$7:$N$16,G2019+1,FALSE),2.5),"")</f>
        <v/>
      </c>
      <c r="P2019" s="136" t="str">
        <f t="shared" si="75"/>
        <v/>
      </c>
      <c r="Q2019" s="242"/>
      <c r="R2019" s="11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</row>
    <row r="2020" ht="3.75" hidden="1" customHeight="1">
      <c r="A2020" s="90"/>
      <c r="B2020" s="6"/>
      <c r="C2020" s="90"/>
      <c r="D2020" s="196"/>
      <c r="E2020" s="184"/>
      <c r="F2020" s="102"/>
      <c r="G2020" s="102"/>
      <c r="H2020" s="102"/>
      <c r="I2020" s="102"/>
      <c r="J2020" s="156"/>
      <c r="K2020" s="210"/>
      <c r="L2020" s="144"/>
      <c r="M2020" s="145"/>
      <c r="N2020" s="145"/>
      <c r="O2020" s="122"/>
      <c r="P2020" s="146" t="str">
        <f t="shared" si="75"/>
        <v/>
      </c>
      <c r="Q2020" s="242"/>
      <c r="R2020" s="11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</row>
    <row r="2021" ht="15.75" hidden="1" customHeight="1">
      <c r="A2021" s="90"/>
      <c r="B2021" s="6"/>
      <c r="C2021" s="90"/>
      <c r="D2021" s="197"/>
      <c r="E2021" s="250"/>
      <c r="F2021" s="129"/>
      <c r="G2021" s="199"/>
      <c r="H2021" s="195"/>
      <c r="I2021" s="247"/>
      <c r="J2021" s="248"/>
      <c r="K2021" s="164"/>
      <c r="L2021" s="134" t="str">
        <f>I1885</f>
        <v/>
      </c>
      <c r="M2021" s="135" t="str">
        <f>iferror(mround($O1885*((VLOOKUP($J2021,Sheet1!$D:$N,$G2021+1,FALSE)-0.03)),2.5)," ")</f>
        <v> </v>
      </c>
      <c r="N2021" s="135" t="str">
        <f>iferror(mround($O1885*((VLOOKUP($J2021,Sheet1!$D:$N,$G2021+1,FALSE)+0.02)),2.5)," ")</f>
        <v> </v>
      </c>
      <c r="O2021" s="112" t="str">
        <f>iferror(mround(I2021/VLOOKUP(K2021,Sheet1!$D$7:$N$16,G2021+1,FALSE),2.5),"")</f>
        <v/>
      </c>
      <c r="P2021" s="136" t="str">
        <f t="shared" si="75"/>
        <v/>
      </c>
      <c r="Q2021" s="242"/>
      <c r="R2021" s="11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</row>
    <row r="2022" ht="3.75" hidden="1" customHeight="1">
      <c r="A2022" s="90"/>
      <c r="B2022" s="6"/>
      <c r="C2022" s="90"/>
      <c r="D2022" s="234"/>
      <c r="E2022" s="184"/>
      <c r="F2022" s="102"/>
      <c r="G2022" s="102"/>
      <c r="H2022" s="102"/>
      <c r="I2022" s="102"/>
      <c r="J2022" s="156"/>
      <c r="K2022" s="210"/>
      <c r="L2022" s="144"/>
      <c r="M2022" s="145"/>
      <c r="N2022" s="145"/>
      <c r="O2022" s="122"/>
      <c r="P2022" s="146" t="str">
        <f t="shared" si="75"/>
        <v/>
      </c>
      <c r="Q2022" s="242"/>
      <c r="R2022" s="11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</row>
    <row r="2023" ht="15.75" hidden="1" customHeight="1">
      <c r="A2023" s="90"/>
      <c r="B2023" s="6"/>
      <c r="C2023" s="90"/>
      <c r="D2023" s="197"/>
      <c r="E2023" s="198"/>
      <c r="F2023" s="129"/>
      <c r="G2023" s="199"/>
      <c r="H2023" s="195"/>
      <c r="I2023" s="164"/>
      <c r="J2023" s="248"/>
      <c r="K2023" s="164"/>
      <c r="L2023" s="134" t="str">
        <f>I1887</f>
        <v/>
      </c>
      <c r="M2023" s="135" t="str">
        <f>iferror(mround($O1887*((VLOOKUP($J2023,Sheet1!$D:$N,$G2023+1,FALSE)-0.03)),2.5)," ")</f>
        <v> </v>
      </c>
      <c r="N2023" s="135" t="str">
        <f>iferror(mround($O1887*((VLOOKUP($J2023,Sheet1!$D:$N,$G2023+1,FALSE)+0.02)),2.5)," ")</f>
        <v> </v>
      </c>
      <c r="O2023" s="112" t="str">
        <f>iferror(mround(I2023/VLOOKUP(K2023,Sheet1!$D$7:$N$16,G2023+1,FALSE),2.5),"")</f>
        <v/>
      </c>
      <c r="P2023" s="136" t="str">
        <f t="shared" si="75"/>
        <v/>
      </c>
      <c r="Q2023" s="242"/>
      <c r="R2023" s="11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</row>
    <row r="2024" ht="3.75" hidden="1" customHeight="1">
      <c r="A2024" s="124"/>
      <c r="B2024" s="6"/>
      <c r="C2024" s="124"/>
      <c r="D2024" s="252"/>
      <c r="E2024" s="252"/>
      <c r="F2024" s="102"/>
      <c r="G2024" s="102"/>
      <c r="H2024" s="102"/>
      <c r="I2024" s="102"/>
      <c r="J2024" s="156"/>
      <c r="K2024" s="259"/>
      <c r="L2024" s="211"/>
      <c r="M2024" s="47"/>
      <c r="N2024" s="47"/>
      <c r="O2024" s="122"/>
      <c r="P2024" s="146" t="str">
        <f t="shared" si="75"/>
        <v/>
      </c>
      <c r="Q2024" s="242"/>
      <c r="R2024" s="11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</row>
    <row r="2025" ht="30.75" customHeight="1">
      <c r="A2025" s="90"/>
      <c r="B2025" s="6"/>
      <c r="C2025" s="90"/>
      <c r="D2025" s="254" t="s">
        <v>280</v>
      </c>
      <c r="E2025" s="255" t="s">
        <v>15</v>
      </c>
      <c r="F2025" s="106" t="s">
        <v>16</v>
      </c>
      <c r="G2025" s="106" t="s">
        <v>17</v>
      </c>
      <c r="H2025" s="107"/>
      <c r="I2025" s="106" t="s">
        <v>18</v>
      </c>
      <c r="J2025" s="766" t="s">
        <v>241</v>
      </c>
      <c r="K2025" s="767" t="s">
        <v>20</v>
      </c>
      <c r="L2025" s="110" t="s">
        <v>21</v>
      </c>
      <c r="M2025" s="111" t="s">
        <v>22</v>
      </c>
      <c r="O2025" s="112"/>
      <c r="P2025" s="113" t="s">
        <v>23</v>
      </c>
      <c r="Q2025" s="768"/>
      <c r="R2025" s="11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</row>
    <row r="2026" ht="14.25" customHeight="1">
      <c r="A2026" s="90"/>
      <c r="B2026" s="6"/>
      <c r="C2026" s="90"/>
      <c r="D2026" s="257" t="s">
        <v>25</v>
      </c>
      <c r="E2026" s="258" t="s">
        <v>26</v>
      </c>
      <c r="H2026" s="107"/>
      <c r="J2026" s="766" t="s">
        <v>244</v>
      </c>
      <c r="M2026" s="111" t="s">
        <v>27</v>
      </c>
      <c r="N2026" s="111" t="s">
        <v>28</v>
      </c>
      <c r="O2026" s="781" t="s">
        <v>29</v>
      </c>
      <c r="Q2026" s="118" t="s">
        <v>30</v>
      </c>
      <c r="R2026" s="11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</row>
    <row r="2027" ht="3.75" customHeight="1">
      <c r="A2027" s="124"/>
      <c r="B2027" s="6"/>
      <c r="C2027" s="124"/>
      <c r="D2027" s="252"/>
      <c r="E2027" s="252"/>
      <c r="F2027" s="102"/>
      <c r="G2027" s="102"/>
      <c r="H2027" s="102"/>
      <c r="I2027" s="102"/>
      <c r="J2027" s="156"/>
      <c r="K2027" s="259"/>
      <c r="L2027" s="211"/>
      <c r="M2027" s="47"/>
      <c r="N2027" s="47"/>
      <c r="O2027" s="122"/>
      <c r="P2027" s="146" t="str">
        <f t="shared" ref="P2027:P2050" si="76">IF(I2027 - I1891 = 0, "", I2027 - I1891)</f>
        <v/>
      </c>
      <c r="Q2027" s="259"/>
      <c r="R2027" s="11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</row>
    <row r="2028" ht="14.25" hidden="1" customHeight="1">
      <c r="A2028" s="124"/>
      <c r="B2028" s="6"/>
      <c r="C2028" s="124"/>
      <c r="D2028" s="185"/>
      <c r="E2028" s="224"/>
      <c r="F2028" s="187"/>
      <c r="G2028" s="187"/>
      <c r="H2028" s="195"/>
      <c r="I2028" s="164"/>
      <c r="J2028" s="248"/>
      <c r="K2028" s="164"/>
      <c r="L2028" s="134" t="str">
        <f>I1894</f>
        <v/>
      </c>
      <c r="M2028" s="135" t="str">
        <f>iferror(mround($O1894*((VLOOKUP($J2028,Sheet1!$D:$N,$G2028+1,FALSE)-0.03)),2.5)," ")</f>
        <v> </v>
      </c>
      <c r="N2028" s="135" t="str">
        <f>iferror(mround($O1894*((VLOOKUP($J2028,Sheet1!$D:$N,$G2028+1,FALSE)+0.02)),2.5)," ")</f>
        <v> </v>
      </c>
      <c r="O2028" s="56" t="str">
        <f>iferror(mround(I2028/VLOOKUP(K2028,Sheet1!$D$7:$N$16,G2028+1,FALSE),2.5),"")</f>
        <v/>
      </c>
      <c r="P2028" s="136" t="str">
        <f t="shared" si="76"/>
        <v/>
      </c>
      <c r="R2028" s="11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</row>
    <row r="2029" ht="3.75" hidden="1" customHeight="1">
      <c r="A2029" s="124"/>
      <c r="B2029" s="6"/>
      <c r="C2029" s="124"/>
      <c r="D2029" s="138"/>
      <c r="E2029" s="184"/>
      <c r="F2029" s="102"/>
      <c r="G2029" s="102"/>
      <c r="H2029" s="102"/>
      <c r="I2029" s="102"/>
      <c r="J2029" s="156"/>
      <c r="K2029" s="210"/>
      <c r="L2029" s="144"/>
      <c r="M2029" s="145"/>
      <c r="N2029" s="145"/>
      <c r="O2029" s="122"/>
      <c r="P2029" s="146" t="str">
        <f t="shared" si="76"/>
        <v/>
      </c>
      <c r="R2029" s="11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</row>
    <row r="2030" ht="14.25" customHeight="1">
      <c r="A2030" s="124"/>
      <c r="B2030" s="6" t="s">
        <v>301</v>
      </c>
      <c r="C2030" s="124"/>
      <c r="D2030" s="185" t="s">
        <v>97</v>
      </c>
      <c r="E2030" s="260"/>
      <c r="F2030" s="187">
        <v>1.0</v>
      </c>
      <c r="G2030" s="187">
        <v>3.0</v>
      </c>
      <c r="H2030" s="195"/>
      <c r="I2030" s="164"/>
      <c r="J2030" s="248">
        <v>6.0</v>
      </c>
      <c r="K2030" s="164"/>
      <c r="L2030" s="134" t="str">
        <f>I1894</f>
        <v/>
      </c>
      <c r="M2030" s="135">
        <f>iferror(mround($O1894*((VLOOKUP($J2030,Sheet1!$D:$N,$G2030+1,FALSE)-0.03)),2.5)," ")</f>
        <v>0</v>
      </c>
      <c r="N2030" s="135">
        <f>iferror(mround($O1894*((VLOOKUP($J2030,Sheet1!$D:$N,$G2030+1,FALSE)+0.02)),2.5)," ")</f>
        <v>0</v>
      </c>
      <c r="O2030" s="112" t="str">
        <f>iferror(mround(I2030/VLOOKUP(K2030,Sheet1!$D$7:$N$16,G2030+1,FALSE),2.5),"")</f>
        <v/>
      </c>
      <c r="P2030" s="136" t="str">
        <f t="shared" si="76"/>
        <v/>
      </c>
      <c r="R2030" s="11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</row>
    <row r="2031" ht="3.75" customHeight="1">
      <c r="A2031" s="124"/>
      <c r="B2031" s="6"/>
      <c r="C2031" s="124"/>
      <c r="D2031" s="138"/>
      <c r="E2031" s="252"/>
      <c r="F2031" s="102"/>
      <c r="G2031" s="102"/>
      <c r="H2031" s="102"/>
      <c r="I2031" s="102"/>
      <c r="J2031" s="156"/>
      <c r="K2031" s="210"/>
      <c r="L2031" s="144"/>
      <c r="M2031" s="145"/>
      <c r="N2031" s="145"/>
      <c r="O2031" s="122"/>
      <c r="P2031" s="146" t="str">
        <f t="shared" si="76"/>
        <v/>
      </c>
      <c r="R2031" s="11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</row>
    <row r="2032" ht="14.25" customHeight="1">
      <c r="A2032" s="124"/>
      <c r="B2032" s="6"/>
      <c r="C2032" s="124"/>
      <c r="D2032" s="185" t="s">
        <v>97</v>
      </c>
      <c r="E2032" s="260"/>
      <c r="F2032" s="187">
        <v>3.0</v>
      </c>
      <c r="G2032" s="187">
        <v>3.0</v>
      </c>
      <c r="H2032" s="195"/>
      <c r="I2032" s="164"/>
      <c r="J2032" s="779">
        <v>-0.1</v>
      </c>
      <c r="K2032" s="164"/>
      <c r="L2032" s="134" t="str">
        <f>I1896</f>
        <v/>
      </c>
      <c r="M2032" s="135" t="str">
        <f>iferror(mround($O1896*((VLOOKUP($J2032,Sheet1!$D:$N,$G2032+1,FALSE)-0.03)),2.5)," ")</f>
        <v> </v>
      </c>
      <c r="N2032" s="135" t="str">
        <f>iferror(mround($O1896*((VLOOKUP($J2032,Sheet1!$D:$N,$G2032+1,FALSE)+0.02)),2.5)," ")</f>
        <v> </v>
      </c>
      <c r="O2032" s="112" t="str">
        <f>iferror(mround(I2032/VLOOKUP(K2032,Sheet1!$D$7:$N$16,G2032+1,FALSE),2.5),"")</f>
        <v/>
      </c>
      <c r="P2032" s="136" t="str">
        <f t="shared" si="76"/>
        <v/>
      </c>
      <c r="R2032" s="11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</row>
    <row r="2033" ht="3.75" customHeight="1">
      <c r="A2033" s="124"/>
      <c r="B2033" s="6"/>
      <c r="C2033" s="124"/>
      <c r="D2033" s="138"/>
      <c r="E2033" s="252"/>
      <c r="F2033" s="102"/>
      <c r="G2033" s="102"/>
      <c r="H2033" s="102"/>
      <c r="I2033" s="102"/>
      <c r="J2033" s="156"/>
      <c r="K2033" s="210"/>
      <c r="L2033" s="144"/>
      <c r="M2033" s="145"/>
      <c r="N2033" s="145"/>
      <c r="O2033" s="122"/>
      <c r="P2033" s="146" t="str">
        <f t="shared" si="76"/>
        <v/>
      </c>
      <c r="R2033" s="11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</row>
    <row r="2034" ht="14.25" hidden="1" customHeight="1">
      <c r="A2034" s="124"/>
      <c r="B2034" s="6"/>
      <c r="C2034" s="124"/>
      <c r="D2034" s="185"/>
      <c r="E2034" s="260"/>
      <c r="F2034" s="187"/>
      <c r="G2034" s="187"/>
      <c r="H2034" s="195"/>
      <c r="I2034" s="164"/>
      <c r="J2034" s="248"/>
      <c r="K2034" s="164"/>
      <c r="L2034" s="134"/>
      <c r="M2034" s="135" t="str">
        <f>iferror(mround($O1898*((VLOOKUP($J2034,Sheet1!$D:$N,$G2034+1,FALSE)-0.03)),2.5)," ")</f>
        <v> </v>
      </c>
      <c r="N2034" s="135" t="str">
        <f>iferror(mround($O1898*((VLOOKUP($J2034,Sheet1!$D:$N,$G2034+1,FALSE)+0.02)),2.5)," ")</f>
        <v> </v>
      </c>
      <c r="O2034" s="112" t="str">
        <f>iferror(mround(I2034/VLOOKUP(K2034,Sheet1!$D$7:$N$16,G2034+1,FALSE),2.5),"")</f>
        <v/>
      </c>
      <c r="P2034" s="136" t="str">
        <f t="shared" si="76"/>
        <v/>
      </c>
      <c r="R2034" s="11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</row>
    <row r="2035" ht="3.75" hidden="1" customHeight="1">
      <c r="A2035" s="124"/>
      <c r="B2035" s="6"/>
      <c r="C2035" s="124"/>
      <c r="D2035" s="138"/>
      <c r="E2035" s="252"/>
      <c r="F2035" s="102"/>
      <c r="G2035" s="102"/>
      <c r="H2035" s="102"/>
      <c r="I2035" s="102"/>
      <c r="J2035" s="156"/>
      <c r="K2035" s="210"/>
      <c r="L2035" s="144"/>
      <c r="M2035" s="135" t="str">
        <f>iferror(mround($O1899*((VLOOKUP($J2035,Sheet1!$D:$N,$G2035+1,FALSE)-0.03)),2.5)," ")</f>
        <v> </v>
      </c>
      <c r="N2035" s="135" t="str">
        <f>iferror(mround($O1899*((VLOOKUP($J2035,Sheet1!$D:$N,$G2035+1,FALSE)+0.02)),2.5)," ")</f>
        <v> </v>
      </c>
      <c r="O2035" s="122"/>
      <c r="P2035" s="146" t="str">
        <f t="shared" si="76"/>
        <v/>
      </c>
      <c r="R2035" s="11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</row>
    <row r="2036" ht="14.25" customHeight="1">
      <c r="A2036" s="124"/>
      <c r="B2036" s="6" t="s">
        <v>301</v>
      </c>
      <c r="C2036" s="124"/>
      <c r="D2036" s="185" t="s">
        <v>33</v>
      </c>
      <c r="E2036" s="260"/>
      <c r="F2036" s="187">
        <v>1.0</v>
      </c>
      <c r="G2036" s="187">
        <v>2.0</v>
      </c>
      <c r="H2036" s="195"/>
      <c r="I2036" s="164"/>
      <c r="J2036" s="248">
        <v>6.0</v>
      </c>
      <c r="K2036" s="164"/>
      <c r="L2036" s="134" t="str">
        <f>I1900</f>
        <v/>
      </c>
      <c r="M2036" s="135">
        <f>iferror(mround($O1900*((VLOOKUP($J2036,Sheet1!$D:$N,$G2036+1,FALSE)-0.03)),2.5)," ")</f>
        <v>0</v>
      </c>
      <c r="N2036" s="135">
        <f>iferror(mround($O1900*((VLOOKUP($J2036,Sheet1!$D:$N,$G2036+1,FALSE)+0.02)),2.5)," ")</f>
        <v>0</v>
      </c>
      <c r="O2036" s="112" t="str">
        <f>iferror(mround(I2036/VLOOKUP(K2036,Sheet1!$D$7:$N$16,G2036+1,FALSE),2.5),"")</f>
        <v/>
      </c>
      <c r="P2036" s="136" t="str">
        <f t="shared" si="76"/>
        <v/>
      </c>
      <c r="R2036" s="11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</row>
    <row r="2037" ht="3.75" customHeight="1">
      <c r="A2037" s="261"/>
      <c r="B2037" s="6"/>
      <c r="C2037" s="262"/>
      <c r="D2037" s="138"/>
      <c r="E2037" s="252"/>
      <c r="F2037" s="102"/>
      <c r="G2037" s="102"/>
      <c r="H2037" s="102"/>
      <c r="I2037" s="102"/>
      <c r="J2037" s="156"/>
      <c r="K2037" s="210"/>
      <c r="L2037" s="144"/>
      <c r="M2037" s="145"/>
      <c r="N2037" s="145"/>
      <c r="O2037" s="122"/>
      <c r="P2037" s="146" t="str">
        <f t="shared" si="76"/>
        <v/>
      </c>
      <c r="R2037" s="157"/>
      <c r="S2037" s="5"/>
      <c r="T2037" s="5"/>
      <c r="U2037" s="158"/>
      <c r="V2037" s="158"/>
      <c r="W2037" s="158"/>
      <c r="X2037" s="158"/>
      <c r="Y2037" s="158"/>
      <c r="Z2037" s="158"/>
      <c r="AA2037" s="158"/>
      <c r="AB2037" s="158"/>
      <c r="AC2037" s="158"/>
      <c r="AD2037" s="158"/>
      <c r="AE2037" s="158"/>
      <c r="AF2037" s="158"/>
    </row>
    <row r="2038" ht="14.25" customHeight="1">
      <c r="A2038" s="124"/>
      <c r="B2038" s="6"/>
      <c r="C2038" s="124"/>
      <c r="D2038" s="185" t="s">
        <v>33</v>
      </c>
      <c r="E2038" s="260"/>
      <c r="F2038" s="187">
        <v>3.0</v>
      </c>
      <c r="G2038" s="187">
        <v>4.0</v>
      </c>
      <c r="H2038" s="195"/>
      <c r="I2038" s="164"/>
      <c r="J2038" s="779">
        <v>-0.12</v>
      </c>
      <c r="K2038" s="164"/>
      <c r="L2038" s="134">
        <f>I1902</f>
        <v>0</v>
      </c>
      <c r="M2038" s="135" t="str">
        <f>iferror(mround($O1902*((VLOOKUP($J2038,Sheet1!$D:$N,$G2038+1,FALSE)-0.03)),2.5)," ")</f>
        <v> </v>
      </c>
      <c r="N2038" s="135" t="str">
        <f>iferror(mround($O1902*((VLOOKUP($J2038,Sheet1!$D:$N,$G2038+1,FALSE)+0.02)),2.5)," ")</f>
        <v> </v>
      </c>
      <c r="O2038" s="112" t="str">
        <f>iferror(mround(I2038/VLOOKUP(K2038,Sheet1!$D$7:$N$16,G2038+1,FALSE),2.5),"")</f>
        <v/>
      </c>
      <c r="P2038" s="136" t="str">
        <f t="shared" si="76"/>
        <v/>
      </c>
      <c r="R2038" s="11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</row>
    <row r="2039" ht="3.75" customHeight="1">
      <c r="A2039" s="261"/>
      <c r="B2039" s="6"/>
      <c r="C2039" s="262"/>
      <c r="D2039" s="138"/>
      <c r="E2039" s="252"/>
      <c r="F2039" s="102"/>
      <c r="G2039" s="102"/>
      <c r="H2039" s="102"/>
      <c r="I2039" s="102"/>
      <c r="J2039" s="156"/>
      <c r="K2039" s="210"/>
      <c r="L2039" s="144"/>
      <c r="M2039" s="145"/>
      <c r="N2039" s="145"/>
      <c r="O2039" s="122"/>
      <c r="P2039" s="146" t="str">
        <f t="shared" si="76"/>
        <v/>
      </c>
      <c r="R2039" s="157"/>
      <c r="S2039" s="5"/>
      <c r="T2039" s="5"/>
      <c r="U2039" s="158"/>
      <c r="V2039" s="158"/>
      <c r="W2039" s="158"/>
      <c r="X2039" s="158"/>
      <c r="Y2039" s="158"/>
      <c r="Z2039" s="158"/>
      <c r="AA2039" s="158"/>
      <c r="AB2039" s="158"/>
      <c r="AC2039" s="158"/>
      <c r="AD2039" s="158"/>
      <c r="AE2039" s="158"/>
      <c r="AF2039" s="158"/>
    </row>
    <row r="2040" ht="15.75" hidden="1" customHeight="1">
      <c r="A2040" s="124"/>
      <c r="B2040" s="6"/>
      <c r="C2040" s="124"/>
      <c r="D2040" s="185"/>
      <c r="E2040" s="260"/>
      <c r="F2040" s="187"/>
      <c r="G2040" s="187"/>
      <c r="H2040" s="195"/>
      <c r="I2040" s="247"/>
      <c r="J2040" s="248"/>
      <c r="K2040" s="164"/>
      <c r="L2040" s="134"/>
      <c r="M2040" s="135" t="str">
        <f>iferror(mround($O1904*((VLOOKUP($J2040,Sheet1!$D:$N,$G2040+1,FALSE)-0.03)),2.5)," ")</f>
        <v> </v>
      </c>
      <c r="N2040" s="135" t="str">
        <f>iferror(mround($O1904*((VLOOKUP($J2040,Sheet1!$D:$N,$G2040+1,FALSE)+0.02)),2.5)," ")</f>
        <v> </v>
      </c>
      <c r="O2040" s="112" t="str">
        <f>iferror(mround(I2040/VLOOKUP(K2040,Sheet1!$D$7:$N$16,G2040+1,FALSE),2.5),"")</f>
        <v/>
      </c>
      <c r="P2040" s="136" t="str">
        <f t="shared" si="76"/>
        <v/>
      </c>
      <c r="R2040" s="11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</row>
    <row r="2041" ht="3.75" hidden="1" customHeight="1">
      <c r="A2041" s="124"/>
      <c r="B2041" s="6"/>
      <c r="C2041" s="124"/>
      <c r="D2041" s="263"/>
      <c r="E2041" s="252"/>
      <c r="F2041" s="102"/>
      <c r="G2041" s="102"/>
      <c r="H2041" s="102"/>
      <c r="I2041" s="102"/>
      <c r="J2041" s="156"/>
      <c r="K2041" s="210"/>
      <c r="L2041" s="144"/>
      <c r="M2041" s="135" t="str">
        <f>iferror(mround($O1905*((VLOOKUP($J2041,Sheet1!$D:$N,$G2041+1,FALSE)-0.03)),2.5)," ")</f>
        <v> </v>
      </c>
      <c r="N2041" s="135" t="str">
        <f>iferror(mround($O1905*((VLOOKUP($J2041,Sheet1!$D:$N,$G2041+1,FALSE)+0.02)),2.5)," ")</f>
        <v> </v>
      </c>
      <c r="O2041" s="122"/>
      <c r="P2041" s="146" t="str">
        <f t="shared" si="76"/>
        <v/>
      </c>
      <c r="R2041" s="11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</row>
    <row r="2042" ht="14.25" customHeight="1">
      <c r="A2042" s="90"/>
      <c r="B2042" s="6"/>
      <c r="C2042" s="90"/>
      <c r="D2042" s="185" t="s">
        <v>54</v>
      </c>
      <c r="E2042" s="264"/>
      <c r="F2042" s="187">
        <v>2.0</v>
      </c>
      <c r="G2042" s="731" t="s">
        <v>260</v>
      </c>
      <c r="H2042" s="195"/>
      <c r="I2042" s="164"/>
      <c r="J2042" s="248">
        <v>8.0</v>
      </c>
      <c r="K2042" s="164"/>
      <c r="L2042" s="134" t="str">
        <f>I1906</f>
        <v/>
      </c>
      <c r="M2042" s="135" t="str">
        <f>iferror(mround($O1906*((VLOOKUP($J2042,Sheet1!$D:$N,$G2042+1,FALSE)-0.03)),2.5)," ")</f>
        <v> </v>
      </c>
      <c r="N2042" s="135" t="str">
        <f>iferror(mround($O1906*((VLOOKUP($J2042,Sheet1!$D:$N,$G2042+1,FALSE)+0.02)),2.5)," ")</f>
        <v> </v>
      </c>
      <c r="O2042" s="112" t="str">
        <f>iferror(mround(I2042/VLOOKUP(K2042,Sheet1!$D$7:$N$16,G2042+1,FALSE),2.5),"")</f>
        <v/>
      </c>
      <c r="P2042" s="136" t="str">
        <f t="shared" si="76"/>
        <v/>
      </c>
      <c r="R2042" s="11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</row>
    <row r="2043" ht="3.75" customHeight="1">
      <c r="A2043" s="261"/>
      <c r="B2043" s="6"/>
      <c r="C2043" s="262"/>
      <c r="D2043" s="263"/>
      <c r="E2043" s="263"/>
      <c r="F2043" s="194"/>
      <c r="G2043" s="194"/>
      <c r="H2043" s="155"/>
      <c r="I2043" s="210"/>
      <c r="J2043" s="265"/>
      <c r="K2043" s="210"/>
      <c r="L2043" s="144"/>
      <c r="M2043" s="145"/>
      <c r="N2043" s="145"/>
      <c r="O2043" s="122"/>
      <c r="P2043" s="146" t="str">
        <f t="shared" si="76"/>
        <v/>
      </c>
      <c r="R2043" s="157"/>
      <c r="S2043" s="5"/>
      <c r="T2043" s="5"/>
      <c r="U2043" s="158"/>
      <c r="V2043" s="158"/>
      <c r="W2043" s="158"/>
      <c r="X2043" s="158"/>
      <c r="Y2043" s="158"/>
      <c r="Z2043" s="158"/>
      <c r="AA2043" s="158"/>
      <c r="AB2043" s="158"/>
      <c r="AC2043" s="158"/>
      <c r="AD2043" s="158"/>
      <c r="AE2043" s="158"/>
      <c r="AF2043" s="158"/>
    </row>
    <row r="2044" ht="15.75" hidden="1" customHeight="1">
      <c r="A2044" s="90"/>
      <c r="B2044" s="6"/>
      <c r="C2044" s="90"/>
      <c r="D2044" s="185"/>
      <c r="E2044" s="266"/>
      <c r="F2044" s="187"/>
      <c r="G2044" s="187"/>
      <c r="H2044" s="195"/>
      <c r="I2044" s="164"/>
      <c r="J2044" s="248"/>
      <c r="K2044" s="164"/>
      <c r="L2044" s="134"/>
      <c r="M2044" s="135" t="str">
        <f>iferror(mround($O1908*((VLOOKUP($J2044,Sheet1!$D:$N,$G2044+1,FALSE)-0.03)),2.5)," ")</f>
        <v> </v>
      </c>
      <c r="N2044" s="135" t="str">
        <f>iferror(mround($O1908*((VLOOKUP($J2044,Sheet1!$D:$N,$G2044+1,FALSE)+0.02)),2.5)," ")</f>
        <v> </v>
      </c>
      <c r="O2044" s="112" t="str">
        <f>iferror(mround(I2044/VLOOKUP(K2044,Sheet1!$D$7:$N$16,G2044+1,FALSE),2.5),"")</f>
        <v/>
      </c>
      <c r="P2044" s="136" t="str">
        <f t="shared" si="76"/>
        <v/>
      </c>
      <c r="R2044" s="11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</row>
    <row r="2045" ht="3.75" hidden="1" customHeight="1">
      <c r="A2045" s="90"/>
      <c r="B2045" s="6"/>
      <c r="C2045" s="90"/>
      <c r="D2045" s="138"/>
      <c r="E2045" s="252"/>
      <c r="F2045" s="102"/>
      <c r="G2045" s="102"/>
      <c r="H2045" s="102"/>
      <c r="I2045" s="102"/>
      <c r="J2045" s="156"/>
      <c r="K2045" s="210"/>
      <c r="L2045" s="144"/>
      <c r="M2045" s="135" t="str">
        <f>iferror(mround($O1909*((VLOOKUP($J2045,Sheet1!$D:$N,$G2045+1,FALSE)-0.03)),2.5)," ")</f>
        <v> </v>
      </c>
      <c r="N2045" s="135" t="str">
        <f>iferror(mround($O1909*((VLOOKUP($J2045,Sheet1!$D:$N,$G2045+1,FALSE)+0.02)),2.5)," ")</f>
        <v> </v>
      </c>
      <c r="O2045" s="122"/>
      <c r="P2045" s="146" t="str">
        <f t="shared" si="76"/>
        <v/>
      </c>
      <c r="R2045" s="11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</row>
    <row r="2046" ht="15.75" customHeight="1">
      <c r="A2046" s="90"/>
      <c r="B2046" s="6"/>
      <c r="C2046" s="90"/>
      <c r="D2046" s="185" t="s">
        <v>267</v>
      </c>
      <c r="E2046" s="264"/>
      <c r="F2046" s="187">
        <v>3.0</v>
      </c>
      <c r="G2046" s="731" t="s">
        <v>260</v>
      </c>
      <c r="H2046" s="195"/>
      <c r="I2046" s="164"/>
      <c r="J2046" s="248">
        <v>8.0</v>
      </c>
      <c r="K2046" s="164"/>
      <c r="L2046" s="134" t="str">
        <f>I1910</f>
        <v/>
      </c>
      <c r="M2046" s="135" t="str">
        <f>iferror(mround($O1910*((VLOOKUP($J2046,Sheet1!$D:$N,$G2046+1,FALSE)-0.03)),2.5)," ")</f>
        <v> </v>
      </c>
      <c r="N2046" s="135" t="str">
        <f>iferror(mround($O1910*((VLOOKUP($J2046,Sheet1!$D:$N,$G2046+1,FALSE)+0.02)),2.5)," ")</f>
        <v> </v>
      </c>
      <c r="O2046" s="112" t="str">
        <f>iferror(mround(I2046/VLOOKUP(K2046,Sheet1!$D$7:$N$16,G2046+1,FALSE),2.5),"")</f>
        <v/>
      </c>
      <c r="P2046" s="136" t="str">
        <f t="shared" si="76"/>
        <v/>
      </c>
      <c r="R2046" s="11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</row>
    <row r="2047" ht="3.75" customHeight="1">
      <c r="A2047" s="191"/>
      <c r="B2047" s="6"/>
      <c r="C2047" s="192"/>
      <c r="D2047" s="138"/>
      <c r="E2047" s="252"/>
      <c r="F2047" s="102"/>
      <c r="G2047" s="102"/>
      <c r="H2047" s="102"/>
      <c r="I2047" s="102"/>
      <c r="J2047" s="156"/>
      <c r="K2047" s="210"/>
      <c r="L2047" s="144"/>
      <c r="M2047" s="145"/>
      <c r="N2047" s="145"/>
      <c r="O2047" s="122"/>
      <c r="P2047" s="146" t="str">
        <f t="shared" si="76"/>
        <v/>
      </c>
      <c r="R2047" s="157"/>
      <c r="S2047" s="5"/>
      <c r="T2047" s="5"/>
      <c r="U2047" s="158"/>
      <c r="V2047" s="158"/>
      <c r="W2047" s="158"/>
      <c r="X2047" s="158"/>
      <c r="Y2047" s="158"/>
      <c r="Z2047" s="158"/>
      <c r="AA2047" s="158"/>
      <c r="AB2047" s="158"/>
      <c r="AC2047" s="158"/>
      <c r="AD2047" s="158"/>
      <c r="AE2047" s="158"/>
      <c r="AF2047" s="158"/>
    </row>
    <row r="2048" ht="15.75" customHeight="1">
      <c r="A2048" s="90"/>
      <c r="B2048" s="6"/>
      <c r="C2048" s="90"/>
      <c r="D2048" s="185" t="s">
        <v>270</v>
      </c>
      <c r="E2048" s="260"/>
      <c r="F2048" s="187">
        <v>3.0</v>
      </c>
      <c r="G2048" s="731" t="s">
        <v>260</v>
      </c>
      <c r="H2048" s="195"/>
      <c r="I2048" s="164"/>
      <c r="J2048" s="248">
        <v>9.0</v>
      </c>
      <c r="K2048" s="164"/>
      <c r="L2048" s="134" t="str">
        <f>I1912</f>
        <v/>
      </c>
      <c r="M2048" s="135" t="str">
        <f>iferror(mround($O1912*((VLOOKUP($J2048,Sheet1!$D:$N,$G2048+1,FALSE)-0.03)),2.5)," ")</f>
        <v> </v>
      </c>
      <c r="N2048" s="135" t="str">
        <f>iferror(mround($O1912*((VLOOKUP($J2048,Sheet1!$D:$N,$G2048+1,FALSE)+0.02)),2.5)," ")</f>
        <v> </v>
      </c>
      <c r="O2048" s="112" t="str">
        <f>iferror(mround(I2048/VLOOKUP(K2048,Sheet1!$D$7:$N$16,G2048+1,FALSE),2.5),"")</f>
        <v/>
      </c>
      <c r="P2048" s="136" t="str">
        <f t="shared" si="76"/>
        <v/>
      </c>
      <c r="R2048" s="11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</row>
    <row r="2049" ht="3.75" customHeight="1">
      <c r="A2049" s="90"/>
      <c r="B2049" s="6"/>
      <c r="C2049" s="90"/>
      <c r="D2049" s="263"/>
      <c r="E2049" s="252"/>
      <c r="F2049" s="102"/>
      <c r="G2049" s="102"/>
      <c r="H2049" s="102"/>
      <c r="I2049" s="102"/>
      <c r="J2049" s="156"/>
      <c r="K2049" s="210"/>
      <c r="L2049" s="144"/>
      <c r="M2049" s="145"/>
      <c r="N2049" s="145"/>
      <c r="O2049" s="122"/>
      <c r="P2049" s="146" t="str">
        <f t="shared" si="76"/>
        <v/>
      </c>
      <c r="R2049" s="11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</row>
    <row r="2050" ht="15.75" customHeight="1">
      <c r="A2050" s="90"/>
      <c r="B2050" s="6"/>
      <c r="C2050" s="90"/>
      <c r="D2050" s="185" t="s">
        <v>256</v>
      </c>
      <c r="E2050" s="266"/>
      <c r="F2050" s="187">
        <v>3.0</v>
      </c>
      <c r="G2050" s="187" t="s">
        <v>16</v>
      </c>
      <c r="H2050" s="195"/>
      <c r="I2050" s="164"/>
      <c r="J2050" s="248">
        <v>9.0</v>
      </c>
      <c r="K2050" s="164"/>
      <c r="L2050" s="134" t="str">
        <f>I1914</f>
        <v/>
      </c>
      <c r="M2050" s="135" t="str">
        <f>iferror(mround($O1914*((VLOOKUP($J2050,Sheet1!$D:$N,$G2050+1,FALSE)-0.03)),2.5)," ")</f>
        <v> </v>
      </c>
      <c r="N2050" s="135" t="str">
        <f>iferror(mround($O1914*((VLOOKUP($J2050,Sheet1!$D:$N,$G2050+1,FALSE)+0.02)),2.5)," ")</f>
        <v> </v>
      </c>
      <c r="O2050" s="112" t="str">
        <f>iferror(mround(I2050/VLOOKUP(K2050,Sheet1!$D$7:$N$16,G2050+1,FALSE),2.5),"")</f>
        <v/>
      </c>
      <c r="P2050" s="136" t="str">
        <f t="shared" si="76"/>
        <v/>
      </c>
      <c r="R2050" s="11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</row>
    <row r="2051" ht="3.75" customHeight="1">
      <c r="A2051" s="191"/>
      <c r="B2051" s="6"/>
      <c r="C2051" s="192"/>
      <c r="D2051" s="192"/>
      <c r="E2051" s="267"/>
      <c r="F2051" s="194"/>
      <c r="G2051" s="194"/>
      <c r="H2051" s="155"/>
      <c r="I2051" s="210"/>
      <c r="J2051" s="268"/>
      <c r="K2051" s="782"/>
      <c r="L2051" s="270"/>
      <c r="M2051" s="269"/>
      <c r="N2051" s="269"/>
      <c r="O2051" s="271"/>
      <c r="P2051" s="272"/>
      <c r="Q2051" s="273"/>
      <c r="R2051" s="157"/>
      <c r="S2051" s="5"/>
      <c r="T2051" s="5"/>
      <c r="U2051" s="158"/>
      <c r="V2051" s="158"/>
      <c r="W2051" s="158"/>
      <c r="X2051" s="158"/>
      <c r="Y2051" s="158"/>
      <c r="Z2051" s="158"/>
      <c r="AA2051" s="158"/>
      <c r="AB2051" s="158"/>
      <c r="AC2051" s="158"/>
      <c r="AD2051" s="158"/>
      <c r="AE2051" s="158"/>
      <c r="AF2051" s="158"/>
    </row>
    <row r="2052" ht="14.25" customHeight="1">
      <c r="A2052" s="5"/>
      <c r="B2052" s="6"/>
      <c r="C2052" s="5"/>
      <c r="D2052" s="274"/>
      <c r="E2052" s="266"/>
      <c r="F2052" s="187"/>
      <c r="G2052" s="187"/>
      <c r="H2052" s="195"/>
      <c r="I2052" s="129"/>
      <c r="J2052" s="275"/>
      <c r="K2052" s="274"/>
      <c r="L2052" s="187"/>
      <c r="M2052" s="187"/>
      <c r="N2052" s="187"/>
      <c r="O2052" s="277"/>
      <c r="P2052" s="278"/>
      <c r="Q2052" s="279"/>
      <c r="R2052" s="11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</row>
    <row r="2053" ht="14.25" customHeight="1">
      <c r="A2053" s="5"/>
      <c r="B2053" s="6"/>
      <c r="C2053" s="5"/>
      <c r="D2053" s="274" t="s">
        <v>59</v>
      </c>
      <c r="E2053" s="266" t="s">
        <v>16</v>
      </c>
      <c r="F2053" s="187" t="s">
        <v>17</v>
      </c>
      <c r="G2053" s="187" t="s">
        <v>60</v>
      </c>
      <c r="H2053" s="187"/>
      <c r="I2053" s="280" t="s">
        <v>61</v>
      </c>
      <c r="J2053" s="266" t="s">
        <v>62</v>
      </c>
      <c r="K2053" s="274"/>
      <c r="L2053" s="285"/>
      <c r="M2053" s="285"/>
      <c r="N2053" s="285"/>
      <c r="O2053" s="282"/>
      <c r="P2053" s="278"/>
      <c r="Q2053" s="279"/>
      <c r="R2053" s="11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</row>
    <row r="2054" ht="14.25" customHeight="1">
      <c r="A2054" s="5"/>
      <c r="B2054" s="6"/>
      <c r="C2054" s="5"/>
      <c r="D2054" s="274" t="s">
        <v>6</v>
      </c>
      <c r="E2054" s="283">
        <f>IFERROR(__xludf.DUMMYFUNCTION("SUM(FILTER(F1929:F2053, ISNUMBER(SEARCH(""squat"", D1929:D2053))))"),9.0)</f>
        <v>9</v>
      </c>
      <c r="F2054" s="284">
        <f>IFERROR(__xludf.DUMMYFUNCTION("SUMPRODUCT(FILTER(F1929:F2053 * G1929:G2053, ISNUMBER(SEARCH(""squat"", D1929:D2053))))"),36.0)</f>
        <v>36</v>
      </c>
      <c r="G2054" s="135">
        <f>IFERROR(__xludf.DUMMYFUNCTION("ROUND(SUMPRODUCT(FILTER(F1929:F2053 * G1929:G2053 * I1929:I2053, ISNUMBER(SEARCH(""squat"", D1929:D2053)))), 0)"),930.0)</f>
        <v>930</v>
      </c>
      <c r="H2054" s="285"/>
      <c r="I2054" s="135" t="str">
        <f>IFERROR(__xludf.DUMMYFUNCTION("ROUND(AVERAGE(FILTER(I1929:I2053, ISNUMBER(SEARCH(""squat"", D1929:D2053)), I1929:I2053 &lt;&gt; """")) / J2054 * 100, 0)"),"#VALUE!")</f>
        <v>#VALUE!</v>
      </c>
      <c r="J2054" s="283" t="str">
        <f>IFERROR(__xludf.DUMMYFUNCTION("IFERROR(MROUND(AVERAGE(FILTER(O1929:O2053, D1929:D2053 = ""comp squat"", O1929:O2053 &lt;&gt; """", O1929:O2053 &gt;= 0.9 * MAX(FILTER(O1929:O2053, D1929:D2053 = ""comp squat"", O1929:O2053 &lt;&gt; """")), O1929:O2053 &lt;= 1.1 * MAX(FILTER(O1929:O2053, D1929:D2053 = ""co"&amp;"mp squat"", O1929:O2053 &lt;&gt; """")))), 2.5), ""No valid data"")"),"No valid data")</f>
        <v>No valid data</v>
      </c>
      <c r="K2054" s="274"/>
      <c r="L2054" s="305"/>
      <c r="M2054" s="305"/>
      <c r="N2054" s="305"/>
      <c r="O2054" s="282"/>
      <c r="P2054" s="278"/>
      <c r="Q2054" s="60"/>
      <c r="R2054" s="11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</row>
    <row r="2055" ht="3.0" customHeight="1">
      <c r="A2055" s="5"/>
      <c r="B2055" s="6"/>
      <c r="C2055" s="5"/>
      <c r="D2055" s="90"/>
      <c r="E2055" s="156"/>
      <c r="F2055" s="102"/>
      <c r="G2055" s="145"/>
      <c r="H2055" s="102"/>
      <c r="I2055" s="145"/>
      <c r="J2055" s="156"/>
      <c r="K2055" s="274"/>
      <c r="L2055" s="284"/>
      <c r="M2055" s="284"/>
      <c r="N2055" s="305"/>
      <c r="O2055" s="282"/>
      <c r="P2055" s="278"/>
      <c r="Q2055" s="783"/>
      <c r="R2055" s="11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</row>
    <row r="2056" ht="15.75" customHeight="1">
      <c r="A2056" s="5"/>
      <c r="B2056" s="6"/>
      <c r="C2056" s="5"/>
      <c r="D2056" s="274" t="s">
        <v>66</v>
      </c>
      <c r="E2056" s="293">
        <f>IFERROR(__xludf.DUMMYFUNCTION("SUM(FILTER(F1929:F2053, ISNUMBER(SEARCH(""bench press"", D1929:D2053))))"),15.0)</f>
        <v>15</v>
      </c>
      <c r="F2056" s="284">
        <f>IFERROR(__xludf.DUMMYFUNCTION("SUMPRODUCT(FILTER(F1930:F2054 * G1930:G2054, ISNUMBER(SEARCH(""bench press"", D1930:D2054))))"),59.0)</f>
        <v>59</v>
      </c>
      <c r="G2056" s="135">
        <f>IFERROR(__xludf.DUMMYFUNCTION("ROUND(SUMPRODUCT(FILTER(F1929:F2053 * G1929:G2053 * I1929:I2053, ISNUMBER(SEARCH(""bench press"", D1929:D2053)))), 0)"),1440.0)</f>
        <v>1440</v>
      </c>
      <c r="H2056" s="285"/>
      <c r="I2056" s="135" t="str">
        <f>IFERROR(__xludf.DUMMYFUNCTION("ROUND(AVERAGE(FILTER(I1929:I2053, ISNUMBER(SEARCH(""bench press"", D1929:D2053)), I1929:I2053 &lt;&gt; """")) / J2056 * 100, 0)"),"#VALUE!")</f>
        <v>#VALUE!</v>
      </c>
      <c r="J2056" s="293" t="str">
        <f>IFERROR(__xludf.DUMMYFUNCTION("IFERROR(MROUND(AVERAGE(FILTER(O1929:O2053, D1929:D2053 = ""comp bench press"", O1929:O2053 &lt;&gt; """", O1929:O2053 &gt;= 0.9 * MAX(FILTER(O1929:O2053, D1929:D2053 = ""comp bench press"", O1929:O2053 &lt;&gt; """")), O1929:O2053 &lt;= 1.1 * MAX(FILTER(O1929:O2053, D1929:"&amp;"D2053 = ""comp bench press"", O1929:O2053 &lt;&gt; """")))), 2.5), ""No valid data"")"),"No valid data")</f>
        <v>No valid data</v>
      </c>
      <c r="K2056" s="274"/>
      <c r="L2056" s="285"/>
      <c r="M2056" s="285"/>
      <c r="N2056" s="305"/>
      <c r="O2056" s="282"/>
      <c r="P2056" s="278"/>
      <c r="Q2056" s="279"/>
      <c r="R2056" s="11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</row>
    <row r="2057" ht="3.0" customHeight="1">
      <c r="A2057" s="5"/>
      <c r="B2057" s="6"/>
      <c r="C2057" s="5"/>
      <c r="D2057" s="90"/>
      <c r="E2057" s="156"/>
      <c r="F2057" s="102"/>
      <c r="G2057" s="145"/>
      <c r="H2057" s="102"/>
      <c r="I2057" s="145"/>
      <c r="J2057" s="156"/>
      <c r="K2057" s="274"/>
      <c r="L2057" s="285"/>
      <c r="M2057" s="285"/>
      <c r="N2057" s="284"/>
      <c r="O2057" s="282"/>
      <c r="P2057" s="278"/>
      <c r="Q2057" s="279"/>
      <c r="R2057" s="11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</row>
    <row r="2058" ht="14.25" customHeight="1">
      <c r="A2058" s="5"/>
      <c r="B2058" s="6"/>
      <c r="C2058" s="5"/>
      <c r="D2058" s="274" t="s">
        <v>10</v>
      </c>
      <c r="E2058" s="293">
        <f>IFERROR(__xludf.DUMMYFUNCTION("SUM(FILTER(F1929:F2053, ISNUMBER(SEARCH(""deadlift"", D1929:D2053))))"),8.0)</f>
        <v>8</v>
      </c>
      <c r="F2058" s="284">
        <f>IFERROR(__xludf.DUMMYFUNCTION("SUMPRODUCT(FILTER(F1929:F2053 * G1929:G2053, ISNUMBER(SEARCH(""deadlift"", D1929:D2053))))"),29.0)</f>
        <v>29</v>
      </c>
      <c r="G2058" s="135">
        <f>IFERROR(__xludf.DUMMYFUNCTION("ROUND(SUMPRODUCT(FILTER(F1929:F2053 * G1929:G2053 * I1929:I2053, ISNUMBER(SEARCH(""deadlift"", D1929:D2053)))), 0)"),0.0)</f>
        <v>0</v>
      </c>
      <c r="H2058" s="285"/>
      <c r="I2058" s="135" t="str">
        <f>IFERROR(__xludf.DUMMYFUNCTION("ROUND(AVERAGE(FILTER(I1929:I2053, ISNUMBER(SEARCH(""deadlift"", D1929:D2053)), I1929:I2053 &lt;&gt; """")) / J2058 * 100, 0)"),"#VALUE!")</f>
        <v>#VALUE!</v>
      </c>
      <c r="J2058" s="293" t="str">
        <f>IFERROR(__xludf.DUMMYFUNCTION("IFERROR(MROUND(AVERAGE(FILTER(O1929:O2053, D1929:D2053 = ""comp deadlift"", O1929:O2053 &lt;&gt; """", O1929:O2053 &gt;= 0.9 * MAX(FILTER(O1929:O2053, D1929:D2053 = ""comp deadlift"", O1929:O2053 &lt;&gt; """")), O1929:O2053 &lt;= 1.1 * MAX(FILTER(O1929:O2053, D1929:D2053 "&amp;"= ""comp deadlift"", O1929:O2053 &lt;&gt; """")))), 2.5), ""No valid data"")"),"No valid data")</f>
        <v>No valid data</v>
      </c>
      <c r="K2058" s="274"/>
      <c r="L2058" s="285"/>
      <c r="M2058" s="285"/>
      <c r="N2058" s="285"/>
      <c r="O2058" s="282"/>
      <c r="P2058" s="278"/>
      <c r="Q2058" s="279"/>
      <c r="R2058" s="11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</row>
    <row r="2059" ht="14.25" customHeight="1">
      <c r="A2059" s="5"/>
      <c r="B2059" s="6"/>
      <c r="C2059" s="5"/>
      <c r="D2059" s="274"/>
      <c r="E2059" s="266"/>
      <c r="F2059" s="187"/>
      <c r="G2059" s="187"/>
      <c r="H2059" s="187"/>
      <c r="I2059" s="187"/>
      <c r="J2059" s="295"/>
      <c r="K2059" s="274"/>
      <c r="L2059" s="285"/>
      <c r="M2059" s="285"/>
      <c r="N2059" s="285"/>
      <c r="O2059" s="282"/>
      <c r="P2059" s="278"/>
      <c r="Q2059" s="279"/>
      <c r="R2059" s="11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</row>
    <row r="2060" ht="14.25" customHeight="1">
      <c r="A2060" s="5"/>
      <c r="B2060" s="2"/>
      <c r="C2060" s="5"/>
      <c r="D2060" s="5"/>
      <c r="E2060" s="75"/>
      <c r="F2060" s="3"/>
      <c r="G2060" s="3"/>
      <c r="H2060" s="3"/>
      <c r="I2060" s="3"/>
      <c r="J2060" s="75"/>
      <c r="K2060" s="5"/>
      <c r="L2060" s="47"/>
      <c r="M2060" s="3"/>
      <c r="N2060" s="3"/>
      <c r="O2060" s="3"/>
      <c r="P2060" s="4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</row>
    <row r="2061" ht="14.25" customHeight="1">
      <c r="A2061" s="5"/>
      <c r="B2061" s="2"/>
      <c r="C2061" s="5"/>
      <c r="D2061" s="5"/>
      <c r="E2061" s="75"/>
      <c r="F2061" s="3"/>
      <c r="G2061" s="3"/>
      <c r="H2061" s="3"/>
      <c r="I2061" s="3"/>
      <c r="J2061" s="75"/>
      <c r="K2061" s="5"/>
      <c r="L2061" s="47"/>
      <c r="M2061" s="3"/>
      <c r="N2061" s="3"/>
      <c r="O2061" s="3"/>
      <c r="P2061" s="4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</row>
  </sheetData>
  <mergeCells count="475">
    <mergeCell ref="F236:F237"/>
    <mergeCell ref="G236:G237"/>
    <mergeCell ref="F100:F101"/>
    <mergeCell ref="F123:F124"/>
    <mergeCell ref="G123:G124"/>
    <mergeCell ref="F158:F159"/>
    <mergeCell ref="G158:G159"/>
    <mergeCell ref="F186:F187"/>
    <mergeCell ref="G186:G187"/>
    <mergeCell ref="F211:F212"/>
    <mergeCell ref="G211:G212"/>
    <mergeCell ref="I211:I212"/>
    <mergeCell ref="K211:K212"/>
    <mergeCell ref="K236:K237"/>
    <mergeCell ref="F259:F260"/>
    <mergeCell ref="G259:G260"/>
    <mergeCell ref="I259:I260"/>
    <mergeCell ref="K259:K260"/>
    <mergeCell ref="K293:N293"/>
    <mergeCell ref="G294:G295"/>
    <mergeCell ref="I294:I295"/>
    <mergeCell ref="K294:K295"/>
    <mergeCell ref="K297:K298"/>
    <mergeCell ref="I347:I348"/>
    <mergeCell ref="K347:K348"/>
    <mergeCell ref="F294:F295"/>
    <mergeCell ref="F322:F323"/>
    <mergeCell ref="G322:G323"/>
    <mergeCell ref="I322:I323"/>
    <mergeCell ref="K322:K323"/>
    <mergeCell ref="F347:F348"/>
    <mergeCell ref="G347:G348"/>
    <mergeCell ref="K395:K396"/>
    <mergeCell ref="K429:N429"/>
    <mergeCell ref="F430:F431"/>
    <mergeCell ref="G430:G431"/>
    <mergeCell ref="I430:I431"/>
    <mergeCell ref="K430:K431"/>
    <mergeCell ref="K433:K434"/>
    <mergeCell ref="F372:F373"/>
    <mergeCell ref="G372:G373"/>
    <mergeCell ref="I372:I373"/>
    <mergeCell ref="K372:K373"/>
    <mergeCell ref="F395:F396"/>
    <mergeCell ref="G395:G396"/>
    <mergeCell ref="I395:I396"/>
    <mergeCell ref="F508:F509"/>
    <mergeCell ref="F531:F532"/>
    <mergeCell ref="G531:G532"/>
    <mergeCell ref="I531:I532"/>
    <mergeCell ref="K531:K532"/>
    <mergeCell ref="F483:F484"/>
    <mergeCell ref="G483:G484"/>
    <mergeCell ref="I483:I484"/>
    <mergeCell ref="K483:K484"/>
    <mergeCell ref="G508:G509"/>
    <mergeCell ref="I508:I509"/>
    <mergeCell ref="K508:K509"/>
    <mergeCell ref="K21:N21"/>
    <mergeCell ref="F22:F23"/>
    <mergeCell ref="G22:G23"/>
    <mergeCell ref="I22:I23"/>
    <mergeCell ref="K22:K23"/>
    <mergeCell ref="K25:K26"/>
    <mergeCell ref="Q28:Q48"/>
    <mergeCell ref="F50:F51"/>
    <mergeCell ref="G50:G51"/>
    <mergeCell ref="I50:I51"/>
    <mergeCell ref="K50:K51"/>
    <mergeCell ref="Q53:Q73"/>
    <mergeCell ref="F75:F76"/>
    <mergeCell ref="G75:G76"/>
    <mergeCell ref="I75:I76"/>
    <mergeCell ref="K75:K76"/>
    <mergeCell ref="Q78:Q98"/>
    <mergeCell ref="G100:G101"/>
    <mergeCell ref="I100:I101"/>
    <mergeCell ref="K100:K101"/>
    <mergeCell ref="Q103:Q121"/>
    <mergeCell ref="I123:I124"/>
    <mergeCell ref="K123:K124"/>
    <mergeCell ref="Q126:Q148"/>
    <mergeCell ref="K157:N157"/>
    <mergeCell ref="K158:K159"/>
    <mergeCell ref="K161:K162"/>
    <mergeCell ref="K186:K187"/>
    <mergeCell ref="Q164:Q184"/>
    <mergeCell ref="Q189:Q209"/>
    <mergeCell ref="Q214:Q234"/>
    <mergeCell ref="Q239:Q257"/>
    <mergeCell ref="Q262:Q284"/>
    <mergeCell ref="Q300:Q320"/>
    <mergeCell ref="Q325:Q345"/>
    <mergeCell ref="I158:I159"/>
    <mergeCell ref="I186:I187"/>
    <mergeCell ref="I236:I237"/>
    <mergeCell ref="F458:F459"/>
    <mergeCell ref="G458:G459"/>
    <mergeCell ref="I458:I459"/>
    <mergeCell ref="K458:K459"/>
    <mergeCell ref="Q350:Q370"/>
    <mergeCell ref="Q375:Q393"/>
    <mergeCell ref="Q398:Q420"/>
    <mergeCell ref="Q436:Q456"/>
    <mergeCell ref="Q461:Q481"/>
    <mergeCell ref="Q486:Q506"/>
    <mergeCell ref="Q511:Q529"/>
    <mergeCell ref="Q572:Q592"/>
    <mergeCell ref="F780:F781"/>
    <mergeCell ref="G780:G781"/>
    <mergeCell ref="F644:F645"/>
    <mergeCell ref="F667:F668"/>
    <mergeCell ref="G667:G668"/>
    <mergeCell ref="F702:F703"/>
    <mergeCell ref="G702:G703"/>
    <mergeCell ref="F730:F731"/>
    <mergeCell ref="G730:G731"/>
    <mergeCell ref="F1571:F1572"/>
    <mergeCell ref="G1571:G1572"/>
    <mergeCell ref="F1410:F1411"/>
    <mergeCell ref="F1435:F1436"/>
    <mergeCell ref="G1435:G1436"/>
    <mergeCell ref="F1460:F1461"/>
    <mergeCell ref="G1460:G1461"/>
    <mergeCell ref="F1483:F1484"/>
    <mergeCell ref="G1483:G1484"/>
    <mergeCell ref="I1347:I1348"/>
    <mergeCell ref="K1347:K1348"/>
    <mergeCell ref="K1381:N1381"/>
    <mergeCell ref="F1383:J1383"/>
    <mergeCell ref="F1385:F1386"/>
    <mergeCell ref="G1385:G1386"/>
    <mergeCell ref="I1385:I1386"/>
    <mergeCell ref="M1385:N1385"/>
    <mergeCell ref="K1382:K1383"/>
    <mergeCell ref="K1385:K1386"/>
    <mergeCell ref="Q1388:Q1408"/>
    <mergeCell ref="G1410:G1411"/>
    <mergeCell ref="I1410:I1411"/>
    <mergeCell ref="K1410:K1411"/>
    <mergeCell ref="Q1413:Q1433"/>
    <mergeCell ref="Q1463:Q1481"/>
    <mergeCell ref="Q1486:Q1508"/>
    <mergeCell ref="Q1523:Q1545"/>
    <mergeCell ref="Q1548:Q1570"/>
    <mergeCell ref="Q1573:Q1593"/>
    <mergeCell ref="I1435:I1436"/>
    <mergeCell ref="K1435:K1436"/>
    <mergeCell ref="Q1438:Q1458"/>
    <mergeCell ref="I1460:I1461"/>
    <mergeCell ref="K1460:K1461"/>
    <mergeCell ref="I1483:I1484"/>
    <mergeCell ref="K1483:K1484"/>
    <mergeCell ref="K1521:K1522"/>
    <mergeCell ref="L1521:L1522"/>
    <mergeCell ref="P1521:P1522"/>
    <mergeCell ref="K1517:N1517"/>
    <mergeCell ref="K1518:K1519"/>
    <mergeCell ref="D1519:E1519"/>
    <mergeCell ref="F1519:J1519"/>
    <mergeCell ref="F1521:F1522"/>
    <mergeCell ref="G1521:G1522"/>
    <mergeCell ref="I1521:I1522"/>
    <mergeCell ref="M1521:N1521"/>
    <mergeCell ref="F1546:F1547"/>
    <mergeCell ref="G1546:G1547"/>
    <mergeCell ref="I1546:I1547"/>
    <mergeCell ref="K1546:K1547"/>
    <mergeCell ref="L1546:L1547"/>
    <mergeCell ref="M1546:N1546"/>
    <mergeCell ref="P1546:P1547"/>
    <mergeCell ref="I1594:I1595"/>
    <mergeCell ref="K1594:K1595"/>
    <mergeCell ref="F1617:F1618"/>
    <mergeCell ref="G1617:G1618"/>
    <mergeCell ref="I1617:I1618"/>
    <mergeCell ref="K1617:K1618"/>
    <mergeCell ref="I1571:I1572"/>
    <mergeCell ref="K1571:K1572"/>
    <mergeCell ref="L1571:L1572"/>
    <mergeCell ref="M1571:N1571"/>
    <mergeCell ref="P1571:P1572"/>
    <mergeCell ref="F1594:F1595"/>
    <mergeCell ref="G1594:G1595"/>
    <mergeCell ref="P1594:P1595"/>
    <mergeCell ref="L1594:L1595"/>
    <mergeCell ref="M1594:N1594"/>
    <mergeCell ref="Q1596:Q1616"/>
    <mergeCell ref="L1617:L1618"/>
    <mergeCell ref="M1617:N1617"/>
    <mergeCell ref="P1617:P1618"/>
    <mergeCell ref="Q1619:Q1642"/>
    <mergeCell ref="K1653:N1653"/>
    <mergeCell ref="K1654:K1655"/>
    <mergeCell ref="D1655:E1655"/>
    <mergeCell ref="F1655:J1655"/>
    <mergeCell ref="F1657:F1658"/>
    <mergeCell ref="G1657:G1658"/>
    <mergeCell ref="I1657:I1658"/>
    <mergeCell ref="M1657:N1657"/>
    <mergeCell ref="M1682:N1682"/>
    <mergeCell ref="P1682:P1683"/>
    <mergeCell ref="Q1684:Q1706"/>
    <mergeCell ref="M1707:N1707"/>
    <mergeCell ref="P1707:P1708"/>
    <mergeCell ref="Q1709:Q1729"/>
    <mergeCell ref="Q1732:Q1752"/>
    <mergeCell ref="K1657:K1658"/>
    <mergeCell ref="L1657:L1658"/>
    <mergeCell ref="P1657:P1658"/>
    <mergeCell ref="Q1659:Q1681"/>
    <mergeCell ref="F1682:F1683"/>
    <mergeCell ref="G1682:G1683"/>
    <mergeCell ref="I1682:I1683"/>
    <mergeCell ref="K1682:K1683"/>
    <mergeCell ref="L1682:L1683"/>
    <mergeCell ref="F1707:F1708"/>
    <mergeCell ref="G1707:G1708"/>
    <mergeCell ref="I1707:I1708"/>
    <mergeCell ref="K1707:K1708"/>
    <mergeCell ref="L1707:L1708"/>
    <mergeCell ref="F1730:F1731"/>
    <mergeCell ref="G1730:G1731"/>
    <mergeCell ref="I1730:I1731"/>
    <mergeCell ref="K1730:K1731"/>
    <mergeCell ref="L1730:L1731"/>
    <mergeCell ref="M1730:N1730"/>
    <mergeCell ref="P1730:P1731"/>
    <mergeCell ref="M1753:N1753"/>
    <mergeCell ref="K1789:N1789"/>
    <mergeCell ref="K1790:K1791"/>
    <mergeCell ref="F1753:F1754"/>
    <mergeCell ref="G1753:G1754"/>
    <mergeCell ref="I1753:I1754"/>
    <mergeCell ref="K1753:K1754"/>
    <mergeCell ref="L1753:L1754"/>
    <mergeCell ref="P1753:P1754"/>
    <mergeCell ref="Q1755:Q1778"/>
    <mergeCell ref="D1791:E1791"/>
    <mergeCell ref="F1791:J1791"/>
    <mergeCell ref="F1793:F1794"/>
    <mergeCell ref="G1793:G1794"/>
    <mergeCell ref="I1793:I1794"/>
    <mergeCell ref="K1793:K1794"/>
    <mergeCell ref="L1793:L1794"/>
    <mergeCell ref="M1793:N1793"/>
    <mergeCell ref="P1793:P1794"/>
    <mergeCell ref="Q1795:Q1817"/>
    <mergeCell ref="F1818:F1819"/>
    <mergeCell ref="G1818:G1819"/>
    <mergeCell ref="I1818:I1819"/>
    <mergeCell ref="K1818:K1819"/>
    <mergeCell ref="P1818:P1819"/>
    <mergeCell ref="L1818:L1819"/>
    <mergeCell ref="M1818:N1818"/>
    <mergeCell ref="Q1820:Q1842"/>
    <mergeCell ref="F1843:F1844"/>
    <mergeCell ref="G1843:G1844"/>
    <mergeCell ref="I1843:I1844"/>
    <mergeCell ref="K1843:K1844"/>
    <mergeCell ref="P1843:P1844"/>
    <mergeCell ref="L1889:L1890"/>
    <mergeCell ref="M1889:N1889"/>
    <mergeCell ref="Q1956:Q1978"/>
    <mergeCell ref="Q1981:Q2001"/>
    <mergeCell ref="Q2004:Q2024"/>
    <mergeCell ref="Q2027:Q2050"/>
    <mergeCell ref="M1929:N1929"/>
    <mergeCell ref="P1929:P1930"/>
    <mergeCell ref="Q1931:Q1953"/>
    <mergeCell ref="M1954:N1954"/>
    <mergeCell ref="P1954:P1955"/>
    <mergeCell ref="M1979:N1979"/>
    <mergeCell ref="P1979:P1980"/>
    <mergeCell ref="L1843:L1844"/>
    <mergeCell ref="M1843:N1843"/>
    <mergeCell ref="Q1845:Q1865"/>
    <mergeCell ref="F1866:F1867"/>
    <mergeCell ref="G1866:G1867"/>
    <mergeCell ref="I1866:I1867"/>
    <mergeCell ref="K1866:K1867"/>
    <mergeCell ref="P1866:P1867"/>
    <mergeCell ref="L1866:L1867"/>
    <mergeCell ref="M1866:N1866"/>
    <mergeCell ref="F1889:F1890"/>
    <mergeCell ref="G1889:G1890"/>
    <mergeCell ref="I1889:I1890"/>
    <mergeCell ref="K1889:K1890"/>
    <mergeCell ref="P1889:P1890"/>
    <mergeCell ref="Q1868:Q1888"/>
    <mergeCell ref="Q1891:Q1914"/>
    <mergeCell ref="K1925:N1925"/>
    <mergeCell ref="K1926:K1927"/>
    <mergeCell ref="D1927:E1927"/>
    <mergeCell ref="F1927:J1927"/>
    <mergeCell ref="F1929:F1930"/>
    <mergeCell ref="F1979:F1980"/>
    <mergeCell ref="F2002:F2003"/>
    <mergeCell ref="G2002:G2003"/>
    <mergeCell ref="I2002:I2003"/>
    <mergeCell ref="F2025:F2026"/>
    <mergeCell ref="G2025:G2026"/>
    <mergeCell ref="I2025:I2026"/>
    <mergeCell ref="G1929:G1930"/>
    <mergeCell ref="I1929:I1930"/>
    <mergeCell ref="F1954:F1955"/>
    <mergeCell ref="G1954:G1955"/>
    <mergeCell ref="I1954:I1955"/>
    <mergeCell ref="G1979:G1980"/>
    <mergeCell ref="I1979:I1980"/>
    <mergeCell ref="M2002:N2002"/>
    <mergeCell ref="P2002:P2003"/>
    <mergeCell ref="K2002:K2003"/>
    <mergeCell ref="K2025:K2026"/>
    <mergeCell ref="L2025:L2026"/>
    <mergeCell ref="M2025:N2025"/>
    <mergeCell ref="P2025:P2026"/>
    <mergeCell ref="K1929:K1930"/>
    <mergeCell ref="L1929:L1930"/>
    <mergeCell ref="K1954:K1955"/>
    <mergeCell ref="L1954:L1955"/>
    <mergeCell ref="K1979:K1980"/>
    <mergeCell ref="L1979:L1980"/>
    <mergeCell ref="L2002:L2003"/>
    <mergeCell ref="F755:F756"/>
    <mergeCell ref="G755:G756"/>
    <mergeCell ref="I755:I756"/>
    <mergeCell ref="K755:K756"/>
    <mergeCell ref="K780:K781"/>
    <mergeCell ref="F803:F804"/>
    <mergeCell ref="G803:G804"/>
    <mergeCell ref="I803:I804"/>
    <mergeCell ref="K803:K804"/>
    <mergeCell ref="K837:N837"/>
    <mergeCell ref="G838:G839"/>
    <mergeCell ref="I838:I839"/>
    <mergeCell ref="K838:K839"/>
    <mergeCell ref="K841:K842"/>
    <mergeCell ref="I891:I892"/>
    <mergeCell ref="K891:K892"/>
    <mergeCell ref="F838:F839"/>
    <mergeCell ref="F866:F867"/>
    <mergeCell ref="G866:G867"/>
    <mergeCell ref="I866:I867"/>
    <mergeCell ref="K866:K867"/>
    <mergeCell ref="F891:F892"/>
    <mergeCell ref="G891:G892"/>
    <mergeCell ref="K939:K940"/>
    <mergeCell ref="K973:N973"/>
    <mergeCell ref="F974:F975"/>
    <mergeCell ref="G974:G975"/>
    <mergeCell ref="I974:I975"/>
    <mergeCell ref="K974:K975"/>
    <mergeCell ref="K977:K978"/>
    <mergeCell ref="F916:F917"/>
    <mergeCell ref="G916:G917"/>
    <mergeCell ref="I916:I917"/>
    <mergeCell ref="K916:K917"/>
    <mergeCell ref="F939:F940"/>
    <mergeCell ref="G939:G940"/>
    <mergeCell ref="I939:I940"/>
    <mergeCell ref="F1052:F1053"/>
    <mergeCell ref="F1075:F1076"/>
    <mergeCell ref="G1075:G1076"/>
    <mergeCell ref="I1075:I1076"/>
    <mergeCell ref="K1075:K1076"/>
    <mergeCell ref="F1027:F1028"/>
    <mergeCell ref="G1027:G1028"/>
    <mergeCell ref="I1027:I1028"/>
    <mergeCell ref="K1027:K1028"/>
    <mergeCell ref="G1052:G1053"/>
    <mergeCell ref="I1052:I1053"/>
    <mergeCell ref="K1052:K1053"/>
    <mergeCell ref="Q534:Q556"/>
    <mergeCell ref="K565:N565"/>
    <mergeCell ref="F566:F567"/>
    <mergeCell ref="G566:G567"/>
    <mergeCell ref="I566:I567"/>
    <mergeCell ref="K566:K567"/>
    <mergeCell ref="K569:K570"/>
    <mergeCell ref="F594:F595"/>
    <mergeCell ref="G594:G595"/>
    <mergeCell ref="I594:I595"/>
    <mergeCell ref="K594:K595"/>
    <mergeCell ref="Q597:Q617"/>
    <mergeCell ref="F619:F620"/>
    <mergeCell ref="G619:G620"/>
    <mergeCell ref="I619:I620"/>
    <mergeCell ref="K619:K620"/>
    <mergeCell ref="Q622:Q642"/>
    <mergeCell ref="G644:G645"/>
    <mergeCell ref="I644:I645"/>
    <mergeCell ref="K644:K645"/>
    <mergeCell ref="Q647:Q665"/>
    <mergeCell ref="I667:I668"/>
    <mergeCell ref="K667:K668"/>
    <mergeCell ref="Q670:Q692"/>
    <mergeCell ref="K701:N701"/>
    <mergeCell ref="K702:K703"/>
    <mergeCell ref="K705:K706"/>
    <mergeCell ref="K730:K731"/>
    <mergeCell ref="Q708:Q728"/>
    <mergeCell ref="Q733:Q753"/>
    <mergeCell ref="Q758:Q778"/>
    <mergeCell ref="Q783:Q801"/>
    <mergeCell ref="Q806:Q828"/>
    <mergeCell ref="Q844:Q864"/>
    <mergeCell ref="Q869:Q889"/>
    <mergeCell ref="I702:I703"/>
    <mergeCell ref="I730:I731"/>
    <mergeCell ref="I780:I781"/>
    <mergeCell ref="F1002:F1003"/>
    <mergeCell ref="G1002:G1003"/>
    <mergeCell ref="I1002:I1003"/>
    <mergeCell ref="K1002:K1003"/>
    <mergeCell ref="Q894:Q914"/>
    <mergeCell ref="Q919:Q937"/>
    <mergeCell ref="Q942:Q964"/>
    <mergeCell ref="Q980:Q1000"/>
    <mergeCell ref="Q1005:Q1025"/>
    <mergeCell ref="Q1030:Q1050"/>
    <mergeCell ref="Q1055:Q1073"/>
    <mergeCell ref="Q1116:Q1136"/>
    <mergeCell ref="F1324:F1325"/>
    <mergeCell ref="G1324:G1325"/>
    <mergeCell ref="F1188:F1189"/>
    <mergeCell ref="F1211:F1212"/>
    <mergeCell ref="G1211:G1212"/>
    <mergeCell ref="F1246:F1247"/>
    <mergeCell ref="G1246:G1247"/>
    <mergeCell ref="F1274:F1275"/>
    <mergeCell ref="G1274:G1275"/>
    <mergeCell ref="Q1078:Q1100"/>
    <mergeCell ref="K1109:N1109"/>
    <mergeCell ref="F1110:F1111"/>
    <mergeCell ref="G1110:G1111"/>
    <mergeCell ref="I1110:I1111"/>
    <mergeCell ref="K1110:K1111"/>
    <mergeCell ref="K1113:K1114"/>
    <mergeCell ref="F1138:F1139"/>
    <mergeCell ref="G1138:G1139"/>
    <mergeCell ref="I1138:I1139"/>
    <mergeCell ref="K1138:K1139"/>
    <mergeCell ref="Q1141:Q1161"/>
    <mergeCell ref="F1163:F1164"/>
    <mergeCell ref="G1163:G1164"/>
    <mergeCell ref="I1163:I1164"/>
    <mergeCell ref="K1163:K1164"/>
    <mergeCell ref="Q1166:Q1186"/>
    <mergeCell ref="G1188:G1189"/>
    <mergeCell ref="I1188:I1189"/>
    <mergeCell ref="K1188:K1189"/>
    <mergeCell ref="Q1191:Q1209"/>
    <mergeCell ref="I1246:I1247"/>
    <mergeCell ref="I1274:I1275"/>
    <mergeCell ref="I1324:I1325"/>
    <mergeCell ref="Q1252:Q1272"/>
    <mergeCell ref="Q1277:Q1297"/>
    <mergeCell ref="Q1302:Q1322"/>
    <mergeCell ref="Q1327:Q1345"/>
    <mergeCell ref="Q1350:Q1372"/>
    <mergeCell ref="I1211:I1212"/>
    <mergeCell ref="K1211:K1212"/>
    <mergeCell ref="Q1214:Q1236"/>
    <mergeCell ref="K1245:N1245"/>
    <mergeCell ref="K1246:K1247"/>
    <mergeCell ref="K1249:K1250"/>
    <mergeCell ref="K1274:K1275"/>
    <mergeCell ref="F1299:F1300"/>
    <mergeCell ref="G1299:G1300"/>
    <mergeCell ref="I1299:I1300"/>
    <mergeCell ref="K1299:K1300"/>
    <mergeCell ref="K1324:K1325"/>
    <mergeCell ref="F1347:F1348"/>
    <mergeCell ref="G1347:G1348"/>
  </mergeCells>
  <conditionalFormatting sqref="P27:P138 P163:P274 P299:P410 P435:P546 P571:P682 P707:P818 P843:P954 P979:P1090 P1115:P1226 P1251:P1362 P1387:P1498 P1523:P1545 P1548:P1570 P1573:P1593 P1596:P1616 P1619:P1642 P1659:P1681 P1684:P1706 P1709:P1729 P1732:P1752 P1755:P1778 P1795:P1817 P1820:P1842 P1845:P1865 P1868:P1888 P1891:P1914 P1931:P1953 P1956:P1978 P1981:P2001 P2004:P2024 P2027:P2050">
    <cfRule type="cellIs" dxfId="0" priority="1" operator="greaterThan">
      <formula>0</formula>
    </cfRule>
  </conditionalFormatting>
  <conditionalFormatting sqref="P27:P138 P163:P274 P299:P410 P435:P546 P571:P682 P707:P818 P843:P954 P979:P1090 P1115:P1226 P1251:P1362 P1387:P1498 P1523:P1545 P1548:P1570 P1573:P1593 P1596:P1616 P1619:P1642 P1659:P1681 P1684:P1706 P1709:P1729 P1732:P1752 P1755:P1778 P1795:P1817 P1820:P1842 P1845:P1865 P1868:P1888 P1891:P1914 P1931:P1953 P1956:P1978 P1981:P2001 P2004:P2024 P2027:P2050">
    <cfRule type="cellIs" dxfId="1" priority="2" operator="lessThan">
      <formula>0</formula>
    </cfRule>
  </conditionalFormatting>
  <conditionalFormatting sqref="D1:D1382 D1384:D1518 D1520:D1654 D1656:D1790 D1792:D1926 D1928:D2061">
    <cfRule type="containsText" dxfId="2" priority="3" operator="containsText" text="squat">
      <formula>NOT(ISERROR(SEARCH(("squat"),(D1))))</formula>
    </cfRule>
  </conditionalFormatting>
  <conditionalFormatting sqref="D1:D1382 D1384:D1518 D1520:D1654 D1656:D1790 D1792:D1926 D1928:D2061">
    <cfRule type="containsText" dxfId="3" priority="4" operator="containsText" text="bench press">
      <formula>NOT(ISERROR(SEARCH(("bench press"),(D1))))</formula>
    </cfRule>
  </conditionalFormatting>
  <conditionalFormatting sqref="D1:D1382 D1384:D1518 D1520:D1654 D1656:D1790 D1792:D1926 D1928:D2061">
    <cfRule type="containsText" dxfId="4" priority="5" operator="containsText" text="deadlift">
      <formula>NOT(ISERROR(SEARCH(("deadlift"),(D1))))</formula>
    </cfRule>
  </conditionalFormatting>
  <dataValidations>
    <dataValidation type="list" allowBlank="1" showErrorMessage="1" sqref="D1386 D1411 D1436 D1461 D1484 D1522 D1547 D1572 D1595 D1618 D1658 D1683 D1708 D1731 D1754 D1794 D1819 D1844 D1867 D1890 D1930 D1955 D1980 D2003 D2026">
      <formula1>"motivation,5 (high),4,3,2,1 (low)"</formula1>
    </dataValidation>
    <dataValidation type="list" allowBlank="1" showErrorMessage="1" sqref="E1411 E1436 E1461 E1484 E1522 E1547 E1572 E1595 E1618 E1658 E1683 E1708 E1731 E1754 E1794 E1819 E1844 E1867 E1890 E1930 E1955 E1980 E2003 E2026">
      <formula1>"fatigue,5 (high),4,3,2,1 (low)"</formula1>
    </dataValidation>
    <dataValidation type="list" allowBlank="1" showErrorMessage="1" sqref="E1385 E1410 E1435 E1460 E1483 E1521 E1546 E1571 E1594 E1617 E1657 E1682 E1707 E1730 E1753 E1793 E1818 E1843 E1866 E1889 E1929 E1954 E1979 E2002 E2025">
      <formula1>"day,Sunday,Monday,Tuesday,Wednesday,Thursday,Friday,Saturday"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.0"/>
    <col customWidth="1" min="2" max="2" width="2.38"/>
    <col customWidth="1" min="3" max="3" width="1.0"/>
    <col customWidth="1" min="4" max="4" width="5.25"/>
    <col customWidth="1" min="5" max="14" width="9.0"/>
    <col customWidth="1" min="15" max="15" width="3.13"/>
    <col customWidth="1" min="16" max="16" width="10.75"/>
    <col customWidth="1" min="17" max="32" width="9.0"/>
  </cols>
  <sheetData>
    <row r="1" ht="13.5" customHeight="1">
      <c r="A1" s="381"/>
      <c r="B1" s="6"/>
      <c r="C1" s="7"/>
      <c r="D1" s="7"/>
      <c r="E1" s="7"/>
      <c r="F1" s="7"/>
      <c r="G1" s="7"/>
      <c r="H1" s="7"/>
      <c r="I1" s="7"/>
      <c r="J1" s="7"/>
      <c r="K1" s="8"/>
      <c r="L1" s="8"/>
      <c r="M1" s="8"/>
      <c r="N1" s="8"/>
      <c r="O1" s="8"/>
      <c r="P1" s="9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1"/>
      <c r="AE1" s="11"/>
      <c r="AF1" s="11"/>
    </row>
    <row r="2" ht="5.25" customHeight="1">
      <c r="A2" s="26"/>
      <c r="B2" s="13"/>
      <c r="C2" s="12"/>
      <c r="D2" s="12"/>
      <c r="E2" s="12"/>
      <c r="F2" s="12"/>
      <c r="G2" s="12"/>
      <c r="H2" s="12"/>
      <c r="I2" s="12"/>
      <c r="J2" s="12"/>
      <c r="K2" s="3"/>
      <c r="L2" s="3"/>
      <c r="M2" s="3"/>
      <c r="N2" s="3"/>
      <c r="O2" s="3"/>
      <c r="P2" s="4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</row>
    <row r="3" ht="15.0" customHeight="1">
      <c r="A3" s="26"/>
      <c r="B3" s="13"/>
      <c r="C3" s="12"/>
      <c r="D3" s="14"/>
      <c r="E3" s="14"/>
      <c r="F3" s="14"/>
      <c r="G3" s="14"/>
      <c r="H3" s="14"/>
      <c r="I3" s="14"/>
      <c r="J3" s="14"/>
      <c r="K3" s="15"/>
      <c r="L3" s="15"/>
      <c r="M3" s="15"/>
      <c r="N3" s="15"/>
      <c r="O3" s="15"/>
      <c r="P3" s="16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8"/>
      <c r="AE3" s="18"/>
      <c r="AF3" s="18"/>
    </row>
    <row r="4" ht="3.75" customHeight="1">
      <c r="A4" s="26"/>
      <c r="B4" s="13"/>
      <c r="C4" s="12"/>
      <c r="D4" s="12"/>
      <c r="E4" s="12"/>
      <c r="F4" s="19"/>
      <c r="G4" s="19"/>
      <c r="H4" s="19"/>
      <c r="I4" s="19"/>
      <c r="J4" s="12"/>
      <c r="K4" s="3"/>
      <c r="L4" s="3"/>
      <c r="M4" s="3"/>
      <c r="N4" s="3"/>
      <c r="O4" s="3"/>
      <c r="P4" s="4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</row>
    <row r="5" ht="22.5" customHeight="1">
      <c r="A5" s="26"/>
      <c r="B5" s="13"/>
      <c r="C5" s="12"/>
      <c r="D5" s="20"/>
      <c r="E5" s="20"/>
      <c r="F5" s="21"/>
      <c r="G5" s="21"/>
      <c r="H5" s="21"/>
      <c r="I5" s="21"/>
      <c r="J5" s="20"/>
      <c r="K5" s="22"/>
      <c r="L5" s="22"/>
      <c r="M5" s="22"/>
      <c r="N5" s="22"/>
      <c r="O5" s="22"/>
      <c r="P5" s="23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5"/>
      <c r="AE5" s="25"/>
      <c r="AF5" s="25"/>
    </row>
    <row r="6" ht="14.25" customHeight="1">
      <c r="A6" s="382"/>
      <c r="B6" s="383"/>
      <c r="C6" s="382"/>
      <c r="D6" s="382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216"/>
      <c r="P6" s="385"/>
      <c r="S6" s="385"/>
      <c r="T6" s="385"/>
      <c r="U6" s="385"/>
      <c r="V6" s="385"/>
      <c r="W6" s="385"/>
      <c r="X6" s="385"/>
      <c r="Y6" s="385"/>
      <c r="Z6" s="385"/>
      <c r="AA6" s="385"/>
      <c r="AB6" s="385"/>
      <c r="AC6" s="385"/>
      <c r="AD6" s="385"/>
      <c r="AE6" s="385"/>
      <c r="AF6" s="385"/>
    </row>
    <row r="7" ht="14.25" customHeight="1">
      <c r="A7" s="382"/>
      <c r="B7" s="383"/>
      <c r="C7" s="382"/>
      <c r="D7" s="386"/>
      <c r="E7" s="387">
        <v>1.0</v>
      </c>
      <c r="F7" s="387">
        <v>2.0</v>
      </c>
      <c r="G7" s="387">
        <v>3.0</v>
      </c>
      <c r="H7" s="387">
        <v>4.0</v>
      </c>
      <c r="I7" s="387">
        <v>5.0</v>
      </c>
      <c r="J7" s="387">
        <v>6.0</v>
      </c>
      <c r="K7" s="387">
        <v>7.0</v>
      </c>
      <c r="L7" s="387">
        <v>8.0</v>
      </c>
      <c r="M7" s="387">
        <v>9.0</v>
      </c>
      <c r="N7" s="387">
        <v>10.0</v>
      </c>
      <c r="O7" s="267"/>
      <c r="P7" s="385" t="s">
        <v>132</v>
      </c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</row>
    <row r="8" ht="14.25" customHeight="1">
      <c r="A8" s="384"/>
      <c r="B8" s="389"/>
      <c r="C8" s="384"/>
      <c r="D8" s="387">
        <v>10.0</v>
      </c>
      <c r="E8" s="390">
        <v>1.0</v>
      </c>
      <c r="F8" s="391">
        <v>0.9633333333333334</v>
      </c>
      <c r="G8" s="391">
        <v>0.9266666666666667</v>
      </c>
      <c r="H8" s="391">
        <v>0.89</v>
      </c>
      <c r="I8" s="391">
        <v>0.865</v>
      </c>
      <c r="J8" s="391">
        <v>0.84</v>
      </c>
      <c r="K8" s="391">
        <v>0.815</v>
      </c>
      <c r="L8" s="391">
        <v>0.79</v>
      </c>
      <c r="M8" s="391">
        <v>0.765</v>
      </c>
      <c r="N8" s="391">
        <v>0.74</v>
      </c>
      <c r="O8" s="392"/>
      <c r="P8" s="401" t="s">
        <v>133</v>
      </c>
      <c r="Q8" s="401" t="s">
        <v>134</v>
      </c>
      <c r="R8" s="401" t="s">
        <v>135</v>
      </c>
      <c r="S8" s="785"/>
      <c r="T8" s="785"/>
      <c r="U8" s="785"/>
      <c r="V8" s="785"/>
      <c r="W8" s="785"/>
      <c r="X8" s="785"/>
      <c r="Y8" s="785"/>
      <c r="Z8" s="785"/>
      <c r="AA8" s="785"/>
      <c r="AB8" s="785"/>
      <c r="AC8" s="785"/>
      <c r="AD8" s="785"/>
      <c r="AE8" s="785"/>
      <c r="AF8" s="785"/>
    </row>
    <row r="9" ht="14.25" customHeight="1">
      <c r="A9" s="384"/>
      <c r="B9" s="389"/>
      <c r="C9" s="384"/>
      <c r="D9" s="387">
        <v>9.5</v>
      </c>
      <c r="E9" s="394">
        <v>0.9816666666666667</v>
      </c>
      <c r="F9" s="395">
        <v>0.9450000000000001</v>
      </c>
      <c r="G9" s="395">
        <v>0.9083333333333334</v>
      </c>
      <c r="H9" s="395">
        <v>0.8775</v>
      </c>
      <c r="I9" s="395">
        <v>0.8525</v>
      </c>
      <c r="J9" s="395">
        <v>0.8274999999999999</v>
      </c>
      <c r="K9" s="395">
        <v>0.8025</v>
      </c>
      <c r="L9" s="395">
        <v>0.7775000000000001</v>
      </c>
      <c r="M9" s="395">
        <v>0.7525</v>
      </c>
      <c r="N9" s="395">
        <v>0.73375</v>
      </c>
      <c r="O9" s="267"/>
      <c r="P9" s="786">
        <v>370.0</v>
      </c>
      <c r="Q9" s="787">
        <v>3.0</v>
      </c>
      <c r="R9" s="788">
        <v>10.0</v>
      </c>
      <c r="S9" s="293"/>
      <c r="T9" s="293"/>
      <c r="U9" s="293"/>
      <c r="V9" s="293"/>
      <c r="W9" s="293"/>
      <c r="X9" s="293"/>
      <c r="Y9" s="293"/>
      <c r="Z9" s="293"/>
      <c r="AA9" s="293"/>
      <c r="AB9" s="293"/>
      <c r="AC9" s="293"/>
      <c r="AD9" s="293"/>
      <c r="AE9" s="293"/>
      <c r="AF9" s="293"/>
    </row>
    <row r="10" ht="14.25" customHeight="1">
      <c r="A10" s="384"/>
      <c r="B10" s="389"/>
      <c r="C10" s="384"/>
      <c r="D10" s="387">
        <v>9.0</v>
      </c>
      <c r="E10" s="394">
        <v>0.9633333333333334</v>
      </c>
      <c r="F10" s="395">
        <v>0.9266666666666667</v>
      </c>
      <c r="G10" s="395">
        <v>0.89</v>
      </c>
      <c r="H10" s="395">
        <v>0.865</v>
      </c>
      <c r="I10" s="395">
        <v>0.84</v>
      </c>
      <c r="J10" s="395">
        <v>0.815</v>
      </c>
      <c r="K10" s="395">
        <v>0.79</v>
      </c>
      <c r="L10" s="395">
        <v>0.765</v>
      </c>
      <c r="M10" s="395">
        <v>0.74</v>
      </c>
      <c r="N10" s="395">
        <v>0.7275</v>
      </c>
      <c r="O10" s="267"/>
      <c r="P10" s="267"/>
      <c r="Q10" s="267"/>
      <c r="R10" s="267"/>
      <c r="S10" s="216"/>
      <c r="T10" s="216"/>
      <c r="U10" s="216"/>
      <c r="V10" s="216"/>
      <c r="W10" s="216"/>
      <c r="X10" s="216"/>
      <c r="Y10" s="216"/>
      <c r="Z10" s="216"/>
      <c r="AA10" s="216"/>
      <c r="AB10" s="216"/>
      <c r="AC10" s="216"/>
      <c r="AD10" s="216"/>
      <c r="AE10" s="216"/>
      <c r="AF10" s="216"/>
    </row>
    <row r="11" ht="14.25" customHeight="1">
      <c r="A11" s="384"/>
      <c r="B11" s="389"/>
      <c r="C11" s="384"/>
      <c r="D11" s="387">
        <v>8.5</v>
      </c>
      <c r="E11" s="399">
        <v>0.9450000000000001</v>
      </c>
      <c r="F11" s="400">
        <v>0.9083333333333334</v>
      </c>
      <c r="G11" s="400">
        <v>0.8775</v>
      </c>
      <c r="H11" s="400">
        <v>0.8525</v>
      </c>
      <c r="I11" s="400">
        <v>0.8274999999999999</v>
      </c>
      <c r="J11" s="400">
        <v>0.8025</v>
      </c>
      <c r="K11" s="400">
        <v>0.7775000000000001</v>
      </c>
      <c r="L11" s="400">
        <v>0.7525</v>
      </c>
      <c r="M11" s="400">
        <v>0.7275</v>
      </c>
      <c r="N11" s="400">
        <v>0.70875</v>
      </c>
      <c r="O11" s="267"/>
      <c r="P11" s="401" t="s">
        <v>136</v>
      </c>
      <c r="Q11" s="267"/>
      <c r="R11" s="267"/>
      <c r="S11" s="216"/>
      <c r="T11" s="216"/>
      <c r="U11" s="216"/>
      <c r="V11" s="216"/>
      <c r="W11" s="216"/>
      <c r="X11" s="216"/>
      <c r="Y11" s="216"/>
      <c r="Z11" s="216"/>
      <c r="AA11" s="216"/>
      <c r="AB11" s="216"/>
      <c r="AC11" s="216"/>
      <c r="AD11" s="216"/>
      <c r="AE11" s="216"/>
      <c r="AF11" s="216"/>
    </row>
    <row r="12" ht="14.25" customHeight="1">
      <c r="A12" s="384"/>
      <c r="B12" s="389"/>
      <c r="C12" s="384"/>
      <c r="D12" s="387">
        <v>8.0</v>
      </c>
      <c r="E12" s="399">
        <v>0.9266666666666667</v>
      </c>
      <c r="F12" s="400">
        <v>0.89</v>
      </c>
      <c r="G12" s="400">
        <v>0.865</v>
      </c>
      <c r="H12" s="400">
        <v>0.84</v>
      </c>
      <c r="I12" s="400">
        <v>0.815</v>
      </c>
      <c r="J12" s="400">
        <v>0.79</v>
      </c>
      <c r="K12" s="400">
        <v>0.765</v>
      </c>
      <c r="L12" s="400">
        <v>0.74</v>
      </c>
      <c r="M12" s="400">
        <v>0.715</v>
      </c>
      <c r="N12" s="400">
        <v>0.69</v>
      </c>
      <c r="O12" s="267"/>
      <c r="P12" s="402">
        <f>MROUND(P9/VLOOKUP(R9,D8:N17,Q9+1,FALSE),2.5)</f>
        <v>400</v>
      </c>
      <c r="Q12" s="267"/>
      <c r="R12" s="267"/>
      <c r="S12" s="216"/>
      <c r="T12" s="216"/>
      <c r="U12" s="216"/>
      <c r="V12" s="216"/>
      <c r="W12" s="216"/>
      <c r="X12" s="216"/>
      <c r="Y12" s="216"/>
      <c r="Z12" s="216"/>
      <c r="AA12" s="216"/>
      <c r="AB12" s="216"/>
      <c r="AC12" s="216"/>
      <c r="AD12" s="216"/>
      <c r="AE12" s="216"/>
      <c r="AF12" s="216"/>
    </row>
    <row r="13" ht="14.25" customHeight="1">
      <c r="A13" s="384"/>
      <c r="B13" s="389"/>
      <c r="C13" s="384"/>
      <c r="D13" s="387">
        <v>7.5</v>
      </c>
      <c r="E13" s="403">
        <v>0.9083333333333334</v>
      </c>
      <c r="F13" s="404">
        <v>0.8775</v>
      </c>
      <c r="G13" s="404">
        <v>0.8525</v>
      </c>
      <c r="H13" s="404">
        <v>0.8274999999999999</v>
      </c>
      <c r="I13" s="404">
        <v>0.8025</v>
      </c>
      <c r="J13" s="404">
        <v>0.7775000000000001</v>
      </c>
      <c r="K13" s="404">
        <v>0.7525</v>
      </c>
      <c r="L13" s="404">
        <v>0.7275</v>
      </c>
      <c r="M13" s="404">
        <v>0.7024999999999999</v>
      </c>
      <c r="N13" s="404">
        <v>0.6775</v>
      </c>
      <c r="O13" s="267"/>
      <c r="P13" s="267"/>
      <c r="Q13" s="267"/>
      <c r="R13" s="267"/>
      <c r="S13" s="216"/>
      <c r="T13" s="216"/>
      <c r="U13" s="216"/>
      <c r="V13" s="216"/>
      <c r="W13" s="216"/>
      <c r="X13" s="216"/>
      <c r="Y13" s="216"/>
      <c r="Z13" s="216"/>
      <c r="AA13" s="216"/>
      <c r="AB13" s="216"/>
      <c r="AC13" s="216"/>
      <c r="AD13" s="216"/>
      <c r="AE13" s="216"/>
      <c r="AF13" s="216"/>
    </row>
    <row r="14" ht="14.25" customHeight="1">
      <c r="A14" s="384"/>
      <c r="B14" s="389"/>
      <c r="C14" s="384"/>
      <c r="D14" s="387">
        <v>7.0</v>
      </c>
      <c r="E14" s="403">
        <v>0.89</v>
      </c>
      <c r="F14" s="404">
        <v>0.865</v>
      </c>
      <c r="G14" s="404">
        <v>0.84</v>
      </c>
      <c r="H14" s="404">
        <v>0.815</v>
      </c>
      <c r="I14" s="404">
        <v>0.79</v>
      </c>
      <c r="J14" s="404">
        <v>0.765</v>
      </c>
      <c r="K14" s="404">
        <v>0.74</v>
      </c>
      <c r="L14" s="404">
        <v>0.715</v>
      </c>
      <c r="M14" s="404">
        <v>0.69</v>
      </c>
      <c r="N14" s="404">
        <v>0.6649999999999999</v>
      </c>
      <c r="O14" s="267"/>
      <c r="P14" s="267"/>
      <c r="Q14" s="267"/>
      <c r="R14" s="267"/>
      <c r="S14" s="216"/>
      <c r="T14" s="216"/>
      <c r="U14" s="216"/>
      <c r="V14" s="216"/>
      <c r="W14" s="216"/>
      <c r="X14" s="216"/>
      <c r="Y14" s="216"/>
      <c r="Z14" s="216"/>
      <c r="AA14" s="216"/>
      <c r="AB14" s="216"/>
      <c r="AC14" s="216"/>
      <c r="AD14" s="216"/>
      <c r="AE14" s="216"/>
      <c r="AF14" s="216"/>
    </row>
    <row r="15" ht="14.25" customHeight="1">
      <c r="A15" s="384"/>
      <c r="B15" s="389"/>
      <c r="C15" s="384"/>
      <c r="D15" s="387">
        <v>6.5</v>
      </c>
      <c r="E15" s="405">
        <v>0.8775</v>
      </c>
      <c r="F15" s="406">
        <v>0.8525</v>
      </c>
      <c r="G15" s="406">
        <v>0.8274999999999999</v>
      </c>
      <c r="H15" s="406">
        <v>0.8025</v>
      </c>
      <c r="I15" s="406">
        <v>0.7775000000000001</v>
      </c>
      <c r="J15" s="406">
        <v>0.7525</v>
      </c>
      <c r="K15" s="406">
        <v>0.7275</v>
      </c>
      <c r="L15" s="406">
        <v>0.7024999999999999</v>
      </c>
      <c r="M15" s="406">
        <v>0.6775</v>
      </c>
      <c r="N15" s="406">
        <v>0.6524999999999999</v>
      </c>
      <c r="O15" s="267"/>
      <c r="P15" s="267"/>
      <c r="Q15" s="267"/>
      <c r="R15" s="267"/>
      <c r="S15" s="216"/>
      <c r="T15" s="216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</row>
    <row r="16" ht="14.25" customHeight="1">
      <c r="A16" s="384"/>
      <c r="B16" s="389"/>
      <c r="C16" s="384"/>
      <c r="D16" s="407">
        <v>6.0</v>
      </c>
      <c r="E16" s="408">
        <v>0.865</v>
      </c>
      <c r="F16" s="406">
        <v>0.84</v>
      </c>
      <c r="G16" s="406">
        <v>0.815</v>
      </c>
      <c r="H16" s="406">
        <v>0.79</v>
      </c>
      <c r="I16" s="406">
        <v>0.765</v>
      </c>
      <c r="J16" s="406">
        <v>0.74</v>
      </c>
      <c r="K16" s="406">
        <v>0.715</v>
      </c>
      <c r="L16" s="406">
        <v>0.69</v>
      </c>
      <c r="M16" s="406">
        <v>0.6649999999999999</v>
      </c>
      <c r="N16" s="406">
        <v>0.6399999999999999</v>
      </c>
      <c r="O16" s="267"/>
      <c r="P16" s="267"/>
      <c r="Q16" s="267"/>
      <c r="R16" s="267"/>
      <c r="S16" s="216"/>
      <c r="T16" s="216"/>
      <c r="U16" s="216"/>
      <c r="V16" s="216"/>
      <c r="W16" s="216"/>
      <c r="X16" s="216"/>
      <c r="Y16" s="216"/>
      <c r="Z16" s="216"/>
      <c r="AA16" s="216"/>
      <c r="AB16" s="216"/>
      <c r="AC16" s="216"/>
      <c r="AD16" s="216"/>
      <c r="AE16" s="216"/>
      <c r="AF16" s="216"/>
    </row>
    <row r="17" ht="14.25" customHeight="1">
      <c r="A17" s="384"/>
      <c r="B17" s="389"/>
      <c r="C17" s="384"/>
      <c r="D17" s="407">
        <v>5.5</v>
      </c>
      <c r="E17" s="409">
        <v>0.85</v>
      </c>
      <c r="F17" s="410">
        <f t="shared" ref="F17:N17" si="1">F16-0.02</f>
        <v>0.82</v>
      </c>
      <c r="G17" s="410">
        <f t="shared" si="1"/>
        <v>0.795</v>
      </c>
      <c r="H17" s="410">
        <f t="shared" si="1"/>
        <v>0.77</v>
      </c>
      <c r="I17" s="410">
        <f t="shared" si="1"/>
        <v>0.745</v>
      </c>
      <c r="J17" s="410">
        <f t="shared" si="1"/>
        <v>0.72</v>
      </c>
      <c r="K17" s="410">
        <f t="shared" si="1"/>
        <v>0.695</v>
      </c>
      <c r="L17" s="410">
        <f t="shared" si="1"/>
        <v>0.67</v>
      </c>
      <c r="M17" s="410">
        <f t="shared" si="1"/>
        <v>0.645</v>
      </c>
      <c r="N17" s="410">
        <f t="shared" si="1"/>
        <v>0.62</v>
      </c>
      <c r="O17" s="267"/>
      <c r="P17" s="267"/>
      <c r="Q17" s="267"/>
      <c r="R17" s="267"/>
      <c r="S17" s="216"/>
      <c r="T17" s="216"/>
      <c r="U17" s="216"/>
      <c r="V17" s="216"/>
      <c r="W17" s="216"/>
      <c r="X17" s="216"/>
      <c r="Y17" s="216"/>
      <c r="Z17" s="216"/>
      <c r="AA17" s="216"/>
      <c r="AB17" s="216"/>
      <c r="AC17" s="216"/>
      <c r="AD17" s="216"/>
      <c r="AE17" s="216"/>
      <c r="AF17" s="216"/>
    </row>
    <row r="18" ht="14.25" customHeight="1">
      <c r="A18" s="384"/>
      <c r="B18" s="389"/>
      <c r="C18" s="384"/>
      <c r="D18" s="407">
        <v>5.0</v>
      </c>
      <c r="E18" s="409">
        <v>0.83</v>
      </c>
      <c r="F18" s="410">
        <f t="shared" ref="F18:N18" si="2">F17-0.02</f>
        <v>0.8</v>
      </c>
      <c r="G18" s="410">
        <f t="shared" si="2"/>
        <v>0.775</v>
      </c>
      <c r="H18" s="410">
        <f t="shared" si="2"/>
        <v>0.75</v>
      </c>
      <c r="I18" s="410">
        <f t="shared" si="2"/>
        <v>0.725</v>
      </c>
      <c r="J18" s="410">
        <f t="shared" si="2"/>
        <v>0.7</v>
      </c>
      <c r="K18" s="410">
        <f t="shared" si="2"/>
        <v>0.675</v>
      </c>
      <c r="L18" s="410">
        <f t="shared" si="2"/>
        <v>0.65</v>
      </c>
      <c r="M18" s="410">
        <f t="shared" si="2"/>
        <v>0.625</v>
      </c>
      <c r="N18" s="410">
        <f t="shared" si="2"/>
        <v>0.6</v>
      </c>
      <c r="O18" s="267"/>
      <c r="P18" s="267"/>
      <c r="Q18" s="267"/>
      <c r="R18" s="267"/>
      <c r="S18" s="216"/>
      <c r="T18" s="216"/>
      <c r="U18" s="216"/>
      <c r="V18" s="216"/>
      <c r="W18" s="216"/>
      <c r="X18" s="216"/>
      <c r="Y18" s="216"/>
      <c r="Z18" s="216"/>
      <c r="AA18" s="216"/>
      <c r="AB18" s="216"/>
      <c r="AC18" s="216"/>
      <c r="AD18" s="216"/>
      <c r="AE18" s="216"/>
      <c r="AF18" s="216"/>
    </row>
    <row r="19" ht="14.25" customHeight="1">
      <c r="A19" s="216"/>
      <c r="B19" s="216"/>
      <c r="C19" s="216"/>
      <c r="D19" s="267"/>
      <c r="E19" s="267"/>
      <c r="F19" s="267"/>
      <c r="G19" s="267"/>
      <c r="H19" s="267"/>
      <c r="I19" s="267"/>
      <c r="J19" s="267"/>
      <c r="K19" s="267"/>
      <c r="L19" s="267"/>
      <c r="M19" s="267"/>
      <c r="N19" s="267"/>
      <c r="O19" s="267"/>
      <c r="P19" s="267"/>
      <c r="Q19" s="267"/>
      <c r="R19" s="267"/>
      <c r="S19" s="216"/>
      <c r="T19" s="216"/>
      <c r="U19" s="216"/>
      <c r="V19" s="216"/>
      <c r="W19" s="216"/>
      <c r="X19" s="216"/>
      <c r="Y19" s="216"/>
      <c r="Z19" s="216"/>
      <c r="AA19" s="216"/>
      <c r="AB19" s="216"/>
      <c r="AC19" s="216"/>
      <c r="AD19" s="216"/>
      <c r="AE19" s="216"/>
      <c r="AF19" s="216"/>
    </row>
    <row r="20" ht="14.25" customHeight="1">
      <c r="A20" s="216"/>
      <c r="B20" s="216"/>
      <c r="C20" s="216"/>
      <c r="D20" s="267"/>
      <c r="E20" s="267"/>
      <c r="F20" s="267"/>
      <c r="G20" s="267"/>
      <c r="H20" s="267"/>
      <c r="I20" s="411"/>
      <c r="J20" s="267"/>
      <c r="K20" s="267"/>
      <c r="L20" s="267"/>
      <c r="M20" s="267"/>
      <c r="N20" s="267"/>
      <c r="O20" s="267"/>
      <c r="P20" s="267"/>
      <c r="Q20" s="267"/>
      <c r="R20" s="267"/>
      <c r="S20" s="216"/>
      <c r="T20" s="216"/>
      <c r="U20" s="216"/>
      <c r="V20" s="216"/>
      <c r="W20" s="216"/>
      <c r="X20" s="216"/>
      <c r="Y20" s="216"/>
      <c r="Z20" s="216"/>
      <c r="AA20" s="216"/>
      <c r="AB20" s="216"/>
      <c r="AC20" s="216"/>
      <c r="AD20" s="216"/>
      <c r="AE20" s="216"/>
      <c r="AF20" s="216"/>
    </row>
    <row r="21" ht="14.25" customHeight="1">
      <c r="A21" s="216"/>
      <c r="B21" s="216"/>
      <c r="C21" s="216"/>
      <c r="D21" s="267"/>
      <c r="E21" s="267"/>
      <c r="F21" s="267"/>
      <c r="G21" s="267"/>
      <c r="H21" s="267"/>
      <c r="I21" s="267"/>
      <c r="J21" s="267"/>
      <c r="K21" s="267"/>
      <c r="L21" s="267"/>
      <c r="M21" s="267"/>
      <c r="N21" s="267"/>
      <c r="O21" s="267"/>
      <c r="P21" s="267"/>
      <c r="Q21" s="267"/>
      <c r="R21" s="267"/>
      <c r="S21" s="216"/>
      <c r="T21" s="216"/>
      <c r="U21" s="216"/>
      <c r="V21" s="216"/>
      <c r="W21" s="216"/>
      <c r="X21" s="216"/>
      <c r="Y21" s="216"/>
      <c r="Z21" s="216"/>
      <c r="AA21" s="216"/>
      <c r="AB21" s="216"/>
      <c r="AC21" s="216"/>
      <c r="AD21" s="216"/>
      <c r="AE21" s="216"/>
      <c r="AF21" s="216"/>
    </row>
    <row r="22" ht="14.25" customHeight="1">
      <c r="A22" s="216"/>
      <c r="B22" s="216"/>
      <c r="C22" s="216"/>
      <c r="D22" s="267"/>
      <c r="E22" s="267"/>
      <c r="F22" s="267"/>
      <c r="G22" s="267"/>
      <c r="H22" s="267"/>
      <c r="I22" s="267"/>
      <c r="J22" s="267"/>
      <c r="K22" s="267"/>
      <c r="L22" s="267"/>
      <c r="M22" s="267"/>
      <c r="N22" s="267"/>
      <c r="O22" s="267"/>
      <c r="P22" s="267"/>
      <c r="Q22" s="267"/>
      <c r="R22" s="267"/>
      <c r="S22" s="216"/>
      <c r="T22" s="216"/>
      <c r="U22" s="216"/>
      <c r="V22" s="216"/>
      <c r="W22" s="216"/>
      <c r="X22" s="216"/>
      <c r="Y22" s="216"/>
      <c r="Z22" s="216"/>
      <c r="AA22" s="216"/>
      <c r="AB22" s="216"/>
      <c r="AC22" s="216"/>
      <c r="AD22" s="216"/>
      <c r="AE22" s="216"/>
      <c r="AF22" s="216"/>
    </row>
    <row r="23" ht="14.25" customHeight="1">
      <c r="A23" s="216"/>
      <c r="B23" s="216"/>
      <c r="C23" s="216"/>
      <c r="D23" s="267"/>
      <c r="E23" s="267"/>
      <c r="F23" s="267"/>
      <c r="G23" s="267"/>
      <c r="H23" s="267"/>
      <c r="I23" s="267"/>
      <c r="J23" s="267"/>
      <c r="K23" s="267"/>
      <c r="L23" s="267"/>
      <c r="M23" s="267"/>
      <c r="N23" s="267"/>
      <c r="O23" s="267"/>
      <c r="P23" s="267"/>
      <c r="Q23" s="267"/>
      <c r="R23" s="267"/>
      <c r="S23" s="216"/>
      <c r="T23" s="216"/>
      <c r="U23" s="216"/>
      <c r="V23" s="216"/>
      <c r="W23" s="216"/>
      <c r="X23" s="216"/>
      <c r="Y23" s="216"/>
      <c r="Z23" s="216"/>
      <c r="AA23" s="216"/>
      <c r="AB23" s="216"/>
      <c r="AC23" s="216"/>
      <c r="AD23" s="216"/>
      <c r="AE23" s="216"/>
      <c r="AF23" s="216"/>
    </row>
    <row r="24" ht="14.25" customHeight="1">
      <c r="A24" s="216"/>
      <c r="B24" s="216"/>
      <c r="C24" s="216"/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267"/>
      <c r="S24" s="216"/>
      <c r="T24" s="216"/>
      <c r="U24" s="216"/>
      <c r="V24" s="216"/>
      <c r="W24" s="216"/>
      <c r="X24" s="216"/>
      <c r="Y24" s="216"/>
      <c r="Z24" s="216"/>
      <c r="AA24" s="216"/>
      <c r="AB24" s="216"/>
      <c r="AC24" s="216"/>
      <c r="AD24" s="216"/>
      <c r="AE24" s="216"/>
      <c r="AF24" s="216"/>
    </row>
    <row r="25" ht="14.25" customHeight="1">
      <c r="A25" s="216"/>
      <c r="B25" s="216"/>
      <c r="C25" s="216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7"/>
      <c r="S25" s="216"/>
      <c r="T25" s="216"/>
      <c r="U25" s="216"/>
      <c r="V25" s="216"/>
      <c r="W25" s="216"/>
      <c r="X25" s="216"/>
      <c r="Y25" s="216"/>
      <c r="Z25" s="216"/>
      <c r="AA25" s="216"/>
      <c r="AB25" s="216"/>
      <c r="AC25" s="216"/>
      <c r="AD25" s="216"/>
      <c r="AE25" s="216"/>
      <c r="AF25" s="216"/>
    </row>
    <row r="26" ht="14.25" customHeight="1">
      <c r="A26" s="216"/>
      <c r="B26" s="216"/>
      <c r="C26" s="216"/>
      <c r="D26" s="267"/>
      <c r="E26" s="267"/>
      <c r="F26" s="267"/>
      <c r="G26" s="267"/>
      <c r="H26" s="267"/>
      <c r="I26" s="267"/>
      <c r="J26" s="267"/>
      <c r="K26" s="267"/>
      <c r="L26" s="267"/>
      <c r="M26" s="267"/>
      <c r="N26" s="267"/>
      <c r="O26" s="267"/>
      <c r="P26" s="267"/>
      <c r="Q26" s="267"/>
      <c r="R26" s="267"/>
      <c r="S26" s="216"/>
      <c r="T26" s="216"/>
      <c r="U26" s="216"/>
      <c r="V26" s="216"/>
      <c r="W26" s="216"/>
      <c r="X26" s="216"/>
      <c r="Y26" s="216"/>
      <c r="Z26" s="216"/>
      <c r="AA26" s="216"/>
      <c r="AB26" s="216"/>
      <c r="AC26" s="216"/>
      <c r="AD26" s="216"/>
      <c r="AE26" s="216"/>
      <c r="AF26" s="216"/>
    </row>
    <row r="27" ht="14.25" customHeight="1">
      <c r="A27" s="216"/>
      <c r="B27" s="216"/>
      <c r="C27" s="216"/>
      <c r="D27" s="267"/>
      <c r="E27" s="267"/>
      <c r="F27" s="267"/>
      <c r="G27" s="267"/>
      <c r="H27" s="267"/>
      <c r="I27" s="267"/>
      <c r="J27" s="267"/>
      <c r="K27" s="267"/>
      <c r="L27" s="267"/>
      <c r="M27" s="267"/>
      <c r="N27" s="267"/>
      <c r="O27" s="267"/>
      <c r="P27" s="267"/>
      <c r="Q27" s="267"/>
      <c r="R27" s="267"/>
      <c r="S27" s="216"/>
      <c r="T27" s="216"/>
      <c r="U27" s="216"/>
      <c r="V27" s="216"/>
      <c r="W27" s="216"/>
      <c r="X27" s="216"/>
      <c r="Y27" s="216"/>
      <c r="Z27" s="216"/>
      <c r="AA27" s="216"/>
      <c r="AB27" s="216"/>
      <c r="AC27" s="216"/>
      <c r="AD27" s="216"/>
      <c r="AE27" s="216"/>
      <c r="AF27" s="216"/>
    </row>
    <row r="28" ht="14.25" customHeight="1">
      <c r="A28" s="216"/>
      <c r="B28" s="216"/>
      <c r="C28" s="216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16"/>
      <c r="T28" s="216"/>
      <c r="U28" s="216"/>
      <c r="V28" s="216"/>
      <c r="W28" s="216"/>
      <c r="X28" s="216"/>
      <c r="Y28" s="216"/>
      <c r="Z28" s="216"/>
      <c r="AA28" s="216"/>
      <c r="AB28" s="216"/>
      <c r="AC28" s="216"/>
      <c r="AD28" s="216"/>
      <c r="AE28" s="216"/>
      <c r="AF28" s="216"/>
    </row>
    <row r="29" ht="14.25" customHeight="1">
      <c r="A29" s="216"/>
      <c r="B29" s="216"/>
      <c r="C29" s="216"/>
      <c r="D29" s="267"/>
      <c r="E29" s="267"/>
      <c r="F29" s="267"/>
      <c r="G29" s="267"/>
      <c r="H29" s="267"/>
      <c r="I29" s="267"/>
      <c r="J29" s="267"/>
      <c r="K29" s="267"/>
      <c r="L29" s="267"/>
      <c r="M29" s="267"/>
      <c r="N29" s="267"/>
      <c r="O29" s="267"/>
      <c r="P29" s="267"/>
      <c r="Q29" s="267"/>
      <c r="R29" s="267"/>
      <c r="S29" s="216"/>
      <c r="T29" s="216"/>
      <c r="U29" s="216"/>
      <c r="V29" s="216"/>
      <c r="W29" s="216"/>
      <c r="X29" s="216"/>
      <c r="Y29" s="216"/>
      <c r="Z29" s="216"/>
      <c r="AA29" s="216"/>
      <c r="AB29" s="216"/>
      <c r="AC29" s="216"/>
      <c r="AD29" s="216"/>
      <c r="AE29" s="216"/>
      <c r="AF29" s="216"/>
    </row>
    <row r="30" ht="14.25" customHeight="1">
      <c r="A30" s="216"/>
      <c r="B30" s="216"/>
      <c r="C30" s="216"/>
      <c r="D30" s="267"/>
      <c r="E30" s="267"/>
      <c r="F30" s="267"/>
      <c r="G30" s="267"/>
      <c r="H30" s="267"/>
      <c r="I30" s="267"/>
      <c r="J30" s="267"/>
      <c r="K30" s="267"/>
      <c r="L30" s="267"/>
      <c r="M30" s="267"/>
      <c r="N30" s="267"/>
      <c r="O30" s="267"/>
      <c r="P30" s="267"/>
      <c r="Q30" s="267"/>
      <c r="R30" s="267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</row>
    <row r="31" ht="14.25" customHeight="1">
      <c r="A31" s="216"/>
      <c r="B31" s="216"/>
      <c r="C31" s="216"/>
      <c r="D31" s="267"/>
      <c r="E31" s="267"/>
      <c r="F31" s="267"/>
      <c r="G31" s="267"/>
      <c r="H31" s="267"/>
      <c r="I31" s="267"/>
      <c r="J31" s="267"/>
      <c r="K31" s="267"/>
      <c r="L31" s="267"/>
      <c r="M31" s="267"/>
      <c r="N31" s="267"/>
      <c r="O31" s="267"/>
      <c r="P31" s="267"/>
      <c r="Q31" s="267"/>
      <c r="R31" s="267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</row>
    <row r="32" ht="14.25" customHeight="1">
      <c r="A32" s="216"/>
      <c r="B32" s="216"/>
      <c r="C32" s="216"/>
      <c r="D32" s="267"/>
      <c r="E32" s="267"/>
      <c r="F32" s="267"/>
      <c r="G32" s="267"/>
      <c r="H32" s="267"/>
      <c r="I32" s="267"/>
      <c r="J32" s="267"/>
      <c r="K32" s="267"/>
      <c r="L32" s="267"/>
      <c r="M32" s="267"/>
      <c r="N32" s="267"/>
      <c r="O32" s="267"/>
      <c r="P32" s="267"/>
      <c r="Q32" s="267"/>
      <c r="R32" s="267"/>
      <c r="S32" s="216"/>
      <c r="T32" s="216"/>
      <c r="U32" s="216"/>
      <c r="V32" s="216"/>
      <c r="W32" s="216"/>
      <c r="X32" s="216"/>
      <c r="Y32" s="216"/>
      <c r="Z32" s="216"/>
      <c r="AA32" s="216"/>
      <c r="AB32" s="216"/>
      <c r="AC32" s="216"/>
      <c r="AD32" s="216"/>
      <c r="AE32" s="216"/>
      <c r="AF32" s="216"/>
    </row>
    <row r="33" ht="14.25" customHeight="1">
      <c r="A33" s="216"/>
      <c r="B33" s="216"/>
      <c r="C33" s="216"/>
      <c r="D33" s="267"/>
      <c r="E33" s="267"/>
      <c r="F33" s="267"/>
      <c r="G33" s="267"/>
      <c r="H33" s="267"/>
      <c r="I33" s="267"/>
      <c r="J33" s="267"/>
      <c r="K33" s="267"/>
      <c r="L33" s="267"/>
      <c r="M33" s="267"/>
      <c r="N33" s="267"/>
      <c r="O33" s="267"/>
      <c r="P33" s="267"/>
      <c r="Q33" s="267"/>
      <c r="R33" s="267"/>
      <c r="S33" s="216"/>
      <c r="T33" s="216"/>
      <c r="U33" s="216"/>
      <c r="V33" s="216"/>
      <c r="W33" s="216"/>
      <c r="X33" s="216"/>
      <c r="Y33" s="216"/>
      <c r="Z33" s="216"/>
      <c r="AA33" s="216"/>
      <c r="AB33" s="216"/>
      <c r="AC33" s="216"/>
      <c r="AD33" s="216"/>
      <c r="AE33" s="216"/>
      <c r="AF33" s="216"/>
    </row>
    <row r="34" ht="14.25" customHeight="1">
      <c r="A34" s="216"/>
      <c r="B34" s="216"/>
      <c r="C34" s="21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6"/>
      <c r="AE34" s="216"/>
      <c r="AF34" s="216"/>
    </row>
    <row r="35" ht="14.25" customHeight="1">
      <c r="A35" s="216"/>
      <c r="B35" s="216"/>
      <c r="C35" s="216"/>
      <c r="D35" s="267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16"/>
      <c r="T35" s="216"/>
      <c r="U35" s="216"/>
      <c r="V35" s="216"/>
      <c r="W35" s="216"/>
      <c r="X35" s="216"/>
      <c r="Y35" s="216"/>
      <c r="Z35" s="216"/>
      <c r="AA35" s="216"/>
      <c r="AB35" s="216"/>
      <c r="AC35" s="216"/>
      <c r="AD35" s="216"/>
      <c r="AE35" s="216"/>
      <c r="AF35" s="216"/>
    </row>
    <row r="36" ht="14.25" customHeight="1">
      <c r="A36" s="216"/>
      <c r="B36" s="216"/>
      <c r="C36" s="216"/>
      <c r="D36" s="267"/>
      <c r="E36" s="267"/>
      <c r="F36" s="267"/>
      <c r="G36" s="267"/>
      <c r="H36" s="267"/>
      <c r="I36" s="267"/>
      <c r="J36" s="267"/>
      <c r="K36" s="267"/>
      <c r="L36" s="267"/>
      <c r="M36" s="267"/>
      <c r="N36" s="267"/>
      <c r="O36" s="267"/>
      <c r="P36" s="267"/>
      <c r="Q36" s="267"/>
      <c r="R36" s="267"/>
      <c r="S36" s="216"/>
      <c r="T36" s="216"/>
      <c r="U36" s="216"/>
      <c r="V36" s="216"/>
      <c r="W36" s="216"/>
      <c r="X36" s="216"/>
      <c r="Y36" s="216"/>
      <c r="Z36" s="216"/>
      <c r="AA36" s="216"/>
      <c r="AB36" s="216"/>
      <c r="AC36" s="216"/>
      <c r="AD36" s="216"/>
      <c r="AE36" s="216"/>
      <c r="AF36" s="216"/>
    </row>
    <row r="37" ht="14.25" customHeight="1">
      <c r="A37" s="216"/>
      <c r="B37" s="216"/>
      <c r="C37" s="216"/>
      <c r="D37" s="267"/>
      <c r="E37" s="267"/>
      <c r="F37" s="267"/>
      <c r="G37" s="267"/>
      <c r="H37" s="267"/>
      <c r="I37" s="267"/>
      <c r="J37" s="267"/>
      <c r="K37" s="267"/>
      <c r="L37" s="267"/>
      <c r="M37" s="267"/>
      <c r="N37" s="267"/>
      <c r="O37" s="267"/>
      <c r="P37" s="267"/>
      <c r="Q37" s="267"/>
      <c r="R37" s="267"/>
      <c r="S37" s="216"/>
      <c r="T37" s="216"/>
      <c r="U37" s="216"/>
      <c r="V37" s="216"/>
      <c r="W37" s="216"/>
      <c r="X37" s="216"/>
      <c r="Y37" s="216"/>
      <c r="Z37" s="216"/>
      <c r="AA37" s="216"/>
      <c r="AB37" s="216"/>
      <c r="AC37" s="216"/>
      <c r="AD37" s="216"/>
      <c r="AE37" s="216"/>
      <c r="AF37" s="216"/>
    </row>
    <row r="38" ht="14.25" customHeight="1">
      <c r="A38" s="216"/>
      <c r="B38" s="216"/>
      <c r="C38" s="216"/>
      <c r="D38" s="267"/>
      <c r="E38" s="267"/>
      <c r="F38" s="267"/>
      <c r="G38" s="267"/>
      <c r="H38" s="267"/>
      <c r="I38" s="267"/>
      <c r="J38" s="267"/>
      <c r="K38" s="267"/>
      <c r="L38" s="267"/>
      <c r="M38" s="267"/>
      <c r="N38" s="267"/>
      <c r="O38" s="267"/>
      <c r="P38" s="267"/>
      <c r="Q38" s="267"/>
      <c r="R38" s="267"/>
      <c r="S38" s="216"/>
      <c r="T38" s="216"/>
      <c r="U38" s="216"/>
      <c r="V38" s="216"/>
      <c r="W38" s="216"/>
      <c r="X38" s="216"/>
      <c r="Y38" s="216"/>
      <c r="Z38" s="216"/>
      <c r="AA38" s="216"/>
      <c r="AB38" s="216"/>
      <c r="AC38" s="216"/>
      <c r="AD38" s="216"/>
      <c r="AE38" s="216"/>
      <c r="AF38" s="216"/>
    </row>
    <row r="39" ht="14.25" customHeight="1">
      <c r="A39" s="216"/>
      <c r="B39" s="216"/>
      <c r="C39" s="216"/>
      <c r="D39" s="267"/>
      <c r="E39" s="267"/>
      <c r="F39" s="267"/>
      <c r="G39" s="267"/>
      <c r="H39" s="267"/>
      <c r="I39" s="267"/>
      <c r="J39" s="267"/>
      <c r="K39" s="267"/>
      <c r="L39" s="267"/>
      <c r="M39" s="267"/>
      <c r="N39" s="267"/>
      <c r="O39" s="267"/>
      <c r="P39" s="267"/>
      <c r="Q39" s="267"/>
      <c r="R39" s="267"/>
      <c r="S39" s="216"/>
      <c r="T39" s="216"/>
      <c r="U39" s="216"/>
      <c r="V39" s="216"/>
      <c r="W39" s="216"/>
      <c r="X39" s="216"/>
      <c r="Y39" s="216"/>
      <c r="Z39" s="216"/>
      <c r="AA39" s="216"/>
      <c r="AB39" s="216"/>
      <c r="AC39" s="216"/>
      <c r="AD39" s="216"/>
      <c r="AE39" s="216"/>
      <c r="AF39" s="216"/>
    </row>
    <row r="40" ht="14.25" customHeight="1">
      <c r="A40" s="216"/>
      <c r="B40" s="216"/>
      <c r="C40" s="216"/>
      <c r="D40" s="267"/>
      <c r="E40" s="267"/>
      <c r="F40" s="267"/>
      <c r="G40" s="267"/>
      <c r="H40" s="267"/>
      <c r="I40" s="267"/>
      <c r="J40" s="267"/>
      <c r="K40" s="267"/>
      <c r="L40" s="267"/>
      <c r="M40" s="267"/>
      <c r="N40" s="267"/>
      <c r="O40" s="267"/>
      <c r="P40" s="267"/>
      <c r="Q40" s="267"/>
      <c r="R40" s="267"/>
      <c r="S40" s="216"/>
      <c r="T40" s="216"/>
      <c r="U40" s="216"/>
      <c r="V40" s="216"/>
      <c r="W40" s="216"/>
      <c r="X40" s="216"/>
      <c r="Y40" s="216"/>
      <c r="Z40" s="216"/>
      <c r="AA40" s="216"/>
      <c r="AB40" s="216"/>
      <c r="AC40" s="216"/>
      <c r="AD40" s="216"/>
      <c r="AE40" s="216"/>
      <c r="AF40" s="216"/>
    </row>
    <row r="41" ht="14.25" customHeight="1">
      <c r="A41" s="216"/>
      <c r="B41" s="216"/>
      <c r="C41" s="216"/>
      <c r="D41" s="267"/>
      <c r="E41" s="267"/>
      <c r="F41" s="267"/>
      <c r="G41" s="267"/>
      <c r="H41" s="267"/>
      <c r="I41" s="267"/>
      <c r="J41" s="267"/>
      <c r="K41" s="267"/>
      <c r="L41" s="267"/>
      <c r="M41" s="267"/>
      <c r="N41" s="267"/>
      <c r="O41" s="267"/>
      <c r="P41" s="267"/>
      <c r="Q41" s="267"/>
      <c r="R41" s="267"/>
      <c r="S41" s="216"/>
      <c r="T41" s="216"/>
      <c r="U41" s="216"/>
      <c r="V41" s="216"/>
      <c r="W41" s="216"/>
      <c r="X41" s="216"/>
      <c r="Y41" s="216"/>
      <c r="Z41" s="216"/>
      <c r="AA41" s="216"/>
      <c r="AB41" s="216"/>
      <c r="AC41" s="216"/>
      <c r="AD41" s="216"/>
      <c r="AE41" s="216"/>
      <c r="AF41" s="216"/>
    </row>
    <row r="42" ht="14.25" customHeight="1">
      <c r="A42" s="216"/>
      <c r="B42" s="216"/>
      <c r="C42" s="216"/>
      <c r="D42" s="267"/>
      <c r="E42" s="267"/>
      <c r="F42" s="267"/>
      <c r="G42" s="267"/>
      <c r="H42" s="267"/>
      <c r="I42" s="267"/>
      <c r="J42" s="267"/>
      <c r="K42" s="267"/>
      <c r="L42" s="267"/>
      <c r="M42" s="267"/>
      <c r="N42" s="267"/>
      <c r="O42" s="267"/>
      <c r="P42" s="267"/>
      <c r="Q42" s="267"/>
      <c r="R42" s="267"/>
      <c r="S42" s="216"/>
      <c r="T42" s="216"/>
      <c r="U42" s="216"/>
      <c r="V42" s="216"/>
      <c r="W42" s="216"/>
      <c r="X42" s="216"/>
      <c r="Y42" s="216"/>
      <c r="Z42" s="216"/>
      <c r="AA42" s="216"/>
      <c r="AB42" s="216"/>
      <c r="AC42" s="216"/>
      <c r="AD42" s="216"/>
      <c r="AE42" s="216"/>
      <c r="AF42" s="216"/>
    </row>
    <row r="43" ht="14.25" customHeight="1">
      <c r="A43" s="216"/>
      <c r="B43" s="216"/>
      <c r="C43" s="216"/>
      <c r="D43" s="267"/>
      <c r="E43" s="267"/>
      <c r="F43" s="267"/>
      <c r="G43" s="267"/>
      <c r="H43" s="267"/>
      <c r="I43" s="267"/>
      <c r="J43" s="267"/>
      <c r="K43" s="267"/>
      <c r="L43" s="267"/>
      <c r="M43" s="267"/>
      <c r="N43" s="267"/>
      <c r="O43" s="267"/>
      <c r="P43" s="267"/>
      <c r="Q43" s="267"/>
      <c r="R43" s="267"/>
      <c r="S43" s="216"/>
      <c r="T43" s="216"/>
      <c r="U43" s="216"/>
      <c r="V43" s="216"/>
      <c r="W43" s="216"/>
      <c r="X43" s="216"/>
      <c r="Y43" s="216"/>
      <c r="Z43" s="216"/>
      <c r="AA43" s="216"/>
      <c r="AB43" s="216"/>
      <c r="AC43" s="216"/>
      <c r="AD43" s="216"/>
      <c r="AE43" s="216"/>
      <c r="AF43" s="216"/>
    </row>
    <row r="44" ht="14.25" customHeight="1">
      <c r="A44" s="216"/>
      <c r="B44" s="216"/>
      <c r="C44" s="216"/>
      <c r="D44" s="267"/>
      <c r="E44" s="267"/>
      <c r="F44" s="267"/>
      <c r="G44" s="267"/>
      <c r="H44" s="267"/>
      <c r="I44" s="267"/>
      <c r="J44" s="267"/>
      <c r="K44" s="267"/>
      <c r="L44" s="267"/>
      <c r="M44" s="267"/>
      <c r="N44" s="267"/>
      <c r="O44" s="267"/>
      <c r="P44" s="267"/>
      <c r="Q44" s="267"/>
      <c r="R44" s="267"/>
      <c r="S44" s="216"/>
      <c r="T44" s="216"/>
      <c r="U44" s="216"/>
      <c r="V44" s="216"/>
      <c r="W44" s="216"/>
      <c r="X44" s="216"/>
      <c r="Y44" s="216"/>
      <c r="Z44" s="216"/>
      <c r="AA44" s="216"/>
      <c r="AB44" s="216"/>
      <c r="AC44" s="216"/>
      <c r="AD44" s="216"/>
      <c r="AE44" s="216"/>
      <c r="AF44" s="216"/>
    </row>
    <row r="45" ht="14.25" customHeight="1">
      <c r="A45" s="216"/>
      <c r="B45" s="216"/>
      <c r="C45" s="216"/>
      <c r="D45" s="267"/>
      <c r="E45" s="267"/>
      <c r="F45" s="267"/>
      <c r="G45" s="267"/>
      <c r="H45" s="267"/>
      <c r="I45" s="267"/>
      <c r="J45" s="267"/>
      <c r="K45" s="267"/>
      <c r="L45" s="267"/>
      <c r="M45" s="267"/>
      <c r="N45" s="267"/>
      <c r="O45" s="267"/>
      <c r="P45" s="267"/>
      <c r="Q45" s="267"/>
      <c r="R45" s="267"/>
      <c r="S45" s="216"/>
      <c r="T45" s="216"/>
      <c r="U45" s="216"/>
      <c r="V45" s="216"/>
      <c r="W45" s="216"/>
      <c r="X45" s="216"/>
      <c r="Y45" s="216"/>
      <c r="Z45" s="216"/>
      <c r="AA45" s="216"/>
      <c r="AB45" s="216"/>
      <c r="AC45" s="216"/>
      <c r="AD45" s="216"/>
      <c r="AE45" s="216"/>
      <c r="AF45" s="216"/>
    </row>
    <row r="46" ht="14.25" customHeight="1">
      <c r="A46" s="216"/>
      <c r="B46" s="216"/>
      <c r="C46" s="216"/>
      <c r="D46" s="267"/>
      <c r="E46" s="267"/>
      <c r="F46" s="267"/>
      <c r="G46" s="267"/>
      <c r="H46" s="267"/>
      <c r="I46" s="267"/>
      <c r="J46" s="267"/>
      <c r="K46" s="267"/>
      <c r="L46" s="267"/>
      <c r="M46" s="267"/>
      <c r="N46" s="267"/>
      <c r="O46" s="267"/>
      <c r="P46" s="267"/>
      <c r="Q46" s="267"/>
      <c r="R46" s="267"/>
      <c r="S46" s="216"/>
      <c r="T46" s="216"/>
      <c r="U46" s="216"/>
      <c r="V46" s="216"/>
      <c r="W46" s="216"/>
      <c r="X46" s="216"/>
      <c r="Y46" s="216"/>
      <c r="Z46" s="216"/>
      <c r="AA46" s="216"/>
      <c r="AB46" s="216"/>
      <c r="AC46" s="216"/>
      <c r="AD46" s="216"/>
      <c r="AE46" s="216"/>
      <c r="AF46" s="216"/>
    </row>
    <row r="47" ht="14.25" customHeight="1">
      <c r="A47" s="216"/>
      <c r="B47" s="216"/>
      <c r="C47" s="216"/>
      <c r="D47" s="267"/>
      <c r="E47" s="267"/>
      <c r="F47" s="267"/>
      <c r="G47" s="267"/>
      <c r="H47" s="267"/>
      <c r="I47" s="267"/>
      <c r="J47" s="267"/>
      <c r="K47" s="267"/>
      <c r="L47" s="267"/>
      <c r="M47" s="267"/>
      <c r="N47" s="267"/>
      <c r="O47" s="267"/>
      <c r="P47" s="267"/>
      <c r="Q47" s="267"/>
      <c r="R47" s="267"/>
      <c r="S47" s="216"/>
      <c r="T47" s="216"/>
      <c r="U47" s="216"/>
      <c r="V47" s="216"/>
      <c r="W47" s="216"/>
      <c r="X47" s="216"/>
      <c r="Y47" s="216"/>
      <c r="Z47" s="216"/>
      <c r="AA47" s="216"/>
      <c r="AB47" s="216"/>
      <c r="AC47" s="216"/>
      <c r="AD47" s="216"/>
      <c r="AE47" s="216"/>
      <c r="AF47" s="216"/>
    </row>
    <row r="48" ht="14.25" customHeight="1">
      <c r="A48" s="216"/>
      <c r="B48" s="216"/>
      <c r="C48" s="216"/>
      <c r="D48" s="267"/>
      <c r="E48" s="267"/>
      <c r="F48" s="267"/>
      <c r="G48" s="267"/>
      <c r="H48" s="267"/>
      <c r="I48" s="267"/>
      <c r="J48" s="267"/>
      <c r="K48" s="267"/>
      <c r="L48" s="267"/>
      <c r="M48" s="267"/>
      <c r="N48" s="267"/>
      <c r="O48" s="267"/>
      <c r="P48" s="267"/>
      <c r="Q48" s="267"/>
      <c r="R48" s="267"/>
      <c r="S48" s="216"/>
      <c r="T48" s="216"/>
      <c r="U48" s="216"/>
      <c r="V48" s="216"/>
      <c r="W48" s="216"/>
      <c r="X48" s="216"/>
      <c r="Y48" s="216"/>
      <c r="Z48" s="216"/>
      <c r="AA48" s="216"/>
      <c r="AB48" s="216"/>
      <c r="AC48" s="216"/>
      <c r="AD48" s="216"/>
      <c r="AE48" s="216"/>
      <c r="AF48" s="216"/>
    </row>
    <row r="49" ht="14.25" customHeight="1">
      <c r="A49" s="216"/>
      <c r="B49" s="216"/>
      <c r="C49" s="216"/>
      <c r="D49" s="267"/>
      <c r="E49" s="267"/>
      <c r="F49" s="267"/>
      <c r="G49" s="267"/>
      <c r="H49" s="267"/>
      <c r="I49" s="267"/>
      <c r="J49" s="267"/>
      <c r="K49" s="267"/>
      <c r="L49" s="267"/>
      <c r="M49" s="267"/>
      <c r="N49" s="267"/>
      <c r="O49" s="267"/>
      <c r="P49" s="267"/>
      <c r="Q49" s="267"/>
      <c r="R49" s="267"/>
      <c r="S49" s="216"/>
      <c r="T49" s="216"/>
      <c r="U49" s="216"/>
      <c r="V49" s="216"/>
      <c r="W49" s="216"/>
      <c r="X49" s="216"/>
      <c r="Y49" s="216"/>
      <c r="Z49" s="216"/>
      <c r="AA49" s="216"/>
      <c r="AB49" s="216"/>
      <c r="AC49" s="216"/>
      <c r="AD49" s="216"/>
      <c r="AE49" s="216"/>
      <c r="AF49" s="216"/>
    </row>
    <row r="50" ht="14.25" customHeight="1">
      <c r="A50" s="216"/>
      <c r="B50" s="216"/>
      <c r="C50" s="216"/>
      <c r="D50" s="267"/>
      <c r="E50" s="267"/>
      <c r="F50" s="267"/>
      <c r="G50" s="267"/>
      <c r="H50" s="267"/>
      <c r="I50" s="267"/>
      <c r="J50" s="267"/>
      <c r="K50" s="267"/>
      <c r="L50" s="267"/>
      <c r="M50" s="267"/>
      <c r="N50" s="267"/>
      <c r="O50" s="267"/>
      <c r="P50" s="267"/>
      <c r="Q50" s="267"/>
      <c r="R50" s="267"/>
      <c r="S50" s="216"/>
      <c r="T50" s="216"/>
      <c r="U50" s="216"/>
      <c r="V50" s="216"/>
      <c r="W50" s="216"/>
      <c r="X50" s="216"/>
      <c r="Y50" s="216"/>
      <c r="Z50" s="216"/>
      <c r="AA50" s="216"/>
      <c r="AB50" s="216"/>
      <c r="AC50" s="216"/>
      <c r="AD50" s="216"/>
      <c r="AE50" s="216"/>
      <c r="AF50" s="216"/>
    </row>
    <row r="51" ht="14.25" customHeight="1">
      <c r="A51" s="216"/>
      <c r="B51" s="216"/>
      <c r="C51" s="216"/>
      <c r="D51" s="267"/>
      <c r="E51" s="267"/>
      <c r="F51" s="267"/>
      <c r="G51" s="267"/>
      <c r="H51" s="267"/>
      <c r="I51" s="267"/>
      <c r="J51" s="267"/>
      <c r="K51" s="267"/>
      <c r="L51" s="267"/>
      <c r="M51" s="267"/>
      <c r="N51" s="267"/>
      <c r="O51" s="267"/>
      <c r="P51" s="267"/>
      <c r="Q51" s="267"/>
      <c r="R51" s="267"/>
      <c r="S51" s="216"/>
      <c r="T51" s="216"/>
      <c r="U51" s="216"/>
      <c r="V51" s="216"/>
      <c r="W51" s="216"/>
      <c r="X51" s="216"/>
      <c r="Y51" s="216"/>
      <c r="Z51" s="216"/>
      <c r="AA51" s="216"/>
      <c r="AB51" s="216"/>
      <c r="AC51" s="216"/>
      <c r="AD51" s="216"/>
      <c r="AE51" s="216"/>
      <c r="AF51" s="216"/>
    </row>
    <row r="52" ht="14.25" customHeight="1">
      <c r="A52" s="216"/>
      <c r="B52" s="216"/>
      <c r="C52" s="216"/>
      <c r="D52" s="267"/>
      <c r="E52" s="267"/>
      <c r="F52" s="267"/>
      <c r="G52" s="267"/>
      <c r="H52" s="267"/>
      <c r="I52" s="267"/>
      <c r="J52" s="267"/>
      <c r="K52" s="267"/>
      <c r="L52" s="267"/>
      <c r="M52" s="267"/>
      <c r="N52" s="267"/>
      <c r="O52" s="267"/>
      <c r="P52" s="267"/>
      <c r="Q52" s="267"/>
      <c r="R52" s="267"/>
      <c r="S52" s="216"/>
      <c r="T52" s="216"/>
      <c r="U52" s="216"/>
      <c r="V52" s="216"/>
      <c r="W52" s="216"/>
      <c r="X52" s="216"/>
      <c r="Y52" s="216"/>
      <c r="Z52" s="216"/>
      <c r="AA52" s="216"/>
      <c r="AB52" s="216"/>
      <c r="AC52" s="216"/>
      <c r="AD52" s="216"/>
      <c r="AE52" s="216"/>
      <c r="AF52" s="216"/>
    </row>
    <row r="53" ht="14.25" customHeight="1">
      <c r="A53" s="216"/>
      <c r="B53" s="216"/>
      <c r="C53" s="216"/>
      <c r="D53" s="267"/>
      <c r="E53" s="267"/>
      <c r="F53" s="267"/>
      <c r="G53" s="267"/>
      <c r="H53" s="267"/>
      <c r="I53" s="267"/>
      <c r="J53" s="267"/>
      <c r="K53" s="267"/>
      <c r="L53" s="267"/>
      <c r="M53" s="267"/>
      <c r="N53" s="267"/>
      <c r="O53" s="267"/>
      <c r="P53" s="267"/>
      <c r="Q53" s="267"/>
      <c r="R53" s="267"/>
      <c r="S53" s="216"/>
      <c r="T53" s="216"/>
      <c r="U53" s="216"/>
      <c r="V53" s="216"/>
      <c r="W53" s="216"/>
      <c r="X53" s="216"/>
      <c r="Y53" s="216"/>
      <c r="Z53" s="216"/>
      <c r="AA53" s="216"/>
      <c r="AB53" s="216"/>
      <c r="AC53" s="216"/>
      <c r="AD53" s="216"/>
      <c r="AE53" s="216"/>
      <c r="AF53" s="216"/>
    </row>
    <row r="54" ht="14.25" customHeight="1">
      <c r="A54" s="216"/>
      <c r="B54" s="216"/>
      <c r="C54" s="216"/>
      <c r="D54" s="267"/>
      <c r="E54" s="267"/>
      <c r="F54" s="267"/>
      <c r="G54" s="267"/>
      <c r="H54" s="267"/>
      <c r="I54" s="267"/>
      <c r="J54" s="267"/>
      <c r="K54" s="267"/>
      <c r="L54" s="267"/>
      <c r="M54" s="267"/>
      <c r="N54" s="267"/>
      <c r="O54" s="267"/>
      <c r="P54" s="267"/>
      <c r="Q54" s="267"/>
      <c r="R54" s="267"/>
      <c r="S54" s="216"/>
      <c r="T54" s="216"/>
      <c r="U54" s="216"/>
      <c r="V54" s="216"/>
      <c r="W54" s="216"/>
      <c r="X54" s="216"/>
      <c r="Y54" s="216"/>
      <c r="Z54" s="216"/>
      <c r="AA54" s="216"/>
      <c r="AB54" s="216"/>
      <c r="AC54" s="216"/>
      <c r="AD54" s="216"/>
      <c r="AE54" s="216"/>
      <c r="AF54" s="216"/>
    </row>
    <row r="55" ht="14.25" customHeight="1">
      <c r="A55" s="216"/>
      <c r="B55" s="216"/>
      <c r="C55" s="216"/>
      <c r="D55" s="267"/>
      <c r="E55" s="267"/>
      <c r="F55" s="267"/>
      <c r="G55" s="267"/>
      <c r="H55" s="267"/>
      <c r="I55" s="267"/>
      <c r="J55" s="267"/>
      <c r="K55" s="267"/>
      <c r="L55" s="267"/>
      <c r="M55" s="267"/>
      <c r="N55" s="267"/>
      <c r="O55" s="267"/>
      <c r="P55" s="267"/>
      <c r="Q55" s="267"/>
      <c r="R55" s="267"/>
      <c r="S55" s="216"/>
      <c r="T55" s="216"/>
      <c r="U55" s="216"/>
      <c r="V55" s="216"/>
      <c r="W55" s="216"/>
      <c r="X55" s="216"/>
      <c r="Y55" s="216"/>
      <c r="Z55" s="216"/>
      <c r="AA55" s="216"/>
      <c r="AB55" s="216"/>
      <c r="AC55" s="216"/>
      <c r="AD55" s="216"/>
      <c r="AE55" s="216"/>
      <c r="AF55" s="216"/>
    </row>
    <row r="56" ht="14.25" customHeight="1">
      <c r="A56" s="216"/>
      <c r="B56" s="216"/>
      <c r="C56" s="216"/>
      <c r="D56" s="267"/>
      <c r="E56" s="267"/>
      <c r="F56" s="267"/>
      <c r="G56" s="267"/>
      <c r="H56" s="267"/>
      <c r="I56" s="267"/>
      <c r="J56" s="267"/>
      <c r="K56" s="267"/>
      <c r="L56" s="267"/>
      <c r="M56" s="267"/>
      <c r="N56" s="267"/>
      <c r="O56" s="267"/>
      <c r="P56" s="267"/>
      <c r="Q56" s="267"/>
      <c r="R56" s="267"/>
      <c r="S56" s="216"/>
      <c r="T56" s="216"/>
      <c r="U56" s="216"/>
      <c r="V56" s="216"/>
      <c r="W56" s="216"/>
      <c r="X56" s="216"/>
      <c r="Y56" s="216"/>
      <c r="Z56" s="216"/>
      <c r="AA56" s="216"/>
      <c r="AB56" s="216"/>
      <c r="AC56" s="216"/>
      <c r="AD56" s="216"/>
      <c r="AE56" s="216"/>
      <c r="AF56" s="216"/>
    </row>
    <row r="57" ht="14.25" customHeight="1">
      <c r="A57" s="216"/>
      <c r="B57" s="216"/>
      <c r="C57" s="216"/>
      <c r="D57" s="267"/>
      <c r="E57" s="267"/>
      <c r="F57" s="267"/>
      <c r="G57" s="267"/>
      <c r="H57" s="267"/>
      <c r="I57" s="267"/>
      <c r="J57" s="267"/>
      <c r="K57" s="267"/>
      <c r="L57" s="267"/>
      <c r="M57" s="267"/>
      <c r="N57" s="267"/>
      <c r="O57" s="267"/>
      <c r="P57" s="267"/>
      <c r="Q57" s="267"/>
      <c r="R57" s="267"/>
      <c r="S57" s="216"/>
      <c r="T57" s="216"/>
      <c r="U57" s="216"/>
      <c r="V57" s="216"/>
      <c r="W57" s="216"/>
      <c r="X57" s="216"/>
      <c r="Y57" s="216"/>
      <c r="Z57" s="216"/>
      <c r="AA57" s="216"/>
      <c r="AB57" s="216"/>
      <c r="AC57" s="216"/>
      <c r="AD57" s="216"/>
      <c r="AE57" s="216"/>
      <c r="AF57" s="216"/>
    </row>
    <row r="58" ht="14.25" customHeight="1">
      <c r="A58" s="216"/>
      <c r="B58" s="216"/>
      <c r="C58" s="216"/>
      <c r="D58" s="267"/>
      <c r="E58" s="267"/>
      <c r="F58" s="267"/>
      <c r="G58" s="267"/>
      <c r="H58" s="267"/>
      <c r="I58" s="267"/>
      <c r="J58" s="267"/>
      <c r="K58" s="267"/>
      <c r="L58" s="267"/>
      <c r="M58" s="267"/>
      <c r="N58" s="267"/>
      <c r="O58" s="267"/>
      <c r="P58" s="267"/>
      <c r="Q58" s="267"/>
      <c r="R58" s="267"/>
      <c r="S58" s="216"/>
      <c r="T58" s="216"/>
      <c r="U58" s="216"/>
      <c r="V58" s="216"/>
      <c r="W58" s="216"/>
      <c r="X58" s="216"/>
      <c r="Y58" s="216"/>
      <c r="Z58" s="216"/>
      <c r="AA58" s="216"/>
      <c r="AB58" s="216"/>
      <c r="AC58" s="216"/>
      <c r="AD58" s="216"/>
      <c r="AE58" s="216"/>
      <c r="AF58" s="216"/>
    </row>
    <row r="59" ht="14.25" customHeight="1">
      <c r="A59" s="216"/>
      <c r="B59" s="216"/>
      <c r="C59" s="216"/>
      <c r="D59" s="267"/>
      <c r="E59" s="267"/>
      <c r="F59" s="267"/>
      <c r="G59" s="267"/>
      <c r="H59" s="267"/>
      <c r="I59" s="267"/>
      <c r="J59" s="267"/>
      <c r="K59" s="267"/>
      <c r="L59" s="267"/>
      <c r="M59" s="267"/>
      <c r="N59" s="267"/>
      <c r="O59" s="267"/>
      <c r="P59" s="267"/>
      <c r="Q59" s="267"/>
      <c r="R59" s="267"/>
      <c r="S59" s="216"/>
      <c r="T59" s="216"/>
      <c r="U59" s="216"/>
      <c r="V59" s="216"/>
      <c r="W59" s="216"/>
      <c r="X59" s="216"/>
      <c r="Y59" s="216"/>
      <c r="Z59" s="216"/>
      <c r="AA59" s="216"/>
      <c r="AB59" s="216"/>
      <c r="AC59" s="216"/>
      <c r="AD59" s="216"/>
      <c r="AE59" s="216"/>
      <c r="AF59" s="216"/>
    </row>
    <row r="60" ht="14.25" customHeight="1">
      <c r="A60" s="216"/>
      <c r="B60" s="216"/>
      <c r="C60" s="216"/>
      <c r="D60" s="267"/>
      <c r="E60" s="267"/>
      <c r="F60" s="267"/>
      <c r="G60" s="267"/>
      <c r="H60" s="267"/>
      <c r="I60" s="267"/>
      <c r="J60" s="267"/>
      <c r="K60" s="267"/>
      <c r="L60" s="267"/>
      <c r="M60" s="267"/>
      <c r="N60" s="267"/>
      <c r="O60" s="267"/>
      <c r="P60" s="267"/>
      <c r="Q60" s="267"/>
      <c r="R60" s="267"/>
      <c r="S60" s="216"/>
      <c r="T60" s="216"/>
      <c r="U60" s="216"/>
      <c r="V60" s="216"/>
      <c r="W60" s="216"/>
      <c r="X60" s="216"/>
      <c r="Y60" s="216"/>
      <c r="Z60" s="216"/>
      <c r="AA60" s="216"/>
      <c r="AB60" s="216"/>
      <c r="AC60" s="216"/>
      <c r="AD60" s="216"/>
      <c r="AE60" s="216"/>
      <c r="AF60" s="216"/>
    </row>
    <row r="61" ht="14.25" customHeight="1">
      <c r="A61" s="216"/>
      <c r="B61" s="216"/>
      <c r="C61" s="216"/>
      <c r="D61" s="267"/>
      <c r="E61" s="267"/>
      <c r="F61" s="267"/>
      <c r="G61" s="267"/>
      <c r="H61" s="267"/>
      <c r="I61" s="267"/>
      <c r="J61" s="267"/>
      <c r="K61" s="267"/>
      <c r="L61" s="267"/>
      <c r="M61" s="267"/>
      <c r="N61" s="267"/>
      <c r="O61" s="267"/>
      <c r="P61" s="267"/>
      <c r="Q61" s="267"/>
      <c r="R61" s="267"/>
      <c r="S61" s="216"/>
      <c r="T61" s="216"/>
      <c r="U61" s="216"/>
      <c r="V61" s="216"/>
      <c r="W61" s="216"/>
      <c r="X61" s="216"/>
      <c r="Y61" s="216"/>
      <c r="Z61" s="216"/>
      <c r="AA61" s="216"/>
      <c r="AB61" s="216"/>
      <c r="AC61" s="216"/>
      <c r="AD61" s="216"/>
      <c r="AE61" s="216"/>
      <c r="AF61" s="216"/>
    </row>
    <row r="62" ht="14.25" customHeight="1">
      <c r="A62" s="216"/>
      <c r="B62" s="216"/>
      <c r="C62" s="216"/>
      <c r="D62" s="267"/>
      <c r="E62" s="267"/>
      <c r="F62" s="267"/>
      <c r="G62" s="267"/>
      <c r="H62" s="267"/>
      <c r="I62" s="267"/>
      <c r="J62" s="267"/>
      <c r="K62" s="267"/>
      <c r="L62" s="267"/>
      <c r="M62" s="267"/>
      <c r="N62" s="267"/>
      <c r="O62" s="267"/>
      <c r="P62" s="267"/>
      <c r="Q62" s="267"/>
      <c r="R62" s="267"/>
      <c r="S62" s="216"/>
      <c r="T62" s="216"/>
      <c r="U62" s="216"/>
      <c r="V62" s="216"/>
      <c r="W62" s="216"/>
      <c r="X62" s="216"/>
      <c r="Y62" s="216"/>
      <c r="Z62" s="216"/>
      <c r="AA62" s="216"/>
      <c r="AB62" s="216"/>
      <c r="AC62" s="216"/>
      <c r="AD62" s="216"/>
      <c r="AE62" s="216"/>
      <c r="AF62" s="216"/>
    </row>
    <row r="63" ht="14.25" customHeight="1">
      <c r="A63" s="216"/>
      <c r="B63" s="216"/>
      <c r="C63" s="216"/>
      <c r="D63" s="267"/>
      <c r="E63" s="267"/>
      <c r="F63" s="267"/>
      <c r="G63" s="267"/>
      <c r="H63" s="267"/>
      <c r="I63" s="267"/>
      <c r="J63" s="267"/>
      <c r="K63" s="267"/>
      <c r="L63" s="267"/>
      <c r="M63" s="267"/>
      <c r="N63" s="267"/>
      <c r="O63" s="267"/>
      <c r="P63" s="267"/>
      <c r="Q63" s="267"/>
      <c r="R63" s="267"/>
      <c r="S63" s="216"/>
      <c r="T63" s="216"/>
      <c r="U63" s="216"/>
      <c r="V63" s="216"/>
      <c r="W63" s="216"/>
      <c r="X63" s="216"/>
      <c r="Y63" s="216"/>
      <c r="Z63" s="216"/>
      <c r="AA63" s="216"/>
      <c r="AB63" s="216"/>
      <c r="AC63" s="216"/>
      <c r="AD63" s="216"/>
      <c r="AE63" s="216"/>
      <c r="AF63" s="216"/>
    </row>
    <row r="64" ht="14.25" customHeight="1">
      <c r="A64" s="216"/>
      <c r="B64" s="216"/>
      <c r="C64" s="216"/>
      <c r="D64" s="267"/>
      <c r="E64" s="267"/>
      <c r="F64" s="267"/>
      <c r="G64" s="267"/>
      <c r="H64" s="267"/>
      <c r="I64" s="267"/>
      <c r="J64" s="267"/>
      <c r="K64" s="267"/>
      <c r="L64" s="267"/>
      <c r="M64" s="267"/>
      <c r="N64" s="267"/>
      <c r="O64" s="267"/>
      <c r="P64" s="267"/>
      <c r="Q64" s="267"/>
      <c r="R64" s="267"/>
      <c r="S64" s="216"/>
      <c r="T64" s="216"/>
      <c r="U64" s="216"/>
      <c r="V64" s="216"/>
      <c r="W64" s="216"/>
      <c r="X64" s="216"/>
      <c r="Y64" s="216"/>
      <c r="Z64" s="216"/>
      <c r="AA64" s="216"/>
      <c r="AB64" s="216"/>
      <c r="AC64" s="216"/>
      <c r="AD64" s="216"/>
      <c r="AE64" s="216"/>
      <c r="AF64" s="216"/>
    </row>
    <row r="65" ht="14.25" customHeight="1">
      <c r="A65" s="216"/>
      <c r="B65" s="216"/>
      <c r="C65" s="216"/>
      <c r="D65" s="267"/>
      <c r="E65" s="267"/>
      <c r="F65" s="267"/>
      <c r="G65" s="267"/>
      <c r="H65" s="267"/>
      <c r="I65" s="267"/>
      <c r="J65" s="267"/>
      <c r="K65" s="267"/>
      <c r="L65" s="267"/>
      <c r="M65" s="267"/>
      <c r="N65" s="267"/>
      <c r="O65" s="267"/>
      <c r="P65" s="267"/>
      <c r="Q65" s="267"/>
      <c r="R65" s="267"/>
      <c r="S65" s="216"/>
      <c r="T65" s="216"/>
      <c r="U65" s="216"/>
      <c r="V65" s="216"/>
      <c r="W65" s="216"/>
      <c r="X65" s="216"/>
      <c r="Y65" s="216"/>
      <c r="Z65" s="216"/>
      <c r="AA65" s="216"/>
      <c r="AB65" s="216"/>
      <c r="AC65" s="216"/>
      <c r="AD65" s="216"/>
      <c r="AE65" s="216"/>
      <c r="AF65" s="216"/>
    </row>
    <row r="66" ht="14.25" customHeight="1">
      <c r="A66" s="216"/>
      <c r="B66" s="216"/>
      <c r="C66" s="216"/>
      <c r="D66" s="267"/>
      <c r="E66" s="267"/>
      <c r="F66" s="267"/>
      <c r="G66" s="267"/>
      <c r="H66" s="267"/>
      <c r="I66" s="267"/>
      <c r="J66" s="267"/>
      <c r="K66" s="267"/>
      <c r="L66" s="267"/>
      <c r="M66" s="267"/>
      <c r="N66" s="267"/>
      <c r="O66" s="267"/>
      <c r="P66" s="267"/>
      <c r="Q66" s="267"/>
      <c r="R66" s="267"/>
      <c r="S66" s="216"/>
      <c r="T66" s="216"/>
      <c r="U66" s="216"/>
      <c r="V66" s="216"/>
      <c r="W66" s="216"/>
      <c r="X66" s="216"/>
      <c r="Y66" s="216"/>
      <c r="Z66" s="216"/>
      <c r="AA66" s="216"/>
      <c r="AB66" s="216"/>
      <c r="AC66" s="216"/>
      <c r="AD66" s="216"/>
      <c r="AE66" s="216"/>
      <c r="AF66" s="216"/>
    </row>
    <row r="67" ht="14.25" customHeight="1">
      <c r="A67" s="216"/>
      <c r="B67" s="216"/>
      <c r="C67" s="216"/>
      <c r="D67" s="267"/>
      <c r="E67" s="267"/>
      <c r="F67" s="267"/>
      <c r="G67" s="267"/>
      <c r="H67" s="267"/>
      <c r="I67" s="267"/>
      <c r="J67" s="267"/>
      <c r="K67" s="267"/>
      <c r="L67" s="267"/>
      <c r="M67" s="267"/>
      <c r="N67" s="267"/>
      <c r="O67" s="267"/>
      <c r="P67" s="267"/>
      <c r="Q67" s="267"/>
      <c r="R67" s="267"/>
      <c r="S67" s="216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</row>
    <row r="68" ht="14.25" customHeight="1">
      <c r="A68" s="216"/>
      <c r="B68" s="216"/>
      <c r="C68" s="216"/>
      <c r="D68" s="267"/>
      <c r="E68" s="267"/>
      <c r="F68" s="267"/>
      <c r="G68" s="267"/>
      <c r="H68" s="267"/>
      <c r="I68" s="267"/>
      <c r="J68" s="267"/>
      <c r="K68" s="267"/>
      <c r="L68" s="267"/>
      <c r="M68" s="267"/>
      <c r="N68" s="267"/>
      <c r="O68" s="267"/>
      <c r="P68" s="267"/>
      <c r="Q68" s="267"/>
      <c r="R68" s="267"/>
      <c r="S68" s="216"/>
      <c r="T68" s="216"/>
      <c r="U68" s="216"/>
      <c r="V68" s="216"/>
      <c r="W68" s="216"/>
      <c r="X68" s="216"/>
      <c r="Y68" s="216"/>
      <c r="Z68" s="216"/>
      <c r="AA68" s="216"/>
      <c r="AB68" s="216"/>
      <c r="AC68" s="216"/>
      <c r="AD68" s="216"/>
      <c r="AE68" s="216"/>
      <c r="AF68" s="216"/>
    </row>
    <row r="69" ht="14.25" customHeight="1">
      <c r="A69" s="216"/>
      <c r="B69" s="216"/>
      <c r="C69" s="216"/>
      <c r="D69" s="267"/>
      <c r="E69" s="267"/>
      <c r="F69" s="267"/>
      <c r="G69" s="267"/>
      <c r="H69" s="267"/>
      <c r="I69" s="267"/>
      <c r="J69" s="267"/>
      <c r="K69" s="267"/>
      <c r="L69" s="267"/>
      <c r="M69" s="267"/>
      <c r="N69" s="267"/>
      <c r="O69" s="267"/>
      <c r="P69" s="267"/>
      <c r="Q69" s="267"/>
      <c r="R69" s="267"/>
      <c r="S69" s="216"/>
      <c r="T69" s="216"/>
      <c r="U69" s="216"/>
      <c r="V69" s="216"/>
      <c r="W69" s="216"/>
      <c r="X69" s="216"/>
      <c r="Y69" s="216"/>
      <c r="Z69" s="216"/>
      <c r="AA69" s="216"/>
      <c r="AB69" s="216"/>
      <c r="AC69" s="216"/>
      <c r="AD69" s="216"/>
      <c r="AE69" s="216"/>
      <c r="AF69" s="216"/>
    </row>
    <row r="70" ht="14.25" customHeight="1">
      <c r="A70" s="216"/>
      <c r="B70" s="216"/>
      <c r="C70" s="216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16"/>
      <c r="T70" s="216"/>
      <c r="U70" s="216"/>
      <c r="V70" s="216"/>
      <c r="W70" s="216"/>
      <c r="X70" s="216"/>
      <c r="Y70" s="216"/>
      <c r="Z70" s="216"/>
      <c r="AA70" s="216"/>
      <c r="AB70" s="216"/>
      <c r="AC70" s="216"/>
      <c r="AD70" s="216"/>
      <c r="AE70" s="216"/>
      <c r="AF70" s="216"/>
    </row>
    <row r="71" ht="14.25" customHeight="1">
      <c r="A71" s="216"/>
      <c r="B71" s="216"/>
      <c r="C71" s="216"/>
      <c r="D71" s="267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16"/>
      <c r="T71" s="216"/>
      <c r="U71" s="216"/>
      <c r="V71" s="216"/>
      <c r="W71" s="216"/>
      <c r="X71" s="216"/>
      <c r="Y71" s="216"/>
      <c r="Z71" s="216"/>
      <c r="AA71" s="216"/>
      <c r="AB71" s="216"/>
      <c r="AC71" s="216"/>
      <c r="AD71" s="216"/>
      <c r="AE71" s="216"/>
      <c r="AF71" s="216"/>
    </row>
    <row r="72" ht="14.25" customHeight="1">
      <c r="A72" s="216"/>
      <c r="B72" s="216"/>
      <c r="C72" s="216"/>
      <c r="D72" s="267"/>
      <c r="E72" s="267"/>
      <c r="F72" s="267"/>
      <c r="G72" s="267"/>
      <c r="H72" s="267"/>
      <c r="I72" s="267"/>
      <c r="J72" s="267"/>
      <c r="K72" s="267"/>
      <c r="L72" s="267"/>
      <c r="M72" s="267"/>
      <c r="N72" s="267"/>
      <c r="O72" s="267"/>
      <c r="P72" s="267"/>
      <c r="Q72" s="267"/>
      <c r="R72" s="267"/>
      <c r="S72" s="216"/>
      <c r="T72" s="216"/>
      <c r="U72" s="216"/>
      <c r="V72" s="216"/>
      <c r="W72" s="216"/>
      <c r="X72" s="216"/>
      <c r="Y72" s="216"/>
      <c r="Z72" s="216"/>
      <c r="AA72" s="216"/>
      <c r="AB72" s="216"/>
      <c r="AC72" s="216"/>
      <c r="AD72" s="216"/>
      <c r="AE72" s="216"/>
      <c r="AF72" s="216"/>
    </row>
    <row r="73" ht="14.25" customHeight="1">
      <c r="A73" s="216"/>
      <c r="B73" s="216"/>
      <c r="C73" s="216"/>
      <c r="D73" s="267"/>
      <c r="E73" s="267"/>
      <c r="F73" s="267"/>
      <c r="G73" s="267"/>
      <c r="H73" s="267"/>
      <c r="I73" s="267"/>
      <c r="J73" s="267"/>
      <c r="K73" s="267"/>
      <c r="L73" s="267"/>
      <c r="M73" s="267"/>
      <c r="N73" s="267"/>
      <c r="O73" s="267"/>
      <c r="P73" s="267"/>
      <c r="Q73" s="267"/>
      <c r="R73" s="267"/>
      <c r="S73" s="216"/>
      <c r="T73" s="216"/>
      <c r="U73" s="216"/>
      <c r="V73" s="216"/>
      <c r="W73" s="216"/>
      <c r="X73" s="216"/>
      <c r="Y73" s="216"/>
      <c r="Z73" s="216"/>
      <c r="AA73" s="216"/>
      <c r="AB73" s="216"/>
      <c r="AC73" s="216"/>
      <c r="AD73" s="216"/>
      <c r="AE73" s="216"/>
      <c r="AF73" s="216"/>
    </row>
    <row r="74" ht="14.25" customHeight="1">
      <c r="A74" s="216"/>
      <c r="B74" s="216"/>
      <c r="C74" s="216"/>
      <c r="D74" s="267"/>
      <c r="E74" s="267"/>
      <c r="F74" s="267"/>
      <c r="G74" s="267"/>
      <c r="H74" s="267"/>
      <c r="I74" s="267"/>
      <c r="J74" s="267"/>
      <c r="K74" s="267"/>
      <c r="L74" s="267"/>
      <c r="M74" s="267"/>
      <c r="N74" s="267"/>
      <c r="O74" s="267"/>
      <c r="P74" s="267"/>
      <c r="Q74" s="267"/>
      <c r="R74" s="267"/>
      <c r="S74" s="216"/>
      <c r="T74" s="216"/>
      <c r="U74" s="216"/>
      <c r="V74" s="216"/>
      <c r="W74" s="216"/>
      <c r="X74" s="216"/>
      <c r="Y74" s="216"/>
      <c r="Z74" s="216"/>
      <c r="AA74" s="216"/>
      <c r="AB74" s="216"/>
      <c r="AC74" s="216"/>
      <c r="AD74" s="216"/>
      <c r="AE74" s="216"/>
      <c r="AF74" s="216"/>
    </row>
    <row r="75" ht="14.25" customHeight="1">
      <c r="A75" s="216"/>
      <c r="B75" s="216"/>
      <c r="C75" s="216"/>
      <c r="D75" s="267"/>
      <c r="E75" s="267"/>
      <c r="F75" s="267"/>
      <c r="G75" s="267"/>
      <c r="H75" s="267"/>
      <c r="I75" s="267"/>
      <c r="J75" s="267"/>
      <c r="K75" s="267"/>
      <c r="L75" s="267"/>
      <c r="M75" s="267"/>
      <c r="N75" s="267"/>
      <c r="O75" s="267"/>
      <c r="P75" s="267"/>
      <c r="Q75" s="267"/>
      <c r="R75" s="267"/>
      <c r="S75" s="21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</row>
    <row r="76" ht="14.25" customHeight="1">
      <c r="A76" s="216"/>
      <c r="B76" s="216"/>
      <c r="C76" s="216"/>
      <c r="D76" s="267"/>
      <c r="E76" s="267"/>
      <c r="F76" s="267"/>
      <c r="G76" s="267"/>
      <c r="H76" s="267"/>
      <c r="I76" s="267"/>
      <c r="J76" s="267"/>
      <c r="K76" s="267"/>
      <c r="L76" s="267"/>
      <c r="M76" s="267"/>
      <c r="N76" s="267"/>
      <c r="O76" s="267"/>
      <c r="P76" s="267"/>
      <c r="Q76" s="267"/>
      <c r="R76" s="267"/>
      <c r="S76" s="216"/>
      <c r="T76" s="216"/>
      <c r="U76" s="216"/>
      <c r="V76" s="216"/>
      <c r="W76" s="216"/>
      <c r="X76" s="216"/>
      <c r="Y76" s="216"/>
      <c r="Z76" s="216"/>
      <c r="AA76" s="216"/>
      <c r="AB76" s="216"/>
      <c r="AC76" s="216"/>
      <c r="AD76" s="216"/>
      <c r="AE76" s="216"/>
      <c r="AF76" s="216"/>
    </row>
    <row r="77" ht="14.25" customHeight="1">
      <c r="A77" s="216"/>
      <c r="B77" s="216"/>
      <c r="C77" s="216"/>
      <c r="D77" s="267"/>
      <c r="E77" s="267"/>
      <c r="F77" s="267"/>
      <c r="G77" s="267"/>
      <c r="H77" s="267"/>
      <c r="I77" s="267"/>
      <c r="J77" s="267"/>
      <c r="K77" s="267"/>
      <c r="L77" s="267"/>
      <c r="M77" s="267"/>
      <c r="N77" s="267"/>
      <c r="O77" s="267"/>
      <c r="P77" s="267"/>
      <c r="Q77" s="267"/>
      <c r="R77" s="267"/>
      <c r="S77" s="216"/>
      <c r="T77" s="216"/>
      <c r="U77" s="216"/>
      <c r="V77" s="216"/>
      <c r="W77" s="216"/>
      <c r="X77" s="216"/>
      <c r="Y77" s="216"/>
      <c r="Z77" s="216"/>
      <c r="AA77" s="216"/>
      <c r="AB77" s="216"/>
      <c r="AC77" s="216"/>
      <c r="AD77" s="216"/>
      <c r="AE77" s="216"/>
      <c r="AF77" s="216"/>
    </row>
    <row r="78" ht="14.25" customHeight="1">
      <c r="A78" s="216"/>
      <c r="B78" s="216"/>
      <c r="C78" s="216"/>
      <c r="D78" s="267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16"/>
      <c r="T78" s="216"/>
      <c r="U78" s="216"/>
      <c r="V78" s="216"/>
      <c r="W78" s="216"/>
      <c r="X78" s="216"/>
      <c r="Y78" s="216"/>
      <c r="Z78" s="216"/>
      <c r="AA78" s="216"/>
      <c r="AB78" s="216"/>
      <c r="AC78" s="216"/>
      <c r="AD78" s="216"/>
      <c r="AE78" s="216"/>
      <c r="AF78" s="216"/>
    </row>
    <row r="79" ht="14.25" customHeight="1">
      <c r="A79" s="216"/>
      <c r="B79" s="216"/>
      <c r="C79" s="216"/>
      <c r="D79" s="267"/>
      <c r="E79" s="267"/>
      <c r="F79" s="267"/>
      <c r="G79" s="267"/>
      <c r="H79" s="267"/>
      <c r="I79" s="267"/>
      <c r="J79" s="267"/>
      <c r="K79" s="267"/>
      <c r="L79" s="267"/>
      <c r="M79" s="267"/>
      <c r="N79" s="267"/>
      <c r="O79" s="267"/>
      <c r="P79" s="267"/>
      <c r="Q79" s="267"/>
      <c r="R79" s="267"/>
      <c r="S79" s="216"/>
      <c r="T79" s="216"/>
      <c r="U79" s="216"/>
      <c r="V79" s="216"/>
      <c r="W79" s="216"/>
      <c r="X79" s="216"/>
      <c r="Y79" s="216"/>
      <c r="Z79" s="216"/>
      <c r="AA79" s="216"/>
      <c r="AB79" s="216"/>
      <c r="AC79" s="216"/>
      <c r="AD79" s="216"/>
      <c r="AE79" s="216"/>
      <c r="AF79" s="216"/>
    </row>
    <row r="80" ht="14.25" customHeight="1">
      <c r="A80" s="216"/>
      <c r="B80" s="216"/>
      <c r="C80" s="216"/>
      <c r="D80" s="267"/>
      <c r="E80" s="267"/>
      <c r="F80" s="267"/>
      <c r="G80" s="267"/>
      <c r="H80" s="267"/>
      <c r="I80" s="267"/>
      <c r="J80" s="267"/>
      <c r="K80" s="267"/>
      <c r="L80" s="267"/>
      <c r="M80" s="267"/>
      <c r="N80" s="267"/>
      <c r="O80" s="267"/>
      <c r="P80" s="267"/>
      <c r="Q80" s="267"/>
      <c r="R80" s="267"/>
      <c r="S80" s="216"/>
      <c r="T80" s="216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</row>
    <row r="81" ht="14.25" customHeight="1">
      <c r="A81" s="216"/>
      <c r="B81" s="216"/>
      <c r="C81" s="216"/>
      <c r="D81" s="267"/>
      <c r="E81" s="267"/>
      <c r="F81" s="267"/>
      <c r="G81" s="267"/>
      <c r="H81" s="267"/>
      <c r="I81" s="267"/>
      <c r="J81" s="267"/>
      <c r="K81" s="267"/>
      <c r="L81" s="267"/>
      <c r="M81" s="267"/>
      <c r="N81" s="267"/>
      <c r="O81" s="267"/>
      <c r="P81" s="267"/>
      <c r="Q81" s="267"/>
      <c r="R81" s="267"/>
      <c r="S81" s="216"/>
      <c r="T81" s="216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</row>
    <row r="82" ht="14.25" customHeight="1">
      <c r="A82" s="216"/>
      <c r="B82" s="216"/>
      <c r="C82" s="216"/>
      <c r="D82" s="267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16"/>
      <c r="T82" s="216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</row>
    <row r="83" ht="14.25" customHeight="1">
      <c r="A83" s="216"/>
      <c r="B83" s="216"/>
      <c r="C83" s="216"/>
      <c r="D83" s="267"/>
      <c r="E83" s="267"/>
      <c r="F83" s="267"/>
      <c r="G83" s="267"/>
      <c r="H83" s="267"/>
      <c r="I83" s="267"/>
      <c r="J83" s="267"/>
      <c r="K83" s="267"/>
      <c r="L83" s="267"/>
      <c r="M83" s="267"/>
      <c r="N83" s="267"/>
      <c r="O83" s="267"/>
      <c r="P83" s="267"/>
      <c r="Q83" s="267"/>
      <c r="R83" s="267"/>
      <c r="S83" s="216"/>
      <c r="T83" s="216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</row>
    <row r="84" ht="14.25" customHeight="1">
      <c r="A84" s="216"/>
      <c r="B84" s="216"/>
      <c r="C84" s="216"/>
      <c r="D84" s="267"/>
      <c r="E84" s="267"/>
      <c r="F84" s="267"/>
      <c r="G84" s="267"/>
      <c r="H84" s="267"/>
      <c r="I84" s="267"/>
      <c r="J84" s="267"/>
      <c r="K84" s="267"/>
      <c r="L84" s="267"/>
      <c r="M84" s="267"/>
      <c r="N84" s="267"/>
      <c r="O84" s="267"/>
      <c r="P84" s="267"/>
      <c r="Q84" s="267"/>
      <c r="R84" s="267"/>
      <c r="S84" s="216"/>
      <c r="T84" s="216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</row>
    <row r="85" ht="14.25" customHeight="1">
      <c r="A85" s="216"/>
      <c r="B85" s="216"/>
      <c r="C85" s="216"/>
      <c r="D85" s="267"/>
      <c r="E85" s="267"/>
      <c r="F85" s="267"/>
      <c r="G85" s="267"/>
      <c r="H85" s="267"/>
      <c r="I85" s="267"/>
      <c r="J85" s="267"/>
      <c r="K85" s="267"/>
      <c r="L85" s="267"/>
      <c r="M85" s="267"/>
      <c r="N85" s="267"/>
      <c r="O85" s="267"/>
      <c r="P85" s="267"/>
      <c r="Q85" s="267"/>
      <c r="R85" s="267"/>
      <c r="S85" s="216"/>
      <c r="T85" s="216"/>
      <c r="U85" s="216"/>
      <c r="V85" s="216"/>
      <c r="W85" s="216"/>
      <c r="X85" s="216"/>
      <c r="Y85" s="216"/>
      <c r="Z85" s="216"/>
      <c r="AA85" s="216"/>
      <c r="AB85" s="216"/>
      <c r="AC85" s="216"/>
      <c r="AD85" s="216"/>
      <c r="AE85" s="216"/>
      <c r="AF85" s="216"/>
    </row>
    <row r="86" ht="14.25" customHeight="1">
      <c r="A86" s="216"/>
      <c r="B86" s="216"/>
      <c r="C86" s="216"/>
      <c r="D86" s="267"/>
      <c r="E86" s="267"/>
      <c r="F86" s="267"/>
      <c r="G86" s="267"/>
      <c r="H86" s="267"/>
      <c r="I86" s="267"/>
      <c r="J86" s="267"/>
      <c r="K86" s="267"/>
      <c r="L86" s="267"/>
      <c r="M86" s="267"/>
      <c r="N86" s="267"/>
      <c r="O86" s="267"/>
      <c r="P86" s="267"/>
      <c r="Q86" s="267"/>
      <c r="R86" s="267"/>
      <c r="S86" s="216"/>
      <c r="T86" s="216"/>
      <c r="U86" s="216"/>
      <c r="V86" s="216"/>
      <c r="W86" s="216"/>
      <c r="X86" s="216"/>
      <c r="Y86" s="216"/>
      <c r="Z86" s="216"/>
      <c r="AA86" s="216"/>
      <c r="AB86" s="216"/>
      <c r="AC86" s="216"/>
      <c r="AD86" s="216"/>
      <c r="AE86" s="216"/>
      <c r="AF86" s="216"/>
    </row>
    <row r="87" ht="14.25" customHeight="1">
      <c r="A87" s="216"/>
      <c r="B87" s="216"/>
      <c r="C87" s="216"/>
      <c r="D87" s="267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16"/>
      <c r="T87" s="216"/>
      <c r="U87" s="216"/>
      <c r="V87" s="216"/>
      <c r="W87" s="216"/>
      <c r="X87" s="216"/>
      <c r="Y87" s="216"/>
      <c r="Z87" s="216"/>
      <c r="AA87" s="216"/>
      <c r="AB87" s="216"/>
      <c r="AC87" s="216"/>
      <c r="AD87" s="216"/>
      <c r="AE87" s="216"/>
      <c r="AF87" s="216"/>
    </row>
    <row r="88" ht="14.25" customHeight="1">
      <c r="A88" s="216"/>
      <c r="B88" s="216"/>
      <c r="C88" s="216"/>
      <c r="D88" s="267"/>
      <c r="E88" s="267"/>
      <c r="F88" s="267"/>
      <c r="G88" s="267"/>
      <c r="H88" s="267"/>
      <c r="I88" s="267"/>
      <c r="J88" s="267"/>
      <c r="K88" s="267"/>
      <c r="L88" s="267"/>
      <c r="M88" s="267"/>
      <c r="N88" s="267"/>
      <c r="O88" s="267"/>
      <c r="P88" s="267"/>
      <c r="Q88" s="267"/>
      <c r="R88" s="267"/>
      <c r="S88" s="216"/>
      <c r="T88" s="216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</row>
    <row r="89" ht="14.25" customHeight="1">
      <c r="A89" s="216"/>
      <c r="B89" s="216"/>
      <c r="C89" s="216"/>
      <c r="D89" s="267"/>
      <c r="E89" s="267"/>
      <c r="F89" s="267"/>
      <c r="G89" s="267"/>
      <c r="H89" s="267"/>
      <c r="I89" s="267"/>
      <c r="J89" s="267"/>
      <c r="K89" s="267"/>
      <c r="L89" s="267"/>
      <c r="M89" s="267"/>
      <c r="N89" s="267"/>
      <c r="O89" s="267"/>
      <c r="P89" s="267"/>
      <c r="Q89" s="267"/>
      <c r="R89" s="267"/>
      <c r="S89" s="216"/>
      <c r="T89" s="216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</row>
    <row r="90" ht="14.25" customHeight="1">
      <c r="A90" s="216"/>
      <c r="B90" s="216"/>
      <c r="C90" s="216"/>
      <c r="D90" s="267"/>
      <c r="E90" s="267"/>
      <c r="F90" s="267"/>
      <c r="G90" s="267"/>
      <c r="H90" s="267"/>
      <c r="I90" s="267"/>
      <c r="J90" s="267"/>
      <c r="K90" s="267"/>
      <c r="L90" s="267"/>
      <c r="M90" s="267"/>
      <c r="N90" s="267"/>
      <c r="O90" s="267"/>
      <c r="P90" s="267"/>
      <c r="Q90" s="267"/>
      <c r="R90" s="267"/>
      <c r="S90" s="216"/>
      <c r="T90" s="216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</row>
    <row r="91" ht="14.25" customHeight="1">
      <c r="A91" s="216"/>
      <c r="B91" s="216"/>
      <c r="C91" s="216"/>
      <c r="D91" s="267"/>
      <c r="E91" s="267"/>
      <c r="F91" s="267"/>
      <c r="G91" s="267"/>
      <c r="H91" s="267"/>
      <c r="I91" s="267"/>
      <c r="J91" s="267"/>
      <c r="K91" s="267"/>
      <c r="L91" s="267"/>
      <c r="M91" s="267"/>
      <c r="N91" s="267"/>
      <c r="O91" s="267"/>
      <c r="P91" s="267"/>
      <c r="Q91" s="267"/>
      <c r="R91" s="267"/>
      <c r="S91" s="216"/>
      <c r="T91" s="216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</row>
    <row r="92" ht="14.25" customHeight="1">
      <c r="A92" s="216"/>
      <c r="B92" s="216"/>
      <c r="C92" s="216"/>
      <c r="D92" s="267"/>
      <c r="E92" s="267"/>
      <c r="F92" s="267"/>
      <c r="G92" s="267"/>
      <c r="H92" s="267"/>
      <c r="I92" s="267"/>
      <c r="J92" s="267"/>
      <c r="K92" s="267"/>
      <c r="L92" s="267"/>
      <c r="M92" s="267"/>
      <c r="N92" s="267"/>
      <c r="O92" s="267"/>
      <c r="P92" s="267"/>
      <c r="Q92" s="267"/>
      <c r="R92" s="267"/>
      <c r="S92" s="216"/>
      <c r="T92" s="216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</row>
    <row r="93" ht="14.25" customHeight="1">
      <c r="A93" s="216"/>
      <c r="B93" s="216"/>
      <c r="C93" s="216"/>
      <c r="D93" s="267"/>
      <c r="E93" s="267"/>
      <c r="F93" s="267"/>
      <c r="G93" s="267"/>
      <c r="H93" s="267"/>
      <c r="I93" s="267"/>
      <c r="J93" s="267"/>
      <c r="K93" s="267"/>
      <c r="L93" s="267"/>
      <c r="M93" s="267"/>
      <c r="N93" s="267"/>
      <c r="O93" s="267"/>
      <c r="P93" s="267"/>
      <c r="Q93" s="267"/>
      <c r="R93" s="267"/>
      <c r="S93" s="216"/>
      <c r="T93" s="216"/>
      <c r="U93" s="216"/>
      <c r="V93" s="216"/>
      <c r="W93" s="216"/>
      <c r="X93" s="216"/>
      <c r="Y93" s="216"/>
      <c r="Z93" s="216"/>
      <c r="AA93" s="216"/>
      <c r="AB93" s="216"/>
      <c r="AC93" s="216"/>
      <c r="AD93" s="216"/>
      <c r="AE93" s="216"/>
      <c r="AF93" s="216"/>
    </row>
    <row r="94" ht="14.25" customHeight="1">
      <c r="A94" s="216"/>
      <c r="B94" s="216"/>
      <c r="C94" s="216"/>
      <c r="D94" s="267"/>
      <c r="E94" s="267"/>
      <c r="F94" s="267"/>
      <c r="G94" s="267"/>
      <c r="H94" s="267"/>
      <c r="I94" s="267"/>
      <c r="J94" s="267"/>
      <c r="K94" s="267"/>
      <c r="L94" s="267"/>
      <c r="M94" s="267"/>
      <c r="N94" s="267"/>
      <c r="O94" s="267"/>
      <c r="P94" s="267"/>
      <c r="Q94" s="267"/>
      <c r="R94" s="267"/>
      <c r="S94" s="216"/>
      <c r="T94" s="216"/>
      <c r="U94" s="216"/>
      <c r="V94" s="216"/>
      <c r="W94" s="216"/>
      <c r="X94" s="216"/>
      <c r="Y94" s="216"/>
      <c r="Z94" s="216"/>
      <c r="AA94" s="216"/>
      <c r="AB94" s="216"/>
      <c r="AC94" s="216"/>
      <c r="AD94" s="216"/>
      <c r="AE94" s="216"/>
      <c r="AF94" s="216"/>
    </row>
    <row r="95" ht="14.25" customHeight="1">
      <c r="A95" s="216"/>
      <c r="B95" s="216"/>
      <c r="C95" s="216"/>
      <c r="D95" s="267"/>
      <c r="E95" s="267"/>
      <c r="F95" s="267"/>
      <c r="G95" s="267"/>
      <c r="H95" s="267"/>
      <c r="I95" s="267"/>
      <c r="J95" s="267"/>
      <c r="K95" s="267"/>
      <c r="L95" s="267"/>
      <c r="M95" s="267"/>
      <c r="N95" s="267"/>
      <c r="O95" s="267"/>
      <c r="P95" s="267"/>
      <c r="Q95" s="267"/>
      <c r="R95" s="267"/>
      <c r="S95" s="216"/>
      <c r="T95" s="216"/>
      <c r="U95" s="216"/>
      <c r="V95" s="216"/>
      <c r="W95" s="216"/>
      <c r="X95" s="216"/>
      <c r="Y95" s="216"/>
      <c r="Z95" s="216"/>
      <c r="AA95" s="216"/>
      <c r="AB95" s="216"/>
      <c r="AC95" s="216"/>
      <c r="AD95" s="216"/>
      <c r="AE95" s="216"/>
      <c r="AF95" s="216"/>
    </row>
    <row r="96" ht="14.25" customHeight="1">
      <c r="A96" s="216"/>
      <c r="B96" s="216"/>
      <c r="C96" s="216"/>
      <c r="D96" s="267"/>
      <c r="E96" s="267"/>
      <c r="F96" s="267"/>
      <c r="G96" s="267"/>
      <c r="H96" s="267"/>
      <c r="I96" s="267"/>
      <c r="J96" s="267"/>
      <c r="K96" s="267"/>
      <c r="L96" s="267"/>
      <c r="M96" s="267"/>
      <c r="N96" s="267"/>
      <c r="O96" s="267"/>
      <c r="P96" s="267"/>
      <c r="Q96" s="267"/>
      <c r="R96" s="267"/>
      <c r="S96" s="216"/>
      <c r="T96" s="216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</row>
    <row r="97" ht="14.25" customHeight="1">
      <c r="A97" s="216"/>
      <c r="B97" s="216"/>
      <c r="C97" s="216"/>
      <c r="D97" s="267"/>
      <c r="E97" s="267"/>
      <c r="F97" s="267"/>
      <c r="G97" s="267"/>
      <c r="H97" s="267"/>
      <c r="I97" s="267"/>
      <c r="J97" s="267"/>
      <c r="K97" s="267"/>
      <c r="L97" s="267"/>
      <c r="M97" s="267"/>
      <c r="N97" s="267"/>
      <c r="O97" s="267"/>
      <c r="P97" s="267"/>
      <c r="Q97" s="267"/>
      <c r="R97" s="267"/>
      <c r="S97" s="216"/>
      <c r="T97" s="216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</row>
    <row r="98" ht="14.25" customHeight="1">
      <c r="A98" s="216"/>
      <c r="B98" s="216"/>
      <c r="C98" s="216"/>
      <c r="D98" s="267"/>
      <c r="E98" s="267"/>
      <c r="F98" s="267"/>
      <c r="G98" s="267"/>
      <c r="H98" s="267"/>
      <c r="I98" s="267"/>
      <c r="J98" s="267"/>
      <c r="K98" s="267"/>
      <c r="L98" s="267"/>
      <c r="M98" s="267"/>
      <c r="N98" s="267"/>
      <c r="O98" s="267"/>
      <c r="P98" s="267"/>
      <c r="Q98" s="267"/>
      <c r="R98" s="267"/>
      <c r="S98" s="216"/>
      <c r="T98" s="216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</row>
    <row r="99" ht="14.25" customHeight="1">
      <c r="A99" s="216"/>
      <c r="B99" s="216"/>
      <c r="C99" s="216"/>
      <c r="D99" s="267"/>
      <c r="E99" s="267"/>
      <c r="F99" s="267"/>
      <c r="G99" s="267"/>
      <c r="H99" s="267"/>
      <c r="I99" s="267"/>
      <c r="J99" s="267"/>
      <c r="K99" s="267"/>
      <c r="L99" s="267"/>
      <c r="M99" s="267"/>
      <c r="N99" s="267"/>
      <c r="O99" s="267"/>
      <c r="P99" s="267"/>
      <c r="Q99" s="267"/>
      <c r="R99" s="267"/>
      <c r="S99" s="216"/>
      <c r="T99" s="216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</row>
    <row r="100" ht="14.25" customHeight="1">
      <c r="A100" s="216"/>
      <c r="B100" s="216"/>
      <c r="C100" s="216"/>
      <c r="D100" s="267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16"/>
      <c r="T100" s="216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</row>
    <row r="101" ht="14.25" customHeight="1">
      <c r="A101" s="216"/>
      <c r="B101" s="216"/>
      <c r="C101" s="216"/>
      <c r="D101" s="267"/>
      <c r="E101" s="267"/>
      <c r="F101" s="267"/>
      <c r="G101" s="267"/>
      <c r="H101" s="267"/>
      <c r="I101" s="267"/>
      <c r="J101" s="267"/>
      <c r="K101" s="267"/>
      <c r="L101" s="267"/>
      <c r="M101" s="267"/>
      <c r="N101" s="267"/>
      <c r="O101" s="267"/>
      <c r="P101" s="267"/>
      <c r="Q101" s="267"/>
      <c r="R101" s="267"/>
      <c r="S101" s="216"/>
      <c r="T101" s="216"/>
      <c r="U101" s="216"/>
      <c r="V101" s="216"/>
      <c r="W101" s="216"/>
      <c r="X101" s="216"/>
      <c r="Y101" s="216"/>
      <c r="Z101" s="216"/>
      <c r="AA101" s="216"/>
      <c r="AB101" s="216"/>
      <c r="AC101" s="216"/>
      <c r="AD101" s="216"/>
      <c r="AE101" s="216"/>
      <c r="AF101" s="216"/>
    </row>
    <row r="102" ht="14.25" customHeight="1">
      <c r="A102" s="216"/>
      <c r="B102" s="216"/>
      <c r="C102" s="216"/>
      <c r="D102" s="267"/>
      <c r="E102" s="267"/>
      <c r="F102" s="267"/>
      <c r="G102" s="267"/>
      <c r="H102" s="267"/>
      <c r="I102" s="267"/>
      <c r="J102" s="267"/>
      <c r="K102" s="267"/>
      <c r="L102" s="267"/>
      <c r="M102" s="267"/>
      <c r="N102" s="267"/>
      <c r="O102" s="267"/>
      <c r="P102" s="267"/>
      <c r="Q102" s="267"/>
      <c r="R102" s="267"/>
      <c r="S102" s="216"/>
      <c r="T102" s="216"/>
      <c r="U102" s="216"/>
      <c r="V102" s="216"/>
      <c r="W102" s="216"/>
      <c r="X102" s="216"/>
      <c r="Y102" s="216"/>
      <c r="Z102" s="216"/>
      <c r="AA102" s="216"/>
      <c r="AB102" s="216"/>
      <c r="AC102" s="216"/>
      <c r="AD102" s="216"/>
      <c r="AE102" s="216"/>
      <c r="AF102" s="216"/>
    </row>
    <row r="103" ht="14.25" customHeight="1">
      <c r="A103" s="216"/>
      <c r="B103" s="216"/>
      <c r="C103" s="216"/>
      <c r="D103" s="267"/>
      <c r="E103" s="267"/>
      <c r="F103" s="267"/>
      <c r="G103" s="267"/>
      <c r="H103" s="267"/>
      <c r="I103" s="267"/>
      <c r="J103" s="267"/>
      <c r="K103" s="267"/>
      <c r="L103" s="267"/>
      <c r="M103" s="267"/>
      <c r="N103" s="267"/>
      <c r="O103" s="267"/>
      <c r="P103" s="267"/>
      <c r="Q103" s="267"/>
      <c r="R103" s="267"/>
      <c r="S103" s="216"/>
      <c r="T103" s="216"/>
      <c r="U103" s="216"/>
      <c r="V103" s="216"/>
      <c r="W103" s="216"/>
      <c r="X103" s="216"/>
      <c r="Y103" s="216"/>
      <c r="Z103" s="216"/>
      <c r="AA103" s="216"/>
      <c r="AB103" s="216"/>
      <c r="AC103" s="216"/>
      <c r="AD103" s="216"/>
      <c r="AE103" s="216"/>
      <c r="AF103" s="216"/>
    </row>
    <row r="104" ht="14.25" customHeight="1">
      <c r="A104" s="216"/>
      <c r="B104" s="216"/>
      <c r="C104" s="216"/>
      <c r="D104" s="267"/>
      <c r="E104" s="267"/>
      <c r="F104" s="267"/>
      <c r="G104" s="267"/>
      <c r="H104" s="267"/>
      <c r="I104" s="267"/>
      <c r="J104" s="267"/>
      <c r="K104" s="267"/>
      <c r="L104" s="267"/>
      <c r="M104" s="267"/>
      <c r="N104" s="267"/>
      <c r="O104" s="267"/>
      <c r="P104" s="267"/>
      <c r="Q104" s="267"/>
      <c r="R104" s="267"/>
      <c r="S104" s="216"/>
      <c r="T104" s="216"/>
      <c r="U104" s="216"/>
      <c r="V104" s="216"/>
      <c r="W104" s="216"/>
      <c r="X104" s="216"/>
      <c r="Y104" s="216"/>
      <c r="Z104" s="216"/>
      <c r="AA104" s="216"/>
      <c r="AB104" s="216"/>
      <c r="AC104" s="216"/>
      <c r="AD104" s="216"/>
      <c r="AE104" s="216"/>
      <c r="AF104" s="216"/>
    </row>
    <row r="105" ht="14.25" customHeight="1">
      <c r="A105" s="216"/>
      <c r="B105" s="216"/>
      <c r="C105" s="216"/>
      <c r="D105" s="267"/>
      <c r="E105" s="267"/>
      <c r="F105" s="267"/>
      <c r="G105" s="267"/>
      <c r="H105" s="267"/>
      <c r="I105" s="267"/>
      <c r="J105" s="267"/>
      <c r="K105" s="267"/>
      <c r="L105" s="267"/>
      <c r="M105" s="267"/>
      <c r="N105" s="267"/>
      <c r="O105" s="267"/>
      <c r="P105" s="267"/>
      <c r="Q105" s="267"/>
      <c r="R105" s="267"/>
      <c r="S105" s="216"/>
      <c r="T105" s="216"/>
      <c r="U105" s="216"/>
      <c r="V105" s="216"/>
      <c r="W105" s="216"/>
      <c r="X105" s="216"/>
      <c r="Y105" s="216"/>
      <c r="Z105" s="216"/>
      <c r="AA105" s="216"/>
      <c r="AB105" s="216"/>
      <c r="AC105" s="216"/>
      <c r="AD105" s="216"/>
      <c r="AE105" s="216"/>
      <c r="AF105" s="216"/>
    </row>
    <row r="106" ht="14.25" customHeight="1">
      <c r="A106" s="216"/>
      <c r="B106" s="216"/>
      <c r="C106" s="216"/>
      <c r="D106" s="267"/>
      <c r="E106" s="267"/>
      <c r="F106" s="267"/>
      <c r="G106" s="267"/>
      <c r="H106" s="267"/>
      <c r="I106" s="267"/>
      <c r="J106" s="267"/>
      <c r="K106" s="267"/>
      <c r="L106" s="267"/>
      <c r="M106" s="267"/>
      <c r="N106" s="267"/>
      <c r="O106" s="267"/>
      <c r="P106" s="267"/>
      <c r="Q106" s="267"/>
      <c r="R106" s="267"/>
      <c r="S106" s="216"/>
      <c r="T106" s="216"/>
      <c r="U106" s="216"/>
      <c r="V106" s="216"/>
      <c r="W106" s="216"/>
      <c r="X106" s="216"/>
      <c r="Y106" s="216"/>
      <c r="Z106" s="216"/>
      <c r="AA106" s="216"/>
      <c r="AB106" s="216"/>
      <c r="AC106" s="216"/>
      <c r="AD106" s="216"/>
      <c r="AE106" s="216"/>
      <c r="AF106" s="216"/>
    </row>
    <row r="107" ht="15.75" customHeight="1">
      <c r="A107" s="216"/>
      <c r="B107" s="216"/>
      <c r="C107" s="216"/>
      <c r="D107" s="267"/>
      <c r="E107" s="267"/>
      <c r="F107" s="267"/>
      <c r="G107" s="392"/>
      <c r="H107" s="267"/>
      <c r="I107" s="392"/>
      <c r="J107" s="392"/>
      <c r="K107" s="392"/>
      <c r="L107" s="392"/>
      <c r="M107" s="392"/>
      <c r="N107" s="392"/>
      <c r="O107" s="392"/>
      <c r="P107" s="392"/>
      <c r="Q107" s="392"/>
      <c r="R107" s="392"/>
      <c r="S107" s="392"/>
      <c r="T107" s="392"/>
      <c r="U107" s="392"/>
      <c r="V107" s="392"/>
      <c r="W107" s="392"/>
      <c r="X107" s="392"/>
      <c r="Y107" s="392"/>
      <c r="Z107" s="392"/>
      <c r="AA107" s="392"/>
      <c r="AB107" s="392"/>
      <c r="AC107" s="392"/>
      <c r="AD107" s="392"/>
      <c r="AE107" s="392"/>
      <c r="AF107" s="392"/>
    </row>
    <row r="108" ht="15.75" customHeight="1">
      <c r="A108" s="216"/>
      <c r="B108" s="216"/>
      <c r="C108" s="216"/>
      <c r="D108" s="267"/>
      <c r="E108" s="392"/>
      <c r="F108" s="267"/>
      <c r="G108" s="392"/>
      <c r="H108" s="267"/>
      <c r="I108" s="392"/>
      <c r="J108" s="392"/>
      <c r="K108" s="392"/>
      <c r="L108" s="392"/>
      <c r="M108" s="392"/>
      <c r="N108" s="392"/>
      <c r="O108" s="392"/>
      <c r="P108" s="392"/>
      <c r="Q108" s="392"/>
      <c r="R108" s="392"/>
      <c r="S108" s="392"/>
      <c r="T108" s="392"/>
      <c r="U108" s="392"/>
      <c r="V108" s="392"/>
      <c r="W108" s="392"/>
      <c r="X108" s="392"/>
      <c r="Y108" s="392"/>
      <c r="Z108" s="392"/>
      <c r="AA108" s="392"/>
      <c r="AB108" s="392"/>
      <c r="AC108" s="392"/>
      <c r="AD108" s="392"/>
      <c r="AE108" s="392"/>
      <c r="AF108" s="392"/>
    </row>
    <row r="109" ht="15.75" customHeight="1">
      <c r="A109" s="216"/>
      <c r="B109" s="216"/>
      <c r="C109" s="216"/>
      <c r="D109" s="267"/>
      <c r="E109" s="392"/>
      <c r="F109" s="267"/>
      <c r="G109" s="392"/>
      <c r="H109" s="267"/>
      <c r="I109" s="392"/>
      <c r="J109" s="392"/>
      <c r="K109" s="392"/>
      <c r="L109" s="392"/>
      <c r="M109" s="392"/>
      <c r="N109" s="392"/>
      <c r="O109" s="392"/>
      <c r="P109" s="392"/>
      <c r="Q109" s="392"/>
      <c r="R109" s="392"/>
      <c r="S109" s="392"/>
      <c r="T109" s="392"/>
      <c r="U109" s="392"/>
      <c r="V109" s="392"/>
      <c r="W109" s="392"/>
      <c r="X109" s="392"/>
      <c r="Y109" s="392"/>
      <c r="Z109" s="392"/>
      <c r="AA109" s="392"/>
      <c r="AB109" s="392"/>
      <c r="AC109" s="392"/>
      <c r="AD109" s="392"/>
      <c r="AE109" s="392"/>
      <c r="AF109" s="392"/>
    </row>
    <row r="110" ht="15.75" customHeight="1">
      <c r="A110" s="216"/>
      <c r="B110" s="216"/>
      <c r="C110" s="216"/>
      <c r="D110" s="267"/>
      <c r="E110" s="392"/>
      <c r="F110" s="267"/>
      <c r="G110" s="392"/>
      <c r="H110" s="267"/>
      <c r="I110" s="392"/>
      <c r="J110" s="392"/>
      <c r="K110" s="392"/>
      <c r="L110" s="392"/>
      <c r="M110" s="392"/>
      <c r="N110" s="392"/>
      <c r="O110" s="392"/>
      <c r="P110" s="392"/>
      <c r="Q110" s="392"/>
      <c r="R110" s="392"/>
      <c r="S110" s="392"/>
      <c r="T110" s="392"/>
      <c r="U110" s="392"/>
      <c r="V110" s="392"/>
      <c r="W110" s="392"/>
      <c r="X110" s="392"/>
      <c r="Y110" s="392"/>
      <c r="Z110" s="392"/>
      <c r="AA110" s="392"/>
      <c r="AB110" s="392"/>
      <c r="AC110" s="392"/>
      <c r="AD110" s="392"/>
      <c r="AE110" s="392"/>
      <c r="AF110" s="392"/>
    </row>
    <row r="111" ht="15.75" customHeight="1">
      <c r="A111" s="216"/>
      <c r="B111" s="216"/>
      <c r="C111" s="216"/>
      <c r="D111" s="267"/>
      <c r="E111" s="392"/>
      <c r="F111" s="267"/>
      <c r="G111" s="392"/>
      <c r="H111" s="267"/>
      <c r="I111" s="392"/>
      <c r="J111" s="392"/>
      <c r="K111" s="392"/>
      <c r="L111" s="392"/>
      <c r="M111" s="392"/>
      <c r="N111" s="392"/>
      <c r="O111" s="392"/>
      <c r="P111" s="392"/>
      <c r="Q111" s="392"/>
      <c r="R111" s="392"/>
      <c r="S111" s="392"/>
      <c r="T111" s="392"/>
      <c r="U111" s="392"/>
      <c r="V111" s="392"/>
      <c r="W111" s="392"/>
      <c r="X111" s="392"/>
      <c r="Y111" s="392"/>
      <c r="Z111" s="392"/>
      <c r="AA111" s="392"/>
      <c r="AB111" s="392"/>
      <c r="AC111" s="392"/>
      <c r="AD111" s="392"/>
      <c r="AE111" s="392"/>
      <c r="AF111" s="392"/>
    </row>
    <row r="112" ht="15.75" customHeight="1">
      <c r="A112" s="216"/>
      <c r="B112" s="216"/>
      <c r="C112" s="216"/>
      <c r="D112" s="267"/>
      <c r="E112" s="392"/>
      <c r="F112" s="267"/>
      <c r="G112" s="392"/>
      <c r="H112" s="267"/>
      <c r="I112" s="392"/>
      <c r="J112" s="392"/>
      <c r="K112" s="392"/>
      <c r="L112" s="392"/>
      <c r="M112" s="392"/>
      <c r="N112" s="392"/>
      <c r="O112" s="392"/>
      <c r="P112" s="392"/>
      <c r="Q112" s="392"/>
      <c r="R112" s="392"/>
      <c r="S112" s="392"/>
      <c r="T112" s="392"/>
      <c r="U112" s="392"/>
      <c r="V112" s="392"/>
      <c r="W112" s="392"/>
      <c r="X112" s="392"/>
      <c r="Y112" s="392"/>
      <c r="Z112" s="392"/>
      <c r="AA112" s="392"/>
      <c r="AB112" s="392"/>
      <c r="AC112" s="392"/>
      <c r="AD112" s="392"/>
      <c r="AE112" s="392"/>
      <c r="AF112" s="392"/>
    </row>
    <row r="113" ht="15.75" customHeight="1">
      <c r="A113" s="216"/>
      <c r="B113" s="216"/>
      <c r="C113" s="216"/>
      <c r="D113" s="267"/>
      <c r="E113" s="392"/>
      <c r="F113" s="267"/>
      <c r="G113" s="392"/>
      <c r="H113" s="267"/>
      <c r="I113" s="392"/>
      <c r="J113" s="392"/>
      <c r="K113" s="392"/>
      <c r="L113" s="392"/>
      <c r="M113" s="392"/>
      <c r="N113" s="392"/>
      <c r="O113" s="392"/>
      <c r="P113" s="392"/>
      <c r="Q113" s="392"/>
      <c r="R113" s="392"/>
      <c r="S113" s="392"/>
      <c r="T113" s="392"/>
      <c r="U113" s="392"/>
      <c r="V113" s="392"/>
      <c r="W113" s="392"/>
      <c r="X113" s="392"/>
      <c r="Y113" s="392"/>
      <c r="Z113" s="392"/>
      <c r="AA113" s="392"/>
      <c r="AB113" s="392"/>
      <c r="AC113" s="392"/>
      <c r="AD113" s="392"/>
      <c r="AE113" s="392"/>
      <c r="AF113" s="392"/>
    </row>
    <row r="114" ht="15.75" customHeight="1">
      <c r="A114" s="216"/>
      <c r="B114" s="216"/>
      <c r="C114" s="216"/>
      <c r="D114" s="267"/>
      <c r="E114" s="392"/>
      <c r="F114" s="267"/>
      <c r="G114" s="392"/>
      <c r="H114" s="267"/>
      <c r="I114" s="392"/>
      <c r="J114" s="392"/>
      <c r="K114" s="392"/>
      <c r="L114" s="392"/>
      <c r="M114" s="392"/>
      <c r="N114" s="392"/>
      <c r="O114" s="392"/>
      <c r="P114" s="392"/>
      <c r="Q114" s="392"/>
      <c r="R114" s="392"/>
      <c r="S114" s="392"/>
      <c r="T114" s="392"/>
      <c r="U114" s="392"/>
      <c r="V114" s="392"/>
      <c r="W114" s="392"/>
      <c r="X114" s="392"/>
      <c r="Y114" s="392"/>
      <c r="Z114" s="392"/>
      <c r="AA114" s="392"/>
      <c r="AB114" s="392"/>
      <c r="AC114" s="392"/>
      <c r="AD114" s="392"/>
      <c r="AE114" s="392"/>
      <c r="AF114" s="392"/>
    </row>
    <row r="115" ht="15.75" customHeight="1">
      <c r="A115" s="216"/>
      <c r="B115" s="216"/>
      <c r="C115" s="216"/>
      <c r="D115" s="267"/>
      <c r="E115" s="392"/>
      <c r="F115" s="267"/>
      <c r="G115" s="392"/>
      <c r="H115" s="267"/>
      <c r="I115" s="392"/>
      <c r="J115" s="392"/>
      <c r="K115" s="392"/>
      <c r="L115" s="392"/>
      <c r="M115" s="392"/>
      <c r="N115" s="392"/>
      <c r="O115" s="392"/>
      <c r="P115" s="392"/>
      <c r="Q115" s="392"/>
      <c r="R115" s="392"/>
      <c r="S115" s="392"/>
      <c r="T115" s="392"/>
      <c r="U115" s="392"/>
      <c r="V115" s="392"/>
      <c r="W115" s="392"/>
      <c r="X115" s="392"/>
      <c r="Y115" s="392"/>
      <c r="Z115" s="392"/>
      <c r="AA115" s="392"/>
      <c r="AB115" s="392"/>
      <c r="AC115" s="392"/>
      <c r="AD115" s="392"/>
      <c r="AE115" s="392"/>
      <c r="AF115" s="392"/>
    </row>
    <row r="116" ht="15.75" customHeight="1">
      <c r="A116" s="216"/>
      <c r="B116" s="216"/>
      <c r="C116" s="216"/>
      <c r="D116" s="267"/>
      <c r="E116" s="392"/>
      <c r="F116" s="267"/>
      <c r="G116" s="392"/>
      <c r="H116" s="267"/>
      <c r="I116" s="392"/>
      <c r="J116" s="392"/>
      <c r="K116" s="392"/>
      <c r="L116" s="392"/>
      <c r="M116" s="392"/>
      <c r="N116" s="392"/>
      <c r="O116" s="392"/>
      <c r="P116" s="392"/>
      <c r="Q116" s="392"/>
      <c r="R116" s="392"/>
      <c r="S116" s="392"/>
      <c r="T116" s="392"/>
      <c r="U116" s="392"/>
      <c r="V116" s="392"/>
      <c r="W116" s="392"/>
      <c r="X116" s="392"/>
      <c r="Y116" s="392"/>
      <c r="Z116" s="392"/>
      <c r="AA116" s="392"/>
      <c r="AB116" s="392"/>
      <c r="AC116" s="392"/>
      <c r="AD116" s="392"/>
      <c r="AE116" s="392"/>
      <c r="AF116" s="392"/>
    </row>
    <row r="117" ht="15.75" customHeight="1">
      <c r="A117" s="216"/>
      <c r="B117" s="216"/>
      <c r="C117" s="216"/>
      <c r="D117" s="267"/>
      <c r="E117" s="392"/>
      <c r="F117" s="267"/>
      <c r="G117" s="392"/>
      <c r="H117" s="267"/>
      <c r="I117" s="392"/>
      <c r="J117" s="392"/>
      <c r="K117" s="392"/>
      <c r="L117" s="392"/>
      <c r="M117" s="392"/>
      <c r="N117" s="392"/>
      <c r="O117" s="392"/>
      <c r="P117" s="392"/>
      <c r="Q117" s="392"/>
      <c r="R117" s="392"/>
      <c r="S117" s="392"/>
      <c r="T117" s="392"/>
      <c r="U117" s="392"/>
      <c r="V117" s="392"/>
      <c r="W117" s="392"/>
      <c r="X117" s="392"/>
      <c r="Y117" s="392"/>
      <c r="Z117" s="392"/>
      <c r="AA117" s="392"/>
      <c r="AB117" s="392"/>
      <c r="AC117" s="392"/>
      <c r="AD117" s="392"/>
      <c r="AE117" s="392"/>
      <c r="AF117" s="392"/>
    </row>
    <row r="118" ht="15.75" customHeight="1">
      <c r="A118" s="216"/>
      <c r="B118" s="216"/>
      <c r="C118" s="216"/>
      <c r="D118" s="267"/>
      <c r="E118" s="392"/>
      <c r="F118" s="267"/>
      <c r="G118" s="392"/>
      <c r="H118" s="267"/>
      <c r="I118" s="392"/>
      <c r="J118" s="392"/>
      <c r="K118" s="392"/>
      <c r="L118" s="392"/>
      <c r="M118" s="392"/>
      <c r="N118" s="392"/>
      <c r="O118" s="392"/>
      <c r="P118" s="392"/>
      <c r="Q118" s="392"/>
      <c r="R118" s="392"/>
      <c r="S118" s="392"/>
      <c r="T118" s="392"/>
      <c r="U118" s="392"/>
      <c r="V118" s="392"/>
      <c r="W118" s="392"/>
      <c r="X118" s="392"/>
      <c r="Y118" s="392"/>
      <c r="Z118" s="392"/>
      <c r="AA118" s="392"/>
      <c r="AB118" s="392"/>
      <c r="AC118" s="392"/>
      <c r="AD118" s="392"/>
      <c r="AE118" s="392"/>
      <c r="AF118" s="392"/>
    </row>
    <row r="119" ht="15.75" customHeight="1">
      <c r="A119" s="216"/>
      <c r="B119" s="216"/>
      <c r="C119" s="216"/>
      <c r="D119" s="267"/>
      <c r="E119" s="392"/>
      <c r="F119" s="267"/>
      <c r="G119" s="392"/>
      <c r="H119" s="267"/>
      <c r="I119" s="392"/>
      <c r="J119" s="392"/>
      <c r="K119" s="392"/>
      <c r="L119" s="392"/>
      <c r="M119" s="392"/>
      <c r="N119" s="392"/>
      <c r="O119" s="392"/>
      <c r="P119" s="392"/>
      <c r="Q119" s="392"/>
      <c r="R119" s="392"/>
      <c r="S119" s="392"/>
      <c r="T119" s="392"/>
      <c r="U119" s="392"/>
      <c r="V119" s="392"/>
      <c r="W119" s="392"/>
      <c r="X119" s="392"/>
      <c r="Y119" s="392"/>
      <c r="Z119" s="392"/>
      <c r="AA119" s="392"/>
      <c r="AB119" s="392"/>
      <c r="AC119" s="392"/>
      <c r="AD119" s="392"/>
      <c r="AE119" s="392"/>
      <c r="AF119" s="392"/>
    </row>
    <row r="120" ht="15.75" customHeight="1">
      <c r="A120" s="216"/>
      <c r="B120" s="216"/>
      <c r="C120" s="216"/>
      <c r="D120" s="267"/>
      <c r="E120" s="392"/>
      <c r="F120" s="267"/>
      <c r="G120" s="392"/>
      <c r="H120" s="267"/>
      <c r="I120" s="392"/>
      <c r="J120" s="392"/>
      <c r="K120" s="392"/>
      <c r="L120" s="392"/>
      <c r="M120" s="392"/>
      <c r="N120" s="392"/>
      <c r="O120" s="392"/>
      <c r="P120" s="392"/>
      <c r="Q120" s="392"/>
      <c r="R120" s="392"/>
      <c r="S120" s="392"/>
      <c r="T120" s="392"/>
      <c r="U120" s="392"/>
      <c r="V120" s="392"/>
      <c r="W120" s="392"/>
      <c r="X120" s="392"/>
      <c r="Y120" s="392"/>
      <c r="Z120" s="392"/>
      <c r="AA120" s="392"/>
      <c r="AB120" s="392"/>
      <c r="AC120" s="392"/>
      <c r="AD120" s="392"/>
      <c r="AE120" s="392"/>
      <c r="AF120" s="392"/>
    </row>
    <row r="121" ht="15.75" customHeight="1">
      <c r="A121" s="216"/>
      <c r="B121" s="216"/>
      <c r="C121" s="216"/>
      <c r="D121" s="267"/>
      <c r="E121" s="392"/>
      <c r="F121" s="267"/>
      <c r="G121" s="392"/>
      <c r="H121" s="267"/>
      <c r="I121" s="392"/>
      <c r="J121" s="392"/>
      <c r="K121" s="392"/>
      <c r="L121" s="392"/>
      <c r="M121" s="392"/>
      <c r="N121" s="392"/>
      <c r="O121" s="392"/>
      <c r="P121" s="392"/>
      <c r="Q121" s="392"/>
      <c r="R121" s="392"/>
      <c r="S121" s="392"/>
      <c r="T121" s="392"/>
      <c r="U121" s="392"/>
      <c r="V121" s="392"/>
      <c r="W121" s="392"/>
      <c r="X121" s="392"/>
      <c r="Y121" s="392"/>
      <c r="Z121" s="392"/>
      <c r="AA121" s="392"/>
      <c r="AB121" s="392"/>
      <c r="AC121" s="392"/>
      <c r="AD121" s="392"/>
      <c r="AE121" s="392"/>
      <c r="AF121" s="392"/>
    </row>
    <row r="122" ht="15.75" customHeight="1">
      <c r="A122" s="216"/>
      <c r="B122" s="216"/>
      <c r="C122" s="216"/>
      <c r="D122" s="267"/>
      <c r="E122" s="392"/>
      <c r="F122" s="267"/>
      <c r="G122" s="392"/>
      <c r="H122" s="267"/>
      <c r="I122" s="392"/>
      <c r="J122" s="392"/>
      <c r="K122" s="392"/>
      <c r="L122" s="392"/>
      <c r="M122" s="392"/>
      <c r="N122" s="392"/>
      <c r="O122" s="392"/>
      <c r="P122" s="392"/>
      <c r="Q122" s="392"/>
      <c r="R122" s="392"/>
      <c r="S122" s="392"/>
      <c r="T122" s="392"/>
      <c r="U122" s="392"/>
      <c r="V122" s="392"/>
      <c r="W122" s="392"/>
      <c r="X122" s="392"/>
      <c r="Y122" s="392"/>
      <c r="Z122" s="392"/>
      <c r="AA122" s="392"/>
      <c r="AB122" s="392"/>
      <c r="AC122" s="392"/>
      <c r="AD122" s="392"/>
      <c r="AE122" s="392"/>
      <c r="AF122" s="392"/>
    </row>
    <row r="123" ht="15.75" customHeight="1">
      <c r="A123" s="216"/>
      <c r="B123" s="216"/>
      <c r="C123" s="216"/>
      <c r="D123" s="267"/>
      <c r="E123" s="392"/>
      <c r="F123" s="267"/>
      <c r="G123" s="392"/>
      <c r="H123" s="267"/>
      <c r="I123" s="392"/>
      <c r="J123" s="392"/>
      <c r="K123" s="392"/>
      <c r="L123" s="392"/>
      <c r="M123" s="392"/>
      <c r="N123" s="392"/>
      <c r="O123" s="392"/>
      <c r="P123" s="392"/>
      <c r="Q123" s="392"/>
      <c r="R123" s="392"/>
      <c r="S123" s="392"/>
      <c r="T123" s="392"/>
      <c r="U123" s="392"/>
      <c r="V123" s="392"/>
      <c r="W123" s="392"/>
      <c r="X123" s="392"/>
      <c r="Y123" s="392"/>
      <c r="Z123" s="392"/>
      <c r="AA123" s="392"/>
      <c r="AB123" s="392"/>
      <c r="AC123" s="392"/>
      <c r="AD123" s="392"/>
      <c r="AE123" s="392"/>
      <c r="AF123" s="392"/>
    </row>
    <row r="124" ht="15.75" customHeight="1">
      <c r="A124" s="216"/>
      <c r="B124" s="216"/>
      <c r="C124" s="216"/>
      <c r="D124" s="267"/>
      <c r="E124" s="392"/>
      <c r="F124" s="267"/>
      <c r="G124" s="392"/>
      <c r="H124" s="267"/>
      <c r="I124" s="392"/>
      <c r="J124" s="392"/>
      <c r="K124" s="392"/>
      <c r="L124" s="392"/>
      <c r="M124" s="392"/>
      <c r="N124" s="392"/>
      <c r="O124" s="392"/>
      <c r="P124" s="392"/>
      <c r="Q124" s="392"/>
      <c r="R124" s="392"/>
      <c r="S124" s="392"/>
      <c r="T124" s="392"/>
      <c r="U124" s="392"/>
      <c r="V124" s="392"/>
      <c r="W124" s="392"/>
      <c r="X124" s="392"/>
      <c r="Y124" s="392"/>
      <c r="Z124" s="392"/>
      <c r="AA124" s="392"/>
      <c r="AB124" s="392"/>
      <c r="AC124" s="392"/>
      <c r="AD124" s="392"/>
      <c r="AE124" s="392"/>
      <c r="AF124" s="392"/>
    </row>
    <row r="125" ht="15.75" customHeight="1">
      <c r="A125" s="216"/>
      <c r="B125" s="216"/>
      <c r="C125" s="216"/>
      <c r="D125" s="267"/>
      <c r="E125" s="392"/>
      <c r="F125" s="267"/>
      <c r="G125" s="392"/>
      <c r="H125" s="267"/>
      <c r="I125" s="392"/>
      <c r="J125" s="392"/>
      <c r="K125" s="392"/>
      <c r="L125" s="392"/>
      <c r="M125" s="392"/>
      <c r="N125" s="392"/>
      <c r="O125" s="392"/>
      <c r="P125" s="392"/>
      <c r="Q125" s="392"/>
      <c r="R125" s="392"/>
      <c r="S125" s="392"/>
      <c r="T125" s="392"/>
      <c r="U125" s="392"/>
      <c r="V125" s="392"/>
      <c r="W125" s="392"/>
      <c r="X125" s="392"/>
      <c r="Y125" s="392"/>
      <c r="Z125" s="392"/>
      <c r="AA125" s="392"/>
      <c r="AB125" s="392"/>
      <c r="AC125" s="392"/>
      <c r="AD125" s="392"/>
      <c r="AE125" s="392"/>
      <c r="AF125" s="392"/>
    </row>
    <row r="126" ht="15.75" customHeight="1">
      <c r="A126" s="216"/>
      <c r="B126" s="216"/>
      <c r="C126" s="216"/>
      <c r="D126" s="267"/>
      <c r="E126" s="392"/>
      <c r="F126" s="267"/>
      <c r="G126" s="392"/>
      <c r="H126" s="267"/>
      <c r="I126" s="392"/>
      <c r="J126" s="392"/>
      <c r="K126" s="392"/>
      <c r="L126" s="392"/>
      <c r="M126" s="392"/>
      <c r="N126" s="392"/>
      <c r="O126" s="392"/>
      <c r="P126" s="392"/>
      <c r="Q126" s="392"/>
      <c r="R126" s="392"/>
      <c r="S126" s="392"/>
      <c r="T126" s="392"/>
      <c r="U126" s="392"/>
      <c r="V126" s="392"/>
      <c r="W126" s="392"/>
      <c r="X126" s="392"/>
      <c r="Y126" s="392"/>
      <c r="Z126" s="392"/>
      <c r="AA126" s="392"/>
      <c r="AB126" s="392"/>
      <c r="AC126" s="392"/>
      <c r="AD126" s="392"/>
      <c r="AE126" s="392"/>
      <c r="AF126" s="392"/>
    </row>
    <row r="127" ht="15.75" customHeight="1">
      <c r="A127" s="216"/>
      <c r="B127" s="216"/>
      <c r="C127" s="216"/>
      <c r="D127" s="267"/>
      <c r="E127" s="392"/>
      <c r="F127" s="267"/>
      <c r="G127" s="392"/>
      <c r="H127" s="267"/>
      <c r="I127" s="392"/>
      <c r="J127" s="392"/>
      <c r="K127" s="392"/>
      <c r="L127" s="392"/>
      <c r="M127" s="392"/>
      <c r="N127" s="392"/>
      <c r="O127" s="392"/>
      <c r="P127" s="392"/>
      <c r="Q127" s="392"/>
      <c r="R127" s="392"/>
      <c r="S127" s="392"/>
      <c r="T127" s="392"/>
      <c r="U127" s="392"/>
      <c r="V127" s="392"/>
      <c r="W127" s="392"/>
      <c r="X127" s="392"/>
      <c r="Y127" s="392"/>
      <c r="Z127" s="392"/>
      <c r="AA127" s="392"/>
      <c r="AB127" s="392"/>
      <c r="AC127" s="392"/>
      <c r="AD127" s="392"/>
      <c r="AE127" s="392"/>
      <c r="AF127" s="392"/>
    </row>
    <row r="128" ht="15.75" customHeight="1">
      <c r="A128" s="216"/>
      <c r="B128" s="216"/>
      <c r="C128" s="216"/>
      <c r="D128" s="267"/>
      <c r="E128" s="392"/>
      <c r="F128" s="267"/>
      <c r="G128" s="392"/>
      <c r="H128" s="267"/>
      <c r="I128" s="392"/>
      <c r="J128" s="392"/>
      <c r="K128" s="392"/>
      <c r="L128" s="392"/>
      <c r="M128" s="392"/>
      <c r="N128" s="392"/>
      <c r="O128" s="392"/>
      <c r="P128" s="392"/>
      <c r="Q128" s="392"/>
      <c r="R128" s="392"/>
      <c r="S128" s="392"/>
      <c r="T128" s="392"/>
      <c r="U128" s="392"/>
      <c r="V128" s="392"/>
      <c r="W128" s="392"/>
      <c r="X128" s="392"/>
      <c r="Y128" s="392"/>
      <c r="Z128" s="392"/>
      <c r="AA128" s="392"/>
      <c r="AB128" s="392"/>
      <c r="AC128" s="392"/>
      <c r="AD128" s="392"/>
      <c r="AE128" s="392"/>
      <c r="AF128" s="392"/>
    </row>
    <row r="129" ht="15.75" customHeight="1">
      <c r="A129" s="216"/>
      <c r="B129" s="216"/>
      <c r="C129" s="216"/>
      <c r="D129" s="267"/>
      <c r="E129" s="392"/>
      <c r="F129" s="267"/>
      <c r="G129" s="392"/>
      <c r="H129" s="267"/>
      <c r="I129" s="392"/>
      <c r="J129" s="392"/>
      <c r="K129" s="392"/>
      <c r="L129" s="392"/>
      <c r="M129" s="392"/>
      <c r="N129" s="392"/>
      <c r="O129" s="392"/>
      <c r="P129" s="392"/>
      <c r="Q129" s="392"/>
      <c r="R129" s="392"/>
      <c r="S129" s="392"/>
      <c r="T129" s="392"/>
      <c r="U129" s="392"/>
      <c r="V129" s="392"/>
      <c r="W129" s="392"/>
      <c r="X129" s="392"/>
      <c r="Y129" s="392"/>
      <c r="Z129" s="392"/>
      <c r="AA129" s="392"/>
      <c r="AB129" s="392"/>
      <c r="AC129" s="392"/>
      <c r="AD129" s="392"/>
      <c r="AE129" s="392"/>
      <c r="AF129" s="392"/>
    </row>
    <row r="130" ht="15.75" customHeight="1">
      <c r="A130" s="216"/>
      <c r="B130" s="216"/>
      <c r="C130" s="216"/>
      <c r="D130" s="267"/>
      <c r="E130" s="392"/>
      <c r="F130" s="267"/>
      <c r="G130" s="392"/>
      <c r="H130" s="267"/>
      <c r="I130" s="392"/>
      <c r="J130" s="392"/>
      <c r="K130" s="392"/>
      <c r="L130" s="392"/>
      <c r="M130" s="392"/>
      <c r="N130" s="392"/>
      <c r="O130" s="392"/>
      <c r="P130" s="392"/>
      <c r="Q130" s="392"/>
      <c r="R130" s="392"/>
      <c r="S130" s="392"/>
      <c r="T130" s="392"/>
      <c r="U130" s="392"/>
      <c r="V130" s="392"/>
      <c r="W130" s="392"/>
      <c r="X130" s="392"/>
      <c r="Y130" s="392"/>
      <c r="Z130" s="392"/>
      <c r="AA130" s="392"/>
      <c r="AB130" s="392"/>
      <c r="AC130" s="392"/>
      <c r="AD130" s="392"/>
      <c r="AE130" s="392"/>
      <c r="AF130" s="392"/>
    </row>
    <row r="131" ht="15.75" customHeight="1">
      <c r="A131" s="216"/>
      <c r="B131" s="216"/>
      <c r="C131" s="216"/>
      <c r="D131" s="267"/>
      <c r="E131" s="392"/>
      <c r="F131" s="267"/>
      <c r="G131" s="392"/>
      <c r="H131" s="267"/>
      <c r="I131" s="392"/>
      <c r="J131" s="392"/>
      <c r="K131" s="392"/>
      <c r="L131" s="392"/>
      <c r="M131" s="392"/>
      <c r="N131" s="392"/>
      <c r="O131" s="392"/>
      <c r="P131" s="392"/>
      <c r="Q131" s="392"/>
      <c r="R131" s="392"/>
      <c r="S131" s="392"/>
      <c r="T131" s="392"/>
      <c r="U131" s="392"/>
      <c r="V131" s="392"/>
      <c r="W131" s="392"/>
      <c r="X131" s="392"/>
      <c r="Y131" s="392"/>
      <c r="Z131" s="392"/>
      <c r="AA131" s="392"/>
      <c r="AB131" s="392"/>
      <c r="AC131" s="392"/>
      <c r="AD131" s="392"/>
      <c r="AE131" s="392"/>
      <c r="AF131" s="392"/>
    </row>
    <row r="132" ht="15.75" customHeight="1">
      <c r="A132" s="216"/>
      <c r="B132" s="216"/>
      <c r="C132" s="216"/>
      <c r="D132" s="267"/>
      <c r="E132" s="392"/>
      <c r="F132" s="267"/>
      <c r="G132" s="392"/>
      <c r="H132" s="267"/>
      <c r="I132" s="392"/>
      <c r="J132" s="392"/>
      <c r="K132" s="392"/>
      <c r="L132" s="392"/>
      <c r="M132" s="392"/>
      <c r="N132" s="392"/>
      <c r="O132" s="392"/>
      <c r="P132" s="392"/>
      <c r="Q132" s="392"/>
      <c r="R132" s="392"/>
      <c r="S132" s="392"/>
      <c r="T132" s="392"/>
      <c r="U132" s="392"/>
      <c r="V132" s="392"/>
      <c r="W132" s="392"/>
      <c r="X132" s="392"/>
      <c r="Y132" s="392"/>
      <c r="Z132" s="392"/>
      <c r="AA132" s="392"/>
      <c r="AB132" s="392"/>
      <c r="AC132" s="392"/>
      <c r="AD132" s="392"/>
      <c r="AE132" s="392"/>
      <c r="AF132" s="392"/>
    </row>
    <row r="133" ht="15.75" customHeight="1">
      <c r="A133" s="216"/>
      <c r="B133" s="216"/>
      <c r="C133" s="216"/>
      <c r="D133" s="267"/>
      <c r="E133" s="392"/>
      <c r="F133" s="267"/>
      <c r="G133" s="392"/>
      <c r="H133" s="267"/>
      <c r="I133" s="392"/>
      <c r="J133" s="392"/>
      <c r="K133" s="392"/>
      <c r="L133" s="392"/>
      <c r="M133" s="392"/>
      <c r="N133" s="392"/>
      <c r="O133" s="392"/>
      <c r="P133" s="392"/>
      <c r="Q133" s="392"/>
      <c r="R133" s="392"/>
      <c r="S133" s="392"/>
      <c r="T133" s="392"/>
      <c r="U133" s="392"/>
      <c r="V133" s="392"/>
      <c r="W133" s="392"/>
      <c r="X133" s="392"/>
      <c r="Y133" s="392"/>
      <c r="Z133" s="392"/>
      <c r="AA133" s="392"/>
      <c r="AB133" s="392"/>
      <c r="AC133" s="392"/>
      <c r="AD133" s="392"/>
      <c r="AE133" s="392"/>
      <c r="AF133" s="392"/>
    </row>
    <row r="134" ht="15.75" customHeight="1">
      <c r="A134" s="216"/>
      <c r="B134" s="216"/>
      <c r="C134" s="216"/>
      <c r="D134" s="267"/>
      <c r="E134" s="392"/>
      <c r="F134" s="267"/>
      <c r="G134" s="392"/>
      <c r="H134" s="267"/>
      <c r="I134" s="392"/>
      <c r="J134" s="392"/>
      <c r="K134" s="392"/>
      <c r="L134" s="392"/>
      <c r="M134" s="392"/>
      <c r="N134" s="392"/>
      <c r="O134" s="392"/>
      <c r="P134" s="392"/>
      <c r="Q134" s="392"/>
      <c r="R134" s="392"/>
      <c r="S134" s="392"/>
      <c r="T134" s="392"/>
      <c r="U134" s="392"/>
      <c r="V134" s="392"/>
      <c r="W134" s="392"/>
      <c r="X134" s="392"/>
      <c r="Y134" s="392"/>
      <c r="Z134" s="392"/>
      <c r="AA134" s="392"/>
      <c r="AB134" s="392"/>
      <c r="AC134" s="392"/>
      <c r="AD134" s="392"/>
      <c r="AE134" s="392"/>
      <c r="AF134" s="392"/>
    </row>
    <row r="135" ht="15.75" customHeight="1">
      <c r="A135" s="216"/>
      <c r="B135" s="216"/>
      <c r="C135" s="216"/>
      <c r="D135" s="267"/>
      <c r="E135" s="392"/>
      <c r="F135" s="267"/>
      <c r="G135" s="392"/>
      <c r="H135" s="267"/>
      <c r="I135" s="392"/>
      <c r="J135" s="392"/>
      <c r="K135" s="392"/>
      <c r="L135" s="392"/>
      <c r="M135" s="392"/>
      <c r="N135" s="392"/>
      <c r="O135" s="392"/>
      <c r="P135" s="392"/>
      <c r="Q135" s="392"/>
      <c r="R135" s="392"/>
      <c r="S135" s="392"/>
      <c r="T135" s="392"/>
      <c r="U135" s="392"/>
      <c r="V135" s="392"/>
      <c r="W135" s="392"/>
      <c r="X135" s="392"/>
      <c r="Y135" s="392"/>
      <c r="Z135" s="392"/>
      <c r="AA135" s="392"/>
      <c r="AB135" s="392"/>
      <c r="AC135" s="392"/>
      <c r="AD135" s="392"/>
      <c r="AE135" s="392"/>
      <c r="AF135" s="392"/>
    </row>
    <row r="136" ht="15.75" customHeight="1">
      <c r="A136" s="216"/>
      <c r="B136" s="216"/>
      <c r="C136" s="216"/>
      <c r="D136" s="267"/>
      <c r="E136" s="392"/>
      <c r="F136" s="267"/>
      <c r="G136" s="392"/>
      <c r="H136" s="267"/>
      <c r="I136" s="392"/>
      <c r="J136" s="392"/>
      <c r="K136" s="392"/>
      <c r="L136" s="392"/>
      <c r="M136" s="392"/>
      <c r="N136" s="392"/>
      <c r="O136" s="392"/>
      <c r="P136" s="392"/>
      <c r="Q136" s="392"/>
      <c r="R136" s="392"/>
      <c r="S136" s="392"/>
      <c r="T136" s="392"/>
      <c r="U136" s="392"/>
      <c r="V136" s="392"/>
      <c r="W136" s="392"/>
      <c r="X136" s="392"/>
      <c r="Y136" s="392"/>
      <c r="Z136" s="392"/>
      <c r="AA136" s="392"/>
      <c r="AB136" s="392"/>
      <c r="AC136" s="392"/>
      <c r="AD136" s="392"/>
      <c r="AE136" s="392"/>
      <c r="AF136" s="392"/>
    </row>
    <row r="137" ht="15.75" customHeight="1">
      <c r="A137" s="216"/>
      <c r="B137" s="216"/>
      <c r="C137" s="216"/>
      <c r="D137" s="267"/>
      <c r="E137" s="392"/>
      <c r="F137" s="267"/>
      <c r="G137" s="392"/>
      <c r="H137" s="267"/>
      <c r="I137" s="392"/>
      <c r="J137" s="392"/>
      <c r="K137" s="392"/>
      <c r="L137" s="392"/>
      <c r="M137" s="392"/>
      <c r="N137" s="392"/>
      <c r="O137" s="392"/>
      <c r="P137" s="392"/>
      <c r="Q137" s="392"/>
      <c r="R137" s="392"/>
      <c r="S137" s="392"/>
      <c r="T137" s="392"/>
      <c r="U137" s="392"/>
      <c r="V137" s="392"/>
      <c r="W137" s="392"/>
      <c r="X137" s="392"/>
      <c r="Y137" s="392"/>
      <c r="Z137" s="392"/>
      <c r="AA137" s="392"/>
      <c r="AB137" s="392"/>
      <c r="AC137" s="392"/>
      <c r="AD137" s="392"/>
      <c r="AE137" s="392"/>
      <c r="AF137" s="392"/>
    </row>
    <row r="138" ht="15.75" customHeight="1">
      <c r="A138" s="216"/>
      <c r="B138" s="216"/>
      <c r="C138" s="216"/>
      <c r="D138" s="267"/>
      <c r="E138" s="392"/>
      <c r="F138" s="267"/>
      <c r="G138" s="392"/>
      <c r="H138" s="267"/>
      <c r="I138" s="392"/>
      <c r="J138" s="392"/>
      <c r="K138" s="392"/>
      <c r="L138" s="392"/>
      <c r="M138" s="392"/>
      <c r="N138" s="392"/>
      <c r="O138" s="392"/>
      <c r="P138" s="392"/>
      <c r="Q138" s="392"/>
      <c r="R138" s="392"/>
      <c r="S138" s="392"/>
      <c r="T138" s="392"/>
      <c r="U138" s="392"/>
      <c r="V138" s="392"/>
      <c r="W138" s="392"/>
      <c r="X138" s="392"/>
      <c r="Y138" s="392"/>
      <c r="Z138" s="392"/>
      <c r="AA138" s="392"/>
      <c r="AB138" s="392"/>
      <c r="AC138" s="392"/>
      <c r="AD138" s="392"/>
      <c r="AE138" s="392"/>
      <c r="AF138" s="392"/>
    </row>
    <row r="139" ht="15.75" customHeight="1">
      <c r="A139" s="216"/>
      <c r="B139" s="216"/>
      <c r="C139" s="216"/>
      <c r="D139" s="267"/>
      <c r="E139" s="392"/>
      <c r="F139" s="267"/>
      <c r="G139" s="392"/>
      <c r="H139" s="267"/>
      <c r="I139" s="392"/>
      <c r="J139" s="392"/>
      <c r="K139" s="392"/>
      <c r="L139" s="392"/>
      <c r="M139" s="392"/>
      <c r="N139" s="392"/>
      <c r="O139" s="392"/>
      <c r="P139" s="392"/>
      <c r="Q139" s="392"/>
      <c r="R139" s="392"/>
      <c r="S139" s="392"/>
      <c r="T139" s="392"/>
      <c r="U139" s="392"/>
      <c r="V139" s="392"/>
      <c r="W139" s="392"/>
      <c r="X139" s="392"/>
      <c r="Y139" s="392"/>
      <c r="Z139" s="392"/>
      <c r="AA139" s="392"/>
      <c r="AB139" s="392"/>
      <c r="AC139" s="392"/>
      <c r="AD139" s="392"/>
      <c r="AE139" s="392"/>
      <c r="AF139" s="392"/>
    </row>
    <row r="140" ht="15.75" customHeight="1">
      <c r="A140" s="216"/>
      <c r="B140" s="216"/>
      <c r="C140" s="216"/>
      <c r="D140" s="267"/>
      <c r="E140" s="392"/>
      <c r="F140" s="267"/>
      <c r="G140" s="392"/>
      <c r="H140" s="267"/>
      <c r="I140" s="392"/>
      <c r="J140" s="392"/>
      <c r="K140" s="392"/>
      <c r="L140" s="392"/>
      <c r="M140" s="392"/>
      <c r="N140" s="392"/>
      <c r="O140" s="392"/>
      <c r="P140" s="392"/>
      <c r="Q140" s="392"/>
      <c r="R140" s="392"/>
      <c r="S140" s="392"/>
      <c r="T140" s="392"/>
      <c r="U140" s="392"/>
      <c r="V140" s="392"/>
      <c r="W140" s="392"/>
      <c r="X140" s="392"/>
      <c r="Y140" s="392"/>
      <c r="Z140" s="392"/>
      <c r="AA140" s="392"/>
      <c r="AB140" s="392"/>
      <c r="AC140" s="392"/>
      <c r="AD140" s="392"/>
      <c r="AE140" s="392"/>
      <c r="AF140" s="392"/>
    </row>
    <row r="141" ht="15.75" customHeight="1">
      <c r="A141" s="216"/>
      <c r="B141" s="216"/>
      <c r="C141" s="216"/>
      <c r="D141" s="267"/>
      <c r="E141" s="392"/>
      <c r="F141" s="267"/>
      <c r="G141" s="392"/>
      <c r="H141" s="267"/>
      <c r="I141" s="392"/>
      <c r="J141" s="392"/>
      <c r="K141" s="392"/>
      <c r="L141" s="392"/>
      <c r="M141" s="392"/>
      <c r="N141" s="392"/>
      <c r="O141" s="392"/>
      <c r="P141" s="392"/>
      <c r="Q141" s="392"/>
      <c r="R141" s="392"/>
      <c r="S141" s="392"/>
      <c r="T141" s="392"/>
      <c r="U141" s="392"/>
      <c r="V141" s="392"/>
      <c r="W141" s="392"/>
      <c r="X141" s="392"/>
      <c r="Y141" s="392"/>
      <c r="Z141" s="392"/>
      <c r="AA141" s="392"/>
      <c r="AB141" s="392"/>
      <c r="AC141" s="392"/>
      <c r="AD141" s="392"/>
      <c r="AE141" s="392"/>
      <c r="AF141" s="392"/>
    </row>
    <row r="142" ht="15.75" customHeight="1">
      <c r="A142" s="216"/>
      <c r="B142" s="216"/>
      <c r="C142" s="216"/>
      <c r="D142" s="267"/>
      <c r="E142" s="392"/>
      <c r="F142" s="267"/>
      <c r="G142" s="392"/>
      <c r="H142" s="267"/>
      <c r="I142" s="392"/>
      <c r="J142" s="392"/>
      <c r="K142" s="392"/>
      <c r="L142" s="392"/>
      <c r="M142" s="392"/>
      <c r="N142" s="392"/>
      <c r="O142" s="392"/>
      <c r="P142" s="392"/>
      <c r="Q142" s="392"/>
      <c r="R142" s="392"/>
      <c r="S142" s="392"/>
      <c r="T142" s="392"/>
      <c r="U142" s="392"/>
      <c r="V142" s="392"/>
      <c r="W142" s="392"/>
      <c r="X142" s="392"/>
      <c r="Y142" s="392"/>
      <c r="Z142" s="392"/>
      <c r="AA142" s="392"/>
      <c r="AB142" s="392"/>
      <c r="AC142" s="392"/>
      <c r="AD142" s="392"/>
      <c r="AE142" s="392"/>
      <c r="AF142" s="392"/>
    </row>
    <row r="143" ht="15.75" customHeight="1">
      <c r="A143" s="216"/>
      <c r="B143" s="216"/>
      <c r="C143" s="216"/>
      <c r="D143" s="267"/>
      <c r="E143" s="392"/>
      <c r="F143" s="267"/>
      <c r="G143" s="392"/>
      <c r="H143" s="267"/>
      <c r="I143" s="392"/>
      <c r="J143" s="392"/>
      <c r="K143" s="392"/>
      <c r="L143" s="392"/>
      <c r="M143" s="392"/>
      <c r="N143" s="392"/>
      <c r="O143" s="392"/>
      <c r="P143" s="392"/>
      <c r="Q143" s="392"/>
      <c r="R143" s="392"/>
      <c r="S143" s="392"/>
      <c r="T143" s="392"/>
      <c r="U143" s="392"/>
      <c r="V143" s="392"/>
      <c r="W143" s="392"/>
      <c r="X143" s="392"/>
      <c r="Y143" s="392"/>
      <c r="Z143" s="392"/>
      <c r="AA143" s="392"/>
      <c r="AB143" s="392"/>
      <c r="AC143" s="392"/>
      <c r="AD143" s="392"/>
      <c r="AE143" s="392"/>
      <c r="AF143" s="392"/>
    </row>
    <row r="144" ht="15.75" customHeight="1">
      <c r="A144" s="216"/>
      <c r="B144" s="216"/>
      <c r="C144" s="216"/>
      <c r="D144" s="267"/>
      <c r="E144" s="392"/>
      <c r="F144" s="267"/>
      <c r="G144" s="392"/>
      <c r="H144" s="267"/>
      <c r="I144" s="392"/>
      <c r="J144" s="392"/>
      <c r="K144" s="392"/>
      <c r="L144" s="392"/>
      <c r="M144" s="392"/>
      <c r="N144" s="392"/>
      <c r="O144" s="392"/>
      <c r="P144" s="392"/>
      <c r="Q144" s="392"/>
      <c r="R144" s="392"/>
      <c r="S144" s="392"/>
      <c r="T144" s="392"/>
      <c r="U144" s="392"/>
      <c r="V144" s="392"/>
      <c r="W144" s="392"/>
      <c r="X144" s="392"/>
      <c r="Y144" s="392"/>
      <c r="Z144" s="392"/>
      <c r="AA144" s="392"/>
      <c r="AB144" s="392"/>
      <c r="AC144" s="392"/>
      <c r="AD144" s="392"/>
      <c r="AE144" s="392"/>
      <c r="AF144" s="392"/>
    </row>
    <row r="145" ht="15.75" customHeight="1">
      <c r="A145" s="216"/>
      <c r="B145" s="216"/>
      <c r="C145" s="216"/>
      <c r="D145" s="267"/>
      <c r="E145" s="392"/>
      <c r="F145" s="267"/>
      <c r="G145" s="392"/>
      <c r="H145" s="267"/>
      <c r="I145" s="392"/>
      <c r="J145" s="392"/>
      <c r="K145" s="392"/>
      <c r="L145" s="392"/>
      <c r="M145" s="392"/>
      <c r="N145" s="392"/>
      <c r="O145" s="392"/>
      <c r="P145" s="392"/>
      <c r="Q145" s="392"/>
      <c r="R145" s="392"/>
      <c r="S145" s="392"/>
      <c r="T145" s="392"/>
      <c r="U145" s="392"/>
      <c r="V145" s="392"/>
      <c r="W145" s="392"/>
      <c r="X145" s="392"/>
      <c r="Y145" s="392"/>
      <c r="Z145" s="392"/>
      <c r="AA145" s="392"/>
      <c r="AB145" s="392"/>
      <c r="AC145" s="392"/>
      <c r="AD145" s="392"/>
      <c r="AE145" s="392"/>
      <c r="AF145" s="392"/>
    </row>
    <row r="146" ht="15.75" customHeight="1">
      <c r="A146" s="216"/>
      <c r="B146" s="216"/>
      <c r="C146" s="216"/>
      <c r="D146" s="267"/>
      <c r="E146" s="392"/>
      <c r="F146" s="267"/>
      <c r="G146" s="392"/>
      <c r="H146" s="267"/>
      <c r="I146" s="392"/>
      <c r="J146" s="392"/>
      <c r="K146" s="392"/>
      <c r="L146" s="392"/>
      <c r="M146" s="392"/>
      <c r="N146" s="392"/>
      <c r="O146" s="392"/>
      <c r="P146" s="392"/>
      <c r="Q146" s="392"/>
      <c r="R146" s="392"/>
      <c r="S146" s="392"/>
      <c r="T146" s="392"/>
      <c r="U146" s="392"/>
      <c r="V146" s="392"/>
      <c r="W146" s="392"/>
      <c r="X146" s="392"/>
      <c r="Y146" s="392"/>
      <c r="Z146" s="392"/>
      <c r="AA146" s="392"/>
      <c r="AB146" s="392"/>
      <c r="AC146" s="392"/>
      <c r="AD146" s="392"/>
      <c r="AE146" s="392"/>
      <c r="AF146" s="392"/>
    </row>
    <row r="147" ht="15.75" customHeight="1">
      <c r="A147" s="216"/>
      <c r="B147" s="216"/>
      <c r="C147" s="216"/>
      <c r="D147" s="267"/>
      <c r="E147" s="392"/>
      <c r="F147" s="267"/>
      <c r="G147" s="392"/>
      <c r="H147" s="267"/>
      <c r="I147" s="392"/>
      <c r="J147" s="392"/>
      <c r="K147" s="392"/>
      <c r="L147" s="392"/>
      <c r="M147" s="392"/>
      <c r="N147" s="392"/>
      <c r="O147" s="392"/>
      <c r="P147" s="392"/>
      <c r="Q147" s="392"/>
      <c r="R147" s="392"/>
      <c r="S147" s="392"/>
      <c r="T147" s="392"/>
      <c r="U147" s="392"/>
      <c r="V147" s="392"/>
      <c r="W147" s="392"/>
      <c r="X147" s="392"/>
      <c r="Y147" s="392"/>
      <c r="Z147" s="392"/>
      <c r="AA147" s="392"/>
      <c r="AB147" s="392"/>
      <c r="AC147" s="392"/>
      <c r="AD147" s="392"/>
      <c r="AE147" s="392"/>
      <c r="AF147" s="392"/>
    </row>
    <row r="148" ht="15.75" customHeight="1">
      <c r="A148" s="216"/>
      <c r="B148" s="216"/>
      <c r="C148" s="216"/>
      <c r="D148" s="267"/>
      <c r="E148" s="392"/>
      <c r="F148" s="267"/>
      <c r="G148" s="392"/>
      <c r="H148" s="267"/>
      <c r="I148" s="392"/>
      <c r="J148" s="392"/>
      <c r="K148" s="392"/>
      <c r="L148" s="392"/>
      <c r="M148" s="392"/>
      <c r="N148" s="392"/>
      <c r="O148" s="392"/>
      <c r="P148" s="392"/>
      <c r="Q148" s="392"/>
      <c r="R148" s="392"/>
      <c r="S148" s="392"/>
      <c r="T148" s="392"/>
      <c r="U148" s="392"/>
      <c r="V148" s="392"/>
      <c r="W148" s="392"/>
      <c r="X148" s="392"/>
      <c r="Y148" s="392"/>
      <c r="Z148" s="392"/>
      <c r="AA148" s="392"/>
      <c r="AB148" s="392"/>
      <c r="AC148" s="392"/>
      <c r="AD148" s="392"/>
      <c r="AE148" s="392"/>
      <c r="AF148" s="392"/>
    </row>
    <row r="149" ht="15.75" customHeight="1">
      <c r="A149" s="216"/>
      <c r="B149" s="216"/>
      <c r="C149" s="216"/>
      <c r="D149" s="267"/>
      <c r="E149" s="392"/>
      <c r="F149" s="267"/>
      <c r="G149" s="392"/>
      <c r="H149" s="267"/>
      <c r="I149" s="392"/>
      <c r="J149" s="392"/>
      <c r="K149" s="392"/>
      <c r="L149" s="392"/>
      <c r="M149" s="392"/>
      <c r="N149" s="392"/>
      <c r="O149" s="392"/>
      <c r="P149" s="392"/>
      <c r="Q149" s="392"/>
      <c r="R149" s="392"/>
      <c r="S149" s="392"/>
      <c r="T149" s="392"/>
      <c r="U149" s="392"/>
      <c r="V149" s="392"/>
      <c r="W149" s="392"/>
      <c r="X149" s="392"/>
      <c r="Y149" s="392"/>
      <c r="Z149" s="392"/>
      <c r="AA149" s="392"/>
      <c r="AB149" s="392"/>
      <c r="AC149" s="392"/>
      <c r="AD149" s="392"/>
      <c r="AE149" s="392"/>
      <c r="AF149" s="392"/>
    </row>
    <row r="150" ht="15.75" customHeight="1">
      <c r="A150" s="216"/>
      <c r="B150" s="216"/>
      <c r="C150" s="216"/>
      <c r="D150" s="267"/>
      <c r="E150" s="392"/>
      <c r="F150" s="267"/>
      <c r="G150" s="392"/>
      <c r="H150" s="267"/>
      <c r="I150" s="392"/>
      <c r="J150" s="392"/>
      <c r="K150" s="392"/>
      <c r="L150" s="392"/>
      <c r="M150" s="392"/>
      <c r="N150" s="392"/>
      <c r="O150" s="392"/>
      <c r="P150" s="392"/>
      <c r="Q150" s="392"/>
      <c r="R150" s="392"/>
      <c r="S150" s="392"/>
      <c r="T150" s="392"/>
      <c r="U150" s="392"/>
      <c r="V150" s="392"/>
      <c r="W150" s="392"/>
      <c r="X150" s="392"/>
      <c r="Y150" s="392"/>
      <c r="Z150" s="392"/>
      <c r="AA150" s="392"/>
      <c r="AB150" s="392"/>
      <c r="AC150" s="392"/>
      <c r="AD150" s="392"/>
      <c r="AE150" s="392"/>
      <c r="AF150" s="392"/>
    </row>
    <row r="151" ht="15.75" customHeight="1">
      <c r="A151" s="216"/>
      <c r="B151" s="216"/>
      <c r="C151" s="216"/>
      <c r="D151" s="267"/>
      <c r="E151" s="392"/>
      <c r="F151" s="267"/>
      <c r="G151" s="392"/>
      <c r="H151" s="267"/>
      <c r="I151" s="392"/>
      <c r="J151" s="392"/>
      <c r="K151" s="392"/>
      <c r="L151" s="392"/>
      <c r="M151" s="392"/>
      <c r="N151" s="392"/>
      <c r="O151" s="392"/>
      <c r="P151" s="392"/>
      <c r="Q151" s="392"/>
      <c r="R151" s="392"/>
      <c r="S151" s="392"/>
      <c r="T151" s="392"/>
      <c r="U151" s="392"/>
      <c r="V151" s="392"/>
      <c r="W151" s="392"/>
      <c r="X151" s="392"/>
      <c r="Y151" s="392"/>
      <c r="Z151" s="392"/>
      <c r="AA151" s="392"/>
      <c r="AB151" s="392"/>
      <c r="AC151" s="392"/>
      <c r="AD151" s="392"/>
      <c r="AE151" s="392"/>
      <c r="AF151" s="392"/>
    </row>
    <row r="152" ht="15.75" customHeight="1">
      <c r="A152" s="216"/>
      <c r="B152" s="156"/>
      <c r="C152" s="156"/>
      <c r="D152" s="156"/>
      <c r="E152" s="392"/>
      <c r="F152" s="392"/>
      <c r="G152" s="392"/>
      <c r="H152" s="392"/>
      <c r="I152" s="392"/>
      <c r="J152" s="392"/>
      <c r="K152" s="392"/>
      <c r="L152" s="392"/>
      <c r="M152" s="392"/>
      <c r="N152" s="392"/>
      <c r="O152" s="392"/>
      <c r="P152" s="392"/>
      <c r="Q152" s="392"/>
      <c r="R152" s="392"/>
      <c r="S152" s="392"/>
      <c r="T152" s="392"/>
      <c r="U152" s="392"/>
      <c r="V152" s="392"/>
      <c r="W152" s="392"/>
      <c r="X152" s="392"/>
      <c r="Y152" s="392"/>
      <c r="Z152" s="392"/>
      <c r="AA152" s="392"/>
      <c r="AB152" s="392"/>
      <c r="AC152" s="392"/>
      <c r="AD152" s="392"/>
      <c r="AE152" s="392"/>
      <c r="AF152" s="392"/>
    </row>
    <row r="153" ht="15.75" customHeight="1">
      <c r="A153" s="216"/>
      <c r="B153" s="156"/>
      <c r="C153" s="156"/>
      <c r="D153" s="156"/>
      <c r="E153" s="392"/>
      <c r="F153" s="392"/>
      <c r="G153" s="392"/>
      <c r="H153" s="392"/>
      <c r="I153" s="392"/>
      <c r="J153" s="392"/>
      <c r="K153" s="392"/>
      <c r="L153" s="392"/>
      <c r="M153" s="392"/>
      <c r="N153" s="392"/>
      <c r="O153" s="392"/>
      <c r="P153" s="392"/>
      <c r="Q153" s="392"/>
      <c r="R153" s="392"/>
      <c r="S153" s="392"/>
      <c r="T153" s="392"/>
      <c r="U153" s="392"/>
      <c r="V153" s="392"/>
      <c r="W153" s="392"/>
      <c r="X153" s="392"/>
      <c r="Y153" s="392"/>
      <c r="Z153" s="392"/>
      <c r="AA153" s="392"/>
      <c r="AB153" s="392"/>
      <c r="AC153" s="392"/>
      <c r="AD153" s="392"/>
      <c r="AE153" s="392"/>
      <c r="AF153" s="392"/>
    </row>
    <row r="154" ht="15.75" customHeight="1">
      <c r="A154" s="216"/>
      <c r="B154" s="156"/>
      <c r="C154" s="156"/>
      <c r="D154" s="156"/>
      <c r="E154" s="392"/>
      <c r="F154" s="392"/>
      <c r="G154" s="392"/>
      <c r="H154" s="392"/>
      <c r="I154" s="392"/>
      <c r="J154" s="392"/>
      <c r="K154" s="392"/>
      <c r="L154" s="392"/>
      <c r="M154" s="392"/>
      <c r="N154" s="392"/>
      <c r="O154" s="392"/>
      <c r="P154" s="392"/>
      <c r="Q154" s="392"/>
      <c r="R154" s="392"/>
      <c r="S154" s="392"/>
      <c r="T154" s="392"/>
      <c r="U154" s="392"/>
      <c r="V154" s="392"/>
      <c r="W154" s="392"/>
      <c r="X154" s="392"/>
      <c r="Y154" s="392"/>
      <c r="Z154" s="392"/>
      <c r="AA154" s="392"/>
      <c r="AB154" s="392"/>
      <c r="AC154" s="392"/>
      <c r="AD154" s="392"/>
      <c r="AE154" s="392"/>
      <c r="AF154" s="392"/>
    </row>
    <row r="155" ht="15.75" customHeight="1">
      <c r="A155" s="216"/>
      <c r="B155" s="156"/>
      <c r="C155" s="156"/>
      <c r="D155" s="156"/>
      <c r="E155" s="392"/>
      <c r="F155" s="392"/>
      <c r="G155" s="392"/>
      <c r="H155" s="392"/>
      <c r="I155" s="392"/>
      <c r="J155" s="392"/>
      <c r="K155" s="392"/>
      <c r="L155" s="392"/>
      <c r="M155" s="392"/>
      <c r="N155" s="392"/>
      <c r="O155" s="392"/>
      <c r="P155" s="392"/>
      <c r="Q155" s="392"/>
      <c r="R155" s="392"/>
      <c r="S155" s="392"/>
      <c r="T155" s="392"/>
      <c r="U155" s="392"/>
      <c r="V155" s="392"/>
      <c r="W155" s="392"/>
      <c r="X155" s="392"/>
      <c r="Y155" s="392"/>
      <c r="Z155" s="392"/>
      <c r="AA155" s="392"/>
      <c r="AB155" s="392"/>
      <c r="AC155" s="392"/>
      <c r="AD155" s="392"/>
      <c r="AE155" s="392"/>
      <c r="AF155" s="392"/>
    </row>
    <row r="156" ht="15.75" customHeight="1">
      <c r="A156" s="216"/>
      <c r="B156" s="156"/>
      <c r="C156" s="156"/>
      <c r="D156" s="156"/>
      <c r="E156" s="392"/>
      <c r="F156" s="392"/>
      <c r="G156" s="392"/>
      <c r="H156" s="392"/>
      <c r="I156" s="392"/>
      <c r="J156" s="392"/>
      <c r="K156" s="392"/>
      <c r="L156" s="392"/>
      <c r="M156" s="392"/>
      <c r="N156" s="392"/>
      <c r="O156" s="392"/>
      <c r="P156" s="392"/>
      <c r="Q156" s="392"/>
      <c r="R156" s="392"/>
      <c r="S156" s="392"/>
      <c r="T156" s="392"/>
      <c r="U156" s="392"/>
      <c r="V156" s="392"/>
      <c r="W156" s="392"/>
      <c r="X156" s="392"/>
      <c r="Y156" s="392"/>
      <c r="Z156" s="392"/>
      <c r="AA156" s="392"/>
      <c r="AB156" s="392"/>
      <c r="AC156" s="392"/>
      <c r="AD156" s="392"/>
      <c r="AE156" s="392"/>
      <c r="AF156" s="392"/>
    </row>
    <row r="157" ht="15.75" customHeight="1">
      <c r="A157" s="216"/>
      <c r="B157" s="156"/>
      <c r="C157" s="156"/>
      <c r="D157" s="156"/>
      <c r="E157" s="392"/>
      <c r="F157" s="392"/>
      <c r="G157" s="392"/>
      <c r="H157" s="392"/>
      <c r="I157" s="392"/>
      <c r="J157" s="392"/>
      <c r="K157" s="392"/>
      <c r="L157" s="392"/>
      <c r="M157" s="392"/>
      <c r="N157" s="392"/>
      <c r="O157" s="392"/>
      <c r="P157" s="392"/>
      <c r="Q157" s="392"/>
      <c r="R157" s="392"/>
      <c r="S157" s="392"/>
      <c r="T157" s="392"/>
      <c r="U157" s="392"/>
      <c r="V157" s="392"/>
      <c r="W157" s="392"/>
      <c r="X157" s="392"/>
      <c r="Y157" s="392"/>
      <c r="Z157" s="392"/>
      <c r="AA157" s="392"/>
      <c r="AB157" s="392"/>
      <c r="AC157" s="392"/>
      <c r="AD157" s="392"/>
      <c r="AE157" s="392"/>
      <c r="AF157" s="392"/>
    </row>
    <row r="158" ht="15.75" customHeight="1">
      <c r="A158" s="216"/>
      <c r="B158" s="156"/>
      <c r="C158" s="156"/>
      <c r="D158" s="156"/>
      <c r="E158" s="392"/>
      <c r="F158" s="392"/>
      <c r="G158" s="392"/>
      <c r="H158" s="392"/>
      <c r="I158" s="392"/>
      <c r="J158" s="392"/>
      <c r="K158" s="392"/>
      <c r="L158" s="392"/>
      <c r="M158" s="392"/>
      <c r="N158" s="392"/>
      <c r="O158" s="392"/>
      <c r="P158" s="392"/>
      <c r="Q158" s="392"/>
      <c r="R158" s="392"/>
      <c r="S158" s="392"/>
      <c r="T158" s="392"/>
      <c r="U158" s="392"/>
      <c r="V158" s="392"/>
      <c r="W158" s="392"/>
      <c r="X158" s="392"/>
      <c r="Y158" s="392"/>
      <c r="Z158" s="392"/>
      <c r="AA158" s="392"/>
      <c r="AB158" s="392"/>
      <c r="AC158" s="392"/>
      <c r="AD158" s="392"/>
      <c r="AE158" s="392"/>
      <c r="AF158" s="392"/>
    </row>
    <row r="159" ht="15.75" customHeight="1">
      <c r="A159" s="216"/>
      <c r="B159" s="156"/>
      <c r="C159" s="156"/>
      <c r="D159" s="156"/>
      <c r="E159" s="392"/>
      <c r="F159" s="392"/>
      <c r="G159" s="392"/>
      <c r="H159" s="392"/>
      <c r="I159" s="392"/>
      <c r="J159" s="392"/>
      <c r="K159" s="392"/>
      <c r="L159" s="392"/>
      <c r="M159" s="392"/>
      <c r="N159" s="392"/>
      <c r="O159" s="392"/>
      <c r="P159" s="392"/>
      <c r="Q159" s="392"/>
      <c r="R159" s="392"/>
      <c r="S159" s="392"/>
      <c r="T159" s="392"/>
      <c r="U159" s="392"/>
      <c r="V159" s="392"/>
      <c r="W159" s="392"/>
      <c r="X159" s="392"/>
      <c r="Y159" s="392"/>
      <c r="Z159" s="392"/>
      <c r="AA159" s="392"/>
      <c r="AB159" s="392"/>
      <c r="AC159" s="392"/>
      <c r="AD159" s="392"/>
      <c r="AE159" s="392"/>
      <c r="AF159" s="392"/>
    </row>
    <row r="160" ht="15.75" customHeight="1">
      <c r="A160" s="216"/>
      <c r="B160" s="156"/>
      <c r="C160" s="156"/>
      <c r="D160" s="156"/>
      <c r="E160" s="392"/>
      <c r="F160" s="392"/>
      <c r="G160" s="392"/>
      <c r="H160" s="392"/>
      <c r="I160" s="392"/>
      <c r="J160" s="392"/>
      <c r="K160" s="392"/>
      <c r="L160" s="392"/>
      <c r="M160" s="392"/>
      <c r="N160" s="392"/>
      <c r="O160" s="392"/>
      <c r="P160" s="392"/>
      <c r="Q160" s="392"/>
      <c r="R160" s="392"/>
      <c r="S160" s="392"/>
      <c r="T160" s="392"/>
      <c r="U160" s="392"/>
      <c r="V160" s="392"/>
      <c r="W160" s="392"/>
      <c r="X160" s="392"/>
      <c r="Y160" s="392"/>
      <c r="Z160" s="392"/>
      <c r="AA160" s="392"/>
      <c r="AB160" s="392"/>
      <c r="AC160" s="392"/>
      <c r="AD160" s="392"/>
      <c r="AE160" s="392"/>
      <c r="AF160" s="392"/>
    </row>
    <row r="161" ht="15.75" customHeight="1">
      <c r="A161" s="216"/>
      <c r="B161" s="156"/>
      <c r="C161" s="156"/>
      <c r="D161" s="156"/>
      <c r="E161" s="392"/>
      <c r="F161" s="392"/>
      <c r="G161" s="392"/>
      <c r="H161" s="392"/>
      <c r="I161" s="392"/>
      <c r="J161" s="392"/>
      <c r="K161" s="392"/>
      <c r="L161" s="392"/>
      <c r="M161" s="392"/>
      <c r="N161" s="392"/>
      <c r="O161" s="392"/>
      <c r="P161" s="392"/>
      <c r="Q161" s="392"/>
      <c r="R161" s="392"/>
      <c r="S161" s="392"/>
      <c r="T161" s="392"/>
      <c r="U161" s="392"/>
      <c r="V161" s="392"/>
      <c r="W161" s="392"/>
      <c r="X161" s="392"/>
      <c r="Y161" s="392"/>
      <c r="Z161" s="392"/>
      <c r="AA161" s="392"/>
      <c r="AB161" s="392"/>
      <c r="AC161" s="392"/>
      <c r="AD161" s="392"/>
      <c r="AE161" s="392"/>
      <c r="AF161" s="392"/>
    </row>
    <row r="162" ht="15.75" customHeight="1">
      <c r="A162" s="216"/>
      <c r="B162" s="156"/>
      <c r="C162" s="156"/>
      <c r="D162" s="156"/>
      <c r="E162" s="392"/>
      <c r="F162" s="392"/>
      <c r="G162" s="392"/>
      <c r="H162" s="392"/>
      <c r="I162" s="392"/>
      <c r="J162" s="392"/>
      <c r="K162" s="392"/>
      <c r="L162" s="392"/>
      <c r="M162" s="392"/>
      <c r="N162" s="392"/>
      <c r="O162" s="392"/>
      <c r="P162" s="392"/>
      <c r="Q162" s="392"/>
      <c r="R162" s="392"/>
      <c r="S162" s="392"/>
      <c r="T162" s="392"/>
      <c r="U162" s="392"/>
      <c r="V162" s="392"/>
      <c r="W162" s="392"/>
      <c r="X162" s="392"/>
      <c r="Y162" s="392"/>
      <c r="Z162" s="392"/>
      <c r="AA162" s="392"/>
      <c r="AB162" s="392"/>
      <c r="AC162" s="392"/>
      <c r="AD162" s="392"/>
      <c r="AE162" s="392"/>
      <c r="AF162" s="392"/>
    </row>
    <row r="163" ht="15.75" customHeight="1">
      <c r="A163" s="216"/>
      <c r="B163" s="156"/>
      <c r="C163" s="156"/>
      <c r="D163" s="156"/>
      <c r="E163" s="392"/>
      <c r="F163" s="392"/>
      <c r="G163" s="392"/>
      <c r="H163" s="392"/>
      <c r="I163" s="392"/>
      <c r="J163" s="392"/>
      <c r="K163" s="392"/>
      <c r="L163" s="392"/>
      <c r="M163" s="392"/>
      <c r="N163" s="392"/>
      <c r="O163" s="392"/>
      <c r="P163" s="392"/>
      <c r="Q163" s="392"/>
      <c r="R163" s="392"/>
      <c r="S163" s="392"/>
      <c r="T163" s="392"/>
      <c r="U163" s="392"/>
      <c r="V163" s="392"/>
      <c r="W163" s="392"/>
      <c r="X163" s="392"/>
      <c r="Y163" s="392"/>
      <c r="Z163" s="392"/>
      <c r="AA163" s="392"/>
      <c r="AB163" s="392"/>
      <c r="AC163" s="392"/>
      <c r="AD163" s="392"/>
      <c r="AE163" s="392"/>
      <c r="AF163" s="392"/>
    </row>
    <row r="164" ht="15.75" customHeight="1">
      <c r="A164" s="216"/>
      <c r="B164" s="156"/>
      <c r="C164" s="156"/>
      <c r="D164" s="156"/>
      <c r="E164" s="392"/>
      <c r="F164" s="392"/>
      <c r="G164" s="392"/>
      <c r="H164" s="392"/>
      <c r="I164" s="392"/>
      <c r="J164" s="392"/>
      <c r="K164" s="392"/>
      <c r="L164" s="392"/>
      <c r="M164" s="392"/>
      <c r="N164" s="392"/>
      <c r="O164" s="392"/>
      <c r="P164" s="392"/>
      <c r="Q164" s="392"/>
      <c r="R164" s="392"/>
      <c r="S164" s="392"/>
      <c r="T164" s="392"/>
      <c r="U164" s="392"/>
      <c r="V164" s="392"/>
      <c r="W164" s="392"/>
      <c r="X164" s="392"/>
      <c r="Y164" s="392"/>
      <c r="Z164" s="392"/>
      <c r="AA164" s="392"/>
      <c r="AB164" s="392"/>
      <c r="AC164" s="392"/>
      <c r="AD164" s="392"/>
      <c r="AE164" s="392"/>
      <c r="AF164" s="392"/>
    </row>
    <row r="165" ht="15.75" customHeight="1">
      <c r="A165" s="216"/>
      <c r="B165" s="156"/>
      <c r="C165" s="156"/>
      <c r="D165" s="156"/>
      <c r="E165" s="392"/>
      <c r="F165" s="392"/>
      <c r="G165" s="392"/>
      <c r="H165" s="392"/>
      <c r="I165" s="392"/>
      <c r="J165" s="392"/>
      <c r="K165" s="392"/>
      <c r="L165" s="392"/>
      <c r="M165" s="392"/>
      <c r="N165" s="392"/>
      <c r="O165" s="392"/>
      <c r="P165" s="392"/>
      <c r="Q165" s="392"/>
      <c r="R165" s="392"/>
      <c r="S165" s="392"/>
      <c r="T165" s="392"/>
      <c r="U165" s="392"/>
      <c r="V165" s="392"/>
      <c r="W165" s="392"/>
      <c r="X165" s="392"/>
      <c r="Y165" s="392"/>
      <c r="Z165" s="392"/>
      <c r="AA165" s="392"/>
      <c r="AB165" s="392"/>
      <c r="AC165" s="392"/>
      <c r="AD165" s="392"/>
      <c r="AE165" s="392"/>
      <c r="AF165" s="392"/>
    </row>
    <row r="166" ht="15.75" customHeight="1">
      <c r="A166" s="216"/>
      <c r="B166" s="156"/>
      <c r="C166" s="156"/>
      <c r="D166" s="156"/>
      <c r="E166" s="392"/>
      <c r="F166" s="392"/>
      <c r="G166" s="392"/>
      <c r="H166" s="392"/>
      <c r="I166" s="392"/>
      <c r="J166" s="392"/>
      <c r="K166" s="392"/>
      <c r="L166" s="392"/>
      <c r="M166" s="392"/>
      <c r="N166" s="392"/>
      <c r="O166" s="392"/>
      <c r="P166" s="392"/>
      <c r="Q166" s="392"/>
      <c r="R166" s="392"/>
      <c r="S166" s="392"/>
      <c r="T166" s="392"/>
      <c r="U166" s="392"/>
      <c r="V166" s="392"/>
      <c r="W166" s="392"/>
      <c r="X166" s="392"/>
      <c r="Y166" s="392"/>
      <c r="Z166" s="392"/>
      <c r="AA166" s="392"/>
      <c r="AB166" s="392"/>
      <c r="AC166" s="392"/>
      <c r="AD166" s="392"/>
      <c r="AE166" s="392"/>
      <c r="AF166" s="392"/>
    </row>
    <row r="167" ht="15.75" customHeight="1">
      <c r="A167" s="216"/>
      <c r="B167" s="156"/>
      <c r="C167" s="156"/>
      <c r="D167" s="156"/>
      <c r="E167" s="392"/>
      <c r="F167" s="392"/>
      <c r="G167" s="392"/>
      <c r="H167" s="392"/>
      <c r="I167" s="392"/>
      <c r="J167" s="392"/>
      <c r="K167" s="392"/>
      <c r="L167" s="392"/>
      <c r="M167" s="392"/>
      <c r="N167" s="392"/>
      <c r="O167" s="392"/>
      <c r="P167" s="392"/>
      <c r="Q167" s="392"/>
      <c r="R167" s="392"/>
      <c r="S167" s="392"/>
      <c r="T167" s="392"/>
      <c r="U167" s="392"/>
      <c r="V167" s="392"/>
      <c r="W167" s="392"/>
      <c r="X167" s="392"/>
      <c r="Y167" s="392"/>
      <c r="Z167" s="392"/>
      <c r="AA167" s="392"/>
      <c r="AB167" s="392"/>
      <c r="AC167" s="392"/>
      <c r="AD167" s="392"/>
      <c r="AE167" s="392"/>
      <c r="AF167" s="392"/>
    </row>
    <row r="168" ht="15.75" customHeight="1">
      <c r="A168" s="216"/>
      <c r="B168" s="156"/>
      <c r="C168" s="156"/>
      <c r="D168" s="156"/>
      <c r="E168" s="392"/>
      <c r="F168" s="392"/>
      <c r="G168" s="392"/>
      <c r="H168" s="392"/>
      <c r="I168" s="392"/>
      <c r="J168" s="392"/>
      <c r="K168" s="392"/>
      <c r="L168" s="392"/>
      <c r="M168" s="392"/>
      <c r="N168" s="392"/>
      <c r="O168" s="392"/>
      <c r="P168" s="392"/>
      <c r="Q168" s="392"/>
      <c r="R168" s="392"/>
      <c r="S168" s="392"/>
      <c r="T168" s="392"/>
      <c r="U168" s="392"/>
      <c r="V168" s="392"/>
      <c r="W168" s="392"/>
      <c r="X168" s="392"/>
      <c r="Y168" s="392"/>
      <c r="Z168" s="392"/>
      <c r="AA168" s="392"/>
      <c r="AB168" s="392"/>
      <c r="AC168" s="392"/>
      <c r="AD168" s="392"/>
      <c r="AE168" s="392"/>
      <c r="AF168" s="392"/>
    </row>
    <row r="169" ht="15.75" customHeight="1">
      <c r="A169" s="216"/>
      <c r="B169" s="156"/>
      <c r="C169" s="156"/>
      <c r="D169" s="156"/>
      <c r="E169" s="392"/>
      <c r="F169" s="392"/>
      <c r="G169" s="392"/>
      <c r="H169" s="392"/>
      <c r="I169" s="392"/>
      <c r="J169" s="392"/>
      <c r="K169" s="392"/>
      <c r="L169" s="392"/>
      <c r="M169" s="392"/>
      <c r="N169" s="392"/>
      <c r="O169" s="392"/>
      <c r="P169" s="392"/>
      <c r="Q169" s="392"/>
      <c r="R169" s="392"/>
      <c r="S169" s="392"/>
      <c r="T169" s="392"/>
      <c r="U169" s="392"/>
      <c r="V169" s="392"/>
      <c r="W169" s="392"/>
      <c r="X169" s="392"/>
      <c r="Y169" s="392"/>
      <c r="Z169" s="392"/>
      <c r="AA169" s="392"/>
      <c r="AB169" s="392"/>
      <c r="AC169" s="392"/>
      <c r="AD169" s="392"/>
      <c r="AE169" s="392"/>
      <c r="AF169" s="392"/>
    </row>
    <row r="170" ht="15.75" customHeight="1">
      <c r="A170" s="216"/>
      <c r="B170" s="156"/>
      <c r="C170" s="156"/>
      <c r="D170" s="156"/>
      <c r="E170" s="392"/>
      <c r="F170" s="392"/>
      <c r="G170" s="392"/>
      <c r="H170" s="392"/>
      <c r="I170" s="392"/>
      <c r="J170" s="392"/>
      <c r="K170" s="392"/>
      <c r="L170" s="392"/>
      <c r="M170" s="392"/>
      <c r="N170" s="392"/>
      <c r="O170" s="392"/>
      <c r="P170" s="392"/>
      <c r="Q170" s="392"/>
      <c r="R170" s="392"/>
      <c r="S170" s="392"/>
      <c r="T170" s="392"/>
      <c r="U170" s="392"/>
      <c r="V170" s="392"/>
      <c r="W170" s="392"/>
      <c r="X170" s="392"/>
      <c r="Y170" s="392"/>
      <c r="Z170" s="392"/>
      <c r="AA170" s="392"/>
      <c r="AB170" s="392"/>
      <c r="AC170" s="392"/>
      <c r="AD170" s="392"/>
      <c r="AE170" s="392"/>
      <c r="AF170" s="392"/>
    </row>
    <row r="171" ht="15.75" customHeight="1">
      <c r="A171" s="216"/>
      <c r="B171" s="156"/>
      <c r="C171" s="156"/>
      <c r="D171" s="156"/>
      <c r="E171" s="392"/>
      <c r="F171" s="392"/>
      <c r="G171" s="392"/>
      <c r="H171" s="392"/>
      <c r="I171" s="392"/>
      <c r="J171" s="392"/>
      <c r="K171" s="392"/>
      <c r="L171" s="392"/>
      <c r="M171" s="392"/>
      <c r="N171" s="392"/>
      <c r="O171" s="392"/>
      <c r="P171" s="392"/>
      <c r="Q171" s="392"/>
      <c r="R171" s="392"/>
      <c r="S171" s="392"/>
      <c r="T171" s="392"/>
      <c r="U171" s="392"/>
      <c r="V171" s="392"/>
      <c r="W171" s="392"/>
      <c r="X171" s="392"/>
      <c r="Y171" s="392"/>
      <c r="Z171" s="392"/>
      <c r="AA171" s="392"/>
      <c r="AB171" s="392"/>
      <c r="AC171" s="392"/>
      <c r="AD171" s="392"/>
      <c r="AE171" s="392"/>
      <c r="AF171" s="392"/>
    </row>
    <row r="172" ht="15.75" customHeight="1">
      <c r="A172" s="216"/>
      <c r="B172" s="156"/>
      <c r="C172" s="156"/>
      <c r="D172" s="156"/>
      <c r="E172" s="392"/>
      <c r="F172" s="392"/>
      <c r="G172" s="392"/>
      <c r="H172" s="392"/>
      <c r="I172" s="392"/>
      <c r="J172" s="392"/>
      <c r="K172" s="392"/>
      <c r="L172" s="392"/>
      <c r="M172" s="392"/>
      <c r="N172" s="392"/>
      <c r="O172" s="392"/>
      <c r="P172" s="392"/>
      <c r="Q172" s="392"/>
      <c r="R172" s="392"/>
      <c r="S172" s="392"/>
      <c r="T172" s="392"/>
      <c r="U172" s="392"/>
      <c r="V172" s="392"/>
      <c r="W172" s="392"/>
      <c r="X172" s="392"/>
      <c r="Y172" s="392"/>
      <c r="Z172" s="392"/>
      <c r="AA172" s="392"/>
      <c r="AB172" s="392"/>
      <c r="AC172" s="392"/>
      <c r="AD172" s="392"/>
      <c r="AE172" s="392"/>
      <c r="AF172" s="392"/>
    </row>
    <row r="173" ht="15.75" customHeight="1">
      <c r="A173" s="216"/>
      <c r="B173" s="156"/>
      <c r="C173" s="156"/>
      <c r="D173" s="156"/>
      <c r="E173" s="392"/>
      <c r="F173" s="392"/>
      <c r="G173" s="392"/>
      <c r="H173" s="392"/>
      <c r="I173" s="392"/>
      <c r="J173" s="392"/>
      <c r="K173" s="392"/>
      <c r="L173" s="392"/>
      <c r="M173" s="392"/>
      <c r="N173" s="392"/>
      <c r="O173" s="392"/>
      <c r="P173" s="392"/>
      <c r="Q173" s="392"/>
      <c r="R173" s="392"/>
      <c r="S173" s="392"/>
      <c r="T173" s="392"/>
      <c r="U173" s="392"/>
      <c r="V173" s="392"/>
      <c r="W173" s="392"/>
      <c r="X173" s="392"/>
      <c r="Y173" s="392"/>
      <c r="Z173" s="392"/>
      <c r="AA173" s="392"/>
      <c r="AB173" s="392"/>
      <c r="AC173" s="392"/>
      <c r="AD173" s="392"/>
      <c r="AE173" s="392"/>
      <c r="AF173" s="392"/>
    </row>
    <row r="174" ht="15.75" customHeight="1">
      <c r="A174" s="216"/>
      <c r="B174" s="156"/>
      <c r="C174" s="156"/>
      <c r="D174" s="156"/>
      <c r="E174" s="392"/>
      <c r="F174" s="392"/>
      <c r="G174" s="392"/>
      <c r="H174" s="392"/>
      <c r="I174" s="392"/>
      <c r="J174" s="392"/>
      <c r="K174" s="392"/>
      <c r="L174" s="392"/>
      <c r="M174" s="392"/>
      <c r="N174" s="392"/>
      <c r="O174" s="392"/>
      <c r="P174" s="392"/>
      <c r="Q174" s="392"/>
      <c r="R174" s="392"/>
      <c r="S174" s="392"/>
      <c r="T174" s="392"/>
      <c r="U174" s="392"/>
      <c r="V174" s="392"/>
      <c r="W174" s="392"/>
      <c r="X174" s="392"/>
      <c r="Y174" s="392"/>
      <c r="Z174" s="392"/>
      <c r="AA174" s="392"/>
      <c r="AB174" s="392"/>
      <c r="AC174" s="392"/>
      <c r="AD174" s="392"/>
      <c r="AE174" s="392"/>
      <c r="AF174" s="392"/>
    </row>
    <row r="175" ht="15.75" customHeight="1">
      <c r="A175" s="216"/>
      <c r="B175" s="156"/>
      <c r="C175" s="156"/>
      <c r="D175" s="156"/>
      <c r="E175" s="392"/>
      <c r="F175" s="392"/>
      <c r="G175" s="392"/>
      <c r="H175" s="392"/>
      <c r="I175" s="392"/>
      <c r="J175" s="392"/>
      <c r="K175" s="392"/>
      <c r="L175" s="392"/>
      <c r="M175" s="392"/>
      <c r="N175" s="392"/>
      <c r="O175" s="392"/>
      <c r="P175" s="392"/>
      <c r="Q175" s="392"/>
      <c r="R175" s="392"/>
      <c r="S175" s="392"/>
      <c r="T175" s="392"/>
      <c r="U175" s="392"/>
      <c r="V175" s="392"/>
      <c r="W175" s="392"/>
      <c r="X175" s="392"/>
      <c r="Y175" s="392"/>
      <c r="Z175" s="392"/>
      <c r="AA175" s="392"/>
      <c r="AB175" s="392"/>
      <c r="AC175" s="392"/>
      <c r="AD175" s="392"/>
      <c r="AE175" s="392"/>
      <c r="AF175" s="392"/>
    </row>
    <row r="176" ht="15.75" customHeight="1">
      <c r="A176" s="216"/>
      <c r="B176" s="156"/>
      <c r="C176" s="156"/>
      <c r="D176" s="156"/>
      <c r="E176" s="392"/>
      <c r="F176" s="392"/>
      <c r="G176" s="392"/>
      <c r="H176" s="392"/>
      <c r="I176" s="392"/>
      <c r="J176" s="392"/>
      <c r="K176" s="392"/>
      <c r="L176" s="392"/>
      <c r="M176" s="392"/>
      <c r="N176" s="392"/>
      <c r="O176" s="392"/>
      <c r="P176" s="392"/>
      <c r="Q176" s="392"/>
      <c r="R176" s="392"/>
      <c r="S176" s="392"/>
      <c r="T176" s="392"/>
      <c r="U176" s="392"/>
      <c r="V176" s="392"/>
      <c r="W176" s="392"/>
      <c r="X176" s="392"/>
      <c r="Y176" s="392"/>
      <c r="Z176" s="392"/>
      <c r="AA176" s="392"/>
      <c r="AB176" s="392"/>
      <c r="AC176" s="392"/>
      <c r="AD176" s="392"/>
      <c r="AE176" s="392"/>
      <c r="AF176" s="392"/>
    </row>
    <row r="177" ht="15.75" customHeight="1">
      <c r="A177" s="216"/>
      <c r="B177" s="156"/>
      <c r="C177" s="156"/>
      <c r="D177" s="156"/>
      <c r="E177" s="392"/>
      <c r="F177" s="392"/>
      <c r="G177" s="392"/>
      <c r="H177" s="392"/>
      <c r="I177" s="392"/>
      <c r="J177" s="392"/>
      <c r="K177" s="392"/>
      <c r="L177" s="392"/>
      <c r="M177" s="392"/>
      <c r="N177" s="392"/>
      <c r="O177" s="392"/>
      <c r="P177" s="392"/>
      <c r="Q177" s="392"/>
      <c r="R177" s="392"/>
      <c r="S177" s="392"/>
      <c r="T177" s="392"/>
      <c r="U177" s="392"/>
      <c r="V177" s="392"/>
      <c r="W177" s="392"/>
      <c r="X177" s="392"/>
      <c r="Y177" s="392"/>
      <c r="Z177" s="392"/>
      <c r="AA177" s="392"/>
      <c r="AB177" s="392"/>
      <c r="AC177" s="392"/>
      <c r="AD177" s="392"/>
      <c r="AE177" s="392"/>
      <c r="AF177" s="392"/>
    </row>
    <row r="178" ht="15.75" customHeight="1">
      <c r="A178" s="216"/>
      <c r="B178" s="156"/>
      <c r="C178" s="156"/>
      <c r="D178" s="156"/>
      <c r="E178" s="392"/>
      <c r="F178" s="392"/>
      <c r="G178" s="392"/>
      <c r="H178" s="392"/>
      <c r="I178" s="392"/>
      <c r="J178" s="392"/>
      <c r="K178" s="392"/>
      <c r="L178" s="392"/>
      <c r="M178" s="392"/>
      <c r="N178" s="392"/>
      <c r="O178" s="392"/>
      <c r="P178" s="392"/>
      <c r="Q178" s="392"/>
      <c r="R178" s="392"/>
      <c r="S178" s="392"/>
      <c r="T178" s="392"/>
      <c r="U178" s="392"/>
      <c r="V178" s="392"/>
      <c r="W178" s="392"/>
      <c r="X178" s="392"/>
      <c r="Y178" s="392"/>
      <c r="Z178" s="392"/>
      <c r="AA178" s="392"/>
      <c r="AB178" s="392"/>
      <c r="AC178" s="392"/>
      <c r="AD178" s="392"/>
      <c r="AE178" s="392"/>
      <c r="AF178" s="392"/>
    </row>
    <row r="179" ht="15.75" customHeight="1">
      <c r="A179" s="216"/>
      <c r="B179" s="156"/>
      <c r="C179" s="156"/>
      <c r="D179" s="156"/>
      <c r="E179" s="392"/>
      <c r="F179" s="392"/>
      <c r="G179" s="392"/>
      <c r="H179" s="392"/>
      <c r="I179" s="392"/>
      <c r="J179" s="392"/>
      <c r="K179" s="392"/>
      <c r="L179" s="392"/>
      <c r="M179" s="392"/>
      <c r="N179" s="392"/>
      <c r="O179" s="392"/>
      <c r="P179" s="392"/>
      <c r="Q179" s="392"/>
      <c r="R179" s="392"/>
      <c r="S179" s="392"/>
      <c r="T179" s="392"/>
      <c r="U179" s="392"/>
      <c r="V179" s="392"/>
      <c r="W179" s="392"/>
      <c r="X179" s="392"/>
      <c r="Y179" s="392"/>
      <c r="Z179" s="392"/>
      <c r="AA179" s="392"/>
      <c r="AB179" s="392"/>
      <c r="AC179" s="392"/>
      <c r="AD179" s="392"/>
      <c r="AE179" s="392"/>
      <c r="AF179" s="392"/>
    </row>
    <row r="180" ht="15.75" customHeight="1">
      <c r="A180" s="216"/>
      <c r="B180" s="156"/>
      <c r="C180" s="156"/>
      <c r="D180" s="156"/>
      <c r="E180" s="392"/>
      <c r="F180" s="392"/>
      <c r="G180" s="392"/>
      <c r="H180" s="392"/>
      <c r="I180" s="392"/>
      <c r="J180" s="392"/>
      <c r="K180" s="392"/>
      <c r="L180" s="392"/>
      <c r="M180" s="392"/>
      <c r="N180" s="392"/>
      <c r="O180" s="392"/>
      <c r="P180" s="392"/>
      <c r="Q180" s="392"/>
      <c r="R180" s="392"/>
      <c r="S180" s="392"/>
      <c r="T180" s="392"/>
      <c r="U180" s="392"/>
      <c r="V180" s="392"/>
      <c r="W180" s="392"/>
      <c r="X180" s="392"/>
      <c r="Y180" s="392"/>
      <c r="Z180" s="392"/>
      <c r="AA180" s="392"/>
      <c r="AB180" s="392"/>
      <c r="AC180" s="392"/>
      <c r="AD180" s="392"/>
      <c r="AE180" s="392"/>
      <c r="AF180" s="392"/>
    </row>
    <row r="181" ht="15.75" customHeight="1">
      <c r="A181" s="216"/>
      <c r="B181" s="156"/>
      <c r="C181" s="156"/>
      <c r="D181" s="156"/>
      <c r="E181" s="392"/>
      <c r="F181" s="392"/>
      <c r="G181" s="392"/>
      <c r="H181" s="392"/>
      <c r="I181" s="392"/>
      <c r="J181" s="392"/>
      <c r="K181" s="392"/>
      <c r="L181" s="392"/>
      <c r="M181" s="392"/>
      <c r="N181" s="392"/>
      <c r="O181" s="392"/>
      <c r="P181" s="392"/>
      <c r="Q181" s="392"/>
      <c r="R181" s="392"/>
      <c r="S181" s="392"/>
      <c r="T181" s="392"/>
      <c r="U181" s="392"/>
      <c r="V181" s="392"/>
      <c r="W181" s="392"/>
      <c r="X181" s="392"/>
      <c r="Y181" s="392"/>
      <c r="Z181" s="392"/>
      <c r="AA181" s="392"/>
      <c r="AB181" s="392"/>
      <c r="AC181" s="392"/>
      <c r="AD181" s="392"/>
      <c r="AE181" s="392"/>
      <c r="AF181" s="392"/>
    </row>
    <row r="182" ht="15.75" customHeight="1">
      <c r="A182" s="216"/>
      <c r="B182" s="156"/>
      <c r="C182" s="156"/>
      <c r="D182" s="156"/>
      <c r="E182" s="392"/>
      <c r="F182" s="392"/>
      <c r="G182" s="392"/>
      <c r="H182" s="392"/>
      <c r="I182" s="392"/>
      <c r="J182" s="392"/>
      <c r="K182" s="392"/>
      <c r="L182" s="392"/>
      <c r="M182" s="392"/>
      <c r="N182" s="392"/>
      <c r="O182" s="392"/>
      <c r="P182" s="392"/>
      <c r="Q182" s="392"/>
      <c r="R182" s="392"/>
      <c r="S182" s="392"/>
      <c r="T182" s="392"/>
      <c r="U182" s="392"/>
      <c r="V182" s="392"/>
      <c r="W182" s="392"/>
      <c r="X182" s="392"/>
      <c r="Y182" s="392"/>
      <c r="Z182" s="392"/>
      <c r="AA182" s="392"/>
      <c r="AB182" s="392"/>
      <c r="AC182" s="392"/>
      <c r="AD182" s="392"/>
      <c r="AE182" s="392"/>
      <c r="AF182" s="392"/>
    </row>
    <row r="183" ht="15.75" customHeight="1">
      <c r="A183" s="216"/>
      <c r="B183" s="156"/>
      <c r="C183" s="156"/>
      <c r="D183" s="156"/>
      <c r="E183" s="392"/>
      <c r="F183" s="392"/>
      <c r="G183" s="392"/>
      <c r="H183" s="392"/>
      <c r="I183" s="392"/>
      <c r="J183" s="392"/>
      <c r="K183" s="392"/>
      <c r="L183" s="392"/>
      <c r="M183" s="392"/>
      <c r="N183" s="392"/>
      <c r="O183" s="392"/>
      <c r="P183" s="392"/>
      <c r="Q183" s="392"/>
      <c r="R183" s="392"/>
      <c r="S183" s="392"/>
      <c r="T183" s="392"/>
      <c r="U183" s="392"/>
      <c r="V183" s="392"/>
      <c r="W183" s="392"/>
      <c r="X183" s="392"/>
      <c r="Y183" s="392"/>
      <c r="Z183" s="392"/>
      <c r="AA183" s="392"/>
      <c r="AB183" s="392"/>
      <c r="AC183" s="392"/>
      <c r="AD183" s="392"/>
      <c r="AE183" s="392"/>
      <c r="AF183" s="392"/>
    </row>
    <row r="184" ht="15.75" customHeight="1">
      <c r="A184" s="216"/>
      <c r="B184" s="156"/>
      <c r="C184" s="156"/>
      <c r="D184" s="156"/>
      <c r="E184" s="392"/>
      <c r="F184" s="392"/>
      <c r="G184" s="392"/>
      <c r="H184" s="392"/>
      <c r="I184" s="392"/>
      <c r="J184" s="392"/>
      <c r="K184" s="392"/>
      <c r="L184" s="392"/>
      <c r="M184" s="392"/>
      <c r="N184" s="392"/>
      <c r="O184" s="392"/>
      <c r="P184" s="392"/>
      <c r="Q184" s="392"/>
      <c r="R184" s="392"/>
      <c r="S184" s="392"/>
      <c r="T184" s="392"/>
      <c r="U184" s="392"/>
      <c r="V184" s="392"/>
      <c r="W184" s="392"/>
      <c r="X184" s="392"/>
      <c r="Y184" s="392"/>
      <c r="Z184" s="392"/>
      <c r="AA184" s="392"/>
      <c r="AB184" s="392"/>
      <c r="AC184" s="392"/>
      <c r="AD184" s="392"/>
      <c r="AE184" s="392"/>
      <c r="AF184" s="392"/>
    </row>
    <row r="185" ht="15.75" customHeight="1">
      <c r="A185" s="216"/>
      <c r="B185" s="156"/>
      <c r="C185" s="156"/>
      <c r="D185" s="156"/>
      <c r="E185" s="392"/>
      <c r="F185" s="392"/>
      <c r="G185" s="392"/>
      <c r="H185" s="392"/>
      <c r="I185" s="392"/>
      <c r="J185" s="392"/>
      <c r="K185" s="392"/>
      <c r="L185" s="392"/>
      <c r="M185" s="392"/>
      <c r="N185" s="392"/>
      <c r="O185" s="392"/>
      <c r="P185" s="392"/>
      <c r="Q185" s="392"/>
      <c r="R185" s="392"/>
      <c r="S185" s="392"/>
      <c r="T185" s="392"/>
      <c r="U185" s="392"/>
      <c r="V185" s="392"/>
      <c r="W185" s="392"/>
      <c r="X185" s="392"/>
      <c r="Y185" s="392"/>
      <c r="Z185" s="392"/>
      <c r="AA185" s="392"/>
      <c r="AB185" s="392"/>
      <c r="AC185" s="392"/>
      <c r="AD185" s="392"/>
      <c r="AE185" s="392"/>
      <c r="AF185" s="392"/>
    </row>
    <row r="186" ht="15.75" customHeight="1">
      <c r="A186" s="216"/>
      <c r="B186" s="156"/>
      <c r="C186" s="156"/>
      <c r="D186" s="156"/>
      <c r="E186" s="392"/>
      <c r="F186" s="392"/>
      <c r="G186" s="392"/>
      <c r="H186" s="392"/>
      <c r="I186" s="392"/>
      <c r="J186" s="392"/>
      <c r="K186" s="392"/>
      <c r="L186" s="392"/>
      <c r="M186" s="392"/>
      <c r="N186" s="392"/>
      <c r="O186" s="392"/>
      <c r="P186" s="392"/>
      <c r="Q186" s="392"/>
      <c r="R186" s="392"/>
      <c r="S186" s="392"/>
      <c r="T186" s="392"/>
      <c r="U186" s="392"/>
      <c r="V186" s="392"/>
      <c r="W186" s="392"/>
      <c r="X186" s="392"/>
      <c r="Y186" s="392"/>
      <c r="Z186" s="392"/>
      <c r="AA186" s="392"/>
      <c r="AB186" s="392"/>
      <c r="AC186" s="392"/>
      <c r="AD186" s="392"/>
      <c r="AE186" s="392"/>
      <c r="AF186" s="392"/>
    </row>
    <row r="187" ht="15.75" customHeight="1">
      <c r="A187" s="216"/>
      <c r="B187" s="156"/>
      <c r="C187" s="156"/>
      <c r="D187" s="156"/>
      <c r="E187" s="392"/>
      <c r="F187" s="392"/>
      <c r="G187" s="392"/>
      <c r="H187" s="392"/>
      <c r="I187" s="392"/>
      <c r="J187" s="392"/>
      <c r="K187" s="392"/>
      <c r="L187" s="392"/>
      <c r="M187" s="392"/>
      <c r="N187" s="392"/>
      <c r="O187" s="392"/>
      <c r="P187" s="392"/>
      <c r="Q187" s="392"/>
      <c r="R187" s="392"/>
      <c r="S187" s="392"/>
      <c r="T187" s="392"/>
      <c r="U187" s="392"/>
      <c r="V187" s="392"/>
      <c r="W187" s="392"/>
      <c r="X187" s="392"/>
      <c r="Y187" s="392"/>
      <c r="Z187" s="392"/>
      <c r="AA187" s="392"/>
      <c r="AB187" s="392"/>
      <c r="AC187" s="392"/>
      <c r="AD187" s="392"/>
      <c r="AE187" s="392"/>
      <c r="AF187" s="392"/>
    </row>
    <row r="188" ht="15.75" customHeight="1">
      <c r="A188" s="216"/>
      <c r="B188" s="156"/>
      <c r="C188" s="156"/>
      <c r="D188" s="156"/>
      <c r="E188" s="392"/>
      <c r="F188" s="392"/>
      <c r="G188" s="392"/>
      <c r="H188" s="392"/>
      <c r="I188" s="392"/>
      <c r="J188" s="392"/>
      <c r="K188" s="392"/>
      <c r="L188" s="392"/>
      <c r="M188" s="392"/>
      <c r="N188" s="392"/>
      <c r="O188" s="392"/>
      <c r="P188" s="392"/>
      <c r="Q188" s="392"/>
      <c r="R188" s="392"/>
      <c r="S188" s="392"/>
      <c r="T188" s="392"/>
      <c r="U188" s="392"/>
      <c r="V188" s="392"/>
      <c r="W188" s="392"/>
      <c r="X188" s="392"/>
      <c r="Y188" s="392"/>
      <c r="Z188" s="392"/>
      <c r="AA188" s="392"/>
      <c r="AB188" s="392"/>
      <c r="AC188" s="392"/>
      <c r="AD188" s="392"/>
      <c r="AE188" s="392"/>
      <c r="AF188" s="392"/>
    </row>
    <row r="189" ht="15.75" customHeight="1">
      <c r="A189" s="216"/>
      <c r="B189" s="156"/>
      <c r="C189" s="156"/>
      <c r="D189" s="156"/>
      <c r="E189" s="392"/>
      <c r="F189" s="392"/>
      <c r="G189" s="392"/>
      <c r="H189" s="392"/>
      <c r="I189" s="392"/>
      <c r="J189" s="392"/>
      <c r="K189" s="392"/>
      <c r="L189" s="392"/>
      <c r="M189" s="392"/>
      <c r="N189" s="392"/>
      <c r="O189" s="392"/>
      <c r="P189" s="392"/>
      <c r="Q189" s="392"/>
      <c r="R189" s="392"/>
      <c r="S189" s="392"/>
      <c r="T189" s="392"/>
      <c r="U189" s="392"/>
      <c r="V189" s="392"/>
      <c r="W189" s="392"/>
      <c r="X189" s="392"/>
      <c r="Y189" s="392"/>
      <c r="Z189" s="392"/>
      <c r="AA189" s="392"/>
      <c r="AB189" s="392"/>
      <c r="AC189" s="392"/>
      <c r="AD189" s="392"/>
      <c r="AE189" s="392"/>
      <c r="AF189" s="392"/>
    </row>
    <row r="190" ht="15.75" customHeight="1">
      <c r="A190" s="216"/>
      <c r="B190" s="156"/>
      <c r="C190" s="156"/>
      <c r="D190" s="156"/>
      <c r="E190" s="392"/>
      <c r="F190" s="392"/>
      <c r="G190" s="392"/>
      <c r="H190" s="392"/>
      <c r="I190" s="392"/>
      <c r="J190" s="392"/>
      <c r="K190" s="392"/>
      <c r="L190" s="392"/>
      <c r="M190" s="392"/>
      <c r="N190" s="392"/>
      <c r="O190" s="392"/>
      <c r="P190" s="392"/>
      <c r="Q190" s="392"/>
      <c r="R190" s="392"/>
      <c r="S190" s="392"/>
      <c r="T190" s="392"/>
      <c r="U190" s="392"/>
      <c r="V190" s="392"/>
      <c r="W190" s="392"/>
      <c r="X190" s="392"/>
      <c r="Y190" s="392"/>
      <c r="Z190" s="392"/>
      <c r="AA190" s="392"/>
      <c r="AB190" s="392"/>
      <c r="AC190" s="392"/>
      <c r="AD190" s="392"/>
      <c r="AE190" s="392"/>
      <c r="AF190" s="392"/>
    </row>
    <row r="191" ht="15.75" customHeight="1">
      <c r="A191" s="216"/>
      <c r="B191" s="156"/>
      <c r="C191" s="156"/>
      <c r="D191" s="156"/>
      <c r="E191" s="392"/>
      <c r="F191" s="392"/>
      <c r="G191" s="392"/>
      <c r="H191" s="392"/>
      <c r="I191" s="392"/>
      <c r="J191" s="392"/>
      <c r="K191" s="392"/>
      <c r="L191" s="392"/>
      <c r="M191" s="392"/>
      <c r="N191" s="392"/>
      <c r="O191" s="392"/>
      <c r="P191" s="392"/>
      <c r="Q191" s="392"/>
      <c r="R191" s="392"/>
      <c r="S191" s="392"/>
      <c r="T191" s="392"/>
      <c r="U191" s="392"/>
      <c r="V191" s="392"/>
      <c r="W191" s="392"/>
      <c r="X191" s="392"/>
      <c r="Y191" s="392"/>
      <c r="Z191" s="392"/>
      <c r="AA191" s="392"/>
      <c r="AB191" s="392"/>
      <c r="AC191" s="392"/>
      <c r="AD191" s="392"/>
      <c r="AE191" s="392"/>
      <c r="AF191" s="392"/>
    </row>
    <row r="192" ht="15.75" customHeight="1">
      <c r="A192" s="216"/>
      <c r="B192" s="156"/>
      <c r="C192" s="156"/>
      <c r="D192" s="156"/>
      <c r="E192" s="392"/>
      <c r="F192" s="392"/>
      <c r="G192" s="392"/>
      <c r="H192" s="392"/>
      <c r="I192" s="392"/>
      <c r="J192" s="392"/>
      <c r="K192" s="392"/>
      <c r="L192" s="392"/>
      <c r="M192" s="392"/>
      <c r="N192" s="392"/>
      <c r="O192" s="392"/>
      <c r="P192" s="392"/>
      <c r="Q192" s="392"/>
      <c r="R192" s="392"/>
      <c r="S192" s="392"/>
      <c r="T192" s="392"/>
      <c r="U192" s="392"/>
      <c r="V192" s="392"/>
      <c r="W192" s="392"/>
      <c r="X192" s="392"/>
      <c r="Y192" s="392"/>
      <c r="Z192" s="392"/>
      <c r="AA192" s="392"/>
      <c r="AB192" s="392"/>
      <c r="AC192" s="392"/>
      <c r="AD192" s="392"/>
      <c r="AE192" s="392"/>
      <c r="AF192" s="392"/>
    </row>
    <row r="193" ht="15.75" customHeight="1">
      <c r="A193" s="216"/>
      <c r="B193" s="156"/>
      <c r="C193" s="156"/>
      <c r="D193" s="156"/>
      <c r="E193" s="392"/>
      <c r="F193" s="392"/>
      <c r="G193" s="392"/>
      <c r="H193" s="392"/>
      <c r="I193" s="392"/>
      <c r="J193" s="392"/>
      <c r="K193" s="392"/>
      <c r="L193" s="392"/>
      <c r="M193" s="392"/>
      <c r="N193" s="392"/>
      <c r="O193" s="392"/>
      <c r="P193" s="392"/>
      <c r="Q193" s="392"/>
      <c r="R193" s="392"/>
      <c r="S193" s="392"/>
      <c r="T193" s="392"/>
      <c r="U193" s="392"/>
      <c r="V193" s="392"/>
      <c r="W193" s="392"/>
      <c r="X193" s="392"/>
      <c r="Y193" s="392"/>
      <c r="Z193" s="392"/>
      <c r="AA193" s="392"/>
      <c r="AB193" s="392"/>
      <c r="AC193" s="392"/>
      <c r="AD193" s="392"/>
      <c r="AE193" s="392"/>
      <c r="AF193" s="392"/>
    </row>
    <row r="194" ht="15.75" customHeight="1">
      <c r="A194" s="216"/>
      <c r="B194" s="156"/>
      <c r="C194" s="156"/>
      <c r="D194" s="156"/>
      <c r="E194" s="392"/>
      <c r="F194" s="392"/>
      <c r="G194" s="392"/>
      <c r="H194" s="392"/>
      <c r="I194" s="392"/>
      <c r="J194" s="392"/>
      <c r="K194" s="392"/>
      <c r="L194" s="392"/>
      <c r="M194" s="392"/>
      <c r="N194" s="392"/>
      <c r="O194" s="392"/>
      <c r="P194" s="392"/>
      <c r="Q194" s="392"/>
      <c r="R194" s="392"/>
      <c r="S194" s="392"/>
      <c r="T194" s="392"/>
      <c r="U194" s="392"/>
      <c r="V194" s="392"/>
      <c r="W194" s="392"/>
      <c r="X194" s="392"/>
      <c r="Y194" s="392"/>
      <c r="Z194" s="392"/>
      <c r="AA194" s="392"/>
      <c r="AB194" s="392"/>
      <c r="AC194" s="392"/>
      <c r="AD194" s="392"/>
      <c r="AE194" s="392"/>
      <c r="AF194" s="392"/>
    </row>
    <row r="195" ht="15.75" customHeight="1">
      <c r="A195" s="216"/>
      <c r="B195" s="156"/>
      <c r="C195" s="156"/>
      <c r="D195" s="156"/>
      <c r="E195" s="392"/>
      <c r="F195" s="392"/>
      <c r="G195" s="392"/>
      <c r="H195" s="392"/>
      <c r="I195" s="392"/>
      <c r="J195" s="392"/>
      <c r="K195" s="392"/>
      <c r="L195" s="392"/>
      <c r="M195" s="392"/>
      <c r="N195" s="392"/>
      <c r="O195" s="392"/>
      <c r="P195" s="392"/>
      <c r="Q195" s="392"/>
      <c r="R195" s="392"/>
      <c r="S195" s="392"/>
      <c r="T195" s="392"/>
      <c r="U195" s="392"/>
      <c r="V195" s="392"/>
      <c r="W195" s="392"/>
      <c r="X195" s="392"/>
      <c r="Y195" s="392"/>
      <c r="Z195" s="392"/>
      <c r="AA195" s="392"/>
      <c r="AB195" s="392"/>
      <c r="AC195" s="392"/>
      <c r="AD195" s="392"/>
      <c r="AE195" s="392"/>
      <c r="AF195" s="392"/>
    </row>
    <row r="196" ht="15.75" customHeight="1">
      <c r="A196" s="216"/>
      <c r="B196" s="156"/>
      <c r="C196" s="156"/>
      <c r="D196" s="156"/>
      <c r="E196" s="392"/>
      <c r="F196" s="392"/>
      <c r="G196" s="392"/>
      <c r="H196" s="392"/>
      <c r="I196" s="392"/>
      <c r="J196" s="392"/>
      <c r="K196" s="392"/>
      <c r="L196" s="392"/>
      <c r="M196" s="392"/>
      <c r="N196" s="392"/>
      <c r="O196" s="392"/>
      <c r="P196" s="392"/>
      <c r="Q196" s="392"/>
      <c r="R196" s="392"/>
      <c r="S196" s="392"/>
      <c r="T196" s="392"/>
      <c r="U196" s="392"/>
      <c r="V196" s="392"/>
      <c r="W196" s="392"/>
      <c r="X196" s="392"/>
      <c r="Y196" s="392"/>
      <c r="Z196" s="392"/>
      <c r="AA196" s="392"/>
      <c r="AB196" s="392"/>
      <c r="AC196" s="392"/>
      <c r="AD196" s="392"/>
      <c r="AE196" s="392"/>
      <c r="AF196" s="392"/>
    </row>
    <row r="197" ht="15.75" customHeight="1">
      <c r="A197" s="216"/>
      <c r="B197" s="156"/>
      <c r="C197" s="156"/>
      <c r="D197" s="156"/>
      <c r="E197" s="392"/>
      <c r="F197" s="392"/>
      <c r="G197" s="392"/>
      <c r="H197" s="392"/>
      <c r="I197" s="392"/>
      <c r="J197" s="392"/>
      <c r="K197" s="392"/>
      <c r="L197" s="392"/>
      <c r="M197" s="392"/>
      <c r="N197" s="392"/>
      <c r="O197" s="392"/>
      <c r="P197" s="392"/>
      <c r="Q197" s="392"/>
      <c r="R197" s="392"/>
      <c r="S197" s="392"/>
      <c r="T197" s="392"/>
      <c r="U197" s="392"/>
      <c r="V197" s="392"/>
      <c r="W197" s="392"/>
      <c r="X197" s="392"/>
      <c r="Y197" s="392"/>
      <c r="Z197" s="392"/>
      <c r="AA197" s="392"/>
      <c r="AB197" s="392"/>
      <c r="AC197" s="392"/>
      <c r="AD197" s="392"/>
      <c r="AE197" s="392"/>
      <c r="AF197" s="392"/>
    </row>
    <row r="198" ht="15.75" customHeight="1">
      <c r="A198" s="216"/>
      <c r="B198" s="156"/>
      <c r="C198" s="156"/>
      <c r="D198" s="156"/>
      <c r="E198" s="392"/>
      <c r="F198" s="392"/>
      <c r="G198" s="392"/>
      <c r="H198" s="392"/>
      <c r="I198" s="392"/>
      <c r="J198" s="392"/>
      <c r="K198" s="392"/>
      <c r="L198" s="392"/>
      <c r="M198" s="392"/>
      <c r="N198" s="392"/>
      <c r="O198" s="392"/>
      <c r="P198" s="392"/>
      <c r="Q198" s="392"/>
      <c r="R198" s="392"/>
      <c r="S198" s="392"/>
      <c r="T198" s="392"/>
      <c r="U198" s="392"/>
      <c r="V198" s="392"/>
      <c r="W198" s="392"/>
      <c r="X198" s="392"/>
      <c r="Y198" s="392"/>
      <c r="Z198" s="392"/>
      <c r="AA198" s="392"/>
      <c r="AB198" s="392"/>
      <c r="AC198" s="392"/>
      <c r="AD198" s="392"/>
      <c r="AE198" s="392"/>
      <c r="AF198" s="392"/>
    </row>
    <row r="199" ht="15.75" customHeight="1">
      <c r="A199" s="216"/>
      <c r="B199" s="156"/>
      <c r="C199" s="156"/>
      <c r="D199" s="156"/>
      <c r="E199" s="392"/>
      <c r="F199" s="392"/>
      <c r="G199" s="392"/>
      <c r="H199" s="392"/>
      <c r="I199" s="392"/>
      <c r="J199" s="392"/>
      <c r="K199" s="392"/>
      <c r="L199" s="392"/>
      <c r="M199" s="392"/>
      <c r="N199" s="392"/>
      <c r="O199" s="392"/>
      <c r="P199" s="392"/>
      <c r="Q199" s="392"/>
      <c r="R199" s="392"/>
      <c r="S199" s="392"/>
      <c r="T199" s="392"/>
      <c r="U199" s="392"/>
      <c r="V199" s="392"/>
      <c r="W199" s="392"/>
      <c r="X199" s="392"/>
      <c r="Y199" s="392"/>
      <c r="Z199" s="392"/>
      <c r="AA199" s="392"/>
      <c r="AB199" s="392"/>
      <c r="AC199" s="392"/>
      <c r="AD199" s="392"/>
      <c r="AE199" s="392"/>
      <c r="AF199" s="392"/>
    </row>
    <row r="200" ht="15.75" customHeight="1">
      <c r="A200" s="216"/>
      <c r="B200" s="156"/>
      <c r="C200" s="156"/>
      <c r="D200" s="156"/>
      <c r="E200" s="392"/>
      <c r="F200" s="392"/>
      <c r="G200" s="392"/>
      <c r="H200" s="392"/>
      <c r="I200" s="392"/>
      <c r="J200" s="392"/>
      <c r="K200" s="392"/>
      <c r="L200" s="392"/>
      <c r="M200" s="392"/>
      <c r="N200" s="392"/>
      <c r="O200" s="392"/>
      <c r="P200" s="392"/>
      <c r="Q200" s="392"/>
      <c r="R200" s="392"/>
      <c r="S200" s="392"/>
      <c r="T200" s="392"/>
      <c r="U200" s="392"/>
      <c r="V200" s="392"/>
      <c r="W200" s="392"/>
      <c r="X200" s="392"/>
      <c r="Y200" s="392"/>
      <c r="Z200" s="392"/>
      <c r="AA200" s="392"/>
      <c r="AB200" s="392"/>
      <c r="AC200" s="392"/>
      <c r="AD200" s="392"/>
      <c r="AE200" s="392"/>
      <c r="AF200" s="392"/>
    </row>
    <row r="201" ht="15.75" customHeight="1">
      <c r="A201" s="216"/>
      <c r="B201" s="156"/>
      <c r="C201" s="156"/>
      <c r="D201" s="156"/>
      <c r="E201" s="392"/>
      <c r="F201" s="392"/>
      <c r="G201" s="392"/>
      <c r="H201" s="392"/>
      <c r="I201" s="392"/>
      <c r="J201" s="392"/>
      <c r="K201" s="392"/>
      <c r="L201" s="392"/>
      <c r="M201" s="392"/>
      <c r="N201" s="392"/>
      <c r="O201" s="392"/>
      <c r="P201" s="392"/>
      <c r="Q201" s="392"/>
      <c r="R201" s="392"/>
      <c r="S201" s="392"/>
      <c r="T201" s="392"/>
      <c r="U201" s="392"/>
      <c r="V201" s="392"/>
      <c r="W201" s="392"/>
      <c r="X201" s="392"/>
      <c r="Y201" s="392"/>
      <c r="Z201" s="392"/>
      <c r="AA201" s="392"/>
      <c r="AB201" s="392"/>
      <c r="AC201" s="392"/>
      <c r="AD201" s="392"/>
      <c r="AE201" s="392"/>
      <c r="AF201" s="392"/>
    </row>
    <row r="202" ht="15.75" customHeight="1">
      <c r="A202" s="216"/>
      <c r="B202" s="156"/>
      <c r="C202" s="156"/>
      <c r="D202" s="156"/>
      <c r="E202" s="392"/>
      <c r="F202" s="392"/>
      <c r="G202" s="392"/>
      <c r="H202" s="392"/>
      <c r="I202" s="392"/>
      <c r="J202" s="392"/>
      <c r="K202" s="392"/>
      <c r="L202" s="392"/>
      <c r="M202" s="392"/>
      <c r="N202" s="392"/>
      <c r="O202" s="392"/>
      <c r="P202" s="392"/>
      <c r="Q202" s="392"/>
      <c r="R202" s="392"/>
      <c r="S202" s="392"/>
      <c r="T202" s="392"/>
      <c r="U202" s="392"/>
      <c r="V202" s="392"/>
      <c r="W202" s="392"/>
      <c r="X202" s="392"/>
      <c r="Y202" s="392"/>
      <c r="Z202" s="392"/>
      <c r="AA202" s="392"/>
      <c r="AB202" s="392"/>
      <c r="AC202" s="392"/>
      <c r="AD202" s="392"/>
      <c r="AE202" s="392"/>
      <c r="AF202" s="392"/>
    </row>
    <row r="203" ht="15.75" customHeight="1">
      <c r="A203" s="216"/>
      <c r="B203" s="156"/>
      <c r="C203" s="156"/>
      <c r="D203" s="156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2"/>
      <c r="T203" s="392"/>
      <c r="U203" s="392"/>
      <c r="V203" s="392"/>
      <c r="W203" s="392"/>
      <c r="X203" s="392"/>
      <c r="Y203" s="392"/>
      <c r="Z203" s="392"/>
      <c r="AA203" s="392"/>
      <c r="AB203" s="392"/>
      <c r="AC203" s="392"/>
      <c r="AD203" s="392"/>
      <c r="AE203" s="392"/>
      <c r="AF203" s="392"/>
    </row>
    <row r="204" ht="15.75" customHeight="1">
      <c r="A204" s="216"/>
      <c r="B204" s="156"/>
      <c r="C204" s="156"/>
      <c r="D204" s="156"/>
      <c r="E204" s="392"/>
      <c r="F204" s="392"/>
      <c r="G204" s="392"/>
      <c r="H204" s="392"/>
      <c r="I204" s="392"/>
      <c r="J204" s="392"/>
      <c r="K204" s="392"/>
      <c r="L204" s="392"/>
      <c r="M204" s="392"/>
      <c r="N204" s="392"/>
      <c r="O204" s="392"/>
      <c r="P204" s="392"/>
      <c r="Q204" s="392"/>
      <c r="R204" s="392"/>
      <c r="S204" s="392"/>
      <c r="T204" s="392"/>
      <c r="U204" s="392"/>
      <c r="V204" s="392"/>
      <c r="W204" s="392"/>
      <c r="X204" s="392"/>
      <c r="Y204" s="392"/>
      <c r="Z204" s="392"/>
      <c r="AA204" s="392"/>
      <c r="AB204" s="392"/>
      <c r="AC204" s="392"/>
      <c r="AD204" s="392"/>
      <c r="AE204" s="392"/>
      <c r="AF204" s="392"/>
    </row>
    <row r="205" ht="15.75" customHeight="1">
      <c r="A205" s="216"/>
      <c r="B205" s="156"/>
      <c r="C205" s="156"/>
      <c r="D205" s="156"/>
      <c r="E205" s="392"/>
      <c r="F205" s="392"/>
      <c r="G205" s="392"/>
      <c r="H205" s="392"/>
      <c r="I205" s="392"/>
      <c r="J205" s="392"/>
      <c r="K205" s="392"/>
      <c r="L205" s="392"/>
      <c r="M205" s="392"/>
      <c r="N205" s="392"/>
      <c r="O205" s="392"/>
      <c r="P205" s="392"/>
      <c r="Q205" s="392"/>
      <c r="R205" s="392"/>
      <c r="S205" s="392"/>
      <c r="T205" s="392"/>
      <c r="U205" s="392"/>
      <c r="V205" s="392"/>
      <c r="W205" s="392"/>
      <c r="X205" s="392"/>
      <c r="Y205" s="392"/>
      <c r="Z205" s="392"/>
      <c r="AA205" s="392"/>
      <c r="AB205" s="392"/>
      <c r="AC205" s="392"/>
      <c r="AD205" s="392"/>
      <c r="AE205" s="392"/>
      <c r="AF205" s="392"/>
    </row>
    <row r="206" ht="15.75" customHeight="1">
      <c r="A206" s="216"/>
      <c r="B206" s="156"/>
      <c r="C206" s="156"/>
      <c r="D206" s="156"/>
      <c r="E206" s="392"/>
      <c r="F206" s="392"/>
      <c r="G206" s="392"/>
      <c r="H206" s="392"/>
      <c r="I206" s="392"/>
      <c r="J206" s="392"/>
      <c r="K206" s="392"/>
      <c r="L206" s="392"/>
      <c r="M206" s="392"/>
      <c r="N206" s="392"/>
      <c r="O206" s="392"/>
      <c r="P206" s="392"/>
      <c r="Q206" s="392"/>
      <c r="R206" s="392"/>
      <c r="S206" s="392"/>
      <c r="T206" s="392"/>
      <c r="U206" s="392"/>
      <c r="V206" s="392"/>
      <c r="W206" s="392"/>
      <c r="X206" s="392"/>
      <c r="Y206" s="392"/>
      <c r="Z206" s="392"/>
      <c r="AA206" s="392"/>
      <c r="AB206" s="392"/>
      <c r="AC206" s="392"/>
      <c r="AD206" s="392"/>
      <c r="AE206" s="392"/>
      <c r="AF206" s="392"/>
    </row>
    <row r="207" ht="15.75" customHeight="1">
      <c r="A207" s="216"/>
      <c r="B207" s="156"/>
      <c r="C207" s="156"/>
      <c r="D207" s="156"/>
      <c r="E207" s="392"/>
      <c r="F207" s="392"/>
      <c r="G207" s="392"/>
      <c r="H207" s="392"/>
      <c r="I207" s="392"/>
      <c r="J207" s="392"/>
      <c r="K207" s="392"/>
      <c r="L207" s="392"/>
      <c r="M207" s="392"/>
      <c r="N207" s="392"/>
      <c r="O207" s="392"/>
      <c r="P207" s="392"/>
      <c r="Q207" s="392"/>
      <c r="R207" s="392"/>
      <c r="S207" s="392"/>
      <c r="T207" s="392"/>
      <c r="U207" s="392"/>
      <c r="V207" s="392"/>
      <c r="W207" s="392"/>
      <c r="X207" s="392"/>
      <c r="Y207" s="392"/>
      <c r="Z207" s="392"/>
      <c r="AA207" s="392"/>
      <c r="AB207" s="392"/>
      <c r="AC207" s="392"/>
      <c r="AD207" s="392"/>
      <c r="AE207" s="392"/>
      <c r="AF207" s="392"/>
    </row>
    <row r="208" ht="15.75" customHeight="1">
      <c r="A208" s="216"/>
      <c r="B208" s="156"/>
      <c r="C208" s="156"/>
      <c r="D208" s="156"/>
      <c r="E208" s="392"/>
      <c r="F208" s="392"/>
      <c r="G208" s="392"/>
      <c r="H208" s="392"/>
      <c r="I208" s="392"/>
      <c r="J208" s="392"/>
      <c r="K208" s="392"/>
      <c r="L208" s="392"/>
      <c r="M208" s="392"/>
      <c r="N208" s="392"/>
      <c r="O208" s="392"/>
      <c r="P208" s="392"/>
      <c r="Q208" s="392"/>
      <c r="R208" s="392"/>
      <c r="S208" s="392"/>
      <c r="T208" s="392"/>
      <c r="U208" s="392"/>
      <c r="V208" s="392"/>
      <c r="W208" s="392"/>
      <c r="X208" s="392"/>
      <c r="Y208" s="392"/>
      <c r="Z208" s="392"/>
      <c r="AA208" s="392"/>
      <c r="AB208" s="392"/>
      <c r="AC208" s="392"/>
      <c r="AD208" s="392"/>
      <c r="AE208" s="392"/>
      <c r="AF208" s="392"/>
    </row>
    <row r="209" ht="15.75" customHeight="1">
      <c r="A209" s="216"/>
      <c r="B209" s="156"/>
      <c r="C209" s="156"/>
      <c r="D209" s="156"/>
      <c r="E209" s="392"/>
      <c r="F209" s="392"/>
      <c r="G209" s="392"/>
      <c r="H209" s="392"/>
      <c r="I209" s="392"/>
      <c r="J209" s="392"/>
      <c r="K209" s="392"/>
      <c r="L209" s="392"/>
      <c r="M209" s="392"/>
      <c r="N209" s="392"/>
      <c r="O209" s="392"/>
      <c r="P209" s="392"/>
      <c r="Q209" s="392"/>
      <c r="R209" s="392"/>
      <c r="S209" s="392"/>
      <c r="T209" s="392"/>
      <c r="U209" s="392"/>
      <c r="V209" s="392"/>
      <c r="W209" s="392"/>
      <c r="X209" s="392"/>
      <c r="Y209" s="392"/>
      <c r="Z209" s="392"/>
      <c r="AA209" s="392"/>
      <c r="AB209" s="392"/>
      <c r="AC209" s="392"/>
      <c r="AD209" s="392"/>
      <c r="AE209" s="392"/>
      <c r="AF209" s="392"/>
    </row>
    <row r="210" ht="15.75" customHeight="1">
      <c r="A210" s="216"/>
      <c r="B210" s="156"/>
      <c r="C210" s="156"/>
      <c r="D210" s="156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2"/>
      <c r="T210" s="392"/>
      <c r="U210" s="392"/>
      <c r="V210" s="392"/>
      <c r="W210" s="392"/>
      <c r="X210" s="392"/>
      <c r="Y210" s="392"/>
      <c r="Z210" s="392"/>
      <c r="AA210" s="392"/>
      <c r="AB210" s="392"/>
      <c r="AC210" s="392"/>
      <c r="AD210" s="392"/>
      <c r="AE210" s="392"/>
      <c r="AF210" s="392"/>
    </row>
    <row r="211" ht="15.75" customHeight="1">
      <c r="A211" s="216"/>
      <c r="B211" s="156"/>
      <c r="C211" s="156"/>
      <c r="D211" s="156"/>
      <c r="E211" s="392"/>
      <c r="F211" s="392"/>
      <c r="G211" s="392"/>
      <c r="H211" s="392"/>
      <c r="I211" s="392"/>
      <c r="J211" s="392"/>
      <c r="K211" s="392"/>
      <c r="L211" s="392"/>
      <c r="M211" s="392"/>
      <c r="N211" s="392"/>
      <c r="O211" s="392"/>
      <c r="P211" s="392"/>
      <c r="Q211" s="392"/>
      <c r="R211" s="392"/>
      <c r="S211" s="392"/>
      <c r="T211" s="392"/>
      <c r="U211" s="392"/>
      <c r="V211" s="392"/>
      <c r="W211" s="392"/>
      <c r="X211" s="392"/>
      <c r="Y211" s="392"/>
      <c r="Z211" s="392"/>
      <c r="AA211" s="392"/>
      <c r="AB211" s="392"/>
      <c r="AC211" s="392"/>
      <c r="AD211" s="392"/>
      <c r="AE211" s="392"/>
      <c r="AF211" s="392"/>
    </row>
    <row r="212" ht="15.75" customHeight="1">
      <c r="A212" s="216"/>
      <c r="B212" s="156"/>
      <c r="C212" s="156"/>
      <c r="D212" s="156"/>
      <c r="E212" s="392"/>
      <c r="F212" s="392"/>
      <c r="G212" s="392"/>
      <c r="H212" s="392"/>
      <c r="I212" s="392"/>
      <c r="J212" s="392"/>
      <c r="K212" s="392"/>
      <c r="L212" s="392"/>
      <c r="M212" s="392"/>
      <c r="N212" s="392"/>
      <c r="O212" s="392"/>
      <c r="P212" s="392"/>
      <c r="Q212" s="392"/>
      <c r="R212" s="392"/>
      <c r="S212" s="392"/>
      <c r="T212" s="392"/>
      <c r="U212" s="392"/>
      <c r="V212" s="392"/>
      <c r="W212" s="392"/>
      <c r="X212" s="392"/>
      <c r="Y212" s="392"/>
      <c r="Z212" s="392"/>
      <c r="AA212" s="392"/>
      <c r="AB212" s="392"/>
      <c r="AC212" s="392"/>
      <c r="AD212" s="392"/>
      <c r="AE212" s="392"/>
      <c r="AF212" s="392"/>
    </row>
    <row r="213" ht="15.75" customHeight="1">
      <c r="A213" s="216"/>
      <c r="B213" s="156"/>
      <c r="C213" s="156"/>
      <c r="D213" s="156"/>
      <c r="E213" s="392"/>
      <c r="F213" s="392"/>
      <c r="G213" s="392"/>
      <c r="H213" s="392"/>
      <c r="I213" s="392"/>
      <c r="J213" s="392"/>
      <c r="K213" s="392"/>
      <c r="L213" s="392"/>
      <c r="M213" s="392"/>
      <c r="N213" s="392"/>
      <c r="O213" s="392"/>
      <c r="P213" s="392"/>
      <c r="Q213" s="392"/>
      <c r="R213" s="392"/>
      <c r="S213" s="392"/>
      <c r="T213" s="392"/>
      <c r="U213" s="392"/>
      <c r="V213" s="392"/>
      <c r="W213" s="392"/>
      <c r="X213" s="392"/>
      <c r="Y213" s="392"/>
      <c r="Z213" s="392"/>
      <c r="AA213" s="392"/>
      <c r="AB213" s="392"/>
      <c r="AC213" s="392"/>
      <c r="AD213" s="392"/>
      <c r="AE213" s="392"/>
      <c r="AF213" s="392"/>
    </row>
    <row r="214" ht="15.75" customHeight="1">
      <c r="A214" s="216"/>
      <c r="B214" s="156"/>
      <c r="C214" s="156"/>
      <c r="D214" s="156"/>
      <c r="E214" s="392"/>
      <c r="F214" s="392"/>
      <c r="G214" s="392"/>
      <c r="H214" s="392"/>
      <c r="I214" s="392"/>
      <c r="J214" s="392"/>
      <c r="K214" s="392"/>
      <c r="L214" s="392"/>
      <c r="M214" s="392"/>
      <c r="N214" s="392"/>
      <c r="O214" s="392"/>
      <c r="P214" s="392"/>
      <c r="Q214" s="392"/>
      <c r="R214" s="392"/>
      <c r="S214" s="392"/>
      <c r="T214" s="392"/>
      <c r="U214" s="392"/>
      <c r="V214" s="392"/>
      <c r="W214" s="392"/>
      <c r="X214" s="392"/>
      <c r="Y214" s="392"/>
      <c r="Z214" s="392"/>
      <c r="AA214" s="392"/>
      <c r="AB214" s="392"/>
      <c r="AC214" s="392"/>
      <c r="AD214" s="392"/>
      <c r="AE214" s="392"/>
      <c r="AF214" s="392"/>
    </row>
    <row r="215" ht="15.75" customHeight="1">
      <c r="A215" s="216"/>
      <c r="B215" s="156"/>
      <c r="C215" s="156"/>
      <c r="D215" s="156"/>
      <c r="E215" s="392"/>
      <c r="F215" s="392"/>
      <c r="G215" s="392"/>
      <c r="H215" s="392"/>
      <c r="I215" s="392"/>
      <c r="J215" s="392"/>
      <c r="K215" s="392"/>
      <c r="L215" s="392"/>
      <c r="M215" s="392"/>
      <c r="N215" s="392"/>
      <c r="O215" s="392"/>
      <c r="P215" s="392"/>
      <c r="Q215" s="392"/>
      <c r="R215" s="392"/>
      <c r="S215" s="392"/>
      <c r="T215" s="392"/>
      <c r="U215" s="392"/>
      <c r="V215" s="392"/>
      <c r="W215" s="392"/>
      <c r="X215" s="392"/>
      <c r="Y215" s="392"/>
      <c r="Z215" s="392"/>
      <c r="AA215" s="392"/>
      <c r="AB215" s="392"/>
      <c r="AC215" s="392"/>
      <c r="AD215" s="392"/>
      <c r="AE215" s="392"/>
      <c r="AF215" s="392"/>
    </row>
    <row r="216" ht="15.75" customHeight="1">
      <c r="A216" s="216"/>
      <c r="B216" s="156"/>
      <c r="C216" s="156"/>
      <c r="D216" s="156"/>
      <c r="E216" s="392"/>
      <c r="F216" s="392"/>
      <c r="G216" s="392"/>
      <c r="H216" s="392"/>
      <c r="I216" s="392"/>
      <c r="J216" s="392"/>
      <c r="K216" s="392"/>
      <c r="L216" s="392"/>
      <c r="M216" s="392"/>
      <c r="N216" s="392"/>
      <c r="O216" s="392"/>
      <c r="P216" s="392"/>
      <c r="Q216" s="392"/>
      <c r="R216" s="392"/>
      <c r="S216" s="392"/>
      <c r="T216" s="392"/>
      <c r="U216" s="392"/>
      <c r="V216" s="392"/>
      <c r="W216" s="392"/>
      <c r="X216" s="392"/>
      <c r="Y216" s="392"/>
      <c r="Z216" s="392"/>
      <c r="AA216" s="392"/>
      <c r="AB216" s="392"/>
      <c r="AC216" s="392"/>
      <c r="AD216" s="392"/>
      <c r="AE216" s="392"/>
      <c r="AF216" s="392"/>
    </row>
    <row r="217" ht="15.75" customHeight="1">
      <c r="A217" s="216"/>
      <c r="B217" s="156"/>
      <c r="C217" s="156"/>
      <c r="D217" s="156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2"/>
      <c r="T217" s="392"/>
      <c r="U217" s="392"/>
      <c r="V217" s="392"/>
      <c r="W217" s="392"/>
      <c r="X217" s="392"/>
      <c r="Y217" s="392"/>
      <c r="Z217" s="392"/>
      <c r="AA217" s="392"/>
      <c r="AB217" s="392"/>
      <c r="AC217" s="392"/>
      <c r="AD217" s="392"/>
      <c r="AE217" s="392"/>
      <c r="AF217" s="392"/>
    </row>
    <row r="218" ht="15.75" customHeight="1">
      <c r="A218" s="216"/>
      <c r="B218" s="156"/>
      <c r="C218" s="156"/>
      <c r="D218" s="156"/>
      <c r="E218" s="392"/>
      <c r="F218" s="392"/>
      <c r="G218" s="392"/>
      <c r="H218" s="392"/>
      <c r="I218" s="392"/>
      <c r="J218" s="392"/>
      <c r="K218" s="392"/>
      <c r="L218" s="392"/>
      <c r="M218" s="392"/>
      <c r="N218" s="392"/>
      <c r="O218" s="392"/>
      <c r="P218" s="392"/>
      <c r="Q218" s="392"/>
      <c r="R218" s="392"/>
      <c r="S218" s="392"/>
      <c r="T218" s="392"/>
      <c r="U218" s="392"/>
      <c r="V218" s="392"/>
      <c r="W218" s="392"/>
      <c r="X218" s="392"/>
      <c r="Y218" s="392"/>
      <c r="Z218" s="392"/>
      <c r="AA218" s="392"/>
      <c r="AB218" s="392"/>
      <c r="AC218" s="392"/>
      <c r="AD218" s="392"/>
      <c r="AE218" s="392"/>
      <c r="AF218" s="392"/>
    </row>
    <row r="219" ht="15.75" customHeight="1">
      <c r="A219" s="216"/>
      <c r="B219" s="156"/>
      <c r="C219" s="156"/>
      <c r="D219" s="156"/>
      <c r="E219" s="392"/>
      <c r="F219" s="392"/>
      <c r="G219" s="392"/>
      <c r="H219" s="392"/>
      <c r="I219" s="392"/>
      <c r="J219" s="392"/>
      <c r="K219" s="392"/>
      <c r="L219" s="392"/>
      <c r="M219" s="392"/>
      <c r="N219" s="392"/>
      <c r="O219" s="392"/>
      <c r="P219" s="392"/>
      <c r="Q219" s="392"/>
      <c r="R219" s="392"/>
      <c r="S219" s="392"/>
      <c r="T219" s="392"/>
      <c r="U219" s="392"/>
      <c r="V219" s="392"/>
      <c r="W219" s="392"/>
      <c r="X219" s="392"/>
      <c r="Y219" s="392"/>
      <c r="Z219" s="392"/>
      <c r="AA219" s="392"/>
      <c r="AB219" s="392"/>
      <c r="AC219" s="392"/>
      <c r="AD219" s="392"/>
      <c r="AE219" s="392"/>
      <c r="AF219" s="392"/>
    </row>
    <row r="220" ht="15.75" customHeight="1">
      <c r="A220" s="216"/>
      <c r="B220" s="156"/>
      <c r="C220" s="156"/>
      <c r="D220" s="156"/>
      <c r="E220" s="392"/>
      <c r="F220" s="392"/>
      <c r="G220" s="392"/>
      <c r="H220" s="392"/>
      <c r="I220" s="392"/>
      <c r="J220" s="392"/>
      <c r="K220" s="392"/>
      <c r="L220" s="392"/>
      <c r="M220" s="392"/>
      <c r="N220" s="392"/>
      <c r="O220" s="392"/>
      <c r="P220" s="392"/>
      <c r="Q220" s="392"/>
      <c r="R220" s="392"/>
      <c r="S220" s="392"/>
      <c r="T220" s="392"/>
      <c r="U220" s="392"/>
      <c r="V220" s="392"/>
      <c r="W220" s="392"/>
      <c r="X220" s="392"/>
      <c r="Y220" s="392"/>
      <c r="Z220" s="392"/>
      <c r="AA220" s="392"/>
      <c r="AB220" s="392"/>
      <c r="AC220" s="392"/>
      <c r="AD220" s="392"/>
      <c r="AE220" s="392"/>
      <c r="AF220" s="392"/>
    </row>
    <row r="221" ht="15.75" customHeight="1">
      <c r="A221" s="216"/>
      <c r="B221" s="156"/>
      <c r="C221" s="156"/>
      <c r="D221" s="156"/>
      <c r="E221" s="392"/>
      <c r="F221" s="392"/>
      <c r="G221" s="392"/>
      <c r="H221" s="392"/>
      <c r="I221" s="392"/>
      <c r="J221" s="392"/>
      <c r="K221" s="392"/>
      <c r="L221" s="392"/>
      <c r="M221" s="392"/>
      <c r="N221" s="392"/>
      <c r="O221" s="392"/>
      <c r="P221" s="392"/>
      <c r="Q221" s="392"/>
      <c r="R221" s="392"/>
      <c r="S221" s="392"/>
      <c r="T221" s="392"/>
      <c r="U221" s="392"/>
      <c r="V221" s="392"/>
      <c r="W221" s="392"/>
      <c r="X221" s="392"/>
      <c r="Y221" s="392"/>
      <c r="Z221" s="392"/>
      <c r="AA221" s="392"/>
      <c r="AB221" s="392"/>
      <c r="AC221" s="392"/>
      <c r="AD221" s="392"/>
      <c r="AE221" s="392"/>
      <c r="AF221" s="392"/>
    </row>
    <row r="222" ht="15.75" customHeight="1">
      <c r="A222" s="216"/>
      <c r="B222" s="156"/>
      <c r="C222" s="156"/>
      <c r="D222" s="156"/>
      <c r="E222" s="392"/>
      <c r="F222" s="392"/>
      <c r="G222" s="392"/>
      <c r="H222" s="392"/>
      <c r="I222" s="392"/>
      <c r="J222" s="392"/>
      <c r="K222" s="392"/>
      <c r="L222" s="392"/>
      <c r="M222" s="392"/>
      <c r="N222" s="392"/>
      <c r="O222" s="392"/>
      <c r="P222" s="392"/>
      <c r="Q222" s="392"/>
      <c r="R222" s="392"/>
      <c r="S222" s="392"/>
      <c r="T222" s="392"/>
      <c r="U222" s="392"/>
      <c r="V222" s="392"/>
      <c r="W222" s="392"/>
      <c r="X222" s="392"/>
      <c r="Y222" s="392"/>
      <c r="Z222" s="392"/>
      <c r="AA222" s="392"/>
      <c r="AB222" s="392"/>
      <c r="AC222" s="392"/>
      <c r="AD222" s="392"/>
      <c r="AE222" s="392"/>
      <c r="AF222" s="392"/>
    </row>
    <row r="223" ht="15.75" customHeight="1">
      <c r="A223" s="216"/>
      <c r="B223" s="156"/>
      <c r="C223" s="156"/>
      <c r="D223" s="156"/>
      <c r="E223" s="392"/>
      <c r="F223" s="392"/>
      <c r="G223" s="392"/>
      <c r="H223" s="392"/>
      <c r="I223" s="392"/>
      <c r="J223" s="392"/>
      <c r="K223" s="392"/>
      <c r="L223" s="392"/>
      <c r="M223" s="392"/>
      <c r="N223" s="392"/>
      <c r="O223" s="392"/>
      <c r="P223" s="392"/>
      <c r="Q223" s="392"/>
      <c r="R223" s="392"/>
      <c r="S223" s="392"/>
      <c r="T223" s="392"/>
      <c r="U223" s="392"/>
      <c r="V223" s="392"/>
      <c r="W223" s="392"/>
      <c r="X223" s="392"/>
      <c r="Y223" s="392"/>
      <c r="Z223" s="392"/>
      <c r="AA223" s="392"/>
      <c r="AB223" s="392"/>
      <c r="AC223" s="392"/>
      <c r="AD223" s="392"/>
      <c r="AE223" s="392"/>
      <c r="AF223" s="392"/>
    </row>
    <row r="224" ht="15.75" customHeight="1">
      <c r="A224" s="216"/>
      <c r="B224" s="156"/>
      <c r="C224" s="156"/>
      <c r="D224" s="156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2"/>
      <c r="T224" s="392"/>
      <c r="U224" s="392"/>
      <c r="V224" s="392"/>
      <c r="W224" s="392"/>
      <c r="X224" s="392"/>
      <c r="Y224" s="392"/>
      <c r="Z224" s="392"/>
      <c r="AA224" s="392"/>
      <c r="AB224" s="392"/>
      <c r="AC224" s="392"/>
      <c r="AD224" s="392"/>
      <c r="AE224" s="392"/>
      <c r="AF224" s="392"/>
    </row>
    <row r="225" ht="15.75" customHeight="1">
      <c r="A225" s="216"/>
      <c r="B225" s="156"/>
      <c r="C225" s="156"/>
      <c r="D225" s="156"/>
      <c r="E225" s="392"/>
      <c r="F225" s="392"/>
      <c r="G225" s="392"/>
      <c r="H225" s="392"/>
      <c r="I225" s="392"/>
      <c r="J225" s="392"/>
      <c r="K225" s="392"/>
      <c r="L225" s="392"/>
      <c r="M225" s="392"/>
      <c r="N225" s="392"/>
      <c r="O225" s="392"/>
      <c r="P225" s="392"/>
      <c r="Q225" s="392"/>
      <c r="R225" s="392"/>
      <c r="S225" s="392"/>
      <c r="T225" s="392"/>
      <c r="U225" s="392"/>
      <c r="V225" s="392"/>
      <c r="W225" s="392"/>
      <c r="X225" s="392"/>
      <c r="Y225" s="392"/>
      <c r="Z225" s="392"/>
      <c r="AA225" s="392"/>
      <c r="AB225" s="392"/>
      <c r="AC225" s="392"/>
      <c r="AD225" s="392"/>
      <c r="AE225" s="392"/>
      <c r="AF225" s="392"/>
    </row>
    <row r="226" ht="15.75" customHeight="1">
      <c r="A226" s="216"/>
      <c r="B226" s="156"/>
      <c r="C226" s="156"/>
      <c r="D226" s="156"/>
      <c r="E226" s="392"/>
      <c r="F226" s="392"/>
      <c r="G226" s="392"/>
      <c r="H226" s="392"/>
      <c r="I226" s="392"/>
      <c r="J226" s="392"/>
      <c r="K226" s="392"/>
      <c r="L226" s="392"/>
      <c r="M226" s="392"/>
      <c r="N226" s="392"/>
      <c r="O226" s="392"/>
      <c r="P226" s="392"/>
      <c r="Q226" s="392"/>
      <c r="R226" s="392"/>
      <c r="S226" s="392"/>
      <c r="T226" s="392"/>
      <c r="U226" s="392"/>
      <c r="V226" s="392"/>
      <c r="W226" s="392"/>
      <c r="X226" s="392"/>
      <c r="Y226" s="392"/>
      <c r="Z226" s="392"/>
      <c r="AA226" s="392"/>
      <c r="AB226" s="392"/>
      <c r="AC226" s="392"/>
      <c r="AD226" s="392"/>
      <c r="AE226" s="392"/>
      <c r="AF226" s="392"/>
    </row>
    <row r="227" ht="15.75" customHeight="1">
      <c r="A227" s="216"/>
      <c r="B227" s="156"/>
      <c r="C227" s="156"/>
      <c r="D227" s="156"/>
      <c r="E227" s="392"/>
      <c r="F227" s="392"/>
      <c r="G227" s="392"/>
      <c r="H227" s="392"/>
      <c r="I227" s="392"/>
      <c r="J227" s="392"/>
      <c r="K227" s="392"/>
      <c r="L227" s="392"/>
      <c r="M227" s="392"/>
      <c r="N227" s="392"/>
      <c r="O227" s="392"/>
      <c r="P227" s="392"/>
      <c r="Q227" s="392"/>
      <c r="R227" s="392"/>
      <c r="S227" s="392"/>
      <c r="T227" s="392"/>
      <c r="U227" s="392"/>
      <c r="V227" s="392"/>
      <c r="W227" s="392"/>
      <c r="X227" s="392"/>
      <c r="Y227" s="392"/>
      <c r="Z227" s="392"/>
      <c r="AA227" s="392"/>
      <c r="AB227" s="392"/>
      <c r="AC227" s="392"/>
      <c r="AD227" s="392"/>
      <c r="AE227" s="392"/>
      <c r="AF227" s="392"/>
    </row>
    <row r="228" ht="15.75" customHeight="1">
      <c r="A228" s="216"/>
      <c r="B228" s="156"/>
      <c r="C228" s="156"/>
      <c r="D228" s="156"/>
      <c r="E228" s="392"/>
      <c r="F228" s="392"/>
      <c r="G228" s="392"/>
      <c r="H228" s="392"/>
      <c r="I228" s="392"/>
      <c r="J228" s="392"/>
      <c r="K228" s="392"/>
      <c r="L228" s="392"/>
      <c r="M228" s="392"/>
      <c r="N228" s="392"/>
      <c r="O228" s="392"/>
      <c r="P228" s="392"/>
      <c r="Q228" s="392"/>
      <c r="R228" s="392"/>
      <c r="S228" s="392"/>
      <c r="T228" s="392"/>
      <c r="U228" s="392"/>
      <c r="V228" s="392"/>
      <c r="W228" s="392"/>
      <c r="X228" s="392"/>
      <c r="Y228" s="392"/>
      <c r="Z228" s="392"/>
      <c r="AA228" s="392"/>
      <c r="AB228" s="392"/>
      <c r="AC228" s="392"/>
      <c r="AD228" s="392"/>
      <c r="AE228" s="392"/>
      <c r="AF228" s="392"/>
    </row>
    <row r="229" ht="15.75" customHeight="1">
      <c r="A229" s="216"/>
      <c r="B229" s="156"/>
      <c r="C229" s="156"/>
      <c r="D229" s="156"/>
      <c r="E229" s="392"/>
      <c r="F229" s="392"/>
      <c r="G229" s="392"/>
      <c r="H229" s="392"/>
      <c r="I229" s="392"/>
      <c r="J229" s="392"/>
      <c r="K229" s="392"/>
      <c r="L229" s="392"/>
      <c r="M229" s="392"/>
      <c r="N229" s="392"/>
      <c r="O229" s="392"/>
      <c r="P229" s="392"/>
      <c r="Q229" s="392"/>
      <c r="R229" s="392"/>
      <c r="S229" s="392"/>
      <c r="T229" s="392"/>
      <c r="U229" s="392"/>
      <c r="V229" s="392"/>
      <c r="W229" s="392"/>
      <c r="X229" s="392"/>
      <c r="Y229" s="392"/>
      <c r="Z229" s="392"/>
      <c r="AA229" s="392"/>
      <c r="AB229" s="392"/>
      <c r="AC229" s="392"/>
      <c r="AD229" s="392"/>
      <c r="AE229" s="392"/>
      <c r="AF229" s="392"/>
    </row>
    <row r="230" ht="15.75" customHeight="1">
      <c r="A230" s="216"/>
      <c r="B230" s="156"/>
      <c r="C230" s="156"/>
      <c r="D230" s="156"/>
      <c r="E230" s="392"/>
      <c r="F230" s="392"/>
      <c r="G230" s="392"/>
      <c r="H230" s="392"/>
      <c r="I230" s="392"/>
      <c r="J230" s="392"/>
      <c r="K230" s="392"/>
      <c r="L230" s="392"/>
      <c r="M230" s="392"/>
      <c r="N230" s="392"/>
      <c r="O230" s="392"/>
      <c r="P230" s="392"/>
      <c r="Q230" s="392"/>
      <c r="R230" s="392"/>
      <c r="S230" s="392"/>
      <c r="T230" s="392"/>
      <c r="U230" s="392"/>
      <c r="V230" s="392"/>
      <c r="W230" s="392"/>
      <c r="X230" s="392"/>
      <c r="Y230" s="392"/>
      <c r="Z230" s="392"/>
      <c r="AA230" s="392"/>
      <c r="AB230" s="392"/>
      <c r="AC230" s="392"/>
      <c r="AD230" s="392"/>
      <c r="AE230" s="392"/>
      <c r="AF230" s="392"/>
    </row>
    <row r="231" ht="15.75" customHeight="1">
      <c r="A231" s="216"/>
      <c r="B231" s="156"/>
      <c r="C231" s="156"/>
      <c r="D231" s="156"/>
      <c r="E231" s="392"/>
      <c r="F231" s="392"/>
      <c r="G231" s="392"/>
      <c r="H231" s="392"/>
      <c r="I231" s="392"/>
      <c r="J231" s="392"/>
      <c r="K231" s="392"/>
      <c r="L231" s="392"/>
      <c r="M231" s="392"/>
      <c r="N231" s="392"/>
      <c r="O231" s="392"/>
      <c r="P231" s="392"/>
      <c r="Q231" s="392"/>
      <c r="R231" s="392"/>
      <c r="S231" s="392"/>
      <c r="T231" s="392"/>
      <c r="U231" s="392"/>
      <c r="V231" s="392"/>
      <c r="W231" s="392"/>
      <c r="X231" s="392"/>
      <c r="Y231" s="392"/>
      <c r="Z231" s="392"/>
      <c r="AA231" s="392"/>
      <c r="AB231" s="392"/>
      <c r="AC231" s="392"/>
      <c r="AD231" s="392"/>
      <c r="AE231" s="392"/>
      <c r="AF231" s="392"/>
    </row>
    <row r="232" ht="15.75" customHeight="1">
      <c r="A232" s="216"/>
      <c r="B232" s="156"/>
      <c r="C232" s="156"/>
      <c r="D232" s="156"/>
      <c r="E232" s="392"/>
      <c r="F232" s="392"/>
      <c r="G232" s="392"/>
      <c r="H232" s="392"/>
      <c r="I232" s="392"/>
      <c r="J232" s="392"/>
      <c r="K232" s="392"/>
      <c r="L232" s="392"/>
      <c r="M232" s="392"/>
      <c r="N232" s="392"/>
      <c r="O232" s="392"/>
      <c r="P232" s="392"/>
      <c r="Q232" s="392"/>
      <c r="R232" s="392"/>
      <c r="S232" s="392"/>
      <c r="T232" s="392"/>
      <c r="U232" s="392"/>
      <c r="V232" s="392"/>
      <c r="W232" s="392"/>
      <c r="X232" s="392"/>
      <c r="Y232" s="392"/>
      <c r="Z232" s="392"/>
      <c r="AA232" s="392"/>
      <c r="AB232" s="392"/>
      <c r="AC232" s="392"/>
      <c r="AD232" s="392"/>
      <c r="AE232" s="392"/>
      <c r="AF232" s="392"/>
    </row>
    <row r="233" ht="15.75" customHeight="1">
      <c r="A233" s="216"/>
      <c r="B233" s="156"/>
      <c r="C233" s="156"/>
      <c r="D233" s="156"/>
      <c r="E233" s="392"/>
      <c r="F233" s="392"/>
      <c r="G233" s="392"/>
      <c r="H233" s="392"/>
      <c r="I233" s="392"/>
      <c r="J233" s="392"/>
      <c r="K233" s="392"/>
      <c r="L233" s="392"/>
      <c r="M233" s="392"/>
      <c r="N233" s="392"/>
      <c r="O233" s="392"/>
      <c r="P233" s="392"/>
      <c r="Q233" s="392"/>
      <c r="R233" s="392"/>
      <c r="S233" s="392"/>
      <c r="T233" s="392"/>
      <c r="U233" s="392"/>
      <c r="V233" s="392"/>
      <c r="W233" s="392"/>
      <c r="X233" s="392"/>
      <c r="Y233" s="392"/>
      <c r="Z233" s="392"/>
      <c r="AA233" s="392"/>
      <c r="AB233" s="392"/>
      <c r="AC233" s="392"/>
      <c r="AD233" s="392"/>
      <c r="AE233" s="392"/>
      <c r="AF233" s="392"/>
    </row>
    <row r="234" ht="15.75" customHeight="1">
      <c r="A234" s="216"/>
      <c r="B234" s="156"/>
      <c r="C234" s="156"/>
      <c r="D234" s="156"/>
      <c r="E234" s="392"/>
      <c r="F234" s="392"/>
      <c r="G234" s="392"/>
      <c r="H234" s="392"/>
      <c r="I234" s="392"/>
      <c r="J234" s="392"/>
      <c r="K234" s="392"/>
      <c r="L234" s="392"/>
      <c r="M234" s="392"/>
      <c r="N234" s="392"/>
      <c r="O234" s="392"/>
      <c r="P234" s="392"/>
      <c r="Q234" s="392"/>
      <c r="R234" s="392"/>
      <c r="S234" s="392"/>
      <c r="T234" s="392"/>
      <c r="U234" s="392"/>
      <c r="V234" s="392"/>
      <c r="W234" s="392"/>
      <c r="X234" s="392"/>
      <c r="Y234" s="392"/>
      <c r="Z234" s="392"/>
      <c r="AA234" s="392"/>
      <c r="AB234" s="392"/>
      <c r="AC234" s="392"/>
      <c r="AD234" s="392"/>
      <c r="AE234" s="392"/>
      <c r="AF234" s="392"/>
    </row>
    <row r="235" ht="15.75" customHeight="1">
      <c r="A235" s="216"/>
      <c r="B235" s="156"/>
      <c r="C235" s="156"/>
      <c r="D235" s="156"/>
      <c r="E235" s="392"/>
      <c r="F235" s="392"/>
      <c r="G235" s="392"/>
      <c r="H235" s="392"/>
      <c r="I235" s="392"/>
      <c r="J235" s="392"/>
      <c r="K235" s="392"/>
      <c r="L235" s="392"/>
      <c r="M235" s="392"/>
      <c r="N235" s="392"/>
      <c r="O235" s="392"/>
      <c r="P235" s="392"/>
      <c r="Q235" s="392"/>
      <c r="R235" s="392"/>
      <c r="S235" s="392"/>
      <c r="T235" s="392"/>
      <c r="U235" s="392"/>
      <c r="V235" s="392"/>
      <c r="W235" s="392"/>
      <c r="X235" s="392"/>
      <c r="Y235" s="392"/>
      <c r="Z235" s="392"/>
      <c r="AA235" s="392"/>
      <c r="AB235" s="392"/>
      <c r="AC235" s="392"/>
      <c r="AD235" s="392"/>
      <c r="AE235" s="392"/>
      <c r="AF235" s="392"/>
    </row>
    <row r="236" ht="15.75" customHeight="1">
      <c r="A236" s="216"/>
      <c r="B236" s="156"/>
      <c r="C236" s="156"/>
      <c r="D236" s="156"/>
      <c r="E236" s="392"/>
      <c r="F236" s="392"/>
      <c r="G236" s="392"/>
      <c r="H236" s="392"/>
      <c r="I236" s="392"/>
      <c r="J236" s="392"/>
      <c r="K236" s="392"/>
      <c r="L236" s="392"/>
      <c r="M236" s="392"/>
      <c r="N236" s="392"/>
      <c r="O236" s="392"/>
      <c r="P236" s="392"/>
      <c r="Q236" s="392"/>
      <c r="R236" s="392"/>
      <c r="S236" s="392"/>
      <c r="T236" s="392"/>
      <c r="U236" s="392"/>
      <c r="V236" s="392"/>
      <c r="W236" s="392"/>
      <c r="X236" s="392"/>
      <c r="Y236" s="392"/>
      <c r="Z236" s="392"/>
      <c r="AA236" s="392"/>
      <c r="AB236" s="392"/>
      <c r="AC236" s="392"/>
      <c r="AD236" s="392"/>
      <c r="AE236" s="392"/>
      <c r="AF236" s="392"/>
    </row>
    <row r="237" ht="15.75" customHeight="1">
      <c r="A237" s="216"/>
      <c r="B237" s="156"/>
      <c r="C237" s="156"/>
      <c r="D237" s="156"/>
      <c r="E237" s="392"/>
      <c r="F237" s="392"/>
      <c r="G237" s="392"/>
      <c r="H237" s="392"/>
      <c r="I237" s="392"/>
      <c r="J237" s="392"/>
      <c r="K237" s="392"/>
      <c r="L237" s="392"/>
      <c r="M237" s="392"/>
      <c r="N237" s="392"/>
      <c r="O237" s="392"/>
      <c r="P237" s="392"/>
      <c r="Q237" s="392"/>
      <c r="R237" s="392"/>
      <c r="S237" s="392"/>
      <c r="T237" s="392"/>
      <c r="U237" s="392"/>
      <c r="V237" s="392"/>
      <c r="W237" s="392"/>
      <c r="X237" s="392"/>
      <c r="Y237" s="392"/>
      <c r="Z237" s="392"/>
      <c r="AA237" s="392"/>
      <c r="AB237" s="392"/>
      <c r="AC237" s="392"/>
      <c r="AD237" s="392"/>
      <c r="AE237" s="392"/>
      <c r="AF237" s="392"/>
    </row>
    <row r="238" ht="15.75" customHeight="1">
      <c r="A238" s="216"/>
      <c r="B238" s="156"/>
      <c r="C238" s="156"/>
      <c r="D238" s="156"/>
      <c r="E238" s="392"/>
      <c r="F238" s="392"/>
      <c r="G238" s="392"/>
      <c r="H238" s="392"/>
      <c r="I238" s="392"/>
      <c r="J238" s="392"/>
      <c r="K238" s="392"/>
      <c r="L238" s="392"/>
      <c r="M238" s="392"/>
      <c r="N238" s="392"/>
      <c r="O238" s="392"/>
      <c r="P238" s="392"/>
      <c r="Q238" s="392"/>
      <c r="R238" s="392"/>
      <c r="S238" s="392"/>
      <c r="T238" s="392"/>
      <c r="U238" s="392"/>
      <c r="V238" s="392"/>
      <c r="W238" s="392"/>
      <c r="X238" s="392"/>
      <c r="Y238" s="392"/>
      <c r="Z238" s="392"/>
      <c r="AA238" s="392"/>
      <c r="AB238" s="392"/>
      <c r="AC238" s="392"/>
      <c r="AD238" s="392"/>
      <c r="AE238" s="392"/>
      <c r="AF238" s="392"/>
    </row>
    <row r="239" ht="15.75" customHeight="1">
      <c r="A239" s="216"/>
      <c r="B239" s="156"/>
      <c r="C239" s="156"/>
      <c r="D239" s="156"/>
      <c r="E239" s="392"/>
      <c r="F239" s="392"/>
      <c r="G239" s="392"/>
      <c r="H239" s="392"/>
      <c r="I239" s="392"/>
      <c r="J239" s="392"/>
      <c r="K239" s="392"/>
      <c r="L239" s="392"/>
      <c r="M239" s="392"/>
      <c r="N239" s="392"/>
      <c r="O239" s="392"/>
      <c r="P239" s="392"/>
      <c r="Q239" s="392"/>
      <c r="R239" s="392"/>
      <c r="S239" s="392"/>
      <c r="T239" s="392"/>
      <c r="U239" s="392"/>
      <c r="V239" s="392"/>
      <c r="W239" s="392"/>
      <c r="X239" s="392"/>
      <c r="Y239" s="392"/>
      <c r="Z239" s="392"/>
      <c r="AA239" s="392"/>
      <c r="AB239" s="392"/>
      <c r="AC239" s="392"/>
      <c r="AD239" s="392"/>
      <c r="AE239" s="392"/>
      <c r="AF239" s="392"/>
    </row>
    <row r="240" ht="15.75" customHeight="1">
      <c r="A240" s="216"/>
      <c r="B240" s="156"/>
      <c r="C240" s="156"/>
      <c r="D240" s="156"/>
      <c r="E240" s="392"/>
      <c r="F240" s="392"/>
      <c r="G240" s="392"/>
      <c r="H240" s="392"/>
      <c r="I240" s="392"/>
      <c r="J240" s="392"/>
      <c r="K240" s="392"/>
      <c r="L240" s="392"/>
      <c r="M240" s="392"/>
      <c r="N240" s="392"/>
      <c r="O240" s="392"/>
      <c r="P240" s="392"/>
      <c r="Q240" s="392"/>
      <c r="R240" s="392"/>
      <c r="S240" s="392"/>
      <c r="T240" s="392"/>
      <c r="U240" s="392"/>
      <c r="V240" s="392"/>
      <c r="W240" s="392"/>
      <c r="X240" s="392"/>
      <c r="Y240" s="392"/>
      <c r="Z240" s="392"/>
      <c r="AA240" s="392"/>
      <c r="AB240" s="392"/>
      <c r="AC240" s="392"/>
      <c r="AD240" s="392"/>
      <c r="AE240" s="392"/>
      <c r="AF240" s="392"/>
    </row>
    <row r="241" ht="15.75" customHeight="1">
      <c r="A241" s="216"/>
      <c r="B241" s="156"/>
      <c r="C241" s="156"/>
      <c r="D241" s="156"/>
      <c r="E241" s="392"/>
      <c r="F241" s="392"/>
      <c r="G241" s="392"/>
      <c r="H241" s="392"/>
      <c r="I241" s="392"/>
      <c r="J241" s="392"/>
      <c r="K241" s="392"/>
      <c r="L241" s="392"/>
      <c r="M241" s="392"/>
      <c r="N241" s="392"/>
      <c r="O241" s="392"/>
      <c r="P241" s="392"/>
      <c r="Q241" s="392"/>
      <c r="R241" s="392"/>
      <c r="S241" s="392"/>
      <c r="T241" s="392"/>
      <c r="U241" s="392"/>
      <c r="V241" s="392"/>
      <c r="W241" s="392"/>
      <c r="X241" s="392"/>
      <c r="Y241" s="392"/>
      <c r="Z241" s="392"/>
      <c r="AA241" s="392"/>
      <c r="AB241" s="392"/>
      <c r="AC241" s="392"/>
      <c r="AD241" s="392"/>
      <c r="AE241" s="392"/>
      <c r="AF241" s="392"/>
    </row>
    <row r="242" ht="15.75" customHeight="1">
      <c r="A242" s="216"/>
      <c r="B242" s="156"/>
      <c r="C242" s="156"/>
      <c r="D242" s="156"/>
      <c r="E242" s="392"/>
      <c r="F242" s="392"/>
      <c r="G242" s="392"/>
      <c r="H242" s="392"/>
      <c r="I242" s="392"/>
      <c r="J242" s="392"/>
      <c r="K242" s="392"/>
      <c r="L242" s="392"/>
      <c r="M242" s="392"/>
      <c r="N242" s="392"/>
      <c r="O242" s="392"/>
      <c r="P242" s="392"/>
      <c r="Q242" s="392"/>
      <c r="R242" s="392"/>
      <c r="S242" s="392"/>
      <c r="T242" s="392"/>
      <c r="U242" s="392"/>
      <c r="V242" s="392"/>
      <c r="W242" s="392"/>
      <c r="X242" s="392"/>
      <c r="Y242" s="392"/>
      <c r="Z242" s="392"/>
      <c r="AA242" s="392"/>
      <c r="AB242" s="392"/>
      <c r="AC242" s="392"/>
      <c r="AD242" s="392"/>
      <c r="AE242" s="392"/>
      <c r="AF242" s="392"/>
    </row>
    <row r="243" ht="15.75" customHeight="1">
      <c r="A243" s="216"/>
      <c r="B243" s="156"/>
      <c r="C243" s="156"/>
      <c r="D243" s="156"/>
      <c r="E243" s="392"/>
      <c r="F243" s="392"/>
      <c r="G243" s="392"/>
      <c r="H243" s="392"/>
      <c r="I243" s="392"/>
      <c r="J243" s="392"/>
      <c r="K243" s="392"/>
      <c r="L243" s="392"/>
      <c r="M243" s="392"/>
      <c r="N243" s="392"/>
      <c r="O243" s="392"/>
      <c r="P243" s="392"/>
      <c r="Q243" s="392"/>
      <c r="R243" s="392"/>
      <c r="S243" s="392"/>
      <c r="T243" s="392"/>
      <c r="U243" s="392"/>
      <c r="V243" s="392"/>
      <c r="W243" s="392"/>
      <c r="X243" s="392"/>
      <c r="Y243" s="392"/>
      <c r="Z243" s="392"/>
      <c r="AA243" s="392"/>
      <c r="AB243" s="392"/>
      <c r="AC243" s="392"/>
      <c r="AD243" s="392"/>
      <c r="AE243" s="392"/>
      <c r="AF243" s="392"/>
    </row>
    <row r="244" ht="15.75" customHeight="1">
      <c r="A244" s="216"/>
      <c r="B244" s="156"/>
      <c r="C244" s="156"/>
      <c r="D244" s="156"/>
      <c r="E244" s="392"/>
      <c r="F244" s="392"/>
      <c r="G244" s="392"/>
      <c r="H244" s="392"/>
      <c r="I244" s="392"/>
      <c r="J244" s="392"/>
      <c r="K244" s="392"/>
      <c r="L244" s="392"/>
      <c r="M244" s="392"/>
      <c r="N244" s="392"/>
      <c r="O244" s="392"/>
      <c r="P244" s="392"/>
      <c r="Q244" s="392"/>
      <c r="R244" s="392"/>
      <c r="S244" s="392"/>
      <c r="T244" s="392"/>
      <c r="U244" s="392"/>
      <c r="V244" s="392"/>
      <c r="W244" s="392"/>
      <c r="X244" s="392"/>
      <c r="Y244" s="392"/>
      <c r="Z244" s="392"/>
      <c r="AA244" s="392"/>
      <c r="AB244" s="392"/>
      <c r="AC244" s="392"/>
      <c r="AD244" s="392"/>
      <c r="AE244" s="392"/>
      <c r="AF244" s="392"/>
    </row>
    <row r="245" ht="15.75" customHeight="1">
      <c r="A245" s="216"/>
      <c r="B245" s="156"/>
      <c r="C245" s="156"/>
      <c r="D245" s="156"/>
      <c r="E245" s="392"/>
      <c r="F245" s="392"/>
      <c r="G245" s="392"/>
      <c r="H245" s="392"/>
      <c r="I245" s="392"/>
      <c r="J245" s="392"/>
      <c r="K245" s="392"/>
      <c r="L245" s="392"/>
      <c r="M245" s="392"/>
      <c r="N245" s="392"/>
      <c r="O245" s="392"/>
      <c r="P245" s="392"/>
      <c r="Q245" s="392"/>
      <c r="R245" s="392"/>
      <c r="S245" s="392"/>
      <c r="T245" s="392"/>
      <c r="U245" s="392"/>
      <c r="V245" s="392"/>
      <c r="W245" s="392"/>
      <c r="X245" s="392"/>
      <c r="Y245" s="392"/>
      <c r="Z245" s="392"/>
      <c r="AA245" s="392"/>
      <c r="AB245" s="392"/>
      <c r="AC245" s="392"/>
      <c r="AD245" s="392"/>
      <c r="AE245" s="392"/>
      <c r="AF245" s="392"/>
    </row>
    <row r="246" ht="15.75" customHeight="1">
      <c r="A246" s="216"/>
      <c r="B246" s="156"/>
      <c r="C246" s="156"/>
      <c r="D246" s="156"/>
      <c r="E246" s="392"/>
      <c r="F246" s="392"/>
      <c r="G246" s="392"/>
      <c r="H246" s="392"/>
      <c r="I246" s="392"/>
      <c r="J246" s="392"/>
      <c r="K246" s="392"/>
      <c r="L246" s="392"/>
      <c r="M246" s="392"/>
      <c r="N246" s="392"/>
      <c r="O246" s="392"/>
      <c r="P246" s="392"/>
      <c r="Q246" s="392"/>
      <c r="R246" s="392"/>
      <c r="S246" s="392"/>
      <c r="T246" s="392"/>
      <c r="U246" s="392"/>
      <c r="V246" s="392"/>
      <c r="W246" s="392"/>
      <c r="X246" s="392"/>
      <c r="Y246" s="392"/>
      <c r="Z246" s="392"/>
      <c r="AA246" s="392"/>
      <c r="AB246" s="392"/>
      <c r="AC246" s="392"/>
      <c r="AD246" s="392"/>
      <c r="AE246" s="392"/>
      <c r="AF246" s="392"/>
    </row>
    <row r="247" ht="15.75" customHeight="1">
      <c r="A247" s="216"/>
      <c r="B247" s="156"/>
      <c r="C247" s="156"/>
      <c r="D247" s="156"/>
      <c r="E247" s="392"/>
      <c r="F247" s="392"/>
      <c r="G247" s="392"/>
      <c r="H247" s="392"/>
      <c r="I247" s="392"/>
      <c r="J247" s="392"/>
      <c r="K247" s="392"/>
      <c r="L247" s="392"/>
      <c r="M247" s="392"/>
      <c r="N247" s="392"/>
      <c r="O247" s="392"/>
      <c r="P247" s="392"/>
      <c r="Q247" s="392"/>
      <c r="R247" s="392"/>
      <c r="S247" s="392"/>
      <c r="T247" s="392"/>
      <c r="U247" s="392"/>
      <c r="V247" s="392"/>
      <c r="W247" s="392"/>
      <c r="X247" s="392"/>
      <c r="Y247" s="392"/>
      <c r="Z247" s="392"/>
      <c r="AA247" s="392"/>
      <c r="AB247" s="392"/>
      <c r="AC247" s="392"/>
      <c r="AD247" s="392"/>
      <c r="AE247" s="392"/>
      <c r="AF247" s="392"/>
    </row>
    <row r="248" ht="15.75" customHeight="1">
      <c r="A248" s="216"/>
      <c r="B248" s="156"/>
      <c r="C248" s="156"/>
      <c r="D248" s="156"/>
      <c r="E248" s="392"/>
      <c r="F248" s="392"/>
      <c r="G248" s="392"/>
      <c r="H248" s="392"/>
      <c r="I248" s="392"/>
      <c r="J248" s="392"/>
      <c r="K248" s="392"/>
      <c r="L248" s="392"/>
      <c r="M248" s="392"/>
      <c r="N248" s="392"/>
      <c r="O248" s="392"/>
      <c r="P248" s="392"/>
      <c r="Q248" s="392"/>
      <c r="R248" s="392"/>
      <c r="S248" s="392"/>
      <c r="T248" s="392"/>
      <c r="U248" s="392"/>
      <c r="V248" s="392"/>
      <c r="W248" s="392"/>
      <c r="X248" s="392"/>
      <c r="Y248" s="392"/>
      <c r="Z248" s="392"/>
      <c r="AA248" s="392"/>
      <c r="AB248" s="392"/>
      <c r="AC248" s="392"/>
      <c r="AD248" s="392"/>
      <c r="AE248" s="392"/>
      <c r="AF248" s="392"/>
    </row>
    <row r="249" ht="15.75" customHeight="1">
      <c r="A249" s="216"/>
      <c r="B249" s="156"/>
      <c r="C249" s="156"/>
      <c r="D249" s="156"/>
      <c r="E249" s="392"/>
      <c r="F249" s="392"/>
      <c r="G249" s="392"/>
      <c r="H249" s="392"/>
      <c r="I249" s="392"/>
      <c r="J249" s="392"/>
      <c r="K249" s="392"/>
      <c r="L249" s="392"/>
      <c r="M249" s="392"/>
      <c r="N249" s="392"/>
      <c r="O249" s="392"/>
      <c r="P249" s="392"/>
      <c r="Q249" s="392"/>
      <c r="R249" s="392"/>
      <c r="S249" s="392"/>
      <c r="T249" s="392"/>
      <c r="U249" s="392"/>
      <c r="V249" s="392"/>
      <c r="W249" s="392"/>
      <c r="X249" s="392"/>
      <c r="Y249" s="392"/>
      <c r="Z249" s="392"/>
      <c r="AA249" s="392"/>
      <c r="AB249" s="392"/>
      <c r="AC249" s="392"/>
      <c r="AD249" s="392"/>
      <c r="AE249" s="392"/>
      <c r="AF249" s="392"/>
    </row>
    <row r="250" ht="15.75" customHeight="1">
      <c r="A250" s="216"/>
      <c r="B250" s="156"/>
      <c r="C250" s="156"/>
      <c r="D250" s="156"/>
      <c r="E250" s="392"/>
      <c r="F250" s="392"/>
      <c r="G250" s="392"/>
      <c r="H250" s="392"/>
      <c r="I250" s="392"/>
      <c r="J250" s="392"/>
      <c r="K250" s="392"/>
      <c r="L250" s="392"/>
      <c r="M250" s="392"/>
      <c r="N250" s="392"/>
      <c r="O250" s="392"/>
      <c r="P250" s="392"/>
      <c r="Q250" s="392"/>
      <c r="R250" s="392"/>
      <c r="S250" s="392"/>
      <c r="T250" s="392"/>
      <c r="U250" s="392"/>
      <c r="V250" s="392"/>
      <c r="W250" s="392"/>
      <c r="X250" s="392"/>
      <c r="Y250" s="392"/>
      <c r="Z250" s="392"/>
      <c r="AA250" s="392"/>
      <c r="AB250" s="392"/>
      <c r="AC250" s="392"/>
      <c r="AD250" s="392"/>
      <c r="AE250" s="392"/>
      <c r="AF250" s="392"/>
    </row>
    <row r="251" ht="15.75" customHeight="1">
      <c r="A251" s="216"/>
      <c r="B251" s="156"/>
      <c r="C251" s="156"/>
      <c r="D251" s="156"/>
      <c r="E251" s="392"/>
      <c r="F251" s="392"/>
      <c r="G251" s="392"/>
      <c r="H251" s="392"/>
      <c r="I251" s="392"/>
      <c r="J251" s="392"/>
      <c r="K251" s="392"/>
      <c r="L251" s="392"/>
      <c r="M251" s="392"/>
      <c r="N251" s="392"/>
      <c r="O251" s="392"/>
      <c r="P251" s="392"/>
      <c r="Q251" s="392"/>
      <c r="R251" s="392"/>
      <c r="S251" s="392"/>
      <c r="T251" s="392"/>
      <c r="U251" s="392"/>
      <c r="V251" s="392"/>
      <c r="W251" s="392"/>
      <c r="X251" s="392"/>
      <c r="Y251" s="392"/>
      <c r="Z251" s="392"/>
      <c r="AA251" s="392"/>
      <c r="AB251" s="392"/>
      <c r="AC251" s="392"/>
      <c r="AD251" s="392"/>
      <c r="AE251" s="392"/>
      <c r="AF251" s="392"/>
    </row>
    <row r="252" ht="15.75" customHeight="1">
      <c r="A252" s="216"/>
      <c r="B252" s="156"/>
      <c r="C252" s="156"/>
      <c r="D252" s="156"/>
      <c r="E252" s="392"/>
      <c r="F252" s="392"/>
      <c r="G252" s="392"/>
      <c r="H252" s="392"/>
      <c r="I252" s="392"/>
      <c r="J252" s="392"/>
      <c r="K252" s="392"/>
      <c r="L252" s="392"/>
      <c r="M252" s="392"/>
      <c r="N252" s="392"/>
      <c r="O252" s="392"/>
      <c r="P252" s="392"/>
      <c r="Q252" s="392"/>
      <c r="R252" s="392"/>
      <c r="S252" s="392"/>
      <c r="T252" s="392"/>
      <c r="U252" s="392"/>
      <c r="V252" s="392"/>
      <c r="W252" s="392"/>
      <c r="X252" s="392"/>
      <c r="Y252" s="392"/>
      <c r="Z252" s="392"/>
      <c r="AA252" s="392"/>
      <c r="AB252" s="392"/>
      <c r="AC252" s="392"/>
      <c r="AD252" s="392"/>
      <c r="AE252" s="392"/>
      <c r="AF252" s="392"/>
    </row>
    <row r="253" ht="15.75" customHeight="1">
      <c r="A253" s="216"/>
      <c r="B253" s="156"/>
      <c r="C253" s="156"/>
      <c r="D253" s="156"/>
      <c r="E253" s="392"/>
      <c r="F253" s="392"/>
      <c r="G253" s="392"/>
      <c r="H253" s="392"/>
      <c r="I253" s="392"/>
      <c r="J253" s="392"/>
      <c r="K253" s="392"/>
      <c r="L253" s="392"/>
      <c r="M253" s="392"/>
      <c r="N253" s="392"/>
      <c r="O253" s="392"/>
      <c r="P253" s="392"/>
      <c r="Q253" s="392"/>
      <c r="R253" s="392"/>
      <c r="S253" s="392"/>
      <c r="T253" s="392"/>
      <c r="U253" s="392"/>
      <c r="V253" s="392"/>
      <c r="W253" s="392"/>
      <c r="X253" s="392"/>
      <c r="Y253" s="392"/>
      <c r="Z253" s="392"/>
      <c r="AA253" s="392"/>
      <c r="AB253" s="392"/>
      <c r="AC253" s="392"/>
      <c r="AD253" s="392"/>
      <c r="AE253" s="392"/>
      <c r="AF253" s="392"/>
    </row>
    <row r="254" ht="15.75" customHeight="1">
      <c r="A254" s="216"/>
      <c r="B254" s="156"/>
      <c r="C254" s="156"/>
      <c r="D254" s="156"/>
      <c r="E254" s="392"/>
      <c r="F254" s="392"/>
      <c r="G254" s="392"/>
      <c r="H254" s="392"/>
      <c r="I254" s="392"/>
      <c r="J254" s="392"/>
      <c r="K254" s="392"/>
      <c r="L254" s="392"/>
      <c r="M254" s="392"/>
      <c r="N254" s="392"/>
      <c r="O254" s="392"/>
      <c r="P254" s="392"/>
      <c r="Q254" s="392"/>
      <c r="R254" s="392"/>
      <c r="S254" s="392"/>
      <c r="T254" s="392"/>
      <c r="U254" s="392"/>
      <c r="V254" s="392"/>
      <c r="W254" s="392"/>
      <c r="X254" s="392"/>
      <c r="Y254" s="392"/>
      <c r="Z254" s="392"/>
      <c r="AA254" s="392"/>
      <c r="AB254" s="392"/>
      <c r="AC254" s="392"/>
      <c r="AD254" s="392"/>
      <c r="AE254" s="392"/>
      <c r="AF254" s="392"/>
    </row>
    <row r="255" ht="15.75" customHeight="1">
      <c r="A255" s="216"/>
      <c r="B255" s="156"/>
      <c r="C255" s="156"/>
      <c r="D255" s="156"/>
      <c r="E255" s="392"/>
      <c r="F255" s="392"/>
      <c r="G255" s="392"/>
      <c r="H255" s="392"/>
      <c r="I255" s="392"/>
      <c r="J255" s="392"/>
      <c r="K255" s="392"/>
      <c r="L255" s="392"/>
      <c r="M255" s="392"/>
      <c r="N255" s="392"/>
      <c r="O255" s="392"/>
      <c r="P255" s="392"/>
      <c r="Q255" s="392"/>
      <c r="R255" s="392"/>
      <c r="S255" s="392"/>
      <c r="T255" s="392"/>
      <c r="U255" s="392"/>
      <c r="V255" s="392"/>
      <c r="W255" s="392"/>
      <c r="X255" s="392"/>
      <c r="Y255" s="392"/>
      <c r="Z255" s="392"/>
      <c r="AA255" s="392"/>
      <c r="AB255" s="392"/>
      <c r="AC255" s="392"/>
      <c r="AD255" s="392"/>
      <c r="AE255" s="392"/>
      <c r="AF255" s="392"/>
    </row>
    <row r="256" ht="15.75" customHeight="1">
      <c r="A256" s="216"/>
      <c r="B256" s="156"/>
      <c r="C256" s="156"/>
      <c r="D256" s="156"/>
      <c r="E256" s="392"/>
      <c r="F256" s="392"/>
      <c r="G256" s="392"/>
      <c r="H256" s="392"/>
      <c r="I256" s="392"/>
      <c r="J256" s="392"/>
      <c r="K256" s="392"/>
      <c r="L256" s="392"/>
      <c r="M256" s="392"/>
      <c r="N256" s="392"/>
      <c r="O256" s="392"/>
      <c r="P256" s="392"/>
      <c r="Q256" s="392"/>
      <c r="R256" s="392"/>
      <c r="S256" s="392"/>
      <c r="T256" s="392"/>
      <c r="U256" s="392"/>
      <c r="V256" s="392"/>
      <c r="W256" s="392"/>
      <c r="X256" s="392"/>
      <c r="Y256" s="392"/>
      <c r="Z256" s="392"/>
      <c r="AA256" s="392"/>
      <c r="AB256" s="392"/>
      <c r="AC256" s="392"/>
      <c r="AD256" s="392"/>
      <c r="AE256" s="392"/>
      <c r="AF256" s="392"/>
    </row>
    <row r="257" ht="15.75" customHeight="1">
      <c r="A257" s="216"/>
      <c r="B257" s="156"/>
      <c r="C257" s="156"/>
      <c r="D257" s="156"/>
      <c r="E257" s="392"/>
      <c r="F257" s="392"/>
      <c r="G257" s="392"/>
      <c r="H257" s="392"/>
      <c r="I257" s="392"/>
      <c r="J257" s="392"/>
      <c r="K257" s="392"/>
      <c r="L257" s="392"/>
      <c r="M257" s="392"/>
      <c r="N257" s="392"/>
      <c r="O257" s="392"/>
      <c r="P257" s="392"/>
      <c r="Q257" s="392"/>
      <c r="R257" s="392"/>
      <c r="S257" s="392"/>
      <c r="T257" s="392"/>
      <c r="U257" s="392"/>
      <c r="V257" s="392"/>
      <c r="W257" s="392"/>
      <c r="X257" s="392"/>
      <c r="Y257" s="392"/>
      <c r="Z257" s="392"/>
      <c r="AA257" s="392"/>
      <c r="AB257" s="392"/>
      <c r="AC257" s="392"/>
      <c r="AD257" s="392"/>
      <c r="AE257" s="392"/>
      <c r="AF257" s="392"/>
    </row>
    <row r="258" ht="15.75" customHeight="1">
      <c r="A258" s="216"/>
      <c r="B258" s="156"/>
      <c r="C258" s="156"/>
      <c r="D258" s="156"/>
      <c r="E258" s="392"/>
      <c r="F258" s="392"/>
      <c r="G258" s="392"/>
      <c r="H258" s="392"/>
      <c r="I258" s="392"/>
      <c r="J258" s="392"/>
      <c r="K258" s="392"/>
      <c r="L258" s="392"/>
      <c r="M258" s="392"/>
      <c r="N258" s="392"/>
      <c r="O258" s="392"/>
      <c r="P258" s="392"/>
      <c r="Q258" s="392"/>
      <c r="R258" s="392"/>
      <c r="S258" s="392"/>
      <c r="T258" s="392"/>
      <c r="U258" s="392"/>
      <c r="V258" s="392"/>
      <c r="W258" s="392"/>
      <c r="X258" s="392"/>
      <c r="Y258" s="392"/>
      <c r="Z258" s="392"/>
      <c r="AA258" s="392"/>
      <c r="AB258" s="392"/>
      <c r="AC258" s="392"/>
      <c r="AD258" s="392"/>
      <c r="AE258" s="392"/>
      <c r="AF258" s="392"/>
    </row>
    <row r="259" ht="15.75" customHeight="1">
      <c r="A259" s="216"/>
      <c r="B259" s="156"/>
      <c r="C259" s="156"/>
      <c r="D259" s="156"/>
      <c r="E259" s="392"/>
      <c r="F259" s="392"/>
      <c r="G259" s="392"/>
      <c r="H259" s="392"/>
      <c r="I259" s="392"/>
      <c r="J259" s="392"/>
      <c r="K259" s="392"/>
      <c r="L259" s="392"/>
      <c r="M259" s="392"/>
      <c r="N259" s="392"/>
      <c r="O259" s="392"/>
      <c r="P259" s="392"/>
      <c r="Q259" s="392"/>
      <c r="R259" s="392"/>
      <c r="S259" s="392"/>
      <c r="T259" s="392"/>
      <c r="U259" s="392"/>
      <c r="V259" s="392"/>
      <c r="W259" s="392"/>
      <c r="X259" s="392"/>
      <c r="Y259" s="392"/>
      <c r="Z259" s="392"/>
      <c r="AA259" s="392"/>
      <c r="AB259" s="392"/>
      <c r="AC259" s="392"/>
      <c r="AD259" s="392"/>
      <c r="AE259" s="392"/>
      <c r="AF259" s="392"/>
    </row>
    <row r="260" ht="15.75" customHeight="1">
      <c r="A260" s="216"/>
      <c r="B260" s="156"/>
      <c r="C260" s="156"/>
      <c r="D260" s="156"/>
      <c r="E260" s="392"/>
      <c r="F260" s="392"/>
      <c r="G260" s="392"/>
      <c r="H260" s="392"/>
      <c r="I260" s="392"/>
      <c r="J260" s="392"/>
      <c r="K260" s="392"/>
      <c r="L260" s="392"/>
      <c r="M260" s="392"/>
      <c r="N260" s="392"/>
      <c r="O260" s="392"/>
      <c r="P260" s="392"/>
      <c r="Q260" s="392"/>
      <c r="R260" s="392"/>
      <c r="S260" s="392"/>
      <c r="T260" s="392"/>
      <c r="U260" s="392"/>
      <c r="V260" s="392"/>
      <c r="W260" s="392"/>
      <c r="X260" s="392"/>
      <c r="Y260" s="392"/>
      <c r="Z260" s="392"/>
      <c r="AA260" s="392"/>
      <c r="AB260" s="392"/>
      <c r="AC260" s="392"/>
      <c r="AD260" s="392"/>
      <c r="AE260" s="392"/>
      <c r="AF260" s="392"/>
    </row>
    <row r="261" ht="15.75" customHeight="1">
      <c r="A261" s="216"/>
      <c r="B261" s="156"/>
      <c r="C261" s="156"/>
      <c r="D261" s="156"/>
      <c r="E261" s="392"/>
      <c r="F261" s="392"/>
      <c r="G261" s="392"/>
      <c r="H261" s="392"/>
      <c r="I261" s="392"/>
      <c r="J261" s="392"/>
      <c r="K261" s="392"/>
      <c r="L261" s="392"/>
      <c r="M261" s="392"/>
      <c r="N261" s="392"/>
      <c r="O261" s="392"/>
      <c r="P261" s="392"/>
      <c r="Q261" s="392"/>
      <c r="R261" s="392"/>
      <c r="S261" s="392"/>
      <c r="T261" s="392"/>
      <c r="U261" s="392"/>
      <c r="V261" s="392"/>
      <c r="W261" s="392"/>
      <c r="X261" s="392"/>
      <c r="Y261" s="392"/>
      <c r="Z261" s="392"/>
      <c r="AA261" s="392"/>
      <c r="AB261" s="392"/>
      <c r="AC261" s="392"/>
      <c r="AD261" s="392"/>
      <c r="AE261" s="392"/>
      <c r="AF261" s="392"/>
    </row>
    <row r="262" ht="15.75" customHeight="1">
      <c r="A262" s="216"/>
      <c r="B262" s="156"/>
      <c r="C262" s="156"/>
      <c r="D262" s="156"/>
      <c r="E262" s="392"/>
      <c r="F262" s="392"/>
      <c r="G262" s="392"/>
      <c r="H262" s="392"/>
      <c r="I262" s="392"/>
      <c r="J262" s="392"/>
      <c r="K262" s="392"/>
      <c r="L262" s="392"/>
      <c r="M262" s="392"/>
      <c r="N262" s="392"/>
      <c r="O262" s="392"/>
      <c r="P262" s="392"/>
      <c r="Q262" s="392"/>
      <c r="R262" s="392"/>
      <c r="S262" s="392"/>
      <c r="T262" s="392"/>
      <c r="U262" s="392"/>
      <c r="V262" s="392"/>
      <c r="W262" s="392"/>
      <c r="X262" s="392"/>
      <c r="Y262" s="392"/>
      <c r="Z262" s="392"/>
      <c r="AA262" s="392"/>
      <c r="AB262" s="392"/>
      <c r="AC262" s="392"/>
      <c r="AD262" s="392"/>
      <c r="AE262" s="392"/>
      <c r="AF262" s="392"/>
    </row>
    <row r="263" ht="15.75" customHeight="1">
      <c r="A263" s="216"/>
      <c r="B263" s="156"/>
      <c r="C263" s="156"/>
      <c r="D263" s="156"/>
      <c r="E263" s="392"/>
      <c r="F263" s="392"/>
      <c r="G263" s="392"/>
      <c r="H263" s="392"/>
      <c r="I263" s="392"/>
      <c r="J263" s="392"/>
      <c r="K263" s="392"/>
      <c r="L263" s="392"/>
      <c r="M263" s="392"/>
      <c r="N263" s="392"/>
      <c r="O263" s="392"/>
      <c r="P263" s="392"/>
      <c r="Q263" s="392"/>
      <c r="R263" s="392"/>
      <c r="S263" s="392"/>
      <c r="T263" s="392"/>
      <c r="U263" s="392"/>
      <c r="V263" s="392"/>
      <c r="W263" s="392"/>
      <c r="X263" s="392"/>
      <c r="Y263" s="392"/>
      <c r="Z263" s="392"/>
      <c r="AA263" s="392"/>
      <c r="AB263" s="392"/>
      <c r="AC263" s="392"/>
      <c r="AD263" s="392"/>
      <c r="AE263" s="392"/>
      <c r="AF263" s="392"/>
    </row>
    <row r="264" ht="15.75" customHeight="1">
      <c r="A264" s="216"/>
      <c r="B264" s="156"/>
      <c r="C264" s="156"/>
      <c r="D264" s="156"/>
      <c r="E264" s="392"/>
      <c r="F264" s="392"/>
      <c r="G264" s="392"/>
      <c r="H264" s="392"/>
      <c r="I264" s="392"/>
      <c r="J264" s="392"/>
      <c r="K264" s="392"/>
      <c r="L264" s="392"/>
      <c r="M264" s="392"/>
      <c r="N264" s="392"/>
      <c r="O264" s="392"/>
      <c r="P264" s="392"/>
      <c r="Q264" s="392"/>
      <c r="R264" s="392"/>
      <c r="S264" s="392"/>
      <c r="T264" s="392"/>
      <c r="U264" s="392"/>
      <c r="V264" s="392"/>
      <c r="W264" s="392"/>
      <c r="X264" s="392"/>
      <c r="Y264" s="392"/>
      <c r="Z264" s="392"/>
      <c r="AA264" s="392"/>
      <c r="AB264" s="392"/>
      <c r="AC264" s="392"/>
      <c r="AD264" s="392"/>
      <c r="AE264" s="392"/>
      <c r="AF264" s="392"/>
    </row>
    <row r="265" ht="15.75" customHeight="1">
      <c r="A265" s="216"/>
      <c r="B265" s="156"/>
      <c r="C265" s="156"/>
      <c r="D265" s="156"/>
      <c r="E265" s="392"/>
      <c r="F265" s="392"/>
      <c r="G265" s="392"/>
      <c r="H265" s="392"/>
      <c r="I265" s="392"/>
      <c r="J265" s="392"/>
      <c r="K265" s="392"/>
      <c r="L265" s="392"/>
      <c r="M265" s="392"/>
      <c r="N265" s="392"/>
      <c r="O265" s="392"/>
      <c r="P265" s="392"/>
      <c r="Q265" s="392"/>
      <c r="R265" s="392"/>
      <c r="S265" s="392"/>
      <c r="T265" s="392"/>
      <c r="U265" s="392"/>
      <c r="V265" s="392"/>
      <c r="W265" s="392"/>
      <c r="X265" s="392"/>
      <c r="Y265" s="392"/>
      <c r="Z265" s="392"/>
      <c r="AA265" s="392"/>
      <c r="AB265" s="392"/>
      <c r="AC265" s="392"/>
      <c r="AD265" s="392"/>
      <c r="AE265" s="392"/>
      <c r="AF265" s="392"/>
    </row>
    <row r="266" ht="15.75" customHeight="1">
      <c r="A266" s="216"/>
      <c r="B266" s="156"/>
      <c r="C266" s="156"/>
      <c r="D266" s="156"/>
      <c r="E266" s="392"/>
      <c r="F266" s="392"/>
      <c r="G266" s="392"/>
      <c r="H266" s="392"/>
      <c r="I266" s="392"/>
      <c r="J266" s="392"/>
      <c r="K266" s="392"/>
      <c r="L266" s="392"/>
      <c r="M266" s="392"/>
      <c r="N266" s="392"/>
      <c r="O266" s="392"/>
      <c r="P266" s="392"/>
      <c r="Q266" s="392"/>
      <c r="R266" s="392"/>
      <c r="S266" s="392"/>
      <c r="T266" s="392"/>
      <c r="U266" s="392"/>
      <c r="V266" s="392"/>
      <c r="W266" s="392"/>
      <c r="X266" s="392"/>
      <c r="Y266" s="392"/>
      <c r="Z266" s="392"/>
      <c r="AA266" s="392"/>
      <c r="AB266" s="392"/>
      <c r="AC266" s="392"/>
      <c r="AD266" s="392"/>
      <c r="AE266" s="392"/>
      <c r="AF266" s="392"/>
    </row>
    <row r="267" ht="15.75" customHeight="1">
      <c r="A267" s="216"/>
      <c r="B267" s="156"/>
      <c r="C267" s="156"/>
      <c r="D267" s="156"/>
      <c r="E267" s="392"/>
      <c r="F267" s="392"/>
      <c r="G267" s="392"/>
      <c r="H267" s="392"/>
      <c r="I267" s="392"/>
      <c r="J267" s="392"/>
      <c r="K267" s="392"/>
      <c r="L267" s="392"/>
      <c r="M267" s="392"/>
      <c r="N267" s="392"/>
      <c r="O267" s="392"/>
      <c r="P267" s="392"/>
      <c r="Q267" s="392"/>
      <c r="R267" s="392"/>
      <c r="S267" s="392"/>
      <c r="T267" s="392"/>
      <c r="U267" s="392"/>
      <c r="V267" s="392"/>
      <c r="W267" s="392"/>
      <c r="X267" s="392"/>
      <c r="Y267" s="392"/>
      <c r="Z267" s="392"/>
      <c r="AA267" s="392"/>
      <c r="AB267" s="392"/>
      <c r="AC267" s="392"/>
      <c r="AD267" s="392"/>
      <c r="AE267" s="392"/>
      <c r="AF267" s="392"/>
    </row>
    <row r="268" ht="15.75" customHeight="1">
      <c r="A268" s="216"/>
      <c r="B268" s="156"/>
      <c r="C268" s="156"/>
      <c r="D268" s="156"/>
      <c r="E268" s="392"/>
      <c r="F268" s="392"/>
      <c r="G268" s="392"/>
      <c r="H268" s="392"/>
      <c r="I268" s="392"/>
      <c r="J268" s="392"/>
      <c r="K268" s="392"/>
      <c r="L268" s="392"/>
      <c r="M268" s="392"/>
      <c r="N268" s="392"/>
      <c r="O268" s="392"/>
      <c r="P268" s="392"/>
      <c r="Q268" s="392"/>
      <c r="R268" s="392"/>
      <c r="S268" s="392"/>
      <c r="T268" s="392"/>
      <c r="U268" s="392"/>
      <c r="V268" s="392"/>
      <c r="W268" s="392"/>
      <c r="X268" s="392"/>
      <c r="Y268" s="392"/>
      <c r="Z268" s="392"/>
      <c r="AA268" s="392"/>
      <c r="AB268" s="392"/>
      <c r="AC268" s="392"/>
      <c r="AD268" s="392"/>
      <c r="AE268" s="392"/>
      <c r="AF268" s="392"/>
    </row>
    <row r="269" ht="15.75" customHeight="1">
      <c r="A269" s="216"/>
      <c r="B269" s="156"/>
      <c r="C269" s="156"/>
      <c r="D269" s="156"/>
      <c r="E269" s="392"/>
      <c r="F269" s="392"/>
      <c r="G269" s="392"/>
      <c r="H269" s="392"/>
      <c r="I269" s="392"/>
      <c r="J269" s="392"/>
      <c r="K269" s="392"/>
      <c r="L269" s="392"/>
      <c r="M269" s="392"/>
      <c r="N269" s="392"/>
      <c r="O269" s="392"/>
      <c r="P269" s="392"/>
      <c r="Q269" s="392"/>
      <c r="R269" s="392"/>
      <c r="S269" s="392"/>
      <c r="T269" s="392"/>
      <c r="U269" s="392"/>
      <c r="V269" s="392"/>
      <c r="W269" s="392"/>
      <c r="X269" s="392"/>
      <c r="Y269" s="392"/>
      <c r="Z269" s="392"/>
      <c r="AA269" s="392"/>
      <c r="AB269" s="392"/>
      <c r="AC269" s="392"/>
      <c r="AD269" s="392"/>
      <c r="AE269" s="392"/>
      <c r="AF269" s="392"/>
    </row>
    <row r="270" ht="15.75" customHeight="1">
      <c r="A270" s="216"/>
      <c r="B270" s="156"/>
      <c r="C270" s="156"/>
      <c r="D270" s="156"/>
      <c r="E270" s="392"/>
      <c r="F270" s="392"/>
      <c r="G270" s="392"/>
      <c r="H270" s="392"/>
      <c r="I270" s="392"/>
      <c r="J270" s="392"/>
      <c r="K270" s="392"/>
      <c r="L270" s="392"/>
      <c r="M270" s="392"/>
      <c r="N270" s="392"/>
      <c r="O270" s="392"/>
      <c r="P270" s="392"/>
      <c r="Q270" s="392"/>
      <c r="R270" s="392"/>
      <c r="S270" s="392"/>
      <c r="T270" s="392"/>
      <c r="U270" s="392"/>
      <c r="V270" s="392"/>
      <c r="W270" s="392"/>
      <c r="X270" s="392"/>
      <c r="Y270" s="392"/>
      <c r="Z270" s="392"/>
      <c r="AA270" s="392"/>
      <c r="AB270" s="392"/>
      <c r="AC270" s="392"/>
      <c r="AD270" s="392"/>
      <c r="AE270" s="392"/>
      <c r="AF270" s="392"/>
    </row>
    <row r="271" ht="15.75" customHeight="1">
      <c r="A271" s="216"/>
      <c r="B271" s="156"/>
      <c r="C271" s="156"/>
      <c r="D271" s="156"/>
      <c r="E271" s="392"/>
      <c r="F271" s="392"/>
      <c r="G271" s="392"/>
      <c r="H271" s="392"/>
      <c r="I271" s="392"/>
      <c r="J271" s="392"/>
      <c r="K271" s="392"/>
      <c r="L271" s="392"/>
      <c r="M271" s="392"/>
      <c r="N271" s="392"/>
      <c r="O271" s="392"/>
      <c r="P271" s="392"/>
      <c r="Q271" s="392"/>
      <c r="R271" s="392"/>
      <c r="S271" s="392"/>
      <c r="T271" s="392"/>
      <c r="U271" s="392"/>
      <c r="V271" s="392"/>
      <c r="W271" s="392"/>
      <c r="X271" s="392"/>
      <c r="Y271" s="392"/>
      <c r="Z271" s="392"/>
      <c r="AA271" s="392"/>
      <c r="AB271" s="392"/>
      <c r="AC271" s="392"/>
      <c r="AD271" s="392"/>
      <c r="AE271" s="392"/>
      <c r="AF271" s="392"/>
    </row>
    <row r="272" ht="15.75" customHeight="1">
      <c r="A272" s="216"/>
      <c r="B272" s="156"/>
      <c r="C272" s="156"/>
      <c r="D272" s="156"/>
      <c r="E272" s="392"/>
      <c r="F272" s="392"/>
      <c r="G272" s="392"/>
      <c r="H272" s="392"/>
      <c r="I272" s="392"/>
      <c r="J272" s="392"/>
      <c r="K272" s="392"/>
      <c r="L272" s="392"/>
      <c r="M272" s="392"/>
      <c r="N272" s="392"/>
      <c r="O272" s="392"/>
      <c r="P272" s="392"/>
      <c r="Q272" s="392"/>
      <c r="R272" s="392"/>
      <c r="S272" s="392"/>
      <c r="T272" s="392"/>
      <c r="U272" s="392"/>
      <c r="V272" s="392"/>
      <c r="W272" s="392"/>
      <c r="X272" s="392"/>
      <c r="Y272" s="392"/>
      <c r="Z272" s="392"/>
      <c r="AA272" s="392"/>
      <c r="AB272" s="392"/>
      <c r="AC272" s="392"/>
      <c r="AD272" s="392"/>
      <c r="AE272" s="392"/>
      <c r="AF272" s="392"/>
    </row>
    <row r="273" ht="15.75" customHeight="1">
      <c r="A273" s="216"/>
      <c r="B273" s="156"/>
      <c r="C273" s="156"/>
      <c r="D273" s="156"/>
      <c r="E273" s="392"/>
      <c r="F273" s="392"/>
      <c r="G273" s="392"/>
      <c r="H273" s="392"/>
      <c r="I273" s="392"/>
      <c r="J273" s="392"/>
      <c r="K273" s="392"/>
      <c r="L273" s="392"/>
      <c r="M273" s="392"/>
      <c r="N273" s="392"/>
      <c r="O273" s="392"/>
      <c r="P273" s="392"/>
      <c r="Q273" s="392"/>
      <c r="R273" s="392"/>
      <c r="S273" s="392"/>
      <c r="T273" s="392"/>
      <c r="U273" s="392"/>
      <c r="V273" s="392"/>
      <c r="W273" s="392"/>
      <c r="X273" s="392"/>
      <c r="Y273" s="392"/>
      <c r="Z273" s="392"/>
      <c r="AA273" s="392"/>
      <c r="AB273" s="392"/>
      <c r="AC273" s="392"/>
      <c r="AD273" s="392"/>
      <c r="AE273" s="392"/>
      <c r="AF273" s="392"/>
    </row>
    <row r="274" ht="15.75" customHeight="1">
      <c r="A274" s="216"/>
      <c r="B274" s="156"/>
      <c r="C274" s="156"/>
      <c r="D274" s="156"/>
      <c r="E274" s="392"/>
      <c r="F274" s="392"/>
      <c r="G274" s="392"/>
      <c r="H274" s="392"/>
      <c r="I274" s="392"/>
      <c r="J274" s="392"/>
      <c r="K274" s="392"/>
      <c r="L274" s="392"/>
      <c r="M274" s="392"/>
      <c r="N274" s="392"/>
      <c r="O274" s="392"/>
      <c r="P274" s="392"/>
      <c r="Q274" s="392"/>
      <c r="R274" s="392"/>
      <c r="S274" s="392"/>
      <c r="T274" s="392"/>
      <c r="U274" s="392"/>
      <c r="V274" s="392"/>
      <c r="W274" s="392"/>
      <c r="X274" s="392"/>
      <c r="Y274" s="392"/>
      <c r="Z274" s="392"/>
      <c r="AA274" s="392"/>
      <c r="AB274" s="392"/>
      <c r="AC274" s="392"/>
      <c r="AD274" s="392"/>
      <c r="AE274" s="392"/>
      <c r="AF274" s="392"/>
    </row>
    <row r="275" ht="15.75" customHeight="1">
      <c r="A275" s="216"/>
      <c r="B275" s="156"/>
      <c r="C275" s="156"/>
      <c r="D275" s="156"/>
      <c r="E275" s="392"/>
      <c r="F275" s="392"/>
      <c r="G275" s="392"/>
      <c r="H275" s="392"/>
      <c r="I275" s="392"/>
      <c r="J275" s="392"/>
      <c r="K275" s="392"/>
      <c r="L275" s="392"/>
      <c r="M275" s="392"/>
      <c r="N275" s="392"/>
      <c r="O275" s="392"/>
      <c r="P275" s="392"/>
      <c r="Q275" s="392"/>
      <c r="R275" s="392"/>
      <c r="S275" s="392"/>
      <c r="T275" s="392"/>
      <c r="U275" s="392"/>
      <c r="V275" s="392"/>
      <c r="W275" s="392"/>
      <c r="X275" s="392"/>
      <c r="Y275" s="392"/>
      <c r="Z275" s="392"/>
      <c r="AA275" s="392"/>
      <c r="AB275" s="392"/>
      <c r="AC275" s="392"/>
      <c r="AD275" s="392"/>
      <c r="AE275" s="392"/>
      <c r="AF275" s="392"/>
    </row>
    <row r="276" ht="15.75" customHeight="1">
      <c r="A276" s="216"/>
      <c r="B276" s="156"/>
      <c r="C276" s="156"/>
      <c r="D276" s="156"/>
      <c r="E276" s="392"/>
      <c r="F276" s="392"/>
      <c r="G276" s="392"/>
      <c r="H276" s="392"/>
      <c r="I276" s="392"/>
      <c r="J276" s="392"/>
      <c r="K276" s="392"/>
      <c r="L276" s="392"/>
      <c r="M276" s="392"/>
      <c r="N276" s="392"/>
      <c r="O276" s="392"/>
      <c r="P276" s="392"/>
      <c r="Q276" s="392"/>
      <c r="R276" s="392"/>
      <c r="S276" s="392"/>
      <c r="T276" s="392"/>
      <c r="U276" s="392"/>
      <c r="V276" s="392"/>
      <c r="W276" s="392"/>
      <c r="X276" s="392"/>
      <c r="Y276" s="392"/>
      <c r="Z276" s="392"/>
      <c r="AA276" s="392"/>
      <c r="AB276" s="392"/>
      <c r="AC276" s="392"/>
      <c r="AD276" s="392"/>
      <c r="AE276" s="392"/>
      <c r="AF276" s="392"/>
    </row>
    <row r="277" ht="15.75" customHeight="1">
      <c r="A277" s="216"/>
      <c r="B277" s="156"/>
      <c r="C277" s="156"/>
      <c r="D277" s="156"/>
      <c r="E277" s="392"/>
      <c r="F277" s="392"/>
      <c r="G277" s="392"/>
      <c r="H277" s="392"/>
      <c r="I277" s="392"/>
      <c r="J277" s="392"/>
      <c r="K277" s="392"/>
      <c r="L277" s="392"/>
      <c r="M277" s="392"/>
      <c r="N277" s="392"/>
      <c r="O277" s="392"/>
      <c r="P277" s="392"/>
      <c r="Q277" s="392"/>
      <c r="R277" s="392"/>
      <c r="S277" s="392"/>
      <c r="T277" s="392"/>
      <c r="U277" s="392"/>
      <c r="V277" s="392"/>
      <c r="W277" s="392"/>
      <c r="X277" s="392"/>
      <c r="Y277" s="392"/>
      <c r="Z277" s="392"/>
      <c r="AA277" s="392"/>
      <c r="AB277" s="392"/>
      <c r="AC277" s="392"/>
      <c r="AD277" s="392"/>
      <c r="AE277" s="392"/>
      <c r="AF277" s="392"/>
    </row>
    <row r="278" ht="15.75" customHeight="1">
      <c r="A278" s="216"/>
      <c r="B278" s="156"/>
      <c r="C278" s="156"/>
      <c r="D278" s="156"/>
      <c r="E278" s="392"/>
      <c r="F278" s="392"/>
      <c r="G278" s="392"/>
      <c r="H278" s="392"/>
      <c r="I278" s="392"/>
      <c r="J278" s="392"/>
      <c r="K278" s="392"/>
      <c r="L278" s="392"/>
      <c r="M278" s="392"/>
      <c r="N278" s="392"/>
      <c r="O278" s="392"/>
      <c r="P278" s="392"/>
      <c r="Q278" s="392"/>
      <c r="R278" s="392"/>
      <c r="S278" s="392"/>
      <c r="T278" s="392"/>
      <c r="U278" s="392"/>
      <c r="V278" s="392"/>
      <c r="W278" s="392"/>
      <c r="X278" s="392"/>
      <c r="Y278" s="392"/>
      <c r="Z278" s="392"/>
      <c r="AA278" s="392"/>
      <c r="AB278" s="392"/>
      <c r="AC278" s="392"/>
      <c r="AD278" s="392"/>
      <c r="AE278" s="392"/>
      <c r="AF278" s="392"/>
    </row>
    <row r="279" ht="15.75" customHeight="1">
      <c r="A279" s="216"/>
      <c r="B279" s="156"/>
      <c r="C279" s="156"/>
      <c r="D279" s="156"/>
      <c r="E279" s="392"/>
      <c r="F279" s="392"/>
      <c r="G279" s="392"/>
      <c r="H279" s="392"/>
      <c r="I279" s="392"/>
      <c r="J279" s="392"/>
      <c r="K279" s="392"/>
      <c r="L279" s="392"/>
      <c r="M279" s="392"/>
      <c r="N279" s="392"/>
      <c r="O279" s="392"/>
      <c r="P279" s="392"/>
      <c r="Q279" s="392"/>
      <c r="R279" s="392"/>
      <c r="S279" s="392"/>
      <c r="T279" s="392"/>
      <c r="U279" s="392"/>
      <c r="V279" s="392"/>
      <c r="W279" s="392"/>
      <c r="X279" s="392"/>
      <c r="Y279" s="392"/>
      <c r="Z279" s="392"/>
      <c r="AA279" s="392"/>
      <c r="AB279" s="392"/>
      <c r="AC279" s="392"/>
      <c r="AD279" s="392"/>
      <c r="AE279" s="392"/>
      <c r="AF279" s="392"/>
    </row>
    <row r="280" ht="15.75" customHeight="1">
      <c r="A280" s="216"/>
      <c r="B280" s="156"/>
      <c r="C280" s="156"/>
      <c r="D280" s="156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392"/>
      <c r="Q280" s="392"/>
      <c r="R280" s="392"/>
      <c r="S280" s="392"/>
      <c r="T280" s="392"/>
      <c r="U280" s="392"/>
      <c r="V280" s="392"/>
      <c r="W280" s="392"/>
      <c r="X280" s="392"/>
      <c r="Y280" s="392"/>
      <c r="Z280" s="392"/>
      <c r="AA280" s="392"/>
      <c r="AB280" s="392"/>
      <c r="AC280" s="392"/>
      <c r="AD280" s="392"/>
      <c r="AE280" s="392"/>
      <c r="AF280" s="392"/>
    </row>
    <row r="281" ht="15.75" customHeight="1">
      <c r="A281" s="216"/>
      <c r="B281" s="156"/>
      <c r="C281" s="156"/>
      <c r="D281" s="156"/>
      <c r="E281" s="392"/>
      <c r="F281" s="392"/>
      <c r="G281" s="392"/>
      <c r="H281" s="392"/>
      <c r="I281" s="392"/>
      <c r="J281" s="392"/>
      <c r="K281" s="392"/>
      <c r="L281" s="392"/>
      <c r="M281" s="392"/>
      <c r="N281" s="392"/>
      <c r="O281" s="392"/>
      <c r="P281" s="392"/>
      <c r="Q281" s="392"/>
      <c r="R281" s="392"/>
      <c r="S281" s="392"/>
      <c r="T281" s="392"/>
      <c r="U281" s="392"/>
      <c r="V281" s="392"/>
      <c r="W281" s="392"/>
      <c r="X281" s="392"/>
      <c r="Y281" s="392"/>
      <c r="Z281" s="392"/>
      <c r="AA281" s="392"/>
      <c r="AB281" s="392"/>
      <c r="AC281" s="392"/>
      <c r="AD281" s="392"/>
      <c r="AE281" s="392"/>
      <c r="AF281" s="392"/>
    </row>
    <row r="282" ht="15.75" customHeight="1">
      <c r="A282" s="216"/>
      <c r="B282" s="156"/>
      <c r="C282" s="156"/>
      <c r="D282" s="156"/>
      <c r="E282" s="392"/>
      <c r="F282" s="392"/>
      <c r="G282" s="392"/>
      <c r="H282" s="392"/>
      <c r="I282" s="392"/>
      <c r="J282" s="392"/>
      <c r="K282" s="392"/>
      <c r="L282" s="392"/>
      <c r="M282" s="392"/>
      <c r="N282" s="392"/>
      <c r="O282" s="392"/>
      <c r="P282" s="392"/>
      <c r="Q282" s="392"/>
      <c r="R282" s="392"/>
      <c r="S282" s="392"/>
      <c r="T282" s="392"/>
      <c r="U282" s="392"/>
      <c r="V282" s="392"/>
      <c r="W282" s="392"/>
      <c r="X282" s="392"/>
      <c r="Y282" s="392"/>
      <c r="Z282" s="392"/>
      <c r="AA282" s="392"/>
      <c r="AB282" s="392"/>
      <c r="AC282" s="392"/>
      <c r="AD282" s="392"/>
      <c r="AE282" s="392"/>
      <c r="AF282" s="392"/>
    </row>
    <row r="283" ht="15.75" customHeight="1">
      <c r="A283" s="216"/>
      <c r="B283" s="156"/>
      <c r="C283" s="156"/>
      <c r="D283" s="156"/>
      <c r="E283" s="392"/>
      <c r="F283" s="392"/>
      <c r="G283" s="392"/>
      <c r="H283" s="392"/>
      <c r="I283" s="392"/>
      <c r="J283" s="392"/>
      <c r="K283" s="392"/>
      <c r="L283" s="392"/>
      <c r="M283" s="392"/>
      <c r="N283" s="392"/>
      <c r="O283" s="392"/>
      <c r="P283" s="392"/>
      <c r="Q283" s="392"/>
      <c r="R283" s="392"/>
      <c r="S283" s="392"/>
      <c r="T283" s="392"/>
      <c r="U283" s="392"/>
      <c r="V283" s="392"/>
      <c r="W283" s="392"/>
      <c r="X283" s="392"/>
      <c r="Y283" s="392"/>
      <c r="Z283" s="392"/>
      <c r="AA283" s="392"/>
      <c r="AB283" s="392"/>
      <c r="AC283" s="392"/>
      <c r="AD283" s="392"/>
      <c r="AE283" s="392"/>
      <c r="AF283" s="392"/>
    </row>
    <row r="284" ht="15.75" customHeight="1">
      <c r="A284" s="216"/>
      <c r="B284" s="156"/>
      <c r="C284" s="156"/>
      <c r="D284" s="156"/>
      <c r="E284" s="392"/>
      <c r="F284" s="392"/>
      <c r="G284" s="392"/>
      <c r="H284" s="392"/>
      <c r="I284" s="392"/>
      <c r="J284" s="392"/>
      <c r="K284" s="392"/>
      <c r="L284" s="392"/>
      <c r="M284" s="392"/>
      <c r="N284" s="392"/>
      <c r="O284" s="392"/>
      <c r="P284" s="392"/>
      <c r="Q284" s="392"/>
      <c r="R284" s="392"/>
      <c r="S284" s="392"/>
      <c r="T284" s="392"/>
      <c r="U284" s="392"/>
      <c r="V284" s="392"/>
      <c r="W284" s="392"/>
      <c r="X284" s="392"/>
      <c r="Y284" s="392"/>
      <c r="Z284" s="392"/>
      <c r="AA284" s="392"/>
      <c r="AB284" s="392"/>
      <c r="AC284" s="392"/>
      <c r="AD284" s="392"/>
      <c r="AE284" s="392"/>
      <c r="AF284" s="392"/>
    </row>
    <row r="285" ht="15.75" customHeight="1">
      <c r="A285" s="216"/>
      <c r="B285" s="156"/>
      <c r="C285" s="156"/>
      <c r="D285" s="156"/>
      <c r="E285" s="392"/>
      <c r="F285" s="392"/>
      <c r="G285" s="392"/>
      <c r="H285" s="392"/>
      <c r="I285" s="392"/>
      <c r="J285" s="392"/>
      <c r="K285" s="392"/>
      <c r="L285" s="392"/>
      <c r="M285" s="392"/>
      <c r="N285" s="392"/>
      <c r="O285" s="392"/>
      <c r="P285" s="392"/>
      <c r="Q285" s="392"/>
      <c r="R285" s="392"/>
      <c r="S285" s="392"/>
      <c r="T285" s="392"/>
      <c r="U285" s="392"/>
      <c r="V285" s="392"/>
      <c r="W285" s="392"/>
      <c r="X285" s="392"/>
      <c r="Y285" s="392"/>
      <c r="Z285" s="392"/>
      <c r="AA285" s="392"/>
      <c r="AB285" s="392"/>
      <c r="AC285" s="392"/>
      <c r="AD285" s="392"/>
      <c r="AE285" s="392"/>
      <c r="AF285" s="392"/>
    </row>
    <row r="286" ht="15.75" customHeight="1">
      <c r="A286" s="216"/>
      <c r="B286" s="156"/>
      <c r="C286" s="156"/>
      <c r="D286" s="156"/>
      <c r="E286" s="392"/>
      <c r="F286" s="392"/>
      <c r="G286" s="392"/>
      <c r="H286" s="392"/>
      <c r="I286" s="392"/>
      <c r="J286" s="392"/>
      <c r="K286" s="392"/>
      <c r="L286" s="392"/>
      <c r="M286" s="392"/>
      <c r="N286" s="392"/>
      <c r="O286" s="392"/>
      <c r="P286" s="392"/>
      <c r="Q286" s="392"/>
      <c r="R286" s="392"/>
      <c r="S286" s="392"/>
      <c r="T286" s="392"/>
      <c r="U286" s="392"/>
      <c r="V286" s="392"/>
      <c r="W286" s="392"/>
      <c r="X286" s="392"/>
      <c r="Y286" s="392"/>
      <c r="Z286" s="392"/>
      <c r="AA286" s="392"/>
      <c r="AB286" s="392"/>
      <c r="AC286" s="392"/>
      <c r="AD286" s="392"/>
      <c r="AE286" s="392"/>
      <c r="AF286" s="392"/>
    </row>
    <row r="287" ht="15.75" customHeight="1">
      <c r="A287" s="216"/>
      <c r="B287" s="156"/>
      <c r="C287" s="156"/>
      <c r="D287" s="156"/>
      <c r="E287" s="392"/>
      <c r="F287" s="392"/>
      <c r="G287" s="392"/>
      <c r="H287" s="392"/>
      <c r="I287" s="392"/>
      <c r="J287" s="392"/>
      <c r="K287" s="392"/>
      <c r="L287" s="392"/>
      <c r="M287" s="392"/>
      <c r="N287" s="392"/>
      <c r="O287" s="392"/>
      <c r="P287" s="392"/>
      <c r="Q287" s="392"/>
      <c r="R287" s="392"/>
      <c r="S287" s="392"/>
      <c r="T287" s="392"/>
      <c r="U287" s="392"/>
      <c r="V287" s="392"/>
      <c r="W287" s="392"/>
      <c r="X287" s="392"/>
      <c r="Y287" s="392"/>
      <c r="Z287" s="392"/>
      <c r="AA287" s="392"/>
      <c r="AB287" s="392"/>
      <c r="AC287" s="392"/>
      <c r="AD287" s="392"/>
      <c r="AE287" s="392"/>
      <c r="AF287" s="392"/>
    </row>
    <row r="288" ht="15.75" customHeight="1">
      <c r="A288" s="216"/>
      <c r="B288" s="156"/>
      <c r="C288" s="156"/>
      <c r="D288" s="156"/>
      <c r="E288" s="392"/>
      <c r="F288" s="392"/>
      <c r="G288" s="392"/>
      <c r="H288" s="392"/>
      <c r="I288" s="392"/>
      <c r="J288" s="392"/>
      <c r="K288" s="392"/>
      <c r="L288" s="392"/>
      <c r="M288" s="392"/>
      <c r="N288" s="392"/>
      <c r="O288" s="392"/>
      <c r="P288" s="392"/>
      <c r="Q288" s="392"/>
      <c r="R288" s="392"/>
      <c r="S288" s="392"/>
      <c r="T288" s="392"/>
      <c r="U288" s="392"/>
      <c r="V288" s="392"/>
      <c r="W288" s="392"/>
      <c r="X288" s="392"/>
      <c r="Y288" s="392"/>
      <c r="Z288" s="392"/>
      <c r="AA288" s="392"/>
      <c r="AB288" s="392"/>
      <c r="AC288" s="392"/>
      <c r="AD288" s="392"/>
      <c r="AE288" s="392"/>
      <c r="AF288" s="392"/>
    </row>
    <row r="289" ht="15.75" customHeight="1">
      <c r="A289" s="216"/>
      <c r="B289" s="156"/>
      <c r="C289" s="156"/>
      <c r="D289" s="156"/>
      <c r="E289" s="392"/>
      <c r="F289" s="392"/>
      <c r="G289" s="392"/>
      <c r="H289" s="392"/>
      <c r="I289" s="392"/>
      <c r="J289" s="392"/>
      <c r="K289" s="392"/>
      <c r="L289" s="392"/>
      <c r="M289" s="392"/>
      <c r="N289" s="392"/>
      <c r="O289" s="392"/>
      <c r="P289" s="392"/>
      <c r="Q289" s="392"/>
      <c r="R289" s="392"/>
      <c r="S289" s="392"/>
      <c r="T289" s="392"/>
      <c r="U289" s="392"/>
      <c r="V289" s="392"/>
      <c r="W289" s="392"/>
      <c r="X289" s="392"/>
      <c r="Y289" s="392"/>
      <c r="Z289" s="392"/>
      <c r="AA289" s="392"/>
      <c r="AB289" s="392"/>
      <c r="AC289" s="392"/>
      <c r="AD289" s="392"/>
      <c r="AE289" s="392"/>
      <c r="AF289" s="392"/>
    </row>
    <row r="290" ht="15.75" customHeight="1">
      <c r="A290" s="216"/>
      <c r="B290" s="156"/>
      <c r="C290" s="156"/>
      <c r="D290" s="156"/>
      <c r="E290" s="392"/>
      <c r="F290" s="392"/>
      <c r="G290" s="392"/>
      <c r="H290" s="392"/>
      <c r="I290" s="392"/>
      <c r="J290" s="392"/>
      <c r="K290" s="392"/>
      <c r="L290" s="392"/>
      <c r="M290" s="392"/>
      <c r="N290" s="392"/>
      <c r="O290" s="392"/>
      <c r="P290" s="392"/>
      <c r="Q290" s="392"/>
      <c r="R290" s="392"/>
      <c r="S290" s="392"/>
      <c r="T290" s="392"/>
      <c r="U290" s="392"/>
      <c r="V290" s="392"/>
      <c r="W290" s="392"/>
      <c r="X290" s="392"/>
      <c r="Y290" s="392"/>
      <c r="Z290" s="392"/>
      <c r="AA290" s="392"/>
      <c r="AB290" s="392"/>
      <c r="AC290" s="392"/>
      <c r="AD290" s="392"/>
      <c r="AE290" s="392"/>
      <c r="AF290" s="392"/>
    </row>
    <row r="291" ht="15.75" customHeight="1">
      <c r="A291" s="216"/>
      <c r="B291" s="156"/>
      <c r="C291" s="156"/>
      <c r="D291" s="156"/>
      <c r="E291" s="392"/>
      <c r="F291" s="392"/>
      <c r="G291" s="392"/>
      <c r="H291" s="392"/>
      <c r="I291" s="392"/>
      <c r="J291" s="392"/>
      <c r="K291" s="392"/>
      <c r="L291" s="392"/>
      <c r="M291" s="392"/>
      <c r="N291" s="392"/>
      <c r="O291" s="392"/>
      <c r="P291" s="392"/>
      <c r="Q291" s="392"/>
      <c r="R291" s="392"/>
      <c r="S291" s="392"/>
      <c r="T291" s="392"/>
      <c r="U291" s="392"/>
      <c r="V291" s="392"/>
      <c r="W291" s="392"/>
      <c r="X291" s="392"/>
      <c r="Y291" s="392"/>
      <c r="Z291" s="392"/>
      <c r="AA291" s="392"/>
      <c r="AB291" s="392"/>
      <c r="AC291" s="392"/>
      <c r="AD291" s="392"/>
      <c r="AE291" s="392"/>
      <c r="AF291" s="392"/>
    </row>
    <row r="292" ht="15.75" customHeight="1">
      <c r="A292" s="216"/>
      <c r="B292" s="156"/>
      <c r="C292" s="156"/>
      <c r="D292" s="156"/>
      <c r="E292" s="392"/>
      <c r="F292" s="392"/>
      <c r="G292" s="392"/>
      <c r="H292" s="392"/>
      <c r="I292" s="392"/>
      <c r="J292" s="392"/>
      <c r="K292" s="392"/>
      <c r="L292" s="392"/>
      <c r="M292" s="392"/>
      <c r="N292" s="392"/>
      <c r="O292" s="392"/>
      <c r="P292" s="392"/>
      <c r="Q292" s="392"/>
      <c r="R292" s="392"/>
      <c r="S292" s="392"/>
      <c r="T292" s="392"/>
      <c r="U292" s="392"/>
      <c r="V292" s="392"/>
      <c r="W292" s="392"/>
      <c r="X292" s="392"/>
      <c r="Y292" s="392"/>
      <c r="Z292" s="392"/>
      <c r="AA292" s="392"/>
      <c r="AB292" s="392"/>
      <c r="AC292" s="392"/>
      <c r="AD292" s="392"/>
      <c r="AE292" s="392"/>
      <c r="AF292" s="392"/>
    </row>
    <row r="293" ht="15.75" customHeight="1">
      <c r="A293" s="216"/>
      <c r="B293" s="156"/>
      <c r="C293" s="156"/>
      <c r="D293" s="156"/>
      <c r="E293" s="392"/>
      <c r="F293" s="392"/>
      <c r="G293" s="392"/>
      <c r="H293" s="392"/>
      <c r="I293" s="392"/>
      <c r="J293" s="392"/>
      <c r="K293" s="392"/>
      <c r="L293" s="392"/>
      <c r="M293" s="392"/>
      <c r="N293" s="392"/>
      <c r="O293" s="392"/>
      <c r="P293" s="392"/>
      <c r="Q293" s="392"/>
      <c r="R293" s="392"/>
      <c r="S293" s="392"/>
      <c r="T293" s="392"/>
      <c r="U293" s="392"/>
      <c r="V293" s="392"/>
      <c r="W293" s="392"/>
      <c r="X293" s="392"/>
      <c r="Y293" s="392"/>
      <c r="Z293" s="392"/>
      <c r="AA293" s="392"/>
      <c r="AB293" s="392"/>
      <c r="AC293" s="392"/>
      <c r="AD293" s="392"/>
      <c r="AE293" s="392"/>
      <c r="AF293" s="392"/>
    </row>
    <row r="294" ht="15.75" customHeight="1">
      <c r="A294" s="216"/>
      <c r="B294" s="156"/>
      <c r="C294" s="156"/>
      <c r="D294" s="156"/>
      <c r="E294" s="392"/>
      <c r="F294" s="392"/>
      <c r="G294" s="392"/>
      <c r="H294" s="392"/>
      <c r="I294" s="392"/>
      <c r="J294" s="392"/>
      <c r="K294" s="392"/>
      <c r="L294" s="392"/>
      <c r="M294" s="392"/>
      <c r="N294" s="392"/>
      <c r="O294" s="392"/>
      <c r="P294" s="392"/>
      <c r="Q294" s="392"/>
      <c r="R294" s="392"/>
      <c r="S294" s="392"/>
      <c r="T294" s="392"/>
      <c r="U294" s="392"/>
      <c r="V294" s="392"/>
      <c r="W294" s="392"/>
      <c r="X294" s="392"/>
      <c r="Y294" s="392"/>
      <c r="Z294" s="392"/>
      <c r="AA294" s="392"/>
      <c r="AB294" s="392"/>
      <c r="AC294" s="392"/>
      <c r="AD294" s="392"/>
      <c r="AE294" s="392"/>
      <c r="AF294" s="392"/>
    </row>
    <row r="295" ht="15.75" customHeight="1">
      <c r="A295" s="216"/>
      <c r="B295" s="156"/>
      <c r="C295" s="156"/>
      <c r="D295" s="156"/>
      <c r="E295" s="392"/>
      <c r="F295" s="392"/>
      <c r="G295" s="392"/>
      <c r="H295" s="392"/>
      <c r="I295" s="392"/>
      <c r="J295" s="392"/>
      <c r="K295" s="392"/>
      <c r="L295" s="392"/>
      <c r="M295" s="392"/>
      <c r="N295" s="392"/>
      <c r="O295" s="392"/>
      <c r="P295" s="392"/>
      <c r="Q295" s="392"/>
      <c r="R295" s="392"/>
      <c r="S295" s="392"/>
      <c r="T295" s="392"/>
      <c r="U295" s="392"/>
      <c r="V295" s="392"/>
      <c r="W295" s="392"/>
      <c r="X295" s="392"/>
      <c r="Y295" s="392"/>
      <c r="Z295" s="392"/>
      <c r="AA295" s="392"/>
      <c r="AB295" s="392"/>
      <c r="AC295" s="392"/>
      <c r="AD295" s="392"/>
      <c r="AE295" s="392"/>
      <c r="AF295" s="392"/>
    </row>
    <row r="296" ht="15.75" customHeight="1">
      <c r="A296" s="216"/>
      <c r="B296" s="156"/>
      <c r="C296" s="156"/>
      <c r="D296" s="156"/>
      <c r="E296" s="392"/>
      <c r="F296" s="392"/>
      <c r="G296" s="392"/>
      <c r="H296" s="392"/>
      <c r="I296" s="392"/>
      <c r="J296" s="392"/>
      <c r="K296" s="392"/>
      <c r="L296" s="392"/>
      <c r="M296" s="392"/>
      <c r="N296" s="392"/>
      <c r="O296" s="392"/>
      <c r="P296" s="392"/>
      <c r="Q296" s="392"/>
      <c r="R296" s="392"/>
      <c r="S296" s="392"/>
      <c r="T296" s="392"/>
      <c r="U296" s="392"/>
      <c r="V296" s="392"/>
      <c r="W296" s="392"/>
      <c r="X296" s="392"/>
      <c r="Y296" s="392"/>
      <c r="Z296" s="392"/>
      <c r="AA296" s="392"/>
      <c r="AB296" s="392"/>
      <c r="AC296" s="392"/>
      <c r="AD296" s="392"/>
      <c r="AE296" s="392"/>
      <c r="AF296" s="392"/>
    </row>
    <row r="297" ht="15.75" customHeight="1">
      <c r="A297" s="216"/>
      <c r="B297" s="156"/>
      <c r="C297" s="156"/>
      <c r="D297" s="156"/>
      <c r="E297" s="392"/>
      <c r="F297" s="392"/>
      <c r="G297" s="392"/>
      <c r="H297" s="392"/>
      <c r="I297" s="392"/>
      <c r="J297" s="392"/>
      <c r="K297" s="392"/>
      <c r="L297" s="392"/>
      <c r="M297" s="392"/>
      <c r="N297" s="392"/>
      <c r="O297" s="392"/>
      <c r="P297" s="392"/>
      <c r="Q297" s="392"/>
      <c r="R297" s="392"/>
      <c r="S297" s="392"/>
      <c r="T297" s="392"/>
      <c r="U297" s="392"/>
      <c r="V297" s="392"/>
      <c r="W297" s="392"/>
      <c r="X297" s="392"/>
      <c r="Y297" s="392"/>
      <c r="Z297" s="392"/>
      <c r="AA297" s="392"/>
      <c r="AB297" s="392"/>
      <c r="AC297" s="392"/>
      <c r="AD297" s="392"/>
      <c r="AE297" s="392"/>
      <c r="AF297" s="392"/>
    </row>
    <row r="298" ht="15.75" customHeight="1">
      <c r="A298" s="216"/>
      <c r="B298" s="156"/>
      <c r="C298" s="156"/>
      <c r="D298" s="156"/>
      <c r="E298" s="392"/>
      <c r="F298" s="392"/>
      <c r="G298" s="392"/>
      <c r="H298" s="392"/>
      <c r="I298" s="392"/>
      <c r="J298" s="392"/>
      <c r="K298" s="392"/>
      <c r="L298" s="392"/>
      <c r="M298" s="392"/>
      <c r="N298" s="392"/>
      <c r="O298" s="392"/>
      <c r="P298" s="392"/>
      <c r="Q298" s="392"/>
      <c r="R298" s="392"/>
      <c r="S298" s="392"/>
      <c r="T298" s="392"/>
      <c r="U298" s="392"/>
      <c r="V298" s="392"/>
      <c r="W298" s="392"/>
      <c r="X298" s="392"/>
      <c r="Y298" s="392"/>
      <c r="Z298" s="392"/>
      <c r="AA298" s="392"/>
      <c r="AB298" s="392"/>
      <c r="AC298" s="392"/>
      <c r="AD298" s="392"/>
      <c r="AE298" s="392"/>
      <c r="AF298" s="392"/>
    </row>
    <row r="299" ht="15.75" customHeight="1">
      <c r="A299" s="216"/>
      <c r="B299" s="156"/>
      <c r="C299" s="156"/>
      <c r="D299" s="156"/>
      <c r="E299" s="392"/>
      <c r="F299" s="392"/>
      <c r="G299" s="392"/>
      <c r="H299" s="392"/>
      <c r="I299" s="392"/>
      <c r="J299" s="392"/>
      <c r="K299" s="392"/>
      <c r="L299" s="392"/>
      <c r="M299" s="392"/>
      <c r="N299" s="392"/>
      <c r="O299" s="392"/>
      <c r="P299" s="392"/>
      <c r="Q299" s="392"/>
      <c r="R299" s="392"/>
      <c r="S299" s="392"/>
      <c r="T299" s="392"/>
      <c r="U299" s="392"/>
      <c r="V299" s="392"/>
      <c r="W299" s="392"/>
      <c r="X299" s="392"/>
      <c r="Y299" s="392"/>
      <c r="Z299" s="392"/>
      <c r="AA299" s="392"/>
      <c r="AB299" s="392"/>
      <c r="AC299" s="392"/>
      <c r="AD299" s="392"/>
      <c r="AE299" s="392"/>
      <c r="AF299" s="392"/>
    </row>
    <row r="300" ht="15.75" customHeight="1">
      <c r="A300" s="216"/>
      <c r="B300" s="156"/>
      <c r="C300" s="156"/>
      <c r="D300" s="156"/>
      <c r="E300" s="392"/>
      <c r="F300" s="392"/>
      <c r="G300" s="392"/>
      <c r="H300" s="392"/>
      <c r="I300" s="392"/>
      <c r="J300" s="392"/>
      <c r="K300" s="392"/>
      <c r="L300" s="392"/>
      <c r="M300" s="392"/>
      <c r="N300" s="392"/>
      <c r="O300" s="392"/>
      <c r="P300" s="392"/>
      <c r="Q300" s="392"/>
      <c r="R300" s="392"/>
      <c r="S300" s="392"/>
      <c r="T300" s="392"/>
      <c r="U300" s="392"/>
      <c r="V300" s="392"/>
      <c r="W300" s="392"/>
      <c r="X300" s="392"/>
      <c r="Y300" s="392"/>
      <c r="Z300" s="392"/>
      <c r="AA300" s="392"/>
      <c r="AB300" s="392"/>
      <c r="AC300" s="392"/>
      <c r="AD300" s="392"/>
      <c r="AE300" s="392"/>
      <c r="AF300" s="392"/>
    </row>
    <row r="301" ht="15.75" customHeight="1">
      <c r="A301" s="216"/>
      <c r="B301" s="156"/>
      <c r="C301" s="156"/>
      <c r="D301" s="156"/>
      <c r="E301" s="392"/>
      <c r="F301" s="392"/>
      <c r="G301" s="392"/>
      <c r="H301" s="392"/>
      <c r="I301" s="392"/>
      <c r="J301" s="392"/>
      <c r="K301" s="392"/>
      <c r="L301" s="392"/>
      <c r="M301" s="392"/>
      <c r="N301" s="392"/>
      <c r="O301" s="392"/>
      <c r="P301" s="392"/>
      <c r="Q301" s="392"/>
      <c r="R301" s="392"/>
      <c r="S301" s="392"/>
      <c r="T301" s="392"/>
      <c r="U301" s="392"/>
      <c r="V301" s="392"/>
      <c r="W301" s="392"/>
      <c r="X301" s="392"/>
      <c r="Y301" s="392"/>
      <c r="Z301" s="392"/>
      <c r="AA301" s="392"/>
      <c r="AB301" s="392"/>
      <c r="AC301" s="392"/>
      <c r="AD301" s="392"/>
      <c r="AE301" s="392"/>
      <c r="AF301" s="392"/>
    </row>
    <row r="302" ht="15.75" customHeight="1">
      <c r="A302" s="216"/>
      <c r="B302" s="156"/>
      <c r="C302" s="156"/>
      <c r="D302" s="156"/>
      <c r="E302" s="392"/>
      <c r="F302" s="392"/>
      <c r="G302" s="392"/>
      <c r="H302" s="392"/>
      <c r="I302" s="392"/>
      <c r="J302" s="392"/>
      <c r="K302" s="392"/>
      <c r="L302" s="392"/>
      <c r="M302" s="392"/>
      <c r="N302" s="392"/>
      <c r="O302" s="392"/>
      <c r="P302" s="392"/>
      <c r="Q302" s="392"/>
      <c r="R302" s="392"/>
      <c r="S302" s="392"/>
      <c r="T302" s="392"/>
      <c r="U302" s="392"/>
      <c r="V302" s="392"/>
      <c r="W302" s="392"/>
      <c r="X302" s="392"/>
      <c r="Y302" s="392"/>
      <c r="Z302" s="392"/>
      <c r="AA302" s="392"/>
      <c r="AB302" s="392"/>
      <c r="AC302" s="392"/>
      <c r="AD302" s="392"/>
      <c r="AE302" s="392"/>
      <c r="AF302" s="392"/>
    </row>
    <row r="303" ht="15.75" customHeight="1">
      <c r="A303" s="216"/>
      <c r="B303" s="156"/>
      <c r="C303" s="156"/>
      <c r="D303" s="156"/>
      <c r="E303" s="392"/>
      <c r="F303" s="392"/>
      <c r="G303" s="392"/>
      <c r="H303" s="392"/>
      <c r="I303" s="392"/>
      <c r="J303" s="392"/>
      <c r="K303" s="392"/>
      <c r="L303" s="392"/>
      <c r="M303" s="392"/>
      <c r="N303" s="392"/>
      <c r="O303" s="392"/>
      <c r="P303" s="392"/>
      <c r="Q303" s="392"/>
      <c r="R303" s="392"/>
      <c r="S303" s="392"/>
      <c r="T303" s="392"/>
      <c r="U303" s="392"/>
      <c r="V303" s="392"/>
      <c r="W303" s="392"/>
      <c r="X303" s="392"/>
      <c r="Y303" s="392"/>
      <c r="Z303" s="392"/>
      <c r="AA303" s="392"/>
      <c r="AB303" s="392"/>
      <c r="AC303" s="392"/>
      <c r="AD303" s="392"/>
      <c r="AE303" s="392"/>
      <c r="AF303" s="392"/>
    </row>
    <row r="304" ht="15.75" customHeight="1">
      <c r="A304" s="216"/>
      <c r="B304" s="156"/>
      <c r="C304" s="156"/>
      <c r="D304" s="156"/>
      <c r="E304" s="392"/>
      <c r="F304" s="392"/>
      <c r="G304" s="392"/>
      <c r="H304" s="392"/>
      <c r="I304" s="392"/>
      <c r="J304" s="392"/>
      <c r="K304" s="392"/>
      <c r="L304" s="392"/>
      <c r="M304" s="392"/>
      <c r="N304" s="392"/>
      <c r="O304" s="392"/>
      <c r="P304" s="392"/>
      <c r="Q304" s="392"/>
      <c r="R304" s="392"/>
      <c r="S304" s="392"/>
      <c r="T304" s="392"/>
      <c r="U304" s="392"/>
      <c r="V304" s="392"/>
      <c r="W304" s="392"/>
      <c r="X304" s="392"/>
      <c r="Y304" s="392"/>
      <c r="Z304" s="392"/>
      <c r="AA304" s="392"/>
      <c r="AB304" s="392"/>
      <c r="AC304" s="392"/>
      <c r="AD304" s="392"/>
      <c r="AE304" s="392"/>
      <c r="AF304" s="392"/>
    </row>
    <row r="305" ht="15.75" customHeight="1">
      <c r="A305" s="216"/>
      <c r="B305" s="156"/>
      <c r="C305" s="156"/>
      <c r="D305" s="156"/>
      <c r="E305" s="392"/>
      <c r="F305" s="392"/>
      <c r="G305" s="392"/>
      <c r="H305" s="392"/>
      <c r="I305" s="392"/>
      <c r="J305" s="392"/>
      <c r="K305" s="392"/>
      <c r="L305" s="392"/>
      <c r="M305" s="392"/>
      <c r="N305" s="392"/>
      <c r="O305" s="392"/>
      <c r="P305" s="392"/>
      <c r="Q305" s="392"/>
      <c r="R305" s="392"/>
      <c r="S305" s="392"/>
      <c r="T305" s="392"/>
      <c r="U305" s="392"/>
      <c r="V305" s="392"/>
      <c r="W305" s="392"/>
      <c r="X305" s="392"/>
      <c r="Y305" s="392"/>
      <c r="Z305" s="392"/>
      <c r="AA305" s="392"/>
      <c r="AB305" s="392"/>
      <c r="AC305" s="392"/>
      <c r="AD305" s="392"/>
      <c r="AE305" s="392"/>
      <c r="AF305" s="392"/>
    </row>
    <row r="306" ht="15.75" customHeight="1">
      <c r="A306" s="216"/>
      <c r="B306" s="156"/>
      <c r="C306" s="156"/>
      <c r="D306" s="156"/>
      <c r="E306" s="392"/>
      <c r="F306" s="392"/>
      <c r="G306" s="392"/>
      <c r="H306" s="392"/>
      <c r="I306" s="392"/>
      <c r="J306" s="392"/>
      <c r="K306" s="392"/>
      <c r="L306" s="392"/>
      <c r="M306" s="392"/>
      <c r="N306" s="392"/>
      <c r="O306" s="392"/>
      <c r="P306" s="392"/>
      <c r="Q306" s="392"/>
      <c r="R306" s="392"/>
      <c r="S306" s="392"/>
      <c r="T306" s="392"/>
      <c r="U306" s="392"/>
      <c r="V306" s="392"/>
      <c r="W306" s="392"/>
      <c r="X306" s="392"/>
      <c r="Y306" s="392"/>
      <c r="Z306" s="392"/>
      <c r="AA306" s="392"/>
      <c r="AB306" s="392"/>
      <c r="AC306" s="392"/>
      <c r="AD306" s="392"/>
      <c r="AE306" s="392"/>
      <c r="AF306" s="392"/>
    </row>
    <row r="307" ht="15.75" customHeight="1">
      <c r="A307" s="216"/>
      <c r="B307" s="156"/>
      <c r="C307" s="156"/>
      <c r="D307" s="156"/>
      <c r="E307" s="392"/>
      <c r="F307" s="392"/>
      <c r="G307" s="392"/>
      <c r="H307" s="392"/>
      <c r="I307" s="392"/>
      <c r="J307" s="392"/>
      <c r="K307" s="392"/>
      <c r="L307" s="392"/>
      <c r="M307" s="392"/>
      <c r="N307" s="392"/>
      <c r="O307" s="392"/>
      <c r="P307" s="392"/>
      <c r="Q307" s="392"/>
      <c r="R307" s="392"/>
      <c r="S307" s="392"/>
      <c r="T307" s="392"/>
      <c r="U307" s="392"/>
      <c r="V307" s="392"/>
      <c r="W307" s="392"/>
      <c r="X307" s="392"/>
      <c r="Y307" s="392"/>
      <c r="Z307" s="392"/>
      <c r="AA307" s="392"/>
      <c r="AB307" s="392"/>
      <c r="AC307" s="392"/>
      <c r="AD307" s="392"/>
      <c r="AE307" s="392"/>
      <c r="AF307" s="392"/>
    </row>
    <row r="308" ht="15.75" customHeight="1">
      <c r="A308" s="216"/>
      <c r="B308" s="156"/>
      <c r="C308" s="156"/>
      <c r="D308" s="156"/>
      <c r="E308" s="392"/>
      <c r="F308" s="392"/>
      <c r="G308" s="392"/>
      <c r="H308" s="392"/>
      <c r="I308" s="392"/>
      <c r="J308" s="392"/>
      <c r="K308" s="392"/>
      <c r="L308" s="392"/>
      <c r="M308" s="392"/>
      <c r="N308" s="392"/>
      <c r="O308" s="392"/>
      <c r="P308" s="392"/>
      <c r="Q308" s="392"/>
      <c r="R308" s="392"/>
      <c r="S308" s="392"/>
      <c r="T308" s="392"/>
      <c r="U308" s="392"/>
      <c r="V308" s="392"/>
      <c r="W308" s="392"/>
      <c r="X308" s="392"/>
      <c r="Y308" s="392"/>
      <c r="Z308" s="392"/>
      <c r="AA308" s="392"/>
      <c r="AB308" s="392"/>
      <c r="AC308" s="392"/>
      <c r="AD308" s="392"/>
      <c r="AE308" s="392"/>
      <c r="AF308" s="392"/>
    </row>
    <row r="309" ht="15.75" customHeight="1">
      <c r="A309" s="216"/>
      <c r="B309" s="156"/>
      <c r="C309" s="156"/>
      <c r="D309" s="156"/>
      <c r="E309" s="392"/>
      <c r="F309" s="392"/>
      <c r="G309" s="392"/>
      <c r="H309" s="392"/>
      <c r="I309" s="392"/>
      <c r="J309" s="392"/>
      <c r="K309" s="392"/>
      <c r="L309" s="392"/>
      <c r="M309" s="392"/>
      <c r="N309" s="392"/>
      <c r="O309" s="392"/>
      <c r="P309" s="392"/>
      <c r="Q309" s="392"/>
      <c r="R309" s="392"/>
      <c r="S309" s="392"/>
      <c r="T309" s="392"/>
      <c r="U309" s="392"/>
      <c r="V309" s="392"/>
      <c r="W309" s="392"/>
      <c r="X309" s="392"/>
      <c r="Y309" s="392"/>
      <c r="Z309" s="392"/>
      <c r="AA309" s="392"/>
      <c r="AB309" s="392"/>
      <c r="AC309" s="392"/>
      <c r="AD309" s="392"/>
      <c r="AE309" s="392"/>
      <c r="AF309" s="392"/>
    </row>
    <row r="310" ht="15.75" customHeight="1">
      <c r="A310" s="216"/>
      <c r="B310" s="156"/>
      <c r="C310" s="156"/>
      <c r="D310" s="156"/>
      <c r="E310" s="392"/>
      <c r="F310" s="392"/>
      <c r="G310" s="392"/>
      <c r="H310" s="392"/>
      <c r="I310" s="392"/>
      <c r="J310" s="392"/>
      <c r="K310" s="392"/>
      <c r="L310" s="392"/>
      <c r="M310" s="392"/>
      <c r="N310" s="392"/>
      <c r="O310" s="392"/>
      <c r="P310" s="392"/>
      <c r="Q310" s="392"/>
      <c r="R310" s="392"/>
      <c r="S310" s="392"/>
      <c r="T310" s="392"/>
      <c r="U310" s="392"/>
      <c r="V310" s="392"/>
      <c r="W310" s="392"/>
      <c r="X310" s="392"/>
      <c r="Y310" s="392"/>
      <c r="Z310" s="392"/>
      <c r="AA310" s="392"/>
      <c r="AB310" s="392"/>
      <c r="AC310" s="392"/>
      <c r="AD310" s="392"/>
      <c r="AE310" s="392"/>
      <c r="AF310" s="392"/>
    </row>
    <row r="311" ht="15.75" customHeight="1">
      <c r="A311" s="216"/>
      <c r="B311" s="156"/>
      <c r="C311" s="156"/>
      <c r="D311" s="156"/>
      <c r="E311" s="392"/>
      <c r="F311" s="392"/>
      <c r="G311" s="392"/>
      <c r="H311" s="392"/>
      <c r="I311" s="392"/>
      <c r="J311" s="392"/>
      <c r="K311" s="392"/>
      <c r="L311" s="392"/>
      <c r="M311" s="392"/>
      <c r="N311" s="392"/>
      <c r="O311" s="392"/>
      <c r="P311" s="392"/>
      <c r="Q311" s="392"/>
      <c r="R311" s="392"/>
      <c r="S311" s="392"/>
      <c r="T311" s="392"/>
      <c r="U311" s="392"/>
      <c r="V311" s="392"/>
      <c r="W311" s="392"/>
      <c r="X311" s="392"/>
      <c r="Y311" s="392"/>
      <c r="Z311" s="392"/>
      <c r="AA311" s="392"/>
      <c r="AB311" s="392"/>
      <c r="AC311" s="392"/>
      <c r="AD311" s="392"/>
      <c r="AE311" s="392"/>
      <c r="AF311" s="392"/>
    </row>
    <row r="312" ht="15.75" customHeight="1">
      <c r="A312" s="216"/>
      <c r="B312" s="156"/>
      <c r="C312" s="156"/>
      <c r="D312" s="156"/>
      <c r="E312" s="392"/>
      <c r="F312" s="392"/>
      <c r="G312" s="392"/>
      <c r="H312" s="392"/>
      <c r="I312" s="392"/>
      <c r="J312" s="392"/>
      <c r="K312" s="392"/>
      <c r="L312" s="392"/>
      <c r="M312" s="392"/>
      <c r="N312" s="392"/>
      <c r="O312" s="392"/>
      <c r="P312" s="392"/>
      <c r="Q312" s="392"/>
      <c r="R312" s="392"/>
      <c r="S312" s="392"/>
      <c r="T312" s="392"/>
      <c r="U312" s="392"/>
      <c r="V312" s="392"/>
      <c r="W312" s="392"/>
      <c r="X312" s="392"/>
      <c r="Y312" s="392"/>
      <c r="Z312" s="392"/>
      <c r="AA312" s="392"/>
      <c r="AB312" s="392"/>
      <c r="AC312" s="392"/>
      <c r="AD312" s="392"/>
      <c r="AE312" s="392"/>
      <c r="AF312" s="392"/>
    </row>
    <row r="313" ht="15.75" customHeight="1">
      <c r="A313" s="216"/>
      <c r="B313" s="156"/>
      <c r="C313" s="156"/>
      <c r="D313" s="156"/>
      <c r="E313" s="392"/>
      <c r="F313" s="392"/>
      <c r="G313" s="392"/>
      <c r="H313" s="392"/>
      <c r="I313" s="392"/>
      <c r="J313" s="392"/>
      <c r="K313" s="392"/>
      <c r="L313" s="392"/>
      <c r="M313" s="392"/>
      <c r="N313" s="392"/>
      <c r="O313" s="392"/>
      <c r="P313" s="392"/>
      <c r="Q313" s="392"/>
      <c r="R313" s="392"/>
      <c r="S313" s="392"/>
      <c r="T313" s="392"/>
      <c r="U313" s="392"/>
      <c r="V313" s="392"/>
      <c r="W313" s="392"/>
      <c r="X313" s="392"/>
      <c r="Y313" s="392"/>
      <c r="Z313" s="392"/>
      <c r="AA313" s="392"/>
      <c r="AB313" s="392"/>
      <c r="AC313" s="392"/>
      <c r="AD313" s="392"/>
      <c r="AE313" s="392"/>
      <c r="AF313" s="392"/>
    </row>
    <row r="314" ht="15.75" customHeight="1">
      <c r="A314" s="216"/>
      <c r="B314" s="156"/>
      <c r="C314" s="156"/>
      <c r="D314" s="156"/>
      <c r="E314" s="392"/>
      <c r="F314" s="392"/>
      <c r="G314" s="392"/>
      <c r="H314" s="392"/>
      <c r="I314" s="392"/>
      <c r="J314" s="392"/>
      <c r="K314" s="392"/>
      <c r="L314" s="392"/>
      <c r="M314" s="392"/>
      <c r="N314" s="392"/>
      <c r="O314" s="392"/>
      <c r="P314" s="392"/>
      <c r="Q314" s="392"/>
      <c r="R314" s="392"/>
      <c r="S314" s="392"/>
      <c r="T314" s="392"/>
      <c r="U314" s="392"/>
      <c r="V314" s="392"/>
      <c r="W314" s="392"/>
      <c r="X314" s="392"/>
      <c r="Y314" s="392"/>
      <c r="Z314" s="392"/>
      <c r="AA314" s="392"/>
      <c r="AB314" s="392"/>
      <c r="AC314" s="392"/>
      <c r="AD314" s="392"/>
      <c r="AE314" s="392"/>
      <c r="AF314" s="392"/>
    </row>
    <row r="315" ht="15.75" customHeight="1">
      <c r="A315" s="216"/>
      <c r="B315" s="156"/>
      <c r="C315" s="156"/>
      <c r="D315" s="156"/>
      <c r="E315" s="392"/>
      <c r="F315" s="392"/>
      <c r="G315" s="392"/>
      <c r="H315" s="392"/>
      <c r="I315" s="392"/>
      <c r="J315" s="392"/>
      <c r="K315" s="392"/>
      <c r="L315" s="392"/>
      <c r="M315" s="392"/>
      <c r="N315" s="392"/>
      <c r="O315" s="392"/>
      <c r="P315" s="392"/>
      <c r="Q315" s="392"/>
      <c r="R315" s="392"/>
      <c r="S315" s="392"/>
      <c r="T315" s="392"/>
      <c r="U315" s="392"/>
      <c r="V315" s="392"/>
      <c r="W315" s="392"/>
      <c r="X315" s="392"/>
      <c r="Y315" s="392"/>
      <c r="Z315" s="392"/>
      <c r="AA315" s="392"/>
      <c r="AB315" s="392"/>
      <c r="AC315" s="392"/>
      <c r="AD315" s="392"/>
      <c r="AE315" s="392"/>
      <c r="AF315" s="392"/>
    </row>
    <row r="316" ht="15.75" customHeight="1">
      <c r="A316" s="216"/>
      <c r="B316" s="156"/>
      <c r="C316" s="156"/>
      <c r="D316" s="156"/>
      <c r="E316" s="392"/>
      <c r="F316" s="392"/>
      <c r="G316" s="392"/>
      <c r="H316" s="392"/>
      <c r="I316" s="392"/>
      <c r="J316" s="392"/>
      <c r="K316" s="392"/>
      <c r="L316" s="392"/>
      <c r="M316" s="392"/>
      <c r="N316" s="392"/>
      <c r="O316" s="392"/>
      <c r="P316" s="392"/>
      <c r="Q316" s="392"/>
      <c r="R316" s="392"/>
      <c r="S316" s="392"/>
      <c r="T316" s="392"/>
      <c r="U316" s="392"/>
      <c r="V316" s="392"/>
      <c r="W316" s="392"/>
      <c r="X316" s="392"/>
      <c r="Y316" s="392"/>
      <c r="Z316" s="392"/>
      <c r="AA316" s="392"/>
      <c r="AB316" s="392"/>
      <c r="AC316" s="392"/>
      <c r="AD316" s="392"/>
      <c r="AE316" s="392"/>
      <c r="AF316" s="392"/>
    </row>
    <row r="317" ht="15.75" customHeight="1">
      <c r="A317" s="216"/>
      <c r="B317" s="156"/>
      <c r="C317" s="156"/>
      <c r="D317" s="156"/>
      <c r="E317" s="392"/>
      <c r="F317" s="392"/>
      <c r="G317" s="392"/>
      <c r="H317" s="392"/>
      <c r="I317" s="392"/>
      <c r="J317" s="392"/>
      <c r="K317" s="392"/>
      <c r="L317" s="392"/>
      <c r="M317" s="392"/>
      <c r="N317" s="392"/>
      <c r="O317" s="392"/>
      <c r="P317" s="392"/>
      <c r="Q317" s="392"/>
      <c r="R317" s="392"/>
      <c r="S317" s="392"/>
      <c r="T317" s="392"/>
      <c r="U317" s="392"/>
      <c r="V317" s="392"/>
      <c r="W317" s="392"/>
      <c r="X317" s="392"/>
      <c r="Y317" s="392"/>
      <c r="Z317" s="392"/>
      <c r="AA317" s="392"/>
      <c r="AB317" s="392"/>
      <c r="AC317" s="392"/>
      <c r="AD317" s="392"/>
      <c r="AE317" s="392"/>
      <c r="AF317" s="392"/>
    </row>
    <row r="318" ht="15.75" customHeight="1">
      <c r="A318" s="216"/>
      <c r="B318" s="156"/>
      <c r="C318" s="156"/>
      <c r="D318" s="156"/>
      <c r="E318" s="392"/>
      <c r="F318" s="392"/>
      <c r="G318" s="392"/>
      <c r="H318" s="392"/>
      <c r="I318" s="392"/>
      <c r="J318" s="392"/>
      <c r="K318" s="392"/>
      <c r="L318" s="392"/>
      <c r="M318" s="392"/>
      <c r="N318" s="392"/>
      <c r="O318" s="392"/>
      <c r="P318" s="392"/>
      <c r="Q318" s="392"/>
      <c r="R318" s="392"/>
      <c r="S318" s="392"/>
      <c r="T318" s="392"/>
      <c r="U318" s="392"/>
      <c r="V318" s="392"/>
      <c r="W318" s="392"/>
      <c r="X318" s="392"/>
      <c r="Y318" s="392"/>
      <c r="Z318" s="392"/>
      <c r="AA318" s="392"/>
      <c r="AB318" s="392"/>
      <c r="AC318" s="392"/>
      <c r="AD318" s="392"/>
      <c r="AE318" s="392"/>
      <c r="AF318" s="392"/>
    </row>
    <row r="319" ht="15.75" customHeight="1">
      <c r="A319" s="216"/>
      <c r="B319" s="156"/>
      <c r="C319" s="156"/>
      <c r="D319" s="156"/>
      <c r="E319" s="392"/>
      <c r="F319" s="392"/>
      <c r="G319" s="392"/>
      <c r="H319" s="392"/>
      <c r="I319" s="392"/>
      <c r="J319" s="392"/>
      <c r="K319" s="392"/>
      <c r="L319" s="392"/>
      <c r="M319" s="392"/>
      <c r="N319" s="392"/>
      <c r="O319" s="392"/>
      <c r="P319" s="392"/>
      <c r="Q319" s="392"/>
      <c r="R319" s="392"/>
      <c r="S319" s="392"/>
      <c r="T319" s="392"/>
      <c r="U319" s="392"/>
      <c r="V319" s="392"/>
      <c r="W319" s="392"/>
      <c r="X319" s="392"/>
      <c r="Y319" s="392"/>
      <c r="Z319" s="392"/>
      <c r="AA319" s="392"/>
      <c r="AB319" s="392"/>
      <c r="AC319" s="392"/>
      <c r="AD319" s="392"/>
      <c r="AE319" s="392"/>
      <c r="AF319" s="392"/>
    </row>
    <row r="320" ht="15.75" customHeight="1">
      <c r="A320" s="216"/>
      <c r="B320" s="156"/>
      <c r="C320" s="156"/>
      <c r="D320" s="156"/>
      <c r="E320" s="392"/>
      <c r="F320" s="392"/>
      <c r="G320" s="392"/>
      <c r="H320" s="392"/>
      <c r="I320" s="392"/>
      <c r="J320" s="392"/>
      <c r="K320" s="392"/>
      <c r="L320" s="392"/>
      <c r="M320" s="392"/>
      <c r="N320" s="392"/>
      <c r="O320" s="392"/>
      <c r="P320" s="392"/>
      <c r="Q320" s="392"/>
      <c r="R320" s="392"/>
      <c r="S320" s="392"/>
      <c r="T320" s="392"/>
      <c r="U320" s="392"/>
      <c r="V320" s="392"/>
      <c r="W320" s="392"/>
      <c r="X320" s="392"/>
      <c r="Y320" s="392"/>
      <c r="Z320" s="392"/>
      <c r="AA320" s="392"/>
      <c r="AB320" s="392"/>
      <c r="AC320" s="392"/>
      <c r="AD320" s="392"/>
      <c r="AE320" s="392"/>
      <c r="AF320" s="392"/>
    </row>
    <row r="321" ht="15.75" customHeight="1">
      <c r="A321" s="216"/>
      <c r="B321" s="156"/>
      <c r="C321" s="156"/>
      <c r="D321" s="156"/>
      <c r="E321" s="392"/>
      <c r="F321" s="392"/>
      <c r="G321" s="392"/>
      <c r="H321" s="392"/>
      <c r="I321" s="392"/>
      <c r="J321" s="392"/>
      <c r="K321" s="392"/>
      <c r="L321" s="392"/>
      <c r="M321" s="392"/>
      <c r="N321" s="392"/>
      <c r="O321" s="392"/>
      <c r="P321" s="392"/>
      <c r="Q321" s="392"/>
      <c r="R321" s="392"/>
      <c r="S321" s="392"/>
      <c r="T321" s="392"/>
      <c r="U321" s="392"/>
      <c r="V321" s="392"/>
      <c r="W321" s="392"/>
      <c r="X321" s="392"/>
      <c r="Y321" s="392"/>
      <c r="Z321" s="392"/>
      <c r="AA321" s="392"/>
      <c r="AB321" s="392"/>
      <c r="AC321" s="392"/>
      <c r="AD321" s="392"/>
      <c r="AE321" s="392"/>
      <c r="AF321" s="392"/>
    </row>
    <row r="322" ht="15.75" customHeight="1">
      <c r="A322" s="216"/>
      <c r="B322" s="156"/>
      <c r="C322" s="156"/>
      <c r="D322" s="156"/>
      <c r="E322" s="392"/>
      <c r="F322" s="392"/>
      <c r="G322" s="392"/>
      <c r="H322" s="392"/>
      <c r="I322" s="392"/>
      <c r="J322" s="392"/>
      <c r="K322" s="392"/>
      <c r="L322" s="392"/>
      <c r="M322" s="392"/>
      <c r="N322" s="392"/>
      <c r="O322" s="392"/>
      <c r="P322" s="392"/>
      <c r="Q322" s="392"/>
      <c r="R322" s="392"/>
      <c r="S322" s="392"/>
      <c r="T322" s="392"/>
      <c r="U322" s="392"/>
      <c r="V322" s="392"/>
      <c r="W322" s="392"/>
      <c r="X322" s="392"/>
      <c r="Y322" s="392"/>
      <c r="Z322" s="392"/>
      <c r="AA322" s="392"/>
      <c r="AB322" s="392"/>
      <c r="AC322" s="392"/>
      <c r="AD322" s="392"/>
      <c r="AE322" s="392"/>
      <c r="AF322" s="392"/>
    </row>
    <row r="323" ht="15.75" customHeight="1">
      <c r="A323" s="216"/>
      <c r="B323" s="156"/>
      <c r="C323" s="156"/>
      <c r="D323" s="156"/>
      <c r="E323" s="392"/>
      <c r="F323" s="392"/>
      <c r="G323" s="392"/>
      <c r="H323" s="392"/>
      <c r="I323" s="392"/>
      <c r="J323" s="392"/>
      <c r="K323" s="392"/>
      <c r="L323" s="392"/>
      <c r="M323" s="392"/>
      <c r="N323" s="392"/>
      <c r="O323" s="392"/>
      <c r="P323" s="392"/>
      <c r="Q323" s="392"/>
      <c r="R323" s="392"/>
      <c r="S323" s="392"/>
      <c r="T323" s="392"/>
      <c r="U323" s="392"/>
      <c r="V323" s="392"/>
      <c r="W323" s="392"/>
      <c r="X323" s="392"/>
      <c r="Y323" s="392"/>
      <c r="Z323" s="392"/>
      <c r="AA323" s="392"/>
      <c r="AB323" s="392"/>
      <c r="AC323" s="392"/>
      <c r="AD323" s="392"/>
      <c r="AE323" s="392"/>
      <c r="AF323" s="392"/>
    </row>
    <row r="324" ht="15.75" customHeight="1">
      <c r="A324" s="216"/>
      <c r="B324" s="156"/>
      <c r="C324" s="156"/>
      <c r="D324" s="156"/>
      <c r="E324" s="392"/>
      <c r="F324" s="392"/>
      <c r="G324" s="392"/>
      <c r="H324" s="392"/>
      <c r="I324" s="392"/>
      <c r="J324" s="392"/>
      <c r="K324" s="392"/>
      <c r="L324" s="392"/>
      <c r="M324" s="392"/>
      <c r="N324" s="392"/>
      <c r="O324" s="392"/>
      <c r="P324" s="392"/>
      <c r="Q324" s="392"/>
      <c r="R324" s="392"/>
      <c r="S324" s="392"/>
      <c r="T324" s="392"/>
      <c r="U324" s="392"/>
      <c r="V324" s="392"/>
      <c r="W324" s="392"/>
      <c r="X324" s="392"/>
      <c r="Y324" s="392"/>
      <c r="Z324" s="392"/>
      <c r="AA324" s="392"/>
      <c r="AB324" s="392"/>
      <c r="AC324" s="392"/>
      <c r="AD324" s="392"/>
      <c r="AE324" s="392"/>
      <c r="AF324" s="392"/>
    </row>
    <row r="325" ht="15.75" customHeight="1">
      <c r="A325" s="216"/>
      <c r="B325" s="156"/>
      <c r="C325" s="156"/>
      <c r="D325" s="156"/>
      <c r="E325" s="392"/>
      <c r="F325" s="392"/>
      <c r="G325" s="392"/>
      <c r="H325" s="392"/>
      <c r="I325" s="392"/>
      <c r="J325" s="392"/>
      <c r="K325" s="392"/>
      <c r="L325" s="392"/>
      <c r="M325" s="392"/>
      <c r="N325" s="392"/>
      <c r="O325" s="392"/>
      <c r="P325" s="392"/>
      <c r="Q325" s="392"/>
      <c r="R325" s="392"/>
      <c r="S325" s="392"/>
      <c r="T325" s="392"/>
      <c r="U325" s="392"/>
      <c r="V325" s="392"/>
      <c r="W325" s="392"/>
      <c r="X325" s="392"/>
      <c r="Y325" s="392"/>
      <c r="Z325" s="392"/>
      <c r="AA325" s="392"/>
      <c r="AB325" s="392"/>
      <c r="AC325" s="392"/>
      <c r="AD325" s="392"/>
      <c r="AE325" s="392"/>
      <c r="AF325" s="392"/>
    </row>
    <row r="326" ht="15.75" customHeight="1">
      <c r="A326" s="216"/>
      <c r="B326" s="156"/>
      <c r="C326" s="156"/>
      <c r="D326" s="156"/>
      <c r="E326" s="392"/>
      <c r="F326" s="392"/>
      <c r="G326" s="392"/>
      <c r="H326" s="392"/>
      <c r="I326" s="392"/>
      <c r="J326" s="392"/>
      <c r="K326" s="392"/>
      <c r="L326" s="392"/>
      <c r="M326" s="392"/>
      <c r="N326" s="392"/>
      <c r="O326" s="392"/>
      <c r="P326" s="392"/>
      <c r="Q326" s="392"/>
      <c r="R326" s="392"/>
      <c r="S326" s="392"/>
      <c r="T326" s="392"/>
      <c r="U326" s="392"/>
      <c r="V326" s="392"/>
      <c r="W326" s="392"/>
      <c r="X326" s="392"/>
      <c r="Y326" s="392"/>
      <c r="Z326" s="392"/>
      <c r="AA326" s="392"/>
      <c r="AB326" s="392"/>
      <c r="AC326" s="392"/>
      <c r="AD326" s="392"/>
      <c r="AE326" s="392"/>
      <c r="AF326" s="392"/>
    </row>
    <row r="327" ht="15.75" customHeight="1">
      <c r="A327" s="216"/>
      <c r="B327" s="156"/>
      <c r="C327" s="156"/>
      <c r="D327" s="156"/>
      <c r="E327" s="392"/>
      <c r="F327" s="392"/>
      <c r="G327" s="392"/>
      <c r="H327" s="392"/>
      <c r="I327" s="392"/>
      <c r="J327" s="392"/>
      <c r="K327" s="392"/>
      <c r="L327" s="392"/>
      <c r="M327" s="392"/>
      <c r="N327" s="392"/>
      <c r="O327" s="392"/>
      <c r="P327" s="392"/>
      <c r="Q327" s="392"/>
      <c r="R327" s="392"/>
      <c r="S327" s="392"/>
      <c r="T327" s="392"/>
      <c r="U327" s="392"/>
      <c r="V327" s="392"/>
      <c r="W327" s="392"/>
      <c r="X327" s="392"/>
      <c r="Y327" s="392"/>
      <c r="Z327" s="392"/>
      <c r="AA327" s="392"/>
      <c r="AB327" s="392"/>
      <c r="AC327" s="392"/>
      <c r="AD327" s="392"/>
      <c r="AE327" s="392"/>
      <c r="AF327" s="392"/>
    </row>
    <row r="328" ht="15.75" customHeight="1">
      <c r="A328" s="216"/>
      <c r="B328" s="156"/>
      <c r="C328" s="156"/>
      <c r="D328" s="156"/>
      <c r="E328" s="392"/>
      <c r="F328" s="392"/>
      <c r="G328" s="392"/>
      <c r="H328" s="392"/>
      <c r="I328" s="392"/>
      <c r="J328" s="392"/>
      <c r="K328" s="392"/>
      <c r="L328" s="392"/>
      <c r="M328" s="392"/>
      <c r="N328" s="392"/>
      <c r="O328" s="392"/>
      <c r="P328" s="392"/>
      <c r="Q328" s="392"/>
      <c r="R328" s="392"/>
      <c r="S328" s="392"/>
      <c r="T328" s="392"/>
      <c r="U328" s="392"/>
      <c r="V328" s="392"/>
      <c r="W328" s="392"/>
      <c r="X328" s="392"/>
      <c r="Y328" s="392"/>
      <c r="Z328" s="392"/>
      <c r="AA328" s="392"/>
      <c r="AB328" s="392"/>
      <c r="AC328" s="392"/>
      <c r="AD328" s="392"/>
      <c r="AE328" s="392"/>
      <c r="AF328" s="392"/>
    </row>
    <row r="329" ht="15.75" customHeight="1">
      <c r="A329" s="216"/>
      <c r="B329" s="156"/>
      <c r="C329" s="156"/>
      <c r="D329" s="156"/>
      <c r="E329" s="392"/>
      <c r="F329" s="392"/>
      <c r="G329" s="392"/>
      <c r="H329" s="392"/>
      <c r="I329" s="392"/>
      <c r="J329" s="392"/>
      <c r="K329" s="392"/>
      <c r="L329" s="392"/>
      <c r="M329" s="392"/>
      <c r="N329" s="392"/>
      <c r="O329" s="392"/>
      <c r="P329" s="392"/>
      <c r="Q329" s="392"/>
      <c r="R329" s="392"/>
      <c r="S329" s="392"/>
      <c r="T329" s="392"/>
      <c r="U329" s="392"/>
      <c r="V329" s="392"/>
      <c r="W329" s="392"/>
      <c r="X329" s="392"/>
      <c r="Y329" s="392"/>
      <c r="Z329" s="392"/>
      <c r="AA329" s="392"/>
      <c r="AB329" s="392"/>
      <c r="AC329" s="392"/>
      <c r="AD329" s="392"/>
      <c r="AE329" s="392"/>
      <c r="AF329" s="392"/>
    </row>
    <row r="330" ht="15.75" customHeight="1">
      <c r="A330" s="216"/>
      <c r="B330" s="156"/>
      <c r="C330" s="156"/>
      <c r="D330" s="156"/>
      <c r="E330" s="392"/>
      <c r="F330" s="392"/>
      <c r="G330" s="392"/>
      <c r="H330" s="392"/>
      <c r="I330" s="392"/>
      <c r="J330" s="392"/>
      <c r="K330" s="392"/>
      <c r="L330" s="392"/>
      <c r="M330" s="392"/>
      <c r="N330" s="392"/>
      <c r="O330" s="392"/>
      <c r="P330" s="392"/>
      <c r="Q330" s="392"/>
      <c r="R330" s="392"/>
      <c r="S330" s="392"/>
      <c r="T330" s="392"/>
      <c r="U330" s="392"/>
      <c r="V330" s="392"/>
      <c r="W330" s="392"/>
      <c r="X330" s="392"/>
      <c r="Y330" s="392"/>
      <c r="Z330" s="392"/>
      <c r="AA330" s="392"/>
      <c r="AB330" s="392"/>
      <c r="AC330" s="392"/>
      <c r="AD330" s="392"/>
      <c r="AE330" s="392"/>
      <c r="AF330" s="392"/>
    </row>
    <row r="331" ht="15.75" customHeight="1">
      <c r="A331" s="216"/>
      <c r="B331" s="156"/>
      <c r="C331" s="156"/>
      <c r="D331" s="156"/>
      <c r="E331" s="392"/>
      <c r="F331" s="392"/>
      <c r="G331" s="392"/>
      <c r="H331" s="392"/>
      <c r="I331" s="392"/>
      <c r="J331" s="392"/>
      <c r="K331" s="392"/>
      <c r="L331" s="392"/>
      <c r="M331" s="392"/>
      <c r="N331" s="392"/>
      <c r="O331" s="392"/>
      <c r="P331" s="392"/>
      <c r="Q331" s="392"/>
      <c r="R331" s="392"/>
      <c r="S331" s="392"/>
      <c r="T331" s="392"/>
      <c r="U331" s="392"/>
      <c r="V331" s="392"/>
      <c r="W331" s="392"/>
      <c r="X331" s="392"/>
      <c r="Y331" s="392"/>
      <c r="Z331" s="392"/>
      <c r="AA331" s="392"/>
      <c r="AB331" s="392"/>
      <c r="AC331" s="392"/>
      <c r="AD331" s="392"/>
      <c r="AE331" s="392"/>
      <c r="AF331" s="392"/>
    </row>
    <row r="332" ht="15.75" customHeight="1">
      <c r="A332" s="216"/>
      <c r="B332" s="156"/>
      <c r="C332" s="156"/>
      <c r="D332" s="156"/>
      <c r="E332" s="392"/>
      <c r="F332" s="392"/>
      <c r="G332" s="392"/>
      <c r="H332" s="392"/>
      <c r="I332" s="392"/>
      <c r="J332" s="392"/>
      <c r="K332" s="392"/>
      <c r="L332" s="392"/>
      <c r="M332" s="392"/>
      <c r="N332" s="392"/>
      <c r="O332" s="392"/>
      <c r="P332" s="392"/>
      <c r="Q332" s="392"/>
      <c r="R332" s="392"/>
      <c r="S332" s="392"/>
      <c r="T332" s="392"/>
      <c r="U332" s="392"/>
      <c r="V332" s="392"/>
      <c r="W332" s="392"/>
      <c r="X332" s="392"/>
      <c r="Y332" s="392"/>
      <c r="Z332" s="392"/>
      <c r="AA332" s="392"/>
      <c r="AB332" s="392"/>
      <c r="AC332" s="392"/>
      <c r="AD332" s="392"/>
      <c r="AE332" s="392"/>
      <c r="AF332" s="392"/>
    </row>
    <row r="333" ht="15.75" customHeight="1">
      <c r="A333" s="216"/>
      <c r="B333" s="156"/>
      <c r="C333" s="156"/>
      <c r="D333" s="156"/>
      <c r="E333" s="392"/>
      <c r="F333" s="392"/>
      <c r="G333" s="392"/>
      <c r="H333" s="392"/>
      <c r="I333" s="392"/>
      <c r="J333" s="392"/>
      <c r="K333" s="392"/>
      <c r="L333" s="392"/>
      <c r="M333" s="392"/>
      <c r="N333" s="392"/>
      <c r="O333" s="392"/>
      <c r="P333" s="392"/>
      <c r="Q333" s="392"/>
      <c r="R333" s="392"/>
      <c r="S333" s="392"/>
      <c r="T333" s="392"/>
      <c r="U333" s="392"/>
      <c r="V333" s="392"/>
      <c r="W333" s="392"/>
      <c r="X333" s="392"/>
      <c r="Y333" s="392"/>
      <c r="Z333" s="392"/>
      <c r="AA333" s="392"/>
      <c r="AB333" s="392"/>
      <c r="AC333" s="392"/>
      <c r="AD333" s="392"/>
      <c r="AE333" s="392"/>
      <c r="AF333" s="392"/>
    </row>
    <row r="334" ht="15.75" customHeight="1">
      <c r="A334" s="216"/>
      <c r="B334" s="156"/>
      <c r="C334" s="156"/>
      <c r="D334" s="156"/>
      <c r="E334" s="392"/>
      <c r="F334" s="392"/>
      <c r="G334" s="392"/>
      <c r="H334" s="392"/>
      <c r="I334" s="392"/>
      <c r="J334" s="392"/>
      <c r="K334" s="392"/>
      <c r="L334" s="392"/>
      <c r="M334" s="392"/>
      <c r="N334" s="392"/>
      <c r="O334" s="392"/>
      <c r="P334" s="392"/>
      <c r="Q334" s="392"/>
      <c r="R334" s="392"/>
      <c r="S334" s="392"/>
      <c r="T334" s="392"/>
      <c r="U334" s="392"/>
      <c r="V334" s="392"/>
      <c r="W334" s="392"/>
      <c r="X334" s="392"/>
      <c r="Y334" s="392"/>
      <c r="Z334" s="392"/>
      <c r="AA334" s="392"/>
      <c r="AB334" s="392"/>
      <c r="AC334" s="392"/>
      <c r="AD334" s="392"/>
      <c r="AE334" s="392"/>
      <c r="AF334" s="392"/>
    </row>
    <row r="335" ht="15.75" customHeight="1">
      <c r="A335" s="216"/>
      <c r="B335" s="156"/>
      <c r="C335" s="156"/>
      <c r="D335" s="156"/>
      <c r="E335" s="392"/>
      <c r="F335" s="392"/>
      <c r="G335" s="392"/>
      <c r="H335" s="392"/>
      <c r="I335" s="392"/>
      <c r="J335" s="392"/>
      <c r="K335" s="392"/>
      <c r="L335" s="392"/>
      <c r="M335" s="392"/>
      <c r="N335" s="392"/>
      <c r="O335" s="392"/>
      <c r="P335" s="392"/>
      <c r="Q335" s="392"/>
      <c r="R335" s="392"/>
      <c r="S335" s="392"/>
      <c r="T335" s="392"/>
      <c r="U335" s="392"/>
      <c r="V335" s="392"/>
      <c r="W335" s="392"/>
      <c r="X335" s="392"/>
      <c r="Y335" s="392"/>
      <c r="Z335" s="392"/>
      <c r="AA335" s="392"/>
      <c r="AB335" s="392"/>
      <c r="AC335" s="392"/>
      <c r="AD335" s="392"/>
      <c r="AE335" s="392"/>
      <c r="AF335" s="392"/>
    </row>
    <row r="336" ht="15.75" customHeight="1">
      <c r="A336" s="216"/>
      <c r="B336" s="156"/>
      <c r="C336" s="156"/>
      <c r="D336" s="156"/>
      <c r="E336" s="392"/>
      <c r="F336" s="392"/>
      <c r="G336" s="392"/>
      <c r="H336" s="392"/>
      <c r="I336" s="392"/>
      <c r="J336" s="392"/>
      <c r="K336" s="392"/>
      <c r="L336" s="392"/>
      <c r="M336" s="392"/>
      <c r="N336" s="392"/>
      <c r="O336" s="392"/>
      <c r="P336" s="392"/>
      <c r="Q336" s="392"/>
      <c r="R336" s="392"/>
      <c r="S336" s="392"/>
      <c r="T336" s="392"/>
      <c r="U336" s="392"/>
      <c r="V336" s="392"/>
      <c r="W336" s="392"/>
      <c r="X336" s="392"/>
      <c r="Y336" s="392"/>
      <c r="Z336" s="392"/>
      <c r="AA336" s="392"/>
      <c r="AB336" s="392"/>
      <c r="AC336" s="392"/>
      <c r="AD336" s="392"/>
      <c r="AE336" s="392"/>
      <c r="AF336" s="392"/>
    </row>
    <row r="337" ht="15.75" customHeight="1">
      <c r="A337" s="216"/>
      <c r="B337" s="156"/>
      <c r="C337" s="156"/>
      <c r="D337" s="156"/>
      <c r="E337" s="392"/>
      <c r="F337" s="392"/>
      <c r="G337" s="392"/>
      <c r="H337" s="392"/>
      <c r="I337" s="392"/>
      <c r="J337" s="392"/>
      <c r="K337" s="392"/>
      <c r="L337" s="392"/>
      <c r="M337" s="392"/>
      <c r="N337" s="392"/>
      <c r="O337" s="392"/>
      <c r="P337" s="392"/>
      <c r="Q337" s="392"/>
      <c r="R337" s="392"/>
      <c r="S337" s="392"/>
      <c r="T337" s="392"/>
      <c r="U337" s="392"/>
      <c r="V337" s="392"/>
      <c r="W337" s="392"/>
      <c r="X337" s="392"/>
      <c r="Y337" s="392"/>
      <c r="Z337" s="392"/>
      <c r="AA337" s="392"/>
      <c r="AB337" s="392"/>
      <c r="AC337" s="392"/>
      <c r="AD337" s="392"/>
      <c r="AE337" s="392"/>
      <c r="AF337" s="392"/>
    </row>
    <row r="338" ht="15.75" customHeight="1">
      <c r="A338" s="216"/>
      <c r="B338" s="156"/>
      <c r="C338" s="156"/>
      <c r="D338" s="156"/>
      <c r="E338" s="392"/>
      <c r="F338" s="392"/>
      <c r="G338" s="392"/>
      <c r="H338" s="392"/>
      <c r="I338" s="392"/>
      <c r="J338" s="392"/>
      <c r="K338" s="392"/>
      <c r="L338" s="392"/>
      <c r="M338" s="392"/>
      <c r="N338" s="392"/>
      <c r="O338" s="392"/>
      <c r="P338" s="392"/>
      <c r="Q338" s="392"/>
      <c r="R338" s="392"/>
      <c r="S338" s="392"/>
      <c r="T338" s="392"/>
      <c r="U338" s="392"/>
      <c r="V338" s="392"/>
      <c r="W338" s="392"/>
      <c r="X338" s="392"/>
      <c r="Y338" s="392"/>
      <c r="Z338" s="392"/>
      <c r="AA338" s="392"/>
      <c r="AB338" s="392"/>
      <c r="AC338" s="392"/>
      <c r="AD338" s="392"/>
      <c r="AE338" s="392"/>
      <c r="AF338" s="392"/>
    </row>
    <row r="339" ht="15.75" customHeight="1">
      <c r="A339" s="216"/>
      <c r="B339" s="156"/>
      <c r="C339" s="156"/>
      <c r="D339" s="156"/>
      <c r="E339" s="392"/>
      <c r="F339" s="392"/>
      <c r="G339" s="392"/>
      <c r="H339" s="392"/>
      <c r="I339" s="392"/>
      <c r="J339" s="392"/>
      <c r="K339" s="392"/>
      <c r="L339" s="392"/>
      <c r="M339" s="392"/>
      <c r="N339" s="392"/>
      <c r="O339" s="392"/>
      <c r="P339" s="392"/>
      <c r="Q339" s="392"/>
      <c r="R339" s="392"/>
      <c r="S339" s="392"/>
      <c r="T339" s="392"/>
      <c r="U339" s="392"/>
      <c r="V339" s="392"/>
      <c r="W339" s="392"/>
      <c r="X339" s="392"/>
      <c r="Y339" s="392"/>
      <c r="Z339" s="392"/>
      <c r="AA339" s="392"/>
      <c r="AB339" s="392"/>
      <c r="AC339" s="392"/>
      <c r="AD339" s="392"/>
      <c r="AE339" s="392"/>
      <c r="AF339" s="392"/>
    </row>
    <row r="340" ht="15.75" customHeight="1">
      <c r="A340" s="216"/>
      <c r="B340" s="156"/>
      <c r="C340" s="156"/>
      <c r="D340" s="156"/>
      <c r="E340" s="392"/>
      <c r="F340" s="392"/>
      <c r="G340" s="392"/>
      <c r="H340" s="392"/>
      <c r="I340" s="392"/>
      <c r="J340" s="392"/>
      <c r="K340" s="392"/>
      <c r="L340" s="392"/>
      <c r="M340" s="392"/>
      <c r="N340" s="392"/>
      <c r="O340" s="392"/>
      <c r="P340" s="392"/>
      <c r="Q340" s="392"/>
      <c r="R340" s="392"/>
      <c r="S340" s="392"/>
      <c r="T340" s="392"/>
      <c r="U340" s="392"/>
      <c r="V340" s="392"/>
      <c r="W340" s="392"/>
      <c r="X340" s="392"/>
      <c r="Y340" s="392"/>
      <c r="Z340" s="392"/>
      <c r="AA340" s="392"/>
      <c r="AB340" s="392"/>
      <c r="AC340" s="392"/>
      <c r="AD340" s="392"/>
      <c r="AE340" s="392"/>
      <c r="AF340" s="392"/>
    </row>
    <row r="341" ht="15.75" customHeight="1">
      <c r="A341" s="216"/>
      <c r="B341" s="156"/>
      <c r="C341" s="156"/>
      <c r="D341" s="156"/>
      <c r="E341" s="392"/>
      <c r="F341" s="392"/>
      <c r="G341" s="392"/>
      <c r="H341" s="392"/>
      <c r="I341" s="392"/>
      <c r="J341" s="392"/>
      <c r="K341" s="392"/>
      <c r="L341" s="392"/>
      <c r="M341" s="392"/>
      <c r="N341" s="392"/>
      <c r="O341" s="392"/>
      <c r="P341" s="392"/>
      <c r="Q341" s="392"/>
      <c r="R341" s="392"/>
      <c r="S341" s="392"/>
      <c r="T341" s="392"/>
      <c r="U341" s="392"/>
      <c r="V341" s="392"/>
      <c r="W341" s="392"/>
      <c r="X341" s="392"/>
      <c r="Y341" s="392"/>
      <c r="Z341" s="392"/>
      <c r="AA341" s="392"/>
      <c r="AB341" s="392"/>
      <c r="AC341" s="392"/>
      <c r="AD341" s="392"/>
      <c r="AE341" s="392"/>
      <c r="AF341" s="392"/>
    </row>
    <row r="342" ht="15.75" customHeight="1">
      <c r="A342" s="216"/>
      <c r="B342" s="156"/>
      <c r="C342" s="156"/>
      <c r="D342" s="156"/>
      <c r="E342" s="392"/>
      <c r="F342" s="392"/>
      <c r="G342" s="392"/>
      <c r="H342" s="392"/>
      <c r="I342" s="392"/>
      <c r="J342" s="392"/>
      <c r="K342" s="392"/>
      <c r="L342" s="392"/>
      <c r="M342" s="392"/>
      <c r="N342" s="392"/>
      <c r="O342" s="392"/>
      <c r="P342" s="392"/>
      <c r="Q342" s="392"/>
      <c r="R342" s="392"/>
      <c r="S342" s="392"/>
      <c r="T342" s="392"/>
      <c r="U342" s="392"/>
      <c r="V342" s="392"/>
      <c r="W342" s="392"/>
      <c r="X342" s="392"/>
      <c r="Y342" s="392"/>
      <c r="Z342" s="392"/>
      <c r="AA342" s="392"/>
      <c r="AB342" s="392"/>
      <c r="AC342" s="392"/>
      <c r="AD342" s="392"/>
      <c r="AE342" s="392"/>
      <c r="AF342" s="392"/>
    </row>
    <row r="343" ht="15.75" customHeight="1">
      <c r="A343" s="216"/>
      <c r="B343" s="156"/>
      <c r="C343" s="156"/>
      <c r="D343" s="156"/>
      <c r="E343" s="392"/>
      <c r="F343" s="392"/>
      <c r="G343" s="392"/>
      <c r="H343" s="392"/>
      <c r="I343" s="392"/>
      <c r="J343" s="392"/>
      <c r="K343" s="392"/>
      <c r="L343" s="392"/>
      <c r="M343" s="392"/>
      <c r="N343" s="392"/>
      <c r="O343" s="392"/>
      <c r="P343" s="392"/>
      <c r="Q343" s="392"/>
      <c r="R343" s="392"/>
      <c r="S343" s="392"/>
      <c r="T343" s="392"/>
      <c r="U343" s="392"/>
      <c r="V343" s="392"/>
      <c r="W343" s="392"/>
      <c r="X343" s="392"/>
      <c r="Y343" s="392"/>
      <c r="Z343" s="392"/>
      <c r="AA343" s="392"/>
      <c r="AB343" s="392"/>
      <c r="AC343" s="392"/>
      <c r="AD343" s="392"/>
      <c r="AE343" s="392"/>
      <c r="AF343" s="392"/>
    </row>
    <row r="344" ht="15.75" customHeight="1">
      <c r="A344" s="216"/>
      <c r="B344" s="156"/>
      <c r="C344" s="156"/>
      <c r="D344" s="156"/>
      <c r="E344" s="392"/>
      <c r="F344" s="392"/>
      <c r="G344" s="392"/>
      <c r="H344" s="392"/>
      <c r="I344" s="392"/>
      <c r="J344" s="392"/>
      <c r="K344" s="392"/>
      <c r="L344" s="392"/>
      <c r="M344" s="392"/>
      <c r="N344" s="392"/>
      <c r="O344" s="392"/>
      <c r="P344" s="392"/>
      <c r="Q344" s="392"/>
      <c r="R344" s="392"/>
      <c r="S344" s="392"/>
      <c r="T344" s="392"/>
      <c r="U344" s="392"/>
      <c r="V344" s="392"/>
      <c r="W344" s="392"/>
      <c r="X344" s="392"/>
      <c r="Y344" s="392"/>
      <c r="Z344" s="392"/>
      <c r="AA344" s="392"/>
      <c r="AB344" s="392"/>
      <c r="AC344" s="392"/>
      <c r="AD344" s="392"/>
      <c r="AE344" s="392"/>
      <c r="AF344" s="392"/>
    </row>
    <row r="345" ht="15.75" customHeight="1">
      <c r="A345" s="216"/>
      <c r="B345" s="156"/>
      <c r="C345" s="156"/>
      <c r="D345" s="156"/>
      <c r="E345" s="392"/>
      <c r="F345" s="392"/>
      <c r="G345" s="392"/>
      <c r="H345" s="392"/>
      <c r="I345" s="392"/>
      <c r="J345" s="392"/>
      <c r="K345" s="392"/>
      <c r="L345" s="392"/>
      <c r="M345" s="392"/>
      <c r="N345" s="392"/>
      <c r="O345" s="392"/>
      <c r="P345" s="392"/>
      <c r="Q345" s="392"/>
      <c r="R345" s="392"/>
      <c r="S345" s="392"/>
      <c r="T345" s="392"/>
      <c r="U345" s="392"/>
      <c r="V345" s="392"/>
      <c r="W345" s="392"/>
      <c r="X345" s="392"/>
      <c r="Y345" s="392"/>
      <c r="Z345" s="392"/>
      <c r="AA345" s="392"/>
      <c r="AB345" s="392"/>
      <c r="AC345" s="392"/>
      <c r="AD345" s="392"/>
      <c r="AE345" s="392"/>
      <c r="AF345" s="392"/>
    </row>
    <row r="346" ht="15.75" customHeight="1">
      <c r="A346" s="216"/>
      <c r="B346" s="156"/>
      <c r="C346" s="156"/>
      <c r="D346" s="156"/>
      <c r="E346" s="392"/>
      <c r="F346" s="392"/>
      <c r="G346" s="392"/>
      <c r="H346" s="392"/>
      <c r="I346" s="392"/>
      <c r="J346" s="392"/>
      <c r="K346" s="392"/>
      <c r="L346" s="392"/>
      <c r="M346" s="392"/>
      <c r="N346" s="392"/>
      <c r="O346" s="392"/>
      <c r="P346" s="392"/>
      <c r="Q346" s="392"/>
      <c r="R346" s="392"/>
      <c r="S346" s="392"/>
      <c r="T346" s="392"/>
      <c r="U346" s="392"/>
      <c r="V346" s="392"/>
      <c r="W346" s="392"/>
      <c r="X346" s="392"/>
      <c r="Y346" s="392"/>
      <c r="Z346" s="392"/>
      <c r="AA346" s="392"/>
      <c r="AB346" s="392"/>
      <c r="AC346" s="392"/>
      <c r="AD346" s="392"/>
      <c r="AE346" s="392"/>
      <c r="AF346" s="392"/>
    </row>
    <row r="347" ht="15.75" customHeight="1">
      <c r="A347" s="216"/>
      <c r="B347" s="156"/>
      <c r="C347" s="156"/>
      <c r="D347" s="156"/>
      <c r="E347" s="392"/>
      <c r="F347" s="392"/>
      <c r="G347" s="392"/>
      <c r="H347" s="392"/>
      <c r="I347" s="392"/>
      <c r="J347" s="392"/>
      <c r="K347" s="392"/>
      <c r="L347" s="392"/>
      <c r="M347" s="392"/>
      <c r="N347" s="392"/>
      <c r="O347" s="392"/>
      <c r="P347" s="392"/>
      <c r="Q347" s="392"/>
      <c r="R347" s="392"/>
      <c r="S347" s="392"/>
      <c r="T347" s="392"/>
      <c r="U347" s="392"/>
      <c r="V347" s="392"/>
      <c r="W347" s="392"/>
      <c r="X347" s="392"/>
      <c r="Y347" s="392"/>
      <c r="Z347" s="392"/>
      <c r="AA347" s="392"/>
      <c r="AB347" s="392"/>
      <c r="AC347" s="392"/>
      <c r="AD347" s="392"/>
      <c r="AE347" s="392"/>
      <c r="AF347" s="392"/>
    </row>
    <row r="348" ht="15.75" customHeight="1">
      <c r="A348" s="216"/>
      <c r="B348" s="156"/>
      <c r="C348" s="156"/>
      <c r="D348" s="156"/>
      <c r="E348" s="392"/>
      <c r="F348" s="392"/>
      <c r="G348" s="392"/>
      <c r="H348" s="392"/>
      <c r="I348" s="392"/>
      <c r="J348" s="392"/>
      <c r="K348" s="392"/>
      <c r="L348" s="392"/>
      <c r="M348" s="392"/>
      <c r="N348" s="392"/>
      <c r="O348" s="392"/>
      <c r="P348" s="392"/>
      <c r="Q348" s="392"/>
      <c r="R348" s="392"/>
      <c r="S348" s="392"/>
      <c r="T348" s="392"/>
      <c r="U348" s="392"/>
      <c r="V348" s="392"/>
      <c r="W348" s="392"/>
      <c r="X348" s="392"/>
      <c r="Y348" s="392"/>
      <c r="Z348" s="392"/>
      <c r="AA348" s="392"/>
      <c r="AB348" s="392"/>
      <c r="AC348" s="392"/>
      <c r="AD348" s="392"/>
      <c r="AE348" s="392"/>
      <c r="AF348" s="392"/>
    </row>
    <row r="349" ht="15.75" customHeight="1">
      <c r="A349" s="216"/>
      <c r="B349" s="156"/>
      <c r="C349" s="156"/>
      <c r="D349" s="156"/>
      <c r="E349" s="392"/>
      <c r="F349" s="392"/>
      <c r="G349" s="392"/>
      <c r="H349" s="392"/>
      <c r="I349" s="392"/>
      <c r="J349" s="392"/>
      <c r="K349" s="392"/>
      <c r="L349" s="392"/>
      <c r="M349" s="392"/>
      <c r="N349" s="392"/>
      <c r="O349" s="392"/>
      <c r="P349" s="392"/>
      <c r="Q349" s="392"/>
      <c r="R349" s="392"/>
      <c r="S349" s="392"/>
      <c r="T349" s="392"/>
      <c r="U349" s="392"/>
      <c r="V349" s="392"/>
      <c r="W349" s="392"/>
      <c r="X349" s="392"/>
      <c r="Y349" s="392"/>
      <c r="Z349" s="392"/>
      <c r="AA349" s="392"/>
      <c r="AB349" s="392"/>
      <c r="AC349" s="392"/>
      <c r="AD349" s="392"/>
      <c r="AE349" s="392"/>
      <c r="AF349" s="392"/>
    </row>
    <row r="350" ht="15.75" customHeight="1">
      <c r="A350" s="216"/>
      <c r="B350" s="156"/>
      <c r="C350" s="156"/>
      <c r="D350" s="156"/>
      <c r="E350" s="392"/>
      <c r="F350" s="392"/>
      <c r="G350" s="392"/>
      <c r="H350" s="392"/>
      <c r="I350" s="392"/>
      <c r="J350" s="392"/>
      <c r="K350" s="392"/>
      <c r="L350" s="392"/>
      <c r="M350" s="392"/>
      <c r="N350" s="392"/>
      <c r="O350" s="392"/>
      <c r="P350" s="392"/>
      <c r="Q350" s="392"/>
      <c r="R350" s="392"/>
      <c r="S350" s="392"/>
      <c r="T350" s="392"/>
      <c r="U350" s="392"/>
      <c r="V350" s="392"/>
      <c r="W350" s="392"/>
      <c r="X350" s="392"/>
      <c r="Y350" s="392"/>
      <c r="Z350" s="392"/>
      <c r="AA350" s="392"/>
      <c r="AB350" s="392"/>
      <c r="AC350" s="392"/>
      <c r="AD350" s="392"/>
      <c r="AE350" s="392"/>
      <c r="AF350" s="392"/>
    </row>
    <row r="351" ht="15.75" customHeight="1">
      <c r="A351" s="216"/>
      <c r="B351" s="156"/>
      <c r="C351" s="156"/>
      <c r="D351" s="156"/>
      <c r="E351" s="392"/>
      <c r="F351" s="392"/>
      <c r="G351" s="392"/>
      <c r="H351" s="392"/>
      <c r="I351" s="392"/>
      <c r="J351" s="392"/>
      <c r="K351" s="392"/>
      <c r="L351" s="392"/>
      <c r="M351" s="392"/>
      <c r="N351" s="392"/>
      <c r="O351" s="392"/>
      <c r="P351" s="392"/>
      <c r="Q351" s="392"/>
      <c r="R351" s="392"/>
      <c r="S351" s="392"/>
      <c r="T351" s="392"/>
      <c r="U351" s="392"/>
      <c r="V351" s="392"/>
      <c r="W351" s="392"/>
      <c r="X351" s="392"/>
      <c r="Y351" s="392"/>
      <c r="Z351" s="392"/>
      <c r="AA351" s="392"/>
      <c r="AB351" s="392"/>
      <c r="AC351" s="392"/>
      <c r="AD351" s="392"/>
      <c r="AE351" s="392"/>
      <c r="AF351" s="392"/>
    </row>
    <row r="352" ht="15.75" customHeight="1">
      <c r="A352" s="216"/>
      <c r="B352" s="156"/>
      <c r="C352" s="156"/>
      <c r="D352" s="156"/>
      <c r="E352" s="392"/>
      <c r="F352" s="392"/>
      <c r="G352" s="392"/>
      <c r="H352" s="392"/>
      <c r="I352" s="392"/>
      <c r="J352" s="392"/>
      <c r="K352" s="392"/>
      <c r="L352" s="392"/>
      <c r="M352" s="392"/>
      <c r="N352" s="392"/>
      <c r="O352" s="392"/>
      <c r="P352" s="392"/>
      <c r="Q352" s="392"/>
      <c r="R352" s="392"/>
      <c r="S352" s="392"/>
      <c r="T352" s="392"/>
      <c r="U352" s="392"/>
      <c r="V352" s="392"/>
      <c r="W352" s="392"/>
      <c r="X352" s="392"/>
      <c r="Y352" s="392"/>
      <c r="Z352" s="392"/>
      <c r="AA352" s="392"/>
      <c r="AB352" s="392"/>
      <c r="AC352" s="392"/>
      <c r="AD352" s="392"/>
      <c r="AE352" s="392"/>
      <c r="AF352" s="392"/>
    </row>
    <row r="353" ht="15.75" customHeight="1">
      <c r="A353" s="216"/>
      <c r="B353" s="156"/>
      <c r="C353" s="156"/>
      <c r="D353" s="156"/>
      <c r="E353" s="392"/>
      <c r="F353" s="392"/>
      <c r="G353" s="392"/>
      <c r="H353" s="392"/>
      <c r="I353" s="392"/>
      <c r="J353" s="392"/>
      <c r="K353" s="392"/>
      <c r="L353" s="392"/>
      <c r="M353" s="392"/>
      <c r="N353" s="392"/>
      <c r="O353" s="392"/>
      <c r="P353" s="392"/>
      <c r="Q353" s="392"/>
      <c r="R353" s="392"/>
      <c r="S353" s="392"/>
      <c r="T353" s="392"/>
      <c r="U353" s="392"/>
      <c r="V353" s="392"/>
      <c r="W353" s="392"/>
      <c r="X353" s="392"/>
      <c r="Y353" s="392"/>
      <c r="Z353" s="392"/>
      <c r="AA353" s="392"/>
      <c r="AB353" s="392"/>
      <c r="AC353" s="392"/>
      <c r="AD353" s="392"/>
      <c r="AE353" s="392"/>
      <c r="AF353" s="392"/>
    </row>
    <row r="354" ht="15.75" customHeight="1">
      <c r="A354" s="216"/>
      <c r="B354" s="156"/>
      <c r="C354" s="156"/>
      <c r="D354" s="156"/>
      <c r="E354" s="392"/>
      <c r="F354" s="392"/>
      <c r="G354" s="392"/>
      <c r="H354" s="392"/>
      <c r="I354" s="392"/>
      <c r="J354" s="392"/>
      <c r="K354" s="392"/>
      <c r="L354" s="392"/>
      <c r="M354" s="392"/>
      <c r="N354" s="392"/>
      <c r="O354" s="392"/>
      <c r="P354" s="392"/>
      <c r="Q354" s="392"/>
      <c r="R354" s="392"/>
      <c r="S354" s="392"/>
      <c r="T354" s="392"/>
      <c r="U354" s="392"/>
      <c r="V354" s="392"/>
      <c r="W354" s="392"/>
      <c r="X354" s="392"/>
      <c r="Y354" s="392"/>
      <c r="Z354" s="392"/>
      <c r="AA354" s="392"/>
      <c r="AB354" s="392"/>
      <c r="AC354" s="392"/>
      <c r="AD354" s="392"/>
      <c r="AE354" s="392"/>
      <c r="AF354" s="392"/>
    </row>
    <row r="355" ht="15.75" customHeight="1">
      <c r="A355" s="216"/>
      <c r="B355" s="156"/>
      <c r="C355" s="156"/>
      <c r="D355" s="156"/>
      <c r="E355" s="392"/>
      <c r="F355" s="392"/>
      <c r="G355" s="392"/>
      <c r="H355" s="392"/>
      <c r="I355" s="392"/>
      <c r="J355" s="392"/>
      <c r="K355" s="392"/>
      <c r="L355" s="392"/>
      <c r="M355" s="392"/>
      <c r="N355" s="392"/>
      <c r="O355" s="392"/>
      <c r="P355" s="392"/>
      <c r="Q355" s="392"/>
      <c r="R355" s="392"/>
      <c r="S355" s="392"/>
      <c r="T355" s="392"/>
      <c r="U355" s="392"/>
      <c r="V355" s="392"/>
      <c r="W355" s="392"/>
      <c r="X355" s="392"/>
      <c r="Y355" s="392"/>
      <c r="Z355" s="392"/>
      <c r="AA355" s="392"/>
      <c r="AB355" s="392"/>
      <c r="AC355" s="392"/>
      <c r="AD355" s="392"/>
      <c r="AE355" s="392"/>
      <c r="AF355" s="392"/>
    </row>
    <row r="356" ht="15.75" customHeight="1">
      <c r="A356" s="216"/>
      <c r="B356" s="156"/>
      <c r="C356" s="156"/>
      <c r="D356" s="156"/>
      <c r="E356" s="392"/>
      <c r="F356" s="392"/>
      <c r="G356" s="392"/>
      <c r="H356" s="392"/>
      <c r="I356" s="392"/>
      <c r="J356" s="392"/>
      <c r="K356" s="392"/>
      <c r="L356" s="392"/>
      <c r="M356" s="392"/>
      <c r="N356" s="392"/>
      <c r="O356" s="392"/>
      <c r="P356" s="392"/>
      <c r="Q356" s="392"/>
      <c r="R356" s="392"/>
      <c r="S356" s="392"/>
      <c r="T356" s="392"/>
      <c r="U356" s="392"/>
      <c r="V356" s="392"/>
      <c r="W356" s="392"/>
      <c r="X356" s="392"/>
      <c r="Y356" s="392"/>
      <c r="Z356" s="392"/>
      <c r="AA356" s="392"/>
      <c r="AB356" s="392"/>
      <c r="AC356" s="392"/>
      <c r="AD356" s="392"/>
      <c r="AE356" s="392"/>
      <c r="AF356" s="392"/>
    </row>
    <row r="357" ht="15.75" customHeight="1">
      <c r="A357" s="216"/>
      <c r="B357" s="156"/>
      <c r="C357" s="156"/>
      <c r="D357" s="156"/>
      <c r="E357" s="392"/>
      <c r="F357" s="392"/>
      <c r="G357" s="392"/>
      <c r="H357" s="392"/>
      <c r="I357" s="392"/>
      <c r="J357" s="392"/>
      <c r="K357" s="392"/>
      <c r="L357" s="392"/>
      <c r="M357" s="392"/>
      <c r="N357" s="392"/>
      <c r="O357" s="392"/>
      <c r="P357" s="392"/>
      <c r="Q357" s="392"/>
      <c r="R357" s="392"/>
      <c r="S357" s="392"/>
      <c r="T357" s="392"/>
      <c r="U357" s="392"/>
      <c r="V357" s="392"/>
      <c r="W357" s="392"/>
      <c r="X357" s="392"/>
      <c r="Y357" s="392"/>
      <c r="Z357" s="392"/>
      <c r="AA357" s="392"/>
      <c r="AB357" s="392"/>
      <c r="AC357" s="392"/>
      <c r="AD357" s="392"/>
      <c r="AE357" s="392"/>
      <c r="AF357" s="392"/>
    </row>
    <row r="358" ht="15.75" customHeight="1">
      <c r="A358" s="216"/>
      <c r="B358" s="156"/>
      <c r="C358" s="156"/>
      <c r="D358" s="156"/>
      <c r="E358" s="392"/>
      <c r="F358" s="392"/>
      <c r="G358" s="392"/>
      <c r="H358" s="392"/>
      <c r="I358" s="392"/>
      <c r="J358" s="392"/>
      <c r="K358" s="392"/>
      <c r="L358" s="392"/>
      <c r="M358" s="392"/>
      <c r="N358" s="392"/>
      <c r="O358" s="392"/>
      <c r="P358" s="392"/>
      <c r="Q358" s="392"/>
      <c r="R358" s="392"/>
      <c r="S358" s="392"/>
      <c r="T358" s="392"/>
      <c r="U358" s="392"/>
      <c r="V358" s="392"/>
      <c r="W358" s="392"/>
      <c r="X358" s="392"/>
      <c r="Y358" s="392"/>
      <c r="Z358" s="392"/>
      <c r="AA358" s="392"/>
      <c r="AB358" s="392"/>
      <c r="AC358" s="392"/>
      <c r="AD358" s="392"/>
      <c r="AE358" s="392"/>
      <c r="AF358" s="392"/>
    </row>
    <row r="359" ht="15.75" customHeight="1">
      <c r="A359" s="216"/>
      <c r="B359" s="156"/>
      <c r="C359" s="156"/>
      <c r="D359" s="156"/>
      <c r="E359" s="392"/>
      <c r="F359" s="392"/>
      <c r="G359" s="392"/>
      <c r="H359" s="392"/>
      <c r="I359" s="392"/>
      <c r="J359" s="392"/>
      <c r="K359" s="392"/>
      <c r="L359" s="392"/>
      <c r="M359" s="392"/>
      <c r="N359" s="392"/>
      <c r="O359" s="392"/>
      <c r="P359" s="392"/>
      <c r="Q359" s="392"/>
      <c r="R359" s="392"/>
      <c r="S359" s="392"/>
      <c r="T359" s="392"/>
      <c r="U359" s="392"/>
      <c r="V359" s="392"/>
      <c r="W359" s="392"/>
      <c r="X359" s="392"/>
      <c r="Y359" s="392"/>
      <c r="Z359" s="392"/>
      <c r="AA359" s="392"/>
      <c r="AB359" s="392"/>
      <c r="AC359" s="392"/>
      <c r="AD359" s="392"/>
      <c r="AE359" s="392"/>
      <c r="AF359" s="392"/>
    </row>
    <row r="360" ht="15.75" customHeight="1">
      <c r="A360" s="216"/>
      <c r="B360" s="156"/>
      <c r="C360" s="156"/>
      <c r="D360" s="156"/>
      <c r="E360" s="392"/>
      <c r="F360" s="392"/>
      <c r="G360" s="392"/>
      <c r="H360" s="392"/>
      <c r="I360" s="392"/>
      <c r="J360" s="392"/>
      <c r="K360" s="392"/>
      <c r="L360" s="392"/>
      <c r="M360" s="392"/>
      <c r="N360" s="392"/>
      <c r="O360" s="392"/>
      <c r="P360" s="392"/>
      <c r="Q360" s="392"/>
      <c r="R360" s="392"/>
      <c r="S360" s="392"/>
      <c r="T360" s="392"/>
      <c r="U360" s="392"/>
      <c r="V360" s="392"/>
      <c r="W360" s="392"/>
      <c r="X360" s="392"/>
      <c r="Y360" s="392"/>
      <c r="Z360" s="392"/>
      <c r="AA360" s="392"/>
      <c r="AB360" s="392"/>
      <c r="AC360" s="392"/>
      <c r="AD360" s="392"/>
      <c r="AE360" s="392"/>
      <c r="AF360" s="392"/>
    </row>
    <row r="361" ht="15.75" customHeight="1">
      <c r="A361" s="216"/>
      <c r="B361" s="156"/>
      <c r="C361" s="156"/>
      <c r="D361" s="156"/>
      <c r="E361" s="392"/>
      <c r="F361" s="392"/>
      <c r="G361" s="392"/>
      <c r="H361" s="392"/>
      <c r="I361" s="392"/>
      <c r="J361" s="392"/>
      <c r="K361" s="392"/>
      <c r="L361" s="392"/>
      <c r="M361" s="392"/>
      <c r="N361" s="392"/>
      <c r="O361" s="392"/>
      <c r="P361" s="392"/>
      <c r="Q361" s="392"/>
      <c r="R361" s="392"/>
      <c r="S361" s="392"/>
      <c r="T361" s="392"/>
      <c r="U361" s="392"/>
      <c r="V361" s="392"/>
      <c r="W361" s="392"/>
      <c r="X361" s="392"/>
      <c r="Y361" s="392"/>
      <c r="Z361" s="392"/>
      <c r="AA361" s="392"/>
      <c r="AB361" s="392"/>
      <c r="AC361" s="392"/>
      <c r="AD361" s="392"/>
      <c r="AE361" s="392"/>
      <c r="AF361" s="392"/>
    </row>
    <row r="362" ht="15.75" customHeight="1">
      <c r="A362" s="216"/>
      <c r="B362" s="156"/>
      <c r="C362" s="156"/>
      <c r="D362" s="156"/>
      <c r="E362" s="392"/>
      <c r="F362" s="392"/>
      <c r="G362" s="392"/>
      <c r="H362" s="392"/>
      <c r="I362" s="392"/>
      <c r="J362" s="392"/>
      <c r="K362" s="392"/>
      <c r="L362" s="392"/>
      <c r="M362" s="392"/>
      <c r="N362" s="392"/>
      <c r="O362" s="392"/>
      <c r="P362" s="392"/>
      <c r="Q362" s="392"/>
      <c r="R362" s="392"/>
      <c r="S362" s="392"/>
      <c r="T362" s="392"/>
      <c r="U362" s="392"/>
      <c r="V362" s="392"/>
      <c r="W362" s="392"/>
      <c r="X362" s="392"/>
      <c r="Y362" s="392"/>
      <c r="Z362" s="392"/>
      <c r="AA362" s="392"/>
      <c r="AB362" s="392"/>
      <c r="AC362" s="392"/>
      <c r="AD362" s="392"/>
      <c r="AE362" s="392"/>
      <c r="AF362" s="392"/>
    </row>
    <row r="363" ht="15.75" customHeight="1">
      <c r="A363" s="216"/>
      <c r="B363" s="156"/>
      <c r="C363" s="156"/>
      <c r="D363" s="156"/>
      <c r="E363" s="392"/>
      <c r="F363" s="392"/>
      <c r="G363" s="392"/>
      <c r="H363" s="392"/>
      <c r="I363" s="392"/>
      <c r="J363" s="392"/>
      <c r="K363" s="392"/>
      <c r="L363" s="392"/>
      <c r="M363" s="392"/>
      <c r="N363" s="392"/>
      <c r="O363" s="392"/>
      <c r="P363" s="392"/>
      <c r="Q363" s="392"/>
      <c r="R363" s="392"/>
      <c r="S363" s="392"/>
      <c r="T363" s="392"/>
      <c r="U363" s="392"/>
      <c r="V363" s="392"/>
      <c r="W363" s="392"/>
      <c r="X363" s="392"/>
      <c r="Y363" s="392"/>
      <c r="Z363" s="392"/>
      <c r="AA363" s="392"/>
      <c r="AB363" s="392"/>
      <c r="AC363" s="392"/>
      <c r="AD363" s="392"/>
      <c r="AE363" s="392"/>
      <c r="AF363" s="392"/>
    </row>
    <row r="364" ht="15.75" customHeight="1">
      <c r="A364" s="216"/>
      <c r="B364" s="156"/>
      <c r="C364" s="156"/>
      <c r="D364" s="156"/>
      <c r="E364" s="392"/>
      <c r="F364" s="392"/>
      <c r="G364" s="392"/>
      <c r="H364" s="392"/>
      <c r="I364" s="392"/>
      <c r="J364" s="392"/>
      <c r="K364" s="392"/>
      <c r="L364" s="392"/>
      <c r="M364" s="392"/>
      <c r="N364" s="392"/>
      <c r="O364" s="392"/>
      <c r="P364" s="392"/>
      <c r="Q364" s="392"/>
      <c r="R364" s="392"/>
      <c r="S364" s="392"/>
      <c r="T364" s="392"/>
      <c r="U364" s="392"/>
      <c r="V364" s="392"/>
      <c r="W364" s="392"/>
      <c r="X364" s="392"/>
      <c r="Y364" s="392"/>
      <c r="Z364" s="392"/>
      <c r="AA364" s="392"/>
      <c r="AB364" s="392"/>
      <c r="AC364" s="392"/>
      <c r="AD364" s="392"/>
      <c r="AE364" s="392"/>
      <c r="AF364" s="392"/>
    </row>
    <row r="365" ht="15.75" customHeight="1">
      <c r="A365" s="216"/>
      <c r="B365" s="156"/>
      <c r="C365" s="156"/>
      <c r="D365" s="156"/>
      <c r="E365" s="392"/>
      <c r="F365" s="392"/>
      <c r="G365" s="392"/>
      <c r="H365" s="392"/>
      <c r="I365" s="392"/>
      <c r="J365" s="392"/>
      <c r="K365" s="392"/>
      <c r="L365" s="392"/>
      <c r="M365" s="392"/>
      <c r="N365" s="392"/>
      <c r="O365" s="392"/>
      <c r="P365" s="392"/>
      <c r="Q365" s="392"/>
      <c r="R365" s="392"/>
      <c r="S365" s="392"/>
      <c r="T365" s="392"/>
      <c r="U365" s="392"/>
      <c r="V365" s="392"/>
      <c r="W365" s="392"/>
      <c r="X365" s="392"/>
      <c r="Y365" s="392"/>
      <c r="Z365" s="392"/>
      <c r="AA365" s="392"/>
      <c r="AB365" s="392"/>
      <c r="AC365" s="392"/>
      <c r="AD365" s="392"/>
      <c r="AE365" s="392"/>
      <c r="AF365" s="392"/>
    </row>
    <row r="366" ht="15.75" customHeight="1">
      <c r="A366" s="216"/>
      <c r="B366" s="156"/>
      <c r="C366" s="156"/>
      <c r="D366" s="156"/>
      <c r="E366" s="392"/>
      <c r="F366" s="392"/>
      <c r="G366" s="392"/>
      <c r="H366" s="392"/>
      <c r="I366" s="392"/>
      <c r="J366" s="392"/>
      <c r="K366" s="392"/>
      <c r="L366" s="392"/>
      <c r="M366" s="392"/>
      <c r="N366" s="392"/>
      <c r="O366" s="392"/>
      <c r="P366" s="392"/>
      <c r="Q366" s="392"/>
      <c r="R366" s="392"/>
      <c r="S366" s="392"/>
      <c r="T366" s="392"/>
      <c r="U366" s="392"/>
      <c r="V366" s="392"/>
      <c r="W366" s="392"/>
      <c r="X366" s="392"/>
      <c r="Y366" s="392"/>
      <c r="Z366" s="392"/>
      <c r="AA366" s="392"/>
      <c r="AB366" s="392"/>
      <c r="AC366" s="392"/>
      <c r="AD366" s="392"/>
      <c r="AE366" s="392"/>
      <c r="AF366" s="392"/>
    </row>
    <row r="367" ht="15.75" customHeight="1">
      <c r="A367" s="216"/>
      <c r="B367" s="156"/>
      <c r="C367" s="156"/>
      <c r="D367" s="156"/>
      <c r="E367" s="392"/>
      <c r="F367" s="392"/>
      <c r="G367" s="392"/>
      <c r="H367" s="392"/>
      <c r="I367" s="392"/>
      <c r="J367" s="392"/>
      <c r="K367" s="392"/>
      <c r="L367" s="392"/>
      <c r="M367" s="392"/>
      <c r="N367" s="392"/>
      <c r="O367" s="392"/>
      <c r="P367" s="392"/>
      <c r="Q367" s="392"/>
      <c r="R367" s="392"/>
      <c r="S367" s="392"/>
      <c r="T367" s="392"/>
      <c r="U367" s="392"/>
      <c r="V367" s="392"/>
      <c r="W367" s="392"/>
      <c r="X367" s="392"/>
      <c r="Y367" s="392"/>
      <c r="Z367" s="392"/>
      <c r="AA367" s="392"/>
      <c r="AB367" s="392"/>
      <c r="AC367" s="392"/>
      <c r="AD367" s="392"/>
      <c r="AE367" s="392"/>
      <c r="AF367" s="392"/>
    </row>
    <row r="368" ht="15.75" customHeight="1">
      <c r="A368" s="216"/>
      <c r="B368" s="156"/>
      <c r="C368" s="156"/>
      <c r="D368" s="156"/>
      <c r="E368" s="392"/>
      <c r="F368" s="392"/>
      <c r="G368" s="392"/>
      <c r="H368" s="392"/>
      <c r="I368" s="392"/>
      <c r="J368" s="392"/>
      <c r="K368" s="392"/>
      <c r="L368" s="392"/>
      <c r="M368" s="392"/>
      <c r="N368" s="392"/>
      <c r="O368" s="392"/>
      <c r="P368" s="392"/>
      <c r="Q368" s="392"/>
      <c r="R368" s="392"/>
      <c r="S368" s="392"/>
      <c r="T368" s="392"/>
      <c r="U368" s="392"/>
      <c r="V368" s="392"/>
      <c r="W368" s="392"/>
      <c r="X368" s="392"/>
      <c r="Y368" s="392"/>
      <c r="Z368" s="392"/>
      <c r="AA368" s="392"/>
      <c r="AB368" s="392"/>
      <c r="AC368" s="392"/>
      <c r="AD368" s="392"/>
      <c r="AE368" s="392"/>
      <c r="AF368" s="392"/>
    </row>
    <row r="369" ht="15.75" customHeight="1">
      <c r="A369" s="216"/>
      <c r="B369" s="156"/>
      <c r="C369" s="156"/>
      <c r="D369" s="156"/>
      <c r="E369" s="392"/>
      <c r="F369" s="392"/>
      <c r="G369" s="392"/>
      <c r="H369" s="392"/>
      <c r="I369" s="392"/>
      <c r="J369" s="392"/>
      <c r="K369" s="392"/>
      <c r="L369" s="392"/>
      <c r="M369" s="392"/>
      <c r="N369" s="392"/>
      <c r="O369" s="392"/>
      <c r="P369" s="392"/>
      <c r="Q369" s="392"/>
      <c r="R369" s="392"/>
      <c r="S369" s="392"/>
      <c r="T369" s="392"/>
      <c r="U369" s="392"/>
      <c r="V369" s="392"/>
      <c r="W369" s="392"/>
      <c r="X369" s="392"/>
      <c r="Y369" s="392"/>
      <c r="Z369" s="392"/>
      <c r="AA369" s="392"/>
      <c r="AB369" s="392"/>
      <c r="AC369" s="392"/>
      <c r="AD369" s="392"/>
      <c r="AE369" s="392"/>
      <c r="AF369" s="392"/>
    </row>
    <row r="370" ht="15.75" customHeight="1">
      <c r="A370" s="216"/>
      <c r="B370" s="156"/>
      <c r="C370" s="156"/>
      <c r="D370" s="156"/>
      <c r="E370" s="392"/>
      <c r="F370" s="392"/>
      <c r="G370" s="392"/>
      <c r="H370" s="392"/>
      <c r="I370" s="392"/>
      <c r="J370" s="392"/>
      <c r="K370" s="392"/>
      <c r="L370" s="392"/>
      <c r="M370" s="392"/>
      <c r="N370" s="392"/>
      <c r="O370" s="392"/>
      <c r="P370" s="392"/>
      <c r="Q370" s="392"/>
      <c r="R370" s="392"/>
      <c r="S370" s="392"/>
      <c r="T370" s="392"/>
      <c r="U370" s="392"/>
      <c r="V370" s="392"/>
      <c r="W370" s="392"/>
      <c r="X370" s="392"/>
      <c r="Y370" s="392"/>
      <c r="Z370" s="392"/>
      <c r="AA370" s="392"/>
      <c r="AB370" s="392"/>
      <c r="AC370" s="392"/>
      <c r="AD370" s="392"/>
      <c r="AE370" s="392"/>
      <c r="AF370" s="392"/>
    </row>
    <row r="371" ht="15.75" customHeight="1">
      <c r="A371" s="216"/>
      <c r="B371" s="156"/>
      <c r="C371" s="156"/>
      <c r="D371" s="156"/>
      <c r="E371" s="392"/>
      <c r="F371" s="392"/>
      <c r="G371" s="392"/>
      <c r="H371" s="392"/>
      <c r="I371" s="392"/>
      <c r="J371" s="392"/>
      <c r="K371" s="392"/>
      <c r="L371" s="392"/>
      <c r="M371" s="392"/>
      <c r="N371" s="392"/>
      <c r="O371" s="392"/>
      <c r="P371" s="392"/>
      <c r="Q371" s="392"/>
      <c r="R371" s="392"/>
      <c r="S371" s="392"/>
      <c r="T371" s="392"/>
      <c r="U371" s="392"/>
      <c r="V371" s="392"/>
      <c r="W371" s="392"/>
      <c r="X371" s="392"/>
      <c r="Y371" s="392"/>
      <c r="Z371" s="392"/>
      <c r="AA371" s="392"/>
      <c r="AB371" s="392"/>
      <c r="AC371" s="392"/>
      <c r="AD371" s="392"/>
      <c r="AE371" s="392"/>
      <c r="AF371" s="392"/>
    </row>
    <row r="372" ht="15.75" customHeight="1">
      <c r="A372" s="216"/>
      <c r="B372" s="156"/>
      <c r="C372" s="156"/>
      <c r="D372" s="156"/>
      <c r="E372" s="392"/>
      <c r="F372" s="392"/>
      <c r="G372" s="392"/>
      <c r="H372" s="392"/>
      <c r="I372" s="392"/>
      <c r="J372" s="392"/>
      <c r="K372" s="392"/>
      <c r="L372" s="392"/>
      <c r="M372" s="392"/>
      <c r="N372" s="392"/>
      <c r="O372" s="392"/>
      <c r="P372" s="392"/>
      <c r="Q372" s="392"/>
      <c r="R372" s="392"/>
      <c r="S372" s="392"/>
      <c r="T372" s="392"/>
      <c r="U372" s="392"/>
      <c r="V372" s="392"/>
      <c r="W372" s="392"/>
      <c r="X372" s="392"/>
      <c r="Y372" s="392"/>
      <c r="Z372" s="392"/>
      <c r="AA372" s="392"/>
      <c r="AB372" s="392"/>
      <c r="AC372" s="392"/>
      <c r="AD372" s="392"/>
      <c r="AE372" s="392"/>
      <c r="AF372" s="392"/>
    </row>
    <row r="373" ht="15.75" customHeight="1">
      <c r="A373" s="216"/>
      <c r="B373" s="156"/>
      <c r="C373" s="156"/>
      <c r="D373" s="156"/>
      <c r="E373" s="392"/>
      <c r="F373" s="392"/>
      <c r="G373" s="392"/>
      <c r="H373" s="392"/>
      <c r="I373" s="392"/>
      <c r="J373" s="392"/>
      <c r="K373" s="392"/>
      <c r="L373" s="392"/>
      <c r="M373" s="392"/>
      <c r="N373" s="392"/>
      <c r="O373" s="392"/>
      <c r="P373" s="392"/>
      <c r="Q373" s="392"/>
      <c r="R373" s="392"/>
      <c r="S373" s="392"/>
      <c r="T373" s="392"/>
      <c r="U373" s="392"/>
      <c r="V373" s="392"/>
      <c r="W373" s="392"/>
      <c r="X373" s="392"/>
      <c r="Y373" s="392"/>
      <c r="Z373" s="392"/>
      <c r="AA373" s="392"/>
      <c r="AB373" s="392"/>
      <c r="AC373" s="392"/>
      <c r="AD373" s="392"/>
      <c r="AE373" s="392"/>
      <c r="AF373" s="392"/>
    </row>
    <row r="374" ht="15.75" customHeight="1">
      <c r="A374" s="216"/>
      <c r="B374" s="156"/>
      <c r="C374" s="156"/>
      <c r="D374" s="156"/>
      <c r="E374" s="392"/>
      <c r="F374" s="392"/>
      <c r="G374" s="392"/>
      <c r="H374" s="392"/>
      <c r="I374" s="392"/>
      <c r="J374" s="392"/>
      <c r="K374" s="392"/>
      <c r="L374" s="392"/>
      <c r="M374" s="392"/>
      <c r="N374" s="392"/>
      <c r="O374" s="392"/>
      <c r="P374" s="392"/>
      <c r="Q374" s="392"/>
      <c r="R374" s="392"/>
      <c r="S374" s="392"/>
      <c r="T374" s="392"/>
      <c r="U374" s="392"/>
      <c r="V374" s="392"/>
      <c r="W374" s="392"/>
      <c r="X374" s="392"/>
      <c r="Y374" s="392"/>
      <c r="Z374" s="392"/>
      <c r="AA374" s="392"/>
      <c r="AB374" s="392"/>
      <c r="AC374" s="392"/>
      <c r="AD374" s="392"/>
      <c r="AE374" s="392"/>
      <c r="AF374" s="392"/>
    </row>
    <row r="375" ht="15.75" customHeight="1">
      <c r="A375" s="216"/>
      <c r="B375" s="156"/>
      <c r="C375" s="156"/>
      <c r="D375" s="156"/>
      <c r="E375" s="392"/>
      <c r="F375" s="392"/>
      <c r="G375" s="392"/>
      <c r="H375" s="392"/>
      <c r="I375" s="392"/>
      <c r="J375" s="392"/>
      <c r="K375" s="392"/>
      <c r="L375" s="392"/>
      <c r="M375" s="392"/>
      <c r="N375" s="392"/>
      <c r="O375" s="392"/>
      <c r="P375" s="392"/>
      <c r="Q375" s="392"/>
      <c r="R375" s="392"/>
      <c r="S375" s="392"/>
      <c r="T375" s="392"/>
      <c r="U375" s="392"/>
      <c r="V375" s="392"/>
      <c r="W375" s="392"/>
      <c r="X375" s="392"/>
      <c r="Y375" s="392"/>
      <c r="Z375" s="392"/>
      <c r="AA375" s="392"/>
      <c r="AB375" s="392"/>
      <c r="AC375" s="392"/>
      <c r="AD375" s="392"/>
      <c r="AE375" s="392"/>
      <c r="AF375" s="392"/>
    </row>
    <row r="376" ht="15.75" customHeight="1">
      <c r="A376" s="216"/>
      <c r="B376" s="156"/>
      <c r="C376" s="156"/>
      <c r="D376" s="156"/>
      <c r="E376" s="392"/>
      <c r="F376" s="392"/>
      <c r="G376" s="392"/>
      <c r="H376" s="392"/>
      <c r="I376" s="392"/>
      <c r="J376" s="392"/>
      <c r="K376" s="392"/>
      <c r="L376" s="392"/>
      <c r="M376" s="392"/>
      <c r="N376" s="392"/>
      <c r="O376" s="392"/>
      <c r="P376" s="392"/>
      <c r="Q376" s="392"/>
      <c r="R376" s="392"/>
      <c r="S376" s="392"/>
      <c r="T376" s="392"/>
      <c r="U376" s="392"/>
      <c r="V376" s="392"/>
      <c r="W376" s="392"/>
      <c r="X376" s="392"/>
      <c r="Y376" s="392"/>
      <c r="Z376" s="392"/>
      <c r="AA376" s="392"/>
      <c r="AB376" s="392"/>
      <c r="AC376" s="392"/>
      <c r="AD376" s="392"/>
      <c r="AE376" s="392"/>
      <c r="AF376" s="392"/>
    </row>
    <row r="377" ht="15.75" customHeight="1">
      <c r="A377" s="216"/>
      <c r="B377" s="156"/>
      <c r="C377" s="156"/>
      <c r="D377" s="156"/>
      <c r="E377" s="392"/>
      <c r="F377" s="392"/>
      <c r="G377" s="392"/>
      <c r="H377" s="392"/>
      <c r="I377" s="392"/>
      <c r="J377" s="392"/>
      <c r="K377" s="392"/>
      <c r="L377" s="392"/>
      <c r="M377" s="392"/>
      <c r="N377" s="392"/>
      <c r="O377" s="392"/>
      <c r="P377" s="392"/>
      <c r="Q377" s="392"/>
      <c r="R377" s="392"/>
      <c r="S377" s="392"/>
      <c r="T377" s="392"/>
      <c r="U377" s="392"/>
      <c r="V377" s="392"/>
      <c r="W377" s="392"/>
      <c r="X377" s="392"/>
      <c r="Y377" s="392"/>
      <c r="Z377" s="392"/>
      <c r="AA377" s="392"/>
      <c r="AB377" s="392"/>
      <c r="AC377" s="392"/>
      <c r="AD377" s="392"/>
      <c r="AE377" s="392"/>
      <c r="AF377" s="392"/>
    </row>
    <row r="378" ht="15.75" customHeight="1">
      <c r="A378" s="216"/>
      <c r="B378" s="156"/>
      <c r="C378" s="156"/>
      <c r="D378" s="156"/>
      <c r="E378" s="392"/>
      <c r="F378" s="392"/>
      <c r="G378" s="392"/>
      <c r="H378" s="392"/>
      <c r="I378" s="392"/>
      <c r="J378" s="392"/>
      <c r="K378" s="392"/>
      <c r="L378" s="392"/>
      <c r="M378" s="392"/>
      <c r="N378" s="392"/>
      <c r="O378" s="392"/>
      <c r="P378" s="392"/>
      <c r="Q378" s="392"/>
      <c r="R378" s="392"/>
      <c r="S378" s="392"/>
      <c r="T378" s="392"/>
      <c r="U378" s="392"/>
      <c r="V378" s="392"/>
      <c r="W378" s="392"/>
      <c r="X378" s="392"/>
      <c r="Y378" s="392"/>
      <c r="Z378" s="392"/>
      <c r="AA378" s="392"/>
      <c r="AB378" s="392"/>
      <c r="AC378" s="392"/>
      <c r="AD378" s="392"/>
      <c r="AE378" s="392"/>
      <c r="AF378" s="392"/>
    </row>
    <row r="379" ht="15.75" customHeight="1">
      <c r="A379" s="216"/>
      <c r="B379" s="156"/>
      <c r="C379" s="156"/>
      <c r="D379" s="156"/>
      <c r="E379" s="392"/>
      <c r="F379" s="392"/>
      <c r="G379" s="392"/>
      <c r="H379" s="392"/>
      <c r="I379" s="392"/>
      <c r="J379" s="392"/>
      <c r="K379" s="392"/>
      <c r="L379" s="392"/>
      <c r="M379" s="392"/>
      <c r="N379" s="392"/>
      <c r="O379" s="392"/>
      <c r="P379" s="392"/>
      <c r="Q379" s="392"/>
      <c r="R379" s="392"/>
      <c r="S379" s="392"/>
      <c r="T379" s="392"/>
      <c r="U379" s="392"/>
      <c r="V379" s="392"/>
      <c r="W379" s="392"/>
      <c r="X379" s="392"/>
      <c r="Y379" s="392"/>
      <c r="Z379" s="392"/>
      <c r="AA379" s="392"/>
      <c r="AB379" s="392"/>
      <c r="AC379" s="392"/>
      <c r="AD379" s="392"/>
      <c r="AE379" s="392"/>
      <c r="AF379" s="392"/>
    </row>
    <row r="380" ht="15.75" customHeight="1">
      <c r="A380" s="216"/>
      <c r="B380" s="156"/>
      <c r="C380" s="156"/>
      <c r="D380" s="156"/>
      <c r="E380" s="392"/>
      <c r="F380" s="392"/>
      <c r="G380" s="392"/>
      <c r="H380" s="392"/>
      <c r="I380" s="392"/>
      <c r="J380" s="392"/>
      <c r="K380" s="392"/>
      <c r="L380" s="392"/>
      <c r="M380" s="392"/>
      <c r="N380" s="392"/>
      <c r="O380" s="392"/>
      <c r="P380" s="392"/>
      <c r="Q380" s="392"/>
      <c r="R380" s="392"/>
      <c r="S380" s="392"/>
      <c r="T380" s="392"/>
      <c r="U380" s="392"/>
      <c r="V380" s="392"/>
      <c r="W380" s="392"/>
      <c r="X380" s="392"/>
      <c r="Y380" s="392"/>
      <c r="Z380" s="392"/>
      <c r="AA380" s="392"/>
      <c r="AB380" s="392"/>
      <c r="AC380" s="392"/>
      <c r="AD380" s="392"/>
      <c r="AE380" s="392"/>
      <c r="AF380" s="392"/>
    </row>
    <row r="381" ht="15.75" customHeight="1">
      <c r="A381" s="216"/>
      <c r="B381" s="156"/>
      <c r="C381" s="156"/>
      <c r="D381" s="156"/>
      <c r="E381" s="392"/>
      <c r="F381" s="392"/>
      <c r="G381" s="392"/>
      <c r="H381" s="392"/>
      <c r="I381" s="392"/>
      <c r="J381" s="392"/>
      <c r="K381" s="392"/>
      <c r="L381" s="392"/>
      <c r="M381" s="392"/>
      <c r="N381" s="392"/>
      <c r="O381" s="392"/>
      <c r="P381" s="392"/>
      <c r="Q381" s="392"/>
      <c r="R381" s="392"/>
      <c r="S381" s="392"/>
      <c r="T381" s="392"/>
      <c r="U381" s="392"/>
      <c r="V381" s="392"/>
      <c r="W381" s="392"/>
      <c r="X381" s="392"/>
      <c r="Y381" s="392"/>
      <c r="Z381" s="392"/>
      <c r="AA381" s="392"/>
      <c r="AB381" s="392"/>
      <c r="AC381" s="392"/>
      <c r="AD381" s="392"/>
      <c r="AE381" s="392"/>
      <c r="AF381" s="392"/>
    </row>
    <row r="382" ht="15.75" customHeight="1">
      <c r="A382" s="216"/>
      <c r="B382" s="156"/>
      <c r="C382" s="156"/>
      <c r="D382" s="156"/>
      <c r="E382" s="392"/>
      <c r="F382" s="392"/>
      <c r="G382" s="392"/>
      <c r="H382" s="392"/>
      <c r="I382" s="392"/>
      <c r="J382" s="392"/>
      <c r="K382" s="392"/>
      <c r="L382" s="392"/>
      <c r="M382" s="392"/>
      <c r="N382" s="392"/>
      <c r="O382" s="392"/>
      <c r="P382" s="392"/>
      <c r="Q382" s="392"/>
      <c r="R382" s="392"/>
      <c r="S382" s="392"/>
      <c r="T382" s="392"/>
      <c r="U382" s="392"/>
      <c r="V382" s="392"/>
      <c r="W382" s="392"/>
      <c r="X382" s="392"/>
      <c r="Y382" s="392"/>
      <c r="Z382" s="392"/>
      <c r="AA382" s="392"/>
      <c r="AB382" s="392"/>
      <c r="AC382" s="392"/>
      <c r="AD382" s="392"/>
      <c r="AE382" s="392"/>
      <c r="AF382" s="392"/>
    </row>
    <row r="383" ht="15.75" customHeight="1">
      <c r="A383" s="216"/>
      <c r="B383" s="156"/>
      <c r="C383" s="156"/>
      <c r="D383" s="156"/>
      <c r="E383" s="392"/>
      <c r="F383" s="392"/>
      <c r="G383" s="392"/>
      <c r="H383" s="392"/>
      <c r="I383" s="392"/>
      <c r="J383" s="392"/>
      <c r="K383" s="392"/>
      <c r="L383" s="392"/>
      <c r="M383" s="392"/>
      <c r="N383" s="392"/>
      <c r="O383" s="392"/>
      <c r="P383" s="392"/>
      <c r="Q383" s="392"/>
      <c r="R383" s="392"/>
      <c r="S383" s="392"/>
      <c r="T383" s="392"/>
      <c r="U383" s="392"/>
      <c r="V383" s="392"/>
      <c r="W383" s="392"/>
      <c r="X383" s="392"/>
      <c r="Y383" s="392"/>
      <c r="Z383" s="392"/>
      <c r="AA383" s="392"/>
      <c r="AB383" s="392"/>
      <c r="AC383" s="392"/>
      <c r="AD383" s="392"/>
      <c r="AE383" s="392"/>
      <c r="AF383" s="392"/>
    </row>
    <row r="384" ht="15.75" customHeight="1">
      <c r="A384" s="216"/>
      <c r="B384" s="156"/>
      <c r="C384" s="156"/>
      <c r="D384" s="156"/>
      <c r="E384" s="392"/>
      <c r="F384" s="392"/>
      <c r="G384" s="392"/>
      <c r="H384" s="392"/>
      <c r="I384" s="392"/>
      <c r="J384" s="392"/>
      <c r="K384" s="392"/>
      <c r="L384" s="392"/>
      <c r="M384" s="392"/>
      <c r="N384" s="392"/>
      <c r="O384" s="392"/>
      <c r="P384" s="392"/>
      <c r="Q384" s="392"/>
      <c r="R384" s="392"/>
      <c r="S384" s="392"/>
      <c r="T384" s="392"/>
      <c r="U384" s="392"/>
      <c r="V384" s="392"/>
      <c r="W384" s="392"/>
      <c r="X384" s="392"/>
      <c r="Y384" s="392"/>
      <c r="Z384" s="392"/>
      <c r="AA384" s="392"/>
      <c r="AB384" s="392"/>
      <c r="AC384" s="392"/>
      <c r="AD384" s="392"/>
      <c r="AE384" s="392"/>
      <c r="AF384" s="392"/>
    </row>
    <row r="385" ht="15.75" customHeight="1">
      <c r="A385" s="216"/>
      <c r="B385" s="156"/>
      <c r="C385" s="156"/>
      <c r="D385" s="156"/>
      <c r="E385" s="392"/>
      <c r="F385" s="392"/>
      <c r="G385" s="392"/>
      <c r="H385" s="392"/>
      <c r="I385" s="392"/>
      <c r="J385" s="392"/>
      <c r="K385" s="392"/>
      <c r="L385" s="392"/>
      <c r="M385" s="392"/>
      <c r="N385" s="392"/>
      <c r="O385" s="392"/>
      <c r="P385" s="392"/>
      <c r="Q385" s="392"/>
      <c r="R385" s="392"/>
      <c r="S385" s="392"/>
      <c r="T385" s="392"/>
      <c r="U385" s="392"/>
      <c r="V385" s="392"/>
      <c r="W385" s="392"/>
      <c r="X385" s="392"/>
      <c r="Y385" s="392"/>
      <c r="Z385" s="392"/>
      <c r="AA385" s="392"/>
      <c r="AB385" s="392"/>
      <c r="AC385" s="392"/>
      <c r="AD385" s="392"/>
      <c r="AE385" s="392"/>
      <c r="AF385" s="392"/>
    </row>
    <row r="386" ht="15.75" customHeight="1">
      <c r="A386" s="216"/>
      <c r="B386" s="156"/>
      <c r="C386" s="156"/>
      <c r="D386" s="156"/>
      <c r="E386" s="392"/>
      <c r="F386" s="392"/>
      <c r="G386" s="392"/>
      <c r="H386" s="392"/>
      <c r="I386" s="392"/>
      <c r="J386" s="392"/>
      <c r="K386" s="392"/>
      <c r="L386" s="392"/>
      <c r="M386" s="392"/>
      <c r="N386" s="392"/>
      <c r="O386" s="392"/>
      <c r="P386" s="392"/>
      <c r="Q386" s="392"/>
      <c r="R386" s="392"/>
      <c r="S386" s="392"/>
      <c r="T386" s="392"/>
      <c r="U386" s="392"/>
      <c r="V386" s="392"/>
      <c r="W386" s="392"/>
      <c r="X386" s="392"/>
      <c r="Y386" s="392"/>
      <c r="Z386" s="392"/>
      <c r="AA386" s="392"/>
      <c r="AB386" s="392"/>
      <c r="AC386" s="392"/>
      <c r="AD386" s="392"/>
      <c r="AE386" s="392"/>
      <c r="AF386" s="392"/>
    </row>
    <row r="387" ht="15.75" customHeight="1">
      <c r="A387" s="216"/>
      <c r="B387" s="156"/>
      <c r="C387" s="156"/>
      <c r="D387" s="156"/>
      <c r="E387" s="392"/>
      <c r="F387" s="392"/>
      <c r="G387" s="392"/>
      <c r="H387" s="392"/>
      <c r="I387" s="392"/>
      <c r="J387" s="392"/>
      <c r="K387" s="392"/>
      <c r="L387" s="392"/>
      <c r="M387" s="392"/>
      <c r="N387" s="392"/>
      <c r="O387" s="392"/>
      <c r="P387" s="392"/>
      <c r="Q387" s="392"/>
      <c r="R387" s="392"/>
      <c r="S387" s="392"/>
      <c r="T387" s="392"/>
      <c r="U387" s="392"/>
      <c r="V387" s="392"/>
      <c r="W387" s="392"/>
      <c r="X387" s="392"/>
      <c r="Y387" s="392"/>
      <c r="Z387" s="392"/>
      <c r="AA387" s="392"/>
      <c r="AB387" s="392"/>
      <c r="AC387" s="392"/>
      <c r="AD387" s="392"/>
      <c r="AE387" s="392"/>
      <c r="AF387" s="392"/>
    </row>
    <row r="388" ht="15.75" customHeight="1">
      <c r="A388" s="216"/>
      <c r="B388" s="156"/>
      <c r="C388" s="156"/>
      <c r="D388" s="156"/>
      <c r="E388" s="392"/>
      <c r="F388" s="392"/>
      <c r="G388" s="392"/>
      <c r="H388" s="392"/>
      <c r="I388" s="392"/>
      <c r="J388" s="392"/>
      <c r="K388" s="392"/>
      <c r="L388" s="392"/>
      <c r="M388" s="392"/>
      <c r="N388" s="392"/>
      <c r="O388" s="392"/>
      <c r="P388" s="392"/>
      <c r="Q388" s="392"/>
      <c r="R388" s="392"/>
      <c r="S388" s="392"/>
      <c r="T388" s="392"/>
      <c r="U388" s="392"/>
      <c r="V388" s="392"/>
      <c r="W388" s="392"/>
      <c r="X388" s="392"/>
      <c r="Y388" s="392"/>
      <c r="Z388" s="392"/>
      <c r="AA388" s="392"/>
      <c r="AB388" s="392"/>
      <c r="AC388" s="392"/>
      <c r="AD388" s="392"/>
      <c r="AE388" s="392"/>
      <c r="AF388" s="392"/>
    </row>
    <row r="389" ht="15.75" customHeight="1">
      <c r="A389" s="216"/>
      <c r="B389" s="156"/>
      <c r="C389" s="156"/>
      <c r="D389" s="156"/>
      <c r="E389" s="392"/>
      <c r="F389" s="392"/>
      <c r="G389" s="392"/>
      <c r="H389" s="392"/>
      <c r="I389" s="392"/>
      <c r="J389" s="392"/>
      <c r="K389" s="392"/>
      <c r="L389" s="392"/>
      <c r="M389" s="392"/>
      <c r="N389" s="392"/>
      <c r="O389" s="392"/>
      <c r="P389" s="392"/>
      <c r="Q389" s="392"/>
      <c r="R389" s="392"/>
      <c r="S389" s="392"/>
      <c r="T389" s="392"/>
      <c r="U389" s="392"/>
      <c r="V389" s="392"/>
      <c r="W389" s="392"/>
      <c r="X389" s="392"/>
      <c r="Y389" s="392"/>
      <c r="Z389" s="392"/>
      <c r="AA389" s="392"/>
      <c r="AB389" s="392"/>
      <c r="AC389" s="392"/>
      <c r="AD389" s="392"/>
      <c r="AE389" s="392"/>
      <c r="AF389" s="392"/>
    </row>
    <row r="390" ht="15.75" customHeight="1">
      <c r="A390" s="216"/>
      <c r="B390" s="156"/>
      <c r="C390" s="156"/>
      <c r="D390" s="156"/>
      <c r="E390" s="392"/>
      <c r="F390" s="392"/>
      <c r="G390" s="392"/>
      <c r="H390" s="392"/>
      <c r="I390" s="392"/>
      <c r="J390" s="392"/>
      <c r="K390" s="392"/>
      <c r="L390" s="392"/>
      <c r="M390" s="392"/>
      <c r="N390" s="392"/>
      <c r="O390" s="392"/>
      <c r="P390" s="392"/>
      <c r="Q390" s="392"/>
      <c r="R390" s="392"/>
      <c r="S390" s="392"/>
      <c r="T390" s="392"/>
      <c r="U390" s="392"/>
      <c r="V390" s="392"/>
      <c r="W390" s="392"/>
      <c r="X390" s="392"/>
      <c r="Y390" s="392"/>
      <c r="Z390" s="392"/>
      <c r="AA390" s="392"/>
      <c r="AB390" s="392"/>
      <c r="AC390" s="392"/>
      <c r="AD390" s="392"/>
      <c r="AE390" s="392"/>
      <c r="AF390" s="392"/>
    </row>
    <row r="391" ht="15.75" customHeight="1">
      <c r="A391" s="216"/>
      <c r="B391" s="156"/>
      <c r="C391" s="156"/>
      <c r="D391" s="156"/>
      <c r="E391" s="392"/>
      <c r="F391" s="392"/>
      <c r="G391" s="392"/>
      <c r="H391" s="392"/>
      <c r="I391" s="392"/>
      <c r="J391" s="392"/>
      <c r="K391" s="392"/>
      <c r="L391" s="392"/>
      <c r="M391" s="392"/>
      <c r="N391" s="392"/>
      <c r="O391" s="392"/>
      <c r="P391" s="392"/>
      <c r="Q391" s="392"/>
      <c r="R391" s="392"/>
      <c r="S391" s="392"/>
      <c r="T391" s="392"/>
      <c r="U391" s="392"/>
      <c r="V391" s="392"/>
      <c r="W391" s="392"/>
      <c r="X391" s="392"/>
      <c r="Y391" s="392"/>
      <c r="Z391" s="392"/>
      <c r="AA391" s="392"/>
      <c r="AB391" s="392"/>
      <c r="AC391" s="392"/>
      <c r="AD391" s="392"/>
      <c r="AE391" s="392"/>
      <c r="AF391" s="392"/>
    </row>
    <row r="392" ht="15.75" customHeight="1">
      <c r="A392" s="216"/>
      <c r="B392" s="156"/>
      <c r="C392" s="156"/>
      <c r="D392" s="156"/>
      <c r="E392" s="392"/>
      <c r="F392" s="392"/>
      <c r="G392" s="392"/>
      <c r="H392" s="392"/>
      <c r="I392" s="392"/>
      <c r="J392" s="392"/>
      <c r="K392" s="392"/>
      <c r="L392" s="392"/>
      <c r="M392" s="392"/>
      <c r="N392" s="392"/>
      <c r="O392" s="392"/>
      <c r="P392" s="392"/>
      <c r="Q392" s="392"/>
      <c r="R392" s="392"/>
      <c r="S392" s="392"/>
      <c r="T392" s="392"/>
      <c r="U392" s="392"/>
      <c r="V392" s="392"/>
      <c r="W392" s="392"/>
      <c r="X392" s="392"/>
      <c r="Y392" s="392"/>
      <c r="Z392" s="392"/>
      <c r="AA392" s="392"/>
      <c r="AB392" s="392"/>
      <c r="AC392" s="392"/>
      <c r="AD392" s="392"/>
      <c r="AE392" s="392"/>
      <c r="AF392" s="392"/>
    </row>
    <row r="393" ht="15.75" customHeight="1">
      <c r="A393" s="216"/>
      <c r="B393" s="156"/>
      <c r="C393" s="156"/>
      <c r="D393" s="156"/>
      <c r="E393" s="392"/>
      <c r="F393" s="392"/>
      <c r="G393" s="392"/>
      <c r="H393" s="392"/>
      <c r="I393" s="392"/>
      <c r="J393" s="392"/>
      <c r="K393" s="392"/>
      <c r="L393" s="392"/>
      <c r="M393" s="392"/>
      <c r="N393" s="392"/>
      <c r="O393" s="392"/>
      <c r="P393" s="392"/>
      <c r="Q393" s="392"/>
      <c r="R393" s="392"/>
      <c r="S393" s="392"/>
      <c r="T393" s="392"/>
      <c r="U393" s="392"/>
      <c r="V393" s="392"/>
      <c r="W393" s="392"/>
      <c r="X393" s="392"/>
      <c r="Y393" s="392"/>
      <c r="Z393" s="392"/>
      <c r="AA393" s="392"/>
      <c r="AB393" s="392"/>
      <c r="AC393" s="392"/>
      <c r="AD393" s="392"/>
      <c r="AE393" s="392"/>
      <c r="AF393" s="392"/>
    </row>
    <row r="394" ht="15.75" customHeight="1">
      <c r="A394" s="216"/>
      <c r="B394" s="156"/>
      <c r="C394" s="156"/>
      <c r="D394" s="156"/>
      <c r="E394" s="392"/>
      <c r="F394" s="392"/>
      <c r="G394" s="392"/>
      <c r="H394" s="392"/>
      <c r="I394" s="392"/>
      <c r="J394" s="392"/>
      <c r="K394" s="392"/>
      <c r="L394" s="392"/>
      <c r="M394" s="392"/>
      <c r="N394" s="392"/>
      <c r="O394" s="392"/>
      <c r="P394" s="392"/>
      <c r="Q394" s="392"/>
      <c r="R394" s="392"/>
      <c r="S394" s="392"/>
      <c r="T394" s="392"/>
      <c r="U394" s="392"/>
      <c r="V394" s="392"/>
      <c r="W394" s="392"/>
      <c r="X394" s="392"/>
      <c r="Y394" s="392"/>
      <c r="Z394" s="392"/>
      <c r="AA394" s="392"/>
      <c r="AB394" s="392"/>
      <c r="AC394" s="392"/>
      <c r="AD394" s="392"/>
      <c r="AE394" s="392"/>
      <c r="AF394" s="392"/>
    </row>
    <row r="395" ht="15.75" customHeight="1">
      <c r="A395" s="216"/>
      <c r="B395" s="156"/>
      <c r="C395" s="156"/>
      <c r="D395" s="156"/>
      <c r="E395" s="392"/>
      <c r="F395" s="392"/>
      <c r="G395" s="392"/>
      <c r="H395" s="392"/>
      <c r="I395" s="392"/>
      <c r="J395" s="392"/>
      <c r="K395" s="392"/>
      <c r="L395" s="392"/>
      <c r="M395" s="392"/>
      <c r="N395" s="392"/>
      <c r="O395" s="392"/>
      <c r="P395" s="392"/>
      <c r="Q395" s="392"/>
      <c r="R395" s="392"/>
      <c r="S395" s="392"/>
      <c r="T395" s="392"/>
      <c r="U395" s="392"/>
      <c r="V395" s="392"/>
      <c r="W395" s="392"/>
      <c r="X395" s="392"/>
      <c r="Y395" s="392"/>
      <c r="Z395" s="392"/>
      <c r="AA395" s="392"/>
      <c r="AB395" s="392"/>
      <c r="AC395" s="392"/>
      <c r="AD395" s="392"/>
      <c r="AE395" s="392"/>
      <c r="AF395" s="392"/>
    </row>
    <row r="396" ht="15.75" customHeight="1">
      <c r="A396" s="216"/>
      <c r="B396" s="156"/>
      <c r="C396" s="156"/>
      <c r="D396" s="156"/>
      <c r="E396" s="392"/>
      <c r="F396" s="392"/>
      <c r="G396" s="392"/>
      <c r="H396" s="392"/>
      <c r="I396" s="392"/>
      <c r="J396" s="392"/>
      <c r="K396" s="392"/>
      <c r="L396" s="392"/>
      <c r="M396" s="392"/>
      <c r="N396" s="392"/>
      <c r="O396" s="392"/>
      <c r="P396" s="392"/>
      <c r="Q396" s="392"/>
      <c r="R396" s="392"/>
      <c r="S396" s="392"/>
      <c r="T396" s="392"/>
      <c r="U396" s="392"/>
      <c r="V396" s="392"/>
      <c r="W396" s="392"/>
      <c r="X396" s="392"/>
      <c r="Y396" s="392"/>
      <c r="Z396" s="392"/>
      <c r="AA396" s="392"/>
      <c r="AB396" s="392"/>
      <c r="AC396" s="392"/>
      <c r="AD396" s="392"/>
      <c r="AE396" s="392"/>
      <c r="AF396" s="392"/>
    </row>
    <row r="397" ht="15.75" customHeight="1">
      <c r="A397" s="216"/>
      <c r="B397" s="156"/>
      <c r="C397" s="156"/>
      <c r="D397" s="156"/>
      <c r="E397" s="392"/>
      <c r="F397" s="392"/>
      <c r="G397" s="392"/>
      <c r="H397" s="392"/>
      <c r="I397" s="392"/>
      <c r="J397" s="392"/>
      <c r="K397" s="392"/>
      <c r="L397" s="392"/>
      <c r="M397" s="392"/>
      <c r="N397" s="392"/>
      <c r="O397" s="392"/>
      <c r="P397" s="392"/>
      <c r="Q397" s="392"/>
      <c r="R397" s="392"/>
      <c r="S397" s="392"/>
      <c r="T397" s="392"/>
      <c r="U397" s="392"/>
      <c r="V397" s="392"/>
      <c r="W397" s="392"/>
      <c r="X397" s="392"/>
      <c r="Y397" s="392"/>
      <c r="Z397" s="392"/>
      <c r="AA397" s="392"/>
      <c r="AB397" s="392"/>
      <c r="AC397" s="392"/>
      <c r="AD397" s="392"/>
      <c r="AE397" s="392"/>
      <c r="AF397" s="392"/>
    </row>
    <row r="398" ht="15.75" customHeight="1">
      <c r="A398" s="216"/>
      <c r="B398" s="156"/>
      <c r="C398" s="156"/>
      <c r="D398" s="156"/>
      <c r="E398" s="392"/>
      <c r="F398" s="392"/>
      <c r="G398" s="392"/>
      <c r="H398" s="392"/>
      <c r="I398" s="392"/>
      <c r="J398" s="392"/>
      <c r="K398" s="392"/>
      <c r="L398" s="392"/>
      <c r="M398" s="392"/>
      <c r="N398" s="392"/>
      <c r="O398" s="392"/>
      <c r="P398" s="392"/>
      <c r="Q398" s="392"/>
      <c r="R398" s="392"/>
      <c r="S398" s="392"/>
      <c r="T398" s="392"/>
      <c r="U398" s="392"/>
      <c r="V398" s="392"/>
      <c r="W398" s="392"/>
      <c r="X398" s="392"/>
      <c r="Y398" s="392"/>
      <c r="Z398" s="392"/>
      <c r="AA398" s="392"/>
      <c r="AB398" s="392"/>
      <c r="AC398" s="392"/>
      <c r="AD398" s="392"/>
      <c r="AE398" s="392"/>
      <c r="AF398" s="392"/>
    </row>
    <row r="399" ht="15.75" customHeight="1">
      <c r="A399" s="216"/>
      <c r="B399" s="156"/>
      <c r="C399" s="156"/>
      <c r="D399" s="156"/>
      <c r="E399" s="392"/>
      <c r="F399" s="392"/>
      <c r="G399" s="392"/>
      <c r="H399" s="392"/>
      <c r="I399" s="392"/>
      <c r="J399" s="392"/>
      <c r="K399" s="392"/>
      <c r="L399" s="392"/>
      <c r="M399" s="392"/>
      <c r="N399" s="392"/>
      <c r="O399" s="392"/>
      <c r="P399" s="392"/>
      <c r="Q399" s="392"/>
      <c r="R399" s="392"/>
      <c r="S399" s="392"/>
      <c r="T399" s="392"/>
      <c r="U399" s="392"/>
      <c r="V399" s="392"/>
      <c r="W399" s="392"/>
      <c r="X399" s="392"/>
      <c r="Y399" s="392"/>
      <c r="Z399" s="392"/>
      <c r="AA399" s="392"/>
      <c r="AB399" s="392"/>
      <c r="AC399" s="392"/>
      <c r="AD399" s="392"/>
      <c r="AE399" s="392"/>
      <c r="AF399" s="392"/>
    </row>
    <row r="400" ht="15.75" customHeight="1">
      <c r="A400" s="216"/>
      <c r="B400" s="156"/>
      <c r="C400" s="156"/>
      <c r="D400" s="156"/>
      <c r="E400" s="392"/>
      <c r="F400" s="392"/>
      <c r="G400" s="392"/>
      <c r="H400" s="392"/>
      <c r="I400" s="392"/>
      <c r="J400" s="392"/>
      <c r="K400" s="392"/>
      <c r="L400" s="392"/>
      <c r="M400" s="392"/>
      <c r="N400" s="392"/>
      <c r="O400" s="392"/>
      <c r="P400" s="392"/>
      <c r="Q400" s="392"/>
      <c r="R400" s="392"/>
      <c r="S400" s="392"/>
      <c r="T400" s="392"/>
      <c r="U400" s="392"/>
      <c r="V400" s="392"/>
      <c r="W400" s="392"/>
      <c r="X400" s="392"/>
      <c r="Y400" s="392"/>
      <c r="Z400" s="392"/>
      <c r="AA400" s="392"/>
      <c r="AB400" s="392"/>
      <c r="AC400" s="392"/>
      <c r="AD400" s="392"/>
      <c r="AE400" s="392"/>
      <c r="AF400" s="392"/>
    </row>
    <row r="401" ht="15.75" customHeight="1">
      <c r="A401" s="216"/>
      <c r="B401" s="156"/>
      <c r="C401" s="156"/>
      <c r="D401" s="156"/>
      <c r="E401" s="392"/>
      <c r="F401" s="392"/>
      <c r="G401" s="392"/>
      <c r="H401" s="392"/>
      <c r="I401" s="392"/>
      <c r="J401" s="392"/>
      <c r="K401" s="392"/>
      <c r="L401" s="392"/>
      <c r="M401" s="392"/>
      <c r="N401" s="392"/>
      <c r="O401" s="392"/>
      <c r="P401" s="392"/>
      <c r="Q401" s="392"/>
      <c r="R401" s="392"/>
      <c r="S401" s="392"/>
      <c r="T401" s="392"/>
      <c r="U401" s="392"/>
      <c r="V401" s="392"/>
      <c r="W401" s="392"/>
      <c r="X401" s="392"/>
      <c r="Y401" s="392"/>
      <c r="Z401" s="392"/>
      <c r="AA401" s="392"/>
      <c r="AB401" s="392"/>
      <c r="AC401" s="392"/>
      <c r="AD401" s="392"/>
      <c r="AE401" s="392"/>
      <c r="AF401" s="392"/>
    </row>
    <row r="402" ht="15.75" customHeight="1">
      <c r="A402" s="216"/>
      <c r="B402" s="156"/>
      <c r="C402" s="156"/>
      <c r="D402" s="156"/>
      <c r="E402" s="392"/>
      <c r="F402" s="392"/>
      <c r="G402" s="392"/>
      <c r="H402" s="392"/>
      <c r="I402" s="392"/>
      <c r="J402" s="392"/>
      <c r="K402" s="392"/>
      <c r="L402" s="392"/>
      <c r="M402" s="392"/>
      <c r="N402" s="392"/>
      <c r="O402" s="392"/>
      <c r="P402" s="392"/>
      <c r="Q402" s="392"/>
      <c r="R402" s="392"/>
      <c r="S402" s="392"/>
      <c r="T402" s="392"/>
      <c r="U402" s="392"/>
      <c r="V402" s="392"/>
      <c r="W402" s="392"/>
      <c r="X402" s="392"/>
      <c r="Y402" s="392"/>
      <c r="Z402" s="392"/>
      <c r="AA402" s="392"/>
      <c r="AB402" s="392"/>
      <c r="AC402" s="392"/>
      <c r="AD402" s="392"/>
      <c r="AE402" s="392"/>
      <c r="AF402" s="392"/>
    </row>
    <row r="403" ht="15.75" customHeight="1">
      <c r="A403" s="216"/>
      <c r="B403" s="156"/>
      <c r="C403" s="156"/>
      <c r="D403" s="156"/>
      <c r="E403" s="392"/>
      <c r="F403" s="392"/>
      <c r="G403" s="392"/>
      <c r="H403" s="392"/>
      <c r="I403" s="392"/>
      <c r="J403" s="392"/>
      <c r="K403" s="392"/>
      <c r="L403" s="392"/>
      <c r="M403" s="392"/>
      <c r="N403" s="392"/>
      <c r="O403" s="392"/>
      <c r="P403" s="392"/>
      <c r="Q403" s="392"/>
      <c r="R403" s="392"/>
      <c r="S403" s="392"/>
      <c r="T403" s="392"/>
      <c r="U403" s="392"/>
      <c r="V403" s="392"/>
      <c r="W403" s="392"/>
      <c r="X403" s="392"/>
      <c r="Y403" s="392"/>
      <c r="Z403" s="392"/>
      <c r="AA403" s="392"/>
      <c r="AB403" s="392"/>
      <c r="AC403" s="392"/>
      <c r="AD403" s="392"/>
      <c r="AE403" s="392"/>
      <c r="AF403" s="392"/>
    </row>
    <row r="404" ht="15.75" customHeight="1">
      <c r="A404" s="216"/>
      <c r="B404" s="156"/>
      <c r="C404" s="156"/>
      <c r="D404" s="156"/>
      <c r="E404" s="392"/>
      <c r="F404" s="392"/>
      <c r="G404" s="392"/>
      <c r="H404" s="392"/>
      <c r="I404" s="392"/>
      <c r="J404" s="392"/>
      <c r="K404" s="392"/>
      <c r="L404" s="392"/>
      <c r="M404" s="392"/>
      <c r="N404" s="392"/>
      <c r="O404" s="392"/>
      <c r="P404" s="392"/>
      <c r="Q404" s="392"/>
      <c r="R404" s="392"/>
      <c r="S404" s="392"/>
      <c r="T404" s="392"/>
      <c r="U404" s="392"/>
      <c r="V404" s="392"/>
      <c r="W404" s="392"/>
      <c r="X404" s="392"/>
      <c r="Y404" s="392"/>
      <c r="Z404" s="392"/>
      <c r="AA404" s="392"/>
      <c r="AB404" s="392"/>
      <c r="AC404" s="392"/>
      <c r="AD404" s="392"/>
      <c r="AE404" s="392"/>
      <c r="AF404" s="392"/>
    </row>
    <row r="405" ht="15.75" customHeight="1">
      <c r="A405" s="216"/>
      <c r="B405" s="156"/>
      <c r="C405" s="156"/>
      <c r="D405" s="156"/>
      <c r="E405" s="392"/>
      <c r="F405" s="392"/>
      <c r="G405" s="392"/>
      <c r="H405" s="392"/>
      <c r="I405" s="392"/>
      <c r="J405" s="392"/>
      <c r="K405" s="392"/>
      <c r="L405" s="392"/>
      <c r="M405" s="392"/>
      <c r="N405" s="392"/>
      <c r="O405" s="392"/>
      <c r="P405" s="392"/>
      <c r="Q405" s="392"/>
      <c r="R405" s="392"/>
      <c r="S405" s="392"/>
      <c r="T405" s="392"/>
      <c r="U405" s="392"/>
      <c r="V405" s="392"/>
      <c r="W405" s="392"/>
      <c r="X405" s="392"/>
      <c r="Y405" s="392"/>
      <c r="Z405" s="392"/>
      <c r="AA405" s="392"/>
      <c r="AB405" s="392"/>
      <c r="AC405" s="392"/>
      <c r="AD405" s="392"/>
      <c r="AE405" s="392"/>
      <c r="AF405" s="392"/>
    </row>
    <row r="406" ht="15.75" customHeight="1">
      <c r="A406" s="216"/>
      <c r="B406" s="156"/>
      <c r="C406" s="156"/>
      <c r="D406" s="156"/>
      <c r="E406" s="392"/>
      <c r="F406" s="392"/>
      <c r="G406" s="392"/>
      <c r="H406" s="392"/>
      <c r="I406" s="392"/>
      <c r="J406" s="392"/>
      <c r="K406" s="392"/>
      <c r="L406" s="392"/>
      <c r="M406" s="392"/>
      <c r="N406" s="392"/>
      <c r="O406" s="392"/>
      <c r="P406" s="392"/>
      <c r="Q406" s="392"/>
      <c r="R406" s="392"/>
      <c r="S406" s="392"/>
      <c r="T406" s="392"/>
      <c r="U406" s="392"/>
      <c r="V406" s="392"/>
      <c r="W406" s="392"/>
      <c r="X406" s="392"/>
      <c r="Y406" s="392"/>
      <c r="Z406" s="392"/>
      <c r="AA406" s="392"/>
      <c r="AB406" s="392"/>
      <c r="AC406" s="392"/>
      <c r="AD406" s="392"/>
      <c r="AE406" s="392"/>
      <c r="AF406" s="392"/>
    </row>
    <row r="407" ht="15.75" customHeight="1">
      <c r="A407" s="216"/>
      <c r="B407" s="156"/>
      <c r="C407" s="156"/>
      <c r="D407" s="156"/>
      <c r="E407" s="392"/>
      <c r="F407" s="392"/>
      <c r="G407" s="392"/>
      <c r="H407" s="392"/>
      <c r="I407" s="392"/>
      <c r="J407" s="392"/>
      <c r="K407" s="392"/>
      <c r="L407" s="392"/>
      <c r="M407" s="392"/>
      <c r="N407" s="392"/>
      <c r="O407" s="392"/>
      <c r="P407" s="392"/>
      <c r="Q407" s="392"/>
      <c r="R407" s="392"/>
      <c r="S407" s="392"/>
      <c r="T407" s="392"/>
      <c r="U407" s="392"/>
      <c r="V407" s="392"/>
      <c r="W407" s="392"/>
      <c r="X407" s="392"/>
      <c r="Y407" s="392"/>
      <c r="Z407" s="392"/>
      <c r="AA407" s="392"/>
      <c r="AB407" s="392"/>
      <c r="AC407" s="392"/>
      <c r="AD407" s="392"/>
      <c r="AE407" s="392"/>
      <c r="AF407" s="392"/>
    </row>
    <row r="408" ht="15.75" customHeight="1">
      <c r="A408" s="216"/>
      <c r="B408" s="156"/>
      <c r="C408" s="156"/>
      <c r="D408" s="156"/>
      <c r="E408" s="392"/>
      <c r="F408" s="392"/>
      <c r="G408" s="392"/>
      <c r="H408" s="392"/>
      <c r="I408" s="392"/>
      <c r="J408" s="392"/>
      <c r="K408" s="392"/>
      <c r="L408" s="392"/>
      <c r="M408" s="392"/>
      <c r="N408" s="392"/>
      <c r="O408" s="392"/>
      <c r="P408" s="392"/>
      <c r="Q408" s="392"/>
      <c r="R408" s="392"/>
      <c r="S408" s="392"/>
      <c r="T408" s="392"/>
      <c r="U408" s="392"/>
      <c r="V408" s="392"/>
      <c r="W408" s="392"/>
      <c r="X408" s="392"/>
      <c r="Y408" s="392"/>
      <c r="Z408" s="392"/>
      <c r="AA408" s="392"/>
      <c r="AB408" s="392"/>
      <c r="AC408" s="392"/>
      <c r="AD408" s="392"/>
      <c r="AE408" s="392"/>
      <c r="AF408" s="392"/>
    </row>
    <row r="409" ht="15.75" customHeight="1">
      <c r="A409" s="216"/>
      <c r="B409" s="156"/>
      <c r="C409" s="156"/>
      <c r="D409" s="156"/>
      <c r="E409" s="392"/>
      <c r="F409" s="392"/>
      <c r="G409" s="392"/>
      <c r="H409" s="392"/>
      <c r="I409" s="392"/>
      <c r="J409" s="392"/>
      <c r="K409" s="392"/>
      <c r="L409" s="392"/>
      <c r="M409" s="392"/>
      <c r="N409" s="392"/>
      <c r="O409" s="392"/>
      <c r="P409" s="392"/>
      <c r="Q409" s="392"/>
      <c r="R409" s="392"/>
      <c r="S409" s="392"/>
      <c r="T409" s="392"/>
      <c r="U409" s="392"/>
      <c r="V409" s="392"/>
      <c r="W409" s="392"/>
      <c r="X409" s="392"/>
      <c r="Y409" s="392"/>
      <c r="Z409" s="392"/>
      <c r="AA409" s="392"/>
      <c r="AB409" s="392"/>
      <c r="AC409" s="392"/>
      <c r="AD409" s="392"/>
      <c r="AE409" s="392"/>
      <c r="AF409" s="392"/>
    </row>
    <row r="410" ht="15.75" customHeight="1">
      <c r="A410" s="216"/>
      <c r="B410" s="156"/>
      <c r="C410" s="156"/>
      <c r="D410" s="156"/>
      <c r="E410" s="392"/>
      <c r="F410" s="392"/>
      <c r="G410" s="392"/>
      <c r="H410" s="392"/>
      <c r="I410" s="392"/>
      <c r="J410" s="392"/>
      <c r="K410" s="392"/>
      <c r="L410" s="392"/>
      <c r="M410" s="392"/>
      <c r="N410" s="392"/>
      <c r="O410" s="392"/>
      <c r="P410" s="392"/>
      <c r="Q410" s="392"/>
      <c r="R410" s="392"/>
      <c r="S410" s="392"/>
      <c r="T410" s="392"/>
      <c r="U410" s="392"/>
      <c r="V410" s="392"/>
      <c r="W410" s="392"/>
      <c r="X410" s="392"/>
      <c r="Y410" s="392"/>
      <c r="Z410" s="392"/>
      <c r="AA410" s="392"/>
      <c r="AB410" s="392"/>
      <c r="AC410" s="392"/>
      <c r="AD410" s="392"/>
      <c r="AE410" s="392"/>
      <c r="AF410" s="392"/>
    </row>
    <row r="411" ht="15.75" customHeight="1">
      <c r="A411" s="216"/>
      <c r="B411" s="156"/>
      <c r="C411" s="156"/>
      <c r="D411" s="156"/>
      <c r="E411" s="392"/>
      <c r="F411" s="392"/>
      <c r="G411" s="392"/>
      <c r="H411" s="392"/>
      <c r="I411" s="392"/>
      <c r="J411" s="392"/>
      <c r="K411" s="392"/>
      <c r="L411" s="392"/>
      <c r="M411" s="392"/>
      <c r="N411" s="392"/>
      <c r="O411" s="392"/>
      <c r="P411" s="392"/>
      <c r="Q411" s="392"/>
      <c r="R411" s="392"/>
      <c r="S411" s="392"/>
      <c r="T411" s="392"/>
      <c r="U411" s="392"/>
      <c r="V411" s="392"/>
      <c r="W411" s="392"/>
      <c r="X411" s="392"/>
      <c r="Y411" s="392"/>
      <c r="Z411" s="392"/>
      <c r="AA411" s="392"/>
      <c r="AB411" s="392"/>
      <c r="AC411" s="392"/>
      <c r="AD411" s="392"/>
      <c r="AE411" s="392"/>
      <c r="AF411" s="392"/>
    </row>
    <row r="412" ht="15.75" customHeight="1">
      <c r="A412" s="216"/>
      <c r="B412" s="156"/>
      <c r="C412" s="156"/>
      <c r="D412" s="156"/>
      <c r="E412" s="392"/>
      <c r="F412" s="392"/>
      <c r="G412" s="392"/>
      <c r="H412" s="392"/>
      <c r="I412" s="392"/>
      <c r="J412" s="392"/>
      <c r="K412" s="392"/>
      <c r="L412" s="392"/>
      <c r="M412" s="392"/>
      <c r="N412" s="392"/>
      <c r="O412" s="392"/>
      <c r="P412" s="392"/>
      <c r="Q412" s="392"/>
      <c r="R412" s="392"/>
      <c r="S412" s="392"/>
      <c r="T412" s="392"/>
      <c r="U412" s="392"/>
      <c r="V412" s="392"/>
      <c r="W412" s="392"/>
      <c r="X412" s="392"/>
      <c r="Y412" s="392"/>
      <c r="Z412" s="392"/>
      <c r="AA412" s="392"/>
      <c r="AB412" s="392"/>
      <c r="AC412" s="392"/>
      <c r="AD412" s="392"/>
      <c r="AE412" s="392"/>
      <c r="AF412" s="392"/>
    </row>
    <row r="413" ht="15.75" customHeight="1">
      <c r="A413" s="216"/>
      <c r="B413" s="156"/>
      <c r="C413" s="156"/>
      <c r="D413" s="156"/>
      <c r="E413" s="392"/>
      <c r="F413" s="392"/>
      <c r="G413" s="392"/>
      <c r="H413" s="392"/>
      <c r="I413" s="392"/>
      <c r="J413" s="392"/>
      <c r="K413" s="392"/>
      <c r="L413" s="392"/>
      <c r="M413" s="392"/>
      <c r="N413" s="392"/>
      <c r="O413" s="392"/>
      <c r="P413" s="392"/>
      <c r="Q413" s="392"/>
      <c r="R413" s="392"/>
      <c r="S413" s="392"/>
      <c r="T413" s="392"/>
      <c r="U413" s="392"/>
      <c r="V413" s="392"/>
      <c r="W413" s="392"/>
      <c r="X413" s="392"/>
      <c r="Y413" s="392"/>
      <c r="Z413" s="392"/>
      <c r="AA413" s="392"/>
      <c r="AB413" s="392"/>
      <c r="AC413" s="392"/>
      <c r="AD413" s="392"/>
      <c r="AE413" s="392"/>
      <c r="AF413" s="392"/>
    </row>
    <row r="414" ht="15.75" customHeight="1">
      <c r="A414" s="216"/>
      <c r="B414" s="156"/>
      <c r="C414" s="156"/>
      <c r="D414" s="156"/>
      <c r="E414" s="392"/>
      <c r="F414" s="392"/>
      <c r="G414" s="392"/>
      <c r="H414" s="392"/>
      <c r="I414" s="392"/>
      <c r="J414" s="392"/>
      <c r="K414" s="392"/>
      <c r="L414" s="392"/>
      <c r="M414" s="392"/>
      <c r="N414" s="392"/>
      <c r="O414" s="392"/>
      <c r="P414" s="392"/>
      <c r="Q414" s="392"/>
      <c r="R414" s="392"/>
      <c r="S414" s="392"/>
      <c r="T414" s="392"/>
      <c r="U414" s="392"/>
      <c r="V414" s="392"/>
      <c r="W414" s="392"/>
      <c r="X414" s="392"/>
      <c r="Y414" s="392"/>
      <c r="Z414" s="392"/>
      <c r="AA414" s="392"/>
      <c r="AB414" s="392"/>
      <c r="AC414" s="392"/>
      <c r="AD414" s="392"/>
      <c r="AE414" s="392"/>
      <c r="AF414" s="392"/>
    </row>
    <row r="415" ht="15.75" customHeight="1">
      <c r="A415" s="216"/>
      <c r="B415" s="156"/>
      <c r="C415" s="156"/>
      <c r="D415" s="156"/>
      <c r="E415" s="392"/>
      <c r="F415" s="392"/>
      <c r="G415" s="392"/>
      <c r="H415" s="392"/>
      <c r="I415" s="392"/>
      <c r="J415" s="392"/>
      <c r="K415" s="392"/>
      <c r="L415" s="392"/>
      <c r="M415" s="392"/>
      <c r="N415" s="392"/>
      <c r="O415" s="392"/>
      <c r="P415" s="392"/>
      <c r="Q415" s="392"/>
      <c r="R415" s="392"/>
      <c r="S415" s="392"/>
      <c r="T415" s="392"/>
      <c r="U415" s="392"/>
      <c r="V415" s="392"/>
      <c r="W415" s="392"/>
      <c r="X415" s="392"/>
      <c r="Y415" s="392"/>
      <c r="Z415" s="392"/>
      <c r="AA415" s="392"/>
      <c r="AB415" s="392"/>
      <c r="AC415" s="392"/>
      <c r="AD415" s="392"/>
      <c r="AE415" s="392"/>
      <c r="AF415" s="392"/>
    </row>
    <row r="416" ht="15.75" customHeight="1">
      <c r="A416" s="216"/>
      <c r="B416" s="156"/>
      <c r="C416" s="156"/>
      <c r="D416" s="156"/>
      <c r="E416" s="392"/>
      <c r="F416" s="392"/>
      <c r="G416" s="392"/>
      <c r="H416" s="392"/>
      <c r="I416" s="392"/>
      <c r="J416" s="392"/>
      <c r="K416" s="392"/>
      <c r="L416" s="392"/>
      <c r="M416" s="392"/>
      <c r="N416" s="392"/>
      <c r="O416" s="392"/>
      <c r="P416" s="392"/>
      <c r="Q416" s="392"/>
      <c r="R416" s="392"/>
      <c r="S416" s="392"/>
      <c r="T416" s="392"/>
      <c r="U416" s="392"/>
      <c r="V416" s="392"/>
      <c r="W416" s="392"/>
      <c r="X416" s="392"/>
      <c r="Y416" s="392"/>
      <c r="Z416" s="392"/>
      <c r="AA416" s="392"/>
      <c r="AB416" s="392"/>
      <c r="AC416" s="392"/>
      <c r="AD416" s="392"/>
      <c r="AE416" s="392"/>
      <c r="AF416" s="392"/>
    </row>
    <row r="417" ht="15.75" customHeight="1">
      <c r="A417" s="216"/>
      <c r="B417" s="156"/>
      <c r="C417" s="156"/>
      <c r="D417" s="156"/>
      <c r="E417" s="392"/>
      <c r="F417" s="392"/>
      <c r="G417" s="392"/>
      <c r="H417" s="392"/>
      <c r="I417" s="392"/>
      <c r="J417" s="392"/>
      <c r="K417" s="392"/>
      <c r="L417" s="392"/>
      <c r="M417" s="392"/>
      <c r="N417" s="392"/>
      <c r="O417" s="392"/>
      <c r="P417" s="392"/>
      <c r="Q417" s="392"/>
      <c r="R417" s="392"/>
      <c r="S417" s="392"/>
      <c r="T417" s="392"/>
      <c r="U417" s="392"/>
      <c r="V417" s="392"/>
      <c r="W417" s="392"/>
      <c r="X417" s="392"/>
      <c r="Y417" s="392"/>
      <c r="Z417" s="392"/>
      <c r="AA417" s="392"/>
      <c r="AB417" s="392"/>
      <c r="AC417" s="392"/>
      <c r="AD417" s="392"/>
      <c r="AE417" s="392"/>
      <c r="AF417" s="392"/>
    </row>
    <row r="418" ht="15.75" customHeight="1">
      <c r="A418" s="216"/>
      <c r="B418" s="156"/>
      <c r="C418" s="156"/>
      <c r="D418" s="156"/>
      <c r="E418" s="392"/>
      <c r="F418" s="392"/>
      <c r="G418" s="392"/>
      <c r="H418" s="392"/>
      <c r="I418" s="392"/>
      <c r="J418" s="392"/>
      <c r="K418" s="392"/>
      <c r="L418" s="392"/>
      <c r="M418" s="392"/>
      <c r="N418" s="392"/>
      <c r="O418" s="392"/>
      <c r="P418" s="392"/>
      <c r="Q418" s="392"/>
      <c r="R418" s="392"/>
      <c r="S418" s="392"/>
      <c r="T418" s="392"/>
      <c r="U418" s="392"/>
      <c r="V418" s="392"/>
      <c r="W418" s="392"/>
      <c r="X418" s="392"/>
      <c r="Y418" s="392"/>
      <c r="Z418" s="392"/>
      <c r="AA418" s="392"/>
      <c r="AB418" s="392"/>
      <c r="AC418" s="392"/>
      <c r="AD418" s="392"/>
      <c r="AE418" s="392"/>
      <c r="AF418" s="392"/>
    </row>
    <row r="419" ht="15.75" customHeight="1">
      <c r="A419" s="216"/>
      <c r="B419" s="156"/>
      <c r="C419" s="156"/>
      <c r="D419" s="156"/>
      <c r="E419" s="392"/>
      <c r="F419" s="392"/>
      <c r="G419" s="392"/>
      <c r="H419" s="392"/>
      <c r="I419" s="392"/>
      <c r="J419" s="392"/>
      <c r="K419" s="392"/>
      <c r="L419" s="392"/>
      <c r="M419" s="392"/>
      <c r="N419" s="392"/>
      <c r="O419" s="392"/>
      <c r="P419" s="392"/>
      <c r="Q419" s="392"/>
      <c r="R419" s="392"/>
      <c r="S419" s="392"/>
      <c r="T419" s="392"/>
      <c r="U419" s="392"/>
      <c r="V419" s="392"/>
      <c r="W419" s="392"/>
      <c r="X419" s="392"/>
      <c r="Y419" s="392"/>
      <c r="Z419" s="392"/>
      <c r="AA419" s="392"/>
      <c r="AB419" s="392"/>
      <c r="AC419" s="392"/>
      <c r="AD419" s="392"/>
      <c r="AE419" s="392"/>
      <c r="AF419" s="392"/>
    </row>
    <row r="420" ht="15.75" customHeight="1">
      <c r="A420" s="216"/>
      <c r="B420" s="156"/>
      <c r="C420" s="156"/>
      <c r="D420" s="156"/>
      <c r="E420" s="392"/>
      <c r="F420" s="392"/>
      <c r="G420" s="392"/>
      <c r="H420" s="392"/>
      <c r="I420" s="392"/>
      <c r="J420" s="392"/>
      <c r="K420" s="392"/>
      <c r="L420" s="392"/>
      <c r="M420" s="392"/>
      <c r="N420" s="392"/>
      <c r="O420" s="392"/>
      <c r="P420" s="392"/>
      <c r="Q420" s="392"/>
      <c r="R420" s="392"/>
      <c r="S420" s="392"/>
      <c r="T420" s="392"/>
      <c r="U420" s="392"/>
      <c r="V420" s="392"/>
      <c r="W420" s="392"/>
      <c r="X420" s="392"/>
      <c r="Y420" s="392"/>
      <c r="Z420" s="392"/>
      <c r="AA420" s="392"/>
      <c r="AB420" s="392"/>
      <c r="AC420" s="392"/>
      <c r="AD420" s="392"/>
      <c r="AE420" s="392"/>
      <c r="AF420" s="392"/>
    </row>
    <row r="421" ht="15.75" customHeight="1">
      <c r="A421" s="216"/>
      <c r="B421" s="156"/>
      <c r="C421" s="156"/>
      <c r="D421" s="156"/>
      <c r="E421" s="392"/>
      <c r="F421" s="392"/>
      <c r="G421" s="392"/>
      <c r="H421" s="392"/>
      <c r="I421" s="392"/>
      <c r="J421" s="392"/>
      <c r="K421" s="392"/>
      <c r="L421" s="392"/>
      <c r="M421" s="392"/>
      <c r="N421" s="392"/>
      <c r="O421" s="392"/>
      <c r="P421" s="392"/>
      <c r="Q421" s="392"/>
      <c r="R421" s="392"/>
      <c r="S421" s="392"/>
      <c r="T421" s="392"/>
      <c r="U421" s="392"/>
      <c r="V421" s="392"/>
      <c r="W421" s="392"/>
      <c r="X421" s="392"/>
      <c r="Y421" s="392"/>
      <c r="Z421" s="392"/>
      <c r="AA421" s="392"/>
      <c r="AB421" s="392"/>
      <c r="AC421" s="392"/>
      <c r="AD421" s="392"/>
      <c r="AE421" s="392"/>
      <c r="AF421" s="392"/>
    </row>
    <row r="422" ht="15.75" customHeight="1">
      <c r="A422" s="216"/>
      <c r="B422" s="156"/>
      <c r="C422" s="156"/>
      <c r="D422" s="156"/>
      <c r="E422" s="392"/>
      <c r="F422" s="392"/>
      <c r="G422" s="392"/>
      <c r="H422" s="392"/>
      <c r="I422" s="392"/>
      <c r="J422" s="392"/>
      <c r="K422" s="392"/>
      <c r="L422" s="392"/>
      <c r="M422" s="392"/>
      <c r="N422" s="392"/>
      <c r="O422" s="392"/>
      <c r="P422" s="392"/>
      <c r="Q422" s="392"/>
      <c r="R422" s="392"/>
      <c r="S422" s="392"/>
      <c r="T422" s="392"/>
      <c r="U422" s="392"/>
      <c r="V422" s="392"/>
      <c r="W422" s="392"/>
      <c r="X422" s="392"/>
      <c r="Y422" s="392"/>
      <c r="Z422" s="392"/>
      <c r="AA422" s="392"/>
      <c r="AB422" s="392"/>
      <c r="AC422" s="392"/>
      <c r="AD422" s="392"/>
      <c r="AE422" s="392"/>
      <c r="AF422" s="392"/>
    </row>
    <row r="423" ht="15.75" customHeight="1">
      <c r="A423" s="216"/>
      <c r="B423" s="156"/>
      <c r="C423" s="156"/>
      <c r="D423" s="156"/>
      <c r="E423" s="392"/>
      <c r="F423" s="392"/>
      <c r="G423" s="392"/>
      <c r="H423" s="392"/>
      <c r="I423" s="392"/>
      <c r="J423" s="392"/>
      <c r="K423" s="392"/>
      <c r="L423" s="392"/>
      <c r="M423" s="392"/>
      <c r="N423" s="392"/>
      <c r="O423" s="392"/>
      <c r="P423" s="392"/>
      <c r="Q423" s="392"/>
      <c r="R423" s="392"/>
      <c r="S423" s="392"/>
      <c r="T423" s="392"/>
      <c r="U423" s="392"/>
      <c r="V423" s="392"/>
      <c r="W423" s="392"/>
      <c r="X423" s="392"/>
      <c r="Y423" s="392"/>
      <c r="Z423" s="392"/>
      <c r="AA423" s="392"/>
      <c r="AB423" s="392"/>
      <c r="AC423" s="392"/>
      <c r="AD423" s="392"/>
      <c r="AE423" s="392"/>
      <c r="AF423" s="392"/>
    </row>
    <row r="424" ht="15.75" customHeight="1">
      <c r="A424" s="216"/>
      <c r="B424" s="156"/>
      <c r="C424" s="156"/>
      <c r="D424" s="156"/>
      <c r="E424" s="392"/>
      <c r="F424" s="392"/>
      <c r="G424" s="392"/>
      <c r="H424" s="392"/>
      <c r="I424" s="392"/>
      <c r="J424" s="392"/>
      <c r="K424" s="392"/>
      <c r="L424" s="392"/>
      <c r="M424" s="392"/>
      <c r="N424" s="392"/>
      <c r="O424" s="392"/>
      <c r="P424" s="392"/>
      <c r="Q424" s="392"/>
      <c r="R424" s="392"/>
      <c r="S424" s="392"/>
      <c r="T424" s="392"/>
      <c r="U424" s="392"/>
      <c r="V424" s="392"/>
      <c r="W424" s="392"/>
      <c r="X424" s="392"/>
      <c r="Y424" s="392"/>
      <c r="Z424" s="392"/>
      <c r="AA424" s="392"/>
      <c r="AB424" s="392"/>
      <c r="AC424" s="392"/>
      <c r="AD424" s="392"/>
      <c r="AE424" s="392"/>
      <c r="AF424" s="392"/>
    </row>
    <row r="425" ht="15.75" customHeight="1">
      <c r="A425" s="216"/>
      <c r="B425" s="156"/>
      <c r="C425" s="156"/>
      <c r="D425" s="156"/>
      <c r="E425" s="392"/>
      <c r="F425" s="392"/>
      <c r="G425" s="392"/>
      <c r="H425" s="392"/>
      <c r="I425" s="392"/>
      <c r="J425" s="392"/>
      <c r="K425" s="392"/>
      <c r="L425" s="392"/>
      <c r="M425" s="392"/>
      <c r="N425" s="392"/>
      <c r="O425" s="392"/>
      <c r="P425" s="392"/>
      <c r="Q425" s="392"/>
      <c r="R425" s="392"/>
      <c r="S425" s="392"/>
      <c r="T425" s="392"/>
      <c r="U425" s="392"/>
      <c r="V425" s="392"/>
      <c r="W425" s="392"/>
      <c r="X425" s="392"/>
      <c r="Y425" s="392"/>
      <c r="Z425" s="392"/>
      <c r="AA425" s="392"/>
      <c r="AB425" s="392"/>
      <c r="AC425" s="392"/>
      <c r="AD425" s="392"/>
      <c r="AE425" s="392"/>
      <c r="AF425" s="392"/>
    </row>
    <row r="426" ht="15.75" customHeight="1">
      <c r="A426" s="216"/>
      <c r="B426" s="156"/>
      <c r="C426" s="156"/>
      <c r="D426" s="156"/>
      <c r="E426" s="392"/>
      <c r="F426" s="392"/>
      <c r="G426" s="392"/>
      <c r="H426" s="392"/>
      <c r="I426" s="392"/>
      <c r="J426" s="392"/>
      <c r="K426" s="392"/>
      <c r="L426" s="392"/>
      <c r="M426" s="392"/>
      <c r="N426" s="392"/>
      <c r="O426" s="392"/>
      <c r="P426" s="392"/>
      <c r="Q426" s="392"/>
      <c r="R426" s="392"/>
      <c r="S426" s="392"/>
      <c r="T426" s="392"/>
      <c r="U426" s="392"/>
      <c r="V426" s="392"/>
      <c r="W426" s="392"/>
      <c r="X426" s="392"/>
      <c r="Y426" s="392"/>
      <c r="Z426" s="392"/>
      <c r="AA426" s="392"/>
      <c r="AB426" s="392"/>
      <c r="AC426" s="392"/>
      <c r="AD426" s="392"/>
      <c r="AE426" s="392"/>
      <c r="AF426" s="392"/>
    </row>
    <row r="427" ht="15.75" customHeight="1">
      <c r="A427" s="216"/>
      <c r="B427" s="156"/>
      <c r="C427" s="156"/>
      <c r="D427" s="156"/>
      <c r="E427" s="392"/>
      <c r="F427" s="392"/>
      <c r="G427" s="392"/>
      <c r="H427" s="392"/>
      <c r="I427" s="392"/>
      <c r="J427" s="392"/>
      <c r="K427" s="392"/>
      <c r="L427" s="392"/>
      <c r="M427" s="392"/>
      <c r="N427" s="392"/>
      <c r="O427" s="392"/>
      <c r="P427" s="392"/>
      <c r="Q427" s="392"/>
      <c r="R427" s="392"/>
      <c r="S427" s="392"/>
      <c r="T427" s="392"/>
      <c r="U427" s="392"/>
      <c r="V427" s="392"/>
      <c r="W427" s="392"/>
      <c r="X427" s="392"/>
      <c r="Y427" s="392"/>
      <c r="Z427" s="392"/>
      <c r="AA427" s="392"/>
      <c r="AB427" s="392"/>
      <c r="AC427" s="392"/>
      <c r="AD427" s="392"/>
      <c r="AE427" s="392"/>
      <c r="AF427" s="392"/>
    </row>
    <row r="428" ht="15.75" customHeight="1">
      <c r="A428" s="216"/>
      <c r="B428" s="156"/>
      <c r="C428" s="156"/>
      <c r="D428" s="156"/>
      <c r="E428" s="392"/>
      <c r="F428" s="392"/>
      <c r="G428" s="392"/>
      <c r="H428" s="392"/>
      <c r="I428" s="392"/>
      <c r="J428" s="392"/>
      <c r="K428" s="392"/>
      <c r="L428" s="392"/>
      <c r="M428" s="392"/>
      <c r="N428" s="392"/>
      <c r="O428" s="392"/>
      <c r="P428" s="392"/>
      <c r="Q428" s="392"/>
      <c r="R428" s="392"/>
      <c r="S428" s="392"/>
      <c r="T428" s="392"/>
      <c r="U428" s="392"/>
      <c r="V428" s="392"/>
      <c r="W428" s="392"/>
      <c r="X428" s="392"/>
      <c r="Y428" s="392"/>
      <c r="Z428" s="392"/>
      <c r="AA428" s="392"/>
      <c r="AB428" s="392"/>
      <c r="AC428" s="392"/>
      <c r="AD428" s="392"/>
      <c r="AE428" s="392"/>
      <c r="AF428" s="392"/>
    </row>
    <row r="429" ht="15.75" customHeight="1">
      <c r="A429" s="216"/>
      <c r="B429" s="156"/>
      <c r="C429" s="156"/>
      <c r="D429" s="156"/>
      <c r="E429" s="392"/>
      <c r="F429" s="392"/>
      <c r="G429" s="392"/>
      <c r="H429" s="392"/>
      <c r="I429" s="392"/>
      <c r="J429" s="392"/>
      <c r="K429" s="392"/>
      <c r="L429" s="392"/>
      <c r="M429" s="392"/>
      <c r="N429" s="392"/>
      <c r="O429" s="392"/>
      <c r="P429" s="392"/>
      <c r="Q429" s="392"/>
      <c r="R429" s="392"/>
      <c r="S429" s="392"/>
      <c r="T429" s="392"/>
      <c r="U429" s="392"/>
      <c r="V429" s="392"/>
      <c r="W429" s="392"/>
      <c r="X429" s="392"/>
      <c r="Y429" s="392"/>
      <c r="Z429" s="392"/>
      <c r="AA429" s="392"/>
      <c r="AB429" s="392"/>
      <c r="AC429" s="392"/>
      <c r="AD429" s="392"/>
      <c r="AE429" s="392"/>
      <c r="AF429" s="392"/>
    </row>
    <row r="430" ht="15.75" customHeight="1">
      <c r="A430" s="216"/>
      <c r="B430" s="156"/>
      <c r="C430" s="156"/>
      <c r="D430" s="156"/>
      <c r="E430" s="392"/>
      <c r="F430" s="392"/>
      <c r="G430" s="392"/>
      <c r="H430" s="392"/>
      <c r="I430" s="392"/>
      <c r="J430" s="392"/>
      <c r="K430" s="392"/>
      <c r="L430" s="392"/>
      <c r="M430" s="392"/>
      <c r="N430" s="392"/>
      <c r="O430" s="392"/>
      <c r="P430" s="392"/>
      <c r="Q430" s="392"/>
      <c r="R430" s="392"/>
      <c r="S430" s="392"/>
      <c r="T430" s="392"/>
      <c r="U430" s="392"/>
      <c r="V430" s="392"/>
      <c r="W430" s="392"/>
      <c r="X430" s="392"/>
      <c r="Y430" s="392"/>
      <c r="Z430" s="392"/>
      <c r="AA430" s="392"/>
      <c r="AB430" s="392"/>
      <c r="AC430" s="392"/>
      <c r="AD430" s="392"/>
      <c r="AE430" s="392"/>
      <c r="AF430" s="392"/>
    </row>
    <row r="431" ht="15.75" customHeight="1">
      <c r="A431" s="216"/>
      <c r="B431" s="156"/>
      <c r="C431" s="156"/>
      <c r="D431" s="156"/>
      <c r="E431" s="392"/>
      <c r="F431" s="392"/>
      <c r="G431" s="392"/>
      <c r="H431" s="392"/>
      <c r="I431" s="392"/>
      <c r="J431" s="392"/>
      <c r="K431" s="392"/>
      <c r="L431" s="392"/>
      <c r="M431" s="392"/>
      <c r="N431" s="392"/>
      <c r="O431" s="392"/>
      <c r="P431" s="392"/>
      <c r="Q431" s="392"/>
      <c r="R431" s="392"/>
      <c r="S431" s="392"/>
      <c r="T431" s="392"/>
      <c r="U431" s="392"/>
      <c r="V431" s="392"/>
      <c r="W431" s="392"/>
      <c r="X431" s="392"/>
      <c r="Y431" s="392"/>
      <c r="Z431" s="392"/>
      <c r="AA431" s="392"/>
      <c r="AB431" s="392"/>
      <c r="AC431" s="392"/>
      <c r="AD431" s="392"/>
      <c r="AE431" s="392"/>
      <c r="AF431" s="392"/>
    </row>
    <row r="432" ht="15.75" customHeight="1">
      <c r="A432" s="216"/>
      <c r="B432" s="156"/>
      <c r="C432" s="156"/>
      <c r="D432" s="156"/>
      <c r="E432" s="392"/>
      <c r="F432" s="392"/>
      <c r="G432" s="392"/>
      <c r="H432" s="392"/>
      <c r="I432" s="392"/>
      <c r="J432" s="392"/>
      <c r="K432" s="392"/>
      <c r="L432" s="392"/>
      <c r="M432" s="392"/>
      <c r="N432" s="392"/>
      <c r="O432" s="392"/>
      <c r="P432" s="392"/>
      <c r="Q432" s="392"/>
      <c r="R432" s="392"/>
      <c r="S432" s="392"/>
      <c r="T432" s="392"/>
      <c r="U432" s="392"/>
      <c r="V432" s="392"/>
      <c r="W432" s="392"/>
      <c r="X432" s="392"/>
      <c r="Y432" s="392"/>
      <c r="Z432" s="392"/>
      <c r="AA432" s="392"/>
      <c r="AB432" s="392"/>
      <c r="AC432" s="392"/>
      <c r="AD432" s="392"/>
      <c r="AE432" s="392"/>
      <c r="AF432" s="392"/>
    </row>
    <row r="433" ht="15.75" customHeight="1">
      <c r="A433" s="216"/>
      <c r="B433" s="156"/>
      <c r="C433" s="156"/>
      <c r="D433" s="156"/>
      <c r="E433" s="392"/>
      <c r="F433" s="392"/>
      <c r="G433" s="392"/>
      <c r="H433" s="392"/>
      <c r="I433" s="392"/>
      <c r="J433" s="392"/>
      <c r="K433" s="392"/>
      <c r="L433" s="392"/>
      <c r="M433" s="392"/>
      <c r="N433" s="392"/>
      <c r="O433" s="392"/>
      <c r="P433" s="392"/>
      <c r="Q433" s="392"/>
      <c r="R433" s="392"/>
      <c r="S433" s="392"/>
      <c r="T433" s="392"/>
      <c r="U433" s="392"/>
      <c r="V433" s="392"/>
      <c r="W433" s="392"/>
      <c r="X433" s="392"/>
      <c r="Y433" s="392"/>
      <c r="Z433" s="392"/>
      <c r="AA433" s="392"/>
      <c r="AB433" s="392"/>
      <c r="AC433" s="392"/>
      <c r="AD433" s="392"/>
      <c r="AE433" s="392"/>
      <c r="AF433" s="392"/>
    </row>
    <row r="434" ht="15.75" customHeight="1">
      <c r="A434" s="216"/>
      <c r="B434" s="156"/>
      <c r="C434" s="156"/>
      <c r="D434" s="156"/>
      <c r="E434" s="392"/>
      <c r="F434" s="392"/>
      <c r="G434" s="392"/>
      <c r="H434" s="392"/>
      <c r="I434" s="392"/>
      <c r="J434" s="392"/>
      <c r="K434" s="392"/>
      <c r="L434" s="392"/>
      <c r="M434" s="392"/>
      <c r="N434" s="392"/>
      <c r="O434" s="392"/>
      <c r="P434" s="392"/>
      <c r="Q434" s="392"/>
      <c r="R434" s="392"/>
      <c r="S434" s="392"/>
      <c r="T434" s="392"/>
      <c r="U434" s="392"/>
      <c r="V434" s="392"/>
      <c r="W434" s="392"/>
      <c r="X434" s="392"/>
      <c r="Y434" s="392"/>
      <c r="Z434" s="392"/>
      <c r="AA434" s="392"/>
      <c r="AB434" s="392"/>
      <c r="AC434" s="392"/>
      <c r="AD434" s="392"/>
      <c r="AE434" s="392"/>
      <c r="AF434" s="392"/>
    </row>
    <row r="435" ht="15.75" customHeight="1">
      <c r="A435" s="216"/>
      <c r="B435" s="156"/>
      <c r="C435" s="156"/>
      <c r="D435" s="156"/>
      <c r="E435" s="392"/>
      <c r="F435" s="392"/>
      <c r="G435" s="392"/>
      <c r="H435" s="392"/>
      <c r="I435" s="392"/>
      <c r="J435" s="392"/>
      <c r="K435" s="392"/>
      <c r="L435" s="392"/>
      <c r="M435" s="392"/>
      <c r="N435" s="392"/>
      <c r="O435" s="392"/>
      <c r="P435" s="392"/>
      <c r="Q435" s="392"/>
      <c r="R435" s="392"/>
      <c r="S435" s="392"/>
      <c r="T435" s="392"/>
      <c r="U435" s="392"/>
      <c r="V435" s="392"/>
      <c r="W435" s="392"/>
      <c r="X435" s="392"/>
      <c r="Y435" s="392"/>
      <c r="Z435" s="392"/>
      <c r="AA435" s="392"/>
      <c r="AB435" s="392"/>
      <c r="AC435" s="392"/>
      <c r="AD435" s="392"/>
      <c r="AE435" s="392"/>
      <c r="AF435" s="392"/>
    </row>
    <row r="436" ht="15.75" customHeight="1">
      <c r="A436" s="216"/>
      <c r="B436" s="156"/>
      <c r="C436" s="156"/>
      <c r="D436" s="156"/>
      <c r="E436" s="392"/>
      <c r="F436" s="392"/>
      <c r="G436" s="392"/>
      <c r="H436" s="392"/>
      <c r="I436" s="392"/>
      <c r="J436" s="392"/>
      <c r="K436" s="392"/>
      <c r="L436" s="392"/>
      <c r="M436" s="392"/>
      <c r="N436" s="392"/>
      <c r="O436" s="392"/>
      <c r="P436" s="392"/>
      <c r="Q436" s="392"/>
      <c r="R436" s="392"/>
      <c r="S436" s="392"/>
      <c r="T436" s="392"/>
      <c r="U436" s="392"/>
      <c r="V436" s="392"/>
      <c r="W436" s="392"/>
      <c r="X436" s="392"/>
      <c r="Y436" s="392"/>
      <c r="Z436" s="392"/>
      <c r="AA436" s="392"/>
      <c r="AB436" s="392"/>
      <c r="AC436" s="392"/>
      <c r="AD436" s="392"/>
      <c r="AE436" s="392"/>
      <c r="AF436" s="392"/>
    </row>
    <row r="437" ht="15.75" customHeight="1">
      <c r="A437" s="216"/>
      <c r="B437" s="156"/>
      <c r="C437" s="156"/>
      <c r="D437" s="156"/>
      <c r="E437" s="392"/>
      <c r="F437" s="392"/>
      <c r="G437" s="392"/>
      <c r="H437" s="392"/>
      <c r="I437" s="392"/>
      <c r="J437" s="392"/>
      <c r="K437" s="392"/>
      <c r="L437" s="392"/>
      <c r="M437" s="392"/>
      <c r="N437" s="392"/>
      <c r="O437" s="392"/>
      <c r="P437" s="392"/>
      <c r="Q437" s="392"/>
      <c r="R437" s="392"/>
      <c r="S437" s="392"/>
      <c r="T437" s="392"/>
      <c r="U437" s="392"/>
      <c r="V437" s="392"/>
      <c r="W437" s="392"/>
      <c r="X437" s="392"/>
      <c r="Y437" s="392"/>
      <c r="Z437" s="392"/>
      <c r="AA437" s="392"/>
      <c r="AB437" s="392"/>
      <c r="AC437" s="392"/>
      <c r="AD437" s="392"/>
      <c r="AE437" s="392"/>
      <c r="AF437" s="392"/>
    </row>
    <row r="438" ht="15.75" customHeight="1">
      <c r="A438" s="216"/>
      <c r="B438" s="156"/>
      <c r="C438" s="156"/>
      <c r="D438" s="156"/>
      <c r="E438" s="392"/>
      <c r="F438" s="392"/>
      <c r="G438" s="392"/>
      <c r="H438" s="392"/>
      <c r="I438" s="392"/>
      <c r="J438" s="392"/>
      <c r="K438" s="392"/>
      <c r="L438" s="392"/>
      <c r="M438" s="392"/>
      <c r="N438" s="392"/>
      <c r="O438" s="392"/>
      <c r="P438" s="392"/>
      <c r="Q438" s="392"/>
      <c r="R438" s="392"/>
      <c r="S438" s="392"/>
      <c r="T438" s="392"/>
      <c r="U438" s="392"/>
      <c r="V438" s="392"/>
      <c r="W438" s="392"/>
      <c r="X438" s="392"/>
      <c r="Y438" s="392"/>
      <c r="Z438" s="392"/>
      <c r="AA438" s="392"/>
      <c r="AB438" s="392"/>
      <c r="AC438" s="392"/>
      <c r="AD438" s="392"/>
      <c r="AE438" s="392"/>
      <c r="AF438" s="392"/>
    </row>
    <row r="439" ht="15.75" customHeight="1">
      <c r="A439" s="216"/>
      <c r="B439" s="156"/>
      <c r="C439" s="156"/>
      <c r="D439" s="156"/>
      <c r="E439" s="392"/>
      <c r="F439" s="392"/>
      <c r="G439" s="392"/>
      <c r="H439" s="392"/>
      <c r="I439" s="392"/>
      <c r="J439" s="392"/>
      <c r="K439" s="392"/>
      <c r="L439" s="392"/>
      <c r="M439" s="392"/>
      <c r="N439" s="392"/>
      <c r="O439" s="392"/>
      <c r="P439" s="392"/>
      <c r="Q439" s="392"/>
      <c r="R439" s="392"/>
      <c r="S439" s="392"/>
      <c r="T439" s="392"/>
      <c r="U439" s="392"/>
      <c r="V439" s="392"/>
      <c r="W439" s="392"/>
      <c r="X439" s="392"/>
      <c r="Y439" s="392"/>
      <c r="Z439" s="392"/>
      <c r="AA439" s="392"/>
      <c r="AB439" s="392"/>
      <c r="AC439" s="392"/>
      <c r="AD439" s="392"/>
      <c r="AE439" s="392"/>
      <c r="AF439" s="392"/>
    </row>
    <row r="440" ht="15.75" customHeight="1">
      <c r="A440" s="216"/>
      <c r="B440" s="156"/>
      <c r="C440" s="156"/>
      <c r="D440" s="156"/>
      <c r="E440" s="392"/>
      <c r="F440" s="392"/>
      <c r="G440" s="392"/>
      <c r="H440" s="392"/>
      <c r="I440" s="392"/>
      <c r="J440" s="392"/>
      <c r="K440" s="392"/>
      <c r="L440" s="392"/>
      <c r="M440" s="392"/>
      <c r="N440" s="392"/>
      <c r="O440" s="392"/>
      <c r="P440" s="392"/>
      <c r="Q440" s="392"/>
      <c r="R440" s="392"/>
      <c r="S440" s="392"/>
      <c r="T440" s="392"/>
      <c r="U440" s="392"/>
      <c r="V440" s="392"/>
      <c r="W440" s="392"/>
      <c r="X440" s="392"/>
      <c r="Y440" s="392"/>
      <c r="Z440" s="392"/>
      <c r="AA440" s="392"/>
      <c r="AB440" s="392"/>
      <c r="AC440" s="392"/>
      <c r="AD440" s="392"/>
      <c r="AE440" s="392"/>
      <c r="AF440" s="392"/>
    </row>
    <row r="441" ht="15.75" customHeight="1">
      <c r="A441" s="216"/>
      <c r="B441" s="156"/>
      <c r="C441" s="156"/>
      <c r="D441" s="156"/>
      <c r="E441" s="392"/>
      <c r="F441" s="392"/>
      <c r="G441" s="392"/>
      <c r="H441" s="392"/>
      <c r="I441" s="392"/>
      <c r="J441" s="392"/>
      <c r="K441" s="392"/>
      <c r="L441" s="392"/>
      <c r="M441" s="392"/>
      <c r="N441" s="392"/>
      <c r="O441" s="392"/>
      <c r="P441" s="392"/>
      <c r="Q441" s="392"/>
      <c r="R441" s="392"/>
      <c r="S441" s="392"/>
      <c r="T441" s="392"/>
      <c r="U441" s="392"/>
      <c r="V441" s="392"/>
      <c r="W441" s="392"/>
      <c r="X441" s="392"/>
      <c r="Y441" s="392"/>
      <c r="Z441" s="392"/>
      <c r="AA441" s="392"/>
      <c r="AB441" s="392"/>
      <c r="AC441" s="392"/>
      <c r="AD441" s="392"/>
      <c r="AE441" s="392"/>
      <c r="AF441" s="392"/>
    </row>
    <row r="442" ht="15.75" customHeight="1">
      <c r="A442" s="216"/>
      <c r="B442" s="156"/>
      <c r="C442" s="156"/>
      <c r="D442" s="156"/>
      <c r="E442" s="392"/>
      <c r="F442" s="392"/>
      <c r="G442" s="392"/>
      <c r="H442" s="392"/>
      <c r="I442" s="392"/>
      <c r="J442" s="392"/>
      <c r="K442" s="392"/>
      <c r="L442" s="392"/>
      <c r="M442" s="392"/>
      <c r="N442" s="392"/>
      <c r="O442" s="392"/>
      <c r="P442" s="392"/>
      <c r="Q442" s="392"/>
      <c r="R442" s="392"/>
      <c r="S442" s="392"/>
      <c r="T442" s="392"/>
      <c r="U442" s="392"/>
      <c r="V442" s="392"/>
      <c r="W442" s="392"/>
      <c r="X442" s="392"/>
      <c r="Y442" s="392"/>
      <c r="Z442" s="392"/>
      <c r="AA442" s="392"/>
      <c r="AB442" s="392"/>
      <c r="AC442" s="392"/>
      <c r="AD442" s="392"/>
      <c r="AE442" s="392"/>
      <c r="AF442" s="392"/>
    </row>
    <row r="443" ht="15.75" customHeight="1">
      <c r="A443" s="216"/>
      <c r="B443" s="156"/>
      <c r="C443" s="156"/>
      <c r="D443" s="156"/>
      <c r="E443" s="392"/>
      <c r="F443" s="392"/>
      <c r="G443" s="392"/>
      <c r="H443" s="392"/>
      <c r="I443" s="392"/>
      <c r="J443" s="392"/>
      <c r="K443" s="392"/>
      <c r="L443" s="392"/>
      <c r="M443" s="392"/>
      <c r="N443" s="392"/>
      <c r="O443" s="392"/>
      <c r="P443" s="392"/>
      <c r="Q443" s="392"/>
      <c r="R443" s="392"/>
      <c r="S443" s="392"/>
      <c r="T443" s="392"/>
      <c r="U443" s="392"/>
      <c r="V443" s="392"/>
      <c r="W443" s="392"/>
      <c r="X443" s="392"/>
      <c r="Y443" s="392"/>
      <c r="Z443" s="392"/>
      <c r="AA443" s="392"/>
      <c r="AB443" s="392"/>
      <c r="AC443" s="392"/>
      <c r="AD443" s="392"/>
      <c r="AE443" s="392"/>
      <c r="AF443" s="392"/>
    </row>
    <row r="444" ht="15.75" customHeight="1">
      <c r="A444" s="216"/>
      <c r="B444" s="156"/>
      <c r="C444" s="156"/>
      <c r="D444" s="156"/>
      <c r="E444" s="392"/>
      <c r="F444" s="392"/>
      <c r="G444" s="392"/>
      <c r="H444" s="392"/>
      <c r="I444" s="392"/>
      <c r="J444" s="392"/>
      <c r="K444" s="392"/>
      <c r="L444" s="392"/>
      <c r="M444" s="392"/>
      <c r="N444" s="392"/>
      <c r="O444" s="392"/>
      <c r="P444" s="392"/>
      <c r="Q444" s="392"/>
      <c r="R444" s="392"/>
      <c r="S444" s="392"/>
      <c r="T444" s="392"/>
      <c r="U444" s="392"/>
      <c r="V444" s="392"/>
      <c r="W444" s="392"/>
      <c r="X444" s="392"/>
      <c r="Y444" s="392"/>
      <c r="Z444" s="392"/>
      <c r="AA444" s="392"/>
      <c r="AB444" s="392"/>
      <c r="AC444" s="392"/>
      <c r="AD444" s="392"/>
      <c r="AE444" s="392"/>
      <c r="AF444" s="392"/>
    </row>
    <row r="445" ht="15.75" customHeight="1">
      <c r="A445" s="216"/>
      <c r="B445" s="156"/>
      <c r="C445" s="156"/>
      <c r="D445" s="156"/>
      <c r="E445" s="392"/>
      <c r="F445" s="392"/>
      <c r="G445" s="392"/>
      <c r="H445" s="392"/>
      <c r="I445" s="392"/>
      <c r="J445" s="392"/>
      <c r="K445" s="392"/>
      <c r="L445" s="392"/>
      <c r="M445" s="392"/>
      <c r="N445" s="392"/>
      <c r="O445" s="392"/>
      <c r="P445" s="392"/>
      <c r="Q445" s="392"/>
      <c r="R445" s="392"/>
      <c r="S445" s="392"/>
      <c r="T445" s="392"/>
      <c r="U445" s="392"/>
      <c r="V445" s="392"/>
      <c r="W445" s="392"/>
      <c r="X445" s="392"/>
      <c r="Y445" s="392"/>
      <c r="Z445" s="392"/>
      <c r="AA445" s="392"/>
      <c r="AB445" s="392"/>
      <c r="AC445" s="392"/>
      <c r="AD445" s="392"/>
      <c r="AE445" s="392"/>
      <c r="AF445" s="392"/>
    </row>
    <row r="446" ht="15.75" customHeight="1">
      <c r="A446" s="216"/>
      <c r="B446" s="156"/>
      <c r="C446" s="156"/>
      <c r="D446" s="156"/>
      <c r="E446" s="392"/>
      <c r="F446" s="392"/>
      <c r="G446" s="392"/>
      <c r="H446" s="392"/>
      <c r="I446" s="392"/>
      <c r="J446" s="392"/>
      <c r="K446" s="392"/>
      <c r="L446" s="392"/>
      <c r="M446" s="392"/>
      <c r="N446" s="392"/>
      <c r="O446" s="392"/>
      <c r="P446" s="392"/>
      <c r="Q446" s="392"/>
      <c r="R446" s="392"/>
      <c r="S446" s="392"/>
      <c r="T446" s="392"/>
      <c r="U446" s="392"/>
      <c r="V446" s="392"/>
      <c r="W446" s="392"/>
      <c r="X446" s="392"/>
      <c r="Y446" s="392"/>
      <c r="Z446" s="392"/>
      <c r="AA446" s="392"/>
      <c r="AB446" s="392"/>
      <c r="AC446" s="392"/>
      <c r="AD446" s="392"/>
      <c r="AE446" s="392"/>
      <c r="AF446" s="392"/>
    </row>
    <row r="447" ht="15.75" customHeight="1">
      <c r="A447" s="216"/>
      <c r="B447" s="156"/>
      <c r="C447" s="156"/>
      <c r="D447" s="156"/>
      <c r="E447" s="392"/>
      <c r="F447" s="392"/>
      <c r="G447" s="392"/>
      <c r="H447" s="392"/>
      <c r="I447" s="392"/>
      <c r="J447" s="392"/>
      <c r="K447" s="392"/>
      <c r="L447" s="392"/>
      <c r="M447" s="392"/>
      <c r="N447" s="392"/>
      <c r="O447" s="392"/>
      <c r="P447" s="392"/>
      <c r="Q447" s="392"/>
      <c r="R447" s="392"/>
      <c r="S447" s="392"/>
      <c r="T447" s="392"/>
      <c r="U447" s="392"/>
      <c r="V447" s="392"/>
      <c r="W447" s="392"/>
      <c r="X447" s="392"/>
      <c r="Y447" s="392"/>
      <c r="Z447" s="392"/>
      <c r="AA447" s="392"/>
      <c r="AB447" s="392"/>
      <c r="AC447" s="392"/>
      <c r="AD447" s="392"/>
      <c r="AE447" s="392"/>
      <c r="AF447" s="392"/>
    </row>
    <row r="448" ht="15.75" customHeight="1">
      <c r="A448" s="216"/>
      <c r="B448" s="156"/>
      <c r="C448" s="156"/>
      <c r="D448" s="156"/>
      <c r="E448" s="392"/>
      <c r="F448" s="392"/>
      <c r="G448" s="392"/>
      <c r="H448" s="392"/>
      <c r="I448" s="392"/>
      <c r="J448" s="392"/>
      <c r="K448" s="392"/>
      <c r="L448" s="392"/>
      <c r="M448" s="392"/>
      <c r="N448" s="392"/>
      <c r="O448" s="392"/>
      <c r="P448" s="392"/>
      <c r="Q448" s="392"/>
      <c r="R448" s="392"/>
      <c r="S448" s="392"/>
      <c r="T448" s="392"/>
      <c r="U448" s="392"/>
      <c r="V448" s="392"/>
      <c r="W448" s="392"/>
      <c r="X448" s="392"/>
      <c r="Y448" s="392"/>
      <c r="Z448" s="392"/>
      <c r="AA448" s="392"/>
      <c r="AB448" s="392"/>
      <c r="AC448" s="392"/>
      <c r="AD448" s="392"/>
      <c r="AE448" s="392"/>
      <c r="AF448" s="392"/>
    </row>
    <row r="449" ht="15.75" customHeight="1">
      <c r="A449" s="216"/>
      <c r="B449" s="156"/>
      <c r="C449" s="156"/>
      <c r="D449" s="156"/>
      <c r="E449" s="392"/>
      <c r="F449" s="392"/>
      <c r="G449" s="392"/>
      <c r="H449" s="392"/>
      <c r="I449" s="392"/>
      <c r="J449" s="392"/>
      <c r="K449" s="392"/>
      <c r="L449" s="392"/>
      <c r="M449" s="392"/>
      <c r="N449" s="392"/>
      <c r="O449" s="392"/>
      <c r="P449" s="392"/>
      <c r="Q449" s="392"/>
      <c r="R449" s="392"/>
      <c r="S449" s="392"/>
      <c r="T449" s="392"/>
      <c r="U449" s="392"/>
      <c r="V449" s="392"/>
      <c r="W449" s="392"/>
      <c r="X449" s="392"/>
      <c r="Y449" s="392"/>
      <c r="Z449" s="392"/>
      <c r="AA449" s="392"/>
      <c r="AB449" s="392"/>
      <c r="AC449" s="392"/>
      <c r="AD449" s="392"/>
      <c r="AE449" s="392"/>
      <c r="AF449" s="392"/>
    </row>
    <row r="450" ht="15.75" customHeight="1">
      <c r="A450" s="216"/>
      <c r="B450" s="156"/>
      <c r="C450" s="156"/>
      <c r="D450" s="156"/>
      <c r="E450" s="392"/>
      <c r="F450" s="392"/>
      <c r="G450" s="392"/>
      <c r="H450" s="392"/>
      <c r="I450" s="392"/>
      <c r="J450" s="392"/>
      <c r="K450" s="392"/>
      <c r="L450" s="392"/>
      <c r="M450" s="392"/>
      <c r="N450" s="392"/>
      <c r="O450" s="392"/>
      <c r="P450" s="392"/>
      <c r="Q450" s="392"/>
      <c r="R450" s="392"/>
      <c r="S450" s="392"/>
      <c r="T450" s="392"/>
      <c r="U450" s="392"/>
      <c r="V450" s="392"/>
      <c r="W450" s="392"/>
      <c r="X450" s="392"/>
      <c r="Y450" s="392"/>
      <c r="Z450" s="392"/>
      <c r="AA450" s="392"/>
      <c r="AB450" s="392"/>
      <c r="AC450" s="392"/>
      <c r="AD450" s="392"/>
      <c r="AE450" s="392"/>
      <c r="AF450" s="392"/>
    </row>
    <row r="451" ht="15.75" customHeight="1">
      <c r="A451" s="216"/>
      <c r="B451" s="156"/>
      <c r="C451" s="156"/>
      <c r="D451" s="156"/>
      <c r="E451" s="392"/>
      <c r="F451" s="392"/>
      <c r="G451" s="392"/>
      <c r="H451" s="392"/>
      <c r="I451" s="392"/>
      <c r="J451" s="392"/>
      <c r="K451" s="392"/>
      <c r="L451" s="392"/>
      <c r="M451" s="392"/>
      <c r="N451" s="392"/>
      <c r="O451" s="392"/>
      <c r="P451" s="392"/>
      <c r="Q451" s="392"/>
      <c r="R451" s="392"/>
      <c r="S451" s="392"/>
      <c r="T451" s="392"/>
      <c r="U451" s="392"/>
      <c r="V451" s="392"/>
      <c r="W451" s="392"/>
      <c r="X451" s="392"/>
      <c r="Y451" s="392"/>
      <c r="Z451" s="392"/>
      <c r="AA451" s="392"/>
      <c r="AB451" s="392"/>
      <c r="AC451" s="392"/>
      <c r="AD451" s="392"/>
      <c r="AE451" s="392"/>
      <c r="AF451" s="392"/>
    </row>
    <row r="452" ht="15.75" customHeight="1">
      <c r="A452" s="216"/>
      <c r="B452" s="156"/>
      <c r="C452" s="156"/>
      <c r="D452" s="156"/>
      <c r="E452" s="392"/>
      <c r="F452" s="392"/>
      <c r="G452" s="392"/>
      <c r="H452" s="392"/>
      <c r="I452" s="392"/>
      <c r="J452" s="392"/>
      <c r="K452" s="392"/>
      <c r="L452" s="392"/>
      <c r="M452" s="392"/>
      <c r="N452" s="392"/>
      <c r="O452" s="392"/>
      <c r="P452" s="392"/>
      <c r="Q452" s="392"/>
      <c r="R452" s="392"/>
      <c r="S452" s="392"/>
      <c r="T452" s="392"/>
      <c r="U452" s="392"/>
      <c r="V452" s="392"/>
      <c r="W452" s="392"/>
      <c r="X452" s="392"/>
      <c r="Y452" s="392"/>
      <c r="Z452" s="392"/>
      <c r="AA452" s="392"/>
      <c r="AB452" s="392"/>
      <c r="AC452" s="392"/>
      <c r="AD452" s="392"/>
      <c r="AE452" s="392"/>
      <c r="AF452" s="392"/>
    </row>
    <row r="453" ht="15.75" customHeight="1">
      <c r="A453" s="216"/>
      <c r="B453" s="156"/>
      <c r="C453" s="156"/>
      <c r="D453" s="156"/>
      <c r="E453" s="392"/>
      <c r="F453" s="392"/>
      <c r="G453" s="392"/>
      <c r="H453" s="392"/>
      <c r="I453" s="392"/>
      <c r="J453" s="392"/>
      <c r="K453" s="392"/>
      <c r="L453" s="392"/>
      <c r="M453" s="392"/>
      <c r="N453" s="392"/>
      <c r="O453" s="392"/>
      <c r="P453" s="392"/>
      <c r="Q453" s="392"/>
      <c r="R453" s="392"/>
      <c r="S453" s="392"/>
      <c r="T453" s="392"/>
      <c r="U453" s="392"/>
      <c r="V453" s="392"/>
      <c r="W453" s="392"/>
      <c r="X453" s="392"/>
      <c r="Y453" s="392"/>
      <c r="Z453" s="392"/>
      <c r="AA453" s="392"/>
      <c r="AB453" s="392"/>
      <c r="AC453" s="392"/>
      <c r="AD453" s="392"/>
      <c r="AE453" s="392"/>
      <c r="AF453" s="392"/>
    </row>
    <row r="454" ht="15.75" customHeight="1">
      <c r="A454" s="216"/>
      <c r="B454" s="156"/>
      <c r="C454" s="156"/>
      <c r="D454" s="156"/>
      <c r="E454" s="392"/>
      <c r="F454" s="392"/>
      <c r="G454" s="392"/>
      <c r="H454" s="392"/>
      <c r="I454" s="392"/>
      <c r="J454" s="392"/>
      <c r="K454" s="392"/>
      <c r="L454" s="392"/>
      <c r="M454" s="392"/>
      <c r="N454" s="392"/>
      <c r="O454" s="392"/>
      <c r="P454" s="392"/>
      <c r="Q454" s="392"/>
      <c r="R454" s="392"/>
      <c r="S454" s="392"/>
      <c r="T454" s="392"/>
      <c r="U454" s="392"/>
      <c r="V454" s="392"/>
      <c r="W454" s="392"/>
      <c r="X454" s="392"/>
      <c r="Y454" s="392"/>
      <c r="Z454" s="392"/>
      <c r="AA454" s="392"/>
      <c r="AB454" s="392"/>
      <c r="AC454" s="392"/>
      <c r="AD454" s="392"/>
      <c r="AE454" s="392"/>
      <c r="AF454" s="392"/>
    </row>
    <row r="455" ht="15.75" customHeight="1">
      <c r="A455" s="216"/>
      <c r="B455" s="156"/>
      <c r="C455" s="156"/>
      <c r="D455" s="156"/>
      <c r="E455" s="392"/>
      <c r="F455" s="392"/>
      <c r="G455" s="392"/>
      <c r="H455" s="392"/>
      <c r="I455" s="392"/>
      <c r="J455" s="392"/>
      <c r="K455" s="392"/>
      <c r="L455" s="392"/>
      <c r="M455" s="392"/>
      <c r="N455" s="392"/>
      <c r="O455" s="392"/>
      <c r="P455" s="392"/>
      <c r="Q455" s="392"/>
      <c r="R455" s="392"/>
      <c r="S455" s="392"/>
      <c r="T455" s="392"/>
      <c r="U455" s="392"/>
      <c r="V455" s="392"/>
      <c r="W455" s="392"/>
      <c r="X455" s="392"/>
      <c r="Y455" s="392"/>
      <c r="Z455" s="392"/>
      <c r="AA455" s="392"/>
      <c r="AB455" s="392"/>
      <c r="AC455" s="392"/>
      <c r="AD455" s="392"/>
      <c r="AE455" s="392"/>
      <c r="AF455" s="392"/>
    </row>
    <row r="456" ht="15.75" customHeight="1">
      <c r="A456" s="216"/>
      <c r="B456" s="156"/>
      <c r="C456" s="156"/>
      <c r="D456" s="156"/>
      <c r="E456" s="392"/>
      <c r="F456" s="392"/>
      <c r="G456" s="392"/>
      <c r="H456" s="392"/>
      <c r="I456" s="392"/>
      <c r="J456" s="392"/>
      <c r="K456" s="392"/>
      <c r="L456" s="392"/>
      <c r="M456" s="392"/>
      <c r="N456" s="392"/>
      <c r="O456" s="392"/>
      <c r="P456" s="392"/>
      <c r="Q456" s="392"/>
      <c r="R456" s="392"/>
      <c r="S456" s="392"/>
      <c r="T456" s="392"/>
      <c r="U456" s="392"/>
      <c r="V456" s="392"/>
      <c r="W456" s="392"/>
      <c r="X456" s="392"/>
      <c r="Y456" s="392"/>
      <c r="Z456" s="392"/>
      <c r="AA456" s="392"/>
      <c r="AB456" s="392"/>
      <c r="AC456" s="392"/>
      <c r="AD456" s="392"/>
      <c r="AE456" s="392"/>
      <c r="AF456" s="392"/>
    </row>
    <row r="457" ht="15.75" customHeight="1">
      <c r="A457" s="216"/>
      <c r="B457" s="156"/>
      <c r="C457" s="156"/>
      <c r="D457" s="156"/>
      <c r="E457" s="392"/>
      <c r="F457" s="392"/>
      <c r="G457" s="392"/>
      <c r="H457" s="392"/>
      <c r="I457" s="392"/>
      <c r="J457" s="392"/>
      <c r="K457" s="392"/>
      <c r="L457" s="392"/>
      <c r="M457" s="392"/>
      <c r="N457" s="392"/>
      <c r="O457" s="392"/>
      <c r="P457" s="392"/>
      <c r="Q457" s="392"/>
      <c r="R457" s="392"/>
      <c r="S457" s="392"/>
      <c r="T457" s="392"/>
      <c r="U457" s="392"/>
      <c r="V457" s="392"/>
      <c r="W457" s="392"/>
      <c r="X457" s="392"/>
      <c r="Y457" s="392"/>
      <c r="Z457" s="392"/>
      <c r="AA457" s="392"/>
      <c r="AB457" s="392"/>
      <c r="AC457" s="392"/>
      <c r="AD457" s="392"/>
      <c r="AE457" s="392"/>
      <c r="AF457" s="392"/>
    </row>
    <row r="458" ht="15.75" customHeight="1">
      <c r="A458" s="216"/>
      <c r="B458" s="156"/>
      <c r="C458" s="156"/>
      <c r="D458" s="156"/>
      <c r="E458" s="392"/>
      <c r="F458" s="392"/>
      <c r="G458" s="392"/>
      <c r="H458" s="392"/>
      <c r="I458" s="392"/>
      <c r="J458" s="392"/>
      <c r="K458" s="392"/>
      <c r="L458" s="392"/>
      <c r="M458" s="392"/>
      <c r="N458" s="392"/>
      <c r="O458" s="392"/>
      <c r="P458" s="392"/>
      <c r="Q458" s="392"/>
      <c r="R458" s="392"/>
      <c r="S458" s="392"/>
      <c r="T458" s="392"/>
      <c r="U458" s="392"/>
      <c r="V458" s="392"/>
      <c r="W458" s="392"/>
      <c r="X458" s="392"/>
      <c r="Y458" s="392"/>
      <c r="Z458" s="392"/>
      <c r="AA458" s="392"/>
      <c r="AB458" s="392"/>
      <c r="AC458" s="392"/>
      <c r="AD458" s="392"/>
      <c r="AE458" s="392"/>
      <c r="AF458" s="392"/>
    </row>
    <row r="459" ht="15.75" customHeight="1">
      <c r="A459" s="216"/>
      <c r="B459" s="156"/>
      <c r="C459" s="156"/>
      <c r="D459" s="156"/>
      <c r="E459" s="392"/>
      <c r="F459" s="392"/>
      <c r="G459" s="392"/>
      <c r="H459" s="392"/>
      <c r="I459" s="392"/>
      <c r="J459" s="392"/>
      <c r="K459" s="392"/>
      <c r="L459" s="392"/>
      <c r="M459" s="392"/>
      <c r="N459" s="392"/>
      <c r="O459" s="392"/>
      <c r="P459" s="392"/>
      <c r="Q459" s="392"/>
      <c r="R459" s="392"/>
      <c r="S459" s="392"/>
      <c r="T459" s="392"/>
      <c r="U459" s="392"/>
      <c r="V459" s="392"/>
      <c r="W459" s="392"/>
      <c r="X459" s="392"/>
      <c r="Y459" s="392"/>
      <c r="Z459" s="392"/>
      <c r="AA459" s="392"/>
      <c r="AB459" s="392"/>
      <c r="AC459" s="392"/>
      <c r="AD459" s="392"/>
      <c r="AE459" s="392"/>
      <c r="AF459" s="392"/>
    </row>
    <row r="460" ht="15.75" customHeight="1">
      <c r="A460" s="216"/>
      <c r="B460" s="156"/>
      <c r="C460" s="156"/>
      <c r="D460" s="156"/>
      <c r="E460" s="392"/>
      <c r="F460" s="392"/>
      <c r="G460" s="392"/>
      <c r="H460" s="392"/>
      <c r="I460" s="392"/>
      <c r="J460" s="392"/>
      <c r="K460" s="392"/>
      <c r="L460" s="392"/>
      <c r="M460" s="392"/>
      <c r="N460" s="392"/>
      <c r="O460" s="392"/>
      <c r="P460" s="392"/>
      <c r="Q460" s="392"/>
      <c r="R460" s="392"/>
      <c r="S460" s="392"/>
      <c r="T460" s="392"/>
      <c r="U460" s="392"/>
      <c r="V460" s="392"/>
      <c r="W460" s="392"/>
      <c r="X460" s="392"/>
      <c r="Y460" s="392"/>
      <c r="Z460" s="392"/>
      <c r="AA460" s="392"/>
      <c r="AB460" s="392"/>
      <c r="AC460" s="392"/>
      <c r="AD460" s="392"/>
      <c r="AE460" s="392"/>
      <c r="AF460" s="392"/>
    </row>
    <row r="461" ht="15.75" customHeight="1">
      <c r="A461" s="216"/>
      <c r="B461" s="156"/>
      <c r="C461" s="156"/>
      <c r="D461" s="156"/>
      <c r="E461" s="392"/>
      <c r="F461" s="392"/>
      <c r="G461" s="392"/>
      <c r="H461" s="392"/>
      <c r="I461" s="392"/>
      <c r="J461" s="392"/>
      <c r="K461" s="392"/>
      <c r="L461" s="392"/>
      <c r="M461" s="392"/>
      <c r="N461" s="392"/>
      <c r="O461" s="392"/>
      <c r="P461" s="392"/>
      <c r="Q461" s="392"/>
      <c r="R461" s="392"/>
      <c r="S461" s="392"/>
      <c r="T461" s="392"/>
      <c r="U461" s="392"/>
      <c r="V461" s="392"/>
      <c r="W461" s="392"/>
      <c r="X461" s="392"/>
      <c r="Y461" s="392"/>
      <c r="Z461" s="392"/>
      <c r="AA461" s="392"/>
      <c r="AB461" s="392"/>
      <c r="AC461" s="392"/>
      <c r="AD461" s="392"/>
      <c r="AE461" s="392"/>
      <c r="AF461" s="392"/>
    </row>
    <row r="462" ht="15.75" customHeight="1">
      <c r="A462" s="216"/>
      <c r="B462" s="156"/>
      <c r="C462" s="156"/>
      <c r="D462" s="156"/>
      <c r="E462" s="392"/>
      <c r="F462" s="392"/>
      <c r="G462" s="392"/>
      <c r="H462" s="392"/>
      <c r="I462" s="392"/>
      <c r="J462" s="392"/>
      <c r="K462" s="392"/>
      <c r="L462" s="392"/>
      <c r="M462" s="392"/>
      <c r="N462" s="392"/>
      <c r="O462" s="392"/>
      <c r="P462" s="392"/>
      <c r="Q462" s="392"/>
      <c r="R462" s="392"/>
      <c r="S462" s="392"/>
      <c r="T462" s="392"/>
      <c r="U462" s="392"/>
      <c r="V462" s="392"/>
      <c r="W462" s="392"/>
      <c r="X462" s="392"/>
      <c r="Y462" s="392"/>
      <c r="Z462" s="392"/>
      <c r="AA462" s="392"/>
      <c r="AB462" s="392"/>
      <c r="AC462" s="392"/>
      <c r="AD462" s="392"/>
      <c r="AE462" s="392"/>
      <c r="AF462" s="392"/>
    </row>
    <row r="463" ht="15.75" customHeight="1">
      <c r="A463" s="216"/>
      <c r="B463" s="156"/>
      <c r="C463" s="156"/>
      <c r="D463" s="156"/>
      <c r="E463" s="392"/>
      <c r="F463" s="392"/>
      <c r="G463" s="392"/>
      <c r="H463" s="392"/>
      <c r="I463" s="392"/>
      <c r="J463" s="392"/>
      <c r="K463" s="392"/>
      <c r="L463" s="392"/>
      <c r="M463" s="392"/>
      <c r="N463" s="392"/>
      <c r="O463" s="392"/>
      <c r="P463" s="392"/>
      <c r="Q463" s="392"/>
      <c r="R463" s="392"/>
      <c r="S463" s="392"/>
      <c r="T463" s="392"/>
      <c r="U463" s="392"/>
      <c r="V463" s="392"/>
      <c r="W463" s="392"/>
      <c r="X463" s="392"/>
      <c r="Y463" s="392"/>
      <c r="Z463" s="392"/>
      <c r="AA463" s="392"/>
      <c r="AB463" s="392"/>
      <c r="AC463" s="392"/>
      <c r="AD463" s="392"/>
      <c r="AE463" s="392"/>
      <c r="AF463" s="392"/>
    </row>
    <row r="464" ht="15.75" customHeight="1">
      <c r="A464" s="216"/>
      <c r="B464" s="156"/>
      <c r="C464" s="156"/>
      <c r="D464" s="156"/>
      <c r="E464" s="392"/>
      <c r="F464" s="392"/>
      <c r="G464" s="392"/>
      <c r="H464" s="392"/>
      <c r="I464" s="392"/>
      <c r="J464" s="392"/>
      <c r="K464" s="392"/>
      <c r="L464" s="392"/>
      <c r="M464" s="392"/>
      <c r="N464" s="392"/>
      <c r="O464" s="392"/>
      <c r="P464" s="392"/>
      <c r="Q464" s="392"/>
      <c r="R464" s="392"/>
      <c r="S464" s="392"/>
      <c r="T464" s="392"/>
      <c r="U464" s="392"/>
      <c r="V464" s="392"/>
      <c r="W464" s="392"/>
      <c r="X464" s="392"/>
      <c r="Y464" s="392"/>
      <c r="Z464" s="392"/>
      <c r="AA464" s="392"/>
      <c r="AB464" s="392"/>
      <c r="AC464" s="392"/>
      <c r="AD464" s="392"/>
      <c r="AE464" s="392"/>
      <c r="AF464" s="392"/>
    </row>
    <row r="465" ht="15.75" customHeight="1">
      <c r="A465" s="216"/>
      <c r="B465" s="156"/>
      <c r="C465" s="156"/>
      <c r="D465" s="156"/>
      <c r="E465" s="392"/>
      <c r="F465" s="392"/>
      <c r="G465" s="392"/>
      <c r="H465" s="392"/>
      <c r="I465" s="392"/>
      <c r="J465" s="392"/>
      <c r="K465" s="392"/>
      <c r="L465" s="392"/>
      <c r="M465" s="392"/>
      <c r="N465" s="392"/>
      <c r="O465" s="392"/>
      <c r="P465" s="392"/>
      <c r="Q465" s="392"/>
      <c r="R465" s="392"/>
      <c r="S465" s="392"/>
      <c r="T465" s="392"/>
      <c r="U465" s="392"/>
      <c r="V465" s="392"/>
      <c r="W465" s="392"/>
      <c r="X465" s="392"/>
      <c r="Y465" s="392"/>
      <c r="Z465" s="392"/>
      <c r="AA465" s="392"/>
      <c r="AB465" s="392"/>
      <c r="AC465" s="392"/>
      <c r="AD465" s="392"/>
      <c r="AE465" s="392"/>
      <c r="AF465" s="392"/>
    </row>
    <row r="466" ht="15.75" customHeight="1">
      <c r="A466" s="216"/>
      <c r="B466" s="156"/>
      <c r="C466" s="156"/>
      <c r="D466" s="156"/>
      <c r="E466" s="392"/>
      <c r="F466" s="392"/>
      <c r="G466" s="392"/>
      <c r="H466" s="392"/>
      <c r="I466" s="392"/>
      <c r="J466" s="392"/>
      <c r="K466" s="392"/>
      <c r="L466" s="392"/>
      <c r="M466" s="392"/>
      <c r="N466" s="392"/>
      <c r="O466" s="392"/>
      <c r="P466" s="392"/>
      <c r="Q466" s="392"/>
      <c r="R466" s="392"/>
      <c r="S466" s="392"/>
      <c r="T466" s="392"/>
      <c r="U466" s="392"/>
      <c r="V466" s="392"/>
      <c r="W466" s="392"/>
      <c r="X466" s="392"/>
      <c r="Y466" s="392"/>
      <c r="Z466" s="392"/>
      <c r="AA466" s="392"/>
      <c r="AB466" s="392"/>
      <c r="AC466" s="392"/>
      <c r="AD466" s="392"/>
      <c r="AE466" s="392"/>
      <c r="AF466" s="392"/>
    </row>
    <row r="467" ht="15.75" customHeight="1">
      <c r="A467" s="216"/>
      <c r="B467" s="156"/>
      <c r="C467" s="156"/>
      <c r="D467" s="156"/>
      <c r="E467" s="392"/>
      <c r="F467" s="392"/>
      <c r="G467" s="392"/>
      <c r="H467" s="392"/>
      <c r="I467" s="392"/>
      <c r="J467" s="392"/>
      <c r="K467" s="392"/>
      <c r="L467" s="392"/>
      <c r="M467" s="392"/>
      <c r="N467" s="392"/>
      <c r="O467" s="392"/>
      <c r="P467" s="392"/>
      <c r="Q467" s="392"/>
      <c r="R467" s="392"/>
      <c r="S467" s="392"/>
      <c r="T467" s="392"/>
      <c r="U467" s="392"/>
      <c r="V467" s="392"/>
      <c r="W467" s="392"/>
      <c r="X467" s="392"/>
      <c r="Y467" s="392"/>
      <c r="Z467" s="392"/>
      <c r="AA467" s="392"/>
      <c r="AB467" s="392"/>
      <c r="AC467" s="392"/>
      <c r="AD467" s="392"/>
      <c r="AE467" s="392"/>
      <c r="AF467" s="392"/>
    </row>
    <row r="468" ht="15.75" customHeight="1">
      <c r="A468" s="216"/>
      <c r="B468" s="156"/>
      <c r="C468" s="156"/>
      <c r="D468" s="156"/>
      <c r="E468" s="392"/>
      <c r="F468" s="392"/>
      <c r="G468" s="392"/>
      <c r="H468" s="392"/>
      <c r="I468" s="392"/>
      <c r="J468" s="392"/>
      <c r="K468" s="392"/>
      <c r="L468" s="392"/>
      <c r="M468" s="392"/>
      <c r="N468" s="392"/>
      <c r="O468" s="392"/>
      <c r="P468" s="392"/>
      <c r="Q468" s="392"/>
      <c r="R468" s="392"/>
      <c r="S468" s="392"/>
      <c r="T468" s="392"/>
      <c r="U468" s="392"/>
      <c r="V468" s="392"/>
      <c r="W468" s="392"/>
      <c r="X468" s="392"/>
      <c r="Y468" s="392"/>
      <c r="Z468" s="392"/>
      <c r="AA468" s="392"/>
      <c r="AB468" s="392"/>
      <c r="AC468" s="392"/>
      <c r="AD468" s="392"/>
      <c r="AE468" s="392"/>
      <c r="AF468" s="392"/>
    </row>
    <row r="469" ht="15.75" customHeight="1">
      <c r="A469" s="216"/>
      <c r="B469" s="156"/>
      <c r="C469" s="156"/>
      <c r="D469" s="156"/>
      <c r="E469" s="392"/>
      <c r="F469" s="392"/>
      <c r="G469" s="392"/>
      <c r="H469" s="392"/>
      <c r="I469" s="392"/>
      <c r="J469" s="392"/>
      <c r="K469" s="392"/>
      <c r="L469" s="392"/>
      <c r="M469" s="392"/>
      <c r="N469" s="392"/>
      <c r="O469" s="392"/>
      <c r="P469" s="392"/>
      <c r="Q469" s="392"/>
      <c r="R469" s="392"/>
      <c r="S469" s="392"/>
      <c r="T469" s="392"/>
      <c r="U469" s="392"/>
      <c r="V469" s="392"/>
      <c r="W469" s="392"/>
      <c r="X469" s="392"/>
      <c r="Y469" s="392"/>
      <c r="Z469" s="392"/>
      <c r="AA469" s="392"/>
      <c r="AB469" s="392"/>
      <c r="AC469" s="392"/>
      <c r="AD469" s="392"/>
      <c r="AE469" s="392"/>
      <c r="AF469" s="392"/>
    </row>
    <row r="470" ht="15.75" customHeight="1">
      <c r="A470" s="216"/>
      <c r="B470" s="156"/>
      <c r="C470" s="156"/>
      <c r="D470" s="156"/>
      <c r="E470" s="392"/>
      <c r="F470" s="392"/>
      <c r="G470" s="392"/>
      <c r="H470" s="392"/>
      <c r="I470" s="392"/>
      <c r="J470" s="392"/>
      <c r="K470" s="392"/>
      <c r="L470" s="392"/>
      <c r="M470" s="392"/>
      <c r="N470" s="392"/>
      <c r="O470" s="392"/>
      <c r="P470" s="392"/>
      <c r="Q470" s="392"/>
      <c r="R470" s="392"/>
      <c r="S470" s="392"/>
      <c r="T470" s="392"/>
      <c r="U470" s="392"/>
      <c r="V470" s="392"/>
      <c r="W470" s="392"/>
      <c r="X470" s="392"/>
      <c r="Y470" s="392"/>
      <c r="Z470" s="392"/>
      <c r="AA470" s="392"/>
      <c r="AB470" s="392"/>
      <c r="AC470" s="392"/>
      <c r="AD470" s="392"/>
      <c r="AE470" s="392"/>
      <c r="AF470" s="392"/>
    </row>
    <row r="471" ht="15.75" customHeight="1">
      <c r="A471" s="216"/>
      <c r="B471" s="156"/>
      <c r="C471" s="156"/>
      <c r="D471" s="156"/>
      <c r="E471" s="392"/>
      <c r="F471" s="392"/>
      <c r="G471" s="392"/>
      <c r="H471" s="392"/>
      <c r="I471" s="392"/>
      <c r="J471" s="392"/>
      <c r="K471" s="392"/>
      <c r="L471" s="392"/>
      <c r="M471" s="392"/>
      <c r="N471" s="392"/>
      <c r="O471" s="392"/>
      <c r="P471" s="392"/>
      <c r="Q471" s="392"/>
      <c r="R471" s="392"/>
      <c r="S471" s="392"/>
      <c r="T471" s="392"/>
      <c r="U471" s="392"/>
      <c r="V471" s="392"/>
      <c r="W471" s="392"/>
      <c r="X471" s="392"/>
      <c r="Y471" s="392"/>
      <c r="Z471" s="392"/>
      <c r="AA471" s="392"/>
      <c r="AB471" s="392"/>
      <c r="AC471" s="392"/>
      <c r="AD471" s="392"/>
      <c r="AE471" s="392"/>
      <c r="AF471" s="392"/>
    </row>
    <row r="472" ht="15.75" customHeight="1">
      <c r="A472" s="216"/>
      <c r="B472" s="156"/>
      <c r="C472" s="156"/>
      <c r="D472" s="156"/>
      <c r="E472" s="392"/>
      <c r="F472" s="392"/>
      <c r="G472" s="392"/>
      <c r="H472" s="392"/>
      <c r="I472" s="392"/>
      <c r="J472" s="392"/>
      <c r="K472" s="392"/>
      <c r="L472" s="392"/>
      <c r="M472" s="392"/>
      <c r="N472" s="392"/>
      <c r="O472" s="392"/>
      <c r="P472" s="392"/>
      <c r="Q472" s="392"/>
      <c r="R472" s="392"/>
      <c r="S472" s="392"/>
      <c r="T472" s="392"/>
      <c r="U472" s="392"/>
      <c r="V472" s="392"/>
      <c r="W472" s="392"/>
      <c r="X472" s="392"/>
      <c r="Y472" s="392"/>
      <c r="Z472" s="392"/>
      <c r="AA472" s="392"/>
      <c r="AB472" s="392"/>
      <c r="AC472" s="392"/>
      <c r="AD472" s="392"/>
      <c r="AE472" s="392"/>
      <c r="AF472" s="392"/>
    </row>
    <row r="473" ht="15.75" customHeight="1">
      <c r="A473" s="216"/>
      <c r="B473" s="156"/>
      <c r="C473" s="156"/>
      <c r="D473" s="156"/>
      <c r="E473" s="392"/>
      <c r="F473" s="392"/>
      <c r="G473" s="392"/>
      <c r="H473" s="392"/>
      <c r="I473" s="392"/>
      <c r="J473" s="392"/>
      <c r="K473" s="392"/>
      <c r="L473" s="392"/>
      <c r="M473" s="392"/>
      <c r="N473" s="392"/>
      <c r="O473" s="392"/>
      <c r="P473" s="392"/>
      <c r="Q473" s="392"/>
      <c r="R473" s="392"/>
      <c r="S473" s="392"/>
      <c r="T473" s="392"/>
      <c r="U473" s="392"/>
      <c r="V473" s="392"/>
      <c r="W473" s="392"/>
      <c r="X473" s="392"/>
      <c r="Y473" s="392"/>
      <c r="Z473" s="392"/>
      <c r="AA473" s="392"/>
      <c r="AB473" s="392"/>
      <c r="AC473" s="392"/>
      <c r="AD473" s="392"/>
      <c r="AE473" s="392"/>
      <c r="AF473" s="392"/>
    </row>
    <row r="474" ht="15.75" customHeight="1">
      <c r="A474" s="216"/>
      <c r="B474" s="156"/>
      <c r="C474" s="156"/>
      <c r="D474" s="156"/>
      <c r="E474" s="392"/>
      <c r="F474" s="392"/>
      <c r="G474" s="392"/>
      <c r="H474" s="392"/>
      <c r="I474" s="392"/>
      <c r="J474" s="392"/>
      <c r="K474" s="392"/>
      <c r="L474" s="392"/>
      <c r="M474" s="392"/>
      <c r="N474" s="392"/>
      <c r="O474" s="392"/>
      <c r="P474" s="392"/>
      <c r="Q474" s="392"/>
      <c r="R474" s="392"/>
      <c r="S474" s="392"/>
      <c r="T474" s="392"/>
      <c r="U474" s="392"/>
      <c r="V474" s="392"/>
      <c r="W474" s="392"/>
      <c r="X474" s="392"/>
      <c r="Y474" s="392"/>
      <c r="Z474" s="392"/>
      <c r="AA474" s="392"/>
      <c r="AB474" s="392"/>
      <c r="AC474" s="392"/>
      <c r="AD474" s="392"/>
      <c r="AE474" s="392"/>
      <c r="AF474" s="392"/>
    </row>
    <row r="475" ht="15.75" customHeight="1">
      <c r="A475" s="216"/>
      <c r="B475" s="156"/>
      <c r="C475" s="156"/>
      <c r="D475" s="156"/>
      <c r="E475" s="392"/>
      <c r="F475" s="392"/>
      <c r="G475" s="392"/>
      <c r="H475" s="392"/>
      <c r="I475" s="392"/>
      <c r="J475" s="392"/>
      <c r="K475" s="392"/>
      <c r="L475" s="392"/>
      <c r="M475" s="392"/>
      <c r="N475" s="392"/>
      <c r="O475" s="392"/>
      <c r="P475" s="392"/>
      <c r="Q475" s="392"/>
      <c r="R475" s="392"/>
      <c r="S475" s="392"/>
      <c r="T475" s="392"/>
      <c r="U475" s="392"/>
      <c r="V475" s="392"/>
      <c r="W475" s="392"/>
      <c r="X475" s="392"/>
      <c r="Y475" s="392"/>
      <c r="Z475" s="392"/>
      <c r="AA475" s="392"/>
      <c r="AB475" s="392"/>
      <c r="AC475" s="392"/>
      <c r="AD475" s="392"/>
      <c r="AE475" s="392"/>
      <c r="AF475" s="392"/>
    </row>
    <row r="476" ht="15.75" customHeight="1">
      <c r="A476" s="216"/>
      <c r="B476" s="156"/>
      <c r="C476" s="156"/>
      <c r="D476" s="156"/>
      <c r="E476" s="392"/>
      <c r="F476" s="392"/>
      <c r="G476" s="392"/>
      <c r="H476" s="392"/>
      <c r="I476" s="392"/>
      <c r="J476" s="392"/>
      <c r="K476" s="392"/>
      <c r="L476" s="392"/>
      <c r="M476" s="392"/>
      <c r="N476" s="392"/>
      <c r="O476" s="392"/>
      <c r="P476" s="392"/>
      <c r="Q476" s="392"/>
      <c r="R476" s="392"/>
      <c r="S476" s="392"/>
      <c r="T476" s="392"/>
      <c r="U476" s="392"/>
      <c r="V476" s="392"/>
      <c r="W476" s="392"/>
      <c r="X476" s="392"/>
      <c r="Y476" s="392"/>
      <c r="Z476" s="392"/>
      <c r="AA476" s="392"/>
      <c r="AB476" s="392"/>
      <c r="AC476" s="392"/>
      <c r="AD476" s="392"/>
      <c r="AE476" s="392"/>
      <c r="AF476" s="392"/>
    </row>
    <row r="477" ht="15.75" customHeight="1">
      <c r="A477" s="216"/>
      <c r="B477" s="156"/>
      <c r="C477" s="156"/>
      <c r="D477" s="156"/>
      <c r="E477" s="392"/>
      <c r="F477" s="392"/>
      <c r="G477" s="392"/>
      <c r="H477" s="392"/>
      <c r="I477" s="392"/>
      <c r="J477" s="392"/>
      <c r="K477" s="392"/>
      <c r="L477" s="392"/>
      <c r="M477" s="392"/>
      <c r="N477" s="392"/>
      <c r="O477" s="392"/>
      <c r="P477" s="392"/>
      <c r="Q477" s="392"/>
      <c r="R477" s="392"/>
      <c r="S477" s="392"/>
      <c r="T477" s="392"/>
      <c r="U477" s="392"/>
      <c r="V477" s="392"/>
      <c r="W477" s="392"/>
      <c r="X477" s="392"/>
      <c r="Y477" s="392"/>
      <c r="Z477" s="392"/>
      <c r="AA477" s="392"/>
      <c r="AB477" s="392"/>
      <c r="AC477" s="392"/>
      <c r="AD477" s="392"/>
      <c r="AE477" s="392"/>
      <c r="AF477" s="392"/>
    </row>
    <row r="478" ht="15.75" customHeight="1">
      <c r="A478" s="216"/>
      <c r="B478" s="156"/>
      <c r="C478" s="156"/>
      <c r="D478" s="156"/>
      <c r="E478" s="392"/>
      <c r="F478" s="392"/>
      <c r="G478" s="392"/>
      <c r="H478" s="392"/>
      <c r="I478" s="392"/>
      <c r="J478" s="392"/>
      <c r="K478" s="392"/>
      <c r="L478" s="392"/>
      <c r="M478" s="392"/>
      <c r="N478" s="392"/>
      <c r="O478" s="392"/>
      <c r="P478" s="392"/>
      <c r="Q478" s="392"/>
      <c r="R478" s="392"/>
      <c r="S478" s="392"/>
      <c r="T478" s="392"/>
      <c r="U478" s="392"/>
      <c r="V478" s="392"/>
      <c r="W478" s="392"/>
      <c r="X478" s="392"/>
      <c r="Y478" s="392"/>
      <c r="Z478" s="392"/>
      <c r="AA478" s="392"/>
      <c r="AB478" s="392"/>
      <c r="AC478" s="392"/>
      <c r="AD478" s="392"/>
      <c r="AE478" s="392"/>
      <c r="AF478" s="392"/>
    </row>
    <row r="479" ht="15.75" customHeight="1">
      <c r="A479" s="216"/>
      <c r="B479" s="156"/>
      <c r="C479" s="156"/>
      <c r="D479" s="156"/>
      <c r="E479" s="392"/>
      <c r="F479" s="392"/>
      <c r="G479" s="392"/>
      <c r="H479" s="392"/>
      <c r="I479" s="392"/>
      <c r="J479" s="392"/>
      <c r="K479" s="392"/>
      <c r="L479" s="392"/>
      <c r="M479" s="392"/>
      <c r="N479" s="392"/>
      <c r="O479" s="392"/>
      <c r="P479" s="392"/>
      <c r="Q479" s="392"/>
      <c r="R479" s="392"/>
      <c r="S479" s="392"/>
      <c r="T479" s="392"/>
      <c r="U479" s="392"/>
      <c r="V479" s="392"/>
      <c r="W479" s="392"/>
      <c r="X479" s="392"/>
      <c r="Y479" s="392"/>
      <c r="Z479" s="392"/>
      <c r="AA479" s="392"/>
      <c r="AB479" s="392"/>
      <c r="AC479" s="392"/>
      <c r="AD479" s="392"/>
      <c r="AE479" s="392"/>
      <c r="AF479" s="392"/>
    </row>
    <row r="480" ht="15.75" customHeight="1">
      <c r="A480" s="216"/>
      <c r="B480" s="156"/>
      <c r="C480" s="156"/>
      <c r="D480" s="156"/>
      <c r="E480" s="392"/>
      <c r="F480" s="392"/>
      <c r="G480" s="392"/>
      <c r="H480" s="392"/>
      <c r="I480" s="392"/>
      <c r="J480" s="392"/>
      <c r="K480" s="392"/>
      <c r="L480" s="392"/>
      <c r="M480" s="392"/>
      <c r="N480" s="392"/>
      <c r="O480" s="392"/>
      <c r="P480" s="392"/>
      <c r="Q480" s="392"/>
      <c r="R480" s="392"/>
      <c r="S480" s="392"/>
      <c r="T480" s="392"/>
      <c r="U480" s="392"/>
      <c r="V480" s="392"/>
      <c r="W480" s="392"/>
      <c r="X480" s="392"/>
      <c r="Y480" s="392"/>
      <c r="Z480" s="392"/>
      <c r="AA480" s="392"/>
      <c r="AB480" s="392"/>
      <c r="AC480" s="392"/>
      <c r="AD480" s="392"/>
      <c r="AE480" s="392"/>
      <c r="AF480" s="392"/>
    </row>
    <row r="481" ht="15.75" customHeight="1">
      <c r="A481" s="216"/>
      <c r="B481" s="156"/>
      <c r="C481" s="156"/>
      <c r="D481" s="156"/>
      <c r="E481" s="392"/>
      <c r="F481" s="392"/>
      <c r="G481" s="392"/>
      <c r="H481" s="392"/>
      <c r="I481" s="392"/>
      <c r="J481" s="392"/>
      <c r="K481" s="392"/>
      <c r="L481" s="392"/>
      <c r="M481" s="392"/>
      <c r="N481" s="392"/>
      <c r="O481" s="392"/>
      <c r="P481" s="392"/>
      <c r="Q481" s="392"/>
      <c r="R481" s="392"/>
      <c r="S481" s="392"/>
      <c r="T481" s="392"/>
      <c r="U481" s="392"/>
      <c r="V481" s="392"/>
      <c r="W481" s="392"/>
      <c r="X481" s="392"/>
      <c r="Y481" s="392"/>
      <c r="Z481" s="392"/>
      <c r="AA481" s="392"/>
      <c r="AB481" s="392"/>
      <c r="AC481" s="392"/>
      <c r="AD481" s="392"/>
      <c r="AE481" s="392"/>
      <c r="AF481" s="392"/>
    </row>
    <row r="482" ht="15.75" customHeight="1">
      <c r="A482" s="216"/>
      <c r="B482" s="156"/>
      <c r="C482" s="156"/>
      <c r="D482" s="156"/>
      <c r="E482" s="392"/>
      <c r="F482" s="392"/>
      <c r="G482" s="392"/>
      <c r="H482" s="392"/>
      <c r="I482" s="392"/>
      <c r="J482" s="392"/>
      <c r="K482" s="392"/>
      <c r="L482" s="392"/>
      <c r="M482" s="392"/>
      <c r="N482" s="392"/>
      <c r="O482" s="392"/>
      <c r="P482" s="392"/>
      <c r="Q482" s="392"/>
      <c r="R482" s="392"/>
      <c r="S482" s="392"/>
      <c r="T482" s="392"/>
      <c r="U482" s="392"/>
      <c r="V482" s="392"/>
      <c r="W482" s="392"/>
      <c r="X482" s="392"/>
      <c r="Y482" s="392"/>
      <c r="Z482" s="392"/>
      <c r="AA482" s="392"/>
      <c r="AB482" s="392"/>
      <c r="AC482" s="392"/>
      <c r="AD482" s="392"/>
      <c r="AE482" s="392"/>
      <c r="AF482" s="392"/>
    </row>
    <row r="483" ht="15.75" customHeight="1">
      <c r="A483" s="216"/>
      <c r="B483" s="156"/>
      <c r="C483" s="156"/>
      <c r="D483" s="156"/>
      <c r="E483" s="392"/>
      <c r="F483" s="392"/>
      <c r="G483" s="392"/>
      <c r="H483" s="392"/>
      <c r="I483" s="392"/>
      <c r="J483" s="392"/>
      <c r="K483" s="392"/>
      <c r="L483" s="392"/>
      <c r="M483" s="392"/>
      <c r="N483" s="392"/>
      <c r="O483" s="392"/>
      <c r="P483" s="392"/>
      <c r="Q483" s="392"/>
      <c r="R483" s="392"/>
      <c r="S483" s="392"/>
      <c r="T483" s="392"/>
      <c r="U483" s="392"/>
      <c r="V483" s="392"/>
      <c r="W483" s="392"/>
      <c r="X483" s="392"/>
      <c r="Y483" s="392"/>
      <c r="Z483" s="392"/>
      <c r="AA483" s="392"/>
      <c r="AB483" s="392"/>
      <c r="AC483" s="392"/>
      <c r="AD483" s="392"/>
      <c r="AE483" s="392"/>
      <c r="AF483" s="392"/>
    </row>
    <row r="484" ht="15.75" customHeight="1">
      <c r="A484" s="216"/>
      <c r="B484" s="156"/>
      <c r="C484" s="156"/>
      <c r="D484" s="156"/>
      <c r="E484" s="392"/>
      <c r="F484" s="392"/>
      <c r="G484" s="392"/>
      <c r="H484" s="392"/>
      <c r="I484" s="392"/>
      <c r="J484" s="392"/>
      <c r="K484" s="392"/>
      <c r="L484" s="392"/>
      <c r="M484" s="392"/>
      <c r="N484" s="392"/>
      <c r="O484" s="392"/>
      <c r="P484" s="392"/>
      <c r="Q484" s="392"/>
      <c r="R484" s="392"/>
      <c r="S484" s="392"/>
      <c r="T484" s="392"/>
      <c r="U484" s="392"/>
      <c r="V484" s="392"/>
      <c r="W484" s="392"/>
      <c r="X484" s="392"/>
      <c r="Y484" s="392"/>
      <c r="Z484" s="392"/>
      <c r="AA484" s="392"/>
      <c r="AB484" s="392"/>
      <c r="AC484" s="392"/>
      <c r="AD484" s="392"/>
      <c r="AE484" s="392"/>
      <c r="AF484" s="392"/>
    </row>
    <row r="485" ht="15.75" customHeight="1">
      <c r="A485" s="216"/>
      <c r="B485" s="156"/>
      <c r="C485" s="156"/>
      <c r="D485" s="156"/>
      <c r="E485" s="392"/>
      <c r="F485" s="392"/>
      <c r="G485" s="392"/>
      <c r="H485" s="392"/>
      <c r="I485" s="392"/>
      <c r="J485" s="392"/>
      <c r="K485" s="392"/>
      <c r="L485" s="392"/>
      <c r="M485" s="392"/>
      <c r="N485" s="392"/>
      <c r="O485" s="392"/>
      <c r="P485" s="392"/>
      <c r="Q485" s="392"/>
      <c r="R485" s="392"/>
      <c r="S485" s="392"/>
      <c r="T485" s="392"/>
      <c r="U485" s="392"/>
      <c r="V485" s="392"/>
      <c r="W485" s="392"/>
      <c r="X485" s="392"/>
      <c r="Y485" s="392"/>
      <c r="Z485" s="392"/>
      <c r="AA485" s="392"/>
      <c r="AB485" s="392"/>
      <c r="AC485" s="392"/>
      <c r="AD485" s="392"/>
      <c r="AE485" s="392"/>
      <c r="AF485" s="392"/>
    </row>
    <row r="486" ht="15.75" customHeight="1">
      <c r="A486" s="216"/>
      <c r="B486" s="156"/>
      <c r="C486" s="156"/>
      <c r="D486" s="156"/>
      <c r="E486" s="392"/>
      <c r="F486" s="392"/>
      <c r="G486" s="392"/>
      <c r="H486" s="392"/>
      <c r="I486" s="392"/>
      <c r="J486" s="392"/>
      <c r="K486" s="392"/>
      <c r="L486" s="392"/>
      <c r="M486" s="392"/>
      <c r="N486" s="392"/>
      <c r="O486" s="392"/>
      <c r="P486" s="392"/>
      <c r="Q486" s="392"/>
      <c r="R486" s="392"/>
      <c r="S486" s="392"/>
      <c r="T486" s="392"/>
      <c r="U486" s="392"/>
      <c r="V486" s="392"/>
      <c r="W486" s="392"/>
      <c r="X486" s="392"/>
      <c r="Y486" s="392"/>
      <c r="Z486" s="392"/>
      <c r="AA486" s="392"/>
      <c r="AB486" s="392"/>
      <c r="AC486" s="392"/>
      <c r="AD486" s="392"/>
      <c r="AE486" s="392"/>
      <c r="AF486" s="392"/>
    </row>
    <row r="487" ht="15.75" customHeight="1">
      <c r="A487" s="216"/>
      <c r="B487" s="156"/>
      <c r="C487" s="156"/>
      <c r="D487" s="156"/>
      <c r="E487" s="392"/>
      <c r="F487" s="392"/>
      <c r="G487" s="392"/>
      <c r="H487" s="392"/>
      <c r="I487" s="392"/>
      <c r="J487" s="392"/>
      <c r="K487" s="392"/>
      <c r="L487" s="392"/>
      <c r="M487" s="392"/>
      <c r="N487" s="392"/>
      <c r="O487" s="392"/>
      <c r="P487" s="392"/>
      <c r="Q487" s="392"/>
      <c r="R487" s="392"/>
      <c r="S487" s="392"/>
      <c r="T487" s="392"/>
      <c r="U487" s="392"/>
      <c r="V487" s="392"/>
      <c r="W487" s="392"/>
      <c r="X487" s="392"/>
      <c r="Y487" s="392"/>
      <c r="Z487" s="392"/>
      <c r="AA487" s="392"/>
      <c r="AB487" s="392"/>
      <c r="AC487" s="392"/>
      <c r="AD487" s="392"/>
      <c r="AE487" s="392"/>
      <c r="AF487" s="392"/>
    </row>
    <row r="488" ht="15.75" customHeight="1">
      <c r="A488" s="216"/>
      <c r="B488" s="156"/>
      <c r="C488" s="156"/>
      <c r="D488" s="156"/>
      <c r="E488" s="392"/>
      <c r="F488" s="392"/>
      <c r="G488" s="392"/>
      <c r="H488" s="392"/>
      <c r="I488" s="392"/>
      <c r="J488" s="392"/>
      <c r="K488" s="392"/>
      <c r="L488" s="392"/>
      <c r="M488" s="392"/>
      <c r="N488" s="392"/>
      <c r="O488" s="392"/>
      <c r="P488" s="392"/>
      <c r="Q488" s="392"/>
      <c r="R488" s="392"/>
      <c r="S488" s="392"/>
      <c r="T488" s="392"/>
      <c r="U488" s="392"/>
      <c r="V488" s="392"/>
      <c r="W488" s="392"/>
      <c r="X488" s="392"/>
      <c r="Y488" s="392"/>
      <c r="Z488" s="392"/>
      <c r="AA488" s="392"/>
      <c r="AB488" s="392"/>
      <c r="AC488" s="392"/>
      <c r="AD488" s="392"/>
      <c r="AE488" s="392"/>
      <c r="AF488" s="392"/>
    </row>
    <row r="489" ht="15.75" customHeight="1">
      <c r="A489" s="216"/>
      <c r="B489" s="156"/>
      <c r="C489" s="156"/>
      <c r="D489" s="156"/>
      <c r="E489" s="392"/>
      <c r="F489" s="392"/>
      <c r="G489" s="392"/>
      <c r="H489" s="392"/>
      <c r="I489" s="392"/>
      <c r="J489" s="392"/>
      <c r="K489" s="392"/>
      <c r="L489" s="392"/>
      <c r="M489" s="392"/>
      <c r="N489" s="392"/>
      <c r="O489" s="392"/>
      <c r="P489" s="392"/>
      <c r="Q489" s="392"/>
      <c r="R489" s="392"/>
      <c r="S489" s="392"/>
      <c r="T489" s="392"/>
      <c r="U489" s="392"/>
      <c r="V489" s="392"/>
      <c r="W489" s="392"/>
      <c r="X489" s="392"/>
      <c r="Y489" s="392"/>
      <c r="Z489" s="392"/>
      <c r="AA489" s="392"/>
      <c r="AB489" s="392"/>
      <c r="AC489" s="392"/>
      <c r="AD489" s="392"/>
      <c r="AE489" s="392"/>
      <c r="AF489" s="392"/>
    </row>
    <row r="490" ht="15.75" customHeight="1">
      <c r="A490" s="216"/>
      <c r="B490" s="156"/>
      <c r="C490" s="156"/>
      <c r="D490" s="156"/>
      <c r="E490" s="392"/>
      <c r="F490" s="392"/>
      <c r="G490" s="392"/>
      <c r="H490" s="392"/>
      <c r="I490" s="392"/>
      <c r="J490" s="392"/>
      <c r="K490" s="392"/>
      <c r="L490" s="392"/>
      <c r="M490" s="392"/>
      <c r="N490" s="392"/>
      <c r="O490" s="392"/>
      <c r="P490" s="392"/>
      <c r="Q490" s="392"/>
      <c r="R490" s="392"/>
      <c r="S490" s="392"/>
      <c r="T490" s="392"/>
      <c r="U490" s="392"/>
      <c r="V490" s="392"/>
      <c r="W490" s="392"/>
      <c r="X490" s="392"/>
      <c r="Y490" s="392"/>
      <c r="Z490" s="392"/>
      <c r="AA490" s="392"/>
      <c r="AB490" s="392"/>
      <c r="AC490" s="392"/>
      <c r="AD490" s="392"/>
      <c r="AE490" s="392"/>
      <c r="AF490" s="392"/>
    </row>
    <row r="491" ht="15.75" customHeight="1">
      <c r="A491" s="216"/>
      <c r="B491" s="156"/>
      <c r="C491" s="156"/>
      <c r="D491" s="156"/>
      <c r="E491" s="392"/>
      <c r="F491" s="392"/>
      <c r="G491" s="392"/>
      <c r="H491" s="392"/>
      <c r="I491" s="392"/>
      <c r="J491" s="392"/>
      <c r="K491" s="392"/>
      <c r="L491" s="392"/>
      <c r="M491" s="392"/>
      <c r="N491" s="392"/>
      <c r="O491" s="392"/>
      <c r="P491" s="392"/>
      <c r="Q491" s="392"/>
      <c r="R491" s="392"/>
      <c r="S491" s="392"/>
      <c r="T491" s="392"/>
      <c r="U491" s="392"/>
      <c r="V491" s="392"/>
      <c r="W491" s="392"/>
      <c r="X491" s="392"/>
      <c r="Y491" s="392"/>
      <c r="Z491" s="392"/>
      <c r="AA491" s="392"/>
      <c r="AB491" s="392"/>
      <c r="AC491" s="392"/>
      <c r="AD491" s="392"/>
      <c r="AE491" s="392"/>
      <c r="AF491" s="392"/>
    </row>
    <row r="492" ht="15.75" customHeight="1">
      <c r="A492" s="216"/>
      <c r="B492" s="156"/>
      <c r="C492" s="156"/>
      <c r="D492" s="156"/>
      <c r="E492" s="392"/>
      <c r="F492" s="392"/>
      <c r="G492" s="392"/>
      <c r="H492" s="392"/>
      <c r="I492" s="392"/>
      <c r="J492" s="392"/>
      <c r="K492" s="392"/>
      <c r="L492" s="392"/>
      <c r="M492" s="392"/>
      <c r="N492" s="392"/>
      <c r="O492" s="392"/>
      <c r="P492" s="392"/>
      <c r="Q492" s="392"/>
      <c r="R492" s="392"/>
      <c r="S492" s="392"/>
      <c r="T492" s="392"/>
      <c r="U492" s="392"/>
      <c r="V492" s="392"/>
      <c r="W492" s="392"/>
      <c r="X492" s="392"/>
      <c r="Y492" s="392"/>
      <c r="Z492" s="392"/>
      <c r="AA492" s="392"/>
      <c r="AB492" s="392"/>
      <c r="AC492" s="392"/>
      <c r="AD492" s="392"/>
      <c r="AE492" s="392"/>
      <c r="AF492" s="392"/>
    </row>
    <row r="493" ht="15.75" customHeight="1">
      <c r="A493" s="216"/>
      <c r="B493" s="156"/>
      <c r="C493" s="156"/>
      <c r="D493" s="156"/>
      <c r="E493" s="392"/>
      <c r="F493" s="392"/>
      <c r="G493" s="392"/>
      <c r="H493" s="392"/>
      <c r="I493" s="392"/>
      <c r="J493" s="392"/>
      <c r="K493" s="392"/>
      <c r="L493" s="392"/>
      <c r="M493" s="392"/>
      <c r="N493" s="392"/>
      <c r="O493" s="392"/>
      <c r="P493" s="392"/>
      <c r="Q493" s="392"/>
      <c r="R493" s="392"/>
      <c r="S493" s="392"/>
      <c r="T493" s="392"/>
      <c r="U493" s="392"/>
      <c r="V493" s="392"/>
      <c r="W493" s="392"/>
      <c r="X493" s="392"/>
      <c r="Y493" s="392"/>
      <c r="Z493" s="392"/>
      <c r="AA493" s="392"/>
      <c r="AB493" s="392"/>
      <c r="AC493" s="392"/>
      <c r="AD493" s="392"/>
      <c r="AE493" s="392"/>
      <c r="AF493" s="392"/>
    </row>
    <row r="494" ht="15.75" customHeight="1">
      <c r="A494" s="216"/>
      <c r="B494" s="156"/>
      <c r="C494" s="156"/>
      <c r="D494" s="156"/>
      <c r="E494" s="392"/>
      <c r="F494" s="392"/>
      <c r="G494" s="392"/>
      <c r="H494" s="392"/>
      <c r="I494" s="392"/>
      <c r="J494" s="392"/>
      <c r="K494" s="392"/>
      <c r="L494" s="392"/>
      <c r="M494" s="392"/>
      <c r="N494" s="392"/>
      <c r="O494" s="392"/>
      <c r="P494" s="392"/>
      <c r="Q494" s="392"/>
      <c r="R494" s="392"/>
      <c r="S494" s="392"/>
      <c r="T494" s="392"/>
      <c r="U494" s="392"/>
      <c r="V494" s="392"/>
      <c r="W494" s="392"/>
      <c r="X494" s="392"/>
      <c r="Y494" s="392"/>
      <c r="Z494" s="392"/>
      <c r="AA494" s="392"/>
      <c r="AB494" s="392"/>
      <c r="AC494" s="392"/>
      <c r="AD494" s="392"/>
      <c r="AE494" s="392"/>
      <c r="AF494" s="392"/>
    </row>
    <row r="495" ht="15.75" customHeight="1">
      <c r="A495" s="216"/>
      <c r="B495" s="156"/>
      <c r="C495" s="156"/>
      <c r="D495" s="156"/>
      <c r="E495" s="392"/>
      <c r="F495" s="392"/>
      <c r="G495" s="392"/>
      <c r="H495" s="392"/>
      <c r="I495" s="392"/>
      <c r="J495" s="392"/>
      <c r="K495" s="392"/>
      <c r="L495" s="392"/>
      <c r="M495" s="392"/>
      <c r="N495" s="392"/>
      <c r="O495" s="392"/>
      <c r="P495" s="392"/>
      <c r="Q495" s="392"/>
      <c r="R495" s="392"/>
      <c r="S495" s="392"/>
      <c r="T495" s="392"/>
      <c r="U495" s="392"/>
      <c r="V495" s="392"/>
      <c r="W495" s="392"/>
      <c r="X495" s="392"/>
      <c r="Y495" s="392"/>
      <c r="Z495" s="392"/>
      <c r="AA495" s="392"/>
      <c r="AB495" s="392"/>
      <c r="AC495" s="392"/>
      <c r="AD495" s="392"/>
      <c r="AE495" s="392"/>
      <c r="AF495" s="392"/>
    </row>
    <row r="496" ht="15.75" customHeight="1">
      <c r="A496" s="216"/>
      <c r="B496" s="156"/>
      <c r="C496" s="156"/>
      <c r="D496" s="156"/>
      <c r="E496" s="392"/>
      <c r="F496" s="392"/>
      <c r="G496" s="392"/>
      <c r="H496" s="392"/>
      <c r="I496" s="392"/>
      <c r="J496" s="392"/>
      <c r="K496" s="392"/>
      <c r="L496" s="392"/>
      <c r="M496" s="392"/>
      <c r="N496" s="392"/>
      <c r="O496" s="392"/>
      <c r="P496" s="392"/>
      <c r="Q496" s="392"/>
      <c r="R496" s="392"/>
      <c r="S496" s="392"/>
      <c r="T496" s="392"/>
      <c r="U496" s="392"/>
      <c r="V496" s="392"/>
      <c r="W496" s="392"/>
      <c r="X496" s="392"/>
      <c r="Y496" s="392"/>
      <c r="Z496" s="392"/>
      <c r="AA496" s="392"/>
      <c r="AB496" s="392"/>
      <c r="AC496" s="392"/>
      <c r="AD496" s="392"/>
      <c r="AE496" s="392"/>
      <c r="AF496" s="392"/>
    </row>
    <row r="497" ht="15.75" customHeight="1">
      <c r="A497" s="216"/>
      <c r="B497" s="156"/>
      <c r="C497" s="156"/>
      <c r="D497" s="156"/>
      <c r="E497" s="392"/>
      <c r="F497" s="392"/>
      <c r="G497" s="392"/>
      <c r="H497" s="392"/>
      <c r="I497" s="392"/>
      <c r="J497" s="392"/>
      <c r="K497" s="392"/>
      <c r="L497" s="392"/>
      <c r="M497" s="392"/>
      <c r="N497" s="392"/>
      <c r="O497" s="392"/>
      <c r="P497" s="392"/>
      <c r="Q497" s="392"/>
      <c r="R497" s="392"/>
      <c r="S497" s="392"/>
      <c r="T497" s="392"/>
      <c r="U497" s="392"/>
      <c r="V497" s="392"/>
      <c r="W497" s="392"/>
      <c r="X497" s="392"/>
      <c r="Y497" s="392"/>
      <c r="Z497" s="392"/>
      <c r="AA497" s="392"/>
      <c r="AB497" s="392"/>
      <c r="AC497" s="392"/>
      <c r="AD497" s="392"/>
      <c r="AE497" s="392"/>
      <c r="AF497" s="392"/>
    </row>
    <row r="498" ht="15.75" customHeight="1">
      <c r="A498" s="216"/>
      <c r="B498" s="156"/>
      <c r="C498" s="156"/>
      <c r="D498" s="156"/>
      <c r="E498" s="392"/>
      <c r="F498" s="392"/>
      <c r="G498" s="392"/>
      <c r="H498" s="392"/>
      <c r="I498" s="392"/>
      <c r="J498" s="392"/>
      <c r="K498" s="392"/>
      <c r="L498" s="392"/>
      <c r="M498" s="392"/>
      <c r="N498" s="392"/>
      <c r="O498" s="392"/>
      <c r="P498" s="392"/>
      <c r="Q498" s="392"/>
      <c r="R498" s="392"/>
      <c r="S498" s="392"/>
      <c r="T498" s="392"/>
      <c r="U498" s="392"/>
      <c r="V498" s="392"/>
      <c r="W498" s="392"/>
      <c r="X498" s="392"/>
      <c r="Y498" s="392"/>
      <c r="Z498" s="392"/>
      <c r="AA498" s="392"/>
      <c r="AB498" s="392"/>
      <c r="AC498" s="392"/>
      <c r="AD498" s="392"/>
      <c r="AE498" s="392"/>
      <c r="AF498" s="392"/>
    </row>
    <row r="499" ht="15.75" customHeight="1">
      <c r="A499" s="216"/>
      <c r="B499" s="156"/>
      <c r="C499" s="156"/>
      <c r="D499" s="156"/>
      <c r="E499" s="392"/>
      <c r="F499" s="392"/>
      <c r="G499" s="392"/>
      <c r="H499" s="392"/>
      <c r="I499" s="392"/>
      <c r="J499" s="392"/>
      <c r="K499" s="392"/>
      <c r="L499" s="392"/>
      <c r="M499" s="392"/>
      <c r="N499" s="392"/>
      <c r="O499" s="392"/>
      <c r="P499" s="392"/>
      <c r="Q499" s="392"/>
      <c r="R499" s="392"/>
      <c r="S499" s="392"/>
      <c r="T499" s="392"/>
      <c r="U499" s="392"/>
      <c r="V499" s="392"/>
      <c r="W499" s="392"/>
      <c r="X499" s="392"/>
      <c r="Y499" s="392"/>
      <c r="Z499" s="392"/>
      <c r="AA499" s="392"/>
      <c r="AB499" s="392"/>
      <c r="AC499" s="392"/>
      <c r="AD499" s="392"/>
      <c r="AE499" s="392"/>
      <c r="AF499" s="392"/>
    </row>
    <row r="500" ht="15.75" customHeight="1">
      <c r="A500" s="216"/>
      <c r="B500" s="156"/>
      <c r="C500" s="156"/>
      <c r="D500" s="156"/>
      <c r="E500" s="392"/>
      <c r="F500" s="392"/>
      <c r="G500" s="392"/>
      <c r="H500" s="392"/>
      <c r="I500" s="392"/>
      <c r="J500" s="392"/>
      <c r="K500" s="392"/>
      <c r="L500" s="392"/>
      <c r="M500" s="392"/>
      <c r="N500" s="392"/>
      <c r="O500" s="392"/>
      <c r="P500" s="392"/>
      <c r="Q500" s="392"/>
      <c r="R500" s="392"/>
      <c r="S500" s="392"/>
      <c r="T500" s="392"/>
      <c r="U500" s="392"/>
      <c r="V500" s="392"/>
      <c r="W500" s="392"/>
      <c r="X500" s="392"/>
      <c r="Y500" s="392"/>
      <c r="Z500" s="392"/>
      <c r="AA500" s="392"/>
      <c r="AB500" s="392"/>
      <c r="AC500" s="392"/>
      <c r="AD500" s="392"/>
      <c r="AE500" s="392"/>
      <c r="AF500" s="392"/>
    </row>
    <row r="501" ht="15.75" customHeight="1">
      <c r="A501" s="216"/>
      <c r="B501" s="156"/>
      <c r="C501" s="156"/>
      <c r="D501" s="156"/>
      <c r="E501" s="392"/>
      <c r="F501" s="392"/>
      <c r="G501" s="392"/>
      <c r="H501" s="392"/>
      <c r="I501" s="392"/>
      <c r="J501" s="392"/>
      <c r="K501" s="392"/>
      <c r="L501" s="392"/>
      <c r="M501" s="392"/>
      <c r="N501" s="392"/>
      <c r="O501" s="392"/>
      <c r="P501" s="392"/>
      <c r="Q501" s="392"/>
      <c r="R501" s="392"/>
      <c r="S501" s="392"/>
      <c r="T501" s="392"/>
      <c r="U501" s="392"/>
      <c r="V501" s="392"/>
      <c r="W501" s="392"/>
      <c r="X501" s="392"/>
      <c r="Y501" s="392"/>
      <c r="Z501" s="392"/>
      <c r="AA501" s="392"/>
      <c r="AB501" s="392"/>
      <c r="AC501" s="392"/>
      <c r="AD501" s="392"/>
      <c r="AE501" s="392"/>
      <c r="AF501" s="392"/>
    </row>
    <row r="502" ht="15.75" customHeight="1">
      <c r="A502" s="216"/>
      <c r="B502" s="156"/>
      <c r="C502" s="156"/>
      <c r="D502" s="156"/>
      <c r="E502" s="392"/>
      <c r="F502" s="392"/>
      <c r="G502" s="392"/>
      <c r="H502" s="392"/>
      <c r="I502" s="392"/>
      <c r="J502" s="392"/>
      <c r="K502" s="392"/>
      <c r="L502" s="392"/>
      <c r="M502" s="392"/>
      <c r="N502" s="392"/>
      <c r="O502" s="392"/>
      <c r="P502" s="392"/>
      <c r="Q502" s="392"/>
      <c r="R502" s="392"/>
      <c r="S502" s="392"/>
      <c r="T502" s="392"/>
      <c r="U502" s="392"/>
      <c r="V502" s="392"/>
      <c r="W502" s="392"/>
      <c r="X502" s="392"/>
      <c r="Y502" s="392"/>
      <c r="Z502" s="392"/>
      <c r="AA502" s="392"/>
      <c r="AB502" s="392"/>
      <c r="AC502" s="392"/>
      <c r="AD502" s="392"/>
      <c r="AE502" s="392"/>
      <c r="AF502" s="392"/>
    </row>
    <row r="503" ht="15.75" customHeight="1">
      <c r="A503" s="216"/>
      <c r="B503" s="156"/>
      <c r="C503" s="156"/>
      <c r="D503" s="156"/>
      <c r="E503" s="392"/>
      <c r="F503" s="392"/>
      <c r="G503" s="392"/>
      <c r="H503" s="392"/>
      <c r="I503" s="392"/>
      <c r="J503" s="392"/>
      <c r="K503" s="392"/>
      <c r="L503" s="392"/>
      <c r="M503" s="392"/>
      <c r="N503" s="392"/>
      <c r="O503" s="392"/>
      <c r="P503" s="392"/>
      <c r="Q503" s="392"/>
      <c r="R503" s="392"/>
      <c r="S503" s="392"/>
      <c r="T503" s="392"/>
      <c r="U503" s="392"/>
      <c r="V503" s="392"/>
      <c r="W503" s="392"/>
      <c r="X503" s="392"/>
      <c r="Y503" s="392"/>
      <c r="Z503" s="392"/>
      <c r="AA503" s="392"/>
      <c r="AB503" s="392"/>
      <c r="AC503" s="392"/>
      <c r="AD503" s="392"/>
      <c r="AE503" s="392"/>
      <c r="AF503" s="392"/>
    </row>
    <row r="504" ht="15.75" customHeight="1">
      <c r="A504" s="216"/>
      <c r="B504" s="156"/>
      <c r="C504" s="156"/>
      <c r="D504" s="156"/>
      <c r="E504" s="392"/>
      <c r="F504" s="392"/>
      <c r="G504" s="392"/>
      <c r="H504" s="392"/>
      <c r="I504" s="392"/>
      <c r="J504" s="392"/>
      <c r="K504" s="392"/>
      <c r="L504" s="392"/>
      <c r="M504" s="392"/>
      <c r="N504" s="392"/>
      <c r="O504" s="392"/>
      <c r="P504" s="392"/>
      <c r="Q504" s="392"/>
      <c r="R504" s="392"/>
      <c r="S504" s="392"/>
      <c r="T504" s="392"/>
      <c r="U504" s="392"/>
      <c r="V504" s="392"/>
      <c r="W504" s="392"/>
      <c r="X504" s="392"/>
      <c r="Y504" s="392"/>
      <c r="Z504" s="392"/>
      <c r="AA504" s="392"/>
      <c r="AB504" s="392"/>
      <c r="AC504" s="392"/>
      <c r="AD504" s="392"/>
      <c r="AE504" s="392"/>
      <c r="AF504" s="392"/>
    </row>
    <row r="505" ht="15.75" customHeight="1">
      <c r="A505" s="216"/>
      <c r="B505" s="156"/>
      <c r="C505" s="156"/>
      <c r="D505" s="156"/>
      <c r="E505" s="392"/>
      <c r="F505" s="392"/>
      <c r="G505" s="392"/>
      <c r="H505" s="392"/>
      <c r="I505" s="392"/>
      <c r="J505" s="392"/>
      <c r="K505" s="392"/>
      <c r="L505" s="392"/>
      <c r="M505" s="392"/>
      <c r="N505" s="392"/>
      <c r="O505" s="392"/>
      <c r="P505" s="392"/>
      <c r="Q505" s="392"/>
      <c r="R505" s="392"/>
      <c r="S505" s="392"/>
      <c r="T505" s="392"/>
      <c r="U505" s="392"/>
      <c r="V505" s="392"/>
      <c r="W505" s="392"/>
      <c r="X505" s="392"/>
      <c r="Y505" s="392"/>
      <c r="Z505" s="392"/>
      <c r="AA505" s="392"/>
      <c r="AB505" s="392"/>
      <c r="AC505" s="392"/>
      <c r="AD505" s="392"/>
      <c r="AE505" s="392"/>
      <c r="AF505" s="392"/>
    </row>
    <row r="506" ht="15.75" customHeight="1">
      <c r="A506" s="216"/>
      <c r="B506" s="156"/>
      <c r="C506" s="156"/>
      <c r="D506" s="156"/>
      <c r="E506" s="392"/>
      <c r="F506" s="392"/>
      <c r="G506" s="392"/>
      <c r="H506" s="392"/>
      <c r="I506" s="392"/>
      <c r="J506" s="392"/>
      <c r="K506" s="392"/>
      <c r="L506" s="392"/>
      <c r="M506" s="392"/>
      <c r="N506" s="392"/>
      <c r="O506" s="392"/>
      <c r="P506" s="392"/>
      <c r="Q506" s="392"/>
      <c r="R506" s="392"/>
      <c r="S506" s="392"/>
      <c r="T506" s="392"/>
      <c r="U506" s="392"/>
      <c r="V506" s="392"/>
      <c r="W506" s="392"/>
      <c r="X506" s="392"/>
      <c r="Y506" s="392"/>
      <c r="Z506" s="392"/>
      <c r="AA506" s="392"/>
      <c r="AB506" s="392"/>
      <c r="AC506" s="392"/>
      <c r="AD506" s="392"/>
      <c r="AE506" s="392"/>
      <c r="AF506" s="392"/>
    </row>
    <row r="507" ht="15.75" customHeight="1">
      <c r="A507" s="216"/>
      <c r="B507" s="156"/>
      <c r="C507" s="156"/>
      <c r="D507" s="156"/>
      <c r="E507" s="392"/>
      <c r="F507" s="392"/>
      <c r="G507" s="392"/>
      <c r="H507" s="392"/>
      <c r="I507" s="392"/>
      <c r="J507" s="392"/>
      <c r="K507" s="392"/>
      <c r="L507" s="392"/>
      <c r="M507" s="392"/>
      <c r="N507" s="392"/>
      <c r="O507" s="392"/>
      <c r="P507" s="392"/>
      <c r="Q507" s="392"/>
      <c r="R507" s="392"/>
      <c r="S507" s="392"/>
      <c r="T507" s="392"/>
      <c r="U507" s="392"/>
      <c r="V507" s="392"/>
      <c r="W507" s="392"/>
      <c r="X507" s="392"/>
      <c r="Y507" s="392"/>
      <c r="Z507" s="392"/>
      <c r="AA507" s="392"/>
      <c r="AB507" s="392"/>
      <c r="AC507" s="392"/>
      <c r="AD507" s="392"/>
      <c r="AE507" s="392"/>
      <c r="AF507" s="392"/>
    </row>
    <row r="508" ht="15.75" customHeight="1">
      <c r="A508" s="216"/>
      <c r="B508" s="156"/>
      <c r="C508" s="156"/>
      <c r="D508" s="156"/>
      <c r="E508" s="392"/>
      <c r="F508" s="392"/>
      <c r="G508" s="392"/>
      <c r="H508" s="392"/>
      <c r="I508" s="392"/>
      <c r="J508" s="392"/>
      <c r="K508" s="392"/>
      <c r="L508" s="392"/>
      <c r="M508" s="392"/>
      <c r="N508" s="392"/>
      <c r="O508" s="392"/>
      <c r="P508" s="392"/>
      <c r="Q508" s="392"/>
      <c r="R508" s="392"/>
      <c r="S508" s="392"/>
      <c r="T508" s="392"/>
      <c r="U508" s="392"/>
      <c r="V508" s="392"/>
      <c r="W508" s="392"/>
      <c r="X508" s="392"/>
      <c r="Y508" s="392"/>
      <c r="Z508" s="392"/>
      <c r="AA508" s="392"/>
      <c r="AB508" s="392"/>
      <c r="AC508" s="392"/>
      <c r="AD508" s="392"/>
      <c r="AE508" s="392"/>
      <c r="AF508" s="392"/>
    </row>
    <row r="509" ht="15.75" customHeight="1">
      <c r="A509" s="216"/>
      <c r="B509" s="156"/>
      <c r="C509" s="156"/>
      <c r="D509" s="156"/>
      <c r="E509" s="392"/>
      <c r="F509" s="392"/>
      <c r="G509" s="392"/>
      <c r="H509" s="392"/>
      <c r="I509" s="392"/>
      <c r="J509" s="392"/>
      <c r="K509" s="392"/>
      <c r="L509" s="392"/>
      <c r="M509" s="392"/>
      <c r="N509" s="392"/>
      <c r="O509" s="392"/>
      <c r="P509" s="392"/>
      <c r="Q509" s="392"/>
      <c r="R509" s="392"/>
      <c r="S509" s="392"/>
      <c r="T509" s="392"/>
      <c r="U509" s="392"/>
      <c r="V509" s="392"/>
      <c r="W509" s="392"/>
      <c r="X509" s="392"/>
      <c r="Y509" s="392"/>
      <c r="Z509" s="392"/>
      <c r="AA509" s="392"/>
      <c r="AB509" s="392"/>
      <c r="AC509" s="392"/>
      <c r="AD509" s="392"/>
      <c r="AE509" s="392"/>
      <c r="AF509" s="392"/>
    </row>
    <row r="510" ht="15.75" customHeight="1">
      <c r="A510" s="216"/>
      <c r="B510" s="156"/>
      <c r="C510" s="156"/>
      <c r="D510" s="156"/>
      <c r="E510" s="392"/>
      <c r="F510" s="392"/>
      <c r="G510" s="392"/>
      <c r="H510" s="392"/>
      <c r="I510" s="392"/>
      <c r="J510" s="392"/>
      <c r="K510" s="392"/>
      <c r="L510" s="392"/>
      <c r="M510" s="392"/>
      <c r="N510" s="392"/>
      <c r="O510" s="392"/>
      <c r="P510" s="392"/>
      <c r="Q510" s="392"/>
      <c r="R510" s="392"/>
      <c r="S510" s="392"/>
      <c r="T510" s="392"/>
      <c r="U510" s="392"/>
      <c r="V510" s="392"/>
      <c r="W510" s="392"/>
      <c r="X510" s="392"/>
      <c r="Y510" s="392"/>
      <c r="Z510" s="392"/>
      <c r="AA510" s="392"/>
      <c r="AB510" s="392"/>
      <c r="AC510" s="392"/>
      <c r="AD510" s="392"/>
      <c r="AE510" s="392"/>
      <c r="AF510" s="392"/>
    </row>
    <row r="511" ht="15.75" customHeight="1">
      <c r="A511" s="216"/>
      <c r="B511" s="156"/>
      <c r="C511" s="156"/>
      <c r="D511" s="156"/>
      <c r="E511" s="392"/>
      <c r="F511" s="392"/>
      <c r="G511" s="392"/>
      <c r="H511" s="392"/>
      <c r="I511" s="392"/>
      <c r="J511" s="392"/>
      <c r="K511" s="392"/>
      <c r="L511" s="392"/>
      <c r="M511" s="392"/>
      <c r="N511" s="392"/>
      <c r="O511" s="392"/>
      <c r="P511" s="392"/>
      <c r="Q511" s="392"/>
      <c r="R511" s="392"/>
      <c r="S511" s="392"/>
      <c r="T511" s="392"/>
      <c r="U511" s="392"/>
      <c r="V511" s="392"/>
      <c r="W511" s="392"/>
      <c r="X511" s="392"/>
      <c r="Y511" s="392"/>
      <c r="Z511" s="392"/>
      <c r="AA511" s="392"/>
      <c r="AB511" s="392"/>
      <c r="AC511" s="392"/>
      <c r="AD511" s="392"/>
      <c r="AE511" s="392"/>
      <c r="AF511" s="392"/>
    </row>
    <row r="512" ht="15.75" customHeight="1">
      <c r="A512" s="216"/>
      <c r="B512" s="156"/>
      <c r="C512" s="156"/>
      <c r="D512" s="156"/>
      <c r="E512" s="392"/>
      <c r="F512" s="392"/>
      <c r="G512" s="392"/>
      <c r="H512" s="392"/>
      <c r="I512" s="392"/>
      <c r="J512" s="392"/>
      <c r="K512" s="392"/>
      <c r="L512" s="392"/>
      <c r="M512" s="392"/>
      <c r="N512" s="392"/>
      <c r="O512" s="392"/>
      <c r="P512" s="392"/>
      <c r="Q512" s="392"/>
      <c r="R512" s="392"/>
      <c r="S512" s="392"/>
      <c r="T512" s="392"/>
      <c r="U512" s="392"/>
      <c r="V512" s="392"/>
      <c r="W512" s="392"/>
      <c r="X512" s="392"/>
      <c r="Y512" s="392"/>
      <c r="Z512" s="392"/>
      <c r="AA512" s="392"/>
      <c r="AB512" s="392"/>
      <c r="AC512" s="392"/>
      <c r="AD512" s="392"/>
      <c r="AE512" s="392"/>
      <c r="AF512" s="392"/>
    </row>
    <row r="513" ht="15.75" customHeight="1">
      <c r="A513" s="216"/>
      <c r="B513" s="156"/>
      <c r="C513" s="156"/>
      <c r="D513" s="156"/>
      <c r="E513" s="392"/>
      <c r="F513" s="392"/>
      <c r="G513" s="392"/>
      <c r="H513" s="392"/>
      <c r="I513" s="392"/>
      <c r="J513" s="392"/>
      <c r="K513" s="392"/>
      <c r="L513" s="392"/>
      <c r="M513" s="392"/>
      <c r="N513" s="392"/>
      <c r="O513" s="392"/>
      <c r="P513" s="392"/>
      <c r="Q513" s="392"/>
      <c r="R513" s="392"/>
      <c r="S513" s="392"/>
      <c r="T513" s="392"/>
      <c r="U513" s="392"/>
      <c r="V513" s="392"/>
      <c r="W513" s="392"/>
      <c r="X513" s="392"/>
      <c r="Y513" s="392"/>
      <c r="Z513" s="392"/>
      <c r="AA513" s="392"/>
      <c r="AB513" s="392"/>
      <c r="AC513" s="392"/>
      <c r="AD513" s="392"/>
      <c r="AE513" s="392"/>
      <c r="AF513" s="392"/>
    </row>
    <row r="514" ht="15.75" customHeight="1">
      <c r="A514" s="216"/>
      <c r="B514" s="156"/>
      <c r="C514" s="156"/>
      <c r="D514" s="156"/>
      <c r="E514" s="392"/>
      <c r="F514" s="392"/>
      <c r="G514" s="392"/>
      <c r="H514" s="392"/>
      <c r="I514" s="392"/>
      <c r="J514" s="392"/>
      <c r="K514" s="392"/>
      <c r="L514" s="392"/>
      <c r="M514" s="392"/>
      <c r="N514" s="392"/>
      <c r="O514" s="392"/>
      <c r="P514" s="392"/>
      <c r="Q514" s="392"/>
      <c r="R514" s="392"/>
      <c r="S514" s="392"/>
      <c r="T514" s="392"/>
      <c r="U514" s="392"/>
      <c r="V514" s="392"/>
      <c r="W514" s="392"/>
      <c r="X514" s="392"/>
      <c r="Y514" s="392"/>
      <c r="Z514" s="392"/>
      <c r="AA514" s="392"/>
      <c r="AB514" s="392"/>
      <c r="AC514" s="392"/>
      <c r="AD514" s="392"/>
      <c r="AE514" s="392"/>
      <c r="AF514" s="392"/>
    </row>
    <row r="515" ht="15.75" customHeight="1">
      <c r="A515" s="216"/>
      <c r="B515" s="156"/>
      <c r="C515" s="156"/>
      <c r="D515" s="156"/>
      <c r="E515" s="392"/>
      <c r="F515" s="392"/>
      <c r="G515" s="392"/>
      <c r="H515" s="392"/>
      <c r="I515" s="392"/>
      <c r="J515" s="392"/>
      <c r="K515" s="392"/>
      <c r="L515" s="392"/>
      <c r="M515" s="392"/>
      <c r="N515" s="392"/>
      <c r="O515" s="392"/>
      <c r="P515" s="392"/>
      <c r="Q515" s="392"/>
      <c r="R515" s="392"/>
      <c r="S515" s="392"/>
      <c r="T515" s="392"/>
      <c r="U515" s="392"/>
      <c r="V515" s="392"/>
      <c r="W515" s="392"/>
      <c r="X515" s="392"/>
      <c r="Y515" s="392"/>
      <c r="Z515" s="392"/>
      <c r="AA515" s="392"/>
      <c r="AB515" s="392"/>
      <c r="AC515" s="392"/>
      <c r="AD515" s="392"/>
      <c r="AE515" s="392"/>
      <c r="AF515" s="392"/>
    </row>
    <row r="516" ht="15.75" customHeight="1">
      <c r="A516" s="216"/>
      <c r="B516" s="156"/>
      <c r="C516" s="156"/>
      <c r="D516" s="156"/>
      <c r="E516" s="392"/>
      <c r="F516" s="392"/>
      <c r="G516" s="392"/>
      <c r="H516" s="392"/>
      <c r="I516" s="392"/>
      <c r="J516" s="392"/>
      <c r="K516" s="392"/>
      <c r="L516" s="392"/>
      <c r="M516" s="392"/>
      <c r="N516" s="392"/>
      <c r="O516" s="392"/>
      <c r="P516" s="392"/>
      <c r="Q516" s="392"/>
      <c r="R516" s="392"/>
      <c r="S516" s="392"/>
      <c r="T516" s="392"/>
      <c r="U516" s="392"/>
      <c r="V516" s="392"/>
      <c r="W516" s="392"/>
      <c r="X516" s="392"/>
      <c r="Y516" s="392"/>
      <c r="Z516" s="392"/>
      <c r="AA516" s="392"/>
      <c r="AB516" s="392"/>
      <c r="AC516" s="392"/>
      <c r="AD516" s="392"/>
      <c r="AE516" s="392"/>
      <c r="AF516" s="392"/>
    </row>
    <row r="517" ht="15.75" customHeight="1">
      <c r="A517" s="216"/>
      <c r="B517" s="156"/>
      <c r="C517" s="156"/>
      <c r="D517" s="156"/>
      <c r="E517" s="392"/>
      <c r="F517" s="392"/>
      <c r="G517" s="392"/>
      <c r="H517" s="392"/>
      <c r="I517" s="392"/>
      <c r="J517" s="392"/>
      <c r="K517" s="392"/>
      <c r="L517" s="392"/>
      <c r="M517" s="392"/>
      <c r="N517" s="392"/>
      <c r="O517" s="392"/>
      <c r="P517" s="392"/>
      <c r="Q517" s="392"/>
      <c r="R517" s="392"/>
      <c r="S517" s="392"/>
      <c r="T517" s="392"/>
      <c r="U517" s="392"/>
      <c r="V517" s="392"/>
      <c r="W517" s="392"/>
      <c r="X517" s="392"/>
      <c r="Y517" s="392"/>
      <c r="Z517" s="392"/>
      <c r="AA517" s="392"/>
      <c r="AB517" s="392"/>
      <c r="AC517" s="392"/>
      <c r="AD517" s="392"/>
      <c r="AE517" s="392"/>
      <c r="AF517" s="392"/>
    </row>
    <row r="518" ht="15.75" customHeight="1">
      <c r="A518" s="216"/>
      <c r="B518" s="156"/>
      <c r="C518" s="156"/>
      <c r="D518" s="156"/>
      <c r="E518" s="392"/>
      <c r="F518" s="392"/>
      <c r="G518" s="392"/>
      <c r="H518" s="392"/>
      <c r="I518" s="392"/>
      <c r="J518" s="392"/>
      <c r="K518" s="392"/>
      <c r="L518" s="392"/>
      <c r="M518" s="392"/>
      <c r="N518" s="392"/>
      <c r="O518" s="392"/>
      <c r="P518" s="392"/>
      <c r="Q518" s="392"/>
      <c r="R518" s="392"/>
      <c r="S518" s="392"/>
      <c r="T518" s="392"/>
      <c r="U518" s="392"/>
      <c r="V518" s="392"/>
      <c r="W518" s="392"/>
      <c r="X518" s="392"/>
      <c r="Y518" s="392"/>
      <c r="Z518" s="392"/>
      <c r="AA518" s="392"/>
      <c r="AB518" s="392"/>
      <c r="AC518" s="392"/>
      <c r="AD518" s="392"/>
      <c r="AE518" s="392"/>
      <c r="AF518" s="392"/>
    </row>
    <row r="519" ht="15.75" customHeight="1">
      <c r="A519" s="216"/>
      <c r="B519" s="156"/>
      <c r="C519" s="156"/>
      <c r="D519" s="156"/>
      <c r="E519" s="392"/>
      <c r="F519" s="392"/>
      <c r="G519" s="392"/>
      <c r="H519" s="392"/>
      <c r="I519" s="392"/>
      <c r="J519" s="392"/>
      <c r="K519" s="392"/>
      <c r="L519" s="392"/>
      <c r="M519" s="392"/>
      <c r="N519" s="392"/>
      <c r="O519" s="392"/>
      <c r="P519" s="392"/>
      <c r="Q519" s="392"/>
      <c r="R519" s="392"/>
      <c r="S519" s="392"/>
      <c r="T519" s="392"/>
      <c r="U519" s="392"/>
      <c r="V519" s="392"/>
      <c r="W519" s="392"/>
      <c r="X519" s="392"/>
      <c r="Y519" s="392"/>
      <c r="Z519" s="392"/>
      <c r="AA519" s="392"/>
      <c r="AB519" s="392"/>
      <c r="AC519" s="392"/>
      <c r="AD519" s="392"/>
      <c r="AE519" s="392"/>
      <c r="AF519" s="392"/>
    </row>
    <row r="520" ht="15.75" customHeight="1">
      <c r="A520" s="216"/>
      <c r="B520" s="156"/>
      <c r="C520" s="156"/>
      <c r="D520" s="156"/>
      <c r="E520" s="392"/>
      <c r="F520" s="392"/>
      <c r="G520" s="392"/>
      <c r="H520" s="392"/>
      <c r="I520" s="392"/>
      <c r="J520" s="392"/>
      <c r="K520" s="392"/>
      <c r="L520" s="392"/>
      <c r="M520" s="392"/>
      <c r="N520" s="392"/>
      <c r="O520" s="392"/>
      <c r="P520" s="392"/>
      <c r="Q520" s="392"/>
      <c r="R520" s="392"/>
      <c r="S520" s="392"/>
      <c r="T520" s="392"/>
      <c r="U520" s="392"/>
      <c r="V520" s="392"/>
      <c r="W520" s="392"/>
      <c r="X520" s="392"/>
      <c r="Y520" s="392"/>
      <c r="Z520" s="392"/>
      <c r="AA520" s="392"/>
      <c r="AB520" s="392"/>
      <c r="AC520" s="392"/>
      <c r="AD520" s="392"/>
      <c r="AE520" s="392"/>
      <c r="AF520" s="392"/>
    </row>
    <row r="521" ht="15.75" customHeight="1">
      <c r="A521" s="216"/>
      <c r="B521" s="156"/>
      <c r="C521" s="156"/>
      <c r="D521" s="156"/>
      <c r="E521" s="392"/>
      <c r="F521" s="392"/>
      <c r="G521" s="392"/>
      <c r="H521" s="392"/>
      <c r="I521" s="392"/>
      <c r="J521" s="392"/>
      <c r="K521" s="392"/>
      <c r="L521" s="392"/>
      <c r="M521" s="392"/>
      <c r="N521" s="392"/>
      <c r="O521" s="392"/>
      <c r="P521" s="392"/>
      <c r="Q521" s="392"/>
      <c r="R521" s="392"/>
      <c r="S521" s="392"/>
      <c r="T521" s="392"/>
      <c r="U521" s="392"/>
      <c r="V521" s="392"/>
      <c r="W521" s="392"/>
      <c r="X521" s="392"/>
      <c r="Y521" s="392"/>
      <c r="Z521" s="392"/>
      <c r="AA521" s="392"/>
      <c r="AB521" s="392"/>
      <c r="AC521" s="392"/>
      <c r="AD521" s="392"/>
      <c r="AE521" s="392"/>
      <c r="AF521" s="392"/>
    </row>
    <row r="522" ht="15.75" customHeight="1">
      <c r="A522" s="216"/>
      <c r="B522" s="156"/>
      <c r="C522" s="156"/>
      <c r="D522" s="156"/>
      <c r="E522" s="392"/>
      <c r="F522" s="392"/>
      <c r="G522" s="392"/>
      <c r="H522" s="392"/>
      <c r="I522" s="392"/>
      <c r="J522" s="392"/>
      <c r="K522" s="392"/>
      <c r="L522" s="392"/>
      <c r="M522" s="392"/>
      <c r="N522" s="392"/>
      <c r="O522" s="392"/>
      <c r="P522" s="392"/>
      <c r="Q522" s="392"/>
      <c r="R522" s="392"/>
      <c r="S522" s="392"/>
      <c r="T522" s="392"/>
      <c r="U522" s="392"/>
      <c r="V522" s="392"/>
      <c r="W522" s="392"/>
      <c r="X522" s="392"/>
      <c r="Y522" s="392"/>
      <c r="Z522" s="392"/>
      <c r="AA522" s="392"/>
      <c r="AB522" s="392"/>
      <c r="AC522" s="392"/>
      <c r="AD522" s="392"/>
      <c r="AE522" s="392"/>
      <c r="AF522" s="392"/>
    </row>
    <row r="523" ht="15.75" customHeight="1">
      <c r="A523" s="216"/>
      <c r="B523" s="156"/>
      <c r="C523" s="156"/>
      <c r="D523" s="156"/>
      <c r="E523" s="392"/>
      <c r="F523" s="392"/>
      <c r="G523" s="392"/>
      <c r="H523" s="392"/>
      <c r="I523" s="392"/>
      <c r="J523" s="392"/>
      <c r="K523" s="392"/>
      <c r="L523" s="392"/>
      <c r="M523" s="392"/>
      <c r="N523" s="392"/>
      <c r="O523" s="392"/>
      <c r="P523" s="392"/>
      <c r="Q523" s="392"/>
      <c r="R523" s="392"/>
      <c r="S523" s="392"/>
      <c r="T523" s="392"/>
      <c r="U523" s="392"/>
      <c r="V523" s="392"/>
      <c r="W523" s="392"/>
      <c r="X523" s="392"/>
      <c r="Y523" s="392"/>
      <c r="Z523" s="392"/>
      <c r="AA523" s="392"/>
      <c r="AB523" s="392"/>
      <c r="AC523" s="392"/>
      <c r="AD523" s="392"/>
      <c r="AE523" s="392"/>
      <c r="AF523" s="392"/>
    </row>
    <row r="524" ht="15.75" customHeight="1">
      <c r="A524" s="216"/>
      <c r="B524" s="156"/>
      <c r="C524" s="156"/>
      <c r="D524" s="156"/>
      <c r="E524" s="392"/>
      <c r="F524" s="392"/>
      <c r="G524" s="392"/>
      <c r="H524" s="392"/>
      <c r="I524" s="392"/>
      <c r="J524" s="392"/>
      <c r="K524" s="392"/>
      <c r="L524" s="392"/>
      <c r="M524" s="392"/>
      <c r="N524" s="392"/>
      <c r="O524" s="392"/>
      <c r="P524" s="392"/>
      <c r="Q524" s="392"/>
      <c r="R524" s="392"/>
      <c r="S524" s="392"/>
      <c r="T524" s="392"/>
      <c r="U524" s="392"/>
      <c r="V524" s="392"/>
      <c r="W524" s="392"/>
      <c r="X524" s="392"/>
      <c r="Y524" s="392"/>
      <c r="Z524" s="392"/>
      <c r="AA524" s="392"/>
      <c r="AB524" s="392"/>
      <c r="AC524" s="392"/>
      <c r="AD524" s="392"/>
      <c r="AE524" s="392"/>
      <c r="AF524" s="392"/>
    </row>
    <row r="525" ht="15.75" customHeight="1">
      <c r="A525" s="216"/>
      <c r="B525" s="156"/>
      <c r="C525" s="156"/>
      <c r="D525" s="156"/>
      <c r="E525" s="392"/>
      <c r="F525" s="392"/>
      <c r="G525" s="392"/>
      <c r="H525" s="392"/>
      <c r="I525" s="392"/>
      <c r="J525" s="392"/>
      <c r="K525" s="392"/>
      <c r="L525" s="392"/>
      <c r="M525" s="392"/>
      <c r="N525" s="392"/>
      <c r="O525" s="392"/>
      <c r="P525" s="392"/>
      <c r="Q525" s="392"/>
      <c r="R525" s="392"/>
      <c r="S525" s="392"/>
      <c r="T525" s="392"/>
      <c r="U525" s="392"/>
      <c r="V525" s="392"/>
      <c r="W525" s="392"/>
      <c r="X525" s="392"/>
      <c r="Y525" s="392"/>
      <c r="Z525" s="392"/>
      <c r="AA525" s="392"/>
      <c r="AB525" s="392"/>
      <c r="AC525" s="392"/>
      <c r="AD525" s="392"/>
      <c r="AE525" s="392"/>
      <c r="AF525" s="392"/>
    </row>
    <row r="526" ht="15.75" customHeight="1">
      <c r="A526" s="216"/>
      <c r="B526" s="156"/>
      <c r="C526" s="156"/>
      <c r="D526" s="156"/>
      <c r="E526" s="392"/>
      <c r="F526" s="392"/>
      <c r="G526" s="392"/>
      <c r="H526" s="392"/>
      <c r="I526" s="392"/>
      <c r="J526" s="392"/>
      <c r="K526" s="392"/>
      <c r="L526" s="392"/>
      <c r="M526" s="392"/>
      <c r="N526" s="392"/>
      <c r="O526" s="392"/>
      <c r="P526" s="392"/>
      <c r="Q526" s="392"/>
      <c r="R526" s="392"/>
      <c r="S526" s="392"/>
      <c r="T526" s="392"/>
      <c r="U526" s="392"/>
      <c r="V526" s="392"/>
      <c r="W526" s="392"/>
      <c r="X526" s="392"/>
      <c r="Y526" s="392"/>
      <c r="Z526" s="392"/>
      <c r="AA526" s="392"/>
      <c r="AB526" s="392"/>
      <c r="AC526" s="392"/>
      <c r="AD526" s="392"/>
      <c r="AE526" s="392"/>
      <c r="AF526" s="392"/>
    </row>
    <row r="527" ht="15.75" customHeight="1">
      <c r="A527" s="216"/>
      <c r="B527" s="156"/>
      <c r="C527" s="156"/>
      <c r="D527" s="156"/>
      <c r="E527" s="392"/>
      <c r="F527" s="392"/>
      <c r="G527" s="392"/>
      <c r="H527" s="392"/>
      <c r="I527" s="392"/>
      <c r="J527" s="392"/>
      <c r="K527" s="392"/>
      <c r="L527" s="392"/>
      <c r="M527" s="392"/>
      <c r="N527" s="392"/>
      <c r="O527" s="392"/>
      <c r="P527" s="392"/>
      <c r="Q527" s="392"/>
      <c r="R527" s="392"/>
      <c r="S527" s="392"/>
      <c r="T527" s="392"/>
      <c r="U527" s="392"/>
      <c r="V527" s="392"/>
      <c r="W527" s="392"/>
      <c r="X527" s="392"/>
      <c r="Y527" s="392"/>
      <c r="Z527" s="392"/>
      <c r="AA527" s="392"/>
      <c r="AB527" s="392"/>
      <c r="AC527" s="392"/>
      <c r="AD527" s="392"/>
      <c r="AE527" s="392"/>
      <c r="AF527" s="392"/>
    </row>
    <row r="528" ht="15.75" customHeight="1">
      <c r="A528" s="216"/>
      <c r="B528" s="156"/>
      <c r="C528" s="156"/>
      <c r="D528" s="156"/>
      <c r="E528" s="392"/>
      <c r="F528" s="392"/>
      <c r="G528" s="392"/>
      <c r="H528" s="392"/>
      <c r="I528" s="392"/>
      <c r="J528" s="392"/>
      <c r="K528" s="392"/>
      <c r="L528" s="392"/>
      <c r="M528" s="392"/>
      <c r="N528" s="392"/>
      <c r="O528" s="392"/>
      <c r="P528" s="392"/>
      <c r="Q528" s="392"/>
      <c r="R528" s="392"/>
      <c r="S528" s="392"/>
      <c r="T528" s="392"/>
      <c r="U528" s="392"/>
      <c r="V528" s="392"/>
      <c r="W528" s="392"/>
      <c r="X528" s="392"/>
      <c r="Y528" s="392"/>
      <c r="Z528" s="392"/>
      <c r="AA528" s="392"/>
      <c r="AB528" s="392"/>
      <c r="AC528" s="392"/>
      <c r="AD528" s="392"/>
      <c r="AE528" s="392"/>
      <c r="AF528" s="392"/>
    </row>
    <row r="529" ht="15.75" customHeight="1">
      <c r="A529" s="216"/>
      <c r="B529" s="156"/>
      <c r="C529" s="156"/>
      <c r="D529" s="156"/>
      <c r="E529" s="392"/>
      <c r="F529" s="392"/>
      <c r="G529" s="392"/>
      <c r="H529" s="392"/>
      <c r="I529" s="392"/>
      <c r="J529" s="392"/>
      <c r="K529" s="392"/>
      <c r="L529" s="392"/>
      <c r="M529" s="392"/>
      <c r="N529" s="392"/>
      <c r="O529" s="392"/>
      <c r="P529" s="392"/>
      <c r="Q529" s="392"/>
      <c r="R529" s="392"/>
      <c r="S529" s="392"/>
      <c r="T529" s="392"/>
      <c r="U529" s="392"/>
      <c r="V529" s="392"/>
      <c r="W529" s="392"/>
      <c r="X529" s="392"/>
      <c r="Y529" s="392"/>
      <c r="Z529" s="392"/>
      <c r="AA529" s="392"/>
      <c r="AB529" s="392"/>
      <c r="AC529" s="392"/>
      <c r="AD529" s="392"/>
      <c r="AE529" s="392"/>
      <c r="AF529" s="392"/>
    </row>
    <row r="530" ht="15.75" customHeight="1">
      <c r="A530" s="216"/>
      <c r="B530" s="156"/>
      <c r="C530" s="156"/>
      <c r="D530" s="156"/>
      <c r="E530" s="392"/>
      <c r="F530" s="392"/>
      <c r="G530" s="392"/>
      <c r="H530" s="392"/>
      <c r="I530" s="392"/>
      <c r="J530" s="392"/>
      <c r="K530" s="392"/>
      <c r="L530" s="392"/>
      <c r="M530" s="392"/>
      <c r="N530" s="392"/>
      <c r="O530" s="392"/>
      <c r="P530" s="392"/>
      <c r="Q530" s="392"/>
      <c r="R530" s="392"/>
      <c r="S530" s="392"/>
      <c r="T530" s="392"/>
      <c r="U530" s="392"/>
      <c r="V530" s="392"/>
      <c r="W530" s="392"/>
      <c r="X530" s="392"/>
      <c r="Y530" s="392"/>
      <c r="Z530" s="392"/>
      <c r="AA530" s="392"/>
      <c r="AB530" s="392"/>
      <c r="AC530" s="392"/>
      <c r="AD530" s="392"/>
      <c r="AE530" s="392"/>
      <c r="AF530" s="392"/>
    </row>
    <row r="531" ht="15.75" customHeight="1">
      <c r="A531" s="216"/>
      <c r="B531" s="156"/>
      <c r="C531" s="156"/>
      <c r="D531" s="156"/>
      <c r="E531" s="392"/>
      <c r="F531" s="392"/>
      <c r="G531" s="392"/>
      <c r="H531" s="392"/>
      <c r="I531" s="392"/>
      <c r="J531" s="392"/>
      <c r="K531" s="392"/>
      <c r="L531" s="392"/>
      <c r="M531" s="392"/>
      <c r="N531" s="392"/>
      <c r="O531" s="392"/>
      <c r="P531" s="392"/>
      <c r="Q531" s="392"/>
      <c r="R531" s="392"/>
      <c r="S531" s="392"/>
      <c r="T531" s="392"/>
      <c r="U531" s="392"/>
      <c r="V531" s="392"/>
      <c r="W531" s="392"/>
      <c r="X531" s="392"/>
      <c r="Y531" s="392"/>
      <c r="Z531" s="392"/>
      <c r="AA531" s="392"/>
      <c r="AB531" s="392"/>
      <c r="AC531" s="392"/>
      <c r="AD531" s="392"/>
      <c r="AE531" s="392"/>
      <c r="AF531" s="392"/>
    </row>
    <row r="532" ht="15.75" customHeight="1">
      <c r="A532" s="216"/>
      <c r="B532" s="156"/>
      <c r="C532" s="156"/>
      <c r="D532" s="156"/>
      <c r="E532" s="392"/>
      <c r="F532" s="392"/>
      <c r="G532" s="392"/>
      <c r="H532" s="392"/>
      <c r="I532" s="392"/>
      <c r="J532" s="392"/>
      <c r="K532" s="392"/>
      <c r="L532" s="392"/>
      <c r="M532" s="392"/>
      <c r="N532" s="392"/>
      <c r="O532" s="392"/>
      <c r="P532" s="392"/>
      <c r="Q532" s="392"/>
      <c r="R532" s="392"/>
      <c r="S532" s="392"/>
      <c r="T532" s="392"/>
      <c r="U532" s="392"/>
      <c r="V532" s="392"/>
      <c r="W532" s="392"/>
      <c r="X532" s="392"/>
      <c r="Y532" s="392"/>
      <c r="Z532" s="392"/>
      <c r="AA532" s="392"/>
      <c r="AB532" s="392"/>
      <c r="AC532" s="392"/>
      <c r="AD532" s="392"/>
      <c r="AE532" s="392"/>
      <c r="AF532" s="392"/>
    </row>
    <row r="533" ht="15.75" customHeight="1">
      <c r="A533" s="216"/>
      <c r="B533" s="156"/>
      <c r="C533" s="156"/>
      <c r="D533" s="156"/>
      <c r="E533" s="392"/>
      <c r="F533" s="392"/>
      <c r="G533" s="392"/>
      <c r="H533" s="392"/>
      <c r="I533" s="392"/>
      <c r="J533" s="392"/>
      <c r="K533" s="392"/>
      <c r="L533" s="392"/>
      <c r="M533" s="392"/>
      <c r="N533" s="392"/>
      <c r="O533" s="392"/>
      <c r="P533" s="392"/>
      <c r="Q533" s="392"/>
      <c r="R533" s="392"/>
      <c r="S533" s="392"/>
      <c r="T533" s="392"/>
      <c r="U533" s="392"/>
      <c r="V533" s="392"/>
      <c r="W533" s="392"/>
      <c r="X533" s="392"/>
      <c r="Y533" s="392"/>
      <c r="Z533" s="392"/>
      <c r="AA533" s="392"/>
      <c r="AB533" s="392"/>
      <c r="AC533" s="392"/>
      <c r="AD533" s="392"/>
      <c r="AE533" s="392"/>
      <c r="AF533" s="392"/>
    </row>
    <row r="534" ht="15.75" customHeight="1">
      <c r="A534" s="216"/>
      <c r="B534" s="156"/>
      <c r="C534" s="156"/>
      <c r="D534" s="156"/>
      <c r="E534" s="392"/>
      <c r="F534" s="392"/>
      <c r="G534" s="392"/>
      <c r="H534" s="392"/>
      <c r="I534" s="392"/>
      <c r="J534" s="392"/>
      <c r="K534" s="392"/>
      <c r="L534" s="392"/>
      <c r="M534" s="392"/>
      <c r="N534" s="392"/>
      <c r="O534" s="392"/>
      <c r="P534" s="392"/>
      <c r="Q534" s="392"/>
      <c r="R534" s="392"/>
      <c r="S534" s="392"/>
      <c r="T534" s="392"/>
      <c r="U534" s="392"/>
      <c r="V534" s="392"/>
      <c r="W534" s="392"/>
      <c r="X534" s="392"/>
      <c r="Y534" s="392"/>
      <c r="Z534" s="392"/>
      <c r="AA534" s="392"/>
      <c r="AB534" s="392"/>
      <c r="AC534" s="392"/>
      <c r="AD534" s="392"/>
      <c r="AE534" s="392"/>
      <c r="AF534" s="392"/>
    </row>
    <row r="535" ht="15.75" customHeight="1">
      <c r="A535" s="216"/>
      <c r="B535" s="156"/>
      <c r="C535" s="156"/>
      <c r="D535" s="156"/>
      <c r="E535" s="392"/>
      <c r="F535" s="392"/>
      <c r="G535" s="392"/>
      <c r="H535" s="392"/>
      <c r="I535" s="392"/>
      <c r="J535" s="392"/>
      <c r="K535" s="392"/>
      <c r="L535" s="392"/>
      <c r="M535" s="392"/>
      <c r="N535" s="392"/>
      <c r="O535" s="392"/>
      <c r="P535" s="392"/>
      <c r="Q535" s="392"/>
      <c r="R535" s="392"/>
      <c r="S535" s="392"/>
      <c r="T535" s="392"/>
      <c r="U535" s="392"/>
      <c r="V535" s="392"/>
      <c r="W535" s="392"/>
      <c r="X535" s="392"/>
      <c r="Y535" s="392"/>
      <c r="Z535" s="392"/>
      <c r="AA535" s="392"/>
      <c r="AB535" s="392"/>
      <c r="AC535" s="392"/>
      <c r="AD535" s="392"/>
      <c r="AE535" s="392"/>
      <c r="AF535" s="392"/>
    </row>
    <row r="536" ht="15.75" customHeight="1">
      <c r="A536" s="216"/>
      <c r="B536" s="156"/>
      <c r="C536" s="156"/>
      <c r="D536" s="156"/>
      <c r="E536" s="392"/>
      <c r="F536" s="392"/>
      <c r="G536" s="392"/>
      <c r="H536" s="392"/>
      <c r="I536" s="392"/>
      <c r="J536" s="392"/>
      <c r="K536" s="392"/>
      <c r="L536" s="392"/>
      <c r="M536" s="392"/>
      <c r="N536" s="392"/>
      <c r="O536" s="392"/>
      <c r="P536" s="392"/>
      <c r="Q536" s="392"/>
      <c r="R536" s="392"/>
      <c r="S536" s="392"/>
      <c r="T536" s="392"/>
      <c r="U536" s="392"/>
      <c r="V536" s="392"/>
      <c r="W536" s="392"/>
      <c r="X536" s="392"/>
      <c r="Y536" s="392"/>
      <c r="Z536" s="392"/>
      <c r="AA536" s="392"/>
      <c r="AB536" s="392"/>
      <c r="AC536" s="392"/>
      <c r="AD536" s="392"/>
      <c r="AE536" s="392"/>
      <c r="AF536" s="392"/>
    </row>
    <row r="537" ht="15.75" customHeight="1">
      <c r="A537" s="216"/>
      <c r="B537" s="156"/>
      <c r="C537" s="156"/>
      <c r="D537" s="156"/>
      <c r="E537" s="392"/>
      <c r="F537" s="392"/>
      <c r="G537" s="392"/>
      <c r="H537" s="392"/>
      <c r="I537" s="392"/>
      <c r="J537" s="392"/>
      <c r="K537" s="392"/>
      <c r="L537" s="392"/>
      <c r="M537" s="392"/>
      <c r="N537" s="392"/>
      <c r="O537" s="392"/>
      <c r="P537" s="392"/>
      <c r="Q537" s="392"/>
      <c r="R537" s="392"/>
      <c r="S537" s="392"/>
      <c r="T537" s="392"/>
      <c r="U537" s="392"/>
      <c r="V537" s="392"/>
      <c r="W537" s="392"/>
      <c r="X537" s="392"/>
      <c r="Y537" s="392"/>
      <c r="Z537" s="392"/>
      <c r="AA537" s="392"/>
      <c r="AB537" s="392"/>
      <c r="AC537" s="392"/>
      <c r="AD537" s="392"/>
      <c r="AE537" s="392"/>
      <c r="AF537" s="392"/>
    </row>
    <row r="538" ht="15.75" customHeight="1">
      <c r="A538" s="216"/>
      <c r="B538" s="156"/>
      <c r="C538" s="156"/>
      <c r="D538" s="156"/>
      <c r="E538" s="392"/>
      <c r="F538" s="392"/>
      <c r="G538" s="392"/>
      <c r="H538" s="392"/>
      <c r="I538" s="392"/>
      <c r="J538" s="392"/>
      <c r="K538" s="392"/>
      <c r="L538" s="392"/>
      <c r="M538" s="392"/>
      <c r="N538" s="392"/>
      <c r="O538" s="392"/>
      <c r="P538" s="392"/>
      <c r="Q538" s="392"/>
      <c r="R538" s="392"/>
      <c r="S538" s="392"/>
      <c r="T538" s="392"/>
      <c r="U538" s="392"/>
      <c r="V538" s="392"/>
      <c r="W538" s="392"/>
      <c r="X538" s="392"/>
      <c r="Y538" s="392"/>
      <c r="Z538" s="392"/>
      <c r="AA538" s="392"/>
      <c r="AB538" s="392"/>
      <c r="AC538" s="392"/>
      <c r="AD538" s="392"/>
      <c r="AE538" s="392"/>
      <c r="AF538" s="392"/>
    </row>
    <row r="539" ht="15.75" customHeight="1">
      <c r="A539" s="216"/>
      <c r="B539" s="156"/>
      <c r="C539" s="156"/>
      <c r="D539" s="156"/>
      <c r="E539" s="392"/>
      <c r="F539" s="392"/>
      <c r="G539" s="392"/>
      <c r="H539" s="392"/>
      <c r="I539" s="392"/>
      <c r="J539" s="392"/>
      <c r="K539" s="392"/>
      <c r="L539" s="392"/>
      <c r="M539" s="392"/>
      <c r="N539" s="392"/>
      <c r="O539" s="392"/>
      <c r="P539" s="392"/>
      <c r="Q539" s="392"/>
      <c r="R539" s="392"/>
      <c r="S539" s="392"/>
      <c r="T539" s="392"/>
      <c r="U539" s="392"/>
      <c r="V539" s="392"/>
      <c r="W539" s="392"/>
      <c r="X539" s="392"/>
      <c r="Y539" s="392"/>
      <c r="Z539" s="392"/>
      <c r="AA539" s="392"/>
      <c r="AB539" s="392"/>
      <c r="AC539" s="392"/>
      <c r="AD539" s="392"/>
      <c r="AE539" s="392"/>
      <c r="AF539" s="392"/>
    </row>
    <row r="540" ht="15.75" customHeight="1">
      <c r="A540" s="216"/>
      <c r="B540" s="156"/>
      <c r="C540" s="156"/>
      <c r="D540" s="156"/>
      <c r="E540" s="392"/>
      <c r="F540" s="392"/>
      <c r="G540" s="392"/>
      <c r="H540" s="392"/>
      <c r="I540" s="392"/>
      <c r="J540" s="392"/>
      <c r="K540" s="392"/>
      <c r="L540" s="392"/>
      <c r="M540" s="392"/>
      <c r="N540" s="392"/>
      <c r="O540" s="392"/>
      <c r="P540" s="392"/>
      <c r="Q540" s="392"/>
      <c r="R540" s="392"/>
      <c r="S540" s="392"/>
      <c r="T540" s="392"/>
      <c r="U540" s="392"/>
      <c r="V540" s="392"/>
      <c r="W540" s="392"/>
      <c r="X540" s="392"/>
      <c r="Y540" s="392"/>
      <c r="Z540" s="392"/>
      <c r="AA540" s="392"/>
      <c r="AB540" s="392"/>
      <c r="AC540" s="392"/>
      <c r="AD540" s="392"/>
      <c r="AE540" s="392"/>
      <c r="AF540" s="392"/>
    </row>
    <row r="541" ht="15.75" customHeight="1">
      <c r="A541" s="216"/>
      <c r="B541" s="156"/>
      <c r="C541" s="156"/>
      <c r="D541" s="156"/>
      <c r="E541" s="392"/>
      <c r="F541" s="392"/>
      <c r="G541" s="392"/>
      <c r="H541" s="392"/>
      <c r="I541" s="392"/>
      <c r="J541" s="392"/>
      <c r="K541" s="392"/>
      <c r="L541" s="392"/>
      <c r="M541" s="392"/>
      <c r="N541" s="392"/>
      <c r="O541" s="392"/>
      <c r="P541" s="392"/>
      <c r="Q541" s="392"/>
      <c r="R541" s="392"/>
      <c r="S541" s="392"/>
      <c r="T541" s="392"/>
      <c r="U541" s="392"/>
      <c r="V541" s="392"/>
      <c r="W541" s="392"/>
      <c r="X541" s="392"/>
      <c r="Y541" s="392"/>
      <c r="Z541" s="392"/>
      <c r="AA541" s="392"/>
      <c r="AB541" s="392"/>
      <c r="AC541" s="392"/>
      <c r="AD541" s="392"/>
      <c r="AE541" s="392"/>
      <c r="AF541" s="392"/>
    </row>
    <row r="542" ht="15.75" customHeight="1">
      <c r="A542" s="216"/>
      <c r="B542" s="156"/>
      <c r="C542" s="156"/>
      <c r="D542" s="156"/>
      <c r="E542" s="392"/>
      <c r="F542" s="392"/>
      <c r="G542" s="392"/>
      <c r="H542" s="392"/>
      <c r="I542" s="392"/>
      <c r="J542" s="392"/>
      <c r="K542" s="392"/>
      <c r="L542" s="392"/>
      <c r="M542" s="392"/>
      <c r="N542" s="392"/>
      <c r="O542" s="392"/>
      <c r="P542" s="392"/>
      <c r="Q542" s="392"/>
      <c r="R542" s="392"/>
      <c r="S542" s="392"/>
      <c r="T542" s="392"/>
      <c r="U542" s="392"/>
      <c r="V542" s="392"/>
      <c r="W542" s="392"/>
      <c r="X542" s="392"/>
      <c r="Y542" s="392"/>
      <c r="Z542" s="392"/>
      <c r="AA542" s="392"/>
      <c r="AB542" s="392"/>
      <c r="AC542" s="392"/>
      <c r="AD542" s="392"/>
      <c r="AE542" s="392"/>
      <c r="AF542" s="392"/>
    </row>
    <row r="543" ht="15.75" customHeight="1">
      <c r="A543" s="216"/>
      <c r="B543" s="156"/>
      <c r="C543" s="156"/>
      <c r="D543" s="156"/>
      <c r="E543" s="392"/>
      <c r="F543" s="392"/>
      <c r="G543" s="392"/>
      <c r="H543" s="392"/>
      <c r="I543" s="392"/>
      <c r="J543" s="392"/>
      <c r="K543" s="392"/>
      <c r="L543" s="392"/>
      <c r="M543" s="392"/>
      <c r="N543" s="392"/>
      <c r="O543" s="392"/>
      <c r="P543" s="392"/>
      <c r="Q543" s="392"/>
      <c r="R543" s="392"/>
      <c r="S543" s="392"/>
      <c r="T543" s="392"/>
      <c r="U543" s="392"/>
      <c r="V543" s="392"/>
      <c r="W543" s="392"/>
      <c r="X543" s="392"/>
      <c r="Y543" s="392"/>
      <c r="Z543" s="392"/>
      <c r="AA543" s="392"/>
      <c r="AB543" s="392"/>
      <c r="AC543" s="392"/>
      <c r="AD543" s="392"/>
      <c r="AE543" s="392"/>
      <c r="AF543" s="392"/>
    </row>
    <row r="544" ht="15.75" customHeight="1">
      <c r="A544" s="216"/>
      <c r="B544" s="156"/>
      <c r="C544" s="156"/>
      <c r="D544" s="156"/>
      <c r="E544" s="392"/>
      <c r="F544" s="392"/>
      <c r="G544" s="392"/>
      <c r="H544" s="392"/>
      <c r="I544" s="392"/>
      <c r="J544" s="392"/>
      <c r="K544" s="392"/>
      <c r="L544" s="392"/>
      <c r="M544" s="392"/>
      <c r="N544" s="392"/>
      <c r="O544" s="392"/>
      <c r="P544" s="392"/>
      <c r="Q544" s="392"/>
      <c r="R544" s="392"/>
      <c r="S544" s="392"/>
      <c r="T544" s="392"/>
      <c r="U544" s="392"/>
      <c r="V544" s="392"/>
      <c r="W544" s="392"/>
      <c r="X544" s="392"/>
      <c r="Y544" s="392"/>
      <c r="Z544" s="392"/>
      <c r="AA544" s="392"/>
      <c r="AB544" s="392"/>
      <c r="AC544" s="392"/>
      <c r="AD544" s="392"/>
      <c r="AE544" s="392"/>
      <c r="AF544" s="392"/>
    </row>
    <row r="545" ht="15.75" customHeight="1">
      <c r="A545" s="216"/>
      <c r="B545" s="156"/>
      <c r="C545" s="156"/>
      <c r="D545" s="156"/>
      <c r="E545" s="392"/>
      <c r="F545" s="392"/>
      <c r="G545" s="392"/>
      <c r="H545" s="392"/>
      <c r="I545" s="392"/>
      <c r="J545" s="392"/>
      <c r="K545" s="392"/>
      <c r="L545" s="392"/>
      <c r="M545" s="392"/>
      <c r="N545" s="392"/>
      <c r="O545" s="392"/>
      <c r="P545" s="392"/>
      <c r="Q545" s="392"/>
      <c r="R545" s="392"/>
      <c r="S545" s="392"/>
      <c r="T545" s="392"/>
      <c r="U545" s="392"/>
      <c r="V545" s="392"/>
      <c r="W545" s="392"/>
      <c r="X545" s="392"/>
      <c r="Y545" s="392"/>
      <c r="Z545" s="392"/>
      <c r="AA545" s="392"/>
      <c r="AB545" s="392"/>
      <c r="AC545" s="392"/>
      <c r="AD545" s="392"/>
      <c r="AE545" s="392"/>
      <c r="AF545" s="392"/>
    </row>
    <row r="546" ht="15.75" customHeight="1">
      <c r="A546" s="216"/>
      <c r="B546" s="156"/>
      <c r="C546" s="156"/>
      <c r="D546" s="156"/>
      <c r="E546" s="392"/>
      <c r="F546" s="392"/>
      <c r="G546" s="392"/>
      <c r="H546" s="392"/>
      <c r="I546" s="392"/>
      <c r="J546" s="392"/>
      <c r="K546" s="392"/>
      <c r="L546" s="392"/>
      <c r="M546" s="392"/>
      <c r="N546" s="392"/>
      <c r="O546" s="392"/>
      <c r="P546" s="392"/>
      <c r="Q546" s="392"/>
      <c r="R546" s="392"/>
      <c r="S546" s="392"/>
      <c r="T546" s="392"/>
      <c r="U546" s="392"/>
      <c r="V546" s="392"/>
      <c r="W546" s="392"/>
      <c r="X546" s="392"/>
      <c r="Y546" s="392"/>
      <c r="Z546" s="392"/>
      <c r="AA546" s="392"/>
      <c r="AB546" s="392"/>
      <c r="AC546" s="392"/>
      <c r="AD546" s="392"/>
      <c r="AE546" s="392"/>
      <c r="AF546" s="392"/>
    </row>
    <row r="547" ht="15.75" customHeight="1">
      <c r="A547" s="216"/>
      <c r="B547" s="156"/>
      <c r="C547" s="156"/>
      <c r="D547" s="156"/>
      <c r="E547" s="392"/>
      <c r="F547" s="392"/>
      <c r="G547" s="392"/>
      <c r="H547" s="392"/>
      <c r="I547" s="392"/>
      <c r="J547" s="392"/>
      <c r="K547" s="392"/>
      <c r="L547" s="392"/>
      <c r="M547" s="392"/>
      <c r="N547" s="392"/>
      <c r="O547" s="392"/>
      <c r="P547" s="392"/>
      <c r="Q547" s="392"/>
      <c r="R547" s="392"/>
      <c r="S547" s="392"/>
      <c r="T547" s="392"/>
      <c r="U547" s="392"/>
      <c r="V547" s="392"/>
      <c r="W547" s="392"/>
      <c r="X547" s="392"/>
      <c r="Y547" s="392"/>
      <c r="Z547" s="392"/>
      <c r="AA547" s="392"/>
      <c r="AB547" s="392"/>
      <c r="AC547" s="392"/>
      <c r="AD547" s="392"/>
      <c r="AE547" s="392"/>
      <c r="AF547" s="392"/>
    </row>
    <row r="548" ht="15.75" customHeight="1">
      <c r="A548" s="216"/>
      <c r="B548" s="156"/>
      <c r="C548" s="156"/>
      <c r="D548" s="156"/>
      <c r="E548" s="392"/>
      <c r="F548" s="392"/>
      <c r="G548" s="392"/>
      <c r="H548" s="392"/>
      <c r="I548" s="392"/>
      <c r="J548" s="392"/>
      <c r="K548" s="392"/>
      <c r="L548" s="392"/>
      <c r="M548" s="392"/>
      <c r="N548" s="392"/>
      <c r="O548" s="392"/>
      <c r="P548" s="392"/>
      <c r="Q548" s="392"/>
      <c r="R548" s="392"/>
      <c r="S548" s="392"/>
      <c r="T548" s="392"/>
      <c r="U548" s="392"/>
      <c r="V548" s="392"/>
      <c r="W548" s="392"/>
      <c r="X548" s="392"/>
      <c r="Y548" s="392"/>
      <c r="Z548" s="392"/>
      <c r="AA548" s="392"/>
      <c r="AB548" s="392"/>
      <c r="AC548" s="392"/>
      <c r="AD548" s="392"/>
      <c r="AE548" s="392"/>
      <c r="AF548" s="392"/>
    </row>
    <row r="549" ht="15.75" customHeight="1">
      <c r="A549" s="216"/>
      <c r="B549" s="156"/>
      <c r="C549" s="156"/>
      <c r="D549" s="156"/>
      <c r="E549" s="392"/>
      <c r="F549" s="392"/>
      <c r="G549" s="392"/>
      <c r="H549" s="392"/>
      <c r="I549" s="392"/>
      <c r="J549" s="392"/>
      <c r="K549" s="392"/>
      <c r="L549" s="392"/>
      <c r="M549" s="392"/>
      <c r="N549" s="392"/>
      <c r="O549" s="392"/>
      <c r="P549" s="392"/>
      <c r="Q549" s="392"/>
      <c r="R549" s="392"/>
      <c r="S549" s="392"/>
      <c r="T549" s="392"/>
      <c r="U549" s="392"/>
      <c r="V549" s="392"/>
      <c r="W549" s="392"/>
      <c r="X549" s="392"/>
      <c r="Y549" s="392"/>
      <c r="Z549" s="392"/>
      <c r="AA549" s="392"/>
      <c r="AB549" s="392"/>
      <c r="AC549" s="392"/>
      <c r="AD549" s="392"/>
      <c r="AE549" s="392"/>
      <c r="AF549" s="392"/>
    </row>
    <row r="550" ht="15.75" customHeight="1">
      <c r="A550" s="216"/>
      <c r="B550" s="156"/>
      <c r="C550" s="156"/>
      <c r="D550" s="156"/>
      <c r="E550" s="392"/>
      <c r="F550" s="392"/>
      <c r="G550" s="392"/>
      <c r="H550" s="392"/>
      <c r="I550" s="392"/>
      <c r="J550" s="392"/>
      <c r="K550" s="392"/>
      <c r="L550" s="392"/>
      <c r="M550" s="392"/>
      <c r="N550" s="392"/>
      <c r="O550" s="392"/>
      <c r="P550" s="392"/>
      <c r="Q550" s="392"/>
      <c r="R550" s="392"/>
      <c r="S550" s="392"/>
      <c r="T550" s="392"/>
      <c r="U550" s="392"/>
      <c r="V550" s="392"/>
      <c r="W550" s="392"/>
      <c r="X550" s="392"/>
      <c r="Y550" s="392"/>
      <c r="Z550" s="392"/>
      <c r="AA550" s="392"/>
      <c r="AB550" s="392"/>
      <c r="AC550" s="392"/>
      <c r="AD550" s="392"/>
      <c r="AE550" s="392"/>
      <c r="AF550" s="392"/>
    </row>
    <row r="551" ht="15.75" customHeight="1">
      <c r="A551" s="216"/>
      <c r="B551" s="156"/>
      <c r="C551" s="156"/>
      <c r="D551" s="156"/>
      <c r="E551" s="392"/>
      <c r="F551" s="392"/>
      <c r="G551" s="392"/>
      <c r="H551" s="392"/>
      <c r="I551" s="392"/>
      <c r="J551" s="392"/>
      <c r="K551" s="392"/>
      <c r="L551" s="392"/>
      <c r="M551" s="392"/>
      <c r="N551" s="392"/>
      <c r="O551" s="392"/>
      <c r="P551" s="392"/>
      <c r="Q551" s="392"/>
      <c r="R551" s="392"/>
      <c r="S551" s="392"/>
      <c r="T551" s="392"/>
      <c r="U551" s="392"/>
      <c r="V551" s="392"/>
      <c r="W551" s="392"/>
      <c r="X551" s="392"/>
      <c r="Y551" s="392"/>
      <c r="Z551" s="392"/>
      <c r="AA551" s="392"/>
      <c r="AB551" s="392"/>
      <c r="AC551" s="392"/>
      <c r="AD551" s="392"/>
      <c r="AE551" s="392"/>
      <c r="AF551" s="392"/>
    </row>
    <row r="552" ht="15.75" customHeight="1">
      <c r="A552" s="216"/>
      <c r="B552" s="156"/>
      <c r="C552" s="156"/>
      <c r="D552" s="156"/>
      <c r="E552" s="392"/>
      <c r="F552" s="392"/>
      <c r="G552" s="392"/>
      <c r="H552" s="392"/>
      <c r="I552" s="392"/>
      <c r="J552" s="392"/>
      <c r="K552" s="392"/>
      <c r="L552" s="392"/>
      <c r="M552" s="392"/>
      <c r="N552" s="392"/>
      <c r="O552" s="392"/>
      <c r="P552" s="392"/>
      <c r="Q552" s="392"/>
      <c r="R552" s="392"/>
      <c r="S552" s="392"/>
      <c r="T552" s="392"/>
      <c r="U552" s="392"/>
      <c r="V552" s="392"/>
      <c r="W552" s="392"/>
      <c r="X552" s="392"/>
      <c r="Y552" s="392"/>
      <c r="Z552" s="392"/>
      <c r="AA552" s="392"/>
      <c r="AB552" s="392"/>
      <c r="AC552" s="392"/>
      <c r="AD552" s="392"/>
      <c r="AE552" s="392"/>
      <c r="AF552" s="392"/>
    </row>
    <row r="553" ht="15.75" customHeight="1">
      <c r="A553" s="216"/>
      <c r="B553" s="156"/>
      <c r="C553" s="156"/>
      <c r="D553" s="156"/>
      <c r="E553" s="392"/>
      <c r="F553" s="392"/>
      <c r="G553" s="392"/>
      <c r="H553" s="392"/>
      <c r="I553" s="392"/>
      <c r="J553" s="392"/>
      <c r="K553" s="392"/>
      <c r="L553" s="392"/>
      <c r="M553" s="392"/>
      <c r="N553" s="392"/>
      <c r="O553" s="392"/>
      <c r="P553" s="392"/>
      <c r="Q553" s="392"/>
      <c r="R553" s="392"/>
      <c r="S553" s="392"/>
      <c r="T553" s="392"/>
      <c r="U553" s="392"/>
      <c r="V553" s="392"/>
      <c r="W553" s="392"/>
      <c r="X553" s="392"/>
      <c r="Y553" s="392"/>
      <c r="Z553" s="392"/>
      <c r="AA553" s="392"/>
      <c r="AB553" s="392"/>
      <c r="AC553" s="392"/>
      <c r="AD553" s="392"/>
      <c r="AE553" s="392"/>
      <c r="AF553" s="392"/>
    </row>
    <row r="554" ht="15.75" customHeight="1">
      <c r="A554" s="216"/>
      <c r="B554" s="156"/>
      <c r="C554" s="156"/>
      <c r="D554" s="156"/>
      <c r="E554" s="392"/>
      <c r="F554" s="392"/>
      <c r="G554" s="392"/>
      <c r="H554" s="392"/>
      <c r="I554" s="392"/>
      <c r="J554" s="392"/>
      <c r="K554" s="392"/>
      <c r="L554" s="392"/>
      <c r="M554" s="392"/>
      <c r="N554" s="392"/>
      <c r="O554" s="392"/>
      <c r="P554" s="392"/>
      <c r="Q554" s="392"/>
      <c r="R554" s="392"/>
      <c r="S554" s="392"/>
      <c r="T554" s="392"/>
      <c r="U554" s="392"/>
      <c r="V554" s="392"/>
      <c r="W554" s="392"/>
      <c r="X554" s="392"/>
      <c r="Y554" s="392"/>
      <c r="Z554" s="392"/>
      <c r="AA554" s="392"/>
      <c r="AB554" s="392"/>
      <c r="AC554" s="392"/>
      <c r="AD554" s="392"/>
      <c r="AE554" s="392"/>
      <c r="AF554" s="392"/>
    </row>
    <row r="555" ht="15.75" customHeight="1">
      <c r="A555" s="216"/>
      <c r="B555" s="156"/>
      <c r="C555" s="156"/>
      <c r="D555" s="156"/>
      <c r="E555" s="392"/>
      <c r="F555" s="392"/>
      <c r="G555" s="392"/>
      <c r="H555" s="392"/>
      <c r="I555" s="392"/>
      <c r="J555" s="392"/>
      <c r="K555" s="392"/>
      <c r="L555" s="392"/>
      <c r="M555" s="392"/>
      <c r="N555" s="392"/>
      <c r="O555" s="392"/>
      <c r="P555" s="392"/>
      <c r="Q555" s="392"/>
      <c r="R555" s="392"/>
      <c r="S555" s="392"/>
      <c r="T555" s="392"/>
      <c r="U555" s="392"/>
      <c r="V555" s="392"/>
      <c r="W555" s="392"/>
      <c r="X555" s="392"/>
      <c r="Y555" s="392"/>
      <c r="Z555" s="392"/>
      <c r="AA555" s="392"/>
      <c r="AB555" s="392"/>
      <c r="AC555" s="392"/>
      <c r="AD555" s="392"/>
      <c r="AE555" s="392"/>
      <c r="AF555" s="392"/>
    </row>
    <row r="556" ht="15.75" customHeight="1">
      <c r="A556" s="216"/>
      <c r="B556" s="156"/>
      <c r="C556" s="156"/>
      <c r="D556" s="156"/>
      <c r="E556" s="392"/>
      <c r="F556" s="392"/>
      <c r="G556" s="392"/>
      <c r="H556" s="392"/>
      <c r="I556" s="392"/>
      <c r="J556" s="392"/>
      <c r="K556" s="392"/>
      <c r="L556" s="392"/>
      <c r="M556" s="392"/>
      <c r="N556" s="392"/>
      <c r="O556" s="392"/>
      <c r="P556" s="392"/>
      <c r="Q556" s="392"/>
      <c r="R556" s="392"/>
      <c r="S556" s="392"/>
      <c r="T556" s="392"/>
      <c r="U556" s="392"/>
      <c r="V556" s="392"/>
      <c r="W556" s="392"/>
      <c r="X556" s="392"/>
      <c r="Y556" s="392"/>
      <c r="Z556" s="392"/>
      <c r="AA556" s="392"/>
      <c r="AB556" s="392"/>
      <c r="AC556" s="392"/>
      <c r="AD556" s="392"/>
      <c r="AE556" s="392"/>
      <c r="AF556" s="392"/>
    </row>
    <row r="557" ht="15.75" customHeight="1">
      <c r="A557" s="216"/>
      <c r="B557" s="156"/>
      <c r="C557" s="156"/>
      <c r="D557" s="156"/>
      <c r="E557" s="392"/>
      <c r="F557" s="392"/>
      <c r="G557" s="392"/>
      <c r="H557" s="392"/>
      <c r="I557" s="392"/>
      <c r="J557" s="392"/>
      <c r="K557" s="392"/>
      <c r="L557" s="392"/>
      <c r="M557" s="392"/>
      <c r="N557" s="392"/>
      <c r="O557" s="392"/>
      <c r="P557" s="392"/>
      <c r="Q557" s="392"/>
      <c r="R557" s="392"/>
      <c r="S557" s="392"/>
      <c r="T557" s="392"/>
      <c r="U557" s="392"/>
      <c r="V557" s="392"/>
      <c r="W557" s="392"/>
      <c r="X557" s="392"/>
      <c r="Y557" s="392"/>
      <c r="Z557" s="392"/>
      <c r="AA557" s="392"/>
      <c r="AB557" s="392"/>
      <c r="AC557" s="392"/>
      <c r="AD557" s="392"/>
      <c r="AE557" s="392"/>
      <c r="AF557" s="392"/>
    </row>
    <row r="558" ht="15.75" customHeight="1">
      <c r="A558" s="216"/>
      <c r="B558" s="156"/>
      <c r="C558" s="156"/>
      <c r="D558" s="156"/>
      <c r="E558" s="392"/>
      <c r="F558" s="392"/>
      <c r="G558" s="392"/>
      <c r="H558" s="392"/>
      <c r="I558" s="392"/>
      <c r="J558" s="392"/>
      <c r="K558" s="392"/>
      <c r="L558" s="392"/>
      <c r="M558" s="392"/>
      <c r="N558" s="392"/>
      <c r="O558" s="392"/>
      <c r="P558" s="392"/>
      <c r="Q558" s="392"/>
      <c r="R558" s="392"/>
      <c r="S558" s="392"/>
      <c r="T558" s="392"/>
      <c r="U558" s="392"/>
      <c r="V558" s="392"/>
      <c r="W558" s="392"/>
      <c r="X558" s="392"/>
      <c r="Y558" s="392"/>
      <c r="Z558" s="392"/>
      <c r="AA558" s="392"/>
      <c r="AB558" s="392"/>
      <c r="AC558" s="392"/>
      <c r="AD558" s="392"/>
      <c r="AE558" s="392"/>
      <c r="AF558" s="392"/>
    </row>
    <row r="559" ht="15.75" customHeight="1">
      <c r="A559" s="216"/>
      <c r="B559" s="156"/>
      <c r="C559" s="156"/>
      <c r="D559" s="156"/>
      <c r="E559" s="392"/>
      <c r="F559" s="392"/>
      <c r="G559" s="392"/>
      <c r="H559" s="392"/>
      <c r="I559" s="392"/>
      <c r="J559" s="392"/>
      <c r="K559" s="392"/>
      <c r="L559" s="392"/>
      <c r="M559" s="392"/>
      <c r="N559" s="392"/>
      <c r="O559" s="392"/>
      <c r="P559" s="392"/>
      <c r="Q559" s="392"/>
      <c r="R559" s="392"/>
      <c r="S559" s="392"/>
      <c r="T559" s="392"/>
      <c r="U559" s="392"/>
      <c r="V559" s="392"/>
      <c r="W559" s="392"/>
      <c r="X559" s="392"/>
      <c r="Y559" s="392"/>
      <c r="Z559" s="392"/>
      <c r="AA559" s="392"/>
      <c r="AB559" s="392"/>
      <c r="AC559" s="392"/>
      <c r="AD559" s="392"/>
      <c r="AE559" s="392"/>
      <c r="AF559" s="392"/>
    </row>
    <row r="560" ht="15.75" customHeight="1">
      <c r="A560" s="216"/>
      <c r="B560" s="156"/>
      <c r="C560" s="156"/>
      <c r="D560" s="156"/>
      <c r="E560" s="392"/>
      <c r="F560" s="392"/>
      <c r="G560" s="392"/>
      <c r="H560" s="392"/>
      <c r="I560" s="392"/>
      <c r="J560" s="392"/>
      <c r="K560" s="392"/>
      <c r="L560" s="392"/>
      <c r="M560" s="392"/>
      <c r="N560" s="392"/>
      <c r="O560" s="392"/>
      <c r="P560" s="392"/>
      <c r="Q560" s="392"/>
      <c r="R560" s="392"/>
      <c r="S560" s="392"/>
      <c r="T560" s="392"/>
      <c r="U560" s="392"/>
      <c r="V560" s="392"/>
      <c r="W560" s="392"/>
      <c r="X560" s="392"/>
      <c r="Y560" s="392"/>
      <c r="Z560" s="392"/>
      <c r="AA560" s="392"/>
      <c r="AB560" s="392"/>
      <c r="AC560" s="392"/>
      <c r="AD560" s="392"/>
      <c r="AE560" s="392"/>
      <c r="AF560" s="392"/>
    </row>
    <row r="561" ht="15.75" customHeight="1">
      <c r="A561" s="216"/>
      <c r="B561" s="156"/>
      <c r="C561" s="156"/>
      <c r="D561" s="156"/>
      <c r="E561" s="392"/>
      <c r="F561" s="392"/>
      <c r="G561" s="392"/>
      <c r="H561" s="392"/>
      <c r="I561" s="392"/>
      <c r="J561" s="392"/>
      <c r="K561" s="392"/>
      <c r="L561" s="392"/>
      <c r="M561" s="392"/>
      <c r="N561" s="392"/>
      <c r="O561" s="392"/>
      <c r="P561" s="392"/>
      <c r="Q561" s="392"/>
      <c r="R561" s="392"/>
      <c r="S561" s="392"/>
      <c r="T561" s="392"/>
      <c r="U561" s="392"/>
      <c r="V561" s="392"/>
      <c r="W561" s="392"/>
      <c r="X561" s="392"/>
      <c r="Y561" s="392"/>
      <c r="Z561" s="392"/>
      <c r="AA561" s="392"/>
      <c r="AB561" s="392"/>
      <c r="AC561" s="392"/>
      <c r="AD561" s="392"/>
      <c r="AE561" s="392"/>
      <c r="AF561" s="392"/>
    </row>
    <row r="562" ht="15.75" customHeight="1">
      <c r="A562" s="216"/>
      <c r="B562" s="156"/>
      <c r="C562" s="156"/>
      <c r="D562" s="156"/>
      <c r="E562" s="392"/>
      <c r="F562" s="392"/>
      <c r="G562" s="392"/>
      <c r="H562" s="392"/>
      <c r="I562" s="392"/>
      <c r="J562" s="392"/>
      <c r="K562" s="392"/>
      <c r="L562" s="392"/>
      <c r="M562" s="392"/>
      <c r="N562" s="392"/>
      <c r="O562" s="392"/>
      <c r="P562" s="392"/>
      <c r="Q562" s="392"/>
      <c r="R562" s="392"/>
      <c r="S562" s="392"/>
      <c r="T562" s="392"/>
      <c r="U562" s="392"/>
      <c r="V562" s="392"/>
      <c r="W562" s="392"/>
      <c r="X562" s="392"/>
      <c r="Y562" s="392"/>
      <c r="Z562" s="392"/>
      <c r="AA562" s="392"/>
      <c r="AB562" s="392"/>
      <c r="AC562" s="392"/>
      <c r="AD562" s="392"/>
      <c r="AE562" s="392"/>
      <c r="AF562" s="392"/>
    </row>
    <row r="563" ht="15.75" customHeight="1">
      <c r="A563" s="216"/>
      <c r="B563" s="156"/>
      <c r="C563" s="156"/>
      <c r="D563" s="156"/>
      <c r="E563" s="392"/>
      <c r="F563" s="392"/>
      <c r="G563" s="392"/>
      <c r="H563" s="392"/>
      <c r="I563" s="392"/>
      <c r="J563" s="392"/>
      <c r="K563" s="392"/>
      <c r="L563" s="392"/>
      <c r="M563" s="392"/>
      <c r="N563" s="392"/>
      <c r="O563" s="392"/>
      <c r="P563" s="392"/>
      <c r="Q563" s="392"/>
      <c r="R563" s="392"/>
      <c r="S563" s="392"/>
      <c r="T563" s="392"/>
      <c r="U563" s="392"/>
      <c r="V563" s="392"/>
      <c r="W563" s="392"/>
      <c r="X563" s="392"/>
      <c r="Y563" s="392"/>
      <c r="Z563" s="392"/>
      <c r="AA563" s="392"/>
      <c r="AB563" s="392"/>
      <c r="AC563" s="392"/>
      <c r="AD563" s="392"/>
      <c r="AE563" s="392"/>
      <c r="AF563" s="392"/>
    </row>
    <row r="564" ht="15.75" customHeight="1">
      <c r="A564" s="216"/>
      <c r="B564" s="156"/>
      <c r="C564" s="156"/>
      <c r="D564" s="156"/>
      <c r="E564" s="392"/>
      <c r="F564" s="392"/>
      <c r="G564" s="392"/>
      <c r="H564" s="392"/>
      <c r="I564" s="392"/>
      <c r="J564" s="392"/>
      <c r="K564" s="392"/>
      <c r="L564" s="392"/>
      <c r="M564" s="392"/>
      <c r="N564" s="392"/>
      <c r="O564" s="392"/>
      <c r="P564" s="392"/>
      <c r="Q564" s="392"/>
      <c r="R564" s="392"/>
      <c r="S564" s="392"/>
      <c r="T564" s="392"/>
      <c r="U564" s="392"/>
      <c r="V564" s="392"/>
      <c r="W564" s="392"/>
      <c r="X564" s="392"/>
      <c r="Y564" s="392"/>
      <c r="Z564" s="392"/>
      <c r="AA564" s="392"/>
      <c r="AB564" s="392"/>
      <c r="AC564" s="392"/>
      <c r="AD564" s="392"/>
      <c r="AE564" s="392"/>
      <c r="AF564" s="392"/>
    </row>
    <row r="565" ht="15.75" customHeight="1">
      <c r="A565" s="216"/>
      <c r="B565" s="156"/>
      <c r="C565" s="156"/>
      <c r="D565" s="156"/>
      <c r="E565" s="392"/>
      <c r="F565" s="392"/>
      <c r="G565" s="392"/>
      <c r="H565" s="392"/>
      <c r="I565" s="392"/>
      <c r="J565" s="392"/>
      <c r="K565" s="392"/>
      <c r="L565" s="392"/>
      <c r="M565" s="392"/>
      <c r="N565" s="392"/>
      <c r="O565" s="392"/>
      <c r="P565" s="392"/>
      <c r="Q565" s="392"/>
      <c r="R565" s="392"/>
      <c r="S565" s="392"/>
      <c r="T565" s="392"/>
      <c r="U565" s="392"/>
      <c r="V565" s="392"/>
      <c r="W565" s="392"/>
      <c r="X565" s="392"/>
      <c r="Y565" s="392"/>
      <c r="Z565" s="392"/>
      <c r="AA565" s="392"/>
      <c r="AB565" s="392"/>
      <c r="AC565" s="392"/>
      <c r="AD565" s="392"/>
      <c r="AE565" s="392"/>
      <c r="AF565" s="392"/>
    </row>
    <row r="566" ht="15.75" customHeight="1">
      <c r="A566" s="216"/>
      <c r="B566" s="156"/>
      <c r="C566" s="156"/>
      <c r="D566" s="156"/>
      <c r="E566" s="392"/>
      <c r="F566" s="392"/>
      <c r="G566" s="392"/>
      <c r="H566" s="392"/>
      <c r="I566" s="392"/>
      <c r="J566" s="392"/>
      <c r="K566" s="392"/>
      <c r="L566" s="392"/>
      <c r="M566" s="392"/>
      <c r="N566" s="392"/>
      <c r="O566" s="392"/>
      <c r="P566" s="392"/>
      <c r="Q566" s="392"/>
      <c r="R566" s="392"/>
      <c r="S566" s="392"/>
      <c r="T566" s="392"/>
      <c r="U566" s="392"/>
      <c r="V566" s="392"/>
      <c r="W566" s="392"/>
      <c r="X566" s="392"/>
      <c r="Y566" s="392"/>
      <c r="Z566" s="392"/>
      <c r="AA566" s="392"/>
      <c r="AB566" s="392"/>
      <c r="AC566" s="392"/>
      <c r="AD566" s="392"/>
      <c r="AE566" s="392"/>
      <c r="AF566" s="392"/>
    </row>
    <row r="567" ht="15.75" customHeight="1">
      <c r="A567" s="216"/>
      <c r="B567" s="156"/>
      <c r="C567" s="156"/>
      <c r="D567" s="156"/>
      <c r="E567" s="392"/>
      <c r="F567" s="392"/>
      <c r="G567" s="392"/>
      <c r="H567" s="392"/>
      <c r="I567" s="392"/>
      <c r="J567" s="392"/>
      <c r="K567" s="392"/>
      <c r="L567" s="392"/>
      <c r="M567" s="392"/>
      <c r="N567" s="392"/>
      <c r="O567" s="392"/>
      <c r="P567" s="392"/>
      <c r="Q567" s="392"/>
      <c r="R567" s="392"/>
      <c r="S567" s="392"/>
      <c r="T567" s="392"/>
      <c r="U567" s="392"/>
      <c r="V567" s="392"/>
      <c r="W567" s="392"/>
      <c r="X567" s="392"/>
      <c r="Y567" s="392"/>
      <c r="Z567" s="392"/>
      <c r="AA567" s="392"/>
      <c r="AB567" s="392"/>
      <c r="AC567" s="392"/>
      <c r="AD567" s="392"/>
      <c r="AE567" s="392"/>
      <c r="AF567" s="392"/>
    </row>
    <row r="568" ht="15.75" customHeight="1">
      <c r="A568" s="216"/>
      <c r="B568" s="156"/>
      <c r="C568" s="156"/>
      <c r="D568" s="156"/>
      <c r="E568" s="392"/>
      <c r="F568" s="392"/>
      <c r="G568" s="392"/>
      <c r="H568" s="392"/>
      <c r="I568" s="392"/>
      <c r="J568" s="392"/>
      <c r="K568" s="392"/>
      <c r="L568" s="392"/>
      <c r="M568" s="392"/>
      <c r="N568" s="392"/>
      <c r="O568" s="392"/>
      <c r="P568" s="392"/>
      <c r="Q568" s="392"/>
      <c r="R568" s="392"/>
      <c r="S568" s="392"/>
      <c r="T568" s="392"/>
      <c r="U568" s="392"/>
      <c r="V568" s="392"/>
      <c r="W568" s="392"/>
      <c r="X568" s="392"/>
      <c r="Y568" s="392"/>
      <c r="Z568" s="392"/>
      <c r="AA568" s="392"/>
      <c r="AB568" s="392"/>
      <c r="AC568" s="392"/>
      <c r="AD568" s="392"/>
      <c r="AE568" s="392"/>
      <c r="AF568" s="392"/>
    </row>
    <row r="569" ht="15.75" customHeight="1">
      <c r="A569" s="216"/>
      <c r="B569" s="156"/>
      <c r="C569" s="156"/>
      <c r="D569" s="156"/>
      <c r="E569" s="392"/>
      <c r="F569" s="392"/>
      <c r="G569" s="392"/>
      <c r="H569" s="392"/>
      <c r="I569" s="392"/>
      <c r="J569" s="392"/>
      <c r="K569" s="392"/>
      <c r="L569" s="392"/>
      <c r="M569" s="392"/>
      <c r="N569" s="392"/>
      <c r="O569" s="392"/>
      <c r="P569" s="392"/>
      <c r="Q569" s="392"/>
      <c r="R569" s="392"/>
      <c r="S569" s="392"/>
      <c r="T569" s="392"/>
      <c r="U569" s="392"/>
      <c r="V569" s="392"/>
      <c r="W569" s="392"/>
      <c r="X569" s="392"/>
      <c r="Y569" s="392"/>
      <c r="Z569" s="392"/>
      <c r="AA569" s="392"/>
      <c r="AB569" s="392"/>
      <c r="AC569" s="392"/>
      <c r="AD569" s="392"/>
      <c r="AE569" s="392"/>
      <c r="AF569" s="392"/>
    </row>
    <row r="570" ht="15.75" customHeight="1">
      <c r="A570" s="216"/>
      <c r="B570" s="156"/>
      <c r="C570" s="156"/>
      <c r="D570" s="156"/>
      <c r="E570" s="392"/>
      <c r="F570" s="392"/>
      <c r="G570" s="392"/>
      <c r="H570" s="392"/>
      <c r="I570" s="392"/>
      <c r="J570" s="392"/>
      <c r="K570" s="392"/>
      <c r="L570" s="392"/>
      <c r="M570" s="392"/>
      <c r="N570" s="392"/>
      <c r="O570" s="392"/>
      <c r="P570" s="392"/>
      <c r="Q570" s="392"/>
      <c r="R570" s="392"/>
      <c r="S570" s="392"/>
      <c r="T570" s="392"/>
      <c r="U570" s="392"/>
      <c r="V570" s="392"/>
      <c r="W570" s="392"/>
      <c r="X570" s="392"/>
      <c r="Y570" s="392"/>
      <c r="Z570" s="392"/>
      <c r="AA570" s="392"/>
      <c r="AB570" s="392"/>
      <c r="AC570" s="392"/>
      <c r="AD570" s="392"/>
      <c r="AE570" s="392"/>
      <c r="AF570" s="392"/>
    </row>
    <row r="571" ht="15.75" customHeight="1">
      <c r="A571" s="216"/>
      <c r="B571" s="156"/>
      <c r="C571" s="156"/>
      <c r="D571" s="156"/>
      <c r="E571" s="392"/>
      <c r="F571" s="392"/>
      <c r="G571" s="392"/>
      <c r="H571" s="392"/>
      <c r="I571" s="392"/>
      <c r="J571" s="392"/>
      <c r="K571" s="392"/>
      <c r="L571" s="392"/>
      <c r="M571" s="392"/>
      <c r="N571" s="392"/>
      <c r="O571" s="392"/>
      <c r="P571" s="392"/>
      <c r="Q571" s="392"/>
      <c r="R571" s="392"/>
      <c r="S571" s="392"/>
      <c r="T571" s="392"/>
      <c r="U571" s="392"/>
      <c r="V571" s="392"/>
      <c r="W571" s="392"/>
      <c r="X571" s="392"/>
      <c r="Y571" s="392"/>
      <c r="Z571" s="392"/>
      <c r="AA571" s="392"/>
      <c r="AB571" s="392"/>
      <c r="AC571" s="392"/>
      <c r="AD571" s="392"/>
      <c r="AE571" s="392"/>
      <c r="AF571" s="392"/>
    </row>
    <row r="572" ht="15.75" customHeight="1">
      <c r="A572" s="216"/>
      <c r="B572" s="156"/>
      <c r="C572" s="156"/>
      <c r="D572" s="156"/>
      <c r="E572" s="392"/>
      <c r="F572" s="392"/>
      <c r="G572" s="392"/>
      <c r="H572" s="392"/>
      <c r="I572" s="392"/>
      <c r="J572" s="392"/>
      <c r="K572" s="392"/>
      <c r="L572" s="392"/>
      <c r="M572" s="392"/>
      <c r="N572" s="392"/>
      <c r="O572" s="392"/>
      <c r="P572" s="392"/>
      <c r="Q572" s="392"/>
      <c r="R572" s="392"/>
      <c r="S572" s="392"/>
      <c r="T572" s="392"/>
      <c r="U572" s="392"/>
      <c r="V572" s="392"/>
      <c r="W572" s="392"/>
      <c r="X572" s="392"/>
      <c r="Y572" s="392"/>
      <c r="Z572" s="392"/>
      <c r="AA572" s="392"/>
      <c r="AB572" s="392"/>
      <c r="AC572" s="392"/>
      <c r="AD572" s="392"/>
      <c r="AE572" s="392"/>
      <c r="AF572" s="392"/>
    </row>
    <row r="573" ht="15.75" customHeight="1">
      <c r="A573" s="216"/>
      <c r="B573" s="156"/>
      <c r="C573" s="156"/>
      <c r="D573" s="156"/>
      <c r="E573" s="392"/>
      <c r="F573" s="392"/>
      <c r="G573" s="392"/>
      <c r="H573" s="392"/>
      <c r="I573" s="392"/>
      <c r="J573" s="392"/>
      <c r="K573" s="392"/>
      <c r="L573" s="392"/>
      <c r="M573" s="392"/>
      <c r="N573" s="392"/>
      <c r="O573" s="392"/>
      <c r="P573" s="392"/>
      <c r="Q573" s="392"/>
      <c r="R573" s="392"/>
      <c r="S573" s="392"/>
      <c r="T573" s="392"/>
      <c r="U573" s="392"/>
      <c r="V573" s="392"/>
      <c r="W573" s="392"/>
      <c r="X573" s="392"/>
      <c r="Y573" s="392"/>
      <c r="Z573" s="392"/>
      <c r="AA573" s="392"/>
      <c r="AB573" s="392"/>
      <c r="AC573" s="392"/>
      <c r="AD573" s="392"/>
      <c r="AE573" s="392"/>
      <c r="AF573" s="392"/>
    </row>
    <row r="574" ht="15.75" customHeight="1">
      <c r="A574" s="216"/>
      <c r="B574" s="156"/>
      <c r="C574" s="156"/>
      <c r="D574" s="156"/>
      <c r="E574" s="392"/>
      <c r="F574" s="392"/>
      <c r="G574" s="392"/>
      <c r="H574" s="392"/>
      <c r="I574" s="392"/>
      <c r="J574" s="392"/>
      <c r="K574" s="392"/>
      <c r="L574" s="392"/>
      <c r="M574" s="392"/>
      <c r="N574" s="392"/>
      <c r="O574" s="392"/>
      <c r="P574" s="392"/>
      <c r="Q574" s="392"/>
      <c r="R574" s="392"/>
      <c r="S574" s="392"/>
      <c r="T574" s="392"/>
      <c r="U574" s="392"/>
      <c r="V574" s="392"/>
      <c r="W574" s="392"/>
      <c r="X574" s="392"/>
      <c r="Y574" s="392"/>
      <c r="Z574" s="392"/>
      <c r="AA574" s="392"/>
      <c r="AB574" s="392"/>
      <c r="AC574" s="392"/>
      <c r="AD574" s="392"/>
      <c r="AE574" s="392"/>
      <c r="AF574" s="392"/>
    </row>
    <row r="575" ht="15.75" customHeight="1">
      <c r="A575" s="216"/>
      <c r="B575" s="156"/>
      <c r="C575" s="156"/>
      <c r="D575" s="156"/>
      <c r="E575" s="392"/>
      <c r="F575" s="392"/>
      <c r="G575" s="392"/>
      <c r="H575" s="392"/>
      <c r="I575" s="392"/>
      <c r="J575" s="392"/>
      <c r="K575" s="392"/>
      <c r="L575" s="392"/>
      <c r="M575" s="392"/>
      <c r="N575" s="392"/>
      <c r="O575" s="392"/>
      <c r="P575" s="392"/>
      <c r="Q575" s="392"/>
      <c r="R575" s="392"/>
      <c r="S575" s="392"/>
      <c r="T575" s="392"/>
      <c r="U575" s="392"/>
      <c r="V575" s="392"/>
      <c r="W575" s="392"/>
      <c r="X575" s="392"/>
      <c r="Y575" s="392"/>
      <c r="Z575" s="392"/>
      <c r="AA575" s="392"/>
      <c r="AB575" s="392"/>
      <c r="AC575" s="392"/>
      <c r="AD575" s="392"/>
      <c r="AE575" s="392"/>
      <c r="AF575" s="392"/>
    </row>
    <row r="576" ht="15.75" customHeight="1">
      <c r="A576" s="216"/>
      <c r="B576" s="156"/>
      <c r="C576" s="156"/>
      <c r="D576" s="156"/>
      <c r="E576" s="392"/>
      <c r="F576" s="392"/>
      <c r="G576" s="392"/>
      <c r="H576" s="392"/>
      <c r="I576" s="392"/>
      <c r="J576" s="392"/>
      <c r="K576" s="392"/>
      <c r="L576" s="392"/>
      <c r="M576" s="392"/>
      <c r="N576" s="392"/>
      <c r="O576" s="392"/>
      <c r="P576" s="392"/>
      <c r="Q576" s="392"/>
      <c r="R576" s="392"/>
      <c r="S576" s="392"/>
      <c r="T576" s="392"/>
      <c r="U576" s="392"/>
      <c r="V576" s="392"/>
      <c r="W576" s="392"/>
      <c r="X576" s="392"/>
      <c r="Y576" s="392"/>
      <c r="Z576" s="392"/>
      <c r="AA576" s="392"/>
      <c r="AB576" s="392"/>
      <c r="AC576" s="392"/>
      <c r="AD576" s="392"/>
      <c r="AE576" s="392"/>
      <c r="AF576" s="392"/>
    </row>
    <row r="577" ht="15.75" customHeight="1">
      <c r="A577" s="216"/>
      <c r="B577" s="156"/>
      <c r="C577" s="156"/>
      <c r="D577" s="156"/>
      <c r="E577" s="392"/>
      <c r="F577" s="392"/>
      <c r="G577" s="392"/>
      <c r="H577" s="392"/>
      <c r="I577" s="392"/>
      <c r="J577" s="392"/>
      <c r="K577" s="392"/>
      <c r="L577" s="392"/>
      <c r="M577" s="392"/>
      <c r="N577" s="392"/>
      <c r="O577" s="392"/>
      <c r="P577" s="392"/>
      <c r="Q577" s="392"/>
      <c r="R577" s="392"/>
      <c r="S577" s="392"/>
      <c r="T577" s="392"/>
      <c r="U577" s="392"/>
      <c r="V577" s="392"/>
      <c r="W577" s="392"/>
      <c r="X577" s="392"/>
      <c r="Y577" s="392"/>
      <c r="Z577" s="392"/>
      <c r="AA577" s="392"/>
      <c r="AB577" s="392"/>
      <c r="AC577" s="392"/>
      <c r="AD577" s="392"/>
      <c r="AE577" s="392"/>
      <c r="AF577" s="392"/>
    </row>
    <row r="578" ht="15.75" customHeight="1">
      <c r="A578" s="216"/>
      <c r="B578" s="156"/>
      <c r="C578" s="156"/>
      <c r="D578" s="156"/>
      <c r="E578" s="392"/>
      <c r="F578" s="392"/>
      <c r="G578" s="392"/>
      <c r="H578" s="392"/>
      <c r="I578" s="392"/>
      <c r="J578" s="392"/>
      <c r="K578" s="392"/>
      <c r="L578" s="392"/>
      <c r="M578" s="392"/>
      <c r="N578" s="392"/>
      <c r="O578" s="392"/>
      <c r="P578" s="392"/>
      <c r="Q578" s="392"/>
      <c r="R578" s="392"/>
      <c r="S578" s="392"/>
      <c r="T578" s="392"/>
      <c r="U578" s="392"/>
      <c r="V578" s="392"/>
      <c r="W578" s="392"/>
      <c r="X578" s="392"/>
      <c r="Y578" s="392"/>
      <c r="Z578" s="392"/>
      <c r="AA578" s="392"/>
      <c r="AB578" s="392"/>
      <c r="AC578" s="392"/>
      <c r="AD578" s="392"/>
      <c r="AE578" s="392"/>
      <c r="AF578" s="392"/>
    </row>
    <row r="579" ht="15.75" customHeight="1">
      <c r="A579" s="216"/>
      <c r="B579" s="156"/>
      <c r="C579" s="156"/>
      <c r="D579" s="156"/>
      <c r="E579" s="392"/>
      <c r="F579" s="392"/>
      <c r="G579" s="392"/>
      <c r="H579" s="392"/>
      <c r="I579" s="392"/>
      <c r="J579" s="392"/>
      <c r="K579" s="392"/>
      <c r="L579" s="392"/>
      <c r="M579" s="392"/>
      <c r="N579" s="392"/>
      <c r="O579" s="392"/>
      <c r="P579" s="392"/>
      <c r="Q579" s="392"/>
      <c r="R579" s="392"/>
      <c r="S579" s="392"/>
      <c r="T579" s="392"/>
      <c r="U579" s="392"/>
      <c r="V579" s="392"/>
      <c r="W579" s="392"/>
      <c r="X579" s="392"/>
      <c r="Y579" s="392"/>
      <c r="Z579" s="392"/>
      <c r="AA579" s="392"/>
      <c r="AB579" s="392"/>
      <c r="AC579" s="392"/>
      <c r="AD579" s="392"/>
      <c r="AE579" s="392"/>
      <c r="AF579" s="392"/>
    </row>
    <row r="580" ht="15.75" customHeight="1">
      <c r="A580" s="216"/>
      <c r="B580" s="156"/>
      <c r="C580" s="156"/>
      <c r="D580" s="156"/>
      <c r="E580" s="392"/>
      <c r="F580" s="392"/>
      <c r="G580" s="392"/>
      <c r="H580" s="392"/>
      <c r="I580" s="392"/>
      <c r="J580" s="392"/>
      <c r="K580" s="392"/>
      <c r="L580" s="392"/>
      <c r="M580" s="392"/>
      <c r="N580" s="392"/>
      <c r="O580" s="392"/>
      <c r="P580" s="392"/>
      <c r="Q580" s="392"/>
      <c r="R580" s="392"/>
      <c r="S580" s="392"/>
      <c r="T580" s="392"/>
      <c r="U580" s="392"/>
      <c r="V580" s="392"/>
      <c r="W580" s="392"/>
      <c r="X580" s="392"/>
      <c r="Y580" s="392"/>
      <c r="Z580" s="392"/>
      <c r="AA580" s="392"/>
      <c r="AB580" s="392"/>
      <c r="AC580" s="392"/>
      <c r="AD580" s="392"/>
      <c r="AE580" s="392"/>
      <c r="AF580" s="392"/>
    </row>
    <row r="581" ht="15.75" customHeight="1">
      <c r="A581" s="216"/>
      <c r="B581" s="156"/>
      <c r="C581" s="156"/>
      <c r="D581" s="156"/>
      <c r="E581" s="392"/>
      <c r="F581" s="392"/>
      <c r="G581" s="392"/>
      <c r="H581" s="392"/>
      <c r="I581" s="392"/>
      <c r="J581" s="392"/>
      <c r="K581" s="392"/>
      <c r="L581" s="392"/>
      <c r="M581" s="392"/>
      <c r="N581" s="392"/>
      <c r="O581" s="392"/>
      <c r="P581" s="392"/>
      <c r="Q581" s="392"/>
      <c r="R581" s="392"/>
      <c r="S581" s="392"/>
      <c r="T581" s="392"/>
      <c r="U581" s="392"/>
      <c r="V581" s="392"/>
      <c r="W581" s="392"/>
      <c r="X581" s="392"/>
      <c r="Y581" s="392"/>
      <c r="Z581" s="392"/>
      <c r="AA581" s="392"/>
      <c r="AB581" s="392"/>
      <c r="AC581" s="392"/>
      <c r="AD581" s="392"/>
      <c r="AE581" s="392"/>
      <c r="AF581" s="392"/>
    </row>
    <row r="582" ht="15.75" customHeight="1">
      <c r="A582" s="216"/>
      <c r="B582" s="156"/>
      <c r="C582" s="156"/>
      <c r="D582" s="156"/>
      <c r="E582" s="392"/>
      <c r="F582" s="392"/>
      <c r="G582" s="392"/>
      <c r="H582" s="392"/>
      <c r="I582" s="392"/>
      <c r="J582" s="392"/>
      <c r="K582" s="392"/>
      <c r="L582" s="392"/>
      <c r="M582" s="392"/>
      <c r="N582" s="392"/>
      <c r="O582" s="392"/>
      <c r="P582" s="392"/>
      <c r="Q582" s="392"/>
      <c r="R582" s="392"/>
      <c r="S582" s="392"/>
      <c r="T582" s="392"/>
      <c r="U582" s="392"/>
      <c r="V582" s="392"/>
      <c r="W582" s="392"/>
      <c r="X582" s="392"/>
      <c r="Y582" s="392"/>
      <c r="Z582" s="392"/>
      <c r="AA582" s="392"/>
      <c r="AB582" s="392"/>
      <c r="AC582" s="392"/>
      <c r="AD582" s="392"/>
      <c r="AE582" s="392"/>
      <c r="AF582" s="392"/>
    </row>
    <row r="583" ht="15.75" customHeight="1">
      <c r="A583" s="216"/>
      <c r="B583" s="156"/>
      <c r="C583" s="156"/>
      <c r="D583" s="156"/>
      <c r="E583" s="392"/>
      <c r="F583" s="392"/>
      <c r="G583" s="392"/>
      <c r="H583" s="392"/>
      <c r="I583" s="392"/>
      <c r="J583" s="392"/>
      <c r="K583" s="392"/>
      <c r="L583" s="392"/>
      <c r="M583" s="392"/>
      <c r="N583" s="392"/>
      <c r="O583" s="392"/>
      <c r="P583" s="392"/>
      <c r="Q583" s="392"/>
      <c r="R583" s="392"/>
      <c r="S583" s="392"/>
      <c r="T583" s="392"/>
      <c r="U583" s="392"/>
      <c r="V583" s="392"/>
      <c r="W583" s="392"/>
      <c r="X583" s="392"/>
      <c r="Y583" s="392"/>
      <c r="Z583" s="392"/>
      <c r="AA583" s="392"/>
      <c r="AB583" s="392"/>
      <c r="AC583" s="392"/>
      <c r="AD583" s="392"/>
      <c r="AE583" s="392"/>
      <c r="AF583" s="392"/>
    </row>
    <row r="584" ht="15.75" customHeight="1">
      <c r="A584" s="216"/>
      <c r="B584" s="156"/>
      <c r="C584" s="156"/>
      <c r="D584" s="156"/>
      <c r="E584" s="392"/>
      <c r="F584" s="392"/>
      <c r="G584" s="392"/>
      <c r="H584" s="392"/>
      <c r="I584" s="392"/>
      <c r="J584" s="392"/>
      <c r="K584" s="392"/>
      <c r="L584" s="392"/>
      <c r="M584" s="392"/>
      <c r="N584" s="392"/>
      <c r="O584" s="392"/>
      <c r="P584" s="392"/>
      <c r="Q584" s="392"/>
      <c r="R584" s="392"/>
      <c r="S584" s="392"/>
      <c r="T584" s="392"/>
      <c r="U584" s="392"/>
      <c r="V584" s="392"/>
      <c r="W584" s="392"/>
      <c r="X584" s="392"/>
      <c r="Y584" s="392"/>
      <c r="Z584" s="392"/>
      <c r="AA584" s="392"/>
      <c r="AB584" s="392"/>
      <c r="AC584" s="392"/>
      <c r="AD584" s="392"/>
      <c r="AE584" s="392"/>
      <c r="AF584" s="392"/>
    </row>
    <row r="585" ht="15.75" customHeight="1">
      <c r="A585" s="216"/>
      <c r="B585" s="156"/>
      <c r="C585" s="156"/>
      <c r="D585" s="156"/>
      <c r="E585" s="392"/>
      <c r="F585" s="392"/>
      <c r="G585" s="392"/>
      <c r="H585" s="392"/>
      <c r="I585" s="392"/>
      <c r="J585" s="392"/>
      <c r="K585" s="392"/>
      <c r="L585" s="392"/>
      <c r="M585" s="392"/>
      <c r="N585" s="392"/>
      <c r="O585" s="392"/>
      <c r="P585" s="392"/>
      <c r="Q585" s="392"/>
      <c r="R585" s="392"/>
      <c r="S585" s="392"/>
      <c r="T585" s="392"/>
      <c r="U585" s="392"/>
      <c r="V585" s="392"/>
      <c r="W585" s="392"/>
      <c r="X585" s="392"/>
      <c r="Y585" s="392"/>
      <c r="Z585" s="392"/>
      <c r="AA585" s="392"/>
      <c r="AB585" s="392"/>
      <c r="AC585" s="392"/>
      <c r="AD585" s="392"/>
      <c r="AE585" s="392"/>
      <c r="AF585" s="392"/>
    </row>
    <row r="586" ht="15.75" customHeight="1">
      <c r="A586" s="216"/>
      <c r="B586" s="156"/>
      <c r="C586" s="156"/>
      <c r="D586" s="156"/>
      <c r="E586" s="392"/>
      <c r="F586" s="392"/>
      <c r="G586" s="392"/>
      <c r="H586" s="392"/>
      <c r="I586" s="392"/>
      <c r="J586" s="392"/>
      <c r="K586" s="392"/>
      <c r="L586" s="392"/>
      <c r="M586" s="392"/>
      <c r="N586" s="392"/>
      <c r="O586" s="392"/>
      <c r="P586" s="392"/>
      <c r="Q586" s="392"/>
      <c r="R586" s="392"/>
      <c r="S586" s="392"/>
      <c r="T586" s="392"/>
      <c r="U586" s="392"/>
      <c r="V586" s="392"/>
      <c r="W586" s="392"/>
      <c r="X586" s="392"/>
      <c r="Y586" s="392"/>
      <c r="Z586" s="392"/>
      <c r="AA586" s="392"/>
      <c r="AB586" s="392"/>
      <c r="AC586" s="392"/>
      <c r="AD586" s="392"/>
      <c r="AE586" s="392"/>
      <c r="AF586" s="392"/>
    </row>
    <row r="587" ht="15.75" customHeight="1">
      <c r="A587" s="216"/>
      <c r="B587" s="156"/>
      <c r="C587" s="156"/>
      <c r="D587" s="156"/>
      <c r="E587" s="392"/>
      <c r="F587" s="392"/>
      <c r="G587" s="392"/>
      <c r="H587" s="392"/>
      <c r="I587" s="392"/>
      <c r="J587" s="392"/>
      <c r="K587" s="392"/>
      <c r="L587" s="392"/>
      <c r="M587" s="392"/>
      <c r="N587" s="392"/>
      <c r="O587" s="392"/>
      <c r="P587" s="392"/>
      <c r="Q587" s="392"/>
      <c r="R587" s="392"/>
      <c r="S587" s="392"/>
      <c r="T587" s="392"/>
      <c r="U587" s="392"/>
      <c r="V587" s="392"/>
      <c r="W587" s="392"/>
      <c r="X587" s="392"/>
      <c r="Y587" s="392"/>
      <c r="Z587" s="392"/>
      <c r="AA587" s="392"/>
      <c r="AB587" s="392"/>
      <c r="AC587" s="392"/>
      <c r="AD587" s="392"/>
      <c r="AE587" s="392"/>
      <c r="AF587" s="392"/>
    </row>
    <row r="588" ht="15.75" customHeight="1">
      <c r="A588" s="216"/>
      <c r="B588" s="156"/>
      <c r="C588" s="156"/>
      <c r="D588" s="156"/>
      <c r="E588" s="392"/>
      <c r="F588" s="392"/>
      <c r="G588" s="392"/>
      <c r="H588" s="392"/>
      <c r="I588" s="392"/>
      <c r="J588" s="392"/>
      <c r="K588" s="392"/>
      <c r="L588" s="392"/>
      <c r="M588" s="392"/>
      <c r="N588" s="392"/>
      <c r="O588" s="392"/>
      <c r="P588" s="392"/>
      <c r="Q588" s="392"/>
      <c r="R588" s="392"/>
      <c r="S588" s="392"/>
      <c r="T588" s="392"/>
      <c r="U588" s="392"/>
      <c r="V588" s="392"/>
      <c r="W588" s="392"/>
      <c r="X588" s="392"/>
      <c r="Y588" s="392"/>
      <c r="Z588" s="392"/>
      <c r="AA588" s="392"/>
      <c r="AB588" s="392"/>
      <c r="AC588" s="392"/>
      <c r="AD588" s="392"/>
      <c r="AE588" s="392"/>
      <c r="AF588" s="392"/>
    </row>
    <row r="589" ht="15.75" customHeight="1">
      <c r="A589" s="216"/>
      <c r="B589" s="156"/>
      <c r="C589" s="156"/>
      <c r="D589" s="156"/>
      <c r="E589" s="392"/>
      <c r="F589" s="392"/>
      <c r="G589" s="392"/>
      <c r="H589" s="392"/>
      <c r="I589" s="392"/>
      <c r="J589" s="392"/>
      <c r="K589" s="392"/>
      <c r="L589" s="392"/>
      <c r="M589" s="392"/>
      <c r="N589" s="392"/>
      <c r="O589" s="392"/>
      <c r="P589" s="392"/>
      <c r="Q589" s="392"/>
      <c r="R589" s="392"/>
      <c r="S589" s="392"/>
      <c r="T589" s="392"/>
      <c r="U589" s="392"/>
      <c r="V589" s="392"/>
      <c r="W589" s="392"/>
      <c r="X589" s="392"/>
      <c r="Y589" s="392"/>
      <c r="Z589" s="392"/>
      <c r="AA589" s="392"/>
      <c r="AB589" s="392"/>
      <c r="AC589" s="392"/>
      <c r="AD589" s="392"/>
      <c r="AE589" s="392"/>
      <c r="AF589" s="392"/>
    </row>
    <row r="590" ht="15.75" customHeight="1">
      <c r="A590" s="216"/>
      <c r="B590" s="156"/>
      <c r="C590" s="156"/>
      <c r="D590" s="156"/>
      <c r="E590" s="392"/>
      <c r="F590" s="392"/>
      <c r="G590" s="392"/>
      <c r="H590" s="392"/>
      <c r="I590" s="392"/>
      <c r="J590" s="392"/>
      <c r="K590" s="392"/>
      <c r="L590" s="392"/>
      <c r="M590" s="392"/>
      <c r="N590" s="392"/>
      <c r="O590" s="392"/>
      <c r="P590" s="392"/>
      <c r="Q590" s="392"/>
      <c r="R590" s="392"/>
      <c r="S590" s="392"/>
      <c r="T590" s="392"/>
      <c r="U590" s="392"/>
      <c r="V590" s="392"/>
      <c r="W590" s="392"/>
      <c r="X590" s="392"/>
      <c r="Y590" s="392"/>
      <c r="Z590" s="392"/>
      <c r="AA590" s="392"/>
      <c r="AB590" s="392"/>
      <c r="AC590" s="392"/>
      <c r="AD590" s="392"/>
      <c r="AE590" s="392"/>
      <c r="AF590" s="392"/>
    </row>
    <row r="591" ht="15.75" customHeight="1">
      <c r="A591" s="216"/>
      <c r="B591" s="156"/>
      <c r="C591" s="156"/>
      <c r="D591" s="156"/>
      <c r="E591" s="392"/>
      <c r="F591" s="392"/>
      <c r="G591" s="392"/>
      <c r="H591" s="392"/>
      <c r="I591" s="392"/>
      <c r="J591" s="392"/>
      <c r="K591" s="392"/>
      <c r="L591" s="392"/>
      <c r="M591" s="392"/>
      <c r="N591" s="392"/>
      <c r="O591" s="392"/>
      <c r="P591" s="392"/>
      <c r="Q591" s="392"/>
      <c r="R591" s="392"/>
      <c r="S591" s="392"/>
      <c r="T591" s="392"/>
      <c r="U591" s="392"/>
      <c r="V591" s="392"/>
      <c r="W591" s="392"/>
      <c r="X591" s="392"/>
      <c r="Y591" s="392"/>
      <c r="Z591" s="392"/>
      <c r="AA591" s="392"/>
      <c r="AB591" s="392"/>
      <c r="AC591" s="392"/>
      <c r="AD591" s="392"/>
      <c r="AE591" s="392"/>
      <c r="AF591" s="392"/>
    </row>
    <row r="592" ht="15.75" customHeight="1">
      <c r="A592" s="216"/>
      <c r="B592" s="156"/>
      <c r="C592" s="156"/>
      <c r="D592" s="156"/>
      <c r="E592" s="392"/>
      <c r="F592" s="392"/>
      <c r="G592" s="392"/>
      <c r="H592" s="392"/>
      <c r="I592" s="392"/>
      <c r="J592" s="392"/>
      <c r="K592" s="392"/>
      <c r="L592" s="392"/>
      <c r="M592" s="392"/>
      <c r="N592" s="392"/>
      <c r="O592" s="392"/>
      <c r="P592" s="392"/>
      <c r="Q592" s="392"/>
      <c r="R592" s="392"/>
      <c r="S592" s="392"/>
      <c r="T592" s="392"/>
      <c r="U592" s="392"/>
      <c r="V592" s="392"/>
      <c r="W592" s="392"/>
      <c r="X592" s="392"/>
      <c r="Y592" s="392"/>
      <c r="Z592" s="392"/>
      <c r="AA592" s="392"/>
      <c r="AB592" s="392"/>
      <c r="AC592" s="392"/>
      <c r="AD592" s="392"/>
      <c r="AE592" s="392"/>
      <c r="AF592" s="392"/>
    </row>
    <row r="593" ht="15.75" customHeight="1">
      <c r="A593" s="216"/>
      <c r="B593" s="156"/>
      <c r="C593" s="156"/>
      <c r="D593" s="156"/>
      <c r="E593" s="392"/>
      <c r="F593" s="392"/>
      <c r="G593" s="392"/>
      <c r="H593" s="392"/>
      <c r="I593" s="392"/>
      <c r="J593" s="392"/>
      <c r="K593" s="392"/>
      <c r="L593" s="392"/>
      <c r="M593" s="392"/>
      <c r="N593" s="392"/>
      <c r="O593" s="392"/>
      <c r="P593" s="392"/>
      <c r="Q593" s="392"/>
      <c r="R593" s="392"/>
      <c r="S593" s="392"/>
      <c r="T593" s="392"/>
      <c r="U593" s="392"/>
      <c r="V593" s="392"/>
      <c r="W593" s="392"/>
      <c r="X593" s="392"/>
      <c r="Y593" s="392"/>
      <c r="Z593" s="392"/>
      <c r="AA593" s="392"/>
      <c r="AB593" s="392"/>
      <c r="AC593" s="392"/>
      <c r="AD593" s="392"/>
      <c r="AE593" s="392"/>
      <c r="AF593" s="392"/>
    </row>
    <row r="594" ht="15.75" customHeight="1">
      <c r="A594" s="216"/>
      <c r="B594" s="156"/>
      <c r="C594" s="156"/>
      <c r="D594" s="156"/>
      <c r="E594" s="392"/>
      <c r="F594" s="392"/>
      <c r="G594" s="392"/>
      <c r="H594" s="392"/>
      <c r="I594" s="392"/>
      <c r="J594" s="392"/>
      <c r="K594" s="392"/>
      <c r="L594" s="392"/>
      <c r="M594" s="392"/>
      <c r="N594" s="392"/>
      <c r="O594" s="392"/>
      <c r="P594" s="392"/>
      <c r="Q594" s="392"/>
      <c r="R594" s="392"/>
      <c r="S594" s="392"/>
      <c r="T594" s="392"/>
      <c r="U594" s="392"/>
      <c r="V594" s="392"/>
      <c r="W594" s="392"/>
      <c r="X594" s="392"/>
      <c r="Y594" s="392"/>
      <c r="Z594" s="392"/>
      <c r="AA594" s="392"/>
      <c r="AB594" s="392"/>
      <c r="AC594" s="392"/>
      <c r="AD594" s="392"/>
      <c r="AE594" s="392"/>
      <c r="AF594" s="392"/>
    </row>
    <row r="595" ht="15.75" customHeight="1">
      <c r="A595" s="216"/>
      <c r="B595" s="156"/>
      <c r="C595" s="156"/>
      <c r="D595" s="156"/>
      <c r="E595" s="392"/>
      <c r="F595" s="392"/>
      <c r="G595" s="392"/>
      <c r="H595" s="392"/>
      <c r="I595" s="392"/>
      <c r="J595" s="392"/>
      <c r="K595" s="392"/>
      <c r="L595" s="392"/>
      <c r="M595" s="392"/>
      <c r="N595" s="392"/>
      <c r="O595" s="392"/>
      <c r="P595" s="392"/>
      <c r="Q595" s="392"/>
      <c r="R595" s="392"/>
      <c r="S595" s="392"/>
      <c r="T595" s="392"/>
      <c r="U595" s="392"/>
      <c r="V595" s="392"/>
      <c r="W595" s="392"/>
      <c r="X595" s="392"/>
      <c r="Y595" s="392"/>
      <c r="Z595" s="392"/>
      <c r="AA595" s="392"/>
      <c r="AB595" s="392"/>
      <c r="AC595" s="392"/>
      <c r="AD595" s="392"/>
      <c r="AE595" s="392"/>
      <c r="AF595" s="392"/>
    </row>
    <row r="596" ht="15.75" customHeight="1">
      <c r="A596" s="216"/>
      <c r="B596" s="156"/>
      <c r="C596" s="156"/>
      <c r="D596" s="156"/>
      <c r="E596" s="392"/>
      <c r="F596" s="392"/>
      <c r="G596" s="392"/>
      <c r="H596" s="392"/>
      <c r="I596" s="392"/>
      <c r="J596" s="392"/>
      <c r="K596" s="392"/>
      <c r="L596" s="392"/>
      <c r="M596" s="392"/>
      <c r="N596" s="392"/>
      <c r="O596" s="392"/>
      <c r="P596" s="392"/>
      <c r="Q596" s="392"/>
      <c r="R596" s="392"/>
      <c r="S596" s="392"/>
      <c r="T596" s="392"/>
      <c r="U596" s="392"/>
      <c r="V596" s="392"/>
      <c r="W596" s="392"/>
      <c r="X596" s="392"/>
      <c r="Y596" s="392"/>
      <c r="Z596" s="392"/>
      <c r="AA596" s="392"/>
      <c r="AB596" s="392"/>
      <c r="AC596" s="392"/>
      <c r="AD596" s="392"/>
      <c r="AE596" s="392"/>
      <c r="AF596" s="392"/>
    </row>
    <row r="597" ht="15.75" customHeight="1">
      <c r="A597" s="216"/>
      <c r="B597" s="156"/>
      <c r="C597" s="156"/>
      <c r="D597" s="156"/>
      <c r="E597" s="392"/>
      <c r="F597" s="392"/>
      <c r="G597" s="392"/>
      <c r="H597" s="392"/>
      <c r="I597" s="392"/>
      <c r="J597" s="392"/>
      <c r="K597" s="392"/>
      <c r="L597" s="392"/>
      <c r="M597" s="392"/>
      <c r="N597" s="392"/>
      <c r="O597" s="392"/>
      <c r="P597" s="392"/>
      <c r="Q597" s="392"/>
      <c r="R597" s="392"/>
      <c r="S597" s="392"/>
      <c r="T597" s="392"/>
      <c r="U597" s="392"/>
      <c r="V597" s="392"/>
      <c r="W597" s="392"/>
      <c r="X597" s="392"/>
      <c r="Y597" s="392"/>
      <c r="Z597" s="392"/>
      <c r="AA597" s="392"/>
      <c r="AB597" s="392"/>
      <c r="AC597" s="392"/>
      <c r="AD597" s="392"/>
      <c r="AE597" s="392"/>
      <c r="AF597" s="392"/>
    </row>
    <row r="598" ht="15.75" customHeight="1">
      <c r="A598" s="216"/>
      <c r="B598" s="156"/>
      <c r="C598" s="156"/>
      <c r="D598" s="156"/>
      <c r="E598" s="392"/>
      <c r="F598" s="392"/>
      <c r="G598" s="392"/>
      <c r="H598" s="392"/>
      <c r="I598" s="392"/>
      <c r="J598" s="392"/>
      <c r="K598" s="392"/>
      <c r="L598" s="392"/>
      <c r="M598" s="392"/>
      <c r="N598" s="392"/>
      <c r="O598" s="392"/>
      <c r="P598" s="392"/>
      <c r="Q598" s="392"/>
      <c r="R598" s="392"/>
      <c r="S598" s="392"/>
      <c r="T598" s="392"/>
      <c r="U598" s="392"/>
      <c r="V598" s="392"/>
      <c r="W598" s="392"/>
      <c r="X598" s="392"/>
      <c r="Y598" s="392"/>
      <c r="Z598" s="392"/>
      <c r="AA598" s="392"/>
      <c r="AB598" s="392"/>
      <c r="AC598" s="392"/>
      <c r="AD598" s="392"/>
      <c r="AE598" s="392"/>
      <c r="AF598" s="392"/>
    </row>
    <row r="599" ht="15.75" customHeight="1">
      <c r="A599" s="216"/>
      <c r="B599" s="156"/>
      <c r="C599" s="156"/>
      <c r="D599" s="156"/>
      <c r="E599" s="392"/>
      <c r="F599" s="392"/>
      <c r="G599" s="392"/>
      <c r="H599" s="392"/>
      <c r="I599" s="392"/>
      <c r="J599" s="392"/>
      <c r="K599" s="392"/>
      <c r="L599" s="392"/>
      <c r="M599" s="392"/>
      <c r="N599" s="392"/>
      <c r="O599" s="392"/>
      <c r="P599" s="392"/>
      <c r="Q599" s="392"/>
      <c r="R599" s="392"/>
      <c r="S599" s="392"/>
      <c r="T599" s="392"/>
      <c r="U599" s="392"/>
      <c r="V599" s="392"/>
      <c r="W599" s="392"/>
      <c r="X599" s="392"/>
      <c r="Y599" s="392"/>
      <c r="Z599" s="392"/>
      <c r="AA599" s="392"/>
      <c r="AB599" s="392"/>
      <c r="AC599" s="392"/>
      <c r="AD599" s="392"/>
      <c r="AE599" s="392"/>
      <c r="AF599" s="392"/>
    </row>
    <row r="600" ht="15.75" customHeight="1">
      <c r="A600" s="216"/>
      <c r="B600" s="156"/>
      <c r="C600" s="156"/>
      <c r="D600" s="156"/>
      <c r="E600" s="392"/>
      <c r="F600" s="392"/>
      <c r="G600" s="392"/>
      <c r="H600" s="392"/>
      <c r="I600" s="392"/>
      <c r="J600" s="392"/>
      <c r="K600" s="392"/>
      <c r="L600" s="392"/>
      <c r="M600" s="392"/>
      <c r="N600" s="392"/>
      <c r="O600" s="392"/>
      <c r="P600" s="392"/>
      <c r="Q600" s="392"/>
      <c r="R600" s="392"/>
      <c r="S600" s="392"/>
      <c r="T600" s="392"/>
      <c r="U600" s="392"/>
      <c r="V600" s="392"/>
      <c r="W600" s="392"/>
      <c r="X600" s="392"/>
      <c r="Y600" s="392"/>
      <c r="Z600" s="392"/>
      <c r="AA600" s="392"/>
      <c r="AB600" s="392"/>
      <c r="AC600" s="392"/>
      <c r="AD600" s="392"/>
      <c r="AE600" s="392"/>
      <c r="AF600" s="392"/>
    </row>
    <row r="601" ht="15.75" customHeight="1">
      <c r="A601" s="216"/>
      <c r="B601" s="156"/>
      <c r="C601" s="156"/>
      <c r="D601" s="156"/>
      <c r="E601" s="392"/>
      <c r="F601" s="392"/>
      <c r="G601" s="392"/>
      <c r="H601" s="392"/>
      <c r="I601" s="392"/>
      <c r="J601" s="392"/>
      <c r="K601" s="392"/>
      <c r="L601" s="392"/>
      <c r="M601" s="392"/>
      <c r="N601" s="392"/>
      <c r="O601" s="392"/>
      <c r="P601" s="392"/>
      <c r="Q601" s="392"/>
      <c r="R601" s="392"/>
      <c r="S601" s="392"/>
      <c r="T601" s="392"/>
      <c r="U601" s="392"/>
      <c r="V601" s="392"/>
      <c r="W601" s="392"/>
      <c r="X601" s="392"/>
      <c r="Y601" s="392"/>
      <c r="Z601" s="392"/>
      <c r="AA601" s="392"/>
      <c r="AB601" s="392"/>
      <c r="AC601" s="392"/>
      <c r="AD601" s="392"/>
      <c r="AE601" s="392"/>
      <c r="AF601" s="392"/>
    </row>
    <row r="602" ht="15.75" customHeight="1">
      <c r="A602" s="216"/>
      <c r="B602" s="156"/>
      <c r="C602" s="156"/>
      <c r="D602" s="156"/>
      <c r="E602" s="392"/>
      <c r="F602" s="392"/>
      <c r="G602" s="392"/>
      <c r="H602" s="392"/>
      <c r="I602" s="392"/>
      <c r="J602" s="392"/>
      <c r="K602" s="392"/>
      <c r="L602" s="392"/>
      <c r="M602" s="392"/>
      <c r="N602" s="392"/>
      <c r="O602" s="392"/>
      <c r="P602" s="392"/>
      <c r="Q602" s="392"/>
      <c r="R602" s="392"/>
      <c r="S602" s="392"/>
      <c r="T602" s="392"/>
      <c r="U602" s="392"/>
      <c r="V602" s="392"/>
      <c r="W602" s="392"/>
      <c r="X602" s="392"/>
      <c r="Y602" s="392"/>
      <c r="Z602" s="392"/>
      <c r="AA602" s="392"/>
      <c r="AB602" s="392"/>
      <c r="AC602" s="392"/>
      <c r="AD602" s="392"/>
      <c r="AE602" s="392"/>
      <c r="AF602" s="392"/>
    </row>
    <row r="603" ht="15.75" customHeight="1">
      <c r="A603" s="216"/>
      <c r="B603" s="156"/>
      <c r="C603" s="156"/>
      <c r="D603" s="156"/>
      <c r="E603" s="392"/>
      <c r="F603" s="392"/>
      <c r="G603" s="392"/>
      <c r="H603" s="392"/>
      <c r="I603" s="392"/>
      <c r="J603" s="392"/>
      <c r="K603" s="392"/>
      <c r="L603" s="392"/>
      <c r="M603" s="392"/>
      <c r="N603" s="392"/>
      <c r="O603" s="392"/>
      <c r="P603" s="392"/>
      <c r="Q603" s="392"/>
      <c r="R603" s="392"/>
      <c r="S603" s="392"/>
      <c r="T603" s="392"/>
      <c r="U603" s="392"/>
      <c r="V603" s="392"/>
      <c r="W603" s="392"/>
      <c r="X603" s="392"/>
      <c r="Y603" s="392"/>
      <c r="Z603" s="392"/>
      <c r="AA603" s="392"/>
      <c r="AB603" s="392"/>
      <c r="AC603" s="392"/>
      <c r="AD603" s="392"/>
      <c r="AE603" s="392"/>
      <c r="AF603" s="392"/>
    </row>
    <row r="604" ht="15.75" customHeight="1">
      <c r="A604" s="216"/>
      <c r="B604" s="156"/>
      <c r="C604" s="156"/>
      <c r="D604" s="156"/>
      <c r="E604" s="392"/>
      <c r="F604" s="392"/>
      <c r="G604" s="392"/>
      <c r="H604" s="392"/>
      <c r="I604" s="392"/>
      <c r="J604" s="392"/>
      <c r="K604" s="392"/>
      <c r="L604" s="392"/>
      <c r="M604" s="392"/>
      <c r="N604" s="392"/>
      <c r="O604" s="392"/>
      <c r="P604" s="392"/>
      <c r="Q604" s="392"/>
      <c r="R604" s="392"/>
      <c r="S604" s="392"/>
      <c r="T604" s="392"/>
      <c r="U604" s="392"/>
      <c r="V604" s="392"/>
      <c r="W604" s="392"/>
      <c r="X604" s="392"/>
      <c r="Y604" s="392"/>
      <c r="Z604" s="392"/>
      <c r="AA604" s="392"/>
      <c r="AB604" s="392"/>
      <c r="AC604" s="392"/>
      <c r="AD604" s="392"/>
      <c r="AE604" s="392"/>
      <c r="AF604" s="392"/>
    </row>
    <row r="605" ht="15.75" customHeight="1">
      <c r="A605" s="216"/>
      <c r="B605" s="156"/>
      <c r="C605" s="156"/>
      <c r="D605" s="156"/>
      <c r="E605" s="392"/>
      <c r="F605" s="392"/>
      <c r="G605" s="392"/>
      <c r="H605" s="392"/>
      <c r="I605" s="392"/>
      <c r="J605" s="392"/>
      <c r="K605" s="392"/>
      <c r="L605" s="392"/>
      <c r="M605" s="392"/>
      <c r="N605" s="392"/>
      <c r="O605" s="392"/>
      <c r="P605" s="392"/>
      <c r="Q605" s="392"/>
      <c r="R605" s="392"/>
      <c r="S605" s="392"/>
      <c r="T605" s="392"/>
      <c r="U605" s="392"/>
      <c r="V605" s="392"/>
      <c r="W605" s="392"/>
      <c r="X605" s="392"/>
      <c r="Y605" s="392"/>
      <c r="Z605" s="392"/>
      <c r="AA605" s="392"/>
      <c r="AB605" s="392"/>
      <c r="AC605" s="392"/>
      <c r="AD605" s="392"/>
      <c r="AE605" s="392"/>
      <c r="AF605" s="392"/>
    </row>
    <row r="606" ht="15.75" customHeight="1">
      <c r="A606" s="216"/>
      <c r="B606" s="156"/>
      <c r="C606" s="156"/>
      <c r="D606" s="156"/>
      <c r="E606" s="392"/>
      <c r="F606" s="392"/>
      <c r="G606" s="392"/>
      <c r="H606" s="392"/>
      <c r="I606" s="392"/>
      <c r="J606" s="392"/>
      <c r="K606" s="392"/>
      <c r="L606" s="392"/>
      <c r="M606" s="392"/>
      <c r="N606" s="392"/>
      <c r="O606" s="392"/>
      <c r="P606" s="392"/>
      <c r="Q606" s="392"/>
      <c r="R606" s="392"/>
      <c r="S606" s="392"/>
      <c r="T606" s="392"/>
      <c r="U606" s="392"/>
      <c r="V606" s="392"/>
      <c r="W606" s="392"/>
      <c r="X606" s="392"/>
      <c r="Y606" s="392"/>
      <c r="Z606" s="392"/>
      <c r="AA606" s="392"/>
      <c r="AB606" s="392"/>
      <c r="AC606" s="392"/>
      <c r="AD606" s="392"/>
      <c r="AE606" s="392"/>
      <c r="AF606" s="392"/>
    </row>
    <row r="607" ht="15.75" customHeight="1">
      <c r="A607" s="216"/>
      <c r="B607" s="156"/>
      <c r="C607" s="156"/>
      <c r="D607" s="156"/>
      <c r="E607" s="392"/>
      <c r="F607" s="392"/>
      <c r="G607" s="392"/>
      <c r="H607" s="392"/>
      <c r="I607" s="392"/>
      <c r="J607" s="392"/>
      <c r="K607" s="392"/>
      <c r="L607" s="392"/>
      <c r="M607" s="392"/>
      <c r="N607" s="392"/>
      <c r="O607" s="392"/>
      <c r="P607" s="392"/>
      <c r="Q607" s="392"/>
      <c r="R607" s="392"/>
      <c r="S607" s="392"/>
      <c r="T607" s="392"/>
      <c r="U607" s="392"/>
      <c r="V607" s="392"/>
      <c r="W607" s="392"/>
      <c r="X607" s="392"/>
      <c r="Y607" s="392"/>
      <c r="Z607" s="392"/>
      <c r="AA607" s="392"/>
      <c r="AB607" s="392"/>
      <c r="AC607" s="392"/>
      <c r="AD607" s="392"/>
      <c r="AE607" s="392"/>
      <c r="AF607" s="392"/>
    </row>
    <row r="608" ht="15.75" customHeight="1">
      <c r="A608" s="216"/>
      <c r="B608" s="156"/>
      <c r="C608" s="156"/>
      <c r="D608" s="156"/>
      <c r="E608" s="392"/>
      <c r="F608" s="392"/>
      <c r="G608" s="392"/>
      <c r="H608" s="392"/>
      <c r="I608" s="392"/>
      <c r="J608" s="392"/>
      <c r="K608" s="392"/>
      <c r="L608" s="392"/>
      <c r="M608" s="392"/>
      <c r="N608" s="392"/>
      <c r="O608" s="392"/>
      <c r="P608" s="392"/>
      <c r="Q608" s="392"/>
      <c r="R608" s="392"/>
      <c r="S608" s="392"/>
      <c r="T608" s="392"/>
      <c r="U608" s="392"/>
      <c r="V608" s="392"/>
      <c r="W608" s="392"/>
      <c r="X608" s="392"/>
      <c r="Y608" s="392"/>
      <c r="Z608" s="392"/>
      <c r="AA608" s="392"/>
      <c r="AB608" s="392"/>
      <c r="AC608" s="392"/>
      <c r="AD608" s="392"/>
      <c r="AE608" s="392"/>
      <c r="AF608" s="392"/>
    </row>
    <row r="609" ht="15.75" customHeight="1">
      <c r="A609" s="216"/>
      <c r="B609" s="156"/>
      <c r="C609" s="156"/>
      <c r="D609" s="156"/>
      <c r="E609" s="392"/>
      <c r="F609" s="392"/>
      <c r="G609" s="392"/>
      <c r="H609" s="392"/>
      <c r="I609" s="392"/>
      <c r="J609" s="392"/>
      <c r="K609" s="392"/>
      <c r="L609" s="392"/>
      <c r="M609" s="392"/>
      <c r="N609" s="392"/>
      <c r="O609" s="392"/>
      <c r="P609" s="392"/>
      <c r="Q609" s="392"/>
      <c r="R609" s="392"/>
      <c r="S609" s="392"/>
      <c r="T609" s="392"/>
      <c r="U609" s="392"/>
      <c r="V609" s="392"/>
      <c r="W609" s="392"/>
      <c r="X609" s="392"/>
      <c r="Y609" s="392"/>
      <c r="Z609" s="392"/>
      <c r="AA609" s="392"/>
      <c r="AB609" s="392"/>
      <c r="AC609" s="392"/>
      <c r="AD609" s="392"/>
      <c r="AE609" s="392"/>
      <c r="AF609" s="392"/>
    </row>
    <row r="610" ht="15.75" customHeight="1">
      <c r="A610" s="216"/>
      <c r="B610" s="156"/>
      <c r="C610" s="156"/>
      <c r="D610" s="156"/>
      <c r="E610" s="392"/>
      <c r="F610" s="392"/>
      <c r="G610" s="392"/>
      <c r="H610" s="392"/>
      <c r="I610" s="392"/>
      <c r="J610" s="392"/>
      <c r="K610" s="392"/>
      <c r="L610" s="392"/>
      <c r="M610" s="392"/>
      <c r="N610" s="392"/>
      <c r="O610" s="392"/>
      <c r="P610" s="392"/>
      <c r="Q610" s="392"/>
      <c r="R610" s="392"/>
      <c r="S610" s="392"/>
      <c r="T610" s="392"/>
      <c r="U610" s="392"/>
      <c r="V610" s="392"/>
      <c r="W610" s="392"/>
      <c r="X610" s="392"/>
      <c r="Y610" s="392"/>
      <c r="Z610" s="392"/>
      <c r="AA610" s="392"/>
      <c r="AB610" s="392"/>
      <c r="AC610" s="392"/>
      <c r="AD610" s="392"/>
      <c r="AE610" s="392"/>
      <c r="AF610" s="392"/>
    </row>
    <row r="611" ht="15.75" customHeight="1">
      <c r="A611" s="216"/>
      <c r="B611" s="156"/>
      <c r="C611" s="156"/>
      <c r="D611" s="156"/>
      <c r="E611" s="392"/>
      <c r="F611" s="392"/>
      <c r="G611" s="392"/>
      <c r="H611" s="392"/>
      <c r="I611" s="392"/>
      <c r="J611" s="392"/>
      <c r="K611" s="392"/>
      <c r="L611" s="392"/>
      <c r="M611" s="392"/>
      <c r="N611" s="392"/>
      <c r="O611" s="392"/>
      <c r="P611" s="392"/>
      <c r="Q611" s="392"/>
      <c r="R611" s="392"/>
      <c r="S611" s="392"/>
      <c r="T611" s="392"/>
      <c r="U611" s="392"/>
      <c r="V611" s="392"/>
      <c r="W611" s="392"/>
      <c r="X611" s="392"/>
      <c r="Y611" s="392"/>
      <c r="Z611" s="392"/>
      <c r="AA611" s="392"/>
      <c r="AB611" s="392"/>
      <c r="AC611" s="392"/>
      <c r="AD611" s="392"/>
      <c r="AE611" s="392"/>
      <c r="AF611" s="392"/>
    </row>
    <row r="612" ht="15.75" customHeight="1">
      <c r="A612" s="216"/>
      <c r="B612" s="156"/>
      <c r="C612" s="156"/>
      <c r="D612" s="156"/>
      <c r="E612" s="392"/>
      <c r="F612" s="392"/>
      <c r="G612" s="392"/>
      <c r="H612" s="392"/>
      <c r="I612" s="392"/>
      <c r="J612" s="392"/>
      <c r="K612" s="392"/>
      <c r="L612" s="392"/>
      <c r="M612" s="392"/>
      <c r="N612" s="392"/>
      <c r="O612" s="392"/>
      <c r="P612" s="392"/>
      <c r="Q612" s="392"/>
      <c r="R612" s="392"/>
      <c r="S612" s="392"/>
      <c r="T612" s="392"/>
      <c r="U612" s="392"/>
      <c r="V612" s="392"/>
      <c r="W612" s="392"/>
      <c r="X612" s="392"/>
      <c r="Y612" s="392"/>
      <c r="Z612" s="392"/>
      <c r="AA612" s="392"/>
      <c r="AB612" s="392"/>
      <c r="AC612" s="392"/>
      <c r="AD612" s="392"/>
      <c r="AE612" s="392"/>
      <c r="AF612" s="392"/>
    </row>
    <row r="613" ht="15.75" customHeight="1">
      <c r="A613" s="216"/>
      <c r="B613" s="156"/>
      <c r="C613" s="156"/>
      <c r="D613" s="156"/>
      <c r="E613" s="392"/>
      <c r="F613" s="392"/>
      <c r="G613" s="392"/>
      <c r="H613" s="392"/>
      <c r="I613" s="392"/>
      <c r="J613" s="392"/>
      <c r="K613" s="392"/>
      <c r="L613" s="392"/>
      <c r="M613" s="392"/>
      <c r="N613" s="392"/>
      <c r="O613" s="392"/>
      <c r="P613" s="392"/>
      <c r="Q613" s="392"/>
      <c r="R613" s="392"/>
      <c r="S613" s="392"/>
      <c r="T613" s="392"/>
      <c r="U613" s="392"/>
      <c r="V613" s="392"/>
      <c r="W613" s="392"/>
      <c r="X613" s="392"/>
      <c r="Y613" s="392"/>
      <c r="Z613" s="392"/>
      <c r="AA613" s="392"/>
      <c r="AB613" s="392"/>
      <c r="AC613" s="392"/>
      <c r="AD613" s="392"/>
      <c r="AE613" s="392"/>
      <c r="AF613" s="392"/>
    </row>
    <row r="614" ht="15.75" customHeight="1">
      <c r="A614" s="216"/>
      <c r="B614" s="156"/>
      <c r="C614" s="156"/>
      <c r="D614" s="156"/>
      <c r="E614" s="392"/>
      <c r="F614" s="392"/>
      <c r="G614" s="392"/>
      <c r="H614" s="392"/>
      <c r="I614" s="392"/>
      <c r="J614" s="392"/>
      <c r="K614" s="392"/>
      <c r="L614" s="392"/>
      <c r="M614" s="392"/>
      <c r="N614" s="392"/>
      <c r="O614" s="392"/>
      <c r="P614" s="392"/>
      <c r="Q614" s="392"/>
      <c r="R614" s="392"/>
      <c r="S614" s="392"/>
      <c r="T614" s="392"/>
      <c r="U614" s="392"/>
      <c r="V614" s="392"/>
      <c r="W614" s="392"/>
      <c r="X614" s="392"/>
      <c r="Y614" s="392"/>
      <c r="Z614" s="392"/>
      <c r="AA614" s="392"/>
      <c r="AB614" s="392"/>
      <c r="AC614" s="392"/>
      <c r="AD614" s="392"/>
      <c r="AE614" s="392"/>
      <c r="AF614" s="392"/>
    </row>
    <row r="615" ht="15.75" customHeight="1">
      <c r="A615" s="216"/>
      <c r="B615" s="156"/>
      <c r="C615" s="156"/>
      <c r="D615" s="156"/>
      <c r="E615" s="392"/>
      <c r="F615" s="392"/>
      <c r="G615" s="392"/>
      <c r="H615" s="392"/>
      <c r="I615" s="392"/>
      <c r="J615" s="392"/>
      <c r="K615" s="392"/>
      <c r="L615" s="392"/>
      <c r="M615" s="392"/>
      <c r="N615" s="392"/>
      <c r="O615" s="392"/>
      <c r="P615" s="392"/>
      <c r="Q615" s="392"/>
      <c r="R615" s="392"/>
      <c r="S615" s="392"/>
      <c r="T615" s="392"/>
      <c r="U615" s="392"/>
      <c r="V615" s="392"/>
      <c r="W615" s="392"/>
      <c r="X615" s="392"/>
      <c r="Y615" s="392"/>
      <c r="Z615" s="392"/>
      <c r="AA615" s="392"/>
      <c r="AB615" s="392"/>
      <c r="AC615" s="392"/>
      <c r="AD615" s="392"/>
      <c r="AE615" s="392"/>
      <c r="AF615" s="392"/>
    </row>
    <row r="616" ht="15.75" customHeight="1">
      <c r="A616" s="216"/>
      <c r="B616" s="156"/>
      <c r="C616" s="156"/>
      <c r="D616" s="156"/>
      <c r="E616" s="392"/>
      <c r="F616" s="392"/>
      <c r="G616" s="392"/>
      <c r="H616" s="392"/>
      <c r="I616" s="392"/>
      <c r="J616" s="392"/>
      <c r="K616" s="392"/>
      <c r="L616" s="392"/>
      <c r="M616" s="392"/>
      <c r="N616" s="392"/>
      <c r="O616" s="392"/>
      <c r="P616" s="392"/>
      <c r="Q616" s="392"/>
      <c r="R616" s="392"/>
      <c r="S616" s="392"/>
      <c r="T616" s="392"/>
      <c r="U616" s="392"/>
      <c r="V616" s="392"/>
      <c r="W616" s="392"/>
      <c r="X616" s="392"/>
      <c r="Y616" s="392"/>
      <c r="Z616" s="392"/>
      <c r="AA616" s="392"/>
      <c r="AB616" s="392"/>
      <c r="AC616" s="392"/>
      <c r="AD616" s="392"/>
      <c r="AE616" s="392"/>
      <c r="AF616" s="392"/>
    </row>
    <row r="617" ht="15.75" customHeight="1">
      <c r="A617" s="216"/>
      <c r="B617" s="156"/>
      <c r="C617" s="156"/>
      <c r="D617" s="156"/>
      <c r="E617" s="392"/>
      <c r="F617" s="392"/>
      <c r="G617" s="392"/>
      <c r="H617" s="392"/>
      <c r="I617" s="392"/>
      <c r="J617" s="392"/>
      <c r="K617" s="392"/>
      <c r="L617" s="392"/>
      <c r="M617" s="392"/>
      <c r="N617" s="392"/>
      <c r="O617" s="392"/>
      <c r="P617" s="392"/>
      <c r="Q617" s="392"/>
      <c r="R617" s="392"/>
      <c r="S617" s="392"/>
      <c r="T617" s="392"/>
      <c r="U617" s="392"/>
      <c r="V617" s="392"/>
      <c r="W617" s="392"/>
      <c r="X617" s="392"/>
      <c r="Y617" s="392"/>
      <c r="Z617" s="392"/>
      <c r="AA617" s="392"/>
      <c r="AB617" s="392"/>
      <c r="AC617" s="392"/>
      <c r="AD617" s="392"/>
      <c r="AE617" s="392"/>
      <c r="AF617" s="392"/>
    </row>
    <row r="618" ht="15.75" customHeight="1">
      <c r="A618" s="216"/>
      <c r="B618" s="156"/>
      <c r="C618" s="156"/>
      <c r="D618" s="156"/>
      <c r="E618" s="392"/>
      <c r="F618" s="392"/>
      <c r="G618" s="392"/>
      <c r="H618" s="392"/>
      <c r="I618" s="392"/>
      <c r="J618" s="392"/>
      <c r="K618" s="392"/>
      <c r="L618" s="392"/>
      <c r="M618" s="392"/>
      <c r="N618" s="392"/>
      <c r="O618" s="392"/>
      <c r="P618" s="392"/>
      <c r="Q618" s="392"/>
      <c r="R618" s="392"/>
      <c r="S618" s="392"/>
      <c r="T618" s="392"/>
      <c r="U618" s="392"/>
      <c r="V618" s="392"/>
      <c r="W618" s="392"/>
      <c r="X618" s="392"/>
      <c r="Y618" s="392"/>
      <c r="Z618" s="392"/>
      <c r="AA618" s="392"/>
      <c r="AB618" s="392"/>
      <c r="AC618" s="392"/>
      <c r="AD618" s="392"/>
      <c r="AE618" s="392"/>
      <c r="AF618" s="392"/>
    </row>
    <row r="619" ht="15.75" customHeight="1">
      <c r="A619" s="216"/>
      <c r="B619" s="156"/>
      <c r="C619" s="156"/>
      <c r="D619" s="156"/>
      <c r="E619" s="392"/>
      <c r="F619" s="392"/>
      <c r="G619" s="392"/>
      <c r="H619" s="392"/>
      <c r="I619" s="392"/>
      <c r="J619" s="392"/>
      <c r="K619" s="392"/>
      <c r="L619" s="392"/>
      <c r="M619" s="392"/>
      <c r="N619" s="392"/>
      <c r="O619" s="392"/>
      <c r="P619" s="392"/>
      <c r="Q619" s="392"/>
      <c r="R619" s="392"/>
      <c r="S619" s="392"/>
      <c r="T619" s="392"/>
      <c r="U619" s="392"/>
      <c r="V619" s="392"/>
      <c r="W619" s="392"/>
      <c r="X619" s="392"/>
      <c r="Y619" s="392"/>
      <c r="Z619" s="392"/>
      <c r="AA619" s="392"/>
      <c r="AB619" s="392"/>
      <c r="AC619" s="392"/>
      <c r="AD619" s="392"/>
      <c r="AE619" s="392"/>
      <c r="AF619" s="392"/>
    </row>
    <row r="620" ht="15.75" customHeight="1">
      <c r="A620" s="216"/>
      <c r="B620" s="156"/>
      <c r="C620" s="156"/>
      <c r="D620" s="156"/>
      <c r="E620" s="392"/>
      <c r="F620" s="392"/>
      <c r="G620" s="392"/>
      <c r="H620" s="392"/>
      <c r="I620" s="392"/>
      <c r="J620" s="392"/>
      <c r="K620" s="392"/>
      <c r="L620" s="392"/>
      <c r="M620" s="392"/>
      <c r="N620" s="392"/>
      <c r="O620" s="392"/>
      <c r="P620" s="392"/>
      <c r="Q620" s="392"/>
      <c r="R620" s="392"/>
      <c r="S620" s="392"/>
      <c r="T620" s="392"/>
      <c r="U620" s="392"/>
      <c r="V620" s="392"/>
      <c r="W620" s="392"/>
      <c r="X620" s="392"/>
      <c r="Y620" s="392"/>
      <c r="Z620" s="392"/>
      <c r="AA620" s="392"/>
      <c r="AB620" s="392"/>
      <c r="AC620" s="392"/>
      <c r="AD620" s="392"/>
      <c r="AE620" s="392"/>
      <c r="AF620" s="392"/>
    </row>
    <row r="621" ht="15.75" customHeight="1">
      <c r="A621" s="216"/>
      <c r="B621" s="156"/>
      <c r="C621" s="156"/>
      <c r="D621" s="156"/>
      <c r="E621" s="392"/>
      <c r="F621" s="392"/>
      <c r="G621" s="392"/>
      <c r="H621" s="392"/>
      <c r="I621" s="392"/>
      <c r="J621" s="392"/>
      <c r="K621" s="392"/>
      <c r="L621" s="392"/>
      <c r="M621" s="392"/>
      <c r="N621" s="392"/>
      <c r="O621" s="392"/>
      <c r="P621" s="392"/>
      <c r="Q621" s="392"/>
      <c r="R621" s="392"/>
      <c r="S621" s="392"/>
      <c r="T621" s="392"/>
      <c r="U621" s="392"/>
      <c r="V621" s="392"/>
      <c r="W621" s="392"/>
      <c r="X621" s="392"/>
      <c r="Y621" s="392"/>
      <c r="Z621" s="392"/>
      <c r="AA621" s="392"/>
      <c r="AB621" s="392"/>
      <c r="AC621" s="392"/>
      <c r="AD621" s="392"/>
      <c r="AE621" s="392"/>
      <c r="AF621" s="392"/>
    </row>
    <row r="622" ht="15.75" customHeight="1">
      <c r="A622" s="216"/>
      <c r="B622" s="156"/>
      <c r="C622" s="156"/>
      <c r="D622" s="156"/>
      <c r="E622" s="392"/>
      <c r="F622" s="392"/>
      <c r="G622" s="392"/>
      <c r="H622" s="392"/>
      <c r="I622" s="392"/>
      <c r="J622" s="392"/>
      <c r="K622" s="392"/>
      <c r="L622" s="392"/>
      <c r="M622" s="392"/>
      <c r="N622" s="392"/>
      <c r="O622" s="392"/>
      <c r="P622" s="392"/>
      <c r="Q622" s="392"/>
      <c r="R622" s="392"/>
      <c r="S622" s="392"/>
      <c r="T622" s="392"/>
      <c r="U622" s="392"/>
      <c r="V622" s="392"/>
      <c r="W622" s="392"/>
      <c r="X622" s="392"/>
      <c r="Y622" s="392"/>
      <c r="Z622" s="392"/>
      <c r="AA622" s="392"/>
      <c r="AB622" s="392"/>
      <c r="AC622" s="392"/>
      <c r="AD622" s="392"/>
      <c r="AE622" s="392"/>
      <c r="AF622" s="392"/>
    </row>
    <row r="623" ht="15.75" customHeight="1">
      <c r="A623" s="216"/>
      <c r="B623" s="156"/>
      <c r="C623" s="156"/>
      <c r="D623" s="156"/>
      <c r="E623" s="392"/>
      <c r="F623" s="392"/>
      <c r="G623" s="392"/>
      <c r="H623" s="392"/>
      <c r="I623" s="392"/>
      <c r="J623" s="392"/>
      <c r="K623" s="392"/>
      <c r="L623" s="392"/>
      <c r="M623" s="392"/>
      <c r="N623" s="392"/>
      <c r="O623" s="392"/>
      <c r="P623" s="392"/>
      <c r="Q623" s="392"/>
      <c r="R623" s="392"/>
      <c r="S623" s="392"/>
      <c r="T623" s="392"/>
      <c r="U623" s="392"/>
      <c r="V623" s="392"/>
      <c r="W623" s="392"/>
      <c r="X623" s="392"/>
      <c r="Y623" s="392"/>
      <c r="Z623" s="392"/>
      <c r="AA623" s="392"/>
      <c r="AB623" s="392"/>
      <c r="AC623" s="392"/>
      <c r="AD623" s="392"/>
      <c r="AE623" s="392"/>
      <c r="AF623" s="392"/>
    </row>
    <row r="624" ht="15.75" customHeight="1">
      <c r="A624" s="216"/>
      <c r="B624" s="156"/>
      <c r="C624" s="156"/>
      <c r="D624" s="156"/>
      <c r="E624" s="392"/>
      <c r="F624" s="392"/>
      <c r="G624" s="392"/>
      <c r="H624" s="392"/>
      <c r="I624" s="392"/>
      <c r="J624" s="392"/>
      <c r="K624" s="392"/>
      <c r="L624" s="392"/>
      <c r="M624" s="392"/>
      <c r="N624" s="392"/>
      <c r="O624" s="392"/>
      <c r="P624" s="392"/>
      <c r="Q624" s="392"/>
      <c r="R624" s="392"/>
      <c r="S624" s="392"/>
      <c r="T624" s="392"/>
      <c r="U624" s="392"/>
      <c r="V624" s="392"/>
      <c r="W624" s="392"/>
      <c r="X624" s="392"/>
      <c r="Y624" s="392"/>
      <c r="Z624" s="392"/>
      <c r="AA624" s="392"/>
      <c r="AB624" s="392"/>
      <c r="AC624" s="392"/>
      <c r="AD624" s="392"/>
      <c r="AE624" s="392"/>
      <c r="AF624" s="392"/>
    </row>
    <row r="625" ht="15.75" customHeight="1">
      <c r="A625" s="216"/>
      <c r="B625" s="156"/>
      <c r="C625" s="156"/>
      <c r="D625" s="156"/>
      <c r="E625" s="392"/>
      <c r="F625" s="392"/>
      <c r="G625" s="392"/>
      <c r="H625" s="392"/>
      <c r="I625" s="392"/>
      <c r="J625" s="392"/>
      <c r="K625" s="392"/>
      <c r="L625" s="392"/>
      <c r="M625" s="392"/>
      <c r="N625" s="392"/>
      <c r="O625" s="392"/>
      <c r="P625" s="392"/>
      <c r="Q625" s="392"/>
      <c r="R625" s="392"/>
      <c r="S625" s="392"/>
      <c r="T625" s="392"/>
      <c r="U625" s="392"/>
      <c r="V625" s="392"/>
      <c r="W625" s="392"/>
      <c r="X625" s="392"/>
      <c r="Y625" s="392"/>
      <c r="Z625" s="392"/>
      <c r="AA625" s="392"/>
      <c r="AB625" s="392"/>
      <c r="AC625" s="392"/>
      <c r="AD625" s="392"/>
      <c r="AE625" s="392"/>
      <c r="AF625" s="392"/>
    </row>
    <row r="626" ht="15.75" customHeight="1">
      <c r="A626" s="216"/>
      <c r="B626" s="156"/>
      <c r="C626" s="156"/>
      <c r="D626" s="156"/>
      <c r="E626" s="392"/>
      <c r="F626" s="392"/>
      <c r="G626" s="392"/>
      <c r="H626" s="392"/>
      <c r="I626" s="392"/>
      <c r="J626" s="392"/>
      <c r="K626" s="392"/>
      <c r="L626" s="392"/>
      <c r="M626" s="392"/>
      <c r="N626" s="392"/>
      <c r="O626" s="392"/>
      <c r="P626" s="392"/>
      <c r="Q626" s="392"/>
      <c r="R626" s="392"/>
      <c r="S626" s="392"/>
      <c r="T626" s="392"/>
      <c r="U626" s="392"/>
      <c r="V626" s="392"/>
      <c r="W626" s="392"/>
      <c r="X626" s="392"/>
      <c r="Y626" s="392"/>
      <c r="Z626" s="392"/>
      <c r="AA626" s="392"/>
      <c r="AB626" s="392"/>
      <c r="AC626" s="392"/>
      <c r="AD626" s="392"/>
      <c r="AE626" s="392"/>
      <c r="AF626" s="392"/>
    </row>
    <row r="627" ht="15.75" customHeight="1">
      <c r="A627" s="216"/>
      <c r="B627" s="156"/>
      <c r="C627" s="156"/>
      <c r="D627" s="156"/>
      <c r="E627" s="392"/>
      <c r="F627" s="392"/>
      <c r="G627" s="392"/>
      <c r="H627" s="392"/>
      <c r="I627" s="392"/>
      <c r="J627" s="392"/>
      <c r="K627" s="392"/>
      <c r="L627" s="392"/>
      <c r="M627" s="392"/>
      <c r="N627" s="392"/>
      <c r="O627" s="392"/>
      <c r="P627" s="392"/>
      <c r="Q627" s="392"/>
      <c r="R627" s="392"/>
      <c r="S627" s="392"/>
      <c r="T627" s="392"/>
      <c r="U627" s="392"/>
      <c r="V627" s="392"/>
      <c r="W627" s="392"/>
      <c r="X627" s="392"/>
      <c r="Y627" s="392"/>
      <c r="Z627" s="392"/>
      <c r="AA627" s="392"/>
      <c r="AB627" s="392"/>
      <c r="AC627" s="392"/>
      <c r="AD627" s="392"/>
      <c r="AE627" s="392"/>
      <c r="AF627" s="392"/>
    </row>
    <row r="628" ht="15.75" customHeight="1">
      <c r="A628" s="216"/>
      <c r="B628" s="156"/>
      <c r="C628" s="156"/>
      <c r="D628" s="156"/>
      <c r="E628" s="392"/>
      <c r="F628" s="392"/>
      <c r="G628" s="392"/>
      <c r="H628" s="392"/>
      <c r="I628" s="392"/>
      <c r="J628" s="392"/>
      <c r="K628" s="392"/>
      <c r="L628" s="392"/>
      <c r="M628" s="392"/>
      <c r="N628" s="392"/>
      <c r="O628" s="392"/>
      <c r="P628" s="392"/>
      <c r="Q628" s="392"/>
      <c r="R628" s="392"/>
      <c r="S628" s="392"/>
      <c r="T628" s="392"/>
      <c r="U628" s="392"/>
      <c r="V628" s="392"/>
      <c r="W628" s="392"/>
      <c r="X628" s="392"/>
      <c r="Y628" s="392"/>
      <c r="Z628" s="392"/>
      <c r="AA628" s="392"/>
      <c r="AB628" s="392"/>
      <c r="AC628" s="392"/>
      <c r="AD628" s="392"/>
      <c r="AE628" s="392"/>
      <c r="AF628" s="392"/>
    </row>
    <row r="629" ht="15.75" customHeight="1">
      <c r="A629" s="216"/>
      <c r="B629" s="156"/>
      <c r="C629" s="156"/>
      <c r="D629" s="156"/>
      <c r="E629" s="392"/>
      <c r="F629" s="392"/>
      <c r="G629" s="392"/>
      <c r="H629" s="392"/>
      <c r="I629" s="392"/>
      <c r="J629" s="392"/>
      <c r="K629" s="392"/>
      <c r="L629" s="392"/>
      <c r="M629" s="392"/>
      <c r="N629" s="392"/>
      <c r="O629" s="392"/>
      <c r="P629" s="392"/>
      <c r="Q629" s="392"/>
      <c r="R629" s="392"/>
      <c r="S629" s="392"/>
      <c r="T629" s="392"/>
      <c r="U629" s="392"/>
      <c r="V629" s="392"/>
      <c r="W629" s="392"/>
      <c r="X629" s="392"/>
      <c r="Y629" s="392"/>
      <c r="Z629" s="392"/>
      <c r="AA629" s="392"/>
      <c r="AB629" s="392"/>
      <c r="AC629" s="392"/>
      <c r="AD629" s="392"/>
      <c r="AE629" s="392"/>
      <c r="AF629" s="392"/>
    </row>
    <row r="630" ht="15.75" customHeight="1">
      <c r="A630" s="216"/>
      <c r="B630" s="156"/>
      <c r="C630" s="156"/>
      <c r="D630" s="156"/>
      <c r="E630" s="392"/>
      <c r="F630" s="392"/>
      <c r="G630" s="392"/>
      <c r="H630" s="392"/>
      <c r="I630" s="392"/>
      <c r="J630" s="392"/>
      <c r="K630" s="392"/>
      <c r="L630" s="392"/>
      <c r="M630" s="392"/>
      <c r="N630" s="392"/>
      <c r="O630" s="392"/>
      <c r="P630" s="392"/>
      <c r="Q630" s="392"/>
      <c r="R630" s="392"/>
      <c r="S630" s="392"/>
      <c r="T630" s="392"/>
      <c r="U630" s="392"/>
      <c r="V630" s="392"/>
      <c r="W630" s="392"/>
      <c r="X630" s="392"/>
      <c r="Y630" s="392"/>
      <c r="Z630" s="392"/>
      <c r="AA630" s="392"/>
      <c r="AB630" s="392"/>
      <c r="AC630" s="392"/>
      <c r="AD630" s="392"/>
      <c r="AE630" s="392"/>
      <c r="AF630" s="392"/>
    </row>
    <row r="631" ht="15.75" customHeight="1">
      <c r="A631" s="216"/>
      <c r="B631" s="156"/>
      <c r="C631" s="156"/>
      <c r="D631" s="156"/>
      <c r="E631" s="392"/>
      <c r="F631" s="392"/>
      <c r="G631" s="392"/>
      <c r="H631" s="392"/>
      <c r="I631" s="392"/>
      <c r="J631" s="392"/>
      <c r="K631" s="392"/>
      <c r="L631" s="392"/>
      <c r="M631" s="392"/>
      <c r="N631" s="392"/>
      <c r="O631" s="392"/>
      <c r="P631" s="392"/>
      <c r="Q631" s="392"/>
      <c r="R631" s="392"/>
      <c r="S631" s="392"/>
      <c r="T631" s="392"/>
      <c r="U631" s="392"/>
      <c r="V631" s="392"/>
      <c r="W631" s="392"/>
      <c r="X631" s="392"/>
      <c r="Y631" s="392"/>
      <c r="Z631" s="392"/>
      <c r="AA631" s="392"/>
      <c r="AB631" s="392"/>
      <c r="AC631" s="392"/>
      <c r="AD631" s="392"/>
      <c r="AE631" s="392"/>
      <c r="AF631" s="392"/>
    </row>
    <row r="632" ht="15.75" customHeight="1">
      <c r="A632" s="216"/>
      <c r="B632" s="156"/>
      <c r="C632" s="156"/>
      <c r="D632" s="156"/>
      <c r="E632" s="392"/>
      <c r="F632" s="392"/>
      <c r="G632" s="392"/>
      <c r="H632" s="392"/>
      <c r="I632" s="392"/>
      <c r="J632" s="392"/>
      <c r="K632" s="392"/>
      <c r="L632" s="392"/>
      <c r="M632" s="392"/>
      <c r="N632" s="392"/>
      <c r="O632" s="392"/>
      <c r="P632" s="392"/>
      <c r="Q632" s="392"/>
      <c r="R632" s="392"/>
      <c r="S632" s="392"/>
      <c r="T632" s="392"/>
      <c r="U632" s="392"/>
      <c r="V632" s="392"/>
      <c r="W632" s="392"/>
      <c r="X632" s="392"/>
      <c r="Y632" s="392"/>
      <c r="Z632" s="392"/>
      <c r="AA632" s="392"/>
      <c r="AB632" s="392"/>
      <c r="AC632" s="392"/>
      <c r="AD632" s="392"/>
      <c r="AE632" s="392"/>
      <c r="AF632" s="392"/>
    </row>
    <row r="633" ht="15.75" customHeight="1">
      <c r="A633" s="216"/>
      <c r="B633" s="156"/>
      <c r="C633" s="156"/>
      <c r="D633" s="156"/>
      <c r="E633" s="392"/>
      <c r="F633" s="392"/>
      <c r="G633" s="392"/>
      <c r="H633" s="392"/>
      <c r="I633" s="392"/>
      <c r="J633" s="392"/>
      <c r="K633" s="392"/>
      <c r="L633" s="392"/>
      <c r="M633" s="392"/>
      <c r="N633" s="392"/>
      <c r="O633" s="392"/>
      <c r="P633" s="392"/>
      <c r="Q633" s="392"/>
      <c r="R633" s="392"/>
      <c r="S633" s="392"/>
      <c r="T633" s="392"/>
      <c r="U633" s="392"/>
      <c r="V633" s="392"/>
      <c r="W633" s="392"/>
      <c r="X633" s="392"/>
      <c r="Y633" s="392"/>
      <c r="Z633" s="392"/>
      <c r="AA633" s="392"/>
      <c r="AB633" s="392"/>
      <c r="AC633" s="392"/>
      <c r="AD633" s="392"/>
      <c r="AE633" s="392"/>
      <c r="AF633" s="392"/>
    </row>
    <row r="634" ht="15.75" customHeight="1">
      <c r="A634" s="216"/>
      <c r="B634" s="156"/>
      <c r="C634" s="156"/>
      <c r="D634" s="156"/>
      <c r="E634" s="392"/>
      <c r="F634" s="392"/>
      <c r="G634" s="392"/>
      <c r="H634" s="392"/>
      <c r="I634" s="392"/>
      <c r="J634" s="392"/>
      <c r="K634" s="392"/>
      <c r="L634" s="392"/>
      <c r="M634" s="392"/>
      <c r="N634" s="392"/>
      <c r="O634" s="392"/>
      <c r="P634" s="392"/>
      <c r="Q634" s="392"/>
      <c r="R634" s="392"/>
      <c r="S634" s="392"/>
      <c r="T634" s="392"/>
      <c r="U634" s="392"/>
      <c r="V634" s="392"/>
      <c r="W634" s="392"/>
      <c r="X634" s="392"/>
      <c r="Y634" s="392"/>
      <c r="Z634" s="392"/>
      <c r="AA634" s="392"/>
      <c r="AB634" s="392"/>
      <c r="AC634" s="392"/>
      <c r="AD634" s="392"/>
      <c r="AE634" s="392"/>
      <c r="AF634" s="392"/>
    </row>
    <row r="635" ht="15.75" customHeight="1">
      <c r="A635" s="216"/>
      <c r="B635" s="156"/>
      <c r="C635" s="156"/>
      <c r="D635" s="156"/>
      <c r="E635" s="392"/>
      <c r="F635" s="392"/>
      <c r="G635" s="392"/>
      <c r="H635" s="392"/>
      <c r="I635" s="392"/>
      <c r="J635" s="392"/>
      <c r="K635" s="392"/>
      <c r="L635" s="392"/>
      <c r="M635" s="392"/>
      <c r="N635" s="392"/>
      <c r="O635" s="392"/>
      <c r="P635" s="392"/>
      <c r="Q635" s="392"/>
      <c r="R635" s="392"/>
      <c r="S635" s="392"/>
      <c r="T635" s="392"/>
      <c r="U635" s="392"/>
      <c r="V635" s="392"/>
      <c r="W635" s="392"/>
      <c r="X635" s="392"/>
      <c r="Y635" s="392"/>
      <c r="Z635" s="392"/>
      <c r="AA635" s="392"/>
      <c r="AB635" s="392"/>
      <c r="AC635" s="392"/>
      <c r="AD635" s="392"/>
      <c r="AE635" s="392"/>
      <c r="AF635" s="392"/>
    </row>
    <row r="636" ht="15.75" customHeight="1">
      <c r="A636" s="216"/>
      <c r="B636" s="156"/>
      <c r="C636" s="156"/>
      <c r="D636" s="156"/>
      <c r="E636" s="392"/>
      <c r="F636" s="392"/>
      <c r="G636" s="392"/>
      <c r="H636" s="392"/>
      <c r="I636" s="392"/>
      <c r="J636" s="392"/>
      <c r="K636" s="392"/>
      <c r="L636" s="392"/>
      <c r="M636" s="392"/>
      <c r="N636" s="392"/>
      <c r="O636" s="392"/>
      <c r="P636" s="392"/>
      <c r="Q636" s="392"/>
      <c r="R636" s="392"/>
      <c r="S636" s="392"/>
      <c r="T636" s="392"/>
      <c r="U636" s="392"/>
      <c r="V636" s="392"/>
      <c r="W636" s="392"/>
      <c r="X636" s="392"/>
      <c r="Y636" s="392"/>
      <c r="Z636" s="392"/>
      <c r="AA636" s="392"/>
      <c r="AB636" s="392"/>
      <c r="AC636" s="392"/>
      <c r="AD636" s="392"/>
      <c r="AE636" s="392"/>
      <c r="AF636" s="392"/>
    </row>
    <row r="637" ht="15.75" customHeight="1">
      <c r="A637" s="216"/>
      <c r="B637" s="156"/>
      <c r="C637" s="156"/>
      <c r="D637" s="156"/>
      <c r="E637" s="392"/>
      <c r="F637" s="392"/>
      <c r="G637" s="392"/>
      <c r="H637" s="392"/>
      <c r="I637" s="392"/>
      <c r="J637" s="392"/>
      <c r="K637" s="392"/>
      <c r="L637" s="392"/>
      <c r="M637" s="392"/>
      <c r="N637" s="392"/>
      <c r="O637" s="392"/>
      <c r="P637" s="392"/>
      <c r="Q637" s="392"/>
      <c r="R637" s="392"/>
      <c r="S637" s="392"/>
      <c r="T637" s="392"/>
      <c r="U637" s="392"/>
      <c r="V637" s="392"/>
      <c r="W637" s="392"/>
      <c r="X637" s="392"/>
      <c r="Y637" s="392"/>
      <c r="Z637" s="392"/>
      <c r="AA637" s="392"/>
      <c r="AB637" s="392"/>
      <c r="AC637" s="392"/>
      <c r="AD637" s="392"/>
      <c r="AE637" s="392"/>
      <c r="AF637" s="392"/>
    </row>
    <row r="638" ht="15.75" customHeight="1">
      <c r="A638" s="216"/>
      <c r="B638" s="156"/>
      <c r="C638" s="156"/>
      <c r="D638" s="156"/>
      <c r="E638" s="392"/>
      <c r="F638" s="392"/>
      <c r="G638" s="392"/>
      <c r="H638" s="392"/>
      <c r="I638" s="392"/>
      <c r="J638" s="392"/>
      <c r="K638" s="392"/>
      <c r="L638" s="392"/>
      <c r="M638" s="392"/>
      <c r="N638" s="392"/>
      <c r="O638" s="392"/>
      <c r="P638" s="392"/>
      <c r="Q638" s="392"/>
      <c r="R638" s="392"/>
      <c r="S638" s="392"/>
      <c r="T638" s="392"/>
      <c r="U638" s="392"/>
      <c r="V638" s="392"/>
      <c r="W638" s="392"/>
      <c r="X638" s="392"/>
      <c r="Y638" s="392"/>
      <c r="Z638" s="392"/>
      <c r="AA638" s="392"/>
      <c r="AB638" s="392"/>
      <c r="AC638" s="392"/>
      <c r="AD638" s="392"/>
      <c r="AE638" s="392"/>
      <c r="AF638" s="392"/>
    </row>
    <row r="639" ht="15.75" customHeight="1">
      <c r="A639" s="216"/>
      <c r="B639" s="156"/>
      <c r="C639" s="156"/>
      <c r="D639" s="156"/>
      <c r="E639" s="392"/>
      <c r="F639" s="392"/>
      <c r="G639" s="392"/>
      <c r="H639" s="392"/>
      <c r="I639" s="392"/>
      <c r="J639" s="392"/>
      <c r="K639" s="392"/>
      <c r="L639" s="392"/>
      <c r="M639" s="392"/>
      <c r="N639" s="392"/>
      <c r="O639" s="392"/>
      <c r="P639" s="392"/>
      <c r="Q639" s="392"/>
      <c r="R639" s="392"/>
      <c r="S639" s="392"/>
      <c r="T639" s="392"/>
      <c r="U639" s="392"/>
      <c r="V639" s="392"/>
      <c r="W639" s="392"/>
      <c r="X639" s="392"/>
      <c r="Y639" s="392"/>
      <c r="Z639" s="392"/>
      <c r="AA639" s="392"/>
      <c r="AB639" s="392"/>
      <c r="AC639" s="392"/>
      <c r="AD639" s="392"/>
      <c r="AE639" s="392"/>
      <c r="AF639" s="392"/>
    </row>
    <row r="640" ht="15.75" customHeight="1">
      <c r="A640" s="216"/>
      <c r="B640" s="156"/>
      <c r="C640" s="156"/>
      <c r="D640" s="156"/>
      <c r="E640" s="392"/>
      <c r="F640" s="392"/>
      <c r="G640" s="392"/>
      <c r="H640" s="392"/>
      <c r="I640" s="392"/>
      <c r="J640" s="392"/>
      <c r="K640" s="392"/>
      <c r="L640" s="392"/>
      <c r="M640" s="392"/>
      <c r="N640" s="392"/>
      <c r="O640" s="392"/>
      <c r="P640" s="392"/>
      <c r="Q640" s="392"/>
      <c r="R640" s="392"/>
      <c r="S640" s="392"/>
      <c r="T640" s="392"/>
      <c r="U640" s="392"/>
      <c r="V640" s="392"/>
      <c r="W640" s="392"/>
      <c r="X640" s="392"/>
      <c r="Y640" s="392"/>
      <c r="Z640" s="392"/>
      <c r="AA640" s="392"/>
      <c r="AB640" s="392"/>
      <c r="AC640" s="392"/>
      <c r="AD640" s="392"/>
      <c r="AE640" s="392"/>
      <c r="AF640" s="392"/>
    </row>
    <row r="641" ht="15.75" customHeight="1">
      <c r="A641" s="216"/>
      <c r="B641" s="156"/>
      <c r="C641" s="156"/>
      <c r="D641" s="156"/>
      <c r="E641" s="392"/>
      <c r="F641" s="392"/>
      <c r="G641" s="392"/>
      <c r="H641" s="392"/>
      <c r="I641" s="392"/>
      <c r="J641" s="392"/>
      <c r="K641" s="392"/>
      <c r="L641" s="392"/>
      <c r="M641" s="392"/>
      <c r="N641" s="392"/>
      <c r="O641" s="392"/>
      <c r="P641" s="392"/>
      <c r="Q641" s="392"/>
      <c r="R641" s="392"/>
      <c r="S641" s="392"/>
      <c r="T641" s="392"/>
      <c r="U641" s="392"/>
      <c r="V641" s="392"/>
      <c r="W641" s="392"/>
      <c r="X641" s="392"/>
      <c r="Y641" s="392"/>
      <c r="Z641" s="392"/>
      <c r="AA641" s="392"/>
      <c r="AB641" s="392"/>
      <c r="AC641" s="392"/>
      <c r="AD641" s="392"/>
      <c r="AE641" s="392"/>
      <c r="AF641" s="392"/>
    </row>
    <row r="642" ht="15.75" customHeight="1">
      <c r="A642" s="216"/>
      <c r="B642" s="156"/>
      <c r="C642" s="156"/>
      <c r="D642" s="156"/>
      <c r="E642" s="392"/>
      <c r="F642" s="392"/>
      <c r="G642" s="392"/>
      <c r="H642" s="392"/>
      <c r="I642" s="392"/>
      <c r="J642" s="392"/>
      <c r="K642" s="392"/>
      <c r="L642" s="392"/>
      <c r="M642" s="392"/>
      <c r="N642" s="392"/>
      <c r="O642" s="392"/>
      <c r="P642" s="392"/>
      <c r="Q642" s="392"/>
      <c r="R642" s="392"/>
      <c r="S642" s="392"/>
      <c r="T642" s="392"/>
      <c r="U642" s="392"/>
      <c r="V642" s="392"/>
      <c r="W642" s="392"/>
      <c r="X642" s="392"/>
      <c r="Y642" s="392"/>
      <c r="Z642" s="392"/>
      <c r="AA642" s="392"/>
      <c r="AB642" s="392"/>
      <c r="AC642" s="392"/>
      <c r="AD642" s="392"/>
      <c r="AE642" s="392"/>
      <c r="AF642" s="392"/>
    </row>
    <row r="643" ht="15.75" customHeight="1">
      <c r="A643" s="216"/>
      <c r="B643" s="156"/>
      <c r="C643" s="156"/>
      <c r="D643" s="156"/>
      <c r="E643" s="392"/>
      <c r="F643" s="392"/>
      <c r="G643" s="392"/>
      <c r="H643" s="392"/>
      <c r="I643" s="392"/>
      <c r="J643" s="392"/>
      <c r="K643" s="392"/>
      <c r="L643" s="392"/>
      <c r="M643" s="392"/>
      <c r="N643" s="392"/>
      <c r="O643" s="392"/>
      <c r="P643" s="392"/>
      <c r="Q643" s="392"/>
      <c r="R643" s="392"/>
      <c r="S643" s="392"/>
      <c r="T643" s="392"/>
      <c r="U643" s="392"/>
      <c r="V643" s="392"/>
      <c r="W643" s="392"/>
      <c r="X643" s="392"/>
      <c r="Y643" s="392"/>
      <c r="Z643" s="392"/>
      <c r="AA643" s="392"/>
      <c r="AB643" s="392"/>
      <c r="AC643" s="392"/>
      <c r="AD643" s="392"/>
      <c r="AE643" s="392"/>
      <c r="AF643" s="392"/>
    </row>
    <row r="644" ht="15.75" customHeight="1">
      <c r="A644" s="216"/>
      <c r="B644" s="156"/>
      <c r="C644" s="156"/>
      <c r="D644" s="156"/>
      <c r="E644" s="392"/>
      <c r="F644" s="392"/>
      <c r="G644" s="392"/>
      <c r="H644" s="392"/>
      <c r="I644" s="392"/>
      <c r="J644" s="392"/>
      <c r="K644" s="392"/>
      <c r="L644" s="392"/>
      <c r="M644" s="392"/>
      <c r="N644" s="392"/>
      <c r="O644" s="392"/>
      <c r="P644" s="392"/>
      <c r="Q644" s="392"/>
      <c r="R644" s="392"/>
      <c r="S644" s="392"/>
      <c r="T644" s="392"/>
      <c r="U644" s="392"/>
      <c r="V644" s="392"/>
      <c r="W644" s="392"/>
      <c r="X644" s="392"/>
      <c r="Y644" s="392"/>
      <c r="Z644" s="392"/>
      <c r="AA644" s="392"/>
      <c r="AB644" s="392"/>
      <c r="AC644" s="392"/>
      <c r="AD644" s="392"/>
      <c r="AE644" s="392"/>
      <c r="AF644" s="392"/>
    </row>
    <row r="645" ht="15.75" customHeight="1">
      <c r="A645" s="216"/>
      <c r="B645" s="156"/>
      <c r="C645" s="156"/>
      <c r="D645" s="156"/>
      <c r="E645" s="392"/>
      <c r="F645" s="392"/>
      <c r="G645" s="392"/>
      <c r="H645" s="392"/>
      <c r="I645" s="392"/>
      <c r="J645" s="392"/>
      <c r="K645" s="392"/>
      <c r="L645" s="392"/>
      <c r="M645" s="392"/>
      <c r="N645" s="392"/>
      <c r="O645" s="392"/>
      <c r="P645" s="392"/>
      <c r="Q645" s="392"/>
      <c r="R645" s="392"/>
      <c r="S645" s="392"/>
      <c r="T645" s="392"/>
      <c r="U645" s="392"/>
      <c r="V645" s="392"/>
      <c r="W645" s="392"/>
      <c r="X645" s="392"/>
      <c r="Y645" s="392"/>
      <c r="Z645" s="392"/>
      <c r="AA645" s="392"/>
      <c r="AB645" s="392"/>
      <c r="AC645" s="392"/>
      <c r="AD645" s="392"/>
      <c r="AE645" s="392"/>
      <c r="AF645" s="392"/>
    </row>
    <row r="646" ht="15.75" customHeight="1">
      <c r="A646" s="216"/>
      <c r="B646" s="156"/>
      <c r="C646" s="156"/>
      <c r="D646" s="156"/>
      <c r="E646" s="392"/>
      <c r="F646" s="392"/>
      <c r="G646" s="392"/>
      <c r="H646" s="392"/>
      <c r="I646" s="392"/>
      <c r="J646" s="392"/>
      <c r="K646" s="392"/>
      <c r="L646" s="392"/>
      <c r="M646" s="392"/>
      <c r="N646" s="392"/>
      <c r="O646" s="392"/>
      <c r="P646" s="392"/>
      <c r="Q646" s="392"/>
      <c r="R646" s="392"/>
      <c r="S646" s="392"/>
      <c r="T646" s="392"/>
      <c r="U646" s="392"/>
      <c r="V646" s="392"/>
      <c r="W646" s="392"/>
      <c r="X646" s="392"/>
      <c r="Y646" s="392"/>
      <c r="Z646" s="392"/>
      <c r="AA646" s="392"/>
      <c r="AB646" s="392"/>
      <c r="AC646" s="392"/>
      <c r="AD646" s="392"/>
      <c r="AE646" s="392"/>
      <c r="AF646" s="392"/>
    </row>
    <row r="647" ht="15.75" customHeight="1">
      <c r="A647" s="216"/>
      <c r="B647" s="156"/>
      <c r="C647" s="156"/>
      <c r="D647" s="156"/>
      <c r="E647" s="392"/>
      <c r="F647" s="392"/>
      <c r="G647" s="392"/>
      <c r="H647" s="392"/>
      <c r="I647" s="392"/>
      <c r="J647" s="392"/>
      <c r="K647" s="392"/>
      <c r="L647" s="392"/>
      <c r="M647" s="392"/>
      <c r="N647" s="392"/>
      <c r="O647" s="392"/>
      <c r="P647" s="392"/>
      <c r="Q647" s="392"/>
      <c r="R647" s="392"/>
      <c r="S647" s="392"/>
      <c r="T647" s="392"/>
      <c r="U647" s="392"/>
      <c r="V647" s="392"/>
      <c r="W647" s="392"/>
      <c r="X647" s="392"/>
      <c r="Y647" s="392"/>
      <c r="Z647" s="392"/>
      <c r="AA647" s="392"/>
      <c r="AB647" s="392"/>
      <c r="AC647" s="392"/>
      <c r="AD647" s="392"/>
      <c r="AE647" s="392"/>
      <c r="AF647" s="392"/>
    </row>
    <row r="648" ht="15.75" customHeight="1">
      <c r="A648" s="216"/>
      <c r="B648" s="156"/>
      <c r="C648" s="156"/>
      <c r="D648" s="156"/>
      <c r="E648" s="392"/>
      <c r="F648" s="392"/>
      <c r="G648" s="392"/>
      <c r="H648" s="392"/>
      <c r="I648" s="392"/>
      <c r="J648" s="392"/>
      <c r="K648" s="392"/>
      <c r="L648" s="392"/>
      <c r="M648" s="392"/>
      <c r="N648" s="392"/>
      <c r="O648" s="392"/>
      <c r="P648" s="392"/>
      <c r="Q648" s="392"/>
      <c r="R648" s="392"/>
      <c r="S648" s="392"/>
      <c r="T648" s="392"/>
      <c r="U648" s="392"/>
      <c r="V648" s="392"/>
      <c r="W648" s="392"/>
      <c r="X648" s="392"/>
      <c r="Y648" s="392"/>
      <c r="Z648" s="392"/>
      <c r="AA648" s="392"/>
      <c r="AB648" s="392"/>
      <c r="AC648" s="392"/>
      <c r="AD648" s="392"/>
      <c r="AE648" s="392"/>
      <c r="AF648" s="392"/>
    </row>
    <row r="649" ht="15.75" customHeight="1">
      <c r="A649" s="216"/>
      <c r="B649" s="156"/>
      <c r="C649" s="156"/>
      <c r="D649" s="156"/>
      <c r="E649" s="392"/>
      <c r="F649" s="392"/>
      <c r="G649" s="392"/>
      <c r="H649" s="392"/>
      <c r="I649" s="392"/>
      <c r="J649" s="392"/>
      <c r="K649" s="392"/>
      <c r="L649" s="392"/>
      <c r="M649" s="392"/>
      <c r="N649" s="392"/>
      <c r="O649" s="392"/>
      <c r="P649" s="392"/>
      <c r="Q649" s="392"/>
      <c r="R649" s="392"/>
      <c r="S649" s="392"/>
      <c r="T649" s="392"/>
      <c r="U649" s="392"/>
      <c r="V649" s="392"/>
      <c r="W649" s="392"/>
      <c r="X649" s="392"/>
      <c r="Y649" s="392"/>
      <c r="Z649" s="392"/>
      <c r="AA649" s="392"/>
      <c r="AB649" s="392"/>
      <c r="AC649" s="392"/>
      <c r="AD649" s="392"/>
      <c r="AE649" s="392"/>
      <c r="AF649" s="392"/>
    </row>
    <row r="650" ht="15.75" customHeight="1">
      <c r="A650" s="216"/>
      <c r="B650" s="156"/>
      <c r="C650" s="156"/>
      <c r="D650" s="156"/>
      <c r="E650" s="392"/>
      <c r="F650" s="392"/>
      <c r="G650" s="392"/>
      <c r="H650" s="392"/>
      <c r="I650" s="392"/>
      <c r="J650" s="392"/>
      <c r="K650" s="392"/>
      <c r="L650" s="392"/>
      <c r="M650" s="392"/>
      <c r="N650" s="392"/>
      <c r="O650" s="392"/>
      <c r="P650" s="392"/>
      <c r="Q650" s="392"/>
      <c r="R650" s="392"/>
      <c r="S650" s="392"/>
      <c r="T650" s="392"/>
      <c r="U650" s="392"/>
      <c r="V650" s="392"/>
      <c r="W650" s="392"/>
      <c r="X650" s="392"/>
      <c r="Y650" s="392"/>
      <c r="Z650" s="392"/>
      <c r="AA650" s="392"/>
      <c r="AB650" s="392"/>
      <c r="AC650" s="392"/>
      <c r="AD650" s="392"/>
      <c r="AE650" s="392"/>
      <c r="AF650" s="392"/>
    </row>
    <row r="651" ht="15.75" customHeight="1">
      <c r="A651" s="216"/>
      <c r="B651" s="156"/>
      <c r="C651" s="156"/>
      <c r="D651" s="156"/>
      <c r="E651" s="392"/>
      <c r="F651" s="392"/>
      <c r="G651" s="392"/>
      <c r="H651" s="392"/>
      <c r="I651" s="392"/>
      <c r="J651" s="392"/>
      <c r="K651" s="392"/>
      <c r="L651" s="392"/>
      <c r="M651" s="392"/>
      <c r="N651" s="392"/>
      <c r="O651" s="392"/>
      <c r="P651" s="392"/>
      <c r="Q651" s="392"/>
      <c r="R651" s="392"/>
      <c r="S651" s="392"/>
      <c r="T651" s="392"/>
      <c r="U651" s="392"/>
      <c r="V651" s="392"/>
      <c r="W651" s="392"/>
      <c r="X651" s="392"/>
      <c r="Y651" s="392"/>
      <c r="Z651" s="392"/>
      <c r="AA651" s="392"/>
      <c r="AB651" s="392"/>
      <c r="AC651" s="392"/>
      <c r="AD651" s="392"/>
      <c r="AE651" s="392"/>
      <c r="AF651" s="392"/>
    </row>
    <row r="652" ht="15.75" customHeight="1">
      <c r="A652" s="216"/>
      <c r="B652" s="156"/>
      <c r="C652" s="156"/>
      <c r="D652" s="156"/>
      <c r="E652" s="392"/>
      <c r="F652" s="392"/>
      <c r="G652" s="392"/>
      <c r="H652" s="392"/>
      <c r="I652" s="392"/>
      <c r="J652" s="392"/>
      <c r="K652" s="392"/>
      <c r="L652" s="392"/>
      <c r="M652" s="392"/>
      <c r="N652" s="392"/>
      <c r="O652" s="392"/>
      <c r="P652" s="392"/>
      <c r="Q652" s="392"/>
      <c r="R652" s="392"/>
      <c r="S652" s="392"/>
      <c r="T652" s="392"/>
      <c r="U652" s="392"/>
      <c r="V652" s="392"/>
      <c r="W652" s="392"/>
      <c r="X652" s="392"/>
      <c r="Y652" s="392"/>
      <c r="Z652" s="392"/>
      <c r="AA652" s="392"/>
      <c r="AB652" s="392"/>
      <c r="AC652" s="392"/>
      <c r="AD652" s="392"/>
      <c r="AE652" s="392"/>
      <c r="AF652" s="392"/>
    </row>
    <row r="653" ht="15.75" customHeight="1">
      <c r="A653" s="216"/>
      <c r="B653" s="156"/>
      <c r="C653" s="156"/>
      <c r="D653" s="156"/>
      <c r="E653" s="392"/>
      <c r="F653" s="392"/>
      <c r="G653" s="392"/>
      <c r="H653" s="392"/>
      <c r="I653" s="392"/>
      <c r="J653" s="392"/>
      <c r="K653" s="392"/>
      <c r="L653" s="392"/>
      <c r="M653" s="392"/>
      <c r="N653" s="392"/>
      <c r="O653" s="392"/>
      <c r="P653" s="392"/>
      <c r="Q653" s="392"/>
      <c r="R653" s="392"/>
      <c r="S653" s="392"/>
      <c r="T653" s="392"/>
      <c r="U653" s="392"/>
      <c r="V653" s="392"/>
      <c r="W653" s="392"/>
      <c r="X653" s="392"/>
      <c r="Y653" s="392"/>
      <c r="Z653" s="392"/>
      <c r="AA653" s="392"/>
      <c r="AB653" s="392"/>
      <c r="AC653" s="392"/>
      <c r="AD653" s="392"/>
      <c r="AE653" s="392"/>
      <c r="AF653" s="392"/>
    </row>
    <row r="654" ht="15.75" customHeight="1">
      <c r="A654" s="216"/>
      <c r="B654" s="156"/>
      <c r="C654" s="156"/>
      <c r="D654" s="156"/>
      <c r="E654" s="392"/>
      <c r="F654" s="392"/>
      <c r="G654" s="392"/>
      <c r="H654" s="392"/>
      <c r="I654" s="392"/>
      <c r="J654" s="392"/>
      <c r="K654" s="392"/>
      <c r="L654" s="392"/>
      <c r="M654" s="392"/>
      <c r="N654" s="392"/>
      <c r="O654" s="392"/>
      <c r="P654" s="392"/>
      <c r="Q654" s="392"/>
      <c r="R654" s="392"/>
      <c r="S654" s="392"/>
      <c r="T654" s="392"/>
      <c r="U654" s="392"/>
      <c r="V654" s="392"/>
      <c r="W654" s="392"/>
      <c r="X654" s="392"/>
      <c r="Y654" s="392"/>
      <c r="Z654" s="392"/>
      <c r="AA654" s="392"/>
      <c r="AB654" s="392"/>
      <c r="AC654" s="392"/>
      <c r="AD654" s="392"/>
      <c r="AE654" s="392"/>
      <c r="AF654" s="392"/>
    </row>
    <row r="655" ht="15.75" customHeight="1">
      <c r="A655" s="216"/>
      <c r="B655" s="156"/>
      <c r="C655" s="156"/>
      <c r="D655" s="156"/>
      <c r="E655" s="392"/>
      <c r="F655" s="392"/>
      <c r="G655" s="392"/>
      <c r="H655" s="392"/>
      <c r="I655" s="392"/>
      <c r="J655" s="392"/>
      <c r="K655" s="392"/>
      <c r="L655" s="392"/>
      <c r="M655" s="392"/>
      <c r="N655" s="392"/>
      <c r="O655" s="392"/>
      <c r="P655" s="392"/>
      <c r="Q655" s="392"/>
      <c r="R655" s="392"/>
      <c r="S655" s="392"/>
      <c r="T655" s="392"/>
      <c r="U655" s="392"/>
      <c r="V655" s="392"/>
      <c r="W655" s="392"/>
      <c r="X655" s="392"/>
      <c r="Y655" s="392"/>
      <c r="Z655" s="392"/>
      <c r="AA655" s="392"/>
      <c r="AB655" s="392"/>
      <c r="AC655" s="392"/>
      <c r="AD655" s="392"/>
      <c r="AE655" s="392"/>
      <c r="AF655" s="392"/>
    </row>
    <row r="656" ht="15.75" customHeight="1">
      <c r="A656" s="216"/>
      <c r="B656" s="156"/>
      <c r="C656" s="156"/>
      <c r="D656" s="156"/>
      <c r="E656" s="392"/>
      <c r="F656" s="392"/>
      <c r="G656" s="392"/>
      <c r="H656" s="392"/>
      <c r="I656" s="392"/>
      <c r="J656" s="392"/>
      <c r="K656" s="392"/>
      <c r="L656" s="392"/>
      <c r="M656" s="392"/>
      <c r="N656" s="392"/>
      <c r="O656" s="392"/>
      <c r="P656" s="392"/>
      <c r="Q656" s="392"/>
      <c r="R656" s="392"/>
      <c r="S656" s="392"/>
      <c r="T656" s="392"/>
      <c r="U656" s="392"/>
      <c r="V656" s="392"/>
      <c r="W656" s="392"/>
      <c r="X656" s="392"/>
      <c r="Y656" s="392"/>
      <c r="Z656" s="392"/>
      <c r="AA656" s="392"/>
      <c r="AB656" s="392"/>
      <c r="AC656" s="392"/>
      <c r="AD656" s="392"/>
      <c r="AE656" s="392"/>
      <c r="AF656" s="392"/>
    </row>
    <row r="657" ht="15.75" customHeight="1">
      <c r="A657" s="216"/>
      <c r="B657" s="156"/>
      <c r="C657" s="156"/>
      <c r="D657" s="156"/>
      <c r="E657" s="392"/>
      <c r="F657" s="392"/>
      <c r="G657" s="392"/>
      <c r="H657" s="392"/>
      <c r="I657" s="392"/>
      <c r="J657" s="392"/>
      <c r="K657" s="392"/>
      <c r="L657" s="392"/>
      <c r="M657" s="392"/>
      <c r="N657" s="392"/>
      <c r="O657" s="392"/>
      <c r="P657" s="392"/>
      <c r="Q657" s="392"/>
      <c r="R657" s="392"/>
      <c r="S657" s="392"/>
      <c r="T657" s="392"/>
      <c r="U657" s="392"/>
      <c r="V657" s="392"/>
      <c r="W657" s="392"/>
      <c r="X657" s="392"/>
      <c r="Y657" s="392"/>
      <c r="Z657" s="392"/>
      <c r="AA657" s="392"/>
      <c r="AB657" s="392"/>
      <c r="AC657" s="392"/>
      <c r="AD657" s="392"/>
      <c r="AE657" s="392"/>
      <c r="AF657" s="392"/>
    </row>
    <row r="658" ht="15.75" customHeight="1">
      <c r="A658" s="216"/>
      <c r="B658" s="156"/>
      <c r="C658" s="156"/>
      <c r="D658" s="156"/>
      <c r="E658" s="392"/>
      <c r="F658" s="392"/>
      <c r="G658" s="392"/>
      <c r="H658" s="392"/>
      <c r="I658" s="392"/>
      <c r="J658" s="392"/>
      <c r="K658" s="392"/>
      <c r="L658" s="392"/>
      <c r="M658" s="392"/>
      <c r="N658" s="392"/>
      <c r="O658" s="392"/>
      <c r="P658" s="392"/>
      <c r="Q658" s="392"/>
      <c r="R658" s="392"/>
      <c r="S658" s="392"/>
      <c r="T658" s="392"/>
      <c r="U658" s="392"/>
      <c r="V658" s="392"/>
      <c r="W658" s="392"/>
      <c r="X658" s="392"/>
      <c r="Y658" s="392"/>
      <c r="Z658" s="392"/>
      <c r="AA658" s="392"/>
      <c r="AB658" s="392"/>
      <c r="AC658" s="392"/>
      <c r="AD658" s="392"/>
      <c r="AE658" s="392"/>
      <c r="AF658" s="392"/>
    </row>
    <row r="659" ht="15.75" customHeight="1">
      <c r="A659" s="216"/>
      <c r="B659" s="156"/>
      <c r="C659" s="156"/>
      <c r="D659" s="156"/>
      <c r="E659" s="392"/>
      <c r="F659" s="392"/>
      <c r="G659" s="392"/>
      <c r="H659" s="392"/>
      <c r="I659" s="392"/>
      <c r="J659" s="392"/>
      <c r="K659" s="392"/>
      <c r="L659" s="392"/>
      <c r="M659" s="392"/>
      <c r="N659" s="392"/>
      <c r="O659" s="392"/>
      <c r="P659" s="392"/>
      <c r="Q659" s="392"/>
      <c r="R659" s="392"/>
      <c r="S659" s="392"/>
      <c r="T659" s="392"/>
      <c r="U659" s="392"/>
      <c r="V659" s="392"/>
      <c r="W659" s="392"/>
      <c r="X659" s="392"/>
      <c r="Y659" s="392"/>
      <c r="Z659" s="392"/>
      <c r="AA659" s="392"/>
      <c r="AB659" s="392"/>
      <c r="AC659" s="392"/>
      <c r="AD659" s="392"/>
      <c r="AE659" s="392"/>
      <c r="AF659" s="392"/>
    </row>
    <row r="660" ht="15.75" customHeight="1">
      <c r="A660" s="216"/>
      <c r="B660" s="156"/>
      <c r="C660" s="156"/>
      <c r="D660" s="156"/>
      <c r="E660" s="392"/>
      <c r="F660" s="392"/>
      <c r="G660" s="392"/>
      <c r="H660" s="392"/>
      <c r="I660" s="392"/>
      <c r="J660" s="392"/>
      <c r="K660" s="392"/>
      <c r="L660" s="392"/>
      <c r="M660" s="392"/>
      <c r="N660" s="392"/>
      <c r="O660" s="392"/>
      <c r="P660" s="392"/>
      <c r="Q660" s="392"/>
      <c r="R660" s="392"/>
      <c r="S660" s="392"/>
      <c r="T660" s="392"/>
      <c r="U660" s="392"/>
      <c r="V660" s="392"/>
      <c r="W660" s="392"/>
      <c r="X660" s="392"/>
      <c r="Y660" s="392"/>
      <c r="Z660" s="392"/>
      <c r="AA660" s="392"/>
      <c r="AB660" s="392"/>
      <c r="AC660" s="392"/>
      <c r="AD660" s="392"/>
      <c r="AE660" s="392"/>
      <c r="AF660" s="392"/>
    </row>
    <row r="661" ht="15.75" customHeight="1">
      <c r="A661" s="216"/>
      <c r="B661" s="156"/>
      <c r="C661" s="156"/>
      <c r="D661" s="156"/>
      <c r="E661" s="392"/>
      <c r="F661" s="392"/>
      <c r="G661" s="392"/>
      <c r="H661" s="392"/>
      <c r="I661" s="392"/>
      <c r="J661" s="392"/>
      <c r="K661" s="392"/>
      <c r="L661" s="392"/>
      <c r="M661" s="392"/>
      <c r="N661" s="392"/>
      <c r="O661" s="392"/>
      <c r="P661" s="392"/>
      <c r="Q661" s="392"/>
      <c r="R661" s="392"/>
      <c r="S661" s="392"/>
      <c r="T661" s="392"/>
      <c r="U661" s="392"/>
      <c r="V661" s="392"/>
      <c r="W661" s="392"/>
      <c r="X661" s="392"/>
      <c r="Y661" s="392"/>
      <c r="Z661" s="392"/>
      <c r="AA661" s="392"/>
      <c r="AB661" s="392"/>
      <c r="AC661" s="392"/>
      <c r="AD661" s="392"/>
      <c r="AE661" s="392"/>
      <c r="AF661" s="392"/>
    </row>
    <row r="662" ht="15.75" customHeight="1">
      <c r="A662" s="216"/>
      <c r="B662" s="156"/>
      <c r="C662" s="156"/>
      <c r="D662" s="156"/>
      <c r="E662" s="392"/>
      <c r="F662" s="392"/>
      <c r="G662" s="392"/>
      <c r="H662" s="392"/>
      <c r="I662" s="392"/>
      <c r="J662" s="392"/>
      <c r="K662" s="392"/>
      <c r="L662" s="392"/>
      <c r="M662" s="392"/>
      <c r="N662" s="392"/>
      <c r="O662" s="392"/>
      <c r="P662" s="392"/>
      <c r="Q662" s="392"/>
      <c r="R662" s="392"/>
      <c r="S662" s="392"/>
      <c r="T662" s="392"/>
      <c r="U662" s="392"/>
      <c r="V662" s="392"/>
      <c r="W662" s="392"/>
      <c r="X662" s="392"/>
      <c r="Y662" s="392"/>
      <c r="Z662" s="392"/>
      <c r="AA662" s="392"/>
      <c r="AB662" s="392"/>
      <c r="AC662" s="392"/>
      <c r="AD662" s="392"/>
      <c r="AE662" s="392"/>
      <c r="AF662" s="392"/>
    </row>
    <row r="663" ht="15.75" customHeight="1">
      <c r="A663" s="216"/>
      <c r="B663" s="156"/>
      <c r="C663" s="156"/>
      <c r="D663" s="156"/>
      <c r="E663" s="392"/>
      <c r="F663" s="392"/>
      <c r="G663" s="392"/>
      <c r="H663" s="392"/>
      <c r="I663" s="392"/>
      <c r="J663" s="392"/>
      <c r="K663" s="392"/>
      <c r="L663" s="392"/>
      <c r="M663" s="392"/>
      <c r="N663" s="392"/>
      <c r="O663" s="392"/>
      <c r="P663" s="392"/>
      <c r="Q663" s="392"/>
      <c r="R663" s="392"/>
      <c r="S663" s="392"/>
      <c r="T663" s="392"/>
      <c r="U663" s="392"/>
      <c r="V663" s="392"/>
      <c r="W663" s="392"/>
      <c r="X663" s="392"/>
      <c r="Y663" s="392"/>
      <c r="Z663" s="392"/>
      <c r="AA663" s="392"/>
      <c r="AB663" s="392"/>
      <c r="AC663" s="392"/>
      <c r="AD663" s="392"/>
      <c r="AE663" s="392"/>
      <c r="AF663" s="392"/>
    </row>
    <row r="664" ht="15.75" customHeight="1">
      <c r="A664" s="216"/>
      <c r="B664" s="156"/>
      <c r="C664" s="156"/>
      <c r="D664" s="156"/>
      <c r="E664" s="392"/>
      <c r="F664" s="392"/>
      <c r="G664" s="392"/>
      <c r="H664" s="392"/>
      <c r="I664" s="392"/>
      <c r="J664" s="392"/>
      <c r="K664" s="392"/>
      <c r="L664" s="392"/>
      <c r="M664" s="392"/>
      <c r="N664" s="392"/>
      <c r="O664" s="392"/>
      <c r="P664" s="392"/>
      <c r="Q664" s="392"/>
      <c r="R664" s="392"/>
      <c r="S664" s="392"/>
      <c r="T664" s="392"/>
      <c r="U664" s="392"/>
      <c r="V664" s="392"/>
      <c r="W664" s="392"/>
      <c r="X664" s="392"/>
      <c r="Y664" s="392"/>
      <c r="Z664" s="392"/>
      <c r="AA664" s="392"/>
      <c r="AB664" s="392"/>
      <c r="AC664" s="392"/>
      <c r="AD664" s="392"/>
      <c r="AE664" s="392"/>
      <c r="AF664" s="392"/>
    </row>
    <row r="665" ht="15.75" customHeight="1">
      <c r="A665" s="216"/>
      <c r="B665" s="156"/>
      <c r="C665" s="156"/>
      <c r="D665" s="156"/>
      <c r="E665" s="392"/>
      <c r="F665" s="392"/>
      <c r="G665" s="392"/>
      <c r="H665" s="392"/>
      <c r="I665" s="392"/>
      <c r="J665" s="392"/>
      <c r="K665" s="392"/>
      <c r="L665" s="392"/>
      <c r="M665" s="392"/>
      <c r="N665" s="392"/>
      <c r="O665" s="392"/>
      <c r="P665" s="392"/>
      <c r="Q665" s="392"/>
      <c r="R665" s="392"/>
      <c r="S665" s="392"/>
      <c r="T665" s="392"/>
      <c r="U665" s="392"/>
      <c r="V665" s="392"/>
      <c r="W665" s="392"/>
      <c r="X665" s="392"/>
      <c r="Y665" s="392"/>
      <c r="Z665" s="392"/>
      <c r="AA665" s="392"/>
      <c r="AB665" s="392"/>
      <c r="AC665" s="392"/>
      <c r="AD665" s="392"/>
      <c r="AE665" s="392"/>
      <c r="AF665" s="392"/>
    </row>
    <row r="666" ht="15.75" customHeight="1">
      <c r="A666" s="216"/>
      <c r="B666" s="156"/>
      <c r="C666" s="156"/>
      <c r="D666" s="156"/>
      <c r="E666" s="392"/>
      <c r="F666" s="392"/>
      <c r="G666" s="392"/>
      <c r="H666" s="392"/>
      <c r="I666" s="392"/>
      <c r="J666" s="392"/>
      <c r="K666" s="392"/>
      <c r="L666" s="392"/>
      <c r="M666" s="392"/>
      <c r="N666" s="392"/>
      <c r="O666" s="392"/>
      <c r="P666" s="392"/>
      <c r="Q666" s="392"/>
      <c r="R666" s="392"/>
      <c r="S666" s="392"/>
      <c r="T666" s="392"/>
      <c r="U666" s="392"/>
      <c r="V666" s="392"/>
      <c r="W666" s="392"/>
      <c r="X666" s="392"/>
      <c r="Y666" s="392"/>
      <c r="Z666" s="392"/>
      <c r="AA666" s="392"/>
      <c r="AB666" s="392"/>
      <c r="AC666" s="392"/>
      <c r="AD666" s="392"/>
      <c r="AE666" s="392"/>
      <c r="AF666" s="392"/>
    </row>
    <row r="667" ht="15.75" customHeight="1">
      <c r="A667" s="216"/>
      <c r="B667" s="156"/>
      <c r="C667" s="156"/>
      <c r="D667" s="156"/>
      <c r="E667" s="392"/>
      <c r="F667" s="392"/>
      <c r="G667" s="392"/>
      <c r="H667" s="392"/>
      <c r="I667" s="392"/>
      <c r="J667" s="392"/>
      <c r="K667" s="392"/>
      <c r="L667" s="392"/>
      <c r="M667" s="392"/>
      <c r="N667" s="392"/>
      <c r="O667" s="392"/>
      <c r="P667" s="392"/>
      <c r="Q667" s="392"/>
      <c r="R667" s="392"/>
      <c r="S667" s="392"/>
      <c r="T667" s="392"/>
      <c r="U667" s="392"/>
      <c r="V667" s="392"/>
      <c r="W667" s="392"/>
      <c r="X667" s="392"/>
      <c r="Y667" s="392"/>
      <c r="Z667" s="392"/>
      <c r="AA667" s="392"/>
      <c r="AB667" s="392"/>
      <c r="AC667" s="392"/>
      <c r="AD667" s="392"/>
      <c r="AE667" s="392"/>
      <c r="AF667" s="392"/>
    </row>
    <row r="668" ht="15.75" customHeight="1">
      <c r="A668" s="216"/>
      <c r="B668" s="156"/>
      <c r="C668" s="156"/>
      <c r="D668" s="156"/>
      <c r="E668" s="392"/>
      <c r="F668" s="392"/>
      <c r="G668" s="392"/>
      <c r="H668" s="392"/>
      <c r="I668" s="392"/>
      <c r="J668" s="392"/>
      <c r="K668" s="392"/>
      <c r="L668" s="392"/>
      <c r="M668" s="392"/>
      <c r="N668" s="392"/>
      <c r="O668" s="392"/>
      <c r="P668" s="392"/>
      <c r="Q668" s="392"/>
      <c r="R668" s="392"/>
      <c r="S668" s="392"/>
      <c r="T668" s="392"/>
      <c r="U668" s="392"/>
      <c r="V668" s="392"/>
      <c r="W668" s="392"/>
      <c r="X668" s="392"/>
      <c r="Y668" s="392"/>
      <c r="Z668" s="392"/>
      <c r="AA668" s="392"/>
      <c r="AB668" s="392"/>
      <c r="AC668" s="392"/>
      <c r="AD668" s="392"/>
      <c r="AE668" s="392"/>
      <c r="AF668" s="392"/>
    </row>
    <row r="669" ht="15.75" customHeight="1">
      <c r="A669" s="216"/>
      <c r="B669" s="156"/>
      <c r="C669" s="156"/>
      <c r="D669" s="156"/>
      <c r="E669" s="392"/>
      <c r="F669" s="392"/>
      <c r="G669" s="392"/>
      <c r="H669" s="392"/>
      <c r="I669" s="392"/>
      <c r="J669" s="392"/>
      <c r="K669" s="392"/>
      <c r="L669" s="392"/>
      <c r="M669" s="392"/>
      <c r="N669" s="392"/>
      <c r="O669" s="392"/>
      <c r="P669" s="392"/>
      <c r="Q669" s="392"/>
      <c r="R669" s="392"/>
      <c r="S669" s="392"/>
      <c r="T669" s="392"/>
      <c r="U669" s="392"/>
      <c r="V669" s="392"/>
      <c r="W669" s="392"/>
      <c r="X669" s="392"/>
      <c r="Y669" s="392"/>
      <c r="Z669" s="392"/>
      <c r="AA669" s="392"/>
      <c r="AB669" s="392"/>
      <c r="AC669" s="392"/>
      <c r="AD669" s="392"/>
      <c r="AE669" s="392"/>
      <c r="AF669" s="392"/>
    </row>
    <row r="670" ht="15.75" customHeight="1">
      <c r="A670" s="216"/>
      <c r="B670" s="156"/>
      <c r="C670" s="156"/>
      <c r="D670" s="156"/>
      <c r="E670" s="392"/>
      <c r="F670" s="392"/>
      <c r="G670" s="392"/>
      <c r="H670" s="392"/>
      <c r="I670" s="392"/>
      <c r="J670" s="392"/>
      <c r="K670" s="392"/>
      <c r="L670" s="392"/>
      <c r="M670" s="392"/>
      <c r="N670" s="392"/>
      <c r="O670" s="392"/>
      <c r="P670" s="392"/>
      <c r="Q670" s="392"/>
      <c r="R670" s="392"/>
      <c r="S670" s="392"/>
      <c r="T670" s="392"/>
      <c r="U670" s="392"/>
      <c r="V670" s="392"/>
      <c r="W670" s="392"/>
      <c r="X670" s="392"/>
      <c r="Y670" s="392"/>
      <c r="Z670" s="392"/>
      <c r="AA670" s="392"/>
      <c r="AB670" s="392"/>
      <c r="AC670" s="392"/>
      <c r="AD670" s="392"/>
      <c r="AE670" s="392"/>
      <c r="AF670" s="392"/>
    </row>
    <row r="671" ht="15.75" customHeight="1">
      <c r="A671" s="216"/>
      <c r="B671" s="156"/>
      <c r="C671" s="156"/>
      <c r="D671" s="156"/>
      <c r="E671" s="392"/>
      <c r="F671" s="392"/>
      <c r="G671" s="392"/>
      <c r="H671" s="392"/>
      <c r="I671" s="392"/>
      <c r="J671" s="392"/>
      <c r="K671" s="392"/>
      <c r="L671" s="392"/>
      <c r="M671" s="392"/>
      <c r="N671" s="392"/>
      <c r="O671" s="392"/>
      <c r="P671" s="392"/>
      <c r="Q671" s="392"/>
      <c r="R671" s="392"/>
      <c r="S671" s="392"/>
      <c r="T671" s="392"/>
      <c r="U671" s="392"/>
      <c r="V671" s="392"/>
      <c r="W671" s="392"/>
      <c r="X671" s="392"/>
      <c r="Y671" s="392"/>
      <c r="Z671" s="392"/>
      <c r="AA671" s="392"/>
      <c r="AB671" s="392"/>
      <c r="AC671" s="392"/>
      <c r="AD671" s="392"/>
      <c r="AE671" s="392"/>
      <c r="AF671" s="392"/>
    </row>
    <row r="672" ht="15.75" customHeight="1">
      <c r="A672" s="216"/>
      <c r="B672" s="156"/>
      <c r="C672" s="156"/>
      <c r="D672" s="156"/>
      <c r="E672" s="392"/>
      <c r="F672" s="392"/>
      <c r="G672" s="392"/>
      <c r="H672" s="392"/>
      <c r="I672" s="392"/>
      <c r="J672" s="392"/>
      <c r="K672" s="392"/>
      <c r="L672" s="392"/>
      <c r="M672" s="392"/>
      <c r="N672" s="392"/>
      <c r="O672" s="392"/>
      <c r="P672" s="392"/>
      <c r="Q672" s="392"/>
      <c r="R672" s="392"/>
      <c r="S672" s="392"/>
      <c r="T672" s="392"/>
      <c r="U672" s="392"/>
      <c r="V672" s="392"/>
      <c r="W672" s="392"/>
      <c r="X672" s="392"/>
      <c r="Y672" s="392"/>
      <c r="Z672" s="392"/>
      <c r="AA672" s="392"/>
      <c r="AB672" s="392"/>
      <c r="AC672" s="392"/>
      <c r="AD672" s="392"/>
      <c r="AE672" s="392"/>
      <c r="AF672" s="392"/>
    </row>
    <row r="673" ht="15.75" customHeight="1">
      <c r="A673" s="216"/>
      <c r="B673" s="156"/>
      <c r="C673" s="156"/>
      <c r="D673" s="156"/>
      <c r="E673" s="392"/>
      <c r="F673" s="392"/>
      <c r="G673" s="392"/>
      <c r="H673" s="392"/>
      <c r="I673" s="392"/>
      <c r="J673" s="392"/>
      <c r="K673" s="392"/>
      <c r="L673" s="392"/>
      <c r="M673" s="392"/>
      <c r="N673" s="392"/>
      <c r="O673" s="392"/>
      <c r="P673" s="392"/>
      <c r="Q673" s="392"/>
      <c r="R673" s="392"/>
      <c r="S673" s="392"/>
      <c r="T673" s="392"/>
      <c r="U673" s="392"/>
      <c r="V673" s="392"/>
      <c r="W673" s="392"/>
      <c r="X673" s="392"/>
      <c r="Y673" s="392"/>
      <c r="Z673" s="392"/>
      <c r="AA673" s="392"/>
      <c r="AB673" s="392"/>
      <c r="AC673" s="392"/>
      <c r="AD673" s="392"/>
      <c r="AE673" s="392"/>
      <c r="AF673" s="392"/>
    </row>
    <row r="674" ht="15.75" customHeight="1">
      <c r="A674" s="216"/>
      <c r="B674" s="156"/>
      <c r="C674" s="156"/>
      <c r="D674" s="156"/>
      <c r="E674" s="392"/>
      <c r="F674" s="392"/>
      <c r="G674" s="392"/>
      <c r="H674" s="392"/>
      <c r="I674" s="392"/>
      <c r="J674" s="392"/>
      <c r="K674" s="392"/>
      <c r="L674" s="392"/>
      <c r="M674" s="392"/>
      <c r="N674" s="392"/>
      <c r="O674" s="392"/>
      <c r="P674" s="392"/>
      <c r="Q674" s="392"/>
      <c r="R674" s="392"/>
      <c r="S674" s="392"/>
      <c r="T674" s="392"/>
      <c r="U674" s="392"/>
      <c r="V674" s="392"/>
      <c r="W674" s="392"/>
      <c r="X674" s="392"/>
      <c r="Y674" s="392"/>
      <c r="Z674" s="392"/>
      <c r="AA674" s="392"/>
      <c r="AB674" s="392"/>
      <c r="AC674" s="392"/>
      <c r="AD674" s="392"/>
      <c r="AE674" s="392"/>
      <c r="AF674" s="392"/>
    </row>
    <row r="675" ht="15.75" customHeight="1">
      <c r="A675" s="216"/>
      <c r="B675" s="156"/>
      <c r="C675" s="156"/>
      <c r="D675" s="156"/>
      <c r="E675" s="392"/>
      <c r="F675" s="392"/>
      <c r="G675" s="392"/>
      <c r="H675" s="392"/>
      <c r="I675" s="392"/>
      <c r="J675" s="392"/>
      <c r="K675" s="392"/>
      <c r="L675" s="392"/>
      <c r="M675" s="392"/>
      <c r="N675" s="392"/>
      <c r="O675" s="392"/>
      <c r="P675" s="392"/>
      <c r="Q675" s="392"/>
      <c r="R675" s="392"/>
      <c r="S675" s="392"/>
      <c r="T675" s="392"/>
      <c r="U675" s="392"/>
      <c r="V675" s="392"/>
      <c r="W675" s="392"/>
      <c r="X675" s="392"/>
      <c r="Y675" s="392"/>
      <c r="Z675" s="392"/>
      <c r="AA675" s="392"/>
      <c r="AB675" s="392"/>
      <c r="AC675" s="392"/>
      <c r="AD675" s="392"/>
      <c r="AE675" s="392"/>
      <c r="AF675" s="392"/>
    </row>
    <row r="676" ht="15.75" customHeight="1">
      <c r="A676" s="216"/>
      <c r="B676" s="156"/>
      <c r="C676" s="156"/>
      <c r="D676" s="156"/>
      <c r="E676" s="392"/>
      <c r="F676" s="392"/>
      <c r="G676" s="392"/>
      <c r="H676" s="392"/>
      <c r="I676" s="392"/>
      <c r="J676" s="392"/>
      <c r="K676" s="392"/>
      <c r="L676" s="392"/>
      <c r="M676" s="392"/>
      <c r="N676" s="392"/>
      <c r="O676" s="392"/>
      <c r="P676" s="392"/>
      <c r="Q676" s="392"/>
      <c r="R676" s="392"/>
      <c r="S676" s="392"/>
      <c r="T676" s="392"/>
      <c r="U676" s="392"/>
      <c r="V676" s="392"/>
      <c r="W676" s="392"/>
      <c r="X676" s="392"/>
      <c r="Y676" s="392"/>
      <c r="Z676" s="392"/>
      <c r="AA676" s="392"/>
      <c r="AB676" s="392"/>
      <c r="AC676" s="392"/>
      <c r="AD676" s="392"/>
      <c r="AE676" s="392"/>
      <c r="AF676" s="392"/>
    </row>
    <row r="677" ht="15.75" customHeight="1">
      <c r="A677" s="216"/>
      <c r="B677" s="156"/>
      <c r="C677" s="156"/>
      <c r="D677" s="156"/>
      <c r="E677" s="392"/>
      <c r="F677" s="392"/>
      <c r="G677" s="392"/>
      <c r="H677" s="392"/>
      <c r="I677" s="392"/>
      <c r="J677" s="392"/>
      <c r="K677" s="392"/>
      <c r="L677" s="392"/>
      <c r="M677" s="392"/>
      <c r="N677" s="392"/>
      <c r="O677" s="392"/>
      <c r="P677" s="392"/>
      <c r="Q677" s="392"/>
      <c r="R677" s="392"/>
      <c r="S677" s="392"/>
      <c r="T677" s="392"/>
      <c r="U677" s="392"/>
      <c r="V677" s="392"/>
      <c r="W677" s="392"/>
      <c r="X677" s="392"/>
      <c r="Y677" s="392"/>
      <c r="Z677" s="392"/>
      <c r="AA677" s="392"/>
      <c r="AB677" s="392"/>
      <c r="AC677" s="392"/>
      <c r="AD677" s="392"/>
      <c r="AE677" s="392"/>
      <c r="AF677" s="392"/>
    </row>
    <row r="678" ht="15.75" customHeight="1">
      <c r="A678" s="216"/>
      <c r="B678" s="156"/>
      <c r="C678" s="156"/>
      <c r="D678" s="156"/>
      <c r="E678" s="392"/>
      <c r="F678" s="392"/>
      <c r="G678" s="392"/>
      <c r="H678" s="392"/>
      <c r="I678" s="392"/>
      <c r="J678" s="392"/>
      <c r="K678" s="392"/>
      <c r="L678" s="392"/>
      <c r="M678" s="392"/>
      <c r="N678" s="392"/>
      <c r="O678" s="392"/>
      <c r="P678" s="392"/>
      <c r="Q678" s="392"/>
      <c r="R678" s="392"/>
      <c r="S678" s="392"/>
      <c r="T678" s="392"/>
      <c r="U678" s="392"/>
      <c r="V678" s="392"/>
      <c r="W678" s="392"/>
      <c r="X678" s="392"/>
      <c r="Y678" s="392"/>
      <c r="Z678" s="392"/>
      <c r="AA678" s="392"/>
      <c r="AB678" s="392"/>
      <c r="AC678" s="392"/>
      <c r="AD678" s="392"/>
      <c r="AE678" s="392"/>
      <c r="AF678" s="392"/>
    </row>
    <row r="679" ht="15.75" customHeight="1">
      <c r="A679" s="216"/>
      <c r="B679" s="156"/>
      <c r="C679" s="156"/>
      <c r="D679" s="156"/>
      <c r="E679" s="392"/>
      <c r="F679" s="392"/>
      <c r="G679" s="392"/>
      <c r="H679" s="392"/>
      <c r="I679" s="392"/>
      <c r="J679" s="392"/>
      <c r="K679" s="392"/>
      <c r="L679" s="392"/>
      <c r="M679" s="392"/>
      <c r="N679" s="392"/>
      <c r="O679" s="392"/>
      <c r="P679" s="392"/>
      <c r="Q679" s="392"/>
      <c r="R679" s="392"/>
      <c r="S679" s="392"/>
      <c r="T679" s="392"/>
      <c r="U679" s="392"/>
      <c r="V679" s="392"/>
      <c r="W679" s="392"/>
      <c r="X679" s="392"/>
      <c r="Y679" s="392"/>
      <c r="Z679" s="392"/>
      <c r="AA679" s="392"/>
      <c r="AB679" s="392"/>
      <c r="AC679" s="392"/>
      <c r="AD679" s="392"/>
      <c r="AE679" s="392"/>
      <c r="AF679" s="392"/>
    </row>
    <row r="680" ht="15.75" customHeight="1">
      <c r="A680" s="216"/>
      <c r="B680" s="156"/>
      <c r="C680" s="156"/>
      <c r="D680" s="156"/>
      <c r="E680" s="392"/>
      <c r="F680" s="392"/>
      <c r="G680" s="392"/>
      <c r="H680" s="392"/>
      <c r="I680" s="392"/>
      <c r="J680" s="392"/>
      <c r="K680" s="392"/>
      <c r="L680" s="392"/>
      <c r="M680" s="392"/>
      <c r="N680" s="392"/>
      <c r="O680" s="392"/>
      <c r="P680" s="392"/>
      <c r="Q680" s="392"/>
      <c r="R680" s="392"/>
      <c r="S680" s="392"/>
      <c r="T680" s="392"/>
      <c r="U680" s="392"/>
      <c r="V680" s="392"/>
      <c r="W680" s="392"/>
      <c r="X680" s="392"/>
      <c r="Y680" s="392"/>
      <c r="Z680" s="392"/>
      <c r="AA680" s="392"/>
      <c r="AB680" s="392"/>
      <c r="AC680" s="392"/>
      <c r="AD680" s="392"/>
      <c r="AE680" s="392"/>
      <c r="AF680" s="392"/>
    </row>
    <row r="681" ht="15.75" customHeight="1">
      <c r="A681" s="216"/>
      <c r="B681" s="156"/>
      <c r="C681" s="156"/>
      <c r="D681" s="156"/>
      <c r="E681" s="392"/>
      <c r="F681" s="392"/>
      <c r="G681" s="392"/>
      <c r="H681" s="392"/>
      <c r="I681" s="392"/>
      <c r="J681" s="392"/>
      <c r="K681" s="392"/>
      <c r="L681" s="392"/>
      <c r="M681" s="392"/>
      <c r="N681" s="392"/>
      <c r="O681" s="392"/>
      <c r="P681" s="392"/>
      <c r="Q681" s="392"/>
      <c r="R681" s="392"/>
      <c r="S681" s="392"/>
      <c r="T681" s="392"/>
      <c r="U681" s="392"/>
      <c r="V681" s="392"/>
      <c r="W681" s="392"/>
      <c r="X681" s="392"/>
      <c r="Y681" s="392"/>
      <c r="Z681" s="392"/>
      <c r="AA681" s="392"/>
      <c r="AB681" s="392"/>
      <c r="AC681" s="392"/>
      <c r="AD681" s="392"/>
      <c r="AE681" s="392"/>
      <c r="AF681" s="392"/>
    </row>
    <row r="682" ht="15.75" customHeight="1">
      <c r="A682" s="216"/>
      <c r="B682" s="156"/>
      <c r="C682" s="156"/>
      <c r="D682" s="156"/>
      <c r="E682" s="392"/>
      <c r="F682" s="392"/>
      <c r="G682" s="392"/>
      <c r="H682" s="392"/>
      <c r="I682" s="392"/>
      <c r="J682" s="392"/>
      <c r="K682" s="392"/>
      <c r="L682" s="392"/>
      <c r="M682" s="392"/>
      <c r="N682" s="392"/>
      <c r="O682" s="392"/>
      <c r="P682" s="392"/>
      <c r="Q682" s="392"/>
      <c r="R682" s="392"/>
      <c r="S682" s="392"/>
      <c r="T682" s="392"/>
      <c r="U682" s="392"/>
      <c r="V682" s="392"/>
      <c r="W682" s="392"/>
      <c r="X682" s="392"/>
      <c r="Y682" s="392"/>
      <c r="Z682" s="392"/>
      <c r="AA682" s="392"/>
      <c r="AB682" s="392"/>
      <c r="AC682" s="392"/>
      <c r="AD682" s="392"/>
      <c r="AE682" s="392"/>
      <c r="AF682" s="392"/>
    </row>
    <row r="683" ht="15.75" customHeight="1">
      <c r="A683" s="216"/>
      <c r="B683" s="156"/>
      <c r="C683" s="156"/>
      <c r="D683" s="156"/>
      <c r="E683" s="392"/>
      <c r="F683" s="392"/>
      <c r="G683" s="392"/>
      <c r="H683" s="392"/>
      <c r="I683" s="392"/>
      <c r="J683" s="392"/>
      <c r="K683" s="392"/>
      <c r="L683" s="392"/>
      <c r="M683" s="392"/>
      <c r="N683" s="392"/>
      <c r="O683" s="392"/>
      <c r="P683" s="392"/>
      <c r="Q683" s="392"/>
      <c r="R683" s="392"/>
      <c r="S683" s="392"/>
      <c r="T683" s="392"/>
      <c r="U683" s="392"/>
      <c r="V683" s="392"/>
      <c r="W683" s="392"/>
      <c r="X683" s="392"/>
      <c r="Y683" s="392"/>
      <c r="Z683" s="392"/>
      <c r="AA683" s="392"/>
      <c r="AB683" s="392"/>
      <c r="AC683" s="392"/>
      <c r="AD683" s="392"/>
      <c r="AE683" s="392"/>
      <c r="AF683" s="392"/>
    </row>
    <row r="684" ht="15.75" customHeight="1">
      <c r="A684" s="216"/>
      <c r="B684" s="156"/>
      <c r="C684" s="156"/>
      <c r="D684" s="156"/>
      <c r="E684" s="392"/>
      <c r="F684" s="392"/>
      <c r="G684" s="392"/>
      <c r="H684" s="392"/>
      <c r="I684" s="392"/>
      <c r="J684" s="392"/>
      <c r="K684" s="392"/>
      <c r="L684" s="392"/>
      <c r="M684" s="392"/>
      <c r="N684" s="392"/>
      <c r="O684" s="392"/>
      <c r="P684" s="392"/>
      <c r="Q684" s="392"/>
      <c r="R684" s="392"/>
      <c r="S684" s="392"/>
      <c r="T684" s="392"/>
      <c r="U684" s="392"/>
      <c r="V684" s="392"/>
      <c r="W684" s="392"/>
      <c r="X684" s="392"/>
      <c r="Y684" s="392"/>
      <c r="Z684" s="392"/>
      <c r="AA684" s="392"/>
      <c r="AB684" s="392"/>
      <c r="AC684" s="392"/>
      <c r="AD684" s="392"/>
      <c r="AE684" s="392"/>
      <c r="AF684" s="392"/>
    </row>
    <row r="685" ht="15.75" customHeight="1">
      <c r="A685" s="216"/>
      <c r="B685" s="156"/>
      <c r="C685" s="156"/>
      <c r="D685" s="156"/>
      <c r="E685" s="392"/>
      <c r="F685" s="392"/>
      <c r="G685" s="392"/>
      <c r="H685" s="392"/>
      <c r="I685" s="392"/>
      <c r="J685" s="392"/>
      <c r="K685" s="392"/>
      <c r="L685" s="392"/>
      <c r="M685" s="392"/>
      <c r="N685" s="392"/>
      <c r="O685" s="392"/>
      <c r="P685" s="392"/>
      <c r="Q685" s="392"/>
      <c r="R685" s="392"/>
      <c r="S685" s="392"/>
      <c r="T685" s="392"/>
      <c r="U685" s="392"/>
      <c r="V685" s="392"/>
      <c r="W685" s="392"/>
      <c r="X685" s="392"/>
      <c r="Y685" s="392"/>
      <c r="Z685" s="392"/>
      <c r="AA685" s="392"/>
      <c r="AB685" s="392"/>
      <c r="AC685" s="392"/>
      <c r="AD685" s="392"/>
      <c r="AE685" s="392"/>
      <c r="AF685" s="392"/>
    </row>
    <row r="686" ht="15.75" customHeight="1">
      <c r="A686" s="216"/>
      <c r="B686" s="156"/>
      <c r="C686" s="156"/>
      <c r="D686" s="156"/>
      <c r="E686" s="392"/>
      <c r="F686" s="392"/>
      <c r="G686" s="392"/>
      <c r="H686" s="392"/>
      <c r="I686" s="392"/>
      <c r="J686" s="392"/>
      <c r="K686" s="392"/>
      <c r="L686" s="392"/>
      <c r="M686" s="392"/>
      <c r="N686" s="392"/>
      <c r="O686" s="392"/>
      <c r="P686" s="392"/>
      <c r="Q686" s="392"/>
      <c r="R686" s="392"/>
      <c r="S686" s="392"/>
      <c r="T686" s="392"/>
      <c r="U686" s="392"/>
      <c r="V686" s="392"/>
      <c r="W686" s="392"/>
      <c r="X686" s="392"/>
      <c r="Y686" s="392"/>
      <c r="Z686" s="392"/>
      <c r="AA686" s="392"/>
      <c r="AB686" s="392"/>
      <c r="AC686" s="392"/>
      <c r="AD686" s="392"/>
      <c r="AE686" s="392"/>
      <c r="AF686" s="392"/>
    </row>
    <row r="687" ht="15.75" customHeight="1">
      <c r="A687" s="216"/>
      <c r="B687" s="156"/>
      <c r="C687" s="156"/>
      <c r="D687" s="156"/>
      <c r="E687" s="392"/>
      <c r="F687" s="392"/>
      <c r="G687" s="392"/>
      <c r="H687" s="392"/>
      <c r="I687" s="392"/>
      <c r="J687" s="392"/>
      <c r="K687" s="392"/>
      <c r="L687" s="392"/>
      <c r="M687" s="392"/>
      <c r="N687" s="392"/>
      <c r="O687" s="392"/>
      <c r="P687" s="392"/>
      <c r="Q687" s="392"/>
      <c r="R687" s="392"/>
      <c r="S687" s="392"/>
      <c r="T687" s="392"/>
      <c r="U687" s="392"/>
      <c r="V687" s="392"/>
      <c r="W687" s="392"/>
      <c r="X687" s="392"/>
      <c r="Y687" s="392"/>
      <c r="Z687" s="392"/>
      <c r="AA687" s="392"/>
      <c r="AB687" s="392"/>
      <c r="AC687" s="392"/>
      <c r="AD687" s="392"/>
      <c r="AE687" s="392"/>
      <c r="AF687" s="392"/>
    </row>
    <row r="688" ht="15.75" customHeight="1">
      <c r="A688" s="216"/>
      <c r="B688" s="156"/>
      <c r="C688" s="156"/>
      <c r="D688" s="156"/>
      <c r="E688" s="392"/>
      <c r="F688" s="392"/>
      <c r="G688" s="392"/>
      <c r="H688" s="392"/>
      <c r="I688" s="392"/>
      <c r="J688" s="392"/>
      <c r="K688" s="392"/>
      <c r="L688" s="392"/>
      <c r="M688" s="392"/>
      <c r="N688" s="392"/>
      <c r="O688" s="392"/>
      <c r="P688" s="392"/>
      <c r="Q688" s="392"/>
      <c r="R688" s="392"/>
      <c r="S688" s="392"/>
      <c r="T688" s="392"/>
      <c r="U688" s="392"/>
      <c r="V688" s="392"/>
      <c r="W688" s="392"/>
      <c r="X688" s="392"/>
      <c r="Y688" s="392"/>
      <c r="Z688" s="392"/>
      <c r="AA688" s="392"/>
      <c r="AB688" s="392"/>
      <c r="AC688" s="392"/>
      <c r="AD688" s="392"/>
      <c r="AE688" s="392"/>
      <c r="AF688" s="392"/>
    </row>
    <row r="689" ht="15.75" customHeight="1">
      <c r="A689" s="216"/>
      <c r="B689" s="156"/>
      <c r="C689" s="156"/>
      <c r="D689" s="156"/>
      <c r="E689" s="392"/>
      <c r="F689" s="392"/>
      <c r="G689" s="392"/>
      <c r="H689" s="392"/>
      <c r="I689" s="392"/>
      <c r="J689" s="392"/>
      <c r="K689" s="392"/>
      <c r="L689" s="392"/>
      <c r="M689" s="392"/>
      <c r="N689" s="392"/>
      <c r="O689" s="392"/>
      <c r="P689" s="392"/>
      <c r="Q689" s="392"/>
      <c r="R689" s="392"/>
      <c r="S689" s="392"/>
      <c r="T689" s="392"/>
      <c r="U689" s="392"/>
      <c r="V689" s="392"/>
      <c r="W689" s="392"/>
      <c r="X689" s="392"/>
      <c r="Y689" s="392"/>
      <c r="Z689" s="392"/>
      <c r="AA689" s="392"/>
      <c r="AB689" s="392"/>
      <c r="AC689" s="392"/>
      <c r="AD689" s="392"/>
      <c r="AE689" s="392"/>
      <c r="AF689" s="392"/>
    </row>
    <row r="690" ht="15.75" customHeight="1">
      <c r="A690" s="216"/>
      <c r="B690" s="156"/>
      <c r="C690" s="156"/>
      <c r="D690" s="156"/>
      <c r="E690" s="392"/>
      <c r="F690" s="392"/>
      <c r="G690" s="392"/>
      <c r="H690" s="392"/>
      <c r="I690" s="392"/>
      <c r="J690" s="392"/>
      <c r="K690" s="392"/>
      <c r="L690" s="392"/>
      <c r="M690" s="392"/>
      <c r="N690" s="392"/>
      <c r="O690" s="392"/>
      <c r="P690" s="392"/>
      <c r="Q690" s="392"/>
      <c r="R690" s="392"/>
      <c r="S690" s="392"/>
      <c r="T690" s="392"/>
      <c r="U690" s="392"/>
      <c r="V690" s="392"/>
      <c r="W690" s="392"/>
      <c r="X690" s="392"/>
      <c r="Y690" s="392"/>
      <c r="Z690" s="392"/>
      <c r="AA690" s="392"/>
      <c r="AB690" s="392"/>
      <c r="AC690" s="392"/>
      <c r="AD690" s="392"/>
      <c r="AE690" s="392"/>
      <c r="AF690" s="392"/>
    </row>
    <row r="691" ht="15.75" customHeight="1">
      <c r="A691" s="216"/>
      <c r="B691" s="156"/>
      <c r="C691" s="156"/>
      <c r="D691" s="156"/>
      <c r="E691" s="392"/>
      <c r="F691" s="392"/>
      <c r="G691" s="392"/>
      <c r="H691" s="392"/>
      <c r="I691" s="392"/>
      <c r="J691" s="392"/>
      <c r="K691" s="392"/>
      <c r="L691" s="392"/>
      <c r="M691" s="392"/>
      <c r="N691" s="392"/>
      <c r="O691" s="392"/>
      <c r="P691" s="392"/>
      <c r="Q691" s="392"/>
      <c r="R691" s="392"/>
      <c r="S691" s="392"/>
      <c r="T691" s="392"/>
      <c r="U691" s="392"/>
      <c r="V691" s="392"/>
      <c r="W691" s="392"/>
      <c r="X691" s="392"/>
      <c r="Y691" s="392"/>
      <c r="Z691" s="392"/>
      <c r="AA691" s="392"/>
      <c r="AB691" s="392"/>
      <c r="AC691" s="392"/>
      <c r="AD691" s="392"/>
      <c r="AE691" s="392"/>
      <c r="AF691" s="392"/>
    </row>
    <row r="692" ht="15.75" customHeight="1">
      <c r="A692" s="216"/>
      <c r="B692" s="156"/>
      <c r="C692" s="156"/>
      <c r="D692" s="156"/>
      <c r="E692" s="392"/>
      <c r="F692" s="392"/>
      <c r="G692" s="392"/>
      <c r="H692" s="392"/>
      <c r="I692" s="392"/>
      <c r="J692" s="392"/>
      <c r="K692" s="392"/>
      <c r="L692" s="392"/>
      <c r="M692" s="392"/>
      <c r="N692" s="392"/>
      <c r="O692" s="392"/>
      <c r="P692" s="392"/>
      <c r="Q692" s="392"/>
      <c r="R692" s="392"/>
      <c r="S692" s="392"/>
      <c r="T692" s="392"/>
      <c r="U692" s="392"/>
      <c r="V692" s="392"/>
      <c r="W692" s="392"/>
      <c r="X692" s="392"/>
      <c r="Y692" s="392"/>
      <c r="Z692" s="392"/>
      <c r="AA692" s="392"/>
      <c r="AB692" s="392"/>
      <c r="AC692" s="392"/>
      <c r="AD692" s="392"/>
      <c r="AE692" s="392"/>
      <c r="AF692" s="392"/>
    </row>
    <row r="693" ht="15.75" customHeight="1">
      <c r="A693" s="216"/>
      <c r="B693" s="156"/>
      <c r="C693" s="156"/>
      <c r="D693" s="156"/>
      <c r="E693" s="392"/>
      <c r="F693" s="392"/>
      <c r="G693" s="392"/>
      <c r="H693" s="392"/>
      <c r="I693" s="392"/>
      <c r="J693" s="392"/>
      <c r="K693" s="392"/>
      <c r="L693" s="392"/>
      <c r="M693" s="392"/>
      <c r="N693" s="392"/>
      <c r="O693" s="392"/>
      <c r="P693" s="392"/>
      <c r="Q693" s="392"/>
      <c r="R693" s="392"/>
      <c r="S693" s="392"/>
      <c r="T693" s="392"/>
      <c r="U693" s="392"/>
      <c r="V693" s="392"/>
      <c r="W693" s="392"/>
      <c r="X693" s="392"/>
      <c r="Y693" s="392"/>
      <c r="Z693" s="392"/>
      <c r="AA693" s="392"/>
      <c r="AB693" s="392"/>
      <c r="AC693" s="392"/>
      <c r="AD693" s="392"/>
      <c r="AE693" s="392"/>
      <c r="AF693" s="392"/>
    </row>
    <row r="694" ht="15.75" customHeight="1">
      <c r="A694" s="216"/>
      <c r="B694" s="156"/>
      <c r="C694" s="156"/>
      <c r="D694" s="156"/>
      <c r="E694" s="392"/>
      <c r="F694" s="392"/>
      <c r="G694" s="392"/>
      <c r="H694" s="392"/>
      <c r="I694" s="392"/>
      <c r="J694" s="392"/>
      <c r="K694" s="392"/>
      <c r="L694" s="392"/>
      <c r="M694" s="392"/>
      <c r="N694" s="392"/>
      <c r="O694" s="392"/>
      <c r="P694" s="392"/>
      <c r="Q694" s="392"/>
      <c r="R694" s="392"/>
      <c r="S694" s="392"/>
      <c r="T694" s="392"/>
      <c r="U694" s="392"/>
      <c r="V694" s="392"/>
      <c r="W694" s="392"/>
      <c r="X694" s="392"/>
      <c r="Y694" s="392"/>
      <c r="Z694" s="392"/>
      <c r="AA694" s="392"/>
      <c r="AB694" s="392"/>
      <c r="AC694" s="392"/>
      <c r="AD694" s="392"/>
      <c r="AE694" s="392"/>
      <c r="AF694" s="392"/>
    </row>
    <row r="695" ht="15.75" customHeight="1">
      <c r="A695" s="216"/>
      <c r="B695" s="156"/>
      <c r="C695" s="156"/>
      <c r="D695" s="156"/>
      <c r="E695" s="392"/>
      <c r="F695" s="392"/>
      <c r="G695" s="392"/>
      <c r="H695" s="392"/>
      <c r="I695" s="392"/>
      <c r="J695" s="392"/>
      <c r="K695" s="392"/>
      <c r="L695" s="392"/>
      <c r="M695" s="392"/>
      <c r="N695" s="392"/>
      <c r="O695" s="392"/>
      <c r="P695" s="392"/>
      <c r="Q695" s="392"/>
      <c r="R695" s="392"/>
      <c r="S695" s="392"/>
      <c r="T695" s="392"/>
      <c r="U695" s="392"/>
      <c r="V695" s="392"/>
      <c r="W695" s="392"/>
      <c r="X695" s="392"/>
      <c r="Y695" s="392"/>
      <c r="Z695" s="392"/>
      <c r="AA695" s="392"/>
      <c r="AB695" s="392"/>
      <c r="AC695" s="392"/>
      <c r="AD695" s="392"/>
      <c r="AE695" s="392"/>
      <c r="AF695" s="392"/>
    </row>
    <row r="696" ht="15.75" customHeight="1">
      <c r="A696" s="216"/>
      <c r="B696" s="156"/>
      <c r="C696" s="156"/>
      <c r="D696" s="156"/>
      <c r="E696" s="392"/>
      <c r="F696" s="392"/>
      <c r="G696" s="392"/>
      <c r="H696" s="392"/>
      <c r="I696" s="392"/>
      <c r="J696" s="392"/>
      <c r="K696" s="392"/>
      <c r="L696" s="392"/>
      <c r="M696" s="392"/>
      <c r="N696" s="392"/>
      <c r="O696" s="392"/>
      <c r="P696" s="392"/>
      <c r="Q696" s="392"/>
      <c r="R696" s="392"/>
      <c r="S696" s="392"/>
      <c r="T696" s="392"/>
      <c r="U696" s="392"/>
      <c r="V696" s="392"/>
      <c r="W696" s="392"/>
      <c r="X696" s="392"/>
      <c r="Y696" s="392"/>
      <c r="Z696" s="392"/>
      <c r="AA696" s="392"/>
      <c r="AB696" s="392"/>
      <c r="AC696" s="392"/>
      <c r="AD696" s="392"/>
      <c r="AE696" s="392"/>
      <c r="AF696" s="392"/>
    </row>
    <row r="697" ht="15.75" customHeight="1">
      <c r="A697" s="216"/>
      <c r="B697" s="156"/>
      <c r="C697" s="156"/>
      <c r="D697" s="156"/>
      <c r="E697" s="392"/>
      <c r="F697" s="392"/>
      <c r="G697" s="392"/>
      <c r="H697" s="392"/>
      <c r="I697" s="392"/>
      <c r="J697" s="392"/>
      <c r="K697" s="392"/>
      <c r="L697" s="392"/>
      <c r="M697" s="392"/>
      <c r="N697" s="392"/>
      <c r="O697" s="392"/>
      <c r="P697" s="392"/>
      <c r="Q697" s="392"/>
      <c r="R697" s="392"/>
      <c r="S697" s="392"/>
      <c r="T697" s="392"/>
      <c r="U697" s="392"/>
      <c r="V697" s="392"/>
      <c r="W697" s="392"/>
      <c r="X697" s="392"/>
      <c r="Y697" s="392"/>
      <c r="Z697" s="392"/>
      <c r="AA697" s="392"/>
      <c r="AB697" s="392"/>
      <c r="AC697" s="392"/>
      <c r="AD697" s="392"/>
      <c r="AE697" s="392"/>
      <c r="AF697" s="392"/>
    </row>
    <row r="698" ht="15.75" customHeight="1">
      <c r="A698" s="216"/>
      <c r="B698" s="156"/>
      <c r="C698" s="156"/>
      <c r="D698" s="156"/>
      <c r="E698" s="392"/>
      <c r="F698" s="392"/>
      <c r="G698" s="392"/>
      <c r="H698" s="392"/>
      <c r="I698" s="392"/>
      <c r="J698" s="392"/>
      <c r="K698" s="392"/>
      <c r="L698" s="392"/>
      <c r="M698" s="392"/>
      <c r="N698" s="392"/>
      <c r="O698" s="392"/>
      <c r="P698" s="392"/>
      <c r="Q698" s="392"/>
      <c r="R698" s="392"/>
      <c r="S698" s="392"/>
      <c r="T698" s="392"/>
      <c r="U698" s="392"/>
      <c r="V698" s="392"/>
      <c r="W698" s="392"/>
      <c r="X698" s="392"/>
      <c r="Y698" s="392"/>
      <c r="Z698" s="392"/>
      <c r="AA698" s="392"/>
      <c r="AB698" s="392"/>
      <c r="AC698" s="392"/>
      <c r="AD698" s="392"/>
      <c r="AE698" s="392"/>
      <c r="AF698" s="392"/>
    </row>
    <row r="699" ht="15.75" customHeight="1">
      <c r="A699" s="216"/>
      <c r="B699" s="156"/>
      <c r="C699" s="156"/>
      <c r="D699" s="156"/>
      <c r="E699" s="392"/>
      <c r="F699" s="392"/>
      <c r="G699" s="392"/>
      <c r="H699" s="392"/>
      <c r="I699" s="392"/>
      <c r="J699" s="392"/>
      <c r="K699" s="392"/>
      <c r="L699" s="392"/>
      <c r="M699" s="392"/>
      <c r="N699" s="392"/>
      <c r="O699" s="392"/>
      <c r="P699" s="392"/>
      <c r="Q699" s="392"/>
      <c r="R699" s="392"/>
      <c r="S699" s="392"/>
      <c r="T699" s="392"/>
      <c r="U699" s="392"/>
      <c r="V699" s="392"/>
      <c r="W699" s="392"/>
      <c r="X699" s="392"/>
      <c r="Y699" s="392"/>
      <c r="Z699" s="392"/>
      <c r="AA699" s="392"/>
      <c r="AB699" s="392"/>
      <c r="AC699" s="392"/>
      <c r="AD699" s="392"/>
      <c r="AE699" s="392"/>
      <c r="AF699" s="392"/>
    </row>
    <row r="700" ht="15.75" customHeight="1">
      <c r="A700" s="216"/>
      <c r="B700" s="156"/>
      <c r="C700" s="156"/>
      <c r="D700" s="156"/>
      <c r="E700" s="392"/>
      <c r="F700" s="392"/>
      <c r="G700" s="392"/>
      <c r="H700" s="392"/>
      <c r="I700" s="392"/>
      <c r="J700" s="392"/>
      <c r="K700" s="392"/>
      <c r="L700" s="392"/>
      <c r="M700" s="392"/>
      <c r="N700" s="392"/>
      <c r="O700" s="392"/>
      <c r="P700" s="392"/>
      <c r="Q700" s="392"/>
      <c r="R700" s="392"/>
      <c r="S700" s="392"/>
      <c r="T700" s="392"/>
      <c r="U700" s="392"/>
      <c r="V700" s="392"/>
      <c r="W700" s="392"/>
      <c r="X700" s="392"/>
      <c r="Y700" s="392"/>
      <c r="Z700" s="392"/>
      <c r="AA700" s="392"/>
      <c r="AB700" s="392"/>
      <c r="AC700" s="392"/>
      <c r="AD700" s="392"/>
      <c r="AE700" s="392"/>
      <c r="AF700" s="392"/>
    </row>
    <row r="701" ht="15.75" customHeight="1">
      <c r="A701" s="216"/>
      <c r="B701" s="156"/>
      <c r="C701" s="156"/>
      <c r="D701" s="156"/>
      <c r="E701" s="392"/>
      <c r="F701" s="392"/>
      <c r="G701" s="392"/>
      <c r="H701" s="392"/>
      <c r="I701" s="392"/>
      <c r="J701" s="392"/>
      <c r="K701" s="392"/>
      <c r="L701" s="392"/>
      <c r="M701" s="392"/>
      <c r="N701" s="392"/>
      <c r="O701" s="392"/>
      <c r="P701" s="392"/>
      <c r="Q701" s="392"/>
      <c r="R701" s="392"/>
      <c r="S701" s="392"/>
      <c r="T701" s="392"/>
      <c r="U701" s="392"/>
      <c r="V701" s="392"/>
      <c r="W701" s="392"/>
      <c r="X701" s="392"/>
      <c r="Y701" s="392"/>
      <c r="Z701" s="392"/>
      <c r="AA701" s="392"/>
      <c r="AB701" s="392"/>
      <c r="AC701" s="392"/>
      <c r="AD701" s="392"/>
      <c r="AE701" s="392"/>
      <c r="AF701" s="392"/>
    </row>
    <row r="702" ht="15.75" customHeight="1">
      <c r="A702" s="216"/>
      <c r="B702" s="156"/>
      <c r="C702" s="156"/>
      <c r="D702" s="156"/>
      <c r="E702" s="392"/>
      <c r="F702" s="392"/>
      <c r="G702" s="392"/>
      <c r="H702" s="392"/>
      <c r="I702" s="392"/>
      <c r="J702" s="392"/>
      <c r="K702" s="392"/>
      <c r="L702" s="392"/>
      <c r="M702" s="392"/>
      <c r="N702" s="392"/>
      <c r="O702" s="392"/>
      <c r="P702" s="392"/>
      <c r="Q702" s="392"/>
      <c r="R702" s="392"/>
      <c r="S702" s="392"/>
      <c r="T702" s="392"/>
      <c r="U702" s="392"/>
      <c r="V702" s="392"/>
      <c r="W702" s="392"/>
      <c r="X702" s="392"/>
      <c r="Y702" s="392"/>
      <c r="Z702" s="392"/>
      <c r="AA702" s="392"/>
      <c r="AB702" s="392"/>
      <c r="AC702" s="392"/>
      <c r="AD702" s="392"/>
      <c r="AE702" s="392"/>
      <c r="AF702" s="392"/>
    </row>
    <row r="703" ht="15.75" customHeight="1">
      <c r="A703" s="216"/>
      <c r="B703" s="156"/>
      <c r="C703" s="156"/>
      <c r="D703" s="156"/>
      <c r="E703" s="392"/>
      <c r="F703" s="392"/>
      <c r="G703" s="392"/>
      <c r="H703" s="392"/>
      <c r="I703" s="392"/>
      <c r="J703" s="392"/>
      <c r="K703" s="392"/>
      <c r="L703" s="392"/>
      <c r="M703" s="392"/>
      <c r="N703" s="392"/>
      <c r="O703" s="392"/>
      <c r="P703" s="392"/>
      <c r="Q703" s="392"/>
      <c r="R703" s="392"/>
      <c r="S703" s="392"/>
      <c r="T703" s="392"/>
      <c r="U703" s="392"/>
      <c r="V703" s="392"/>
      <c r="W703" s="392"/>
      <c r="X703" s="392"/>
      <c r="Y703" s="392"/>
      <c r="Z703" s="392"/>
      <c r="AA703" s="392"/>
      <c r="AB703" s="392"/>
      <c r="AC703" s="392"/>
      <c r="AD703" s="392"/>
      <c r="AE703" s="392"/>
      <c r="AF703" s="392"/>
    </row>
    <row r="704" ht="15.75" customHeight="1">
      <c r="A704" s="216"/>
      <c r="B704" s="156"/>
      <c r="C704" s="156"/>
      <c r="D704" s="156"/>
      <c r="E704" s="392"/>
      <c r="F704" s="392"/>
      <c r="G704" s="392"/>
      <c r="H704" s="392"/>
      <c r="I704" s="392"/>
      <c r="J704" s="392"/>
      <c r="K704" s="392"/>
      <c r="L704" s="392"/>
      <c r="M704" s="392"/>
      <c r="N704" s="392"/>
      <c r="O704" s="392"/>
      <c r="P704" s="392"/>
      <c r="Q704" s="392"/>
      <c r="R704" s="392"/>
      <c r="S704" s="392"/>
      <c r="T704" s="392"/>
      <c r="U704" s="392"/>
      <c r="V704" s="392"/>
      <c r="W704" s="392"/>
      <c r="X704" s="392"/>
      <c r="Y704" s="392"/>
      <c r="Z704" s="392"/>
      <c r="AA704" s="392"/>
      <c r="AB704" s="392"/>
      <c r="AC704" s="392"/>
      <c r="AD704" s="392"/>
      <c r="AE704" s="392"/>
      <c r="AF704" s="392"/>
    </row>
    <row r="705" ht="15.75" customHeight="1">
      <c r="A705" s="216"/>
      <c r="B705" s="156"/>
      <c r="C705" s="156"/>
      <c r="D705" s="156"/>
      <c r="E705" s="392"/>
      <c r="F705" s="392"/>
      <c r="G705" s="392"/>
      <c r="H705" s="392"/>
      <c r="I705" s="392"/>
      <c r="J705" s="392"/>
      <c r="K705" s="392"/>
      <c r="L705" s="392"/>
      <c r="M705" s="392"/>
      <c r="N705" s="392"/>
      <c r="O705" s="392"/>
      <c r="P705" s="392"/>
      <c r="Q705" s="392"/>
      <c r="R705" s="392"/>
      <c r="S705" s="392"/>
      <c r="T705" s="392"/>
      <c r="U705" s="392"/>
      <c r="V705" s="392"/>
      <c r="W705" s="392"/>
      <c r="X705" s="392"/>
      <c r="Y705" s="392"/>
      <c r="Z705" s="392"/>
      <c r="AA705" s="392"/>
      <c r="AB705" s="392"/>
      <c r="AC705" s="392"/>
      <c r="AD705" s="392"/>
      <c r="AE705" s="392"/>
      <c r="AF705" s="392"/>
    </row>
    <row r="706" ht="15.75" customHeight="1">
      <c r="A706" s="216"/>
      <c r="B706" s="156"/>
      <c r="C706" s="156"/>
      <c r="D706" s="156"/>
      <c r="E706" s="392"/>
      <c r="F706" s="392"/>
      <c r="G706" s="392"/>
      <c r="H706" s="392"/>
      <c r="I706" s="392"/>
      <c r="J706" s="392"/>
      <c r="K706" s="392"/>
      <c r="L706" s="392"/>
      <c r="M706" s="392"/>
      <c r="N706" s="392"/>
      <c r="O706" s="392"/>
      <c r="P706" s="392"/>
      <c r="Q706" s="392"/>
      <c r="R706" s="392"/>
      <c r="S706" s="392"/>
      <c r="T706" s="392"/>
      <c r="U706" s="392"/>
      <c r="V706" s="392"/>
      <c r="W706" s="392"/>
      <c r="X706" s="392"/>
      <c r="Y706" s="392"/>
      <c r="Z706" s="392"/>
      <c r="AA706" s="392"/>
      <c r="AB706" s="392"/>
      <c r="AC706" s="392"/>
      <c r="AD706" s="392"/>
      <c r="AE706" s="392"/>
      <c r="AF706" s="392"/>
    </row>
    <row r="707" ht="15.75" customHeight="1">
      <c r="A707" s="216"/>
      <c r="B707" s="156"/>
      <c r="C707" s="156"/>
      <c r="D707" s="156"/>
      <c r="E707" s="392"/>
      <c r="F707" s="392"/>
      <c r="G707" s="392"/>
      <c r="H707" s="392"/>
      <c r="I707" s="392"/>
      <c r="J707" s="392"/>
      <c r="K707" s="392"/>
      <c r="L707" s="392"/>
      <c r="M707" s="392"/>
      <c r="N707" s="392"/>
      <c r="O707" s="392"/>
      <c r="P707" s="392"/>
      <c r="Q707" s="392"/>
      <c r="R707" s="392"/>
      <c r="S707" s="392"/>
      <c r="T707" s="392"/>
      <c r="U707" s="392"/>
      <c r="V707" s="392"/>
      <c r="W707" s="392"/>
      <c r="X707" s="392"/>
      <c r="Y707" s="392"/>
      <c r="Z707" s="392"/>
      <c r="AA707" s="392"/>
      <c r="AB707" s="392"/>
      <c r="AC707" s="392"/>
      <c r="AD707" s="392"/>
      <c r="AE707" s="392"/>
      <c r="AF707" s="392"/>
    </row>
    <row r="708" ht="15.75" customHeight="1">
      <c r="A708" s="216"/>
      <c r="B708" s="156"/>
      <c r="C708" s="156"/>
      <c r="D708" s="156"/>
      <c r="E708" s="392"/>
      <c r="F708" s="392"/>
      <c r="G708" s="392"/>
      <c r="H708" s="392"/>
      <c r="I708" s="392"/>
      <c r="J708" s="392"/>
      <c r="K708" s="392"/>
      <c r="L708" s="392"/>
      <c r="M708" s="392"/>
      <c r="N708" s="392"/>
      <c r="O708" s="392"/>
      <c r="P708" s="392"/>
      <c r="Q708" s="392"/>
      <c r="R708" s="392"/>
      <c r="S708" s="392"/>
      <c r="T708" s="392"/>
      <c r="U708" s="392"/>
      <c r="V708" s="392"/>
      <c r="W708" s="392"/>
      <c r="X708" s="392"/>
      <c r="Y708" s="392"/>
      <c r="Z708" s="392"/>
      <c r="AA708" s="392"/>
      <c r="AB708" s="392"/>
      <c r="AC708" s="392"/>
      <c r="AD708" s="392"/>
      <c r="AE708" s="392"/>
      <c r="AF708" s="392"/>
    </row>
    <row r="709" ht="15.75" customHeight="1">
      <c r="A709" s="216"/>
      <c r="B709" s="156"/>
      <c r="C709" s="156"/>
      <c r="D709" s="156"/>
      <c r="E709" s="392"/>
      <c r="F709" s="392"/>
      <c r="G709" s="392"/>
      <c r="H709" s="392"/>
      <c r="I709" s="392"/>
      <c r="J709" s="392"/>
      <c r="K709" s="392"/>
      <c r="L709" s="392"/>
      <c r="M709" s="392"/>
      <c r="N709" s="392"/>
      <c r="O709" s="392"/>
      <c r="P709" s="392"/>
      <c r="Q709" s="392"/>
      <c r="R709" s="392"/>
      <c r="S709" s="392"/>
      <c r="T709" s="392"/>
      <c r="U709" s="392"/>
      <c r="V709" s="392"/>
      <c r="W709" s="392"/>
      <c r="X709" s="392"/>
      <c r="Y709" s="392"/>
      <c r="Z709" s="392"/>
      <c r="AA709" s="392"/>
      <c r="AB709" s="392"/>
      <c r="AC709" s="392"/>
      <c r="AD709" s="392"/>
      <c r="AE709" s="392"/>
      <c r="AF709" s="392"/>
    </row>
    <row r="710" ht="15.75" customHeight="1">
      <c r="A710" s="216"/>
      <c r="B710" s="156"/>
      <c r="C710" s="156"/>
      <c r="D710" s="156"/>
      <c r="E710" s="392"/>
      <c r="F710" s="392"/>
      <c r="G710" s="392"/>
      <c r="H710" s="392"/>
      <c r="I710" s="392"/>
      <c r="J710" s="392"/>
      <c r="K710" s="392"/>
      <c r="L710" s="392"/>
      <c r="M710" s="392"/>
      <c r="N710" s="392"/>
      <c r="O710" s="392"/>
      <c r="P710" s="392"/>
      <c r="Q710" s="392"/>
      <c r="R710" s="392"/>
      <c r="S710" s="392"/>
      <c r="T710" s="392"/>
      <c r="U710" s="392"/>
      <c r="V710" s="392"/>
      <c r="W710" s="392"/>
      <c r="X710" s="392"/>
      <c r="Y710" s="392"/>
      <c r="Z710" s="392"/>
      <c r="AA710" s="392"/>
      <c r="AB710" s="392"/>
      <c r="AC710" s="392"/>
      <c r="AD710" s="392"/>
      <c r="AE710" s="392"/>
      <c r="AF710" s="392"/>
    </row>
    <row r="711" ht="15.75" customHeight="1">
      <c r="A711" s="216"/>
      <c r="B711" s="156"/>
      <c r="C711" s="156"/>
      <c r="D711" s="156"/>
      <c r="E711" s="392"/>
      <c r="F711" s="392"/>
      <c r="G711" s="392"/>
      <c r="H711" s="392"/>
      <c r="I711" s="392"/>
      <c r="J711" s="392"/>
      <c r="K711" s="392"/>
      <c r="L711" s="392"/>
      <c r="M711" s="392"/>
      <c r="N711" s="392"/>
      <c r="O711" s="392"/>
      <c r="P711" s="392"/>
      <c r="Q711" s="392"/>
      <c r="R711" s="392"/>
      <c r="S711" s="392"/>
      <c r="T711" s="392"/>
      <c r="U711" s="392"/>
      <c r="V711" s="392"/>
      <c r="W711" s="392"/>
      <c r="X711" s="392"/>
      <c r="Y711" s="392"/>
      <c r="Z711" s="392"/>
      <c r="AA711" s="392"/>
      <c r="AB711" s="392"/>
      <c r="AC711" s="392"/>
      <c r="AD711" s="392"/>
      <c r="AE711" s="392"/>
      <c r="AF711" s="392"/>
    </row>
    <row r="712" ht="15.75" customHeight="1">
      <c r="A712" s="216"/>
      <c r="B712" s="156"/>
      <c r="C712" s="156"/>
      <c r="D712" s="156"/>
      <c r="E712" s="392"/>
      <c r="F712" s="392"/>
      <c r="G712" s="392"/>
      <c r="H712" s="392"/>
      <c r="I712" s="392"/>
      <c r="J712" s="392"/>
      <c r="K712" s="392"/>
      <c r="L712" s="392"/>
      <c r="M712" s="392"/>
      <c r="N712" s="392"/>
      <c r="O712" s="392"/>
      <c r="P712" s="392"/>
      <c r="Q712" s="392"/>
      <c r="R712" s="392"/>
      <c r="S712" s="392"/>
      <c r="T712" s="392"/>
      <c r="U712" s="392"/>
      <c r="V712" s="392"/>
      <c r="W712" s="392"/>
      <c r="X712" s="392"/>
      <c r="Y712" s="392"/>
      <c r="Z712" s="392"/>
      <c r="AA712" s="392"/>
      <c r="AB712" s="392"/>
      <c r="AC712" s="392"/>
      <c r="AD712" s="392"/>
      <c r="AE712" s="392"/>
      <c r="AF712" s="392"/>
    </row>
    <row r="713" ht="15.75" customHeight="1">
      <c r="A713" s="216"/>
      <c r="B713" s="156"/>
      <c r="C713" s="156"/>
      <c r="D713" s="156"/>
      <c r="E713" s="392"/>
      <c r="F713" s="392"/>
      <c r="G713" s="392"/>
      <c r="H713" s="392"/>
      <c r="I713" s="392"/>
      <c r="J713" s="392"/>
      <c r="K713" s="392"/>
      <c r="L713" s="392"/>
      <c r="M713" s="392"/>
      <c r="N713" s="392"/>
      <c r="O713" s="392"/>
      <c r="P713" s="392"/>
      <c r="Q713" s="392"/>
      <c r="R713" s="392"/>
      <c r="S713" s="392"/>
      <c r="T713" s="392"/>
      <c r="U713" s="392"/>
      <c r="V713" s="392"/>
      <c r="W713" s="392"/>
      <c r="X713" s="392"/>
      <c r="Y713" s="392"/>
      <c r="Z713" s="392"/>
      <c r="AA713" s="392"/>
      <c r="AB713" s="392"/>
      <c r="AC713" s="392"/>
      <c r="AD713" s="392"/>
      <c r="AE713" s="392"/>
      <c r="AF713" s="392"/>
    </row>
    <row r="714" ht="15.75" customHeight="1">
      <c r="A714" s="216"/>
      <c r="B714" s="156"/>
      <c r="C714" s="156"/>
      <c r="D714" s="156"/>
      <c r="E714" s="392"/>
      <c r="F714" s="392"/>
      <c r="G714" s="392"/>
      <c r="H714" s="392"/>
      <c r="I714" s="392"/>
      <c r="J714" s="392"/>
      <c r="K714" s="392"/>
      <c r="L714" s="392"/>
      <c r="M714" s="392"/>
      <c r="N714" s="392"/>
      <c r="O714" s="392"/>
      <c r="P714" s="392"/>
      <c r="Q714" s="392"/>
      <c r="R714" s="392"/>
      <c r="S714" s="392"/>
      <c r="T714" s="392"/>
      <c r="U714" s="392"/>
      <c r="V714" s="392"/>
      <c r="W714" s="392"/>
      <c r="X714" s="392"/>
      <c r="Y714" s="392"/>
      <c r="Z714" s="392"/>
      <c r="AA714" s="392"/>
      <c r="AB714" s="392"/>
      <c r="AC714" s="392"/>
      <c r="AD714" s="392"/>
      <c r="AE714" s="392"/>
      <c r="AF714" s="392"/>
    </row>
    <row r="715" ht="15.75" customHeight="1">
      <c r="A715" s="216"/>
      <c r="B715" s="156"/>
      <c r="C715" s="156"/>
      <c r="D715" s="156"/>
      <c r="E715" s="392"/>
      <c r="F715" s="392"/>
      <c r="G715" s="392"/>
      <c r="H715" s="392"/>
      <c r="I715" s="392"/>
      <c r="J715" s="392"/>
      <c r="K715" s="392"/>
      <c r="L715" s="392"/>
      <c r="M715" s="392"/>
      <c r="N715" s="392"/>
      <c r="O715" s="392"/>
      <c r="P715" s="392"/>
      <c r="Q715" s="392"/>
      <c r="R715" s="392"/>
      <c r="S715" s="392"/>
      <c r="T715" s="392"/>
      <c r="U715" s="392"/>
      <c r="V715" s="392"/>
      <c r="W715" s="392"/>
      <c r="X715" s="392"/>
      <c r="Y715" s="392"/>
      <c r="Z715" s="392"/>
      <c r="AA715" s="392"/>
      <c r="AB715" s="392"/>
      <c r="AC715" s="392"/>
      <c r="AD715" s="392"/>
      <c r="AE715" s="392"/>
      <c r="AF715" s="392"/>
    </row>
    <row r="716" ht="15.75" customHeight="1">
      <c r="A716" s="216"/>
      <c r="B716" s="156"/>
      <c r="C716" s="156"/>
      <c r="D716" s="156"/>
      <c r="E716" s="392"/>
      <c r="F716" s="392"/>
      <c r="G716" s="392"/>
      <c r="H716" s="392"/>
      <c r="I716" s="392"/>
      <c r="J716" s="392"/>
      <c r="K716" s="392"/>
      <c r="L716" s="392"/>
      <c r="M716" s="392"/>
      <c r="N716" s="392"/>
      <c r="O716" s="392"/>
      <c r="P716" s="392"/>
      <c r="Q716" s="392"/>
      <c r="R716" s="392"/>
      <c r="S716" s="392"/>
      <c r="T716" s="392"/>
      <c r="U716" s="392"/>
      <c r="V716" s="392"/>
      <c r="W716" s="392"/>
      <c r="X716" s="392"/>
      <c r="Y716" s="392"/>
      <c r="Z716" s="392"/>
      <c r="AA716" s="392"/>
      <c r="AB716" s="392"/>
      <c r="AC716" s="392"/>
      <c r="AD716" s="392"/>
      <c r="AE716" s="392"/>
      <c r="AF716" s="392"/>
    </row>
    <row r="717" ht="15.75" customHeight="1">
      <c r="A717" s="216"/>
      <c r="B717" s="156"/>
      <c r="C717" s="156"/>
      <c r="D717" s="156"/>
      <c r="E717" s="392"/>
      <c r="F717" s="392"/>
      <c r="G717" s="392"/>
      <c r="H717" s="392"/>
      <c r="I717" s="392"/>
      <c r="J717" s="392"/>
      <c r="K717" s="392"/>
      <c r="L717" s="392"/>
      <c r="M717" s="392"/>
      <c r="N717" s="392"/>
      <c r="O717" s="392"/>
      <c r="P717" s="392"/>
      <c r="Q717" s="392"/>
      <c r="R717" s="392"/>
      <c r="S717" s="392"/>
      <c r="T717" s="392"/>
      <c r="U717" s="392"/>
      <c r="V717" s="392"/>
      <c r="W717" s="392"/>
      <c r="X717" s="392"/>
      <c r="Y717" s="392"/>
      <c r="Z717" s="392"/>
      <c r="AA717" s="392"/>
      <c r="AB717" s="392"/>
      <c r="AC717" s="392"/>
      <c r="AD717" s="392"/>
      <c r="AE717" s="392"/>
      <c r="AF717" s="392"/>
    </row>
    <row r="718" ht="15.75" customHeight="1">
      <c r="A718" s="216"/>
      <c r="B718" s="156"/>
      <c r="C718" s="156"/>
      <c r="D718" s="156"/>
      <c r="E718" s="392"/>
      <c r="F718" s="392"/>
      <c r="G718" s="392"/>
      <c r="H718" s="392"/>
      <c r="I718" s="392"/>
      <c r="J718" s="392"/>
      <c r="K718" s="392"/>
      <c r="L718" s="392"/>
      <c r="M718" s="392"/>
      <c r="N718" s="392"/>
      <c r="O718" s="392"/>
      <c r="P718" s="392"/>
      <c r="Q718" s="392"/>
      <c r="R718" s="392"/>
      <c r="S718" s="392"/>
      <c r="T718" s="392"/>
      <c r="U718" s="392"/>
      <c r="V718" s="392"/>
      <c r="W718" s="392"/>
      <c r="X718" s="392"/>
      <c r="Y718" s="392"/>
      <c r="Z718" s="392"/>
      <c r="AA718" s="392"/>
      <c r="AB718" s="392"/>
      <c r="AC718" s="392"/>
      <c r="AD718" s="392"/>
      <c r="AE718" s="392"/>
      <c r="AF718" s="392"/>
    </row>
    <row r="719" ht="15.75" customHeight="1">
      <c r="A719" s="216"/>
      <c r="B719" s="156"/>
      <c r="C719" s="156"/>
      <c r="D719" s="156"/>
      <c r="E719" s="392"/>
      <c r="F719" s="392"/>
      <c r="G719" s="392"/>
      <c r="H719" s="392"/>
      <c r="I719" s="392"/>
      <c r="J719" s="392"/>
      <c r="K719" s="392"/>
      <c r="L719" s="392"/>
      <c r="M719" s="392"/>
      <c r="N719" s="392"/>
      <c r="O719" s="392"/>
      <c r="P719" s="392"/>
      <c r="Q719" s="392"/>
      <c r="R719" s="392"/>
      <c r="S719" s="392"/>
      <c r="T719" s="392"/>
      <c r="U719" s="392"/>
      <c r="V719" s="392"/>
      <c r="W719" s="392"/>
      <c r="X719" s="392"/>
      <c r="Y719" s="392"/>
      <c r="Z719" s="392"/>
      <c r="AA719" s="392"/>
      <c r="AB719" s="392"/>
      <c r="AC719" s="392"/>
      <c r="AD719" s="392"/>
      <c r="AE719" s="392"/>
      <c r="AF719" s="392"/>
    </row>
    <row r="720" ht="15.75" customHeight="1">
      <c r="A720" s="216"/>
      <c r="B720" s="156"/>
      <c r="C720" s="156"/>
      <c r="D720" s="156"/>
      <c r="E720" s="392"/>
      <c r="F720" s="392"/>
      <c r="G720" s="392"/>
      <c r="H720" s="392"/>
      <c r="I720" s="392"/>
      <c r="J720" s="392"/>
      <c r="K720" s="392"/>
      <c r="L720" s="392"/>
      <c r="M720" s="392"/>
      <c r="N720" s="392"/>
      <c r="O720" s="392"/>
      <c r="P720" s="392"/>
      <c r="Q720" s="392"/>
      <c r="R720" s="392"/>
      <c r="S720" s="392"/>
      <c r="T720" s="392"/>
      <c r="U720" s="392"/>
      <c r="V720" s="392"/>
      <c r="W720" s="392"/>
      <c r="X720" s="392"/>
      <c r="Y720" s="392"/>
      <c r="Z720" s="392"/>
      <c r="AA720" s="392"/>
      <c r="AB720" s="392"/>
      <c r="AC720" s="392"/>
      <c r="AD720" s="392"/>
      <c r="AE720" s="392"/>
      <c r="AF720" s="392"/>
    </row>
    <row r="721" ht="15.75" customHeight="1">
      <c r="A721" s="216"/>
      <c r="B721" s="156"/>
      <c r="C721" s="156"/>
      <c r="D721" s="156"/>
      <c r="E721" s="392"/>
      <c r="F721" s="392"/>
      <c r="G721" s="392"/>
      <c r="H721" s="392"/>
      <c r="I721" s="392"/>
      <c r="J721" s="392"/>
      <c r="K721" s="392"/>
      <c r="L721" s="392"/>
      <c r="M721" s="392"/>
      <c r="N721" s="392"/>
      <c r="O721" s="392"/>
      <c r="P721" s="392"/>
      <c r="Q721" s="392"/>
      <c r="R721" s="392"/>
      <c r="S721" s="392"/>
      <c r="T721" s="392"/>
      <c r="U721" s="392"/>
      <c r="V721" s="392"/>
      <c r="W721" s="392"/>
      <c r="X721" s="392"/>
      <c r="Y721" s="392"/>
      <c r="Z721" s="392"/>
      <c r="AA721" s="392"/>
      <c r="AB721" s="392"/>
      <c r="AC721" s="392"/>
      <c r="AD721" s="392"/>
      <c r="AE721" s="392"/>
      <c r="AF721" s="392"/>
    </row>
    <row r="722" ht="15.75" customHeight="1">
      <c r="A722" s="216"/>
      <c r="B722" s="156"/>
      <c r="C722" s="156"/>
      <c r="D722" s="156"/>
      <c r="E722" s="392"/>
      <c r="F722" s="392"/>
      <c r="G722" s="392"/>
      <c r="H722" s="392"/>
      <c r="I722" s="392"/>
      <c r="J722" s="392"/>
      <c r="K722" s="392"/>
      <c r="L722" s="392"/>
      <c r="M722" s="392"/>
      <c r="N722" s="392"/>
      <c r="O722" s="392"/>
      <c r="P722" s="392"/>
      <c r="Q722" s="392"/>
      <c r="R722" s="392"/>
      <c r="S722" s="392"/>
      <c r="T722" s="392"/>
      <c r="U722" s="392"/>
      <c r="V722" s="392"/>
      <c r="W722" s="392"/>
      <c r="X722" s="392"/>
      <c r="Y722" s="392"/>
      <c r="Z722" s="392"/>
      <c r="AA722" s="392"/>
      <c r="AB722" s="392"/>
      <c r="AC722" s="392"/>
      <c r="AD722" s="392"/>
      <c r="AE722" s="392"/>
      <c r="AF722" s="392"/>
    </row>
    <row r="723" ht="15.75" customHeight="1">
      <c r="A723" s="216"/>
      <c r="B723" s="156"/>
      <c r="C723" s="156"/>
      <c r="D723" s="156"/>
      <c r="E723" s="392"/>
      <c r="F723" s="392"/>
      <c r="G723" s="392"/>
      <c r="H723" s="392"/>
      <c r="I723" s="392"/>
      <c r="J723" s="392"/>
      <c r="K723" s="392"/>
      <c r="L723" s="392"/>
      <c r="M723" s="392"/>
      <c r="N723" s="392"/>
      <c r="O723" s="392"/>
      <c r="P723" s="392"/>
      <c r="Q723" s="392"/>
      <c r="R723" s="392"/>
      <c r="S723" s="392"/>
      <c r="T723" s="392"/>
      <c r="U723" s="392"/>
      <c r="V723" s="392"/>
      <c r="W723" s="392"/>
      <c r="X723" s="392"/>
      <c r="Y723" s="392"/>
      <c r="Z723" s="392"/>
      <c r="AA723" s="392"/>
      <c r="AB723" s="392"/>
      <c r="AC723" s="392"/>
      <c r="AD723" s="392"/>
      <c r="AE723" s="392"/>
      <c r="AF723" s="392"/>
    </row>
    <row r="724" ht="15.75" customHeight="1">
      <c r="A724" s="216"/>
      <c r="B724" s="156"/>
      <c r="C724" s="156"/>
      <c r="D724" s="156"/>
      <c r="E724" s="392"/>
      <c r="F724" s="392"/>
      <c r="G724" s="392"/>
      <c r="H724" s="392"/>
      <c r="I724" s="392"/>
      <c r="J724" s="392"/>
      <c r="K724" s="392"/>
      <c r="L724" s="392"/>
      <c r="M724" s="392"/>
      <c r="N724" s="392"/>
      <c r="O724" s="392"/>
      <c r="P724" s="392"/>
      <c r="Q724" s="392"/>
      <c r="R724" s="392"/>
      <c r="S724" s="392"/>
      <c r="T724" s="392"/>
      <c r="U724" s="392"/>
      <c r="V724" s="392"/>
      <c r="W724" s="392"/>
      <c r="X724" s="392"/>
      <c r="Y724" s="392"/>
      <c r="Z724" s="392"/>
      <c r="AA724" s="392"/>
      <c r="AB724" s="392"/>
      <c r="AC724" s="392"/>
      <c r="AD724" s="392"/>
      <c r="AE724" s="392"/>
      <c r="AF724" s="392"/>
    </row>
    <row r="725" ht="15.75" customHeight="1">
      <c r="A725" s="216"/>
      <c r="B725" s="156"/>
      <c r="C725" s="156"/>
      <c r="D725" s="156"/>
      <c r="E725" s="392"/>
      <c r="F725" s="392"/>
      <c r="G725" s="392"/>
      <c r="H725" s="392"/>
      <c r="I725" s="392"/>
      <c r="J725" s="392"/>
      <c r="K725" s="392"/>
      <c r="L725" s="392"/>
      <c r="M725" s="392"/>
      <c r="N725" s="392"/>
      <c r="O725" s="392"/>
      <c r="P725" s="392"/>
      <c r="Q725" s="392"/>
      <c r="R725" s="392"/>
      <c r="S725" s="392"/>
      <c r="T725" s="392"/>
      <c r="U725" s="392"/>
      <c r="V725" s="392"/>
      <c r="W725" s="392"/>
      <c r="X725" s="392"/>
      <c r="Y725" s="392"/>
      <c r="Z725" s="392"/>
      <c r="AA725" s="392"/>
      <c r="AB725" s="392"/>
      <c r="AC725" s="392"/>
      <c r="AD725" s="392"/>
      <c r="AE725" s="392"/>
      <c r="AF725" s="392"/>
    </row>
    <row r="726" ht="15.75" customHeight="1">
      <c r="A726" s="216"/>
      <c r="B726" s="156"/>
      <c r="C726" s="156"/>
      <c r="D726" s="156"/>
      <c r="E726" s="392"/>
      <c r="F726" s="392"/>
      <c r="G726" s="392"/>
      <c r="H726" s="392"/>
      <c r="I726" s="392"/>
      <c r="J726" s="392"/>
      <c r="K726" s="392"/>
      <c r="L726" s="392"/>
      <c r="M726" s="392"/>
      <c r="N726" s="392"/>
      <c r="O726" s="392"/>
      <c r="P726" s="392"/>
      <c r="Q726" s="392"/>
      <c r="R726" s="392"/>
      <c r="S726" s="392"/>
      <c r="T726" s="392"/>
      <c r="U726" s="392"/>
      <c r="V726" s="392"/>
      <c r="W726" s="392"/>
      <c r="X726" s="392"/>
      <c r="Y726" s="392"/>
      <c r="Z726" s="392"/>
      <c r="AA726" s="392"/>
      <c r="AB726" s="392"/>
      <c r="AC726" s="392"/>
      <c r="AD726" s="392"/>
      <c r="AE726" s="392"/>
      <c r="AF726" s="392"/>
    </row>
    <row r="727" ht="15.75" customHeight="1">
      <c r="A727" s="216"/>
      <c r="B727" s="156"/>
      <c r="C727" s="156"/>
      <c r="D727" s="156"/>
      <c r="E727" s="392"/>
      <c r="F727" s="392"/>
      <c r="G727" s="392"/>
      <c r="H727" s="392"/>
      <c r="I727" s="392"/>
      <c r="J727" s="392"/>
      <c r="K727" s="392"/>
      <c r="L727" s="392"/>
      <c r="M727" s="392"/>
      <c r="N727" s="392"/>
      <c r="O727" s="392"/>
      <c r="P727" s="392"/>
      <c r="Q727" s="392"/>
      <c r="R727" s="392"/>
      <c r="S727" s="392"/>
      <c r="T727" s="392"/>
      <c r="U727" s="392"/>
      <c r="V727" s="392"/>
      <c r="W727" s="392"/>
      <c r="X727" s="392"/>
      <c r="Y727" s="392"/>
      <c r="Z727" s="392"/>
      <c r="AA727" s="392"/>
      <c r="AB727" s="392"/>
      <c r="AC727" s="392"/>
      <c r="AD727" s="392"/>
      <c r="AE727" s="392"/>
      <c r="AF727" s="392"/>
    </row>
    <row r="728" ht="15.75" customHeight="1">
      <c r="A728" s="216"/>
      <c r="B728" s="156"/>
      <c r="C728" s="156"/>
      <c r="D728" s="156"/>
      <c r="E728" s="392"/>
      <c r="F728" s="392"/>
      <c r="G728" s="392"/>
      <c r="H728" s="392"/>
      <c r="I728" s="392"/>
      <c r="J728" s="392"/>
      <c r="K728" s="392"/>
      <c r="L728" s="392"/>
      <c r="M728" s="392"/>
      <c r="N728" s="392"/>
      <c r="O728" s="392"/>
      <c r="P728" s="392"/>
      <c r="Q728" s="392"/>
      <c r="R728" s="392"/>
      <c r="S728" s="392"/>
      <c r="T728" s="392"/>
      <c r="U728" s="392"/>
      <c r="V728" s="392"/>
      <c r="W728" s="392"/>
      <c r="X728" s="392"/>
      <c r="Y728" s="392"/>
      <c r="Z728" s="392"/>
      <c r="AA728" s="392"/>
      <c r="AB728" s="392"/>
      <c r="AC728" s="392"/>
      <c r="AD728" s="392"/>
      <c r="AE728" s="392"/>
      <c r="AF728" s="392"/>
    </row>
    <row r="729" ht="15.75" customHeight="1">
      <c r="A729" s="216"/>
      <c r="B729" s="156"/>
      <c r="C729" s="156"/>
      <c r="D729" s="156"/>
      <c r="E729" s="392"/>
      <c r="F729" s="392"/>
      <c r="G729" s="392"/>
      <c r="H729" s="392"/>
      <c r="I729" s="392"/>
      <c r="J729" s="392"/>
      <c r="K729" s="392"/>
      <c r="L729" s="392"/>
      <c r="M729" s="392"/>
      <c r="N729" s="392"/>
      <c r="O729" s="392"/>
      <c r="P729" s="392"/>
      <c r="Q729" s="392"/>
      <c r="R729" s="392"/>
      <c r="S729" s="392"/>
      <c r="T729" s="392"/>
      <c r="U729" s="392"/>
      <c r="V729" s="392"/>
      <c r="W729" s="392"/>
      <c r="X729" s="392"/>
      <c r="Y729" s="392"/>
      <c r="Z729" s="392"/>
      <c r="AA729" s="392"/>
      <c r="AB729" s="392"/>
      <c r="AC729" s="392"/>
      <c r="AD729" s="392"/>
      <c r="AE729" s="392"/>
      <c r="AF729" s="392"/>
    </row>
    <row r="730" ht="15.75" customHeight="1">
      <c r="A730" s="216"/>
      <c r="B730" s="156"/>
      <c r="C730" s="156"/>
      <c r="D730" s="156"/>
      <c r="E730" s="392"/>
      <c r="F730" s="392"/>
      <c r="G730" s="392"/>
      <c r="H730" s="392"/>
      <c r="I730" s="392"/>
      <c r="J730" s="392"/>
      <c r="K730" s="392"/>
      <c r="L730" s="392"/>
      <c r="M730" s="392"/>
      <c r="N730" s="392"/>
      <c r="O730" s="392"/>
      <c r="P730" s="392"/>
      <c r="Q730" s="392"/>
      <c r="R730" s="392"/>
      <c r="S730" s="392"/>
      <c r="T730" s="392"/>
      <c r="U730" s="392"/>
      <c r="V730" s="392"/>
      <c r="W730" s="392"/>
      <c r="X730" s="392"/>
      <c r="Y730" s="392"/>
      <c r="Z730" s="392"/>
      <c r="AA730" s="392"/>
      <c r="AB730" s="392"/>
      <c r="AC730" s="392"/>
      <c r="AD730" s="392"/>
      <c r="AE730" s="392"/>
      <c r="AF730" s="392"/>
    </row>
    <row r="731" ht="15.75" customHeight="1">
      <c r="A731" s="216"/>
      <c r="B731" s="156"/>
      <c r="C731" s="156"/>
      <c r="D731" s="156"/>
      <c r="E731" s="392"/>
      <c r="F731" s="392"/>
      <c r="G731" s="392"/>
      <c r="H731" s="392"/>
      <c r="I731" s="392"/>
      <c r="J731" s="392"/>
      <c r="K731" s="392"/>
      <c r="L731" s="392"/>
      <c r="M731" s="392"/>
      <c r="N731" s="392"/>
      <c r="O731" s="392"/>
      <c r="P731" s="392"/>
      <c r="Q731" s="392"/>
      <c r="R731" s="392"/>
      <c r="S731" s="392"/>
      <c r="T731" s="392"/>
      <c r="U731" s="392"/>
      <c r="V731" s="392"/>
      <c r="W731" s="392"/>
      <c r="X731" s="392"/>
      <c r="Y731" s="392"/>
      <c r="Z731" s="392"/>
      <c r="AA731" s="392"/>
      <c r="AB731" s="392"/>
      <c r="AC731" s="392"/>
      <c r="AD731" s="392"/>
      <c r="AE731" s="392"/>
      <c r="AF731" s="392"/>
    </row>
    <row r="732" ht="15.75" customHeight="1">
      <c r="A732" s="216"/>
      <c r="B732" s="156"/>
      <c r="C732" s="156"/>
      <c r="D732" s="156"/>
      <c r="E732" s="392"/>
      <c r="F732" s="392"/>
      <c r="G732" s="392"/>
      <c r="H732" s="392"/>
      <c r="I732" s="392"/>
      <c r="J732" s="392"/>
      <c r="K732" s="392"/>
      <c r="L732" s="392"/>
      <c r="M732" s="392"/>
      <c r="N732" s="392"/>
      <c r="O732" s="392"/>
      <c r="P732" s="392"/>
      <c r="Q732" s="392"/>
      <c r="R732" s="392"/>
      <c r="S732" s="392"/>
      <c r="T732" s="392"/>
      <c r="U732" s="392"/>
      <c r="V732" s="392"/>
      <c r="W732" s="392"/>
      <c r="X732" s="392"/>
      <c r="Y732" s="392"/>
      <c r="Z732" s="392"/>
      <c r="AA732" s="392"/>
      <c r="AB732" s="392"/>
      <c r="AC732" s="392"/>
      <c r="AD732" s="392"/>
      <c r="AE732" s="392"/>
      <c r="AF732" s="392"/>
    </row>
    <row r="733" ht="15.75" customHeight="1">
      <c r="A733" s="216"/>
      <c r="B733" s="156"/>
      <c r="C733" s="156"/>
      <c r="D733" s="156"/>
      <c r="E733" s="392"/>
      <c r="F733" s="392"/>
      <c r="G733" s="392"/>
      <c r="H733" s="392"/>
      <c r="I733" s="392"/>
      <c r="J733" s="392"/>
      <c r="K733" s="392"/>
      <c r="L733" s="392"/>
      <c r="M733" s="392"/>
      <c r="N733" s="392"/>
      <c r="O733" s="392"/>
      <c r="P733" s="392"/>
      <c r="Q733" s="392"/>
      <c r="R733" s="392"/>
      <c r="S733" s="392"/>
      <c r="T733" s="392"/>
      <c r="U733" s="392"/>
      <c r="V733" s="392"/>
      <c r="W733" s="392"/>
      <c r="X733" s="392"/>
      <c r="Y733" s="392"/>
      <c r="Z733" s="392"/>
      <c r="AA733" s="392"/>
      <c r="AB733" s="392"/>
      <c r="AC733" s="392"/>
      <c r="AD733" s="392"/>
      <c r="AE733" s="392"/>
      <c r="AF733" s="392"/>
    </row>
    <row r="734" ht="15.75" customHeight="1">
      <c r="A734" s="216"/>
      <c r="B734" s="156"/>
      <c r="C734" s="156"/>
      <c r="D734" s="156"/>
      <c r="E734" s="392"/>
      <c r="F734" s="392"/>
      <c r="G734" s="392"/>
      <c r="H734" s="392"/>
      <c r="I734" s="392"/>
      <c r="J734" s="392"/>
      <c r="K734" s="392"/>
      <c r="L734" s="392"/>
      <c r="M734" s="392"/>
      <c r="N734" s="392"/>
      <c r="O734" s="392"/>
      <c r="P734" s="392"/>
      <c r="Q734" s="392"/>
      <c r="R734" s="392"/>
      <c r="S734" s="392"/>
      <c r="T734" s="392"/>
      <c r="U734" s="392"/>
      <c r="V734" s="392"/>
      <c r="W734" s="392"/>
      <c r="X734" s="392"/>
      <c r="Y734" s="392"/>
      <c r="Z734" s="392"/>
      <c r="AA734" s="392"/>
      <c r="AB734" s="392"/>
      <c r="AC734" s="392"/>
      <c r="AD734" s="392"/>
      <c r="AE734" s="392"/>
      <c r="AF734" s="392"/>
    </row>
    <row r="735" ht="15.75" customHeight="1">
      <c r="A735" s="216"/>
      <c r="B735" s="156"/>
      <c r="C735" s="156"/>
      <c r="D735" s="156"/>
      <c r="E735" s="392"/>
      <c r="F735" s="392"/>
      <c r="G735" s="392"/>
      <c r="H735" s="392"/>
      <c r="I735" s="392"/>
      <c r="J735" s="392"/>
      <c r="K735" s="392"/>
      <c r="L735" s="392"/>
      <c r="M735" s="392"/>
      <c r="N735" s="392"/>
      <c r="O735" s="392"/>
      <c r="P735" s="392"/>
      <c r="Q735" s="392"/>
      <c r="R735" s="392"/>
      <c r="S735" s="392"/>
      <c r="T735" s="392"/>
      <c r="U735" s="392"/>
      <c r="V735" s="392"/>
      <c r="W735" s="392"/>
      <c r="X735" s="392"/>
      <c r="Y735" s="392"/>
      <c r="Z735" s="392"/>
      <c r="AA735" s="392"/>
      <c r="AB735" s="392"/>
      <c r="AC735" s="392"/>
      <c r="AD735" s="392"/>
      <c r="AE735" s="392"/>
      <c r="AF735" s="392"/>
    </row>
    <row r="736" ht="15.75" customHeight="1">
      <c r="A736" s="216"/>
      <c r="B736" s="156"/>
      <c r="C736" s="156"/>
      <c r="D736" s="156"/>
      <c r="E736" s="392"/>
      <c r="F736" s="392"/>
      <c r="G736" s="392"/>
      <c r="H736" s="392"/>
      <c r="I736" s="392"/>
      <c r="J736" s="392"/>
      <c r="K736" s="392"/>
      <c r="L736" s="392"/>
      <c r="M736" s="392"/>
      <c r="N736" s="392"/>
      <c r="O736" s="392"/>
      <c r="P736" s="392"/>
      <c r="Q736" s="392"/>
      <c r="R736" s="392"/>
      <c r="S736" s="392"/>
      <c r="T736" s="392"/>
      <c r="U736" s="392"/>
      <c r="V736" s="392"/>
      <c r="W736" s="392"/>
      <c r="X736" s="392"/>
      <c r="Y736" s="392"/>
      <c r="Z736" s="392"/>
      <c r="AA736" s="392"/>
      <c r="AB736" s="392"/>
      <c r="AC736" s="392"/>
      <c r="AD736" s="392"/>
      <c r="AE736" s="392"/>
      <c r="AF736" s="392"/>
    </row>
    <row r="737" ht="15.75" customHeight="1">
      <c r="A737" s="216"/>
      <c r="B737" s="156"/>
      <c r="C737" s="156"/>
      <c r="D737" s="156"/>
      <c r="E737" s="392"/>
      <c r="F737" s="392"/>
      <c r="G737" s="392"/>
      <c r="H737" s="392"/>
      <c r="I737" s="392"/>
      <c r="J737" s="392"/>
      <c r="K737" s="392"/>
      <c r="L737" s="392"/>
      <c r="M737" s="392"/>
      <c r="N737" s="392"/>
      <c r="O737" s="392"/>
      <c r="P737" s="392"/>
      <c r="Q737" s="392"/>
      <c r="R737" s="392"/>
      <c r="S737" s="392"/>
      <c r="T737" s="392"/>
      <c r="U737" s="392"/>
      <c r="V737" s="392"/>
      <c r="W737" s="392"/>
      <c r="X737" s="392"/>
      <c r="Y737" s="392"/>
      <c r="Z737" s="392"/>
      <c r="AA737" s="392"/>
      <c r="AB737" s="392"/>
      <c r="AC737" s="392"/>
      <c r="AD737" s="392"/>
      <c r="AE737" s="392"/>
      <c r="AF737" s="392"/>
    </row>
    <row r="738" ht="15.75" customHeight="1">
      <c r="A738" s="216"/>
      <c r="B738" s="156"/>
      <c r="C738" s="156"/>
      <c r="D738" s="156"/>
      <c r="E738" s="392"/>
      <c r="F738" s="392"/>
      <c r="G738" s="392"/>
      <c r="H738" s="392"/>
      <c r="I738" s="392"/>
      <c r="J738" s="392"/>
      <c r="K738" s="392"/>
      <c r="L738" s="392"/>
      <c r="M738" s="392"/>
      <c r="N738" s="392"/>
      <c r="O738" s="392"/>
      <c r="P738" s="392"/>
      <c r="Q738" s="392"/>
      <c r="R738" s="392"/>
      <c r="S738" s="392"/>
      <c r="T738" s="392"/>
      <c r="U738" s="392"/>
      <c r="V738" s="392"/>
      <c r="W738" s="392"/>
      <c r="X738" s="392"/>
      <c r="Y738" s="392"/>
      <c r="Z738" s="392"/>
      <c r="AA738" s="392"/>
      <c r="AB738" s="392"/>
      <c r="AC738" s="392"/>
      <c r="AD738" s="392"/>
      <c r="AE738" s="392"/>
      <c r="AF738" s="392"/>
    </row>
    <row r="739" ht="15.75" customHeight="1">
      <c r="A739" s="216"/>
      <c r="B739" s="156"/>
      <c r="C739" s="156"/>
      <c r="D739" s="156"/>
      <c r="E739" s="392"/>
      <c r="F739" s="392"/>
      <c r="G739" s="392"/>
      <c r="H739" s="392"/>
      <c r="I739" s="392"/>
      <c r="J739" s="392"/>
      <c r="K739" s="392"/>
      <c r="L739" s="392"/>
      <c r="M739" s="392"/>
      <c r="N739" s="392"/>
      <c r="O739" s="392"/>
      <c r="P739" s="392"/>
      <c r="Q739" s="392"/>
      <c r="R739" s="392"/>
      <c r="S739" s="392"/>
      <c r="T739" s="392"/>
      <c r="U739" s="392"/>
      <c r="V739" s="392"/>
      <c r="W739" s="392"/>
      <c r="X739" s="392"/>
      <c r="Y739" s="392"/>
      <c r="Z739" s="392"/>
      <c r="AA739" s="392"/>
      <c r="AB739" s="392"/>
      <c r="AC739" s="392"/>
      <c r="AD739" s="392"/>
      <c r="AE739" s="392"/>
      <c r="AF739" s="392"/>
    </row>
    <row r="740" ht="15.75" customHeight="1">
      <c r="A740" s="216"/>
      <c r="B740" s="156"/>
      <c r="C740" s="156"/>
      <c r="D740" s="156"/>
      <c r="E740" s="392"/>
      <c r="F740" s="392"/>
      <c r="G740" s="392"/>
      <c r="H740" s="392"/>
      <c r="I740" s="392"/>
      <c r="J740" s="392"/>
      <c r="K740" s="392"/>
      <c r="L740" s="392"/>
      <c r="M740" s="392"/>
      <c r="N740" s="392"/>
      <c r="O740" s="392"/>
      <c r="P740" s="392"/>
      <c r="Q740" s="392"/>
      <c r="R740" s="392"/>
      <c r="S740" s="392"/>
      <c r="T740" s="392"/>
      <c r="U740" s="392"/>
      <c r="V740" s="392"/>
      <c r="W740" s="392"/>
      <c r="X740" s="392"/>
      <c r="Y740" s="392"/>
      <c r="Z740" s="392"/>
      <c r="AA740" s="392"/>
      <c r="AB740" s="392"/>
      <c r="AC740" s="392"/>
      <c r="AD740" s="392"/>
      <c r="AE740" s="392"/>
      <c r="AF740" s="392"/>
    </row>
    <row r="741" ht="15.75" customHeight="1">
      <c r="A741" s="216"/>
      <c r="B741" s="156"/>
      <c r="C741" s="156"/>
      <c r="D741" s="156"/>
      <c r="E741" s="392"/>
      <c r="F741" s="392"/>
      <c r="G741" s="392"/>
      <c r="H741" s="392"/>
      <c r="I741" s="392"/>
      <c r="J741" s="392"/>
      <c r="K741" s="392"/>
      <c r="L741" s="392"/>
      <c r="M741" s="392"/>
      <c r="N741" s="392"/>
      <c r="O741" s="392"/>
      <c r="P741" s="392"/>
      <c r="Q741" s="392"/>
      <c r="R741" s="392"/>
      <c r="S741" s="392"/>
      <c r="T741" s="392"/>
      <c r="U741" s="392"/>
      <c r="V741" s="392"/>
      <c r="W741" s="392"/>
      <c r="X741" s="392"/>
      <c r="Y741" s="392"/>
      <c r="Z741" s="392"/>
      <c r="AA741" s="392"/>
      <c r="AB741" s="392"/>
      <c r="AC741" s="392"/>
      <c r="AD741" s="392"/>
      <c r="AE741" s="392"/>
      <c r="AF741" s="392"/>
    </row>
    <row r="742" ht="15.75" customHeight="1">
      <c r="A742" s="216"/>
      <c r="B742" s="156"/>
      <c r="C742" s="156"/>
      <c r="D742" s="156"/>
      <c r="E742" s="392"/>
      <c r="F742" s="392"/>
      <c r="G742" s="392"/>
      <c r="H742" s="392"/>
      <c r="I742" s="392"/>
      <c r="J742" s="392"/>
      <c r="K742" s="392"/>
      <c r="L742" s="392"/>
      <c r="M742" s="392"/>
      <c r="N742" s="392"/>
      <c r="O742" s="392"/>
      <c r="P742" s="392"/>
      <c r="Q742" s="392"/>
      <c r="R742" s="392"/>
      <c r="S742" s="392"/>
      <c r="T742" s="392"/>
      <c r="U742" s="392"/>
      <c r="V742" s="392"/>
      <c r="W742" s="392"/>
      <c r="X742" s="392"/>
      <c r="Y742" s="392"/>
      <c r="Z742" s="392"/>
      <c r="AA742" s="392"/>
      <c r="AB742" s="392"/>
      <c r="AC742" s="392"/>
      <c r="AD742" s="392"/>
      <c r="AE742" s="392"/>
      <c r="AF742" s="392"/>
    </row>
    <row r="743" ht="15.75" customHeight="1">
      <c r="A743" s="216"/>
      <c r="B743" s="156"/>
      <c r="C743" s="156"/>
      <c r="D743" s="156"/>
      <c r="E743" s="392"/>
      <c r="F743" s="392"/>
      <c r="G743" s="392"/>
      <c r="H743" s="392"/>
      <c r="I743" s="392"/>
      <c r="J743" s="392"/>
      <c r="K743" s="392"/>
      <c r="L743" s="392"/>
      <c r="M743" s="392"/>
      <c r="N743" s="392"/>
      <c r="O743" s="392"/>
      <c r="P743" s="392"/>
      <c r="Q743" s="392"/>
      <c r="R743" s="392"/>
      <c r="S743" s="392"/>
      <c r="T743" s="392"/>
      <c r="U743" s="392"/>
      <c r="V743" s="392"/>
      <c r="W743" s="392"/>
      <c r="X743" s="392"/>
      <c r="Y743" s="392"/>
      <c r="Z743" s="392"/>
      <c r="AA743" s="392"/>
      <c r="AB743" s="392"/>
      <c r="AC743" s="392"/>
      <c r="AD743" s="392"/>
      <c r="AE743" s="392"/>
      <c r="AF743" s="392"/>
    </row>
    <row r="744" ht="15.75" customHeight="1">
      <c r="A744" s="216"/>
      <c r="B744" s="156"/>
      <c r="C744" s="156"/>
      <c r="D744" s="156"/>
      <c r="E744" s="392"/>
      <c r="F744" s="392"/>
      <c r="G744" s="392"/>
      <c r="H744" s="392"/>
      <c r="I744" s="392"/>
      <c r="J744" s="392"/>
      <c r="K744" s="392"/>
      <c r="L744" s="392"/>
      <c r="M744" s="392"/>
      <c r="N744" s="392"/>
      <c r="O744" s="392"/>
      <c r="P744" s="392"/>
      <c r="Q744" s="392"/>
      <c r="R744" s="392"/>
      <c r="S744" s="392"/>
      <c r="T744" s="392"/>
      <c r="U744" s="392"/>
      <c r="V744" s="392"/>
      <c r="W744" s="392"/>
      <c r="X744" s="392"/>
      <c r="Y744" s="392"/>
      <c r="Z744" s="392"/>
      <c r="AA744" s="392"/>
      <c r="AB744" s="392"/>
      <c r="AC744" s="392"/>
      <c r="AD744" s="392"/>
      <c r="AE744" s="392"/>
      <c r="AF744" s="392"/>
    </row>
    <row r="745" ht="15.75" customHeight="1">
      <c r="A745" s="216"/>
      <c r="B745" s="156"/>
      <c r="C745" s="156"/>
      <c r="D745" s="156"/>
      <c r="E745" s="392"/>
      <c r="F745" s="392"/>
      <c r="G745" s="392"/>
      <c r="H745" s="392"/>
      <c r="I745" s="392"/>
      <c r="J745" s="392"/>
      <c r="K745" s="392"/>
      <c r="L745" s="392"/>
      <c r="M745" s="392"/>
      <c r="N745" s="392"/>
      <c r="O745" s="392"/>
      <c r="P745" s="392"/>
      <c r="Q745" s="392"/>
      <c r="R745" s="392"/>
      <c r="S745" s="392"/>
      <c r="T745" s="392"/>
      <c r="U745" s="392"/>
      <c r="V745" s="392"/>
      <c r="W745" s="392"/>
      <c r="X745" s="392"/>
      <c r="Y745" s="392"/>
      <c r="Z745" s="392"/>
      <c r="AA745" s="392"/>
      <c r="AB745" s="392"/>
      <c r="AC745" s="392"/>
      <c r="AD745" s="392"/>
      <c r="AE745" s="392"/>
      <c r="AF745" s="392"/>
    </row>
    <row r="746" ht="15.75" customHeight="1">
      <c r="A746" s="216"/>
      <c r="B746" s="156"/>
      <c r="C746" s="156"/>
      <c r="D746" s="156"/>
      <c r="E746" s="392"/>
      <c r="F746" s="392"/>
      <c r="G746" s="392"/>
      <c r="H746" s="392"/>
      <c r="I746" s="392"/>
      <c r="J746" s="392"/>
      <c r="K746" s="392"/>
      <c r="L746" s="392"/>
      <c r="M746" s="392"/>
      <c r="N746" s="392"/>
      <c r="O746" s="392"/>
      <c r="P746" s="392"/>
      <c r="Q746" s="392"/>
      <c r="R746" s="392"/>
      <c r="S746" s="392"/>
      <c r="T746" s="392"/>
      <c r="U746" s="392"/>
      <c r="V746" s="392"/>
      <c r="W746" s="392"/>
      <c r="X746" s="392"/>
      <c r="Y746" s="392"/>
      <c r="Z746" s="392"/>
      <c r="AA746" s="392"/>
      <c r="AB746" s="392"/>
      <c r="AC746" s="392"/>
      <c r="AD746" s="392"/>
      <c r="AE746" s="392"/>
      <c r="AF746" s="392"/>
    </row>
    <row r="747" ht="15.75" customHeight="1">
      <c r="A747" s="216"/>
      <c r="B747" s="156"/>
      <c r="C747" s="156"/>
      <c r="D747" s="156"/>
      <c r="E747" s="392"/>
      <c r="F747" s="392"/>
      <c r="G747" s="392"/>
      <c r="H747" s="392"/>
      <c r="I747" s="392"/>
      <c r="J747" s="392"/>
      <c r="K747" s="392"/>
      <c r="L747" s="392"/>
      <c r="M747" s="392"/>
      <c r="N747" s="392"/>
      <c r="O747" s="392"/>
      <c r="P747" s="392"/>
      <c r="Q747" s="392"/>
      <c r="R747" s="392"/>
      <c r="S747" s="392"/>
      <c r="T747" s="392"/>
      <c r="U747" s="392"/>
      <c r="V747" s="392"/>
      <c r="W747" s="392"/>
      <c r="X747" s="392"/>
      <c r="Y747" s="392"/>
      <c r="Z747" s="392"/>
      <c r="AA747" s="392"/>
      <c r="AB747" s="392"/>
      <c r="AC747" s="392"/>
      <c r="AD747" s="392"/>
      <c r="AE747" s="392"/>
      <c r="AF747" s="392"/>
    </row>
    <row r="748" ht="15.75" customHeight="1">
      <c r="A748" s="216"/>
      <c r="B748" s="156"/>
      <c r="C748" s="156"/>
      <c r="D748" s="156"/>
      <c r="E748" s="392"/>
      <c r="F748" s="392"/>
      <c r="G748" s="392"/>
      <c r="H748" s="392"/>
      <c r="I748" s="392"/>
      <c r="J748" s="392"/>
      <c r="K748" s="392"/>
      <c r="L748" s="392"/>
      <c r="M748" s="392"/>
      <c r="N748" s="392"/>
      <c r="O748" s="392"/>
      <c r="P748" s="392"/>
      <c r="Q748" s="392"/>
      <c r="R748" s="392"/>
      <c r="S748" s="392"/>
      <c r="T748" s="392"/>
      <c r="U748" s="392"/>
      <c r="V748" s="392"/>
      <c r="W748" s="392"/>
      <c r="X748" s="392"/>
      <c r="Y748" s="392"/>
      <c r="Z748" s="392"/>
      <c r="AA748" s="392"/>
      <c r="AB748" s="392"/>
      <c r="AC748" s="392"/>
      <c r="AD748" s="392"/>
      <c r="AE748" s="392"/>
      <c r="AF748" s="392"/>
    </row>
    <row r="749" ht="15.75" customHeight="1">
      <c r="A749" s="216"/>
      <c r="B749" s="156"/>
      <c r="C749" s="156"/>
      <c r="D749" s="156"/>
      <c r="E749" s="392"/>
      <c r="F749" s="392"/>
      <c r="G749" s="392"/>
      <c r="H749" s="392"/>
      <c r="I749" s="392"/>
      <c r="J749" s="392"/>
      <c r="K749" s="392"/>
      <c r="L749" s="392"/>
      <c r="M749" s="392"/>
      <c r="N749" s="392"/>
      <c r="O749" s="392"/>
      <c r="P749" s="392"/>
      <c r="Q749" s="392"/>
      <c r="R749" s="392"/>
      <c r="S749" s="392"/>
      <c r="T749" s="392"/>
      <c r="U749" s="392"/>
      <c r="V749" s="392"/>
      <c r="W749" s="392"/>
      <c r="X749" s="392"/>
      <c r="Y749" s="392"/>
      <c r="Z749" s="392"/>
      <c r="AA749" s="392"/>
      <c r="AB749" s="392"/>
      <c r="AC749" s="392"/>
      <c r="AD749" s="392"/>
      <c r="AE749" s="392"/>
      <c r="AF749" s="392"/>
    </row>
    <row r="750" ht="15.75" customHeight="1">
      <c r="A750" s="216"/>
      <c r="B750" s="156"/>
      <c r="C750" s="156"/>
      <c r="D750" s="156"/>
      <c r="E750" s="392"/>
      <c r="F750" s="392"/>
      <c r="G750" s="392"/>
      <c r="H750" s="392"/>
      <c r="I750" s="392"/>
      <c r="J750" s="392"/>
      <c r="K750" s="392"/>
      <c r="L750" s="392"/>
      <c r="M750" s="392"/>
      <c r="N750" s="392"/>
      <c r="O750" s="392"/>
      <c r="P750" s="392"/>
      <c r="Q750" s="392"/>
      <c r="R750" s="392"/>
      <c r="S750" s="392"/>
      <c r="T750" s="392"/>
      <c r="U750" s="392"/>
      <c r="V750" s="392"/>
      <c r="W750" s="392"/>
      <c r="X750" s="392"/>
      <c r="Y750" s="392"/>
      <c r="Z750" s="392"/>
      <c r="AA750" s="392"/>
      <c r="AB750" s="392"/>
      <c r="AC750" s="392"/>
      <c r="AD750" s="392"/>
      <c r="AE750" s="392"/>
      <c r="AF750" s="392"/>
    </row>
    <row r="751" ht="15.75" customHeight="1">
      <c r="A751" s="216"/>
      <c r="B751" s="156"/>
      <c r="C751" s="156"/>
      <c r="D751" s="156"/>
      <c r="E751" s="392"/>
      <c r="F751" s="392"/>
      <c r="G751" s="392"/>
      <c r="H751" s="392"/>
      <c r="I751" s="392"/>
      <c r="J751" s="392"/>
      <c r="K751" s="392"/>
      <c r="L751" s="392"/>
      <c r="M751" s="392"/>
      <c r="N751" s="392"/>
      <c r="O751" s="392"/>
      <c r="P751" s="392"/>
      <c r="Q751" s="392"/>
      <c r="R751" s="392"/>
      <c r="S751" s="392"/>
      <c r="T751" s="392"/>
      <c r="U751" s="392"/>
      <c r="V751" s="392"/>
      <c r="W751" s="392"/>
      <c r="X751" s="392"/>
      <c r="Y751" s="392"/>
      <c r="Z751" s="392"/>
      <c r="AA751" s="392"/>
      <c r="AB751" s="392"/>
      <c r="AC751" s="392"/>
      <c r="AD751" s="392"/>
      <c r="AE751" s="392"/>
      <c r="AF751" s="392"/>
    </row>
    <row r="752" ht="15.75" customHeight="1">
      <c r="A752" s="216"/>
      <c r="B752" s="156"/>
      <c r="C752" s="156"/>
      <c r="D752" s="156"/>
      <c r="E752" s="392"/>
      <c r="F752" s="392"/>
      <c r="G752" s="392"/>
      <c r="H752" s="392"/>
      <c r="I752" s="392"/>
      <c r="J752" s="392"/>
      <c r="K752" s="392"/>
      <c r="L752" s="392"/>
      <c r="M752" s="392"/>
      <c r="N752" s="392"/>
      <c r="O752" s="392"/>
      <c r="P752" s="392"/>
      <c r="Q752" s="392"/>
      <c r="R752" s="392"/>
      <c r="S752" s="392"/>
      <c r="T752" s="392"/>
      <c r="U752" s="392"/>
      <c r="V752" s="392"/>
      <c r="W752" s="392"/>
      <c r="X752" s="392"/>
      <c r="Y752" s="392"/>
      <c r="Z752" s="392"/>
      <c r="AA752" s="392"/>
      <c r="AB752" s="392"/>
      <c r="AC752" s="392"/>
      <c r="AD752" s="392"/>
      <c r="AE752" s="392"/>
      <c r="AF752" s="392"/>
    </row>
    <row r="753" ht="15.75" customHeight="1">
      <c r="A753" s="216"/>
      <c r="B753" s="156"/>
      <c r="C753" s="156"/>
      <c r="D753" s="156"/>
      <c r="E753" s="392"/>
      <c r="F753" s="392"/>
      <c r="G753" s="392"/>
      <c r="H753" s="392"/>
      <c r="I753" s="392"/>
      <c r="J753" s="392"/>
      <c r="K753" s="392"/>
      <c r="L753" s="392"/>
      <c r="M753" s="392"/>
      <c r="N753" s="392"/>
      <c r="O753" s="392"/>
      <c r="P753" s="392"/>
      <c r="Q753" s="392"/>
      <c r="R753" s="392"/>
      <c r="S753" s="392"/>
      <c r="T753" s="392"/>
      <c r="U753" s="392"/>
      <c r="V753" s="392"/>
      <c r="W753" s="392"/>
      <c r="X753" s="392"/>
      <c r="Y753" s="392"/>
      <c r="Z753" s="392"/>
      <c r="AA753" s="392"/>
      <c r="AB753" s="392"/>
      <c r="AC753" s="392"/>
      <c r="AD753" s="392"/>
      <c r="AE753" s="392"/>
      <c r="AF753" s="392"/>
    </row>
    <row r="754" ht="15.75" customHeight="1">
      <c r="A754" s="216"/>
      <c r="B754" s="156"/>
      <c r="C754" s="156"/>
      <c r="D754" s="156"/>
      <c r="E754" s="392"/>
      <c r="F754" s="392"/>
      <c r="G754" s="392"/>
      <c r="H754" s="392"/>
      <c r="I754" s="392"/>
      <c r="J754" s="392"/>
      <c r="K754" s="392"/>
      <c r="L754" s="392"/>
      <c r="M754" s="392"/>
      <c r="N754" s="392"/>
      <c r="O754" s="392"/>
      <c r="P754" s="392"/>
      <c r="Q754" s="392"/>
      <c r="R754" s="392"/>
      <c r="S754" s="392"/>
      <c r="T754" s="392"/>
      <c r="U754" s="392"/>
      <c r="V754" s="392"/>
      <c r="W754" s="392"/>
      <c r="X754" s="392"/>
      <c r="Y754" s="392"/>
      <c r="Z754" s="392"/>
      <c r="AA754" s="392"/>
      <c r="AB754" s="392"/>
      <c r="AC754" s="392"/>
      <c r="AD754" s="392"/>
      <c r="AE754" s="392"/>
      <c r="AF754" s="392"/>
    </row>
    <row r="755" ht="15.75" customHeight="1">
      <c r="A755" s="216"/>
      <c r="B755" s="156"/>
      <c r="C755" s="156"/>
      <c r="D755" s="156"/>
      <c r="E755" s="392"/>
      <c r="F755" s="392"/>
      <c r="G755" s="392"/>
      <c r="H755" s="392"/>
      <c r="I755" s="392"/>
      <c r="J755" s="392"/>
      <c r="K755" s="392"/>
      <c r="L755" s="392"/>
      <c r="M755" s="392"/>
      <c r="N755" s="392"/>
      <c r="O755" s="392"/>
      <c r="P755" s="392"/>
      <c r="Q755" s="392"/>
      <c r="R755" s="392"/>
      <c r="S755" s="392"/>
      <c r="T755" s="392"/>
      <c r="U755" s="392"/>
      <c r="V755" s="392"/>
      <c r="W755" s="392"/>
      <c r="X755" s="392"/>
      <c r="Y755" s="392"/>
      <c r="Z755" s="392"/>
      <c r="AA755" s="392"/>
      <c r="AB755" s="392"/>
      <c r="AC755" s="392"/>
      <c r="AD755" s="392"/>
      <c r="AE755" s="392"/>
      <c r="AF755" s="392"/>
    </row>
    <row r="756" ht="15.75" customHeight="1">
      <c r="A756" s="216"/>
      <c r="B756" s="156"/>
      <c r="C756" s="156"/>
      <c r="D756" s="156"/>
      <c r="E756" s="392"/>
      <c r="F756" s="392"/>
      <c r="G756" s="392"/>
      <c r="H756" s="392"/>
      <c r="I756" s="392"/>
      <c r="J756" s="392"/>
      <c r="K756" s="392"/>
      <c r="L756" s="392"/>
      <c r="M756" s="392"/>
      <c r="N756" s="392"/>
      <c r="O756" s="392"/>
      <c r="P756" s="392"/>
      <c r="Q756" s="392"/>
      <c r="R756" s="392"/>
      <c r="S756" s="392"/>
      <c r="T756" s="392"/>
      <c r="U756" s="392"/>
      <c r="V756" s="392"/>
      <c r="W756" s="392"/>
      <c r="X756" s="392"/>
      <c r="Y756" s="392"/>
      <c r="Z756" s="392"/>
      <c r="AA756" s="392"/>
      <c r="AB756" s="392"/>
      <c r="AC756" s="392"/>
      <c r="AD756" s="392"/>
      <c r="AE756" s="392"/>
      <c r="AF756" s="392"/>
    </row>
    <row r="757" ht="15.75" customHeight="1">
      <c r="A757" s="216"/>
      <c r="B757" s="156"/>
      <c r="C757" s="156"/>
      <c r="D757" s="156"/>
      <c r="E757" s="392"/>
      <c r="F757" s="392"/>
      <c r="G757" s="392"/>
      <c r="H757" s="392"/>
      <c r="I757" s="392"/>
      <c r="J757" s="392"/>
      <c r="K757" s="392"/>
      <c r="L757" s="392"/>
      <c r="M757" s="392"/>
      <c r="N757" s="392"/>
      <c r="O757" s="392"/>
      <c r="P757" s="392"/>
      <c r="Q757" s="392"/>
      <c r="R757" s="392"/>
      <c r="S757" s="392"/>
      <c r="T757" s="392"/>
      <c r="U757" s="392"/>
      <c r="V757" s="392"/>
      <c r="W757" s="392"/>
      <c r="X757" s="392"/>
      <c r="Y757" s="392"/>
      <c r="Z757" s="392"/>
      <c r="AA757" s="392"/>
      <c r="AB757" s="392"/>
      <c r="AC757" s="392"/>
      <c r="AD757" s="392"/>
      <c r="AE757" s="392"/>
      <c r="AF757" s="392"/>
    </row>
    <row r="758" ht="15.75" customHeight="1">
      <c r="A758" s="216"/>
      <c r="B758" s="156"/>
      <c r="C758" s="156"/>
      <c r="D758" s="156"/>
      <c r="E758" s="392"/>
      <c r="F758" s="392"/>
      <c r="G758" s="392"/>
      <c r="H758" s="392"/>
      <c r="I758" s="392"/>
      <c r="J758" s="392"/>
      <c r="K758" s="392"/>
      <c r="L758" s="392"/>
      <c r="M758" s="392"/>
      <c r="N758" s="392"/>
      <c r="O758" s="392"/>
      <c r="P758" s="392"/>
      <c r="Q758" s="392"/>
      <c r="R758" s="392"/>
      <c r="S758" s="392"/>
      <c r="T758" s="392"/>
      <c r="U758" s="392"/>
      <c r="V758" s="392"/>
      <c r="W758" s="392"/>
      <c r="X758" s="392"/>
      <c r="Y758" s="392"/>
      <c r="Z758" s="392"/>
      <c r="AA758" s="392"/>
      <c r="AB758" s="392"/>
      <c r="AC758" s="392"/>
      <c r="AD758" s="392"/>
      <c r="AE758" s="392"/>
      <c r="AF758" s="392"/>
    </row>
    <row r="759" ht="15.75" customHeight="1">
      <c r="A759" s="216"/>
      <c r="B759" s="156"/>
      <c r="C759" s="156"/>
      <c r="D759" s="156"/>
      <c r="E759" s="392"/>
      <c r="F759" s="392"/>
      <c r="G759" s="392"/>
      <c r="H759" s="392"/>
      <c r="I759" s="392"/>
      <c r="J759" s="392"/>
      <c r="K759" s="392"/>
      <c r="L759" s="392"/>
      <c r="M759" s="392"/>
      <c r="N759" s="392"/>
      <c r="O759" s="392"/>
      <c r="P759" s="392"/>
      <c r="Q759" s="392"/>
      <c r="R759" s="392"/>
      <c r="S759" s="392"/>
      <c r="T759" s="392"/>
      <c r="U759" s="392"/>
      <c r="V759" s="392"/>
      <c r="W759" s="392"/>
      <c r="X759" s="392"/>
      <c r="Y759" s="392"/>
      <c r="Z759" s="392"/>
      <c r="AA759" s="392"/>
      <c r="AB759" s="392"/>
      <c r="AC759" s="392"/>
      <c r="AD759" s="392"/>
      <c r="AE759" s="392"/>
      <c r="AF759" s="392"/>
    </row>
    <row r="760" ht="15.75" customHeight="1">
      <c r="A760" s="216"/>
      <c r="B760" s="156"/>
      <c r="C760" s="156"/>
      <c r="D760" s="156"/>
      <c r="E760" s="392"/>
      <c r="F760" s="392"/>
      <c r="G760" s="392"/>
      <c r="H760" s="392"/>
      <c r="I760" s="392"/>
      <c r="J760" s="392"/>
      <c r="K760" s="392"/>
      <c r="L760" s="392"/>
      <c r="M760" s="392"/>
      <c r="N760" s="392"/>
      <c r="O760" s="392"/>
      <c r="P760" s="392"/>
      <c r="Q760" s="392"/>
      <c r="R760" s="392"/>
      <c r="S760" s="392"/>
      <c r="T760" s="392"/>
      <c r="U760" s="392"/>
      <c r="V760" s="392"/>
      <c r="W760" s="392"/>
      <c r="X760" s="392"/>
      <c r="Y760" s="392"/>
      <c r="Z760" s="392"/>
      <c r="AA760" s="392"/>
      <c r="AB760" s="392"/>
      <c r="AC760" s="392"/>
      <c r="AD760" s="392"/>
      <c r="AE760" s="392"/>
      <c r="AF760" s="392"/>
    </row>
    <row r="761" ht="15.75" customHeight="1">
      <c r="A761" s="216"/>
      <c r="B761" s="156"/>
      <c r="C761" s="156"/>
      <c r="D761" s="156"/>
      <c r="E761" s="392"/>
      <c r="F761" s="392"/>
      <c r="G761" s="392"/>
      <c r="H761" s="392"/>
      <c r="I761" s="392"/>
      <c r="J761" s="392"/>
      <c r="K761" s="392"/>
      <c r="L761" s="392"/>
      <c r="M761" s="392"/>
      <c r="N761" s="392"/>
      <c r="O761" s="392"/>
      <c r="P761" s="392"/>
      <c r="Q761" s="392"/>
      <c r="R761" s="392"/>
      <c r="S761" s="392"/>
      <c r="T761" s="392"/>
      <c r="U761" s="392"/>
      <c r="V761" s="392"/>
      <c r="W761" s="392"/>
      <c r="X761" s="392"/>
      <c r="Y761" s="392"/>
      <c r="Z761" s="392"/>
      <c r="AA761" s="392"/>
      <c r="AB761" s="392"/>
      <c r="AC761" s="392"/>
      <c r="AD761" s="392"/>
      <c r="AE761" s="392"/>
      <c r="AF761" s="392"/>
    </row>
    <row r="762" ht="15.75" customHeight="1">
      <c r="A762" s="216"/>
      <c r="B762" s="156"/>
      <c r="C762" s="156"/>
      <c r="D762" s="156"/>
      <c r="E762" s="392"/>
      <c r="F762" s="392"/>
      <c r="G762" s="392"/>
      <c r="H762" s="392"/>
      <c r="I762" s="392"/>
      <c r="J762" s="392"/>
      <c r="K762" s="392"/>
      <c r="L762" s="392"/>
      <c r="M762" s="392"/>
      <c r="N762" s="392"/>
      <c r="O762" s="392"/>
      <c r="P762" s="392"/>
      <c r="Q762" s="392"/>
      <c r="R762" s="392"/>
      <c r="S762" s="392"/>
      <c r="T762" s="392"/>
      <c r="U762" s="392"/>
      <c r="V762" s="392"/>
      <c r="W762" s="392"/>
      <c r="X762" s="392"/>
      <c r="Y762" s="392"/>
      <c r="Z762" s="392"/>
      <c r="AA762" s="392"/>
      <c r="AB762" s="392"/>
      <c r="AC762" s="392"/>
      <c r="AD762" s="392"/>
      <c r="AE762" s="392"/>
      <c r="AF762" s="392"/>
    </row>
    <row r="763" ht="15.75" customHeight="1">
      <c r="A763" s="216"/>
      <c r="B763" s="156"/>
      <c r="C763" s="156"/>
      <c r="D763" s="156"/>
      <c r="E763" s="392"/>
      <c r="F763" s="392"/>
      <c r="G763" s="392"/>
      <c r="H763" s="392"/>
      <c r="I763" s="392"/>
      <c r="J763" s="392"/>
      <c r="K763" s="392"/>
      <c r="L763" s="392"/>
      <c r="M763" s="392"/>
      <c r="N763" s="392"/>
      <c r="O763" s="392"/>
      <c r="P763" s="392"/>
      <c r="Q763" s="392"/>
      <c r="R763" s="392"/>
      <c r="S763" s="392"/>
      <c r="T763" s="392"/>
      <c r="U763" s="392"/>
      <c r="V763" s="392"/>
      <c r="W763" s="392"/>
      <c r="X763" s="392"/>
      <c r="Y763" s="392"/>
      <c r="Z763" s="392"/>
      <c r="AA763" s="392"/>
      <c r="AB763" s="392"/>
      <c r="AC763" s="392"/>
      <c r="AD763" s="392"/>
      <c r="AE763" s="392"/>
      <c r="AF763" s="392"/>
    </row>
    <row r="764" ht="15.75" customHeight="1">
      <c r="A764" s="216"/>
      <c r="B764" s="156"/>
      <c r="C764" s="156"/>
      <c r="D764" s="156"/>
      <c r="E764" s="392"/>
      <c r="F764" s="392"/>
      <c r="G764" s="392"/>
      <c r="H764" s="392"/>
      <c r="I764" s="392"/>
      <c r="J764" s="392"/>
      <c r="K764" s="392"/>
      <c r="L764" s="392"/>
      <c r="M764" s="392"/>
      <c r="N764" s="392"/>
      <c r="O764" s="392"/>
      <c r="P764" s="392"/>
      <c r="Q764" s="392"/>
      <c r="R764" s="392"/>
      <c r="S764" s="392"/>
      <c r="T764" s="392"/>
      <c r="U764" s="392"/>
      <c r="V764" s="392"/>
      <c r="W764" s="392"/>
      <c r="X764" s="392"/>
      <c r="Y764" s="392"/>
      <c r="Z764" s="392"/>
      <c r="AA764" s="392"/>
      <c r="AB764" s="392"/>
      <c r="AC764" s="392"/>
      <c r="AD764" s="392"/>
      <c r="AE764" s="392"/>
      <c r="AF764" s="392"/>
    </row>
    <row r="765" ht="15.75" customHeight="1">
      <c r="A765" s="216"/>
      <c r="B765" s="156"/>
      <c r="C765" s="156"/>
      <c r="D765" s="156"/>
      <c r="E765" s="392"/>
      <c r="F765" s="392"/>
      <c r="G765" s="392"/>
      <c r="H765" s="392"/>
      <c r="I765" s="392"/>
      <c r="J765" s="392"/>
      <c r="K765" s="392"/>
      <c r="L765" s="392"/>
      <c r="M765" s="392"/>
      <c r="N765" s="392"/>
      <c r="O765" s="392"/>
      <c r="P765" s="392"/>
      <c r="Q765" s="392"/>
      <c r="R765" s="392"/>
      <c r="S765" s="392"/>
      <c r="T765" s="392"/>
      <c r="U765" s="392"/>
      <c r="V765" s="392"/>
      <c r="W765" s="392"/>
      <c r="X765" s="392"/>
      <c r="Y765" s="392"/>
      <c r="Z765" s="392"/>
      <c r="AA765" s="392"/>
      <c r="AB765" s="392"/>
      <c r="AC765" s="392"/>
      <c r="AD765" s="392"/>
      <c r="AE765" s="392"/>
      <c r="AF765" s="392"/>
    </row>
    <row r="766" ht="15.75" customHeight="1">
      <c r="A766" s="216"/>
      <c r="B766" s="156"/>
      <c r="C766" s="156"/>
      <c r="D766" s="156"/>
      <c r="E766" s="392"/>
      <c r="F766" s="392"/>
      <c r="G766" s="392"/>
      <c r="H766" s="392"/>
      <c r="I766" s="392"/>
      <c r="J766" s="392"/>
      <c r="K766" s="392"/>
      <c r="L766" s="392"/>
      <c r="M766" s="392"/>
      <c r="N766" s="392"/>
      <c r="O766" s="392"/>
      <c r="P766" s="392"/>
      <c r="Q766" s="392"/>
      <c r="R766" s="392"/>
      <c r="S766" s="392"/>
      <c r="T766" s="392"/>
      <c r="U766" s="392"/>
      <c r="V766" s="392"/>
      <c r="W766" s="392"/>
      <c r="X766" s="392"/>
      <c r="Y766" s="392"/>
      <c r="Z766" s="392"/>
      <c r="AA766" s="392"/>
      <c r="AB766" s="392"/>
      <c r="AC766" s="392"/>
      <c r="AD766" s="392"/>
      <c r="AE766" s="392"/>
      <c r="AF766" s="392"/>
    </row>
    <row r="767" ht="15.75" customHeight="1">
      <c r="A767" s="216"/>
      <c r="B767" s="156"/>
      <c r="C767" s="156"/>
      <c r="D767" s="156"/>
      <c r="E767" s="392"/>
      <c r="F767" s="392"/>
      <c r="G767" s="392"/>
      <c r="H767" s="392"/>
      <c r="I767" s="392"/>
      <c r="J767" s="392"/>
      <c r="K767" s="392"/>
      <c r="L767" s="392"/>
      <c r="M767" s="392"/>
      <c r="N767" s="392"/>
      <c r="O767" s="392"/>
      <c r="P767" s="392"/>
      <c r="Q767" s="392"/>
      <c r="R767" s="392"/>
      <c r="S767" s="392"/>
      <c r="T767" s="392"/>
      <c r="U767" s="392"/>
      <c r="V767" s="392"/>
      <c r="W767" s="392"/>
      <c r="X767" s="392"/>
      <c r="Y767" s="392"/>
      <c r="Z767" s="392"/>
      <c r="AA767" s="392"/>
      <c r="AB767" s="392"/>
      <c r="AC767" s="392"/>
      <c r="AD767" s="392"/>
      <c r="AE767" s="392"/>
      <c r="AF767" s="392"/>
    </row>
    <row r="768" ht="15.75" customHeight="1">
      <c r="A768" s="216"/>
      <c r="B768" s="156"/>
      <c r="C768" s="156"/>
      <c r="D768" s="156"/>
      <c r="E768" s="392"/>
      <c r="F768" s="392"/>
      <c r="G768" s="392"/>
      <c r="H768" s="392"/>
      <c r="I768" s="392"/>
      <c r="J768" s="392"/>
      <c r="K768" s="392"/>
      <c r="L768" s="392"/>
      <c r="M768" s="392"/>
      <c r="N768" s="392"/>
      <c r="O768" s="392"/>
      <c r="P768" s="392"/>
      <c r="Q768" s="392"/>
      <c r="R768" s="392"/>
      <c r="S768" s="392"/>
      <c r="T768" s="392"/>
      <c r="U768" s="392"/>
      <c r="V768" s="392"/>
      <c r="W768" s="392"/>
      <c r="X768" s="392"/>
      <c r="Y768" s="392"/>
      <c r="Z768" s="392"/>
      <c r="AA768" s="392"/>
      <c r="AB768" s="392"/>
      <c r="AC768" s="392"/>
      <c r="AD768" s="392"/>
      <c r="AE768" s="392"/>
      <c r="AF768" s="392"/>
    </row>
    <row r="769" ht="15.75" customHeight="1">
      <c r="A769" s="216"/>
      <c r="B769" s="156"/>
      <c r="C769" s="156"/>
      <c r="D769" s="156"/>
      <c r="E769" s="392"/>
      <c r="F769" s="392"/>
      <c r="G769" s="392"/>
      <c r="H769" s="392"/>
      <c r="I769" s="392"/>
      <c r="J769" s="392"/>
      <c r="K769" s="392"/>
      <c r="L769" s="392"/>
      <c r="M769" s="392"/>
      <c r="N769" s="392"/>
      <c r="O769" s="392"/>
      <c r="P769" s="392"/>
      <c r="Q769" s="392"/>
      <c r="R769" s="392"/>
      <c r="S769" s="392"/>
      <c r="T769" s="392"/>
      <c r="U769" s="392"/>
      <c r="V769" s="392"/>
      <c r="W769" s="392"/>
      <c r="X769" s="392"/>
      <c r="Y769" s="392"/>
      <c r="Z769" s="392"/>
      <c r="AA769" s="392"/>
      <c r="AB769" s="392"/>
      <c r="AC769" s="392"/>
      <c r="AD769" s="392"/>
      <c r="AE769" s="392"/>
      <c r="AF769" s="392"/>
    </row>
    <row r="770" ht="15.75" customHeight="1">
      <c r="A770" s="216"/>
      <c r="B770" s="156"/>
      <c r="C770" s="156"/>
      <c r="D770" s="156"/>
      <c r="E770" s="392"/>
      <c r="F770" s="392"/>
      <c r="G770" s="392"/>
      <c r="H770" s="392"/>
      <c r="I770" s="392"/>
      <c r="J770" s="392"/>
      <c r="K770" s="392"/>
      <c r="L770" s="392"/>
      <c r="M770" s="392"/>
      <c r="N770" s="392"/>
      <c r="O770" s="392"/>
      <c r="P770" s="392"/>
      <c r="Q770" s="392"/>
      <c r="R770" s="392"/>
      <c r="S770" s="392"/>
      <c r="T770" s="392"/>
      <c r="U770" s="392"/>
      <c r="V770" s="392"/>
      <c r="W770" s="392"/>
      <c r="X770" s="392"/>
      <c r="Y770" s="392"/>
      <c r="Z770" s="392"/>
      <c r="AA770" s="392"/>
      <c r="AB770" s="392"/>
      <c r="AC770" s="392"/>
      <c r="AD770" s="392"/>
      <c r="AE770" s="392"/>
      <c r="AF770" s="392"/>
    </row>
    <row r="771" ht="15.75" customHeight="1">
      <c r="A771" s="216"/>
      <c r="B771" s="156"/>
      <c r="C771" s="156"/>
      <c r="D771" s="156"/>
      <c r="E771" s="392"/>
      <c r="F771" s="392"/>
      <c r="G771" s="392"/>
      <c r="H771" s="392"/>
      <c r="I771" s="392"/>
      <c r="J771" s="392"/>
      <c r="K771" s="392"/>
      <c r="L771" s="392"/>
      <c r="M771" s="392"/>
      <c r="N771" s="392"/>
      <c r="O771" s="392"/>
      <c r="P771" s="392"/>
      <c r="Q771" s="392"/>
      <c r="R771" s="392"/>
      <c r="S771" s="392"/>
      <c r="T771" s="392"/>
      <c r="U771" s="392"/>
      <c r="V771" s="392"/>
      <c r="W771" s="392"/>
      <c r="X771" s="392"/>
      <c r="Y771" s="392"/>
      <c r="Z771" s="392"/>
      <c r="AA771" s="392"/>
      <c r="AB771" s="392"/>
      <c r="AC771" s="392"/>
      <c r="AD771" s="392"/>
      <c r="AE771" s="392"/>
      <c r="AF771" s="392"/>
    </row>
    <row r="772" ht="15.75" customHeight="1">
      <c r="A772" s="216"/>
      <c r="B772" s="156"/>
      <c r="C772" s="156"/>
      <c r="D772" s="156"/>
      <c r="E772" s="392"/>
      <c r="F772" s="392"/>
      <c r="G772" s="392"/>
      <c r="H772" s="392"/>
      <c r="I772" s="392"/>
      <c r="J772" s="392"/>
      <c r="K772" s="392"/>
      <c r="L772" s="392"/>
      <c r="M772" s="392"/>
      <c r="N772" s="392"/>
      <c r="O772" s="392"/>
      <c r="P772" s="392"/>
      <c r="Q772" s="392"/>
      <c r="R772" s="392"/>
      <c r="S772" s="392"/>
      <c r="T772" s="392"/>
      <c r="U772" s="392"/>
      <c r="V772" s="392"/>
      <c r="W772" s="392"/>
      <c r="X772" s="392"/>
      <c r="Y772" s="392"/>
      <c r="Z772" s="392"/>
      <c r="AA772" s="392"/>
      <c r="AB772" s="392"/>
      <c r="AC772" s="392"/>
      <c r="AD772" s="392"/>
      <c r="AE772" s="392"/>
      <c r="AF772" s="392"/>
    </row>
    <row r="773" ht="15.75" customHeight="1">
      <c r="A773" s="216"/>
      <c r="B773" s="156"/>
      <c r="C773" s="156"/>
      <c r="D773" s="156"/>
      <c r="E773" s="392"/>
      <c r="F773" s="392"/>
      <c r="G773" s="392"/>
      <c r="H773" s="392"/>
      <c r="I773" s="392"/>
      <c r="J773" s="392"/>
      <c r="K773" s="392"/>
      <c r="L773" s="392"/>
      <c r="M773" s="392"/>
      <c r="N773" s="392"/>
      <c r="O773" s="392"/>
      <c r="P773" s="392"/>
      <c r="Q773" s="392"/>
      <c r="R773" s="392"/>
      <c r="S773" s="392"/>
      <c r="T773" s="392"/>
      <c r="U773" s="392"/>
      <c r="V773" s="392"/>
      <c r="W773" s="392"/>
      <c r="X773" s="392"/>
      <c r="Y773" s="392"/>
      <c r="Z773" s="392"/>
      <c r="AA773" s="392"/>
      <c r="AB773" s="392"/>
      <c r="AC773" s="392"/>
      <c r="AD773" s="392"/>
      <c r="AE773" s="392"/>
      <c r="AF773" s="392"/>
    </row>
    <row r="774" ht="15.75" customHeight="1">
      <c r="A774" s="216"/>
      <c r="B774" s="156"/>
      <c r="C774" s="156"/>
      <c r="D774" s="156"/>
      <c r="E774" s="392"/>
      <c r="F774" s="392"/>
      <c r="G774" s="392"/>
      <c r="H774" s="392"/>
      <c r="I774" s="392"/>
      <c r="J774" s="392"/>
      <c r="K774" s="392"/>
      <c r="L774" s="392"/>
      <c r="M774" s="392"/>
      <c r="N774" s="392"/>
      <c r="O774" s="392"/>
      <c r="P774" s="392"/>
      <c r="Q774" s="392"/>
      <c r="R774" s="392"/>
      <c r="S774" s="392"/>
      <c r="T774" s="392"/>
      <c r="U774" s="392"/>
      <c r="V774" s="392"/>
      <c r="W774" s="392"/>
      <c r="X774" s="392"/>
      <c r="Y774" s="392"/>
      <c r="Z774" s="392"/>
      <c r="AA774" s="392"/>
      <c r="AB774" s="392"/>
      <c r="AC774" s="392"/>
      <c r="AD774" s="392"/>
      <c r="AE774" s="392"/>
      <c r="AF774" s="392"/>
    </row>
    <row r="775" ht="15.75" customHeight="1">
      <c r="A775" s="216"/>
      <c r="B775" s="156"/>
      <c r="C775" s="156"/>
      <c r="D775" s="156"/>
      <c r="E775" s="392"/>
      <c r="F775" s="392"/>
      <c r="G775" s="392"/>
      <c r="H775" s="392"/>
      <c r="I775" s="392"/>
      <c r="J775" s="392"/>
      <c r="K775" s="392"/>
      <c r="L775" s="392"/>
      <c r="M775" s="392"/>
      <c r="N775" s="392"/>
      <c r="O775" s="392"/>
      <c r="P775" s="392"/>
      <c r="Q775" s="392"/>
      <c r="R775" s="392"/>
      <c r="S775" s="392"/>
      <c r="T775" s="392"/>
      <c r="U775" s="392"/>
      <c r="V775" s="392"/>
      <c r="W775" s="392"/>
      <c r="X775" s="392"/>
      <c r="Y775" s="392"/>
      <c r="Z775" s="392"/>
      <c r="AA775" s="392"/>
      <c r="AB775" s="392"/>
      <c r="AC775" s="392"/>
      <c r="AD775" s="392"/>
      <c r="AE775" s="392"/>
      <c r="AF775" s="392"/>
    </row>
    <row r="776" ht="15.75" customHeight="1">
      <c r="A776" s="216"/>
      <c r="B776" s="156"/>
      <c r="C776" s="156"/>
      <c r="D776" s="156"/>
      <c r="E776" s="392"/>
      <c r="F776" s="392"/>
      <c r="G776" s="392"/>
      <c r="H776" s="392"/>
      <c r="I776" s="392"/>
      <c r="J776" s="392"/>
      <c r="K776" s="392"/>
      <c r="L776" s="392"/>
      <c r="M776" s="392"/>
      <c r="N776" s="392"/>
      <c r="O776" s="392"/>
      <c r="P776" s="392"/>
      <c r="Q776" s="392"/>
      <c r="R776" s="392"/>
      <c r="S776" s="392"/>
      <c r="T776" s="392"/>
      <c r="U776" s="392"/>
      <c r="V776" s="392"/>
      <c r="W776" s="392"/>
      <c r="X776" s="392"/>
      <c r="Y776" s="392"/>
      <c r="Z776" s="392"/>
      <c r="AA776" s="392"/>
      <c r="AB776" s="392"/>
      <c r="AC776" s="392"/>
      <c r="AD776" s="392"/>
      <c r="AE776" s="392"/>
      <c r="AF776" s="392"/>
    </row>
    <row r="777" ht="15.75" customHeight="1">
      <c r="A777" s="216"/>
      <c r="B777" s="156"/>
      <c r="C777" s="156"/>
      <c r="D777" s="156"/>
      <c r="E777" s="392"/>
      <c r="F777" s="392"/>
      <c r="G777" s="392"/>
      <c r="H777" s="392"/>
      <c r="I777" s="392"/>
      <c r="J777" s="392"/>
      <c r="K777" s="392"/>
      <c r="L777" s="392"/>
      <c r="M777" s="392"/>
      <c r="N777" s="392"/>
      <c r="O777" s="392"/>
      <c r="P777" s="392"/>
      <c r="Q777" s="392"/>
      <c r="R777" s="392"/>
      <c r="S777" s="392"/>
      <c r="T777" s="392"/>
      <c r="U777" s="392"/>
      <c r="V777" s="392"/>
      <c r="W777" s="392"/>
      <c r="X777" s="392"/>
      <c r="Y777" s="392"/>
      <c r="Z777" s="392"/>
      <c r="AA777" s="392"/>
      <c r="AB777" s="392"/>
      <c r="AC777" s="392"/>
      <c r="AD777" s="392"/>
      <c r="AE777" s="392"/>
      <c r="AF777" s="392"/>
    </row>
    <row r="778" ht="15.75" customHeight="1">
      <c r="A778" s="216"/>
      <c r="B778" s="156"/>
      <c r="C778" s="156"/>
      <c r="D778" s="156"/>
      <c r="E778" s="392"/>
      <c r="F778" s="392"/>
      <c r="G778" s="392"/>
      <c r="H778" s="392"/>
      <c r="I778" s="392"/>
      <c r="J778" s="392"/>
      <c r="K778" s="392"/>
      <c r="L778" s="392"/>
      <c r="M778" s="392"/>
      <c r="N778" s="392"/>
      <c r="O778" s="392"/>
      <c r="P778" s="392"/>
      <c r="Q778" s="392"/>
      <c r="R778" s="392"/>
      <c r="S778" s="392"/>
      <c r="T778" s="392"/>
      <c r="U778" s="392"/>
      <c r="V778" s="392"/>
      <c r="W778" s="392"/>
      <c r="X778" s="392"/>
      <c r="Y778" s="392"/>
      <c r="Z778" s="392"/>
      <c r="AA778" s="392"/>
      <c r="AB778" s="392"/>
      <c r="AC778" s="392"/>
      <c r="AD778" s="392"/>
      <c r="AE778" s="392"/>
      <c r="AF778" s="392"/>
    </row>
    <row r="779" ht="15.75" customHeight="1">
      <c r="A779" s="216"/>
      <c r="B779" s="156"/>
      <c r="C779" s="156"/>
      <c r="D779" s="156"/>
      <c r="E779" s="392"/>
      <c r="F779" s="392"/>
      <c r="G779" s="392"/>
      <c r="H779" s="392"/>
      <c r="I779" s="392"/>
      <c r="J779" s="392"/>
      <c r="K779" s="392"/>
      <c r="L779" s="392"/>
      <c r="M779" s="392"/>
      <c r="N779" s="392"/>
      <c r="O779" s="392"/>
      <c r="P779" s="392"/>
      <c r="Q779" s="392"/>
      <c r="R779" s="392"/>
      <c r="S779" s="392"/>
      <c r="T779" s="392"/>
      <c r="U779" s="392"/>
      <c r="V779" s="392"/>
      <c r="W779" s="392"/>
      <c r="X779" s="392"/>
      <c r="Y779" s="392"/>
      <c r="Z779" s="392"/>
      <c r="AA779" s="392"/>
      <c r="AB779" s="392"/>
      <c r="AC779" s="392"/>
      <c r="AD779" s="392"/>
      <c r="AE779" s="392"/>
      <c r="AF779" s="392"/>
    </row>
    <row r="780" ht="15.75" customHeight="1">
      <c r="A780" s="216"/>
      <c r="B780" s="156"/>
      <c r="C780" s="156"/>
      <c r="D780" s="156"/>
      <c r="E780" s="392"/>
      <c r="F780" s="392"/>
      <c r="G780" s="392"/>
      <c r="H780" s="392"/>
      <c r="I780" s="392"/>
      <c r="J780" s="392"/>
      <c r="K780" s="392"/>
      <c r="L780" s="392"/>
      <c r="M780" s="392"/>
      <c r="N780" s="392"/>
      <c r="O780" s="392"/>
      <c r="P780" s="392"/>
      <c r="Q780" s="392"/>
      <c r="R780" s="392"/>
      <c r="S780" s="392"/>
      <c r="T780" s="392"/>
      <c r="U780" s="392"/>
      <c r="V780" s="392"/>
      <c r="W780" s="392"/>
      <c r="X780" s="392"/>
      <c r="Y780" s="392"/>
      <c r="Z780" s="392"/>
      <c r="AA780" s="392"/>
      <c r="AB780" s="392"/>
      <c r="AC780" s="392"/>
      <c r="AD780" s="392"/>
      <c r="AE780" s="392"/>
      <c r="AF780" s="392"/>
    </row>
    <row r="781" ht="15.75" customHeight="1">
      <c r="A781" s="216"/>
      <c r="B781" s="156"/>
      <c r="C781" s="156"/>
      <c r="D781" s="156"/>
      <c r="E781" s="392"/>
      <c r="F781" s="392"/>
      <c r="G781" s="392"/>
      <c r="H781" s="392"/>
      <c r="I781" s="392"/>
      <c r="J781" s="392"/>
      <c r="K781" s="392"/>
      <c r="L781" s="392"/>
      <c r="M781" s="392"/>
      <c r="N781" s="392"/>
      <c r="O781" s="392"/>
      <c r="P781" s="392"/>
      <c r="Q781" s="392"/>
      <c r="R781" s="392"/>
      <c r="S781" s="392"/>
      <c r="T781" s="392"/>
      <c r="U781" s="392"/>
      <c r="V781" s="392"/>
      <c r="W781" s="392"/>
      <c r="X781" s="392"/>
      <c r="Y781" s="392"/>
      <c r="Z781" s="392"/>
      <c r="AA781" s="392"/>
      <c r="AB781" s="392"/>
      <c r="AC781" s="392"/>
      <c r="AD781" s="392"/>
      <c r="AE781" s="392"/>
      <c r="AF781" s="392"/>
    </row>
    <row r="782" ht="15.75" customHeight="1">
      <c r="A782" s="216"/>
      <c r="B782" s="156"/>
      <c r="C782" s="156"/>
      <c r="D782" s="156"/>
      <c r="E782" s="392"/>
      <c r="F782" s="392"/>
      <c r="G782" s="392"/>
      <c r="H782" s="392"/>
      <c r="I782" s="392"/>
      <c r="J782" s="392"/>
      <c r="K782" s="392"/>
      <c r="L782" s="392"/>
      <c r="M782" s="392"/>
      <c r="N782" s="392"/>
      <c r="O782" s="392"/>
      <c r="P782" s="392"/>
      <c r="Q782" s="392"/>
      <c r="R782" s="392"/>
      <c r="S782" s="392"/>
      <c r="T782" s="392"/>
      <c r="U782" s="392"/>
      <c r="V782" s="392"/>
      <c r="W782" s="392"/>
      <c r="X782" s="392"/>
      <c r="Y782" s="392"/>
      <c r="Z782" s="392"/>
      <c r="AA782" s="392"/>
      <c r="AB782" s="392"/>
      <c r="AC782" s="392"/>
      <c r="AD782" s="392"/>
      <c r="AE782" s="392"/>
      <c r="AF782" s="392"/>
    </row>
    <row r="783" ht="15.75" customHeight="1">
      <c r="A783" s="216"/>
      <c r="B783" s="156"/>
      <c r="C783" s="156"/>
      <c r="D783" s="156"/>
      <c r="E783" s="392"/>
      <c r="F783" s="392"/>
      <c r="G783" s="392"/>
      <c r="H783" s="392"/>
      <c r="I783" s="392"/>
      <c r="J783" s="392"/>
      <c r="K783" s="392"/>
      <c r="L783" s="392"/>
      <c r="M783" s="392"/>
      <c r="N783" s="392"/>
      <c r="O783" s="392"/>
      <c r="P783" s="392"/>
      <c r="Q783" s="392"/>
      <c r="R783" s="392"/>
      <c r="S783" s="392"/>
      <c r="T783" s="392"/>
      <c r="U783" s="392"/>
      <c r="V783" s="392"/>
      <c r="W783" s="392"/>
      <c r="X783" s="392"/>
      <c r="Y783" s="392"/>
      <c r="Z783" s="392"/>
      <c r="AA783" s="392"/>
      <c r="AB783" s="392"/>
      <c r="AC783" s="392"/>
      <c r="AD783" s="392"/>
      <c r="AE783" s="392"/>
      <c r="AF783" s="392"/>
    </row>
    <row r="784" ht="15.75" customHeight="1">
      <c r="A784" s="216"/>
      <c r="B784" s="156"/>
      <c r="C784" s="156"/>
      <c r="D784" s="156"/>
      <c r="E784" s="392"/>
      <c r="F784" s="392"/>
      <c r="G784" s="392"/>
      <c r="H784" s="392"/>
      <c r="I784" s="392"/>
      <c r="J784" s="392"/>
      <c r="K784" s="392"/>
      <c r="L784" s="392"/>
      <c r="M784" s="392"/>
      <c r="N784" s="392"/>
      <c r="O784" s="392"/>
      <c r="P784" s="392"/>
      <c r="Q784" s="392"/>
      <c r="R784" s="392"/>
      <c r="S784" s="392"/>
      <c r="T784" s="392"/>
      <c r="U784" s="392"/>
      <c r="V784" s="392"/>
      <c r="W784" s="392"/>
      <c r="X784" s="392"/>
      <c r="Y784" s="392"/>
      <c r="Z784" s="392"/>
      <c r="AA784" s="392"/>
      <c r="AB784" s="392"/>
      <c r="AC784" s="392"/>
      <c r="AD784" s="392"/>
      <c r="AE784" s="392"/>
      <c r="AF784" s="392"/>
    </row>
    <row r="785" ht="15.75" customHeight="1">
      <c r="A785" s="216"/>
      <c r="B785" s="156"/>
      <c r="C785" s="156"/>
      <c r="D785" s="156"/>
      <c r="E785" s="392"/>
      <c r="F785" s="392"/>
      <c r="G785" s="392"/>
      <c r="H785" s="392"/>
      <c r="I785" s="392"/>
      <c r="J785" s="392"/>
      <c r="K785" s="392"/>
      <c r="L785" s="392"/>
      <c r="M785" s="392"/>
      <c r="N785" s="392"/>
      <c r="O785" s="392"/>
      <c r="P785" s="392"/>
      <c r="Q785" s="392"/>
      <c r="R785" s="392"/>
      <c r="S785" s="392"/>
      <c r="T785" s="392"/>
      <c r="U785" s="392"/>
      <c r="V785" s="392"/>
      <c r="W785" s="392"/>
      <c r="X785" s="392"/>
      <c r="Y785" s="392"/>
      <c r="Z785" s="392"/>
      <c r="AA785" s="392"/>
      <c r="AB785" s="392"/>
      <c r="AC785" s="392"/>
      <c r="AD785" s="392"/>
      <c r="AE785" s="392"/>
      <c r="AF785" s="392"/>
    </row>
    <row r="786" ht="15.75" customHeight="1">
      <c r="A786" s="216"/>
      <c r="B786" s="156"/>
      <c r="C786" s="156"/>
      <c r="D786" s="156"/>
      <c r="E786" s="392"/>
      <c r="F786" s="392"/>
      <c r="G786" s="392"/>
      <c r="H786" s="392"/>
      <c r="I786" s="392"/>
      <c r="J786" s="392"/>
      <c r="K786" s="392"/>
      <c r="L786" s="392"/>
      <c r="M786" s="392"/>
      <c r="N786" s="392"/>
      <c r="O786" s="392"/>
      <c r="P786" s="392"/>
      <c r="Q786" s="392"/>
      <c r="R786" s="392"/>
      <c r="S786" s="392"/>
      <c r="T786" s="392"/>
      <c r="U786" s="392"/>
      <c r="V786" s="392"/>
      <c r="W786" s="392"/>
      <c r="X786" s="392"/>
      <c r="Y786" s="392"/>
      <c r="Z786" s="392"/>
      <c r="AA786" s="392"/>
      <c r="AB786" s="392"/>
      <c r="AC786" s="392"/>
      <c r="AD786" s="392"/>
      <c r="AE786" s="392"/>
      <c r="AF786" s="392"/>
    </row>
    <row r="787" ht="15.75" customHeight="1">
      <c r="A787" s="216"/>
      <c r="B787" s="156"/>
      <c r="C787" s="156"/>
      <c r="D787" s="156"/>
      <c r="E787" s="392"/>
      <c r="F787" s="392"/>
      <c r="G787" s="392"/>
      <c r="H787" s="392"/>
      <c r="I787" s="392"/>
      <c r="J787" s="392"/>
      <c r="K787" s="392"/>
      <c r="L787" s="392"/>
      <c r="M787" s="392"/>
      <c r="N787" s="392"/>
      <c r="O787" s="392"/>
      <c r="P787" s="392"/>
      <c r="Q787" s="392"/>
      <c r="R787" s="392"/>
      <c r="S787" s="392"/>
      <c r="T787" s="392"/>
      <c r="U787" s="392"/>
      <c r="V787" s="392"/>
      <c r="W787" s="392"/>
      <c r="X787" s="392"/>
      <c r="Y787" s="392"/>
      <c r="Z787" s="392"/>
      <c r="AA787" s="392"/>
      <c r="AB787" s="392"/>
      <c r="AC787" s="392"/>
      <c r="AD787" s="392"/>
      <c r="AE787" s="392"/>
      <c r="AF787" s="392"/>
    </row>
    <row r="788" ht="15.75" customHeight="1">
      <c r="A788" s="216"/>
      <c r="B788" s="156"/>
      <c r="C788" s="156"/>
      <c r="D788" s="156"/>
      <c r="E788" s="392"/>
      <c r="F788" s="392"/>
      <c r="G788" s="392"/>
      <c r="H788" s="392"/>
      <c r="I788" s="392"/>
      <c r="J788" s="392"/>
      <c r="K788" s="392"/>
      <c r="L788" s="392"/>
      <c r="M788" s="392"/>
      <c r="N788" s="392"/>
      <c r="O788" s="392"/>
      <c r="P788" s="392"/>
      <c r="Q788" s="392"/>
      <c r="R788" s="392"/>
      <c r="S788" s="392"/>
      <c r="T788" s="392"/>
      <c r="U788" s="392"/>
      <c r="V788" s="392"/>
      <c r="W788" s="392"/>
      <c r="X788" s="392"/>
      <c r="Y788" s="392"/>
      <c r="Z788" s="392"/>
      <c r="AA788" s="392"/>
      <c r="AB788" s="392"/>
      <c r="AC788" s="392"/>
      <c r="AD788" s="392"/>
      <c r="AE788" s="392"/>
      <c r="AF788" s="392"/>
    </row>
    <row r="789" ht="15.75" customHeight="1">
      <c r="A789" s="216"/>
      <c r="B789" s="156"/>
      <c r="C789" s="156"/>
      <c r="D789" s="156"/>
      <c r="E789" s="392"/>
      <c r="F789" s="392"/>
      <c r="G789" s="392"/>
      <c r="H789" s="392"/>
      <c r="I789" s="392"/>
      <c r="J789" s="392"/>
      <c r="K789" s="392"/>
      <c r="L789" s="392"/>
      <c r="M789" s="392"/>
      <c r="N789" s="392"/>
      <c r="O789" s="392"/>
      <c r="P789" s="392"/>
      <c r="Q789" s="392"/>
      <c r="R789" s="392"/>
      <c r="S789" s="392"/>
      <c r="T789" s="392"/>
      <c r="U789" s="392"/>
      <c r="V789" s="392"/>
      <c r="W789" s="392"/>
      <c r="X789" s="392"/>
      <c r="Y789" s="392"/>
      <c r="Z789" s="392"/>
      <c r="AA789" s="392"/>
      <c r="AB789" s="392"/>
      <c r="AC789" s="392"/>
      <c r="AD789" s="392"/>
      <c r="AE789" s="392"/>
      <c r="AF789" s="392"/>
    </row>
    <row r="790" ht="15.75" customHeight="1">
      <c r="A790" s="216"/>
      <c r="B790" s="156"/>
      <c r="C790" s="156"/>
      <c r="D790" s="156"/>
      <c r="E790" s="392"/>
      <c r="F790" s="392"/>
      <c r="G790" s="392"/>
      <c r="H790" s="392"/>
      <c r="I790" s="392"/>
      <c r="J790" s="392"/>
      <c r="K790" s="392"/>
      <c r="L790" s="392"/>
      <c r="M790" s="392"/>
      <c r="N790" s="392"/>
      <c r="O790" s="392"/>
      <c r="P790" s="392"/>
      <c r="Q790" s="392"/>
      <c r="R790" s="392"/>
      <c r="S790" s="392"/>
      <c r="T790" s="392"/>
      <c r="U790" s="392"/>
      <c r="V790" s="392"/>
      <c r="W790" s="392"/>
      <c r="X790" s="392"/>
      <c r="Y790" s="392"/>
      <c r="Z790" s="392"/>
      <c r="AA790" s="392"/>
      <c r="AB790" s="392"/>
      <c r="AC790" s="392"/>
      <c r="AD790" s="392"/>
      <c r="AE790" s="392"/>
      <c r="AF790" s="392"/>
    </row>
    <row r="791" ht="15.75" customHeight="1">
      <c r="A791" s="216"/>
      <c r="B791" s="156"/>
      <c r="C791" s="156"/>
      <c r="D791" s="156"/>
      <c r="E791" s="392"/>
      <c r="F791" s="392"/>
      <c r="G791" s="392"/>
      <c r="H791" s="392"/>
      <c r="I791" s="392"/>
      <c r="J791" s="392"/>
      <c r="K791" s="392"/>
      <c r="L791" s="392"/>
      <c r="M791" s="392"/>
      <c r="N791" s="392"/>
      <c r="O791" s="392"/>
      <c r="P791" s="392"/>
      <c r="Q791" s="392"/>
      <c r="R791" s="392"/>
      <c r="S791" s="392"/>
      <c r="T791" s="392"/>
      <c r="U791" s="392"/>
      <c r="V791" s="392"/>
      <c r="W791" s="392"/>
      <c r="X791" s="392"/>
      <c r="Y791" s="392"/>
      <c r="Z791" s="392"/>
      <c r="AA791" s="392"/>
      <c r="AB791" s="392"/>
      <c r="AC791" s="392"/>
      <c r="AD791" s="392"/>
      <c r="AE791" s="392"/>
      <c r="AF791" s="392"/>
    </row>
    <row r="792" ht="15.75" customHeight="1">
      <c r="A792" s="216"/>
      <c r="B792" s="156"/>
      <c r="C792" s="156"/>
      <c r="D792" s="156"/>
      <c r="E792" s="392"/>
      <c r="F792" s="392"/>
      <c r="G792" s="392"/>
      <c r="H792" s="392"/>
      <c r="I792" s="392"/>
      <c r="J792" s="392"/>
      <c r="K792" s="392"/>
      <c r="L792" s="392"/>
      <c r="M792" s="392"/>
      <c r="N792" s="392"/>
      <c r="O792" s="392"/>
      <c r="P792" s="392"/>
      <c r="Q792" s="392"/>
      <c r="R792" s="392"/>
      <c r="S792" s="392"/>
      <c r="T792" s="392"/>
      <c r="U792" s="392"/>
      <c r="V792" s="392"/>
      <c r="W792" s="392"/>
      <c r="X792" s="392"/>
      <c r="Y792" s="392"/>
      <c r="Z792" s="392"/>
      <c r="AA792" s="392"/>
      <c r="AB792" s="392"/>
      <c r="AC792" s="392"/>
      <c r="AD792" s="392"/>
      <c r="AE792" s="392"/>
      <c r="AF792" s="392"/>
    </row>
    <row r="793" ht="15.75" customHeight="1">
      <c r="A793" s="216"/>
      <c r="B793" s="156"/>
      <c r="C793" s="156"/>
      <c r="D793" s="156"/>
      <c r="E793" s="392"/>
      <c r="F793" s="392"/>
      <c r="G793" s="392"/>
      <c r="H793" s="392"/>
      <c r="I793" s="392"/>
      <c r="J793" s="392"/>
      <c r="K793" s="392"/>
      <c r="L793" s="392"/>
      <c r="M793" s="392"/>
      <c r="N793" s="392"/>
      <c r="O793" s="392"/>
      <c r="P793" s="392"/>
      <c r="Q793" s="392"/>
      <c r="R793" s="392"/>
      <c r="S793" s="392"/>
      <c r="T793" s="392"/>
      <c r="U793" s="392"/>
      <c r="V793" s="392"/>
      <c r="W793" s="392"/>
      <c r="X793" s="392"/>
      <c r="Y793" s="392"/>
      <c r="Z793" s="392"/>
      <c r="AA793" s="392"/>
      <c r="AB793" s="392"/>
      <c r="AC793" s="392"/>
      <c r="AD793" s="392"/>
      <c r="AE793" s="392"/>
      <c r="AF793" s="392"/>
    </row>
    <row r="794" ht="15.75" customHeight="1">
      <c r="A794" s="216"/>
      <c r="B794" s="156"/>
      <c r="C794" s="156"/>
      <c r="D794" s="156"/>
      <c r="E794" s="392"/>
      <c r="F794" s="392"/>
      <c r="G794" s="392"/>
      <c r="H794" s="392"/>
      <c r="I794" s="392"/>
      <c r="J794" s="392"/>
      <c r="K794" s="392"/>
      <c r="L794" s="392"/>
      <c r="M794" s="392"/>
      <c r="N794" s="392"/>
      <c r="O794" s="392"/>
      <c r="P794" s="392"/>
      <c r="Q794" s="392"/>
      <c r="R794" s="392"/>
      <c r="S794" s="392"/>
      <c r="T794" s="392"/>
      <c r="U794" s="392"/>
      <c r="V794" s="392"/>
      <c r="W794" s="392"/>
      <c r="X794" s="392"/>
      <c r="Y794" s="392"/>
      <c r="Z794" s="392"/>
      <c r="AA794" s="392"/>
      <c r="AB794" s="392"/>
      <c r="AC794" s="392"/>
      <c r="AD794" s="392"/>
      <c r="AE794" s="392"/>
      <c r="AF794" s="392"/>
    </row>
    <row r="795" ht="15.75" customHeight="1">
      <c r="A795" s="216"/>
      <c r="B795" s="156"/>
      <c r="C795" s="156"/>
      <c r="D795" s="156"/>
      <c r="E795" s="392"/>
      <c r="F795" s="392"/>
      <c r="G795" s="392"/>
      <c r="H795" s="392"/>
      <c r="I795" s="392"/>
      <c r="J795" s="392"/>
      <c r="K795" s="392"/>
      <c r="L795" s="392"/>
      <c r="M795" s="392"/>
      <c r="N795" s="392"/>
      <c r="O795" s="392"/>
      <c r="P795" s="392"/>
      <c r="Q795" s="392"/>
      <c r="R795" s="392"/>
      <c r="S795" s="392"/>
      <c r="T795" s="392"/>
      <c r="U795" s="392"/>
      <c r="V795" s="392"/>
      <c r="W795" s="392"/>
      <c r="X795" s="392"/>
      <c r="Y795" s="392"/>
      <c r="Z795" s="392"/>
      <c r="AA795" s="392"/>
      <c r="AB795" s="392"/>
      <c r="AC795" s="392"/>
      <c r="AD795" s="392"/>
      <c r="AE795" s="392"/>
      <c r="AF795" s="392"/>
    </row>
    <row r="796" ht="15.75" customHeight="1">
      <c r="A796" s="216"/>
      <c r="B796" s="156"/>
      <c r="C796" s="156"/>
      <c r="D796" s="156"/>
      <c r="E796" s="392"/>
      <c r="F796" s="392"/>
      <c r="G796" s="392"/>
      <c r="H796" s="392"/>
      <c r="I796" s="392"/>
      <c r="J796" s="392"/>
      <c r="K796" s="392"/>
      <c r="L796" s="392"/>
      <c r="M796" s="392"/>
      <c r="N796" s="392"/>
      <c r="O796" s="392"/>
      <c r="P796" s="392"/>
      <c r="Q796" s="392"/>
      <c r="R796" s="392"/>
      <c r="S796" s="392"/>
      <c r="T796" s="392"/>
      <c r="U796" s="392"/>
      <c r="V796" s="392"/>
      <c r="W796" s="392"/>
      <c r="X796" s="392"/>
      <c r="Y796" s="392"/>
      <c r="Z796" s="392"/>
      <c r="AA796" s="392"/>
      <c r="AB796" s="392"/>
      <c r="AC796" s="392"/>
      <c r="AD796" s="392"/>
      <c r="AE796" s="392"/>
      <c r="AF796" s="392"/>
    </row>
    <row r="797" ht="15.75" customHeight="1">
      <c r="A797" s="216"/>
      <c r="B797" s="156"/>
      <c r="C797" s="156"/>
      <c r="D797" s="156"/>
      <c r="E797" s="392"/>
      <c r="F797" s="392"/>
      <c r="G797" s="392"/>
      <c r="H797" s="392"/>
      <c r="I797" s="392"/>
      <c r="J797" s="392"/>
      <c r="K797" s="392"/>
      <c r="L797" s="392"/>
      <c r="M797" s="392"/>
      <c r="N797" s="392"/>
      <c r="O797" s="392"/>
      <c r="P797" s="392"/>
      <c r="Q797" s="392"/>
      <c r="R797" s="392"/>
      <c r="S797" s="392"/>
      <c r="T797" s="392"/>
      <c r="U797" s="392"/>
      <c r="V797" s="392"/>
      <c r="W797" s="392"/>
      <c r="X797" s="392"/>
      <c r="Y797" s="392"/>
      <c r="Z797" s="392"/>
      <c r="AA797" s="392"/>
      <c r="AB797" s="392"/>
      <c r="AC797" s="392"/>
      <c r="AD797" s="392"/>
      <c r="AE797" s="392"/>
      <c r="AF797" s="392"/>
    </row>
    <row r="798" ht="15.75" customHeight="1">
      <c r="A798" s="216"/>
      <c r="B798" s="156"/>
      <c r="C798" s="156"/>
      <c r="D798" s="156"/>
      <c r="E798" s="392"/>
      <c r="F798" s="392"/>
      <c r="G798" s="392"/>
      <c r="H798" s="392"/>
      <c r="I798" s="392"/>
      <c r="J798" s="392"/>
      <c r="K798" s="392"/>
      <c r="L798" s="392"/>
      <c r="M798" s="392"/>
      <c r="N798" s="392"/>
      <c r="O798" s="392"/>
      <c r="P798" s="392"/>
      <c r="Q798" s="392"/>
      <c r="R798" s="392"/>
      <c r="S798" s="392"/>
      <c r="T798" s="392"/>
      <c r="U798" s="392"/>
      <c r="V798" s="392"/>
      <c r="W798" s="392"/>
      <c r="X798" s="392"/>
      <c r="Y798" s="392"/>
      <c r="Z798" s="392"/>
      <c r="AA798" s="392"/>
      <c r="AB798" s="392"/>
      <c r="AC798" s="392"/>
      <c r="AD798" s="392"/>
      <c r="AE798" s="392"/>
      <c r="AF798" s="392"/>
    </row>
    <row r="799" ht="15.75" customHeight="1">
      <c r="A799" s="216"/>
      <c r="B799" s="156"/>
      <c r="C799" s="156"/>
      <c r="D799" s="156"/>
      <c r="E799" s="392"/>
      <c r="F799" s="392"/>
      <c r="G799" s="392"/>
      <c r="H799" s="392"/>
      <c r="I799" s="392"/>
      <c r="J799" s="392"/>
      <c r="K799" s="392"/>
      <c r="L799" s="392"/>
      <c r="M799" s="392"/>
      <c r="N799" s="392"/>
      <c r="O799" s="392"/>
      <c r="P799" s="392"/>
      <c r="Q799" s="392"/>
      <c r="R799" s="392"/>
      <c r="S799" s="392"/>
      <c r="T799" s="392"/>
      <c r="U799" s="392"/>
      <c r="V799" s="392"/>
      <c r="W799" s="392"/>
      <c r="X799" s="392"/>
      <c r="Y799" s="392"/>
      <c r="Z799" s="392"/>
      <c r="AA799" s="392"/>
      <c r="AB799" s="392"/>
      <c r="AC799" s="392"/>
      <c r="AD799" s="392"/>
      <c r="AE799" s="392"/>
      <c r="AF799" s="392"/>
    </row>
    <row r="800" ht="15.75" customHeight="1">
      <c r="A800" s="216"/>
      <c r="B800" s="156"/>
      <c r="C800" s="156"/>
      <c r="D800" s="156"/>
      <c r="E800" s="392"/>
      <c r="F800" s="392"/>
      <c r="G800" s="392"/>
      <c r="H800" s="392"/>
      <c r="I800" s="392"/>
      <c r="J800" s="392"/>
      <c r="K800" s="392"/>
      <c r="L800" s="392"/>
      <c r="M800" s="392"/>
      <c r="N800" s="392"/>
      <c r="O800" s="392"/>
      <c r="P800" s="392"/>
      <c r="Q800" s="392"/>
      <c r="R800" s="392"/>
      <c r="S800" s="392"/>
      <c r="T800" s="392"/>
      <c r="U800" s="392"/>
      <c r="V800" s="392"/>
      <c r="W800" s="392"/>
      <c r="X800" s="392"/>
      <c r="Y800" s="392"/>
      <c r="Z800" s="392"/>
      <c r="AA800" s="392"/>
      <c r="AB800" s="392"/>
      <c r="AC800" s="392"/>
      <c r="AD800" s="392"/>
      <c r="AE800" s="392"/>
      <c r="AF800" s="392"/>
    </row>
    <row r="801" ht="15.75" customHeight="1">
      <c r="A801" s="216"/>
      <c r="B801" s="156"/>
      <c r="C801" s="156"/>
      <c r="D801" s="156"/>
      <c r="E801" s="392"/>
      <c r="F801" s="392"/>
      <c r="G801" s="392"/>
      <c r="H801" s="392"/>
      <c r="I801" s="392"/>
      <c r="J801" s="392"/>
      <c r="K801" s="392"/>
      <c r="L801" s="392"/>
      <c r="M801" s="392"/>
      <c r="N801" s="392"/>
      <c r="O801" s="392"/>
      <c r="P801" s="392"/>
      <c r="Q801" s="392"/>
      <c r="R801" s="392"/>
      <c r="S801" s="392"/>
      <c r="T801" s="392"/>
      <c r="U801" s="392"/>
      <c r="V801" s="392"/>
      <c r="W801" s="392"/>
      <c r="X801" s="392"/>
      <c r="Y801" s="392"/>
      <c r="Z801" s="392"/>
      <c r="AA801" s="392"/>
      <c r="AB801" s="392"/>
      <c r="AC801" s="392"/>
      <c r="AD801" s="392"/>
      <c r="AE801" s="392"/>
      <c r="AF801" s="392"/>
    </row>
    <row r="802" ht="15.75" customHeight="1">
      <c r="A802" s="216"/>
      <c r="B802" s="156"/>
      <c r="C802" s="156"/>
      <c r="D802" s="156"/>
      <c r="E802" s="392"/>
      <c r="F802" s="392"/>
      <c r="G802" s="392"/>
      <c r="H802" s="392"/>
      <c r="I802" s="392"/>
      <c r="J802" s="392"/>
      <c r="K802" s="392"/>
      <c r="L802" s="392"/>
      <c r="M802" s="392"/>
      <c r="N802" s="392"/>
      <c r="O802" s="392"/>
      <c r="P802" s="392"/>
      <c r="Q802" s="392"/>
      <c r="R802" s="392"/>
      <c r="S802" s="392"/>
      <c r="T802" s="392"/>
      <c r="U802" s="392"/>
      <c r="V802" s="392"/>
      <c r="W802" s="392"/>
      <c r="X802" s="392"/>
      <c r="Y802" s="392"/>
      <c r="Z802" s="392"/>
      <c r="AA802" s="392"/>
      <c r="AB802" s="392"/>
      <c r="AC802" s="392"/>
      <c r="AD802" s="392"/>
      <c r="AE802" s="392"/>
      <c r="AF802" s="392"/>
    </row>
    <row r="803" ht="15.75" customHeight="1">
      <c r="A803" s="216"/>
      <c r="B803" s="156"/>
      <c r="C803" s="156"/>
      <c r="D803" s="156"/>
      <c r="E803" s="392"/>
      <c r="F803" s="392"/>
      <c r="G803" s="392"/>
      <c r="H803" s="392"/>
      <c r="I803" s="392"/>
      <c r="J803" s="392"/>
      <c r="K803" s="392"/>
      <c r="L803" s="392"/>
      <c r="M803" s="392"/>
      <c r="N803" s="392"/>
      <c r="O803" s="392"/>
      <c r="P803" s="392"/>
      <c r="Q803" s="392"/>
      <c r="R803" s="392"/>
      <c r="S803" s="392"/>
      <c r="T803" s="392"/>
      <c r="U803" s="392"/>
      <c r="V803" s="392"/>
      <c r="W803" s="392"/>
      <c r="X803" s="392"/>
      <c r="Y803" s="392"/>
      <c r="Z803" s="392"/>
      <c r="AA803" s="392"/>
      <c r="AB803" s="392"/>
      <c r="AC803" s="392"/>
      <c r="AD803" s="392"/>
      <c r="AE803" s="392"/>
      <c r="AF803" s="392"/>
    </row>
    <row r="804" ht="15.75" customHeight="1">
      <c r="A804" s="216"/>
      <c r="B804" s="156"/>
      <c r="C804" s="156"/>
      <c r="D804" s="156"/>
      <c r="E804" s="392"/>
      <c r="F804" s="392"/>
      <c r="G804" s="392"/>
      <c r="H804" s="392"/>
      <c r="I804" s="392"/>
      <c r="J804" s="392"/>
      <c r="K804" s="392"/>
      <c r="L804" s="392"/>
      <c r="M804" s="392"/>
      <c r="N804" s="392"/>
      <c r="O804" s="392"/>
      <c r="P804" s="392"/>
      <c r="Q804" s="392"/>
      <c r="R804" s="392"/>
      <c r="S804" s="392"/>
      <c r="T804" s="392"/>
      <c r="U804" s="392"/>
      <c r="V804" s="392"/>
      <c r="W804" s="392"/>
      <c r="X804" s="392"/>
      <c r="Y804" s="392"/>
      <c r="Z804" s="392"/>
      <c r="AA804" s="392"/>
      <c r="AB804" s="392"/>
      <c r="AC804" s="392"/>
      <c r="AD804" s="392"/>
      <c r="AE804" s="392"/>
      <c r="AF804" s="392"/>
    </row>
    <row r="805" ht="15.75" customHeight="1">
      <c r="A805" s="216"/>
      <c r="B805" s="156"/>
      <c r="C805" s="156"/>
      <c r="D805" s="156"/>
      <c r="E805" s="392"/>
      <c r="F805" s="392"/>
      <c r="G805" s="392"/>
      <c r="H805" s="392"/>
      <c r="I805" s="392"/>
      <c r="J805" s="392"/>
      <c r="K805" s="392"/>
      <c r="L805" s="392"/>
      <c r="M805" s="392"/>
      <c r="N805" s="392"/>
      <c r="O805" s="392"/>
      <c r="P805" s="392"/>
      <c r="Q805" s="392"/>
      <c r="R805" s="392"/>
      <c r="S805" s="392"/>
      <c r="T805" s="392"/>
      <c r="U805" s="392"/>
      <c r="V805" s="392"/>
      <c r="W805" s="392"/>
      <c r="X805" s="392"/>
      <c r="Y805" s="392"/>
      <c r="Z805" s="392"/>
      <c r="AA805" s="392"/>
      <c r="AB805" s="392"/>
      <c r="AC805" s="392"/>
      <c r="AD805" s="392"/>
      <c r="AE805" s="392"/>
      <c r="AF805" s="392"/>
    </row>
    <row r="806" ht="15.75" customHeight="1">
      <c r="A806" s="216"/>
      <c r="B806" s="156"/>
      <c r="C806" s="156"/>
      <c r="D806" s="156"/>
      <c r="E806" s="392"/>
      <c r="F806" s="392"/>
      <c r="G806" s="392"/>
      <c r="H806" s="392"/>
      <c r="I806" s="392"/>
      <c r="J806" s="392"/>
      <c r="K806" s="392"/>
      <c r="L806" s="392"/>
      <c r="M806" s="392"/>
      <c r="N806" s="392"/>
      <c r="O806" s="392"/>
      <c r="P806" s="392"/>
      <c r="Q806" s="392"/>
      <c r="R806" s="392"/>
      <c r="S806" s="392"/>
      <c r="T806" s="392"/>
      <c r="U806" s="392"/>
      <c r="V806" s="392"/>
      <c r="W806" s="392"/>
      <c r="X806" s="392"/>
      <c r="Y806" s="392"/>
      <c r="Z806" s="392"/>
      <c r="AA806" s="392"/>
      <c r="AB806" s="392"/>
      <c r="AC806" s="392"/>
      <c r="AD806" s="392"/>
      <c r="AE806" s="392"/>
      <c r="AF806" s="392"/>
    </row>
    <row r="807" ht="15.75" customHeight="1">
      <c r="A807" s="216"/>
      <c r="B807" s="156"/>
      <c r="C807" s="156"/>
      <c r="D807" s="156"/>
      <c r="E807" s="392"/>
      <c r="F807" s="392"/>
      <c r="G807" s="392"/>
      <c r="H807" s="392"/>
      <c r="I807" s="392"/>
      <c r="J807" s="392"/>
      <c r="K807" s="392"/>
      <c r="L807" s="392"/>
      <c r="M807" s="392"/>
      <c r="N807" s="392"/>
      <c r="O807" s="392"/>
      <c r="P807" s="392"/>
      <c r="Q807" s="392"/>
      <c r="R807" s="392"/>
      <c r="S807" s="392"/>
      <c r="T807" s="392"/>
      <c r="U807" s="392"/>
      <c r="V807" s="392"/>
      <c r="W807" s="392"/>
      <c r="X807" s="392"/>
      <c r="Y807" s="392"/>
      <c r="Z807" s="392"/>
      <c r="AA807" s="392"/>
      <c r="AB807" s="392"/>
      <c r="AC807" s="392"/>
      <c r="AD807" s="392"/>
      <c r="AE807" s="392"/>
      <c r="AF807" s="392"/>
    </row>
    <row r="808" ht="15.75" customHeight="1">
      <c r="A808" s="216"/>
      <c r="B808" s="156"/>
      <c r="C808" s="156"/>
      <c r="D808" s="156"/>
      <c r="E808" s="392"/>
      <c r="F808" s="392"/>
      <c r="G808" s="392"/>
      <c r="H808" s="392"/>
      <c r="I808" s="392"/>
      <c r="J808" s="392"/>
      <c r="K808" s="392"/>
      <c r="L808" s="392"/>
      <c r="M808" s="392"/>
      <c r="N808" s="392"/>
      <c r="O808" s="392"/>
      <c r="P808" s="392"/>
      <c r="Q808" s="392"/>
      <c r="R808" s="392"/>
      <c r="S808" s="392"/>
      <c r="T808" s="392"/>
      <c r="U808" s="392"/>
      <c r="V808" s="392"/>
      <c r="W808" s="392"/>
      <c r="X808" s="392"/>
      <c r="Y808" s="392"/>
      <c r="Z808" s="392"/>
      <c r="AA808" s="392"/>
      <c r="AB808" s="392"/>
      <c r="AC808" s="392"/>
      <c r="AD808" s="392"/>
      <c r="AE808" s="392"/>
      <c r="AF808" s="392"/>
    </row>
    <row r="809" ht="15.75" customHeight="1">
      <c r="A809" s="216"/>
      <c r="B809" s="156"/>
      <c r="C809" s="156"/>
      <c r="D809" s="156"/>
      <c r="E809" s="392"/>
      <c r="F809" s="392"/>
      <c r="G809" s="392"/>
      <c r="H809" s="392"/>
      <c r="I809" s="392"/>
      <c r="J809" s="392"/>
      <c r="K809" s="392"/>
      <c r="L809" s="392"/>
      <c r="M809" s="392"/>
      <c r="N809" s="392"/>
      <c r="O809" s="392"/>
      <c r="P809" s="392"/>
      <c r="Q809" s="392"/>
      <c r="R809" s="392"/>
      <c r="S809" s="392"/>
      <c r="T809" s="392"/>
      <c r="U809" s="392"/>
      <c r="V809" s="392"/>
      <c r="W809" s="392"/>
      <c r="X809" s="392"/>
      <c r="Y809" s="392"/>
      <c r="Z809" s="392"/>
      <c r="AA809" s="392"/>
      <c r="AB809" s="392"/>
      <c r="AC809" s="392"/>
      <c r="AD809" s="392"/>
      <c r="AE809" s="392"/>
      <c r="AF809" s="392"/>
    </row>
    <row r="810" ht="15.75" customHeight="1">
      <c r="A810" s="216"/>
      <c r="B810" s="156"/>
      <c r="C810" s="156"/>
      <c r="D810" s="156"/>
      <c r="E810" s="392"/>
      <c r="F810" s="392"/>
      <c r="G810" s="392"/>
      <c r="H810" s="392"/>
      <c r="I810" s="392"/>
      <c r="J810" s="392"/>
      <c r="K810" s="392"/>
      <c r="L810" s="392"/>
      <c r="M810" s="392"/>
      <c r="N810" s="392"/>
      <c r="O810" s="392"/>
      <c r="P810" s="392"/>
      <c r="Q810" s="392"/>
      <c r="R810" s="392"/>
      <c r="S810" s="392"/>
      <c r="T810" s="392"/>
      <c r="U810" s="392"/>
      <c r="V810" s="392"/>
      <c r="W810" s="392"/>
      <c r="X810" s="392"/>
      <c r="Y810" s="392"/>
      <c r="Z810" s="392"/>
      <c r="AA810" s="392"/>
      <c r="AB810" s="392"/>
      <c r="AC810" s="392"/>
      <c r="AD810" s="392"/>
      <c r="AE810" s="392"/>
      <c r="AF810" s="392"/>
    </row>
    <row r="811" ht="15.75" customHeight="1">
      <c r="A811" s="216"/>
      <c r="B811" s="156"/>
      <c r="C811" s="156"/>
      <c r="D811" s="156"/>
      <c r="E811" s="392"/>
      <c r="F811" s="392"/>
      <c r="G811" s="392"/>
      <c r="H811" s="392"/>
      <c r="I811" s="392"/>
      <c r="J811" s="392"/>
      <c r="K811" s="392"/>
      <c r="L811" s="392"/>
      <c r="M811" s="392"/>
      <c r="N811" s="392"/>
      <c r="O811" s="392"/>
      <c r="P811" s="392"/>
      <c r="Q811" s="392"/>
      <c r="R811" s="392"/>
      <c r="S811" s="392"/>
      <c r="T811" s="392"/>
      <c r="U811" s="392"/>
      <c r="V811" s="392"/>
      <c r="W811" s="392"/>
      <c r="X811" s="392"/>
      <c r="Y811" s="392"/>
      <c r="Z811" s="392"/>
      <c r="AA811" s="392"/>
      <c r="AB811" s="392"/>
      <c r="AC811" s="392"/>
      <c r="AD811" s="392"/>
      <c r="AE811" s="392"/>
      <c r="AF811" s="392"/>
    </row>
    <row r="812" ht="15.75" customHeight="1">
      <c r="A812" s="216"/>
      <c r="B812" s="156"/>
      <c r="C812" s="156"/>
      <c r="D812" s="156"/>
      <c r="E812" s="392"/>
      <c r="F812" s="392"/>
      <c r="G812" s="392"/>
      <c r="H812" s="392"/>
      <c r="I812" s="392"/>
      <c r="J812" s="392"/>
      <c r="K812" s="392"/>
      <c r="L812" s="392"/>
      <c r="M812" s="392"/>
      <c r="N812" s="392"/>
      <c r="O812" s="392"/>
      <c r="P812" s="392"/>
      <c r="Q812" s="392"/>
      <c r="R812" s="392"/>
      <c r="S812" s="392"/>
      <c r="T812" s="392"/>
      <c r="U812" s="392"/>
      <c r="V812" s="392"/>
      <c r="W812" s="392"/>
      <c r="X812" s="392"/>
      <c r="Y812" s="392"/>
      <c r="Z812" s="392"/>
      <c r="AA812" s="392"/>
      <c r="AB812" s="392"/>
      <c r="AC812" s="392"/>
      <c r="AD812" s="392"/>
      <c r="AE812" s="392"/>
      <c r="AF812" s="392"/>
    </row>
    <row r="813" ht="15.75" customHeight="1">
      <c r="A813" s="216"/>
      <c r="B813" s="156"/>
      <c r="C813" s="156"/>
      <c r="D813" s="156"/>
      <c r="E813" s="392"/>
      <c r="F813" s="392"/>
      <c r="G813" s="392"/>
      <c r="H813" s="392"/>
      <c r="I813" s="392"/>
      <c r="J813" s="392"/>
      <c r="K813" s="392"/>
      <c r="L813" s="392"/>
      <c r="M813" s="392"/>
      <c r="N813" s="392"/>
      <c r="O813" s="392"/>
      <c r="P813" s="392"/>
      <c r="Q813" s="392"/>
      <c r="R813" s="392"/>
      <c r="S813" s="392"/>
      <c r="T813" s="392"/>
      <c r="U813" s="392"/>
      <c r="V813" s="392"/>
      <c r="W813" s="392"/>
      <c r="X813" s="392"/>
      <c r="Y813" s="392"/>
      <c r="Z813" s="392"/>
      <c r="AA813" s="392"/>
      <c r="AB813" s="392"/>
      <c r="AC813" s="392"/>
      <c r="AD813" s="392"/>
      <c r="AE813" s="392"/>
      <c r="AF813" s="392"/>
    </row>
    <row r="814" ht="15.75" customHeight="1">
      <c r="A814" s="216"/>
      <c r="B814" s="156"/>
      <c r="C814" s="156"/>
      <c r="D814" s="156"/>
      <c r="E814" s="392"/>
      <c r="F814" s="392"/>
      <c r="G814" s="392"/>
      <c r="H814" s="392"/>
      <c r="I814" s="392"/>
      <c r="J814" s="392"/>
      <c r="K814" s="392"/>
      <c r="L814" s="392"/>
      <c r="M814" s="392"/>
      <c r="N814" s="392"/>
      <c r="O814" s="392"/>
      <c r="P814" s="392"/>
      <c r="Q814" s="392"/>
      <c r="R814" s="392"/>
      <c r="S814" s="392"/>
      <c r="T814" s="392"/>
      <c r="U814" s="392"/>
      <c r="V814" s="392"/>
      <c r="W814" s="392"/>
      <c r="X814" s="392"/>
      <c r="Y814" s="392"/>
      <c r="Z814" s="392"/>
      <c r="AA814" s="392"/>
      <c r="AB814" s="392"/>
      <c r="AC814" s="392"/>
      <c r="AD814" s="392"/>
      <c r="AE814" s="392"/>
      <c r="AF814" s="392"/>
    </row>
    <row r="815" ht="15.75" customHeight="1">
      <c r="A815" s="216"/>
      <c r="B815" s="156"/>
      <c r="C815" s="156"/>
      <c r="D815" s="156"/>
      <c r="E815" s="392"/>
      <c r="F815" s="392"/>
      <c r="G815" s="392"/>
      <c r="H815" s="392"/>
      <c r="I815" s="392"/>
      <c r="J815" s="392"/>
      <c r="K815" s="392"/>
      <c r="L815" s="392"/>
      <c r="M815" s="392"/>
      <c r="N815" s="392"/>
      <c r="O815" s="392"/>
      <c r="P815" s="392"/>
      <c r="Q815" s="392"/>
      <c r="R815" s="392"/>
      <c r="S815" s="392"/>
      <c r="T815" s="392"/>
      <c r="U815" s="392"/>
      <c r="V815" s="392"/>
      <c r="W815" s="392"/>
      <c r="X815" s="392"/>
      <c r="Y815" s="392"/>
      <c r="Z815" s="392"/>
      <c r="AA815" s="392"/>
      <c r="AB815" s="392"/>
      <c r="AC815" s="392"/>
      <c r="AD815" s="392"/>
      <c r="AE815" s="392"/>
      <c r="AF815" s="392"/>
    </row>
    <row r="816" ht="15.75" customHeight="1">
      <c r="A816" s="216"/>
      <c r="B816" s="156"/>
      <c r="C816" s="156"/>
      <c r="D816" s="156"/>
      <c r="E816" s="392"/>
      <c r="F816" s="392"/>
      <c r="G816" s="392"/>
      <c r="H816" s="392"/>
      <c r="I816" s="392"/>
      <c r="J816" s="392"/>
      <c r="K816" s="392"/>
      <c r="L816" s="392"/>
      <c r="M816" s="392"/>
      <c r="N816" s="392"/>
      <c r="O816" s="392"/>
      <c r="P816" s="392"/>
      <c r="Q816" s="392"/>
      <c r="R816" s="392"/>
      <c r="S816" s="392"/>
      <c r="T816" s="392"/>
      <c r="U816" s="392"/>
      <c r="V816" s="392"/>
      <c r="W816" s="392"/>
      <c r="X816" s="392"/>
      <c r="Y816" s="392"/>
      <c r="Z816" s="392"/>
      <c r="AA816" s="392"/>
      <c r="AB816" s="392"/>
      <c r="AC816" s="392"/>
      <c r="AD816" s="392"/>
      <c r="AE816" s="392"/>
      <c r="AF816" s="392"/>
    </row>
    <row r="817" ht="15.75" customHeight="1">
      <c r="A817" s="216"/>
      <c r="B817" s="156"/>
      <c r="C817" s="156"/>
      <c r="D817" s="156"/>
      <c r="E817" s="392"/>
      <c r="F817" s="392"/>
      <c r="G817" s="392"/>
      <c r="H817" s="392"/>
      <c r="I817" s="392"/>
      <c r="J817" s="392"/>
      <c r="K817" s="392"/>
      <c r="L817" s="392"/>
      <c r="M817" s="392"/>
      <c r="N817" s="392"/>
      <c r="O817" s="392"/>
      <c r="P817" s="392"/>
      <c r="Q817" s="392"/>
      <c r="R817" s="392"/>
      <c r="S817" s="392"/>
      <c r="T817" s="392"/>
      <c r="U817" s="392"/>
      <c r="V817" s="392"/>
      <c r="W817" s="392"/>
      <c r="X817" s="392"/>
      <c r="Y817" s="392"/>
      <c r="Z817" s="392"/>
      <c r="AA817" s="392"/>
      <c r="AB817" s="392"/>
      <c r="AC817" s="392"/>
      <c r="AD817" s="392"/>
      <c r="AE817" s="392"/>
      <c r="AF817" s="392"/>
    </row>
    <row r="818" ht="15.75" customHeight="1">
      <c r="A818" s="216"/>
      <c r="B818" s="156"/>
      <c r="C818" s="156"/>
      <c r="D818" s="156"/>
      <c r="E818" s="392"/>
      <c r="F818" s="392"/>
      <c r="G818" s="392"/>
      <c r="H818" s="392"/>
      <c r="I818" s="392"/>
      <c r="J818" s="392"/>
      <c r="K818" s="392"/>
      <c r="L818" s="392"/>
      <c r="M818" s="392"/>
      <c r="N818" s="392"/>
      <c r="O818" s="392"/>
      <c r="P818" s="392"/>
      <c r="Q818" s="392"/>
      <c r="R818" s="392"/>
      <c r="S818" s="392"/>
      <c r="T818" s="392"/>
      <c r="U818" s="392"/>
      <c r="V818" s="392"/>
      <c r="W818" s="392"/>
      <c r="X818" s="392"/>
      <c r="Y818" s="392"/>
      <c r="Z818" s="392"/>
      <c r="AA818" s="392"/>
      <c r="AB818" s="392"/>
      <c r="AC818" s="392"/>
      <c r="AD818" s="392"/>
      <c r="AE818" s="392"/>
      <c r="AF818" s="392"/>
    </row>
    <row r="819" ht="15.75" customHeight="1">
      <c r="A819" s="216"/>
      <c r="B819" s="156"/>
      <c r="C819" s="156"/>
      <c r="D819" s="156"/>
      <c r="E819" s="392"/>
      <c r="F819" s="392"/>
      <c r="G819" s="392"/>
      <c r="H819" s="392"/>
      <c r="I819" s="392"/>
      <c r="J819" s="392"/>
      <c r="K819" s="392"/>
      <c r="L819" s="392"/>
      <c r="M819" s="392"/>
      <c r="N819" s="392"/>
      <c r="O819" s="392"/>
      <c r="P819" s="392"/>
      <c r="Q819" s="392"/>
      <c r="R819" s="392"/>
      <c r="S819" s="392"/>
      <c r="T819" s="392"/>
      <c r="U819" s="392"/>
      <c r="V819" s="392"/>
      <c r="W819" s="392"/>
      <c r="X819" s="392"/>
      <c r="Y819" s="392"/>
      <c r="Z819" s="392"/>
      <c r="AA819" s="392"/>
      <c r="AB819" s="392"/>
      <c r="AC819" s="392"/>
      <c r="AD819" s="392"/>
      <c r="AE819" s="392"/>
      <c r="AF819" s="392"/>
    </row>
    <row r="820" ht="15.75" customHeight="1">
      <c r="A820" s="216"/>
      <c r="B820" s="156"/>
      <c r="C820" s="156"/>
      <c r="D820" s="156"/>
      <c r="E820" s="392"/>
      <c r="F820" s="392"/>
      <c r="G820" s="392"/>
      <c r="H820" s="392"/>
      <c r="I820" s="392"/>
      <c r="J820" s="392"/>
      <c r="K820" s="392"/>
      <c r="L820" s="392"/>
      <c r="M820" s="392"/>
      <c r="N820" s="392"/>
      <c r="O820" s="392"/>
      <c r="P820" s="392"/>
      <c r="Q820" s="392"/>
      <c r="R820" s="392"/>
      <c r="S820" s="392"/>
      <c r="T820" s="392"/>
      <c r="U820" s="392"/>
      <c r="V820" s="392"/>
      <c r="W820" s="392"/>
      <c r="X820" s="392"/>
      <c r="Y820" s="392"/>
      <c r="Z820" s="392"/>
      <c r="AA820" s="392"/>
      <c r="AB820" s="392"/>
      <c r="AC820" s="392"/>
      <c r="AD820" s="392"/>
      <c r="AE820" s="392"/>
      <c r="AF820" s="392"/>
    </row>
    <row r="821" ht="15.75" customHeight="1">
      <c r="A821" s="216"/>
      <c r="B821" s="156"/>
      <c r="C821" s="156"/>
      <c r="D821" s="156"/>
      <c r="E821" s="392"/>
      <c r="F821" s="392"/>
      <c r="G821" s="392"/>
      <c r="H821" s="392"/>
      <c r="I821" s="392"/>
      <c r="J821" s="392"/>
      <c r="K821" s="392"/>
      <c r="L821" s="392"/>
      <c r="M821" s="392"/>
      <c r="N821" s="392"/>
      <c r="O821" s="392"/>
      <c r="P821" s="392"/>
      <c r="Q821" s="392"/>
      <c r="R821" s="392"/>
      <c r="S821" s="392"/>
      <c r="T821" s="392"/>
      <c r="U821" s="392"/>
      <c r="V821" s="392"/>
      <c r="W821" s="392"/>
      <c r="X821" s="392"/>
      <c r="Y821" s="392"/>
      <c r="Z821" s="392"/>
      <c r="AA821" s="392"/>
      <c r="AB821" s="392"/>
      <c r="AC821" s="392"/>
      <c r="AD821" s="392"/>
      <c r="AE821" s="392"/>
      <c r="AF821" s="392"/>
    </row>
    <row r="822" ht="15.75" customHeight="1">
      <c r="A822" s="216"/>
      <c r="B822" s="156"/>
      <c r="C822" s="156"/>
      <c r="D822" s="156"/>
      <c r="E822" s="392"/>
      <c r="F822" s="392"/>
      <c r="G822" s="392"/>
      <c r="H822" s="392"/>
      <c r="I822" s="392"/>
      <c r="J822" s="392"/>
      <c r="K822" s="392"/>
      <c r="L822" s="392"/>
      <c r="M822" s="392"/>
      <c r="N822" s="392"/>
      <c r="O822" s="392"/>
      <c r="P822" s="392"/>
      <c r="Q822" s="392"/>
      <c r="R822" s="392"/>
      <c r="S822" s="392"/>
      <c r="T822" s="392"/>
      <c r="U822" s="392"/>
      <c r="V822" s="392"/>
      <c r="W822" s="392"/>
      <c r="X822" s="392"/>
      <c r="Y822" s="392"/>
      <c r="Z822" s="392"/>
      <c r="AA822" s="392"/>
      <c r="AB822" s="392"/>
      <c r="AC822" s="392"/>
      <c r="AD822" s="392"/>
      <c r="AE822" s="392"/>
      <c r="AF822" s="392"/>
    </row>
    <row r="823" ht="15.75" customHeight="1">
      <c r="A823" s="216"/>
      <c r="B823" s="156"/>
      <c r="C823" s="156"/>
      <c r="D823" s="156"/>
      <c r="E823" s="392"/>
      <c r="F823" s="392"/>
      <c r="G823" s="392"/>
      <c r="H823" s="392"/>
      <c r="I823" s="392"/>
      <c r="J823" s="392"/>
      <c r="K823" s="392"/>
      <c r="L823" s="392"/>
      <c r="M823" s="392"/>
      <c r="N823" s="392"/>
      <c r="O823" s="392"/>
      <c r="P823" s="392"/>
      <c r="Q823" s="392"/>
      <c r="R823" s="392"/>
      <c r="S823" s="392"/>
      <c r="T823" s="392"/>
      <c r="U823" s="392"/>
      <c r="V823" s="392"/>
      <c r="W823" s="392"/>
      <c r="X823" s="392"/>
      <c r="Y823" s="392"/>
      <c r="Z823" s="392"/>
      <c r="AA823" s="392"/>
      <c r="AB823" s="392"/>
      <c r="AC823" s="392"/>
      <c r="AD823" s="392"/>
      <c r="AE823" s="392"/>
      <c r="AF823" s="392"/>
    </row>
    <row r="824" ht="15.75" customHeight="1">
      <c r="A824" s="216"/>
      <c r="B824" s="156"/>
      <c r="C824" s="156"/>
      <c r="D824" s="156"/>
      <c r="E824" s="392"/>
      <c r="F824" s="392"/>
      <c r="G824" s="392"/>
      <c r="H824" s="392"/>
      <c r="I824" s="392"/>
      <c r="J824" s="392"/>
      <c r="K824" s="392"/>
      <c r="L824" s="392"/>
      <c r="M824" s="392"/>
      <c r="N824" s="392"/>
      <c r="O824" s="392"/>
      <c r="P824" s="392"/>
      <c r="Q824" s="392"/>
      <c r="R824" s="392"/>
      <c r="S824" s="392"/>
      <c r="T824" s="392"/>
      <c r="U824" s="392"/>
      <c r="V824" s="392"/>
      <c r="W824" s="392"/>
      <c r="X824" s="392"/>
      <c r="Y824" s="392"/>
      <c r="Z824" s="392"/>
      <c r="AA824" s="392"/>
      <c r="AB824" s="392"/>
      <c r="AC824" s="392"/>
      <c r="AD824" s="392"/>
      <c r="AE824" s="392"/>
      <c r="AF824" s="392"/>
    </row>
    <row r="825" ht="15.75" customHeight="1">
      <c r="A825" s="216"/>
      <c r="B825" s="156"/>
      <c r="C825" s="156"/>
      <c r="D825" s="156"/>
      <c r="E825" s="392"/>
      <c r="F825" s="392"/>
      <c r="G825" s="392"/>
      <c r="H825" s="392"/>
      <c r="I825" s="392"/>
      <c r="J825" s="392"/>
      <c r="K825" s="392"/>
      <c r="L825" s="392"/>
      <c r="M825" s="392"/>
      <c r="N825" s="392"/>
      <c r="O825" s="392"/>
      <c r="P825" s="392"/>
      <c r="Q825" s="392"/>
      <c r="R825" s="392"/>
      <c r="S825" s="392"/>
      <c r="T825" s="392"/>
      <c r="U825" s="392"/>
      <c r="V825" s="392"/>
      <c r="W825" s="392"/>
      <c r="X825" s="392"/>
      <c r="Y825" s="392"/>
      <c r="Z825" s="392"/>
      <c r="AA825" s="392"/>
      <c r="AB825" s="392"/>
      <c r="AC825" s="392"/>
      <c r="AD825" s="392"/>
      <c r="AE825" s="392"/>
      <c r="AF825" s="392"/>
    </row>
    <row r="826" ht="15.75" customHeight="1">
      <c r="A826" s="216"/>
      <c r="B826" s="156"/>
      <c r="C826" s="156"/>
      <c r="D826" s="156"/>
      <c r="E826" s="392"/>
      <c r="F826" s="392"/>
      <c r="G826" s="392"/>
      <c r="H826" s="392"/>
      <c r="I826" s="392"/>
      <c r="J826" s="392"/>
      <c r="K826" s="392"/>
      <c r="L826" s="392"/>
      <c r="M826" s="392"/>
      <c r="N826" s="392"/>
      <c r="O826" s="392"/>
      <c r="P826" s="392"/>
      <c r="Q826" s="392"/>
      <c r="R826" s="392"/>
      <c r="S826" s="392"/>
      <c r="T826" s="392"/>
      <c r="U826" s="392"/>
      <c r="V826" s="392"/>
      <c r="W826" s="392"/>
      <c r="X826" s="392"/>
      <c r="Y826" s="392"/>
      <c r="Z826" s="392"/>
      <c r="AA826" s="392"/>
      <c r="AB826" s="392"/>
      <c r="AC826" s="392"/>
      <c r="AD826" s="392"/>
      <c r="AE826" s="392"/>
      <c r="AF826" s="392"/>
    </row>
    <row r="827" ht="15.75" customHeight="1">
      <c r="A827" s="216"/>
      <c r="B827" s="156"/>
      <c r="C827" s="156"/>
      <c r="D827" s="156"/>
      <c r="E827" s="392"/>
      <c r="F827" s="392"/>
      <c r="G827" s="392"/>
      <c r="H827" s="392"/>
      <c r="I827" s="392"/>
      <c r="J827" s="392"/>
      <c r="K827" s="392"/>
      <c r="L827" s="392"/>
      <c r="M827" s="392"/>
      <c r="N827" s="392"/>
      <c r="O827" s="392"/>
      <c r="P827" s="392"/>
      <c r="Q827" s="392"/>
      <c r="R827" s="392"/>
      <c r="S827" s="392"/>
      <c r="T827" s="392"/>
      <c r="U827" s="392"/>
      <c r="V827" s="392"/>
      <c r="W827" s="392"/>
      <c r="X827" s="392"/>
      <c r="Y827" s="392"/>
      <c r="Z827" s="392"/>
      <c r="AA827" s="392"/>
      <c r="AB827" s="392"/>
      <c r="AC827" s="392"/>
      <c r="AD827" s="392"/>
      <c r="AE827" s="392"/>
      <c r="AF827" s="392"/>
    </row>
    <row r="828" ht="15.75" customHeight="1">
      <c r="A828" s="216"/>
      <c r="B828" s="156"/>
      <c r="C828" s="156"/>
      <c r="D828" s="156"/>
      <c r="E828" s="392"/>
      <c r="F828" s="392"/>
      <c r="G828" s="392"/>
      <c r="H828" s="392"/>
      <c r="I828" s="392"/>
      <c r="J828" s="392"/>
      <c r="K828" s="392"/>
      <c r="L828" s="392"/>
      <c r="M828" s="392"/>
      <c r="N828" s="392"/>
      <c r="O828" s="392"/>
      <c r="P828" s="392"/>
      <c r="Q828" s="392"/>
      <c r="R828" s="392"/>
      <c r="S828" s="392"/>
      <c r="T828" s="392"/>
      <c r="U828" s="392"/>
      <c r="V828" s="392"/>
      <c r="W828" s="392"/>
      <c r="X828" s="392"/>
      <c r="Y828" s="392"/>
      <c r="Z828" s="392"/>
      <c r="AA828" s="392"/>
      <c r="AB828" s="392"/>
      <c r="AC828" s="392"/>
      <c r="AD828" s="392"/>
      <c r="AE828" s="392"/>
      <c r="AF828" s="392"/>
    </row>
    <row r="829" ht="15.75" customHeight="1">
      <c r="A829" s="216"/>
      <c r="B829" s="156"/>
      <c r="C829" s="156"/>
      <c r="D829" s="156"/>
      <c r="E829" s="392"/>
      <c r="F829" s="392"/>
      <c r="G829" s="392"/>
      <c r="H829" s="392"/>
      <c r="I829" s="392"/>
      <c r="J829" s="392"/>
      <c r="K829" s="392"/>
      <c r="L829" s="392"/>
      <c r="M829" s="392"/>
      <c r="N829" s="392"/>
      <c r="O829" s="392"/>
      <c r="P829" s="392"/>
      <c r="Q829" s="392"/>
      <c r="R829" s="392"/>
      <c r="S829" s="392"/>
      <c r="T829" s="392"/>
      <c r="U829" s="392"/>
      <c r="V829" s="392"/>
      <c r="W829" s="392"/>
      <c r="X829" s="392"/>
      <c r="Y829" s="392"/>
      <c r="Z829" s="392"/>
      <c r="AA829" s="392"/>
      <c r="AB829" s="392"/>
      <c r="AC829" s="392"/>
      <c r="AD829" s="392"/>
      <c r="AE829" s="392"/>
      <c r="AF829" s="392"/>
    </row>
    <row r="830" ht="15.75" customHeight="1">
      <c r="A830" s="216"/>
      <c r="B830" s="156"/>
      <c r="C830" s="156"/>
      <c r="D830" s="156"/>
      <c r="E830" s="392"/>
      <c r="F830" s="392"/>
      <c r="G830" s="392"/>
      <c r="H830" s="392"/>
      <c r="I830" s="392"/>
      <c r="J830" s="392"/>
      <c r="K830" s="392"/>
      <c r="L830" s="392"/>
      <c r="M830" s="392"/>
      <c r="N830" s="392"/>
      <c r="O830" s="392"/>
      <c r="P830" s="392"/>
      <c r="Q830" s="392"/>
      <c r="R830" s="392"/>
      <c r="S830" s="392"/>
      <c r="T830" s="392"/>
      <c r="U830" s="392"/>
      <c r="V830" s="392"/>
      <c r="W830" s="392"/>
      <c r="X830" s="392"/>
      <c r="Y830" s="392"/>
      <c r="Z830" s="392"/>
      <c r="AA830" s="392"/>
      <c r="AB830" s="392"/>
      <c r="AC830" s="392"/>
      <c r="AD830" s="392"/>
      <c r="AE830" s="392"/>
      <c r="AF830" s="392"/>
    </row>
    <row r="831" ht="15.75" customHeight="1">
      <c r="A831" s="216"/>
      <c r="B831" s="156"/>
      <c r="C831" s="156"/>
      <c r="D831" s="156"/>
      <c r="E831" s="392"/>
      <c r="F831" s="392"/>
      <c r="G831" s="392"/>
      <c r="H831" s="392"/>
      <c r="I831" s="392"/>
      <c r="J831" s="392"/>
      <c r="K831" s="392"/>
      <c r="L831" s="392"/>
      <c r="M831" s="392"/>
      <c r="N831" s="392"/>
      <c r="O831" s="392"/>
      <c r="P831" s="392"/>
      <c r="Q831" s="392"/>
      <c r="R831" s="392"/>
      <c r="S831" s="392"/>
      <c r="T831" s="392"/>
      <c r="U831" s="392"/>
      <c r="V831" s="392"/>
      <c r="W831" s="392"/>
      <c r="X831" s="392"/>
      <c r="Y831" s="392"/>
      <c r="Z831" s="392"/>
      <c r="AA831" s="392"/>
      <c r="AB831" s="392"/>
      <c r="AC831" s="392"/>
      <c r="AD831" s="392"/>
      <c r="AE831" s="392"/>
      <c r="AF831" s="392"/>
    </row>
    <row r="832" ht="15.75" customHeight="1">
      <c r="A832" s="216"/>
      <c r="B832" s="156"/>
      <c r="C832" s="156"/>
      <c r="D832" s="156"/>
      <c r="E832" s="392"/>
      <c r="F832" s="392"/>
      <c r="G832" s="392"/>
      <c r="H832" s="392"/>
      <c r="I832" s="392"/>
      <c r="J832" s="392"/>
      <c r="K832" s="392"/>
      <c r="L832" s="392"/>
      <c r="M832" s="392"/>
      <c r="N832" s="392"/>
      <c r="O832" s="392"/>
      <c r="P832" s="392"/>
      <c r="Q832" s="392"/>
      <c r="R832" s="392"/>
      <c r="S832" s="392"/>
      <c r="T832" s="392"/>
      <c r="U832" s="392"/>
      <c r="V832" s="392"/>
      <c r="W832" s="392"/>
      <c r="X832" s="392"/>
      <c r="Y832" s="392"/>
      <c r="Z832" s="392"/>
      <c r="AA832" s="392"/>
      <c r="AB832" s="392"/>
      <c r="AC832" s="392"/>
      <c r="AD832" s="392"/>
      <c r="AE832" s="392"/>
      <c r="AF832" s="392"/>
    </row>
    <row r="833" ht="15.75" customHeight="1">
      <c r="A833" s="216"/>
      <c r="B833" s="156"/>
      <c r="C833" s="156"/>
      <c r="D833" s="156"/>
      <c r="E833" s="392"/>
      <c r="F833" s="392"/>
      <c r="G833" s="392"/>
      <c r="H833" s="392"/>
      <c r="I833" s="392"/>
      <c r="J833" s="392"/>
      <c r="K833" s="392"/>
      <c r="L833" s="392"/>
      <c r="M833" s="392"/>
      <c r="N833" s="392"/>
      <c r="O833" s="392"/>
      <c r="P833" s="392"/>
      <c r="Q833" s="392"/>
      <c r="R833" s="392"/>
      <c r="S833" s="392"/>
      <c r="T833" s="392"/>
      <c r="U833" s="392"/>
      <c r="V833" s="392"/>
      <c r="W833" s="392"/>
      <c r="X833" s="392"/>
      <c r="Y833" s="392"/>
      <c r="Z833" s="392"/>
      <c r="AA833" s="392"/>
      <c r="AB833" s="392"/>
      <c r="AC833" s="392"/>
      <c r="AD833" s="392"/>
      <c r="AE833" s="392"/>
      <c r="AF833" s="392"/>
    </row>
    <row r="834" ht="15.75" customHeight="1">
      <c r="A834" s="216"/>
      <c r="B834" s="156"/>
      <c r="C834" s="156"/>
      <c r="D834" s="156"/>
      <c r="E834" s="392"/>
      <c r="F834" s="392"/>
      <c r="G834" s="392"/>
      <c r="H834" s="392"/>
      <c r="I834" s="392"/>
      <c r="J834" s="392"/>
      <c r="K834" s="392"/>
      <c r="L834" s="392"/>
      <c r="M834" s="392"/>
      <c r="N834" s="392"/>
      <c r="O834" s="392"/>
      <c r="P834" s="392"/>
      <c r="Q834" s="392"/>
      <c r="R834" s="392"/>
      <c r="S834" s="392"/>
      <c r="T834" s="392"/>
      <c r="U834" s="392"/>
      <c r="V834" s="392"/>
      <c r="W834" s="392"/>
      <c r="X834" s="392"/>
      <c r="Y834" s="392"/>
      <c r="Z834" s="392"/>
      <c r="AA834" s="392"/>
      <c r="AB834" s="392"/>
      <c r="AC834" s="392"/>
      <c r="AD834" s="392"/>
      <c r="AE834" s="392"/>
      <c r="AF834" s="392"/>
    </row>
    <row r="835" ht="15.75" customHeight="1">
      <c r="A835" s="216"/>
      <c r="B835" s="156"/>
      <c r="C835" s="156"/>
      <c r="D835" s="156"/>
      <c r="E835" s="392"/>
      <c r="F835" s="392"/>
      <c r="G835" s="392"/>
      <c r="H835" s="392"/>
      <c r="I835" s="392"/>
      <c r="J835" s="392"/>
      <c r="K835" s="392"/>
      <c r="L835" s="392"/>
      <c r="M835" s="392"/>
      <c r="N835" s="392"/>
      <c r="O835" s="392"/>
      <c r="P835" s="392"/>
      <c r="Q835" s="392"/>
      <c r="R835" s="392"/>
      <c r="S835" s="392"/>
      <c r="T835" s="392"/>
      <c r="U835" s="392"/>
      <c r="V835" s="392"/>
      <c r="W835" s="392"/>
      <c r="X835" s="392"/>
      <c r="Y835" s="392"/>
      <c r="Z835" s="392"/>
      <c r="AA835" s="392"/>
      <c r="AB835" s="392"/>
      <c r="AC835" s="392"/>
      <c r="AD835" s="392"/>
      <c r="AE835" s="392"/>
      <c r="AF835" s="392"/>
    </row>
    <row r="836" ht="15.75" customHeight="1">
      <c r="A836" s="216"/>
      <c r="B836" s="156"/>
      <c r="C836" s="156"/>
      <c r="D836" s="156"/>
      <c r="E836" s="392"/>
      <c r="F836" s="392"/>
      <c r="G836" s="392"/>
      <c r="H836" s="392"/>
      <c r="I836" s="392"/>
      <c r="J836" s="392"/>
      <c r="K836" s="392"/>
      <c r="L836" s="392"/>
      <c r="M836" s="392"/>
      <c r="N836" s="392"/>
      <c r="O836" s="392"/>
      <c r="P836" s="392"/>
      <c r="Q836" s="392"/>
      <c r="R836" s="392"/>
      <c r="S836" s="392"/>
      <c r="T836" s="392"/>
      <c r="U836" s="392"/>
      <c r="V836" s="392"/>
      <c r="W836" s="392"/>
      <c r="X836" s="392"/>
      <c r="Y836" s="392"/>
      <c r="Z836" s="392"/>
      <c r="AA836" s="392"/>
      <c r="AB836" s="392"/>
      <c r="AC836" s="392"/>
      <c r="AD836" s="392"/>
      <c r="AE836" s="392"/>
      <c r="AF836" s="392"/>
    </row>
    <row r="837" ht="15.75" customHeight="1">
      <c r="A837" s="216"/>
      <c r="B837" s="156"/>
      <c r="C837" s="156"/>
      <c r="D837" s="156"/>
      <c r="E837" s="392"/>
      <c r="F837" s="392"/>
      <c r="G837" s="392"/>
      <c r="H837" s="392"/>
      <c r="I837" s="392"/>
      <c r="J837" s="392"/>
      <c r="K837" s="392"/>
      <c r="L837" s="392"/>
      <c r="M837" s="392"/>
      <c r="N837" s="392"/>
      <c r="O837" s="392"/>
      <c r="P837" s="392"/>
      <c r="Q837" s="392"/>
      <c r="R837" s="392"/>
      <c r="S837" s="392"/>
      <c r="T837" s="392"/>
      <c r="U837" s="392"/>
      <c r="V837" s="392"/>
      <c r="W837" s="392"/>
      <c r="X837" s="392"/>
      <c r="Y837" s="392"/>
      <c r="Z837" s="392"/>
      <c r="AA837" s="392"/>
      <c r="AB837" s="392"/>
      <c r="AC837" s="392"/>
      <c r="AD837" s="392"/>
      <c r="AE837" s="392"/>
      <c r="AF837" s="392"/>
    </row>
    <row r="838" ht="15.75" customHeight="1">
      <c r="A838" s="216"/>
      <c r="B838" s="156"/>
      <c r="C838" s="156"/>
      <c r="D838" s="156"/>
      <c r="E838" s="392"/>
      <c r="F838" s="392"/>
      <c r="G838" s="392"/>
      <c r="H838" s="392"/>
      <c r="I838" s="392"/>
      <c r="J838" s="392"/>
      <c r="K838" s="392"/>
      <c r="L838" s="392"/>
      <c r="M838" s="392"/>
      <c r="N838" s="392"/>
      <c r="O838" s="392"/>
      <c r="P838" s="392"/>
      <c r="Q838" s="392"/>
      <c r="R838" s="392"/>
      <c r="S838" s="392"/>
      <c r="T838" s="392"/>
      <c r="U838" s="392"/>
      <c r="V838" s="392"/>
      <c r="W838" s="392"/>
      <c r="X838" s="392"/>
      <c r="Y838" s="392"/>
      <c r="Z838" s="392"/>
      <c r="AA838" s="392"/>
      <c r="AB838" s="392"/>
      <c r="AC838" s="392"/>
      <c r="AD838" s="392"/>
      <c r="AE838" s="392"/>
      <c r="AF838" s="392"/>
    </row>
    <row r="839" ht="15.75" customHeight="1">
      <c r="A839" s="216"/>
      <c r="B839" s="156"/>
      <c r="C839" s="156"/>
      <c r="D839" s="156"/>
      <c r="E839" s="392"/>
      <c r="F839" s="392"/>
      <c r="G839" s="392"/>
      <c r="H839" s="392"/>
      <c r="I839" s="392"/>
      <c r="J839" s="392"/>
      <c r="K839" s="392"/>
      <c r="L839" s="392"/>
      <c r="M839" s="392"/>
      <c r="N839" s="392"/>
      <c r="O839" s="392"/>
      <c r="P839" s="392"/>
      <c r="Q839" s="392"/>
      <c r="R839" s="392"/>
      <c r="S839" s="392"/>
      <c r="T839" s="392"/>
      <c r="U839" s="392"/>
      <c r="V839" s="392"/>
      <c r="W839" s="392"/>
      <c r="X839" s="392"/>
      <c r="Y839" s="392"/>
      <c r="Z839" s="392"/>
      <c r="AA839" s="392"/>
      <c r="AB839" s="392"/>
      <c r="AC839" s="392"/>
      <c r="AD839" s="392"/>
      <c r="AE839" s="392"/>
      <c r="AF839" s="392"/>
    </row>
    <row r="840" ht="15.75" customHeight="1">
      <c r="A840" s="216"/>
      <c r="B840" s="156"/>
      <c r="C840" s="156"/>
      <c r="D840" s="156"/>
      <c r="E840" s="392"/>
      <c r="F840" s="392"/>
      <c r="G840" s="392"/>
      <c r="H840" s="392"/>
      <c r="I840" s="392"/>
      <c r="J840" s="392"/>
      <c r="K840" s="392"/>
      <c r="L840" s="392"/>
      <c r="M840" s="392"/>
      <c r="N840" s="392"/>
      <c r="O840" s="392"/>
      <c r="P840" s="392"/>
      <c r="Q840" s="392"/>
      <c r="R840" s="392"/>
      <c r="S840" s="392"/>
      <c r="T840" s="392"/>
      <c r="U840" s="392"/>
      <c r="V840" s="392"/>
      <c r="W840" s="392"/>
      <c r="X840" s="392"/>
      <c r="Y840" s="392"/>
      <c r="Z840" s="392"/>
      <c r="AA840" s="392"/>
      <c r="AB840" s="392"/>
      <c r="AC840" s="392"/>
      <c r="AD840" s="392"/>
      <c r="AE840" s="392"/>
      <c r="AF840" s="392"/>
    </row>
    <row r="841" ht="15.75" customHeight="1">
      <c r="A841" s="216"/>
      <c r="B841" s="156"/>
      <c r="C841" s="156"/>
      <c r="D841" s="156"/>
      <c r="E841" s="392"/>
      <c r="F841" s="392"/>
      <c r="G841" s="392"/>
      <c r="H841" s="392"/>
      <c r="I841" s="392"/>
      <c r="J841" s="392"/>
      <c r="K841" s="392"/>
      <c r="L841" s="392"/>
      <c r="M841" s="392"/>
      <c r="N841" s="392"/>
      <c r="O841" s="392"/>
      <c r="P841" s="392"/>
      <c r="Q841" s="392"/>
      <c r="R841" s="392"/>
      <c r="S841" s="392"/>
      <c r="T841" s="392"/>
      <c r="U841" s="392"/>
      <c r="V841" s="392"/>
      <c r="W841" s="392"/>
      <c r="X841" s="392"/>
      <c r="Y841" s="392"/>
      <c r="Z841" s="392"/>
      <c r="AA841" s="392"/>
      <c r="AB841" s="392"/>
      <c r="AC841" s="392"/>
      <c r="AD841" s="392"/>
      <c r="AE841" s="392"/>
      <c r="AF841" s="392"/>
    </row>
    <row r="842" ht="15.75" customHeight="1">
      <c r="A842" s="216"/>
      <c r="B842" s="156"/>
      <c r="C842" s="156"/>
      <c r="D842" s="156"/>
      <c r="E842" s="392"/>
      <c r="F842" s="392"/>
      <c r="G842" s="392"/>
      <c r="H842" s="392"/>
      <c r="I842" s="392"/>
      <c r="J842" s="392"/>
      <c r="K842" s="392"/>
      <c r="L842" s="392"/>
      <c r="M842" s="392"/>
      <c r="N842" s="392"/>
      <c r="O842" s="392"/>
      <c r="P842" s="392"/>
      <c r="Q842" s="392"/>
      <c r="R842" s="392"/>
      <c r="S842" s="392"/>
      <c r="T842" s="392"/>
      <c r="U842" s="392"/>
      <c r="V842" s="392"/>
      <c r="W842" s="392"/>
      <c r="X842" s="392"/>
      <c r="Y842" s="392"/>
      <c r="Z842" s="392"/>
      <c r="AA842" s="392"/>
      <c r="AB842" s="392"/>
      <c r="AC842" s="392"/>
      <c r="AD842" s="392"/>
      <c r="AE842" s="392"/>
      <c r="AF842" s="392"/>
    </row>
    <row r="843" ht="15.75" customHeight="1">
      <c r="A843" s="216"/>
      <c r="B843" s="156"/>
      <c r="C843" s="156"/>
      <c r="D843" s="156"/>
      <c r="E843" s="392"/>
      <c r="F843" s="392"/>
      <c r="G843" s="392"/>
      <c r="H843" s="392"/>
      <c r="I843" s="392"/>
      <c r="J843" s="392"/>
      <c r="K843" s="392"/>
      <c r="L843" s="392"/>
      <c r="M843" s="392"/>
      <c r="N843" s="392"/>
      <c r="O843" s="392"/>
      <c r="P843" s="392"/>
      <c r="Q843" s="392"/>
      <c r="R843" s="392"/>
      <c r="S843" s="392"/>
      <c r="T843" s="392"/>
      <c r="U843" s="392"/>
      <c r="V843" s="392"/>
      <c r="W843" s="392"/>
      <c r="X843" s="392"/>
      <c r="Y843" s="392"/>
      <c r="Z843" s="392"/>
      <c r="AA843" s="392"/>
      <c r="AB843" s="392"/>
      <c r="AC843" s="392"/>
      <c r="AD843" s="392"/>
      <c r="AE843" s="392"/>
      <c r="AF843" s="392"/>
    </row>
    <row r="844" ht="15.75" customHeight="1">
      <c r="A844" s="216"/>
      <c r="B844" s="156"/>
      <c r="C844" s="156"/>
      <c r="D844" s="156"/>
      <c r="E844" s="392"/>
      <c r="F844" s="392"/>
      <c r="G844" s="392"/>
      <c r="H844" s="392"/>
      <c r="I844" s="392"/>
      <c r="J844" s="392"/>
      <c r="K844" s="392"/>
      <c r="L844" s="392"/>
      <c r="M844" s="392"/>
      <c r="N844" s="392"/>
      <c r="O844" s="392"/>
      <c r="P844" s="392"/>
      <c r="Q844" s="392"/>
      <c r="R844" s="392"/>
      <c r="S844" s="392"/>
      <c r="T844" s="392"/>
      <c r="U844" s="392"/>
      <c r="V844" s="392"/>
      <c r="W844" s="392"/>
      <c r="X844" s="392"/>
      <c r="Y844" s="392"/>
      <c r="Z844" s="392"/>
      <c r="AA844" s="392"/>
      <c r="AB844" s="392"/>
      <c r="AC844" s="392"/>
      <c r="AD844" s="392"/>
      <c r="AE844" s="392"/>
      <c r="AF844" s="392"/>
    </row>
    <row r="845" ht="15.75" customHeight="1">
      <c r="A845" s="216"/>
      <c r="B845" s="156"/>
      <c r="C845" s="156"/>
      <c r="D845" s="156"/>
      <c r="E845" s="392"/>
      <c r="F845" s="392"/>
      <c r="G845" s="392"/>
      <c r="H845" s="392"/>
      <c r="I845" s="392"/>
      <c r="J845" s="392"/>
      <c r="K845" s="392"/>
      <c r="L845" s="392"/>
      <c r="M845" s="392"/>
      <c r="N845" s="392"/>
      <c r="O845" s="392"/>
      <c r="P845" s="392"/>
      <c r="Q845" s="392"/>
      <c r="R845" s="392"/>
      <c r="S845" s="392"/>
      <c r="T845" s="392"/>
      <c r="U845" s="392"/>
      <c r="V845" s="392"/>
      <c r="W845" s="392"/>
      <c r="X845" s="392"/>
      <c r="Y845" s="392"/>
      <c r="Z845" s="392"/>
      <c r="AA845" s="392"/>
      <c r="AB845" s="392"/>
      <c r="AC845" s="392"/>
      <c r="AD845" s="392"/>
      <c r="AE845" s="392"/>
      <c r="AF845" s="392"/>
    </row>
    <row r="846" ht="15.75" customHeight="1">
      <c r="A846" s="216"/>
      <c r="B846" s="156"/>
      <c r="C846" s="156"/>
      <c r="D846" s="156"/>
      <c r="E846" s="392"/>
      <c r="F846" s="392"/>
      <c r="G846" s="392"/>
      <c r="H846" s="392"/>
      <c r="I846" s="392"/>
      <c r="J846" s="392"/>
      <c r="K846" s="392"/>
      <c r="L846" s="392"/>
      <c r="M846" s="392"/>
      <c r="N846" s="392"/>
      <c r="O846" s="392"/>
      <c r="P846" s="392"/>
      <c r="Q846" s="392"/>
      <c r="R846" s="392"/>
      <c r="S846" s="392"/>
      <c r="T846" s="392"/>
      <c r="U846" s="392"/>
      <c r="V846" s="392"/>
      <c r="W846" s="392"/>
      <c r="X846" s="392"/>
      <c r="Y846" s="392"/>
      <c r="Z846" s="392"/>
      <c r="AA846" s="392"/>
      <c r="AB846" s="392"/>
      <c r="AC846" s="392"/>
      <c r="AD846" s="392"/>
      <c r="AE846" s="392"/>
      <c r="AF846" s="392"/>
    </row>
    <row r="847" ht="15.75" customHeight="1">
      <c r="A847" s="216"/>
      <c r="B847" s="156"/>
      <c r="C847" s="156"/>
      <c r="D847" s="156"/>
      <c r="E847" s="392"/>
      <c r="F847" s="392"/>
      <c r="G847" s="392"/>
      <c r="H847" s="392"/>
      <c r="I847" s="392"/>
      <c r="J847" s="392"/>
      <c r="K847" s="392"/>
      <c r="L847" s="392"/>
      <c r="M847" s="392"/>
      <c r="N847" s="392"/>
      <c r="O847" s="392"/>
      <c r="P847" s="392"/>
      <c r="Q847" s="392"/>
      <c r="R847" s="392"/>
      <c r="S847" s="392"/>
      <c r="T847" s="392"/>
      <c r="U847" s="392"/>
      <c r="V847" s="392"/>
      <c r="W847" s="392"/>
      <c r="X847" s="392"/>
      <c r="Y847" s="392"/>
      <c r="Z847" s="392"/>
      <c r="AA847" s="392"/>
      <c r="AB847" s="392"/>
      <c r="AC847" s="392"/>
      <c r="AD847" s="392"/>
      <c r="AE847" s="392"/>
      <c r="AF847" s="392"/>
    </row>
    <row r="848" ht="15.75" customHeight="1">
      <c r="A848" s="216"/>
      <c r="B848" s="156"/>
      <c r="C848" s="156"/>
      <c r="D848" s="156"/>
      <c r="E848" s="392"/>
      <c r="F848" s="392"/>
      <c r="G848" s="392"/>
      <c r="H848" s="392"/>
      <c r="I848" s="392"/>
      <c r="J848" s="392"/>
      <c r="K848" s="392"/>
      <c r="L848" s="392"/>
      <c r="M848" s="392"/>
      <c r="N848" s="392"/>
      <c r="O848" s="392"/>
      <c r="P848" s="392"/>
      <c r="Q848" s="392"/>
      <c r="R848" s="392"/>
      <c r="S848" s="392"/>
      <c r="T848" s="392"/>
      <c r="U848" s="392"/>
      <c r="V848" s="392"/>
      <c r="W848" s="392"/>
      <c r="X848" s="392"/>
      <c r="Y848" s="392"/>
      <c r="Z848" s="392"/>
      <c r="AA848" s="392"/>
      <c r="AB848" s="392"/>
      <c r="AC848" s="392"/>
      <c r="AD848" s="392"/>
      <c r="AE848" s="392"/>
      <c r="AF848" s="392"/>
    </row>
    <row r="849" ht="15.75" customHeight="1">
      <c r="A849" s="216"/>
      <c r="B849" s="156"/>
      <c r="C849" s="156"/>
      <c r="D849" s="156"/>
      <c r="E849" s="392"/>
      <c r="F849" s="392"/>
      <c r="G849" s="392"/>
      <c r="H849" s="392"/>
      <c r="I849" s="392"/>
      <c r="J849" s="392"/>
      <c r="K849" s="392"/>
      <c r="L849" s="392"/>
      <c r="M849" s="392"/>
      <c r="N849" s="392"/>
      <c r="O849" s="392"/>
      <c r="P849" s="392"/>
      <c r="Q849" s="392"/>
      <c r="R849" s="392"/>
      <c r="S849" s="392"/>
      <c r="T849" s="392"/>
      <c r="U849" s="392"/>
      <c r="V849" s="392"/>
      <c r="W849" s="392"/>
      <c r="X849" s="392"/>
      <c r="Y849" s="392"/>
      <c r="Z849" s="392"/>
      <c r="AA849" s="392"/>
      <c r="AB849" s="392"/>
      <c r="AC849" s="392"/>
      <c r="AD849" s="392"/>
      <c r="AE849" s="392"/>
      <c r="AF849" s="392"/>
    </row>
    <row r="850" ht="15.75" customHeight="1">
      <c r="A850" s="216"/>
      <c r="B850" s="156"/>
      <c r="C850" s="156"/>
      <c r="D850" s="156"/>
      <c r="E850" s="392"/>
      <c r="F850" s="392"/>
      <c r="G850" s="392"/>
      <c r="H850" s="392"/>
      <c r="I850" s="392"/>
      <c r="J850" s="392"/>
      <c r="K850" s="392"/>
      <c r="L850" s="392"/>
      <c r="M850" s="392"/>
      <c r="N850" s="392"/>
      <c r="O850" s="392"/>
      <c r="P850" s="392"/>
      <c r="Q850" s="392"/>
      <c r="R850" s="392"/>
      <c r="S850" s="392"/>
      <c r="T850" s="392"/>
      <c r="U850" s="392"/>
      <c r="V850" s="392"/>
      <c r="W850" s="392"/>
      <c r="X850" s="392"/>
      <c r="Y850" s="392"/>
      <c r="Z850" s="392"/>
      <c r="AA850" s="392"/>
      <c r="AB850" s="392"/>
      <c r="AC850" s="392"/>
      <c r="AD850" s="392"/>
      <c r="AE850" s="392"/>
      <c r="AF850" s="392"/>
    </row>
    <row r="851" ht="15.75" customHeight="1">
      <c r="A851" s="216"/>
      <c r="B851" s="156"/>
      <c r="C851" s="156"/>
      <c r="D851" s="156"/>
      <c r="E851" s="392"/>
      <c r="F851" s="392"/>
      <c r="G851" s="392"/>
      <c r="H851" s="392"/>
      <c r="I851" s="392"/>
      <c r="J851" s="392"/>
      <c r="K851" s="392"/>
      <c r="L851" s="392"/>
      <c r="M851" s="392"/>
      <c r="N851" s="392"/>
      <c r="O851" s="392"/>
      <c r="P851" s="392"/>
      <c r="Q851" s="392"/>
      <c r="R851" s="392"/>
      <c r="S851" s="392"/>
      <c r="T851" s="392"/>
      <c r="U851" s="392"/>
      <c r="V851" s="392"/>
      <c r="W851" s="392"/>
      <c r="X851" s="392"/>
      <c r="Y851" s="392"/>
      <c r="Z851" s="392"/>
      <c r="AA851" s="392"/>
      <c r="AB851" s="392"/>
      <c r="AC851" s="392"/>
      <c r="AD851" s="392"/>
      <c r="AE851" s="392"/>
      <c r="AF851" s="392"/>
    </row>
    <row r="852" ht="15.75" customHeight="1">
      <c r="A852" s="216"/>
      <c r="B852" s="156"/>
      <c r="C852" s="156"/>
      <c r="D852" s="156"/>
      <c r="E852" s="392"/>
      <c r="F852" s="392"/>
      <c r="G852" s="392"/>
      <c r="H852" s="392"/>
      <c r="I852" s="392"/>
      <c r="J852" s="392"/>
      <c r="K852" s="392"/>
      <c r="L852" s="392"/>
      <c r="M852" s="392"/>
      <c r="N852" s="392"/>
      <c r="O852" s="392"/>
      <c r="P852" s="392"/>
      <c r="Q852" s="392"/>
      <c r="R852" s="392"/>
      <c r="S852" s="392"/>
      <c r="T852" s="392"/>
      <c r="U852" s="392"/>
      <c r="V852" s="392"/>
      <c r="W852" s="392"/>
      <c r="X852" s="392"/>
      <c r="Y852" s="392"/>
      <c r="Z852" s="392"/>
      <c r="AA852" s="392"/>
      <c r="AB852" s="392"/>
      <c r="AC852" s="392"/>
      <c r="AD852" s="392"/>
      <c r="AE852" s="392"/>
      <c r="AF852" s="392"/>
    </row>
    <row r="853" ht="15.75" customHeight="1">
      <c r="A853" s="216"/>
      <c r="B853" s="156"/>
      <c r="C853" s="156"/>
      <c r="D853" s="156"/>
      <c r="E853" s="392"/>
      <c r="F853" s="392"/>
      <c r="G853" s="392"/>
      <c r="H853" s="392"/>
      <c r="I853" s="392"/>
      <c r="J853" s="392"/>
      <c r="K853" s="392"/>
      <c r="L853" s="392"/>
      <c r="M853" s="392"/>
      <c r="N853" s="392"/>
      <c r="O853" s="392"/>
      <c r="P853" s="392"/>
      <c r="Q853" s="392"/>
      <c r="R853" s="392"/>
      <c r="S853" s="392"/>
      <c r="T853" s="392"/>
      <c r="U853" s="392"/>
      <c r="V853" s="392"/>
      <c r="W853" s="392"/>
      <c r="X853" s="392"/>
      <c r="Y853" s="392"/>
      <c r="Z853" s="392"/>
      <c r="AA853" s="392"/>
      <c r="AB853" s="392"/>
      <c r="AC853" s="392"/>
      <c r="AD853" s="392"/>
      <c r="AE853" s="392"/>
      <c r="AF853" s="392"/>
    </row>
    <row r="854" ht="15.75" customHeight="1">
      <c r="A854" s="216"/>
      <c r="B854" s="156"/>
      <c r="C854" s="156"/>
      <c r="D854" s="156"/>
      <c r="E854" s="392"/>
      <c r="F854" s="392"/>
      <c r="G854" s="392"/>
      <c r="H854" s="392"/>
      <c r="I854" s="392"/>
      <c r="J854" s="392"/>
      <c r="K854" s="392"/>
      <c r="L854" s="392"/>
      <c r="M854" s="392"/>
      <c r="N854" s="392"/>
      <c r="O854" s="392"/>
      <c r="P854" s="392"/>
      <c r="Q854" s="392"/>
      <c r="R854" s="392"/>
      <c r="S854" s="392"/>
      <c r="T854" s="392"/>
      <c r="U854" s="392"/>
      <c r="V854" s="392"/>
      <c r="W854" s="392"/>
      <c r="X854" s="392"/>
      <c r="Y854" s="392"/>
      <c r="Z854" s="392"/>
      <c r="AA854" s="392"/>
      <c r="AB854" s="392"/>
      <c r="AC854" s="392"/>
      <c r="AD854" s="392"/>
      <c r="AE854" s="392"/>
      <c r="AF854" s="392"/>
    </row>
    <row r="855" ht="15.75" customHeight="1">
      <c r="A855" s="216"/>
      <c r="B855" s="156"/>
      <c r="C855" s="156"/>
      <c r="D855" s="156"/>
      <c r="E855" s="392"/>
      <c r="F855" s="392"/>
      <c r="G855" s="392"/>
      <c r="H855" s="392"/>
      <c r="I855" s="392"/>
      <c r="J855" s="392"/>
      <c r="K855" s="392"/>
      <c r="L855" s="392"/>
      <c r="M855" s="392"/>
      <c r="N855" s="392"/>
      <c r="O855" s="392"/>
      <c r="P855" s="392"/>
      <c r="Q855" s="392"/>
      <c r="R855" s="392"/>
      <c r="S855" s="392"/>
      <c r="T855" s="392"/>
      <c r="U855" s="392"/>
      <c r="V855" s="392"/>
      <c r="W855" s="392"/>
      <c r="X855" s="392"/>
      <c r="Y855" s="392"/>
      <c r="Z855" s="392"/>
      <c r="AA855" s="392"/>
      <c r="AB855" s="392"/>
      <c r="AC855" s="392"/>
      <c r="AD855" s="392"/>
      <c r="AE855" s="392"/>
      <c r="AF855" s="392"/>
    </row>
    <row r="856" ht="15.75" customHeight="1">
      <c r="A856" s="216"/>
      <c r="B856" s="156"/>
      <c r="C856" s="156"/>
      <c r="D856" s="156"/>
      <c r="E856" s="392"/>
      <c r="F856" s="392"/>
      <c r="G856" s="392"/>
      <c r="H856" s="392"/>
      <c r="I856" s="392"/>
      <c r="J856" s="392"/>
      <c r="K856" s="392"/>
      <c r="L856" s="392"/>
      <c r="M856" s="392"/>
      <c r="N856" s="392"/>
      <c r="O856" s="392"/>
      <c r="P856" s="392"/>
      <c r="Q856" s="392"/>
      <c r="R856" s="392"/>
      <c r="S856" s="392"/>
      <c r="T856" s="392"/>
      <c r="U856" s="392"/>
      <c r="V856" s="392"/>
      <c r="W856" s="392"/>
      <c r="X856" s="392"/>
      <c r="Y856" s="392"/>
      <c r="Z856" s="392"/>
      <c r="AA856" s="392"/>
      <c r="AB856" s="392"/>
      <c r="AC856" s="392"/>
      <c r="AD856" s="392"/>
      <c r="AE856" s="392"/>
      <c r="AF856" s="392"/>
    </row>
    <row r="857" ht="15.75" customHeight="1">
      <c r="A857" s="216"/>
      <c r="B857" s="156"/>
      <c r="C857" s="156"/>
      <c r="D857" s="156"/>
      <c r="E857" s="392"/>
      <c r="F857" s="392"/>
      <c r="G857" s="392"/>
      <c r="H857" s="392"/>
      <c r="I857" s="392"/>
      <c r="J857" s="392"/>
      <c r="K857" s="392"/>
      <c r="L857" s="392"/>
      <c r="M857" s="392"/>
      <c r="N857" s="392"/>
      <c r="O857" s="392"/>
      <c r="P857" s="392"/>
      <c r="Q857" s="392"/>
      <c r="R857" s="392"/>
      <c r="S857" s="392"/>
      <c r="T857" s="392"/>
      <c r="U857" s="392"/>
      <c r="V857" s="392"/>
      <c r="W857" s="392"/>
      <c r="X857" s="392"/>
      <c r="Y857" s="392"/>
      <c r="Z857" s="392"/>
      <c r="AA857" s="392"/>
      <c r="AB857" s="392"/>
      <c r="AC857" s="392"/>
      <c r="AD857" s="392"/>
      <c r="AE857" s="392"/>
      <c r="AF857" s="392"/>
    </row>
    <row r="858" ht="15.75" customHeight="1">
      <c r="A858" s="216"/>
      <c r="B858" s="156"/>
      <c r="C858" s="156"/>
      <c r="D858" s="156"/>
      <c r="E858" s="392"/>
      <c r="F858" s="392"/>
      <c r="G858" s="392"/>
      <c r="H858" s="392"/>
      <c r="I858" s="392"/>
      <c r="J858" s="392"/>
      <c r="K858" s="392"/>
      <c r="L858" s="392"/>
      <c r="M858" s="392"/>
      <c r="N858" s="392"/>
      <c r="O858" s="392"/>
      <c r="P858" s="392"/>
      <c r="Q858" s="392"/>
      <c r="R858" s="392"/>
      <c r="S858" s="392"/>
      <c r="T858" s="392"/>
      <c r="U858" s="392"/>
      <c r="V858" s="392"/>
      <c r="W858" s="392"/>
      <c r="X858" s="392"/>
      <c r="Y858" s="392"/>
      <c r="Z858" s="392"/>
      <c r="AA858" s="392"/>
      <c r="AB858" s="392"/>
      <c r="AC858" s="392"/>
      <c r="AD858" s="392"/>
      <c r="AE858" s="392"/>
      <c r="AF858" s="392"/>
    </row>
    <row r="859" ht="15.75" customHeight="1">
      <c r="A859" s="216"/>
      <c r="B859" s="156"/>
      <c r="C859" s="156"/>
      <c r="D859" s="156"/>
      <c r="E859" s="392"/>
      <c r="F859" s="392"/>
      <c r="G859" s="392"/>
      <c r="H859" s="392"/>
      <c r="I859" s="392"/>
      <c r="J859" s="392"/>
      <c r="K859" s="392"/>
      <c r="L859" s="392"/>
      <c r="M859" s="392"/>
      <c r="N859" s="392"/>
      <c r="O859" s="392"/>
      <c r="P859" s="392"/>
      <c r="Q859" s="392"/>
      <c r="R859" s="392"/>
      <c r="S859" s="392"/>
      <c r="T859" s="392"/>
      <c r="U859" s="392"/>
      <c r="V859" s="392"/>
      <c r="W859" s="392"/>
      <c r="X859" s="392"/>
      <c r="Y859" s="392"/>
      <c r="Z859" s="392"/>
      <c r="AA859" s="392"/>
      <c r="AB859" s="392"/>
      <c r="AC859" s="392"/>
      <c r="AD859" s="392"/>
      <c r="AE859" s="392"/>
      <c r="AF859" s="392"/>
    </row>
    <row r="860" ht="15.75" customHeight="1">
      <c r="A860" s="216"/>
      <c r="B860" s="156"/>
      <c r="C860" s="156"/>
      <c r="D860" s="156"/>
      <c r="E860" s="392"/>
      <c r="F860" s="392"/>
      <c r="G860" s="392"/>
      <c r="H860" s="392"/>
      <c r="I860" s="392"/>
      <c r="J860" s="392"/>
      <c r="K860" s="392"/>
      <c r="L860" s="392"/>
      <c r="M860" s="392"/>
      <c r="N860" s="392"/>
      <c r="O860" s="392"/>
      <c r="P860" s="392"/>
      <c r="Q860" s="392"/>
      <c r="R860" s="392"/>
      <c r="S860" s="392"/>
      <c r="T860" s="392"/>
      <c r="U860" s="392"/>
      <c r="V860" s="392"/>
      <c r="W860" s="392"/>
      <c r="X860" s="392"/>
      <c r="Y860" s="392"/>
      <c r="Z860" s="392"/>
      <c r="AA860" s="392"/>
      <c r="AB860" s="392"/>
      <c r="AC860" s="392"/>
      <c r="AD860" s="392"/>
      <c r="AE860" s="392"/>
      <c r="AF860" s="392"/>
    </row>
    <row r="861" ht="15.75" customHeight="1">
      <c r="A861" s="216"/>
      <c r="B861" s="156"/>
      <c r="C861" s="156"/>
      <c r="D861" s="156"/>
      <c r="E861" s="392"/>
      <c r="F861" s="392"/>
      <c r="G861" s="392"/>
      <c r="H861" s="392"/>
      <c r="I861" s="392"/>
      <c r="J861" s="392"/>
      <c r="K861" s="392"/>
      <c r="L861" s="392"/>
      <c r="M861" s="392"/>
      <c r="N861" s="392"/>
      <c r="O861" s="392"/>
      <c r="P861" s="392"/>
      <c r="Q861" s="392"/>
      <c r="R861" s="392"/>
      <c r="S861" s="392"/>
      <c r="T861" s="392"/>
      <c r="U861" s="392"/>
      <c r="V861" s="392"/>
      <c r="W861" s="392"/>
      <c r="X861" s="392"/>
      <c r="Y861" s="392"/>
      <c r="Z861" s="392"/>
      <c r="AA861" s="392"/>
      <c r="AB861" s="392"/>
      <c r="AC861" s="392"/>
      <c r="AD861" s="392"/>
      <c r="AE861" s="392"/>
      <c r="AF861" s="392"/>
    </row>
    <row r="862" ht="15.75" customHeight="1">
      <c r="A862" s="216"/>
      <c r="B862" s="156"/>
      <c r="C862" s="156"/>
      <c r="D862" s="156"/>
      <c r="E862" s="392"/>
      <c r="F862" s="392"/>
      <c r="G862" s="392"/>
      <c r="H862" s="392"/>
      <c r="I862" s="392"/>
      <c r="J862" s="392"/>
      <c r="K862" s="392"/>
      <c r="L862" s="392"/>
      <c r="M862" s="392"/>
      <c r="N862" s="392"/>
      <c r="O862" s="392"/>
      <c r="P862" s="392"/>
      <c r="Q862" s="392"/>
      <c r="R862" s="392"/>
      <c r="S862" s="392"/>
      <c r="T862" s="392"/>
      <c r="U862" s="392"/>
      <c r="V862" s="392"/>
      <c r="W862" s="392"/>
      <c r="X862" s="392"/>
      <c r="Y862" s="392"/>
      <c r="Z862" s="392"/>
      <c r="AA862" s="392"/>
      <c r="AB862" s="392"/>
      <c r="AC862" s="392"/>
      <c r="AD862" s="392"/>
      <c r="AE862" s="392"/>
      <c r="AF862" s="392"/>
    </row>
    <row r="863" ht="15.75" customHeight="1">
      <c r="A863" s="216"/>
      <c r="B863" s="156"/>
      <c r="C863" s="156"/>
      <c r="D863" s="156"/>
      <c r="E863" s="392"/>
      <c r="F863" s="392"/>
      <c r="G863" s="392"/>
      <c r="H863" s="392"/>
      <c r="I863" s="392"/>
      <c r="J863" s="392"/>
      <c r="K863" s="392"/>
      <c r="L863" s="392"/>
      <c r="M863" s="392"/>
      <c r="N863" s="392"/>
      <c r="O863" s="392"/>
      <c r="P863" s="392"/>
      <c r="Q863" s="392"/>
      <c r="R863" s="392"/>
      <c r="S863" s="392"/>
      <c r="T863" s="392"/>
      <c r="U863" s="392"/>
      <c r="V863" s="392"/>
      <c r="W863" s="392"/>
      <c r="X863" s="392"/>
      <c r="Y863" s="392"/>
      <c r="Z863" s="392"/>
      <c r="AA863" s="392"/>
      <c r="AB863" s="392"/>
      <c r="AC863" s="392"/>
      <c r="AD863" s="392"/>
      <c r="AE863" s="392"/>
      <c r="AF863" s="392"/>
    </row>
    <row r="864" ht="15.75" customHeight="1">
      <c r="A864" s="216"/>
      <c r="B864" s="156"/>
      <c r="C864" s="156"/>
      <c r="D864" s="156"/>
      <c r="E864" s="392"/>
      <c r="F864" s="392"/>
      <c r="G864" s="392"/>
      <c r="H864" s="392"/>
      <c r="I864" s="392"/>
      <c r="J864" s="392"/>
      <c r="K864" s="392"/>
      <c r="L864" s="392"/>
      <c r="M864" s="392"/>
      <c r="N864" s="392"/>
      <c r="O864" s="392"/>
      <c r="P864" s="392"/>
      <c r="Q864" s="392"/>
      <c r="R864" s="392"/>
      <c r="S864" s="392"/>
      <c r="T864" s="392"/>
      <c r="U864" s="392"/>
      <c r="V864" s="392"/>
      <c r="W864" s="392"/>
      <c r="X864" s="392"/>
      <c r="Y864" s="392"/>
      <c r="Z864" s="392"/>
      <c r="AA864" s="392"/>
      <c r="AB864" s="392"/>
      <c r="AC864" s="392"/>
      <c r="AD864" s="392"/>
      <c r="AE864" s="392"/>
      <c r="AF864" s="392"/>
    </row>
    <row r="865" ht="15.75" customHeight="1">
      <c r="A865" s="216"/>
      <c r="B865" s="156"/>
      <c r="C865" s="156"/>
      <c r="D865" s="156"/>
      <c r="E865" s="392"/>
      <c r="F865" s="392"/>
      <c r="G865" s="392"/>
      <c r="H865" s="392"/>
      <c r="I865" s="392"/>
      <c r="J865" s="392"/>
      <c r="K865" s="392"/>
      <c r="L865" s="392"/>
      <c r="M865" s="392"/>
      <c r="N865" s="392"/>
      <c r="O865" s="392"/>
      <c r="P865" s="392"/>
      <c r="Q865" s="392"/>
      <c r="R865" s="392"/>
      <c r="S865" s="392"/>
      <c r="T865" s="392"/>
      <c r="U865" s="392"/>
      <c r="V865" s="392"/>
      <c r="W865" s="392"/>
      <c r="X865" s="392"/>
      <c r="Y865" s="392"/>
      <c r="Z865" s="392"/>
      <c r="AA865" s="392"/>
      <c r="AB865" s="392"/>
      <c r="AC865" s="392"/>
      <c r="AD865" s="392"/>
      <c r="AE865" s="392"/>
      <c r="AF865" s="392"/>
    </row>
    <row r="866" ht="15.75" customHeight="1">
      <c r="A866" s="216"/>
      <c r="B866" s="156"/>
      <c r="C866" s="156"/>
      <c r="D866" s="156"/>
      <c r="E866" s="392"/>
      <c r="F866" s="392"/>
      <c r="G866" s="392"/>
      <c r="H866" s="392"/>
      <c r="I866" s="392"/>
      <c r="J866" s="392"/>
      <c r="K866" s="392"/>
      <c r="L866" s="392"/>
      <c r="M866" s="392"/>
      <c r="N866" s="392"/>
      <c r="O866" s="392"/>
      <c r="P866" s="392"/>
      <c r="Q866" s="392"/>
      <c r="R866" s="392"/>
      <c r="S866" s="392"/>
      <c r="T866" s="392"/>
      <c r="U866" s="392"/>
      <c r="V866" s="392"/>
      <c r="W866" s="392"/>
      <c r="X866" s="392"/>
      <c r="Y866" s="392"/>
      <c r="Z866" s="392"/>
      <c r="AA866" s="392"/>
      <c r="AB866" s="392"/>
      <c r="AC866" s="392"/>
      <c r="AD866" s="392"/>
      <c r="AE866" s="392"/>
      <c r="AF866" s="392"/>
    </row>
    <row r="867" ht="15.75" customHeight="1">
      <c r="A867" s="216"/>
      <c r="B867" s="156"/>
      <c r="C867" s="156"/>
      <c r="D867" s="156"/>
      <c r="E867" s="392"/>
      <c r="F867" s="392"/>
      <c r="G867" s="392"/>
      <c r="H867" s="392"/>
      <c r="I867" s="392"/>
      <c r="J867" s="392"/>
      <c r="K867" s="392"/>
      <c r="L867" s="392"/>
      <c r="M867" s="392"/>
      <c r="N867" s="392"/>
      <c r="O867" s="392"/>
      <c r="P867" s="392"/>
      <c r="Q867" s="392"/>
      <c r="R867" s="392"/>
      <c r="S867" s="392"/>
      <c r="T867" s="392"/>
      <c r="U867" s="392"/>
      <c r="V867" s="392"/>
      <c r="W867" s="392"/>
      <c r="X867" s="392"/>
      <c r="Y867" s="392"/>
      <c r="Z867" s="392"/>
      <c r="AA867" s="392"/>
      <c r="AB867" s="392"/>
      <c r="AC867" s="392"/>
      <c r="AD867" s="392"/>
      <c r="AE867" s="392"/>
      <c r="AF867" s="392"/>
    </row>
    <row r="868" ht="15.75" customHeight="1">
      <c r="A868" s="216"/>
      <c r="B868" s="156"/>
      <c r="C868" s="156"/>
      <c r="D868" s="156"/>
      <c r="E868" s="392"/>
      <c r="F868" s="392"/>
      <c r="G868" s="392"/>
      <c r="H868" s="392"/>
      <c r="I868" s="392"/>
      <c r="J868" s="392"/>
      <c r="K868" s="392"/>
      <c r="L868" s="392"/>
      <c r="M868" s="392"/>
      <c r="N868" s="392"/>
      <c r="O868" s="392"/>
      <c r="P868" s="392"/>
      <c r="Q868" s="392"/>
      <c r="R868" s="392"/>
      <c r="S868" s="392"/>
      <c r="T868" s="392"/>
      <c r="U868" s="392"/>
      <c r="V868" s="392"/>
      <c r="W868" s="392"/>
      <c r="X868" s="392"/>
      <c r="Y868" s="392"/>
      <c r="Z868" s="392"/>
      <c r="AA868" s="392"/>
      <c r="AB868" s="392"/>
      <c r="AC868" s="392"/>
      <c r="AD868" s="392"/>
      <c r="AE868" s="392"/>
      <c r="AF868" s="392"/>
    </row>
    <row r="869" ht="15.75" customHeight="1">
      <c r="A869" s="216"/>
      <c r="B869" s="156"/>
      <c r="C869" s="156"/>
      <c r="D869" s="156"/>
      <c r="E869" s="392"/>
      <c r="F869" s="392"/>
      <c r="G869" s="392"/>
      <c r="H869" s="392"/>
      <c r="I869" s="392"/>
      <c r="J869" s="392"/>
      <c r="K869" s="392"/>
      <c r="L869" s="392"/>
      <c r="M869" s="392"/>
      <c r="N869" s="392"/>
      <c r="O869" s="392"/>
      <c r="P869" s="392"/>
      <c r="Q869" s="392"/>
      <c r="R869" s="392"/>
      <c r="S869" s="392"/>
      <c r="T869" s="392"/>
      <c r="U869" s="392"/>
      <c r="V869" s="392"/>
      <c r="W869" s="392"/>
      <c r="X869" s="392"/>
      <c r="Y869" s="392"/>
      <c r="Z869" s="392"/>
      <c r="AA869" s="392"/>
      <c r="AB869" s="392"/>
      <c r="AC869" s="392"/>
      <c r="AD869" s="392"/>
      <c r="AE869" s="392"/>
      <c r="AF869" s="392"/>
    </row>
    <row r="870" ht="15.75" customHeight="1">
      <c r="A870" s="216"/>
      <c r="B870" s="156"/>
      <c r="C870" s="156"/>
      <c r="D870" s="156"/>
      <c r="E870" s="392"/>
      <c r="F870" s="392"/>
      <c r="G870" s="392"/>
      <c r="H870" s="392"/>
      <c r="I870" s="392"/>
      <c r="J870" s="392"/>
      <c r="K870" s="392"/>
      <c r="L870" s="392"/>
      <c r="M870" s="392"/>
      <c r="N870" s="392"/>
      <c r="O870" s="392"/>
      <c r="P870" s="392"/>
      <c r="Q870" s="392"/>
      <c r="R870" s="392"/>
      <c r="S870" s="392"/>
      <c r="T870" s="392"/>
      <c r="U870" s="392"/>
      <c r="V870" s="392"/>
      <c r="W870" s="392"/>
      <c r="X870" s="392"/>
      <c r="Y870" s="392"/>
      <c r="Z870" s="392"/>
      <c r="AA870" s="392"/>
      <c r="AB870" s="392"/>
      <c r="AC870" s="392"/>
      <c r="AD870" s="392"/>
      <c r="AE870" s="392"/>
      <c r="AF870" s="392"/>
    </row>
    <row r="871" ht="15.75" customHeight="1">
      <c r="A871" s="216"/>
      <c r="B871" s="156"/>
      <c r="C871" s="156"/>
      <c r="D871" s="156"/>
      <c r="E871" s="392"/>
      <c r="F871" s="392"/>
      <c r="G871" s="392"/>
      <c r="H871" s="392"/>
      <c r="I871" s="392"/>
      <c r="J871" s="392"/>
      <c r="K871" s="392"/>
      <c r="L871" s="392"/>
      <c r="M871" s="392"/>
      <c r="N871" s="392"/>
      <c r="O871" s="392"/>
      <c r="P871" s="392"/>
      <c r="Q871" s="392"/>
      <c r="R871" s="392"/>
      <c r="S871" s="392"/>
      <c r="T871" s="392"/>
      <c r="U871" s="392"/>
      <c r="V871" s="392"/>
      <c r="W871" s="392"/>
      <c r="X871" s="392"/>
      <c r="Y871" s="392"/>
      <c r="Z871" s="392"/>
      <c r="AA871" s="392"/>
      <c r="AB871" s="392"/>
      <c r="AC871" s="392"/>
      <c r="AD871" s="392"/>
      <c r="AE871" s="392"/>
      <c r="AF871" s="392"/>
    </row>
    <row r="872" ht="15.75" customHeight="1">
      <c r="A872" s="216"/>
      <c r="B872" s="156"/>
      <c r="C872" s="156"/>
      <c r="D872" s="156"/>
      <c r="E872" s="392"/>
      <c r="F872" s="392"/>
      <c r="G872" s="392"/>
      <c r="H872" s="392"/>
      <c r="I872" s="392"/>
      <c r="J872" s="392"/>
      <c r="K872" s="392"/>
      <c r="L872" s="392"/>
      <c r="M872" s="392"/>
      <c r="N872" s="392"/>
      <c r="O872" s="392"/>
      <c r="P872" s="392"/>
      <c r="Q872" s="392"/>
      <c r="R872" s="392"/>
      <c r="S872" s="392"/>
      <c r="T872" s="392"/>
      <c r="U872" s="392"/>
      <c r="V872" s="392"/>
      <c r="W872" s="392"/>
      <c r="X872" s="392"/>
      <c r="Y872" s="392"/>
      <c r="Z872" s="392"/>
      <c r="AA872" s="392"/>
      <c r="AB872" s="392"/>
      <c r="AC872" s="392"/>
      <c r="AD872" s="392"/>
      <c r="AE872" s="392"/>
      <c r="AF872" s="392"/>
    </row>
    <row r="873" ht="15.75" customHeight="1">
      <c r="A873" s="216"/>
      <c r="B873" s="156"/>
      <c r="C873" s="156"/>
      <c r="D873" s="156"/>
      <c r="E873" s="392"/>
      <c r="F873" s="392"/>
      <c r="G873" s="392"/>
      <c r="H873" s="392"/>
      <c r="I873" s="392"/>
      <c r="J873" s="392"/>
      <c r="K873" s="392"/>
      <c r="L873" s="392"/>
      <c r="M873" s="392"/>
      <c r="N873" s="392"/>
      <c r="O873" s="392"/>
      <c r="P873" s="392"/>
      <c r="Q873" s="392"/>
      <c r="R873" s="392"/>
      <c r="S873" s="392"/>
      <c r="T873" s="392"/>
      <c r="U873" s="392"/>
      <c r="V873" s="392"/>
      <c r="W873" s="392"/>
      <c r="X873" s="392"/>
      <c r="Y873" s="392"/>
      <c r="Z873" s="392"/>
      <c r="AA873" s="392"/>
      <c r="AB873" s="392"/>
      <c r="AC873" s="392"/>
      <c r="AD873" s="392"/>
      <c r="AE873" s="392"/>
      <c r="AF873" s="392"/>
    </row>
    <row r="874" ht="15.75" customHeight="1">
      <c r="A874" s="216"/>
      <c r="B874" s="156"/>
      <c r="C874" s="156"/>
      <c r="D874" s="156"/>
      <c r="E874" s="392"/>
      <c r="F874" s="392"/>
      <c r="G874" s="392"/>
      <c r="H874" s="392"/>
      <c r="I874" s="392"/>
      <c r="J874" s="392"/>
      <c r="K874" s="392"/>
      <c r="L874" s="392"/>
      <c r="M874" s="392"/>
      <c r="N874" s="392"/>
      <c r="O874" s="392"/>
      <c r="P874" s="392"/>
      <c r="Q874" s="392"/>
      <c r="R874" s="392"/>
      <c r="S874" s="392"/>
      <c r="T874" s="392"/>
      <c r="U874" s="392"/>
      <c r="V874" s="392"/>
      <c r="W874" s="392"/>
      <c r="X874" s="392"/>
      <c r="Y874" s="392"/>
      <c r="Z874" s="392"/>
      <c r="AA874" s="392"/>
      <c r="AB874" s="392"/>
      <c r="AC874" s="392"/>
      <c r="AD874" s="392"/>
      <c r="AE874" s="392"/>
      <c r="AF874" s="392"/>
    </row>
    <row r="875" ht="15.75" customHeight="1">
      <c r="A875" s="216"/>
      <c r="B875" s="156"/>
      <c r="C875" s="156"/>
      <c r="D875" s="156"/>
      <c r="E875" s="392"/>
      <c r="F875" s="392"/>
      <c r="G875" s="392"/>
      <c r="H875" s="392"/>
      <c r="I875" s="392"/>
      <c r="J875" s="392"/>
      <c r="K875" s="392"/>
      <c r="L875" s="392"/>
      <c r="M875" s="392"/>
      <c r="N875" s="392"/>
      <c r="O875" s="392"/>
      <c r="P875" s="392"/>
      <c r="Q875" s="392"/>
      <c r="R875" s="392"/>
      <c r="S875" s="392"/>
      <c r="T875" s="392"/>
      <c r="U875" s="392"/>
      <c r="V875" s="392"/>
      <c r="W875" s="392"/>
      <c r="X875" s="392"/>
      <c r="Y875" s="392"/>
      <c r="Z875" s="392"/>
      <c r="AA875" s="392"/>
      <c r="AB875" s="392"/>
      <c r="AC875" s="392"/>
      <c r="AD875" s="392"/>
      <c r="AE875" s="392"/>
      <c r="AF875" s="392"/>
    </row>
    <row r="876" ht="15.75" customHeight="1">
      <c r="A876" s="216"/>
      <c r="B876" s="156"/>
      <c r="C876" s="156"/>
      <c r="D876" s="156"/>
      <c r="E876" s="392"/>
      <c r="F876" s="392"/>
      <c r="G876" s="392"/>
      <c r="H876" s="392"/>
      <c r="I876" s="392"/>
      <c r="J876" s="392"/>
      <c r="K876" s="392"/>
      <c r="L876" s="392"/>
      <c r="M876" s="392"/>
      <c r="N876" s="392"/>
      <c r="O876" s="392"/>
      <c r="P876" s="392"/>
      <c r="Q876" s="392"/>
      <c r="R876" s="392"/>
      <c r="S876" s="392"/>
      <c r="T876" s="392"/>
      <c r="U876" s="392"/>
      <c r="V876" s="392"/>
      <c r="W876" s="392"/>
      <c r="X876" s="392"/>
      <c r="Y876" s="392"/>
      <c r="Z876" s="392"/>
      <c r="AA876" s="392"/>
      <c r="AB876" s="392"/>
      <c r="AC876" s="392"/>
      <c r="AD876" s="392"/>
      <c r="AE876" s="392"/>
      <c r="AF876" s="392"/>
    </row>
    <row r="877" ht="15.75" customHeight="1">
      <c r="A877" s="216"/>
      <c r="B877" s="156"/>
      <c r="C877" s="156"/>
      <c r="D877" s="156"/>
      <c r="E877" s="392"/>
      <c r="F877" s="392"/>
      <c r="G877" s="392"/>
      <c r="H877" s="392"/>
      <c r="I877" s="392"/>
      <c r="J877" s="392"/>
      <c r="K877" s="392"/>
      <c r="L877" s="392"/>
      <c r="M877" s="392"/>
      <c r="N877" s="392"/>
      <c r="O877" s="392"/>
      <c r="P877" s="392"/>
      <c r="Q877" s="392"/>
      <c r="R877" s="392"/>
      <c r="S877" s="392"/>
      <c r="T877" s="392"/>
      <c r="U877" s="392"/>
      <c r="V877" s="392"/>
      <c r="W877" s="392"/>
      <c r="X877" s="392"/>
      <c r="Y877" s="392"/>
      <c r="Z877" s="392"/>
      <c r="AA877" s="392"/>
      <c r="AB877" s="392"/>
      <c r="AC877" s="392"/>
      <c r="AD877" s="392"/>
      <c r="AE877" s="392"/>
      <c r="AF877" s="392"/>
    </row>
    <row r="878" ht="15.75" customHeight="1">
      <c r="A878" s="216"/>
      <c r="B878" s="156"/>
      <c r="C878" s="156"/>
      <c r="D878" s="156"/>
      <c r="E878" s="392"/>
      <c r="F878" s="392"/>
      <c r="G878" s="392"/>
      <c r="H878" s="392"/>
      <c r="I878" s="392"/>
      <c r="J878" s="392"/>
      <c r="K878" s="392"/>
      <c r="L878" s="392"/>
      <c r="M878" s="392"/>
      <c r="N878" s="392"/>
      <c r="O878" s="392"/>
      <c r="P878" s="392"/>
      <c r="Q878" s="392"/>
      <c r="R878" s="392"/>
      <c r="S878" s="392"/>
      <c r="T878" s="392"/>
      <c r="U878" s="392"/>
      <c r="V878" s="392"/>
      <c r="W878" s="392"/>
      <c r="X878" s="392"/>
      <c r="Y878" s="392"/>
      <c r="Z878" s="392"/>
      <c r="AA878" s="392"/>
      <c r="AB878" s="392"/>
      <c r="AC878" s="392"/>
      <c r="AD878" s="392"/>
      <c r="AE878" s="392"/>
      <c r="AF878" s="392"/>
    </row>
    <row r="879" ht="15.75" customHeight="1">
      <c r="A879" s="216"/>
      <c r="B879" s="156"/>
      <c r="C879" s="156"/>
      <c r="D879" s="156"/>
      <c r="E879" s="392"/>
      <c r="F879" s="392"/>
      <c r="G879" s="392"/>
      <c r="H879" s="392"/>
      <c r="I879" s="392"/>
      <c r="J879" s="392"/>
      <c r="K879" s="392"/>
      <c r="L879" s="392"/>
      <c r="M879" s="392"/>
      <c r="N879" s="392"/>
      <c r="O879" s="392"/>
      <c r="P879" s="392"/>
      <c r="Q879" s="392"/>
      <c r="R879" s="392"/>
      <c r="S879" s="392"/>
      <c r="T879" s="392"/>
      <c r="U879" s="392"/>
      <c r="V879" s="392"/>
      <c r="W879" s="392"/>
      <c r="X879" s="392"/>
      <c r="Y879" s="392"/>
      <c r="Z879" s="392"/>
      <c r="AA879" s="392"/>
      <c r="AB879" s="392"/>
      <c r="AC879" s="392"/>
      <c r="AD879" s="392"/>
      <c r="AE879" s="392"/>
      <c r="AF879" s="392"/>
    </row>
    <row r="880" ht="15.75" customHeight="1">
      <c r="A880" s="216"/>
      <c r="B880" s="156"/>
      <c r="C880" s="156"/>
      <c r="D880" s="156"/>
      <c r="E880" s="392"/>
      <c r="F880" s="392"/>
      <c r="G880" s="392"/>
      <c r="H880" s="392"/>
      <c r="I880" s="392"/>
      <c r="J880" s="392"/>
      <c r="K880" s="392"/>
      <c r="L880" s="392"/>
      <c r="M880" s="392"/>
      <c r="N880" s="392"/>
      <c r="O880" s="392"/>
      <c r="P880" s="392"/>
      <c r="Q880" s="392"/>
      <c r="R880" s="392"/>
      <c r="S880" s="392"/>
      <c r="T880" s="392"/>
      <c r="U880" s="392"/>
      <c r="V880" s="392"/>
      <c r="W880" s="392"/>
      <c r="X880" s="392"/>
      <c r="Y880" s="392"/>
      <c r="Z880" s="392"/>
      <c r="AA880" s="392"/>
      <c r="AB880" s="392"/>
      <c r="AC880" s="392"/>
      <c r="AD880" s="392"/>
      <c r="AE880" s="392"/>
      <c r="AF880" s="392"/>
    </row>
    <row r="881" ht="15.75" customHeight="1">
      <c r="A881" s="216"/>
      <c r="B881" s="156"/>
      <c r="C881" s="156"/>
      <c r="D881" s="156"/>
      <c r="E881" s="392"/>
      <c r="F881" s="392"/>
      <c r="G881" s="392"/>
      <c r="H881" s="392"/>
      <c r="I881" s="392"/>
      <c r="J881" s="392"/>
      <c r="K881" s="392"/>
      <c r="L881" s="392"/>
      <c r="M881" s="392"/>
      <c r="N881" s="392"/>
      <c r="O881" s="392"/>
      <c r="P881" s="392"/>
      <c r="Q881" s="392"/>
      <c r="R881" s="392"/>
      <c r="S881" s="392"/>
      <c r="T881" s="392"/>
      <c r="U881" s="392"/>
      <c r="V881" s="392"/>
      <c r="W881" s="392"/>
      <c r="X881" s="392"/>
      <c r="Y881" s="392"/>
      <c r="Z881" s="392"/>
      <c r="AA881" s="392"/>
      <c r="AB881" s="392"/>
      <c r="AC881" s="392"/>
      <c r="AD881" s="392"/>
      <c r="AE881" s="392"/>
      <c r="AF881" s="392"/>
    </row>
    <row r="882" ht="15.75" customHeight="1">
      <c r="A882" s="216"/>
      <c r="B882" s="156"/>
      <c r="C882" s="156"/>
      <c r="D882" s="156"/>
      <c r="E882" s="392"/>
      <c r="F882" s="392"/>
      <c r="G882" s="392"/>
      <c r="H882" s="392"/>
      <c r="I882" s="392"/>
      <c r="J882" s="392"/>
      <c r="K882" s="392"/>
      <c r="L882" s="392"/>
      <c r="M882" s="392"/>
      <c r="N882" s="392"/>
      <c r="O882" s="392"/>
      <c r="P882" s="392"/>
      <c r="Q882" s="392"/>
      <c r="R882" s="392"/>
      <c r="S882" s="392"/>
      <c r="T882" s="392"/>
      <c r="U882" s="392"/>
      <c r="V882" s="392"/>
      <c r="W882" s="392"/>
      <c r="X882" s="392"/>
      <c r="Y882" s="392"/>
      <c r="Z882" s="392"/>
      <c r="AA882" s="392"/>
      <c r="AB882" s="392"/>
      <c r="AC882" s="392"/>
      <c r="AD882" s="392"/>
      <c r="AE882" s="392"/>
      <c r="AF882" s="392"/>
    </row>
    <row r="883" ht="15.75" customHeight="1">
      <c r="A883" s="216"/>
      <c r="B883" s="156"/>
      <c r="C883" s="156"/>
      <c r="D883" s="156"/>
      <c r="E883" s="392"/>
      <c r="F883" s="392"/>
      <c r="G883" s="392"/>
      <c r="H883" s="392"/>
      <c r="I883" s="392"/>
      <c r="J883" s="392"/>
      <c r="K883" s="392"/>
      <c r="L883" s="392"/>
      <c r="M883" s="392"/>
      <c r="N883" s="392"/>
      <c r="O883" s="392"/>
      <c r="P883" s="392"/>
      <c r="Q883" s="392"/>
      <c r="R883" s="392"/>
      <c r="S883" s="392"/>
      <c r="T883" s="392"/>
      <c r="U883" s="392"/>
      <c r="V883" s="392"/>
      <c r="W883" s="392"/>
      <c r="X883" s="392"/>
      <c r="Y883" s="392"/>
      <c r="Z883" s="392"/>
      <c r="AA883" s="392"/>
      <c r="AB883" s="392"/>
      <c r="AC883" s="392"/>
      <c r="AD883" s="392"/>
      <c r="AE883" s="392"/>
      <c r="AF883" s="392"/>
    </row>
    <row r="884" ht="15.75" customHeight="1">
      <c r="A884" s="216"/>
      <c r="B884" s="156"/>
      <c r="C884" s="156"/>
      <c r="D884" s="156"/>
      <c r="E884" s="392"/>
      <c r="F884" s="392"/>
      <c r="G884" s="392"/>
      <c r="H884" s="392"/>
      <c r="I884" s="392"/>
      <c r="J884" s="392"/>
      <c r="K884" s="392"/>
      <c r="L884" s="392"/>
      <c r="M884" s="392"/>
      <c r="N884" s="392"/>
      <c r="O884" s="392"/>
      <c r="P884" s="392"/>
      <c r="Q884" s="392"/>
      <c r="R884" s="392"/>
      <c r="S884" s="392"/>
      <c r="T884" s="392"/>
      <c r="U884" s="392"/>
      <c r="V884" s="392"/>
      <c r="W884" s="392"/>
      <c r="X884" s="392"/>
      <c r="Y884" s="392"/>
      <c r="Z884" s="392"/>
      <c r="AA884" s="392"/>
      <c r="AB884" s="392"/>
      <c r="AC884" s="392"/>
      <c r="AD884" s="392"/>
      <c r="AE884" s="392"/>
      <c r="AF884" s="392"/>
    </row>
    <row r="885" ht="15.75" customHeight="1">
      <c r="A885" s="216"/>
      <c r="B885" s="156"/>
      <c r="C885" s="156"/>
      <c r="D885" s="156"/>
      <c r="E885" s="392"/>
      <c r="F885" s="392"/>
      <c r="G885" s="392"/>
      <c r="H885" s="392"/>
      <c r="I885" s="392"/>
      <c r="J885" s="392"/>
      <c r="K885" s="392"/>
      <c r="L885" s="392"/>
      <c r="M885" s="392"/>
      <c r="N885" s="392"/>
      <c r="O885" s="392"/>
      <c r="P885" s="392"/>
      <c r="Q885" s="392"/>
      <c r="R885" s="392"/>
      <c r="S885" s="392"/>
      <c r="T885" s="392"/>
      <c r="U885" s="392"/>
      <c r="V885" s="392"/>
      <c r="W885" s="392"/>
      <c r="X885" s="392"/>
      <c r="Y885" s="392"/>
      <c r="Z885" s="392"/>
      <c r="AA885" s="392"/>
      <c r="AB885" s="392"/>
      <c r="AC885" s="392"/>
      <c r="AD885" s="392"/>
      <c r="AE885" s="392"/>
      <c r="AF885" s="392"/>
    </row>
    <row r="886" ht="15.75" customHeight="1">
      <c r="A886" s="216"/>
      <c r="B886" s="156"/>
      <c r="C886" s="156"/>
      <c r="D886" s="156"/>
      <c r="E886" s="392"/>
      <c r="F886" s="392"/>
      <c r="G886" s="392"/>
      <c r="H886" s="392"/>
      <c r="I886" s="392"/>
      <c r="J886" s="392"/>
      <c r="K886" s="392"/>
      <c r="L886" s="392"/>
      <c r="M886" s="392"/>
      <c r="N886" s="392"/>
      <c r="O886" s="392"/>
      <c r="P886" s="392"/>
      <c r="Q886" s="392"/>
      <c r="R886" s="392"/>
      <c r="S886" s="392"/>
      <c r="T886" s="392"/>
      <c r="U886" s="392"/>
      <c r="V886" s="392"/>
      <c r="W886" s="392"/>
      <c r="X886" s="392"/>
      <c r="Y886" s="392"/>
      <c r="Z886" s="392"/>
      <c r="AA886" s="392"/>
      <c r="AB886" s="392"/>
      <c r="AC886" s="392"/>
      <c r="AD886" s="392"/>
      <c r="AE886" s="392"/>
      <c r="AF886" s="392"/>
    </row>
    <row r="887" ht="15.75" customHeight="1">
      <c r="A887" s="216"/>
      <c r="B887" s="156"/>
      <c r="C887" s="156"/>
      <c r="D887" s="156"/>
      <c r="E887" s="392"/>
      <c r="F887" s="392"/>
      <c r="G887" s="392"/>
      <c r="H887" s="392"/>
      <c r="I887" s="392"/>
      <c r="J887" s="392"/>
      <c r="K887" s="392"/>
      <c r="L887" s="392"/>
      <c r="M887" s="392"/>
      <c r="N887" s="392"/>
      <c r="O887" s="392"/>
      <c r="P887" s="392"/>
      <c r="Q887" s="392"/>
      <c r="R887" s="392"/>
      <c r="S887" s="392"/>
      <c r="T887" s="392"/>
      <c r="U887" s="392"/>
      <c r="V887" s="392"/>
      <c r="W887" s="392"/>
      <c r="X887" s="392"/>
      <c r="Y887" s="392"/>
      <c r="Z887" s="392"/>
      <c r="AA887" s="392"/>
      <c r="AB887" s="392"/>
      <c r="AC887" s="392"/>
      <c r="AD887" s="392"/>
      <c r="AE887" s="392"/>
      <c r="AF887" s="392"/>
    </row>
    <row r="888" ht="15.75" customHeight="1">
      <c r="A888" s="216"/>
      <c r="B888" s="156"/>
      <c r="C888" s="156"/>
      <c r="D888" s="156"/>
      <c r="E888" s="392"/>
      <c r="F888" s="392"/>
      <c r="G888" s="392"/>
      <c r="H888" s="392"/>
      <c r="I888" s="392"/>
      <c r="J888" s="392"/>
      <c r="K888" s="392"/>
      <c r="L888" s="392"/>
      <c r="M888" s="392"/>
      <c r="N888" s="392"/>
      <c r="O888" s="392"/>
      <c r="P888" s="392"/>
      <c r="Q888" s="392"/>
      <c r="R888" s="392"/>
      <c r="S888" s="392"/>
      <c r="T888" s="392"/>
      <c r="U888" s="392"/>
      <c r="V888" s="392"/>
      <c r="W888" s="392"/>
      <c r="X888" s="392"/>
      <c r="Y888" s="392"/>
      <c r="Z888" s="392"/>
      <c r="AA888" s="392"/>
      <c r="AB888" s="392"/>
      <c r="AC888" s="392"/>
      <c r="AD888" s="392"/>
      <c r="AE888" s="392"/>
      <c r="AF888" s="392"/>
    </row>
    <row r="889" ht="15.75" customHeight="1">
      <c r="A889" s="216"/>
      <c r="B889" s="156"/>
      <c r="C889" s="156"/>
      <c r="D889" s="156"/>
      <c r="E889" s="392"/>
      <c r="F889" s="392"/>
      <c r="G889" s="392"/>
      <c r="H889" s="392"/>
      <c r="I889" s="392"/>
      <c r="J889" s="392"/>
      <c r="K889" s="392"/>
      <c r="L889" s="392"/>
      <c r="M889" s="392"/>
      <c r="N889" s="392"/>
      <c r="O889" s="392"/>
      <c r="P889" s="392"/>
      <c r="Q889" s="392"/>
      <c r="R889" s="392"/>
      <c r="S889" s="392"/>
      <c r="T889" s="392"/>
      <c r="U889" s="392"/>
      <c r="V889" s="392"/>
      <c r="W889" s="392"/>
      <c r="X889" s="392"/>
      <c r="Y889" s="392"/>
      <c r="Z889" s="392"/>
      <c r="AA889" s="392"/>
      <c r="AB889" s="392"/>
      <c r="AC889" s="392"/>
      <c r="AD889" s="392"/>
      <c r="AE889" s="392"/>
      <c r="AF889" s="392"/>
    </row>
    <row r="890" ht="15.75" customHeight="1">
      <c r="A890" s="216"/>
      <c r="B890" s="156"/>
      <c r="C890" s="156"/>
      <c r="D890" s="156"/>
      <c r="E890" s="392"/>
      <c r="F890" s="392"/>
      <c r="G890" s="392"/>
      <c r="H890" s="392"/>
      <c r="I890" s="392"/>
      <c r="J890" s="392"/>
      <c r="K890" s="392"/>
      <c r="L890" s="392"/>
      <c r="M890" s="392"/>
      <c r="N890" s="392"/>
      <c r="O890" s="392"/>
      <c r="P890" s="392"/>
      <c r="Q890" s="392"/>
      <c r="R890" s="392"/>
      <c r="S890" s="392"/>
      <c r="T890" s="392"/>
      <c r="U890" s="392"/>
      <c r="V890" s="392"/>
      <c r="W890" s="392"/>
      <c r="X890" s="392"/>
      <c r="Y890" s="392"/>
      <c r="Z890" s="392"/>
      <c r="AA890" s="392"/>
      <c r="AB890" s="392"/>
      <c r="AC890" s="392"/>
      <c r="AD890" s="392"/>
      <c r="AE890" s="392"/>
      <c r="AF890" s="392"/>
    </row>
    <row r="891" ht="15.75" customHeight="1">
      <c r="A891" s="216"/>
      <c r="B891" s="156"/>
      <c r="C891" s="156"/>
      <c r="D891" s="156"/>
      <c r="E891" s="392"/>
      <c r="F891" s="392"/>
      <c r="G891" s="392"/>
      <c r="H891" s="392"/>
      <c r="I891" s="392"/>
      <c r="J891" s="392"/>
      <c r="K891" s="392"/>
      <c r="L891" s="392"/>
      <c r="M891" s="392"/>
      <c r="N891" s="392"/>
      <c r="O891" s="392"/>
      <c r="P891" s="392"/>
      <c r="Q891" s="392"/>
      <c r="R891" s="392"/>
      <c r="S891" s="392"/>
      <c r="T891" s="392"/>
      <c r="U891" s="392"/>
      <c r="V891" s="392"/>
      <c r="W891" s="392"/>
      <c r="X891" s="392"/>
      <c r="Y891" s="392"/>
      <c r="Z891" s="392"/>
      <c r="AA891" s="392"/>
      <c r="AB891" s="392"/>
      <c r="AC891" s="392"/>
      <c r="AD891" s="392"/>
      <c r="AE891" s="392"/>
      <c r="AF891" s="392"/>
    </row>
    <row r="892" ht="15.75" customHeight="1">
      <c r="A892" s="216"/>
      <c r="B892" s="156"/>
      <c r="C892" s="156"/>
      <c r="D892" s="156"/>
      <c r="E892" s="392"/>
      <c r="F892" s="392"/>
      <c r="G892" s="392"/>
      <c r="H892" s="392"/>
      <c r="I892" s="392"/>
      <c r="J892" s="392"/>
      <c r="K892" s="392"/>
      <c r="L892" s="392"/>
      <c r="M892" s="392"/>
      <c r="N892" s="392"/>
      <c r="O892" s="392"/>
      <c r="P892" s="392"/>
      <c r="Q892" s="392"/>
      <c r="R892" s="392"/>
      <c r="S892" s="392"/>
      <c r="T892" s="392"/>
      <c r="U892" s="392"/>
      <c r="V892" s="392"/>
      <c r="W892" s="392"/>
      <c r="X892" s="392"/>
      <c r="Y892" s="392"/>
      <c r="Z892" s="392"/>
      <c r="AA892" s="392"/>
      <c r="AB892" s="392"/>
      <c r="AC892" s="392"/>
      <c r="AD892" s="392"/>
      <c r="AE892" s="392"/>
      <c r="AF892" s="392"/>
    </row>
    <row r="893" ht="15.75" customHeight="1">
      <c r="A893" s="216"/>
      <c r="B893" s="156"/>
      <c r="C893" s="156"/>
      <c r="D893" s="156"/>
      <c r="E893" s="392"/>
      <c r="F893" s="392"/>
      <c r="G893" s="392"/>
      <c r="H893" s="392"/>
      <c r="I893" s="392"/>
      <c r="J893" s="392"/>
      <c r="K893" s="392"/>
      <c r="L893" s="392"/>
      <c r="M893" s="392"/>
      <c r="N893" s="392"/>
      <c r="O893" s="392"/>
      <c r="P893" s="392"/>
      <c r="Q893" s="392"/>
      <c r="R893" s="392"/>
      <c r="S893" s="392"/>
      <c r="T893" s="392"/>
      <c r="U893" s="392"/>
      <c r="V893" s="392"/>
      <c r="W893" s="392"/>
      <c r="X893" s="392"/>
      <c r="Y893" s="392"/>
      <c r="Z893" s="392"/>
      <c r="AA893" s="392"/>
      <c r="AB893" s="392"/>
      <c r="AC893" s="392"/>
      <c r="AD893" s="392"/>
      <c r="AE893" s="392"/>
      <c r="AF893" s="392"/>
    </row>
    <row r="894" ht="15.75" customHeight="1">
      <c r="A894" s="216"/>
      <c r="B894" s="156"/>
      <c r="C894" s="156"/>
      <c r="D894" s="156"/>
      <c r="E894" s="392"/>
      <c r="F894" s="392"/>
      <c r="G894" s="392"/>
      <c r="H894" s="392"/>
      <c r="I894" s="392"/>
      <c r="J894" s="392"/>
      <c r="K894" s="392"/>
      <c r="L894" s="392"/>
      <c r="M894" s="392"/>
      <c r="N894" s="392"/>
      <c r="O894" s="392"/>
      <c r="P894" s="392"/>
      <c r="Q894" s="392"/>
      <c r="R894" s="392"/>
      <c r="S894" s="392"/>
      <c r="T894" s="392"/>
      <c r="U894" s="392"/>
      <c r="V894" s="392"/>
      <c r="W894" s="392"/>
      <c r="X894" s="392"/>
      <c r="Y894" s="392"/>
      <c r="Z894" s="392"/>
      <c r="AA894" s="392"/>
      <c r="AB894" s="392"/>
      <c r="AC894" s="392"/>
      <c r="AD894" s="392"/>
      <c r="AE894" s="392"/>
      <c r="AF894" s="392"/>
    </row>
    <row r="895" ht="15.75" customHeight="1">
      <c r="A895" s="216"/>
      <c r="B895" s="156"/>
      <c r="C895" s="156"/>
      <c r="D895" s="156"/>
      <c r="E895" s="392"/>
      <c r="F895" s="392"/>
      <c r="G895" s="392"/>
      <c r="H895" s="392"/>
      <c r="I895" s="392"/>
      <c r="J895" s="392"/>
      <c r="K895" s="392"/>
      <c r="L895" s="392"/>
      <c r="M895" s="392"/>
      <c r="N895" s="392"/>
      <c r="O895" s="392"/>
      <c r="P895" s="392"/>
      <c r="Q895" s="392"/>
      <c r="R895" s="392"/>
      <c r="S895" s="392"/>
      <c r="T895" s="392"/>
      <c r="U895" s="392"/>
      <c r="V895" s="392"/>
      <c r="W895" s="392"/>
      <c r="X895" s="392"/>
      <c r="Y895" s="392"/>
      <c r="Z895" s="392"/>
      <c r="AA895" s="392"/>
      <c r="AB895" s="392"/>
      <c r="AC895" s="392"/>
      <c r="AD895" s="392"/>
      <c r="AE895" s="392"/>
      <c r="AF895" s="392"/>
    </row>
    <row r="896" ht="15.75" customHeight="1">
      <c r="A896" s="216"/>
      <c r="B896" s="156"/>
      <c r="C896" s="156"/>
      <c r="D896" s="156"/>
      <c r="E896" s="392"/>
      <c r="F896" s="392"/>
      <c r="G896" s="392"/>
      <c r="H896" s="392"/>
      <c r="I896" s="392"/>
      <c r="J896" s="392"/>
      <c r="K896" s="392"/>
      <c r="L896" s="392"/>
      <c r="M896" s="392"/>
      <c r="N896" s="392"/>
      <c r="O896" s="392"/>
      <c r="P896" s="392"/>
      <c r="Q896" s="392"/>
      <c r="R896" s="392"/>
      <c r="S896" s="392"/>
      <c r="T896" s="392"/>
      <c r="U896" s="392"/>
      <c r="V896" s="392"/>
      <c r="W896" s="392"/>
      <c r="X896" s="392"/>
      <c r="Y896" s="392"/>
      <c r="Z896" s="392"/>
      <c r="AA896" s="392"/>
      <c r="AB896" s="392"/>
      <c r="AC896" s="392"/>
      <c r="AD896" s="392"/>
      <c r="AE896" s="392"/>
      <c r="AF896" s="392"/>
    </row>
    <row r="897" ht="15.75" customHeight="1">
      <c r="A897" s="216"/>
      <c r="B897" s="156"/>
      <c r="C897" s="156"/>
      <c r="D897" s="156"/>
      <c r="E897" s="392"/>
      <c r="F897" s="392"/>
      <c r="G897" s="392"/>
      <c r="H897" s="392"/>
      <c r="I897" s="392"/>
      <c r="J897" s="392"/>
      <c r="K897" s="392"/>
      <c r="L897" s="392"/>
      <c r="M897" s="392"/>
      <c r="N897" s="392"/>
      <c r="O897" s="392"/>
      <c r="P897" s="392"/>
      <c r="Q897" s="392"/>
      <c r="R897" s="392"/>
      <c r="S897" s="392"/>
      <c r="T897" s="392"/>
      <c r="U897" s="392"/>
      <c r="V897" s="392"/>
      <c r="W897" s="392"/>
      <c r="X897" s="392"/>
      <c r="Y897" s="392"/>
      <c r="Z897" s="392"/>
      <c r="AA897" s="392"/>
      <c r="AB897" s="392"/>
      <c r="AC897" s="392"/>
      <c r="AD897" s="392"/>
      <c r="AE897" s="392"/>
      <c r="AF897" s="392"/>
    </row>
    <row r="898" ht="15.75" customHeight="1">
      <c r="A898" s="216"/>
      <c r="B898" s="156"/>
      <c r="C898" s="156"/>
      <c r="D898" s="156"/>
      <c r="E898" s="392"/>
      <c r="F898" s="392"/>
      <c r="G898" s="392"/>
      <c r="H898" s="392"/>
      <c r="I898" s="392"/>
      <c r="J898" s="392"/>
      <c r="K898" s="392"/>
      <c r="L898" s="392"/>
      <c r="M898" s="392"/>
      <c r="N898" s="392"/>
      <c r="O898" s="392"/>
      <c r="P898" s="392"/>
      <c r="Q898" s="392"/>
      <c r="R898" s="392"/>
      <c r="S898" s="392"/>
      <c r="T898" s="392"/>
      <c r="U898" s="392"/>
      <c r="V898" s="392"/>
      <c r="W898" s="392"/>
      <c r="X898" s="392"/>
      <c r="Y898" s="392"/>
      <c r="Z898" s="392"/>
      <c r="AA898" s="392"/>
      <c r="AB898" s="392"/>
      <c r="AC898" s="392"/>
      <c r="AD898" s="392"/>
      <c r="AE898" s="392"/>
      <c r="AF898" s="392"/>
    </row>
    <row r="899" ht="15.75" customHeight="1">
      <c r="A899" s="216"/>
      <c r="B899" s="156"/>
      <c r="C899" s="156"/>
      <c r="D899" s="156"/>
      <c r="E899" s="392"/>
      <c r="F899" s="392"/>
      <c r="G899" s="392"/>
      <c r="H899" s="392"/>
      <c r="I899" s="392"/>
      <c r="J899" s="392"/>
      <c r="K899" s="392"/>
      <c r="L899" s="392"/>
      <c r="M899" s="392"/>
      <c r="N899" s="392"/>
      <c r="O899" s="392"/>
      <c r="P899" s="392"/>
      <c r="Q899" s="392"/>
      <c r="R899" s="392"/>
      <c r="S899" s="392"/>
      <c r="T899" s="392"/>
      <c r="U899" s="392"/>
      <c r="V899" s="392"/>
      <c r="W899" s="392"/>
      <c r="X899" s="392"/>
      <c r="Y899" s="392"/>
      <c r="Z899" s="392"/>
      <c r="AA899" s="392"/>
      <c r="AB899" s="392"/>
      <c r="AC899" s="392"/>
      <c r="AD899" s="392"/>
      <c r="AE899" s="392"/>
      <c r="AF899" s="392"/>
    </row>
    <row r="900" ht="15.75" customHeight="1">
      <c r="A900" s="216"/>
      <c r="B900" s="156"/>
      <c r="C900" s="156"/>
      <c r="D900" s="156"/>
      <c r="E900" s="392"/>
      <c r="F900" s="392"/>
      <c r="G900" s="392"/>
      <c r="H900" s="392"/>
      <c r="I900" s="392"/>
      <c r="J900" s="392"/>
      <c r="K900" s="392"/>
      <c r="L900" s="392"/>
      <c r="M900" s="392"/>
      <c r="N900" s="392"/>
      <c r="O900" s="392"/>
      <c r="P900" s="392"/>
      <c r="Q900" s="392"/>
      <c r="R900" s="392"/>
      <c r="S900" s="392"/>
      <c r="T900" s="392"/>
      <c r="U900" s="392"/>
      <c r="V900" s="392"/>
      <c r="W900" s="392"/>
      <c r="X900" s="392"/>
      <c r="Y900" s="392"/>
      <c r="Z900" s="392"/>
      <c r="AA900" s="392"/>
      <c r="AB900" s="392"/>
      <c r="AC900" s="392"/>
      <c r="AD900" s="392"/>
      <c r="AE900" s="392"/>
      <c r="AF900" s="392"/>
    </row>
    <row r="901" ht="15.75" customHeight="1">
      <c r="A901" s="216"/>
      <c r="B901" s="156"/>
      <c r="C901" s="156"/>
      <c r="D901" s="156"/>
      <c r="E901" s="392"/>
      <c r="F901" s="392"/>
      <c r="G901" s="392"/>
      <c r="H901" s="392"/>
      <c r="I901" s="392"/>
      <c r="J901" s="392"/>
      <c r="K901" s="392"/>
      <c r="L901" s="392"/>
      <c r="M901" s="392"/>
      <c r="N901" s="392"/>
      <c r="O901" s="392"/>
      <c r="P901" s="392"/>
      <c r="Q901" s="392"/>
      <c r="R901" s="392"/>
      <c r="S901" s="392"/>
      <c r="T901" s="392"/>
      <c r="U901" s="392"/>
      <c r="V901" s="392"/>
      <c r="W901" s="392"/>
      <c r="X901" s="392"/>
      <c r="Y901" s="392"/>
      <c r="Z901" s="392"/>
      <c r="AA901" s="392"/>
      <c r="AB901" s="392"/>
      <c r="AC901" s="392"/>
      <c r="AD901" s="392"/>
      <c r="AE901" s="392"/>
      <c r="AF901" s="392"/>
    </row>
    <row r="902" ht="15.75" customHeight="1">
      <c r="A902" s="216"/>
      <c r="B902" s="156"/>
      <c r="C902" s="156"/>
      <c r="D902" s="156"/>
      <c r="E902" s="392"/>
      <c r="F902" s="392"/>
      <c r="G902" s="392"/>
      <c r="H902" s="392"/>
      <c r="I902" s="392"/>
      <c r="J902" s="392"/>
      <c r="K902" s="392"/>
      <c r="L902" s="392"/>
      <c r="M902" s="392"/>
      <c r="N902" s="392"/>
      <c r="O902" s="392"/>
      <c r="P902" s="392"/>
      <c r="Q902" s="392"/>
      <c r="R902" s="392"/>
      <c r="S902" s="392"/>
      <c r="T902" s="392"/>
      <c r="U902" s="392"/>
      <c r="V902" s="392"/>
      <c r="W902" s="392"/>
      <c r="X902" s="392"/>
      <c r="Y902" s="392"/>
      <c r="Z902" s="392"/>
      <c r="AA902" s="392"/>
      <c r="AB902" s="392"/>
      <c r="AC902" s="392"/>
      <c r="AD902" s="392"/>
      <c r="AE902" s="392"/>
      <c r="AF902" s="392"/>
    </row>
    <row r="903" ht="15.75" customHeight="1">
      <c r="A903" s="216"/>
      <c r="B903" s="156"/>
      <c r="C903" s="156"/>
      <c r="D903" s="156"/>
      <c r="E903" s="392"/>
      <c r="F903" s="392"/>
      <c r="G903" s="392"/>
      <c r="H903" s="392"/>
      <c r="I903" s="392"/>
      <c r="J903" s="392"/>
      <c r="K903" s="392"/>
      <c r="L903" s="392"/>
      <c r="M903" s="392"/>
      <c r="N903" s="392"/>
      <c r="O903" s="392"/>
      <c r="P903" s="392"/>
      <c r="Q903" s="392"/>
      <c r="R903" s="392"/>
      <c r="S903" s="392"/>
      <c r="T903" s="392"/>
      <c r="U903" s="392"/>
      <c r="V903" s="392"/>
      <c r="W903" s="392"/>
      <c r="X903" s="392"/>
      <c r="Y903" s="392"/>
      <c r="Z903" s="392"/>
      <c r="AA903" s="392"/>
      <c r="AB903" s="392"/>
      <c r="AC903" s="392"/>
      <c r="AD903" s="392"/>
      <c r="AE903" s="392"/>
      <c r="AF903" s="392"/>
    </row>
    <row r="904" ht="15.75" customHeight="1">
      <c r="A904" s="216"/>
      <c r="B904" s="156"/>
      <c r="C904" s="156"/>
      <c r="D904" s="156"/>
      <c r="E904" s="392"/>
      <c r="F904" s="392"/>
      <c r="G904" s="392"/>
      <c r="H904" s="392"/>
      <c r="I904" s="392"/>
      <c r="J904" s="392"/>
      <c r="K904" s="392"/>
      <c r="L904" s="392"/>
      <c r="M904" s="392"/>
      <c r="N904" s="392"/>
      <c r="O904" s="392"/>
      <c r="P904" s="392"/>
      <c r="Q904" s="392"/>
      <c r="R904" s="392"/>
      <c r="S904" s="392"/>
      <c r="T904" s="392"/>
      <c r="U904" s="392"/>
      <c r="V904" s="392"/>
      <c r="W904" s="392"/>
      <c r="X904" s="392"/>
      <c r="Y904" s="392"/>
      <c r="Z904" s="392"/>
      <c r="AA904" s="392"/>
      <c r="AB904" s="392"/>
      <c r="AC904" s="392"/>
      <c r="AD904" s="392"/>
      <c r="AE904" s="392"/>
      <c r="AF904" s="392"/>
    </row>
    <row r="905" ht="15.75" customHeight="1">
      <c r="A905" s="216"/>
      <c r="B905" s="156"/>
      <c r="C905" s="156"/>
      <c r="D905" s="156"/>
      <c r="E905" s="392"/>
      <c r="F905" s="392"/>
      <c r="G905" s="392"/>
      <c r="H905" s="392"/>
      <c r="I905" s="392"/>
      <c r="J905" s="392"/>
      <c r="K905" s="392"/>
      <c r="L905" s="392"/>
      <c r="M905" s="392"/>
      <c r="N905" s="392"/>
      <c r="O905" s="392"/>
      <c r="P905" s="392"/>
      <c r="Q905" s="392"/>
      <c r="R905" s="392"/>
      <c r="S905" s="392"/>
      <c r="T905" s="392"/>
      <c r="U905" s="392"/>
      <c r="V905" s="392"/>
      <c r="W905" s="392"/>
      <c r="X905" s="392"/>
      <c r="Y905" s="392"/>
      <c r="Z905" s="392"/>
      <c r="AA905" s="392"/>
      <c r="AB905" s="392"/>
      <c r="AC905" s="392"/>
      <c r="AD905" s="392"/>
      <c r="AE905" s="392"/>
      <c r="AF905" s="392"/>
    </row>
    <row r="906" ht="15.75" customHeight="1">
      <c r="A906" s="216"/>
      <c r="B906" s="156"/>
      <c r="C906" s="156"/>
      <c r="D906" s="156"/>
      <c r="E906" s="392"/>
      <c r="F906" s="392"/>
      <c r="G906" s="392"/>
      <c r="H906" s="392"/>
      <c r="I906" s="392"/>
      <c r="J906" s="392"/>
      <c r="K906" s="392"/>
      <c r="L906" s="392"/>
      <c r="M906" s="392"/>
      <c r="N906" s="392"/>
      <c r="O906" s="392"/>
      <c r="P906" s="392"/>
      <c r="Q906" s="392"/>
      <c r="R906" s="392"/>
      <c r="S906" s="392"/>
      <c r="T906" s="392"/>
      <c r="U906" s="392"/>
      <c r="V906" s="392"/>
      <c r="W906" s="392"/>
      <c r="X906" s="392"/>
      <c r="Y906" s="392"/>
      <c r="Z906" s="392"/>
      <c r="AA906" s="392"/>
      <c r="AB906" s="392"/>
      <c r="AC906" s="392"/>
      <c r="AD906" s="392"/>
      <c r="AE906" s="392"/>
      <c r="AF906" s="392"/>
    </row>
    <row r="907" ht="15.75" customHeight="1">
      <c r="A907" s="216"/>
      <c r="B907" s="156"/>
      <c r="C907" s="156"/>
      <c r="D907" s="156"/>
      <c r="E907" s="392"/>
      <c r="F907" s="392"/>
      <c r="G907" s="392"/>
      <c r="H907" s="392"/>
      <c r="I907" s="392"/>
      <c r="J907" s="392"/>
      <c r="K907" s="392"/>
      <c r="L907" s="392"/>
      <c r="M907" s="392"/>
      <c r="N907" s="392"/>
      <c r="O907" s="392"/>
      <c r="P907" s="392"/>
      <c r="Q907" s="392"/>
      <c r="R907" s="392"/>
      <c r="S907" s="392"/>
      <c r="T907" s="392"/>
      <c r="U907" s="392"/>
      <c r="V907" s="392"/>
      <c r="W907" s="392"/>
      <c r="X907" s="392"/>
      <c r="Y907" s="392"/>
      <c r="Z907" s="392"/>
      <c r="AA907" s="392"/>
      <c r="AB907" s="392"/>
      <c r="AC907" s="392"/>
      <c r="AD907" s="392"/>
      <c r="AE907" s="392"/>
      <c r="AF907" s="392"/>
    </row>
    <row r="908" ht="15.75" customHeight="1">
      <c r="A908" s="216"/>
      <c r="B908" s="156"/>
      <c r="C908" s="156"/>
      <c r="D908" s="156"/>
      <c r="E908" s="392"/>
      <c r="F908" s="392"/>
      <c r="G908" s="392"/>
      <c r="H908" s="392"/>
      <c r="I908" s="392"/>
      <c r="J908" s="392"/>
      <c r="K908" s="392"/>
      <c r="L908" s="392"/>
      <c r="M908" s="392"/>
      <c r="N908" s="392"/>
      <c r="O908" s="392"/>
      <c r="P908" s="392"/>
      <c r="Q908" s="392"/>
      <c r="R908" s="392"/>
      <c r="S908" s="392"/>
      <c r="T908" s="392"/>
      <c r="U908" s="392"/>
      <c r="V908" s="392"/>
      <c r="W908" s="392"/>
      <c r="X908" s="392"/>
      <c r="Y908" s="392"/>
      <c r="Z908" s="392"/>
      <c r="AA908" s="392"/>
      <c r="AB908" s="392"/>
      <c r="AC908" s="392"/>
      <c r="AD908" s="392"/>
      <c r="AE908" s="392"/>
      <c r="AF908" s="392"/>
    </row>
    <row r="909" ht="15.75" customHeight="1">
      <c r="A909" s="216"/>
      <c r="B909" s="156"/>
      <c r="C909" s="156"/>
      <c r="D909" s="156"/>
      <c r="E909" s="392"/>
      <c r="F909" s="392"/>
      <c r="G909" s="392"/>
      <c r="H909" s="392"/>
      <c r="I909" s="392"/>
      <c r="J909" s="392"/>
      <c r="K909" s="392"/>
      <c r="L909" s="392"/>
      <c r="M909" s="392"/>
      <c r="N909" s="392"/>
      <c r="O909" s="392"/>
      <c r="P909" s="392"/>
      <c r="Q909" s="392"/>
      <c r="R909" s="392"/>
      <c r="S909" s="392"/>
      <c r="T909" s="392"/>
      <c r="U909" s="392"/>
      <c r="V909" s="392"/>
      <c r="W909" s="392"/>
      <c r="X909" s="392"/>
      <c r="Y909" s="392"/>
      <c r="Z909" s="392"/>
      <c r="AA909" s="392"/>
      <c r="AB909" s="392"/>
      <c r="AC909" s="392"/>
      <c r="AD909" s="392"/>
      <c r="AE909" s="392"/>
      <c r="AF909" s="392"/>
    </row>
    <row r="910" ht="15.75" customHeight="1">
      <c r="A910" s="216"/>
      <c r="B910" s="156"/>
      <c r="C910" s="156"/>
      <c r="D910" s="156"/>
      <c r="E910" s="392"/>
      <c r="F910" s="392"/>
      <c r="G910" s="392"/>
      <c r="H910" s="392"/>
      <c r="I910" s="392"/>
      <c r="J910" s="392"/>
      <c r="K910" s="392"/>
      <c r="L910" s="392"/>
      <c r="M910" s="392"/>
      <c r="N910" s="392"/>
      <c r="O910" s="392"/>
      <c r="P910" s="392"/>
      <c r="Q910" s="392"/>
      <c r="R910" s="392"/>
      <c r="S910" s="392"/>
      <c r="T910" s="392"/>
      <c r="U910" s="392"/>
      <c r="V910" s="392"/>
      <c r="W910" s="392"/>
      <c r="X910" s="392"/>
      <c r="Y910" s="392"/>
      <c r="Z910" s="392"/>
      <c r="AA910" s="392"/>
      <c r="AB910" s="392"/>
      <c r="AC910" s="392"/>
      <c r="AD910" s="392"/>
      <c r="AE910" s="392"/>
      <c r="AF910" s="392"/>
    </row>
    <row r="911" ht="15.75" customHeight="1">
      <c r="A911" s="216"/>
      <c r="B911" s="156"/>
      <c r="C911" s="156"/>
      <c r="D911" s="156"/>
      <c r="E911" s="392"/>
      <c r="F911" s="392"/>
      <c r="G911" s="392"/>
      <c r="H911" s="392"/>
      <c r="I911" s="392"/>
      <c r="J911" s="392"/>
      <c r="K911" s="392"/>
      <c r="L911" s="392"/>
      <c r="M911" s="392"/>
      <c r="N911" s="392"/>
      <c r="O911" s="392"/>
      <c r="P911" s="392"/>
      <c r="Q911" s="392"/>
      <c r="R911" s="392"/>
      <c r="S911" s="392"/>
      <c r="T911" s="392"/>
      <c r="U911" s="392"/>
      <c r="V911" s="392"/>
      <c r="W911" s="392"/>
      <c r="X911" s="392"/>
      <c r="Y911" s="392"/>
      <c r="Z911" s="392"/>
      <c r="AA911" s="392"/>
      <c r="AB911" s="392"/>
      <c r="AC911" s="392"/>
      <c r="AD911" s="392"/>
      <c r="AE911" s="392"/>
      <c r="AF911" s="392"/>
    </row>
    <row r="912" ht="15.75" customHeight="1">
      <c r="A912" s="216"/>
      <c r="B912" s="156"/>
      <c r="C912" s="156"/>
      <c r="D912" s="156"/>
      <c r="E912" s="392"/>
      <c r="F912" s="392"/>
      <c r="G912" s="392"/>
      <c r="H912" s="392"/>
      <c r="I912" s="392"/>
      <c r="J912" s="392"/>
      <c r="K912" s="392"/>
      <c r="L912" s="392"/>
      <c r="M912" s="392"/>
      <c r="N912" s="392"/>
      <c r="O912" s="392"/>
      <c r="P912" s="392"/>
      <c r="Q912" s="392"/>
      <c r="R912" s="392"/>
      <c r="S912" s="392"/>
      <c r="T912" s="392"/>
      <c r="U912" s="392"/>
      <c r="V912" s="392"/>
      <c r="W912" s="392"/>
      <c r="X912" s="392"/>
      <c r="Y912" s="392"/>
      <c r="Z912" s="392"/>
      <c r="AA912" s="392"/>
      <c r="AB912" s="392"/>
      <c r="AC912" s="392"/>
      <c r="AD912" s="392"/>
      <c r="AE912" s="392"/>
      <c r="AF912" s="392"/>
    </row>
    <row r="913" ht="15.75" customHeight="1">
      <c r="A913" s="216"/>
      <c r="B913" s="156"/>
      <c r="C913" s="156"/>
      <c r="D913" s="156"/>
      <c r="E913" s="392"/>
      <c r="F913" s="392"/>
      <c r="G913" s="392"/>
      <c r="H913" s="392"/>
      <c r="I913" s="392"/>
      <c r="J913" s="392"/>
      <c r="K913" s="392"/>
      <c r="L913" s="392"/>
      <c r="M913" s="392"/>
      <c r="N913" s="392"/>
      <c r="O913" s="392"/>
      <c r="P913" s="392"/>
      <c r="Q913" s="392"/>
      <c r="R913" s="392"/>
      <c r="S913" s="392"/>
      <c r="T913" s="392"/>
      <c r="U913" s="392"/>
      <c r="V913" s="392"/>
      <c r="W913" s="392"/>
      <c r="X913" s="392"/>
      <c r="Y913" s="392"/>
      <c r="Z913" s="392"/>
      <c r="AA913" s="392"/>
      <c r="AB913" s="392"/>
      <c r="AC913" s="392"/>
      <c r="AD913" s="392"/>
      <c r="AE913" s="392"/>
      <c r="AF913" s="392"/>
    </row>
    <row r="914" ht="15.75" customHeight="1">
      <c r="A914" s="216"/>
      <c r="B914" s="156"/>
      <c r="C914" s="156"/>
      <c r="D914" s="156"/>
      <c r="E914" s="392"/>
      <c r="F914" s="392"/>
      <c r="G914" s="392"/>
      <c r="H914" s="392"/>
      <c r="I914" s="392"/>
      <c r="J914" s="392"/>
      <c r="K914" s="392"/>
      <c r="L914" s="392"/>
      <c r="M914" s="392"/>
      <c r="N914" s="392"/>
      <c r="O914" s="392"/>
      <c r="P914" s="392"/>
      <c r="Q914" s="392"/>
      <c r="R914" s="392"/>
      <c r="S914" s="392"/>
      <c r="T914" s="392"/>
      <c r="U914" s="392"/>
      <c r="V914" s="392"/>
      <c r="W914" s="392"/>
      <c r="X914" s="392"/>
      <c r="Y914" s="392"/>
      <c r="Z914" s="392"/>
      <c r="AA914" s="392"/>
      <c r="AB914" s="392"/>
      <c r="AC914" s="392"/>
      <c r="AD914" s="392"/>
      <c r="AE914" s="392"/>
      <c r="AF914" s="392"/>
    </row>
    <row r="915" ht="15.75" customHeight="1">
      <c r="A915" s="216"/>
      <c r="B915" s="156"/>
      <c r="C915" s="156"/>
      <c r="D915" s="156"/>
      <c r="E915" s="392"/>
      <c r="F915" s="392"/>
      <c r="G915" s="392"/>
      <c r="H915" s="392"/>
      <c r="I915" s="392"/>
      <c r="J915" s="392"/>
      <c r="K915" s="392"/>
      <c r="L915" s="392"/>
      <c r="M915" s="392"/>
      <c r="N915" s="392"/>
      <c r="O915" s="392"/>
      <c r="P915" s="392"/>
      <c r="Q915" s="392"/>
      <c r="R915" s="392"/>
      <c r="S915" s="392"/>
      <c r="T915" s="392"/>
      <c r="U915" s="392"/>
      <c r="V915" s="392"/>
      <c r="W915" s="392"/>
      <c r="X915" s="392"/>
      <c r="Y915" s="392"/>
      <c r="Z915" s="392"/>
      <c r="AA915" s="392"/>
      <c r="AB915" s="392"/>
      <c r="AC915" s="392"/>
      <c r="AD915" s="392"/>
      <c r="AE915" s="392"/>
      <c r="AF915" s="392"/>
    </row>
    <row r="916" ht="15.75" customHeight="1">
      <c r="A916" s="216"/>
      <c r="B916" s="156"/>
      <c r="C916" s="156"/>
      <c r="D916" s="156"/>
      <c r="E916" s="392"/>
      <c r="F916" s="392"/>
      <c r="G916" s="392"/>
      <c r="H916" s="392"/>
      <c r="I916" s="392"/>
      <c r="J916" s="392"/>
      <c r="K916" s="392"/>
      <c r="L916" s="392"/>
      <c r="M916" s="392"/>
      <c r="N916" s="392"/>
      <c r="O916" s="392"/>
      <c r="P916" s="392"/>
      <c r="Q916" s="392"/>
      <c r="R916" s="392"/>
      <c r="S916" s="392"/>
      <c r="T916" s="392"/>
      <c r="U916" s="392"/>
      <c r="V916" s="392"/>
      <c r="W916" s="392"/>
      <c r="X916" s="392"/>
      <c r="Y916" s="392"/>
      <c r="Z916" s="392"/>
      <c r="AA916" s="392"/>
      <c r="AB916" s="392"/>
      <c r="AC916" s="392"/>
      <c r="AD916" s="392"/>
      <c r="AE916" s="392"/>
      <c r="AF916" s="392"/>
    </row>
    <row r="917" ht="15.75" customHeight="1">
      <c r="A917" s="216"/>
      <c r="B917" s="156"/>
      <c r="C917" s="156"/>
      <c r="D917" s="156"/>
      <c r="E917" s="392"/>
      <c r="F917" s="392"/>
      <c r="G917" s="392"/>
      <c r="H917" s="392"/>
      <c r="I917" s="392"/>
      <c r="J917" s="392"/>
      <c r="K917" s="392"/>
      <c r="L917" s="392"/>
      <c r="M917" s="392"/>
      <c r="N917" s="392"/>
      <c r="O917" s="392"/>
      <c r="P917" s="392"/>
      <c r="Q917" s="392"/>
      <c r="R917" s="392"/>
      <c r="S917" s="392"/>
      <c r="T917" s="392"/>
      <c r="U917" s="392"/>
      <c r="V917" s="392"/>
      <c r="W917" s="392"/>
      <c r="X917" s="392"/>
      <c r="Y917" s="392"/>
      <c r="Z917" s="392"/>
      <c r="AA917" s="392"/>
      <c r="AB917" s="392"/>
      <c r="AC917" s="392"/>
      <c r="AD917" s="392"/>
      <c r="AE917" s="392"/>
      <c r="AF917" s="392"/>
    </row>
    <row r="918" ht="15.75" customHeight="1">
      <c r="A918" s="216"/>
      <c r="B918" s="156"/>
      <c r="C918" s="156"/>
      <c r="D918" s="156"/>
      <c r="E918" s="392"/>
      <c r="F918" s="392"/>
      <c r="G918" s="392"/>
      <c r="H918" s="392"/>
      <c r="I918" s="392"/>
      <c r="J918" s="392"/>
      <c r="K918" s="392"/>
      <c r="L918" s="392"/>
      <c r="M918" s="392"/>
      <c r="N918" s="392"/>
      <c r="O918" s="392"/>
      <c r="P918" s="392"/>
      <c r="Q918" s="392"/>
      <c r="R918" s="392"/>
      <c r="S918" s="392"/>
      <c r="T918" s="392"/>
      <c r="U918" s="392"/>
      <c r="V918" s="392"/>
      <c r="W918" s="392"/>
      <c r="X918" s="392"/>
      <c r="Y918" s="392"/>
      <c r="Z918" s="392"/>
      <c r="AA918" s="392"/>
      <c r="AB918" s="392"/>
      <c r="AC918" s="392"/>
      <c r="AD918" s="392"/>
      <c r="AE918" s="392"/>
      <c r="AF918" s="392"/>
    </row>
    <row r="919" ht="15.75" customHeight="1">
      <c r="A919" s="216"/>
      <c r="B919" s="156"/>
      <c r="C919" s="156"/>
      <c r="D919" s="156"/>
      <c r="E919" s="392"/>
      <c r="F919" s="392"/>
      <c r="G919" s="392"/>
      <c r="H919" s="392"/>
      <c r="I919" s="392"/>
      <c r="J919" s="392"/>
      <c r="K919" s="392"/>
      <c r="L919" s="392"/>
      <c r="M919" s="392"/>
      <c r="N919" s="392"/>
      <c r="O919" s="392"/>
      <c r="P919" s="392"/>
      <c r="Q919" s="392"/>
      <c r="R919" s="392"/>
      <c r="S919" s="392"/>
      <c r="T919" s="392"/>
      <c r="U919" s="392"/>
      <c r="V919" s="392"/>
      <c r="W919" s="392"/>
      <c r="X919" s="392"/>
      <c r="Y919" s="392"/>
      <c r="Z919" s="392"/>
      <c r="AA919" s="392"/>
      <c r="AB919" s="392"/>
      <c r="AC919" s="392"/>
      <c r="AD919" s="392"/>
      <c r="AE919" s="392"/>
      <c r="AF919" s="392"/>
    </row>
    <row r="920" ht="15.75" customHeight="1">
      <c r="A920" s="216"/>
      <c r="B920" s="156"/>
      <c r="C920" s="156"/>
      <c r="D920" s="156"/>
      <c r="E920" s="392"/>
      <c r="F920" s="392"/>
      <c r="G920" s="392"/>
      <c r="H920" s="392"/>
      <c r="I920" s="392"/>
      <c r="J920" s="392"/>
      <c r="K920" s="392"/>
      <c r="L920" s="392"/>
      <c r="M920" s="392"/>
      <c r="N920" s="392"/>
      <c r="O920" s="392"/>
      <c r="P920" s="392"/>
      <c r="Q920" s="392"/>
      <c r="R920" s="392"/>
      <c r="S920" s="392"/>
      <c r="T920" s="392"/>
      <c r="U920" s="392"/>
      <c r="V920" s="392"/>
      <c r="W920" s="392"/>
      <c r="X920" s="392"/>
      <c r="Y920" s="392"/>
      <c r="Z920" s="392"/>
      <c r="AA920" s="392"/>
      <c r="AB920" s="392"/>
      <c r="AC920" s="392"/>
      <c r="AD920" s="392"/>
      <c r="AE920" s="392"/>
      <c r="AF920" s="392"/>
    </row>
    <row r="921" ht="15.75" customHeight="1">
      <c r="A921" s="216"/>
      <c r="B921" s="156"/>
      <c r="C921" s="156"/>
      <c r="D921" s="156"/>
      <c r="E921" s="392"/>
      <c r="F921" s="392"/>
      <c r="G921" s="392"/>
      <c r="H921" s="392"/>
      <c r="I921" s="392"/>
      <c r="J921" s="392"/>
      <c r="K921" s="392"/>
      <c r="L921" s="392"/>
      <c r="M921" s="392"/>
      <c r="N921" s="392"/>
      <c r="O921" s="392"/>
      <c r="P921" s="392"/>
      <c r="Q921" s="392"/>
      <c r="R921" s="392"/>
      <c r="S921" s="392"/>
      <c r="T921" s="392"/>
      <c r="U921" s="392"/>
      <c r="V921" s="392"/>
      <c r="W921" s="392"/>
      <c r="X921" s="392"/>
      <c r="Y921" s="392"/>
      <c r="Z921" s="392"/>
      <c r="AA921" s="392"/>
      <c r="AB921" s="392"/>
      <c r="AC921" s="392"/>
      <c r="AD921" s="392"/>
      <c r="AE921" s="392"/>
      <c r="AF921" s="392"/>
    </row>
    <row r="922" ht="15.75" customHeight="1">
      <c r="A922" s="216"/>
      <c r="B922" s="156"/>
      <c r="C922" s="156"/>
      <c r="D922" s="156"/>
      <c r="E922" s="392"/>
      <c r="F922" s="392"/>
      <c r="G922" s="392"/>
      <c r="H922" s="392"/>
      <c r="I922" s="392"/>
      <c r="J922" s="392"/>
      <c r="K922" s="392"/>
      <c r="L922" s="392"/>
      <c r="M922" s="392"/>
      <c r="N922" s="392"/>
      <c r="O922" s="392"/>
      <c r="P922" s="392"/>
      <c r="Q922" s="392"/>
      <c r="R922" s="392"/>
      <c r="S922" s="392"/>
      <c r="T922" s="392"/>
      <c r="U922" s="392"/>
      <c r="V922" s="392"/>
      <c r="W922" s="392"/>
      <c r="X922" s="392"/>
      <c r="Y922" s="392"/>
      <c r="Z922" s="392"/>
      <c r="AA922" s="392"/>
      <c r="AB922" s="392"/>
      <c r="AC922" s="392"/>
      <c r="AD922" s="392"/>
      <c r="AE922" s="392"/>
      <c r="AF922" s="392"/>
    </row>
    <row r="923" ht="15.75" customHeight="1">
      <c r="A923" s="216"/>
      <c r="B923" s="156"/>
      <c r="C923" s="156"/>
      <c r="D923" s="156"/>
      <c r="E923" s="392"/>
      <c r="F923" s="392"/>
      <c r="G923" s="392"/>
      <c r="H923" s="392"/>
      <c r="I923" s="392"/>
      <c r="J923" s="392"/>
      <c r="K923" s="392"/>
      <c r="L923" s="392"/>
      <c r="M923" s="392"/>
      <c r="N923" s="392"/>
      <c r="O923" s="392"/>
      <c r="P923" s="392"/>
      <c r="Q923" s="392"/>
      <c r="R923" s="392"/>
      <c r="S923" s="392"/>
      <c r="T923" s="392"/>
      <c r="U923" s="392"/>
      <c r="V923" s="392"/>
      <c r="W923" s="392"/>
      <c r="X923" s="392"/>
      <c r="Y923" s="392"/>
      <c r="Z923" s="392"/>
      <c r="AA923" s="392"/>
      <c r="AB923" s="392"/>
      <c r="AC923" s="392"/>
      <c r="AD923" s="392"/>
      <c r="AE923" s="392"/>
      <c r="AF923" s="392"/>
    </row>
    <row r="924" ht="15.75" customHeight="1">
      <c r="A924" s="216"/>
      <c r="B924" s="156"/>
      <c r="C924" s="156"/>
      <c r="D924" s="156"/>
      <c r="E924" s="392"/>
      <c r="F924" s="392"/>
      <c r="G924" s="392"/>
      <c r="H924" s="392"/>
      <c r="I924" s="392"/>
      <c r="J924" s="392"/>
      <c r="K924" s="392"/>
      <c r="L924" s="392"/>
      <c r="M924" s="392"/>
      <c r="N924" s="392"/>
      <c r="O924" s="392"/>
      <c r="P924" s="392"/>
      <c r="Q924" s="392"/>
      <c r="R924" s="392"/>
      <c r="S924" s="392"/>
      <c r="T924" s="392"/>
      <c r="U924" s="392"/>
      <c r="V924" s="392"/>
      <c r="W924" s="392"/>
      <c r="X924" s="392"/>
      <c r="Y924" s="392"/>
      <c r="Z924" s="392"/>
      <c r="AA924" s="392"/>
      <c r="AB924" s="392"/>
      <c r="AC924" s="392"/>
      <c r="AD924" s="392"/>
      <c r="AE924" s="392"/>
      <c r="AF924" s="392"/>
    </row>
    <row r="925" ht="15.75" customHeight="1">
      <c r="A925" s="216"/>
      <c r="B925" s="156"/>
      <c r="C925" s="156"/>
      <c r="D925" s="156"/>
      <c r="E925" s="392"/>
      <c r="F925" s="392"/>
      <c r="G925" s="392"/>
      <c r="H925" s="392"/>
      <c r="I925" s="392"/>
      <c r="J925" s="392"/>
      <c r="K925" s="392"/>
      <c r="L925" s="392"/>
      <c r="M925" s="392"/>
      <c r="N925" s="392"/>
      <c r="O925" s="392"/>
      <c r="P925" s="392"/>
      <c r="Q925" s="392"/>
      <c r="R925" s="392"/>
      <c r="S925" s="392"/>
      <c r="T925" s="392"/>
      <c r="U925" s="392"/>
      <c r="V925" s="392"/>
      <c r="W925" s="392"/>
      <c r="X925" s="392"/>
      <c r="Y925" s="392"/>
      <c r="Z925" s="392"/>
      <c r="AA925" s="392"/>
      <c r="AB925" s="392"/>
      <c r="AC925" s="392"/>
      <c r="AD925" s="392"/>
      <c r="AE925" s="392"/>
      <c r="AF925" s="392"/>
    </row>
    <row r="926" ht="15.75" customHeight="1">
      <c r="A926" s="216"/>
      <c r="B926" s="156"/>
      <c r="C926" s="156"/>
      <c r="D926" s="156"/>
      <c r="E926" s="392"/>
      <c r="F926" s="392"/>
      <c r="G926" s="392"/>
      <c r="H926" s="392"/>
      <c r="I926" s="392"/>
      <c r="J926" s="392"/>
      <c r="K926" s="392"/>
      <c r="L926" s="392"/>
      <c r="M926" s="392"/>
      <c r="N926" s="392"/>
      <c r="O926" s="392"/>
      <c r="P926" s="392"/>
      <c r="Q926" s="392"/>
      <c r="R926" s="392"/>
      <c r="S926" s="392"/>
      <c r="T926" s="392"/>
      <c r="U926" s="392"/>
      <c r="V926" s="392"/>
      <c r="W926" s="392"/>
      <c r="X926" s="392"/>
      <c r="Y926" s="392"/>
      <c r="Z926" s="392"/>
      <c r="AA926" s="392"/>
      <c r="AB926" s="392"/>
      <c r="AC926" s="392"/>
      <c r="AD926" s="392"/>
      <c r="AE926" s="392"/>
      <c r="AF926" s="392"/>
    </row>
    <row r="927" ht="15.75" customHeight="1">
      <c r="A927" s="216"/>
      <c r="B927" s="156"/>
      <c r="C927" s="156"/>
      <c r="D927" s="156"/>
      <c r="E927" s="392"/>
      <c r="F927" s="392"/>
      <c r="G927" s="392"/>
      <c r="H927" s="392"/>
      <c r="I927" s="392"/>
      <c r="J927" s="392"/>
      <c r="K927" s="392"/>
      <c r="L927" s="392"/>
      <c r="M927" s="392"/>
      <c r="N927" s="392"/>
      <c r="O927" s="392"/>
      <c r="P927" s="392"/>
      <c r="Q927" s="392"/>
      <c r="R927" s="392"/>
      <c r="S927" s="392"/>
      <c r="T927" s="392"/>
      <c r="U927" s="392"/>
      <c r="V927" s="392"/>
      <c r="W927" s="392"/>
      <c r="X927" s="392"/>
      <c r="Y927" s="392"/>
      <c r="Z927" s="392"/>
      <c r="AA927" s="392"/>
      <c r="AB927" s="392"/>
      <c r="AC927" s="392"/>
      <c r="AD927" s="392"/>
      <c r="AE927" s="392"/>
      <c r="AF927" s="392"/>
    </row>
    <row r="928" ht="15.75" customHeight="1">
      <c r="A928" s="216"/>
      <c r="B928" s="156"/>
      <c r="C928" s="156"/>
      <c r="D928" s="156"/>
      <c r="E928" s="392"/>
      <c r="F928" s="392"/>
      <c r="G928" s="392"/>
      <c r="H928" s="392"/>
      <c r="I928" s="392"/>
      <c r="J928" s="392"/>
      <c r="K928" s="392"/>
      <c r="L928" s="392"/>
      <c r="M928" s="392"/>
      <c r="N928" s="392"/>
      <c r="O928" s="392"/>
      <c r="P928" s="392"/>
      <c r="Q928" s="392"/>
      <c r="R928" s="392"/>
      <c r="S928" s="392"/>
      <c r="T928" s="392"/>
      <c r="U928" s="392"/>
      <c r="V928" s="392"/>
      <c r="W928" s="392"/>
      <c r="X928" s="392"/>
      <c r="Y928" s="392"/>
      <c r="Z928" s="392"/>
      <c r="AA928" s="392"/>
      <c r="AB928" s="392"/>
      <c r="AC928" s="392"/>
      <c r="AD928" s="392"/>
      <c r="AE928" s="392"/>
      <c r="AF928" s="392"/>
    </row>
    <row r="929" ht="15.75" customHeight="1">
      <c r="A929" s="216"/>
      <c r="B929" s="156"/>
      <c r="C929" s="156"/>
      <c r="D929" s="156"/>
      <c r="E929" s="392"/>
      <c r="F929" s="392"/>
      <c r="G929" s="392"/>
      <c r="H929" s="392"/>
      <c r="I929" s="392"/>
      <c r="J929" s="392"/>
      <c r="K929" s="392"/>
      <c r="L929" s="392"/>
      <c r="M929" s="392"/>
      <c r="N929" s="392"/>
      <c r="O929" s="392"/>
      <c r="P929" s="392"/>
      <c r="Q929" s="392"/>
      <c r="R929" s="392"/>
      <c r="S929" s="392"/>
      <c r="T929" s="392"/>
      <c r="U929" s="392"/>
      <c r="V929" s="392"/>
      <c r="W929" s="392"/>
      <c r="X929" s="392"/>
      <c r="Y929" s="392"/>
      <c r="Z929" s="392"/>
      <c r="AA929" s="392"/>
      <c r="AB929" s="392"/>
      <c r="AC929" s="392"/>
      <c r="AD929" s="392"/>
      <c r="AE929" s="392"/>
      <c r="AF929" s="392"/>
    </row>
    <row r="930" ht="15.75" customHeight="1">
      <c r="A930" s="216"/>
      <c r="B930" s="156"/>
      <c r="C930" s="156"/>
      <c r="D930" s="156"/>
      <c r="E930" s="392"/>
      <c r="F930" s="392"/>
      <c r="G930" s="392"/>
      <c r="H930" s="392"/>
      <c r="I930" s="392"/>
      <c r="J930" s="392"/>
      <c r="K930" s="392"/>
      <c r="L930" s="392"/>
      <c r="M930" s="392"/>
      <c r="N930" s="392"/>
      <c r="O930" s="392"/>
      <c r="P930" s="392"/>
      <c r="Q930" s="392"/>
      <c r="R930" s="392"/>
      <c r="S930" s="392"/>
      <c r="T930" s="392"/>
      <c r="U930" s="392"/>
      <c r="V930" s="392"/>
      <c r="W930" s="392"/>
      <c r="X930" s="392"/>
      <c r="Y930" s="392"/>
      <c r="Z930" s="392"/>
      <c r="AA930" s="392"/>
      <c r="AB930" s="392"/>
      <c r="AC930" s="392"/>
      <c r="AD930" s="392"/>
      <c r="AE930" s="392"/>
      <c r="AF930" s="392"/>
    </row>
    <row r="931" ht="15.75" customHeight="1">
      <c r="A931" s="216"/>
      <c r="B931" s="156"/>
      <c r="C931" s="156"/>
      <c r="D931" s="156"/>
      <c r="E931" s="392"/>
      <c r="F931" s="392"/>
      <c r="G931" s="392"/>
      <c r="H931" s="392"/>
      <c r="I931" s="392"/>
      <c r="J931" s="392"/>
      <c r="K931" s="392"/>
      <c r="L931" s="392"/>
      <c r="M931" s="392"/>
      <c r="N931" s="392"/>
      <c r="O931" s="392"/>
      <c r="P931" s="392"/>
      <c r="Q931" s="392"/>
      <c r="R931" s="392"/>
      <c r="S931" s="392"/>
      <c r="T931" s="392"/>
      <c r="U931" s="392"/>
      <c r="V931" s="392"/>
      <c r="W931" s="392"/>
      <c r="X931" s="392"/>
      <c r="Y931" s="392"/>
      <c r="Z931" s="392"/>
      <c r="AA931" s="392"/>
      <c r="AB931" s="392"/>
      <c r="AC931" s="392"/>
      <c r="AD931" s="392"/>
      <c r="AE931" s="392"/>
      <c r="AF931" s="392"/>
    </row>
    <row r="932" ht="15.75" customHeight="1">
      <c r="A932" s="216"/>
      <c r="B932" s="156"/>
      <c r="C932" s="156"/>
      <c r="D932" s="156"/>
      <c r="E932" s="392"/>
      <c r="F932" s="392"/>
      <c r="G932" s="392"/>
      <c r="H932" s="392"/>
      <c r="I932" s="392"/>
      <c r="J932" s="392"/>
      <c r="K932" s="392"/>
      <c r="L932" s="392"/>
      <c r="M932" s="392"/>
      <c r="N932" s="392"/>
      <c r="O932" s="392"/>
      <c r="P932" s="392"/>
      <c r="Q932" s="392"/>
      <c r="R932" s="392"/>
      <c r="S932" s="392"/>
      <c r="T932" s="392"/>
      <c r="U932" s="392"/>
      <c r="V932" s="392"/>
      <c r="W932" s="392"/>
      <c r="X932" s="392"/>
      <c r="Y932" s="392"/>
      <c r="Z932" s="392"/>
      <c r="AA932" s="392"/>
      <c r="AB932" s="392"/>
      <c r="AC932" s="392"/>
      <c r="AD932" s="392"/>
      <c r="AE932" s="392"/>
      <c r="AF932" s="392"/>
    </row>
    <row r="933" ht="15.75" customHeight="1">
      <c r="A933" s="216"/>
      <c r="B933" s="156"/>
      <c r="C933" s="156"/>
      <c r="D933" s="156"/>
      <c r="E933" s="392"/>
      <c r="F933" s="392"/>
      <c r="G933" s="392"/>
      <c r="H933" s="392"/>
      <c r="I933" s="392"/>
      <c r="J933" s="392"/>
      <c r="K933" s="392"/>
      <c r="L933" s="392"/>
      <c r="M933" s="392"/>
      <c r="N933" s="392"/>
      <c r="O933" s="392"/>
      <c r="P933" s="392"/>
      <c r="Q933" s="392"/>
      <c r="R933" s="392"/>
      <c r="S933" s="392"/>
      <c r="T933" s="392"/>
      <c r="U933" s="392"/>
      <c r="V933" s="392"/>
      <c r="W933" s="392"/>
      <c r="X933" s="392"/>
      <c r="Y933" s="392"/>
      <c r="Z933" s="392"/>
      <c r="AA933" s="392"/>
      <c r="AB933" s="392"/>
      <c r="AC933" s="392"/>
      <c r="AD933" s="392"/>
      <c r="AE933" s="392"/>
      <c r="AF933" s="392"/>
    </row>
    <row r="934" ht="15.75" customHeight="1">
      <c r="A934" s="216"/>
      <c r="B934" s="156"/>
      <c r="C934" s="156"/>
      <c r="D934" s="156"/>
      <c r="E934" s="392"/>
      <c r="F934" s="392"/>
      <c r="G934" s="392"/>
      <c r="H934" s="392"/>
      <c r="I934" s="392"/>
      <c r="J934" s="392"/>
      <c r="K934" s="392"/>
      <c r="L934" s="392"/>
      <c r="M934" s="392"/>
      <c r="N934" s="392"/>
      <c r="O934" s="392"/>
      <c r="P934" s="392"/>
      <c r="Q934" s="392"/>
      <c r="R934" s="392"/>
      <c r="S934" s="392"/>
      <c r="T934" s="392"/>
      <c r="U934" s="392"/>
      <c r="V934" s="392"/>
      <c r="W934" s="392"/>
      <c r="X934" s="392"/>
      <c r="Y934" s="392"/>
      <c r="Z934" s="392"/>
      <c r="AA934" s="392"/>
      <c r="AB934" s="392"/>
      <c r="AC934" s="392"/>
      <c r="AD934" s="392"/>
      <c r="AE934" s="392"/>
      <c r="AF934" s="392"/>
    </row>
    <row r="935" ht="15.75" customHeight="1">
      <c r="A935" s="216"/>
      <c r="B935" s="156"/>
      <c r="C935" s="156"/>
      <c r="D935" s="156"/>
      <c r="E935" s="392"/>
      <c r="F935" s="392"/>
      <c r="G935" s="392"/>
      <c r="H935" s="392"/>
      <c r="I935" s="392"/>
      <c r="J935" s="392"/>
      <c r="K935" s="392"/>
      <c r="L935" s="392"/>
      <c r="M935" s="392"/>
      <c r="N935" s="392"/>
      <c r="O935" s="392"/>
      <c r="P935" s="392"/>
      <c r="Q935" s="392"/>
      <c r="R935" s="392"/>
      <c r="S935" s="392"/>
      <c r="T935" s="392"/>
      <c r="U935" s="392"/>
      <c r="V935" s="392"/>
      <c r="W935" s="392"/>
      <c r="X935" s="392"/>
      <c r="Y935" s="392"/>
      <c r="Z935" s="392"/>
      <c r="AA935" s="392"/>
      <c r="AB935" s="392"/>
      <c r="AC935" s="392"/>
      <c r="AD935" s="392"/>
      <c r="AE935" s="392"/>
      <c r="AF935" s="392"/>
    </row>
    <row r="936" ht="15.75" customHeight="1">
      <c r="A936" s="216"/>
      <c r="B936" s="156"/>
      <c r="C936" s="156"/>
      <c r="D936" s="156"/>
      <c r="E936" s="392"/>
      <c r="F936" s="392"/>
      <c r="G936" s="392"/>
      <c r="H936" s="392"/>
      <c r="I936" s="392"/>
      <c r="J936" s="392"/>
      <c r="K936" s="392"/>
      <c r="L936" s="392"/>
      <c r="M936" s="392"/>
      <c r="N936" s="392"/>
      <c r="O936" s="392"/>
      <c r="P936" s="392"/>
      <c r="Q936" s="392"/>
      <c r="R936" s="392"/>
      <c r="S936" s="392"/>
      <c r="T936" s="392"/>
      <c r="U936" s="392"/>
      <c r="V936" s="392"/>
      <c r="W936" s="392"/>
      <c r="X936" s="392"/>
      <c r="Y936" s="392"/>
      <c r="Z936" s="392"/>
      <c r="AA936" s="392"/>
      <c r="AB936" s="392"/>
      <c r="AC936" s="392"/>
      <c r="AD936" s="392"/>
      <c r="AE936" s="392"/>
      <c r="AF936" s="392"/>
    </row>
    <row r="937" ht="15.75" customHeight="1">
      <c r="A937" s="216"/>
      <c r="B937" s="156"/>
      <c r="C937" s="156"/>
      <c r="D937" s="156"/>
      <c r="E937" s="392"/>
      <c r="F937" s="392"/>
      <c r="G937" s="392"/>
      <c r="H937" s="392"/>
      <c r="I937" s="392"/>
      <c r="J937" s="392"/>
      <c r="K937" s="392"/>
      <c r="L937" s="392"/>
      <c r="M937" s="392"/>
      <c r="N937" s="392"/>
      <c r="O937" s="392"/>
      <c r="P937" s="392"/>
      <c r="Q937" s="392"/>
      <c r="R937" s="392"/>
      <c r="S937" s="392"/>
      <c r="T937" s="392"/>
      <c r="U937" s="392"/>
      <c r="V937" s="392"/>
      <c r="W937" s="392"/>
      <c r="X937" s="392"/>
      <c r="Y937" s="392"/>
      <c r="Z937" s="392"/>
      <c r="AA937" s="392"/>
      <c r="AB937" s="392"/>
      <c r="AC937" s="392"/>
      <c r="AD937" s="392"/>
      <c r="AE937" s="392"/>
      <c r="AF937" s="392"/>
    </row>
    <row r="938" ht="15.75" customHeight="1">
      <c r="A938" s="216"/>
      <c r="B938" s="156"/>
      <c r="C938" s="156"/>
      <c r="D938" s="156"/>
      <c r="E938" s="392"/>
      <c r="F938" s="392"/>
      <c r="G938" s="392"/>
      <c r="H938" s="392"/>
      <c r="I938" s="392"/>
      <c r="J938" s="392"/>
      <c r="K938" s="392"/>
      <c r="L938" s="392"/>
      <c r="M938" s="392"/>
      <c r="N938" s="392"/>
      <c r="O938" s="392"/>
      <c r="P938" s="392"/>
      <c r="Q938" s="392"/>
      <c r="R938" s="392"/>
      <c r="S938" s="392"/>
      <c r="T938" s="392"/>
      <c r="U938" s="392"/>
      <c r="V938" s="392"/>
      <c r="W938" s="392"/>
      <c r="X938" s="392"/>
      <c r="Y938" s="392"/>
      <c r="Z938" s="392"/>
      <c r="AA938" s="392"/>
      <c r="AB938" s="392"/>
      <c r="AC938" s="392"/>
      <c r="AD938" s="392"/>
      <c r="AE938" s="392"/>
      <c r="AF938" s="392"/>
    </row>
    <row r="939" ht="15.75" customHeight="1">
      <c r="A939" s="216"/>
      <c r="B939" s="156"/>
      <c r="C939" s="156"/>
      <c r="D939" s="156"/>
      <c r="E939" s="392"/>
      <c r="F939" s="392"/>
      <c r="G939" s="392"/>
      <c r="H939" s="392"/>
      <c r="I939" s="392"/>
      <c r="J939" s="392"/>
      <c r="K939" s="392"/>
      <c r="L939" s="392"/>
      <c r="M939" s="392"/>
      <c r="N939" s="392"/>
      <c r="O939" s="392"/>
      <c r="P939" s="392"/>
      <c r="Q939" s="392"/>
      <c r="R939" s="392"/>
      <c r="S939" s="392"/>
      <c r="T939" s="392"/>
      <c r="U939" s="392"/>
      <c r="V939" s="392"/>
      <c r="W939" s="392"/>
      <c r="X939" s="392"/>
      <c r="Y939" s="392"/>
      <c r="Z939" s="392"/>
      <c r="AA939" s="392"/>
      <c r="AB939" s="392"/>
      <c r="AC939" s="392"/>
      <c r="AD939" s="392"/>
      <c r="AE939" s="392"/>
      <c r="AF939" s="392"/>
    </row>
    <row r="940" ht="15.75" customHeight="1">
      <c r="A940" s="216"/>
      <c r="B940" s="156"/>
      <c r="C940" s="156"/>
      <c r="D940" s="156"/>
      <c r="E940" s="392"/>
      <c r="F940" s="392"/>
      <c r="G940" s="392"/>
      <c r="H940" s="392"/>
      <c r="I940" s="392"/>
      <c r="J940" s="392"/>
      <c r="K940" s="392"/>
      <c r="L940" s="392"/>
      <c r="M940" s="392"/>
      <c r="N940" s="392"/>
      <c r="O940" s="392"/>
      <c r="P940" s="392"/>
      <c r="Q940" s="392"/>
      <c r="R940" s="392"/>
      <c r="S940" s="392"/>
      <c r="T940" s="392"/>
      <c r="U940" s="392"/>
      <c r="V940" s="392"/>
      <c r="W940" s="392"/>
      <c r="X940" s="392"/>
      <c r="Y940" s="392"/>
      <c r="Z940" s="392"/>
      <c r="AA940" s="392"/>
      <c r="AB940" s="392"/>
      <c r="AC940" s="392"/>
      <c r="AD940" s="392"/>
      <c r="AE940" s="392"/>
      <c r="AF940" s="392"/>
    </row>
    <row r="941" ht="15.75" customHeight="1">
      <c r="A941" s="216"/>
      <c r="B941" s="156"/>
      <c r="C941" s="156"/>
      <c r="D941" s="156"/>
      <c r="E941" s="392"/>
      <c r="F941" s="392"/>
      <c r="G941" s="392"/>
      <c r="H941" s="392"/>
      <c r="I941" s="392"/>
      <c r="J941" s="392"/>
      <c r="K941" s="392"/>
      <c r="L941" s="392"/>
      <c r="M941" s="392"/>
      <c r="N941" s="392"/>
      <c r="O941" s="392"/>
      <c r="P941" s="392"/>
      <c r="Q941" s="392"/>
      <c r="R941" s="392"/>
      <c r="S941" s="392"/>
      <c r="T941" s="392"/>
      <c r="U941" s="392"/>
      <c r="V941" s="392"/>
      <c r="W941" s="392"/>
      <c r="X941" s="392"/>
      <c r="Y941" s="392"/>
      <c r="Z941" s="392"/>
      <c r="AA941" s="392"/>
      <c r="AB941" s="392"/>
      <c r="AC941" s="392"/>
      <c r="AD941" s="392"/>
      <c r="AE941" s="392"/>
      <c r="AF941" s="392"/>
    </row>
    <row r="942" ht="15.75" customHeight="1">
      <c r="A942" s="216"/>
      <c r="B942" s="156"/>
      <c r="C942" s="156"/>
      <c r="D942" s="156"/>
      <c r="E942" s="392"/>
      <c r="F942" s="392"/>
      <c r="G942" s="392"/>
      <c r="H942" s="392"/>
      <c r="I942" s="392"/>
      <c r="J942" s="392"/>
      <c r="K942" s="392"/>
      <c r="L942" s="392"/>
      <c r="M942" s="392"/>
      <c r="N942" s="392"/>
      <c r="O942" s="392"/>
      <c r="P942" s="392"/>
      <c r="Q942" s="392"/>
      <c r="R942" s="392"/>
      <c r="S942" s="392"/>
      <c r="T942" s="392"/>
      <c r="U942" s="392"/>
      <c r="V942" s="392"/>
      <c r="W942" s="392"/>
      <c r="X942" s="392"/>
      <c r="Y942" s="392"/>
      <c r="Z942" s="392"/>
      <c r="AA942" s="392"/>
      <c r="AB942" s="392"/>
      <c r="AC942" s="392"/>
      <c r="AD942" s="392"/>
      <c r="AE942" s="392"/>
      <c r="AF942" s="392"/>
    </row>
    <row r="943" ht="15.75" customHeight="1">
      <c r="A943" s="216"/>
      <c r="B943" s="156"/>
      <c r="C943" s="156"/>
      <c r="D943" s="156"/>
      <c r="E943" s="392"/>
      <c r="F943" s="392"/>
      <c r="G943" s="392"/>
      <c r="H943" s="392"/>
      <c r="I943" s="392"/>
      <c r="J943" s="392"/>
      <c r="K943" s="392"/>
      <c r="L943" s="392"/>
      <c r="M943" s="392"/>
      <c r="N943" s="392"/>
      <c r="O943" s="392"/>
      <c r="P943" s="392"/>
      <c r="Q943" s="392"/>
      <c r="R943" s="392"/>
      <c r="S943" s="392"/>
      <c r="T943" s="392"/>
      <c r="U943" s="392"/>
      <c r="V943" s="392"/>
      <c r="W943" s="392"/>
      <c r="X943" s="392"/>
      <c r="Y943" s="392"/>
      <c r="Z943" s="392"/>
      <c r="AA943" s="392"/>
      <c r="AB943" s="392"/>
      <c r="AC943" s="392"/>
      <c r="AD943" s="392"/>
      <c r="AE943" s="392"/>
      <c r="AF943" s="392"/>
    </row>
    <row r="944" ht="15.75" customHeight="1">
      <c r="A944" s="216"/>
      <c r="B944" s="156"/>
      <c r="C944" s="156"/>
      <c r="D944" s="156"/>
      <c r="E944" s="392"/>
      <c r="F944" s="392"/>
      <c r="G944" s="392"/>
      <c r="H944" s="392"/>
      <c r="I944" s="392"/>
      <c r="J944" s="392"/>
      <c r="K944" s="392"/>
      <c r="L944" s="392"/>
      <c r="M944" s="392"/>
      <c r="N944" s="392"/>
      <c r="O944" s="392"/>
      <c r="P944" s="392"/>
      <c r="Q944" s="392"/>
      <c r="R944" s="392"/>
      <c r="S944" s="392"/>
      <c r="T944" s="392"/>
      <c r="U944" s="392"/>
      <c r="V944" s="392"/>
      <c r="W944" s="392"/>
      <c r="X944" s="392"/>
      <c r="Y944" s="392"/>
      <c r="Z944" s="392"/>
      <c r="AA944" s="392"/>
      <c r="AB944" s="392"/>
      <c r="AC944" s="392"/>
      <c r="AD944" s="392"/>
      <c r="AE944" s="392"/>
      <c r="AF944" s="392"/>
    </row>
    <row r="945" ht="15.75" customHeight="1">
      <c r="A945" s="216"/>
      <c r="B945" s="156"/>
      <c r="C945" s="156"/>
      <c r="D945" s="156"/>
      <c r="E945" s="392"/>
      <c r="F945" s="392"/>
      <c r="G945" s="392"/>
      <c r="H945" s="392"/>
      <c r="I945" s="392"/>
      <c r="J945" s="392"/>
      <c r="K945" s="392"/>
      <c r="L945" s="392"/>
      <c r="M945" s="392"/>
      <c r="N945" s="392"/>
      <c r="O945" s="392"/>
      <c r="P945" s="392"/>
      <c r="Q945" s="392"/>
      <c r="R945" s="392"/>
      <c r="S945" s="392"/>
      <c r="T945" s="392"/>
      <c r="U945" s="392"/>
      <c r="V945" s="392"/>
      <c r="W945" s="392"/>
      <c r="X945" s="392"/>
      <c r="Y945" s="392"/>
      <c r="Z945" s="392"/>
      <c r="AA945" s="392"/>
      <c r="AB945" s="392"/>
      <c r="AC945" s="392"/>
      <c r="AD945" s="392"/>
      <c r="AE945" s="392"/>
      <c r="AF945" s="392"/>
    </row>
    <row r="946" ht="15.75" customHeight="1">
      <c r="A946" s="216"/>
      <c r="B946" s="156"/>
      <c r="C946" s="156"/>
      <c r="D946" s="156"/>
      <c r="E946" s="392"/>
      <c r="F946" s="392"/>
      <c r="G946" s="392"/>
      <c r="H946" s="392"/>
      <c r="I946" s="392"/>
      <c r="J946" s="392"/>
      <c r="K946" s="392"/>
      <c r="L946" s="392"/>
      <c r="M946" s="392"/>
      <c r="N946" s="392"/>
      <c r="O946" s="392"/>
      <c r="P946" s="392"/>
      <c r="Q946" s="392"/>
      <c r="R946" s="392"/>
      <c r="S946" s="392"/>
      <c r="T946" s="392"/>
      <c r="U946" s="392"/>
      <c r="V946" s="392"/>
      <c r="W946" s="392"/>
      <c r="X946" s="392"/>
      <c r="Y946" s="392"/>
      <c r="Z946" s="392"/>
      <c r="AA946" s="392"/>
      <c r="AB946" s="392"/>
      <c r="AC946" s="392"/>
      <c r="AD946" s="392"/>
      <c r="AE946" s="392"/>
      <c r="AF946" s="392"/>
    </row>
    <row r="947" ht="15.75" customHeight="1">
      <c r="A947" s="216"/>
      <c r="B947" s="156"/>
      <c r="C947" s="156"/>
      <c r="D947" s="156"/>
      <c r="E947" s="392"/>
      <c r="F947" s="392"/>
      <c r="G947" s="392"/>
      <c r="H947" s="392"/>
      <c r="I947" s="392"/>
      <c r="J947" s="392"/>
      <c r="K947" s="392"/>
      <c r="L947" s="392"/>
      <c r="M947" s="392"/>
      <c r="N947" s="392"/>
      <c r="O947" s="392"/>
      <c r="P947" s="392"/>
      <c r="Q947" s="392"/>
      <c r="R947" s="392"/>
      <c r="S947" s="392"/>
      <c r="T947" s="392"/>
      <c r="U947" s="392"/>
      <c r="V947" s="392"/>
      <c r="W947" s="392"/>
      <c r="X947" s="392"/>
      <c r="Y947" s="392"/>
      <c r="Z947" s="392"/>
      <c r="AA947" s="392"/>
      <c r="AB947" s="392"/>
      <c r="AC947" s="392"/>
      <c r="AD947" s="392"/>
      <c r="AE947" s="392"/>
      <c r="AF947" s="392"/>
    </row>
    <row r="948" ht="15.75" customHeight="1">
      <c r="A948" s="216"/>
      <c r="B948" s="156"/>
      <c r="C948" s="156"/>
      <c r="D948" s="156"/>
      <c r="E948" s="392"/>
      <c r="F948" s="392"/>
      <c r="G948" s="392"/>
      <c r="H948" s="392"/>
      <c r="I948" s="392"/>
      <c r="J948" s="392"/>
      <c r="K948" s="392"/>
      <c r="L948" s="392"/>
      <c r="M948" s="392"/>
      <c r="N948" s="392"/>
      <c r="O948" s="392"/>
      <c r="P948" s="392"/>
      <c r="Q948" s="392"/>
      <c r="R948" s="392"/>
      <c r="S948" s="392"/>
      <c r="T948" s="392"/>
      <c r="U948" s="392"/>
      <c r="V948" s="392"/>
      <c r="W948" s="392"/>
      <c r="X948" s="392"/>
      <c r="Y948" s="392"/>
      <c r="Z948" s="392"/>
      <c r="AA948" s="392"/>
      <c r="AB948" s="392"/>
      <c r="AC948" s="392"/>
      <c r="AD948" s="392"/>
      <c r="AE948" s="392"/>
      <c r="AF948" s="392"/>
    </row>
    <row r="949" ht="15.75" customHeight="1">
      <c r="A949" s="216"/>
      <c r="B949" s="156"/>
      <c r="C949" s="156"/>
      <c r="D949" s="156"/>
      <c r="E949" s="392"/>
      <c r="F949" s="392"/>
      <c r="G949" s="392"/>
      <c r="H949" s="392"/>
      <c r="I949" s="392"/>
      <c r="J949" s="392"/>
      <c r="K949" s="392"/>
      <c r="L949" s="392"/>
      <c r="M949" s="392"/>
      <c r="N949" s="392"/>
      <c r="O949" s="392"/>
      <c r="P949" s="392"/>
      <c r="Q949" s="392"/>
      <c r="R949" s="392"/>
      <c r="S949" s="392"/>
      <c r="T949" s="392"/>
      <c r="U949" s="392"/>
      <c r="V949" s="392"/>
      <c r="W949" s="392"/>
      <c r="X949" s="392"/>
      <c r="Y949" s="392"/>
      <c r="Z949" s="392"/>
      <c r="AA949" s="392"/>
      <c r="AB949" s="392"/>
      <c r="AC949" s="392"/>
      <c r="AD949" s="392"/>
      <c r="AE949" s="392"/>
      <c r="AF949" s="392"/>
    </row>
    <row r="950" ht="15.75" customHeight="1">
      <c r="A950" s="216"/>
      <c r="B950" s="156"/>
      <c r="C950" s="156"/>
      <c r="D950" s="156"/>
      <c r="E950" s="392"/>
      <c r="F950" s="392"/>
      <c r="G950" s="392"/>
      <c r="H950" s="392"/>
      <c r="I950" s="392"/>
      <c r="J950" s="392"/>
      <c r="K950" s="392"/>
      <c r="L950" s="392"/>
      <c r="M950" s="392"/>
      <c r="N950" s="392"/>
      <c r="O950" s="392"/>
      <c r="P950" s="392"/>
      <c r="Q950" s="392"/>
      <c r="R950" s="392"/>
      <c r="S950" s="392"/>
      <c r="T950" s="392"/>
      <c r="U950" s="392"/>
      <c r="V950" s="392"/>
      <c r="W950" s="392"/>
      <c r="X950" s="392"/>
      <c r="Y950" s="392"/>
      <c r="Z950" s="392"/>
      <c r="AA950" s="392"/>
      <c r="AB950" s="392"/>
      <c r="AC950" s="392"/>
      <c r="AD950" s="392"/>
      <c r="AE950" s="392"/>
      <c r="AF950" s="392"/>
    </row>
    <row r="951" ht="15.75" customHeight="1">
      <c r="A951" s="216"/>
      <c r="B951" s="156"/>
      <c r="C951" s="156"/>
      <c r="D951" s="156"/>
      <c r="E951" s="392"/>
      <c r="F951" s="392"/>
      <c r="G951" s="392"/>
      <c r="H951" s="392"/>
      <c r="I951" s="392"/>
      <c r="J951" s="392"/>
      <c r="K951" s="392"/>
      <c r="L951" s="392"/>
      <c r="M951" s="392"/>
      <c r="N951" s="392"/>
      <c r="O951" s="392"/>
      <c r="P951" s="392"/>
      <c r="Q951" s="392"/>
      <c r="R951" s="392"/>
      <c r="S951" s="392"/>
      <c r="T951" s="392"/>
      <c r="U951" s="392"/>
      <c r="V951" s="392"/>
      <c r="W951" s="392"/>
      <c r="X951" s="392"/>
      <c r="Y951" s="392"/>
      <c r="Z951" s="392"/>
      <c r="AA951" s="392"/>
      <c r="AB951" s="392"/>
      <c r="AC951" s="392"/>
      <c r="AD951" s="392"/>
      <c r="AE951" s="392"/>
      <c r="AF951" s="392"/>
    </row>
    <row r="952" ht="15.75" customHeight="1">
      <c r="A952" s="216"/>
      <c r="B952" s="156"/>
      <c r="C952" s="156"/>
      <c r="D952" s="156"/>
      <c r="E952" s="392"/>
      <c r="F952" s="392"/>
      <c r="G952" s="392"/>
      <c r="H952" s="392"/>
      <c r="I952" s="392"/>
      <c r="J952" s="392"/>
      <c r="K952" s="392"/>
      <c r="L952" s="392"/>
      <c r="M952" s="392"/>
      <c r="N952" s="392"/>
      <c r="O952" s="392"/>
      <c r="P952" s="392"/>
      <c r="Q952" s="392"/>
      <c r="R952" s="392"/>
      <c r="S952" s="392"/>
      <c r="T952" s="392"/>
      <c r="U952" s="392"/>
      <c r="V952" s="392"/>
      <c r="W952" s="392"/>
      <c r="X952" s="392"/>
      <c r="Y952" s="392"/>
      <c r="Z952" s="392"/>
      <c r="AA952" s="392"/>
      <c r="AB952" s="392"/>
      <c r="AC952" s="392"/>
      <c r="AD952" s="392"/>
      <c r="AE952" s="392"/>
      <c r="AF952" s="392"/>
    </row>
    <row r="953" ht="15.75" customHeight="1">
      <c r="A953" s="216"/>
      <c r="B953" s="156"/>
      <c r="C953" s="156"/>
      <c r="D953" s="156"/>
      <c r="E953" s="392"/>
      <c r="F953" s="392"/>
      <c r="G953" s="392"/>
      <c r="H953" s="392"/>
      <c r="I953" s="392"/>
      <c r="J953" s="392"/>
      <c r="K953" s="392"/>
      <c r="L953" s="392"/>
      <c r="M953" s="392"/>
      <c r="N953" s="392"/>
      <c r="O953" s="392"/>
      <c r="P953" s="392"/>
      <c r="Q953" s="392"/>
      <c r="R953" s="392"/>
      <c r="S953" s="392"/>
      <c r="T953" s="392"/>
      <c r="U953" s="392"/>
      <c r="V953" s="392"/>
      <c r="W953" s="392"/>
      <c r="X953" s="392"/>
      <c r="Y953" s="392"/>
      <c r="Z953" s="392"/>
      <c r="AA953" s="392"/>
      <c r="AB953" s="392"/>
      <c r="AC953" s="392"/>
      <c r="AD953" s="392"/>
      <c r="AE953" s="392"/>
      <c r="AF953" s="392"/>
    </row>
    <row r="954" ht="15.75" customHeight="1">
      <c r="A954" s="216"/>
      <c r="B954" s="156"/>
      <c r="C954" s="156"/>
      <c r="D954" s="156"/>
      <c r="E954" s="392"/>
      <c r="F954" s="392"/>
      <c r="G954" s="392"/>
      <c r="H954" s="392"/>
      <c r="I954" s="392"/>
      <c r="J954" s="392"/>
      <c r="K954" s="392"/>
      <c r="L954" s="392"/>
      <c r="M954" s="392"/>
      <c r="N954" s="392"/>
      <c r="O954" s="392"/>
      <c r="P954" s="392"/>
      <c r="Q954" s="392"/>
      <c r="R954" s="392"/>
      <c r="S954" s="392"/>
      <c r="T954" s="392"/>
      <c r="U954" s="392"/>
      <c r="V954" s="392"/>
      <c r="W954" s="392"/>
      <c r="X954" s="392"/>
      <c r="Y954" s="392"/>
      <c r="Z954" s="392"/>
      <c r="AA954" s="392"/>
      <c r="AB954" s="392"/>
      <c r="AC954" s="392"/>
      <c r="AD954" s="392"/>
      <c r="AE954" s="392"/>
      <c r="AF954" s="392"/>
    </row>
    <row r="955" ht="15.75" customHeight="1">
      <c r="A955" s="216"/>
      <c r="B955" s="156"/>
      <c r="C955" s="156"/>
      <c r="D955" s="156"/>
      <c r="E955" s="392"/>
      <c r="F955" s="392"/>
      <c r="G955" s="392"/>
      <c r="H955" s="392"/>
      <c r="I955" s="392"/>
      <c r="J955" s="392"/>
      <c r="K955" s="392"/>
      <c r="L955" s="392"/>
      <c r="M955" s="392"/>
      <c r="N955" s="392"/>
      <c r="O955" s="392"/>
      <c r="P955" s="392"/>
      <c r="Q955" s="392"/>
      <c r="R955" s="392"/>
      <c r="S955" s="392"/>
      <c r="T955" s="392"/>
      <c r="U955" s="392"/>
      <c r="V955" s="392"/>
      <c r="W955" s="392"/>
      <c r="X955" s="392"/>
      <c r="Y955" s="392"/>
      <c r="Z955" s="392"/>
      <c r="AA955" s="392"/>
      <c r="AB955" s="392"/>
      <c r="AC955" s="392"/>
      <c r="AD955" s="392"/>
      <c r="AE955" s="392"/>
      <c r="AF955" s="392"/>
    </row>
    <row r="956" ht="15.75" customHeight="1">
      <c r="A956" s="216"/>
      <c r="B956" s="156"/>
      <c r="C956" s="156"/>
      <c r="D956" s="156"/>
      <c r="E956" s="392"/>
      <c r="F956" s="392"/>
      <c r="G956" s="392"/>
      <c r="H956" s="392"/>
      <c r="I956" s="392"/>
      <c r="J956" s="392"/>
      <c r="K956" s="392"/>
      <c r="L956" s="392"/>
      <c r="M956" s="392"/>
      <c r="N956" s="392"/>
      <c r="O956" s="392"/>
      <c r="P956" s="392"/>
      <c r="Q956" s="392"/>
      <c r="R956" s="392"/>
      <c r="S956" s="392"/>
      <c r="T956" s="392"/>
      <c r="U956" s="392"/>
      <c r="V956" s="392"/>
      <c r="W956" s="392"/>
      <c r="X956" s="392"/>
      <c r="Y956" s="392"/>
      <c r="Z956" s="392"/>
      <c r="AA956" s="392"/>
      <c r="AB956" s="392"/>
      <c r="AC956" s="392"/>
      <c r="AD956" s="392"/>
      <c r="AE956" s="392"/>
      <c r="AF956" s="392"/>
    </row>
    <row r="957" ht="15.75" customHeight="1">
      <c r="A957" s="216"/>
      <c r="B957" s="156"/>
      <c r="C957" s="156"/>
      <c r="D957" s="156"/>
      <c r="E957" s="392"/>
      <c r="F957" s="392"/>
      <c r="G957" s="392"/>
      <c r="H957" s="392"/>
      <c r="I957" s="392"/>
      <c r="J957" s="392"/>
      <c r="K957" s="392"/>
      <c r="L957" s="392"/>
      <c r="M957" s="392"/>
      <c r="N957" s="392"/>
      <c r="O957" s="392"/>
      <c r="P957" s="392"/>
      <c r="Q957" s="392"/>
      <c r="R957" s="392"/>
      <c r="S957" s="392"/>
      <c r="T957" s="392"/>
      <c r="U957" s="392"/>
      <c r="V957" s="392"/>
      <c r="W957" s="392"/>
      <c r="X957" s="392"/>
      <c r="Y957" s="392"/>
      <c r="Z957" s="392"/>
      <c r="AA957" s="392"/>
      <c r="AB957" s="392"/>
      <c r="AC957" s="392"/>
      <c r="AD957" s="392"/>
      <c r="AE957" s="392"/>
      <c r="AF957" s="392"/>
    </row>
    <row r="958" ht="15.75" customHeight="1">
      <c r="A958" s="216"/>
      <c r="B958" s="156"/>
      <c r="C958" s="156"/>
      <c r="D958" s="156"/>
      <c r="E958" s="392"/>
      <c r="F958" s="392"/>
      <c r="G958" s="392"/>
      <c r="H958" s="392"/>
      <c r="I958" s="392"/>
      <c r="J958" s="392"/>
      <c r="K958" s="392"/>
      <c r="L958" s="392"/>
      <c r="M958" s="392"/>
      <c r="N958" s="392"/>
      <c r="O958" s="392"/>
      <c r="P958" s="392"/>
      <c r="Q958" s="392"/>
      <c r="R958" s="392"/>
      <c r="S958" s="392"/>
      <c r="T958" s="392"/>
      <c r="U958" s="392"/>
      <c r="V958" s="392"/>
      <c r="W958" s="392"/>
      <c r="X958" s="392"/>
      <c r="Y958" s="392"/>
      <c r="Z958" s="392"/>
      <c r="AA958" s="392"/>
      <c r="AB958" s="392"/>
      <c r="AC958" s="392"/>
      <c r="AD958" s="392"/>
      <c r="AE958" s="392"/>
      <c r="AF958" s="392"/>
    </row>
    <row r="959" ht="15.75" customHeight="1">
      <c r="A959" s="216"/>
      <c r="B959" s="156"/>
      <c r="C959" s="156"/>
      <c r="D959" s="156"/>
      <c r="E959" s="392"/>
      <c r="F959" s="392"/>
      <c r="G959" s="392"/>
      <c r="H959" s="392"/>
      <c r="I959" s="392"/>
      <c r="J959" s="392"/>
      <c r="K959" s="392"/>
      <c r="L959" s="392"/>
      <c r="M959" s="392"/>
      <c r="N959" s="392"/>
      <c r="O959" s="392"/>
      <c r="P959" s="392"/>
      <c r="Q959" s="392"/>
      <c r="R959" s="392"/>
      <c r="S959" s="392"/>
      <c r="T959" s="392"/>
      <c r="U959" s="392"/>
      <c r="V959" s="392"/>
      <c r="W959" s="392"/>
      <c r="X959" s="392"/>
      <c r="Y959" s="392"/>
      <c r="Z959" s="392"/>
      <c r="AA959" s="392"/>
      <c r="AB959" s="392"/>
      <c r="AC959" s="392"/>
      <c r="AD959" s="392"/>
      <c r="AE959" s="392"/>
      <c r="AF959" s="392"/>
    </row>
    <row r="960" ht="15.75" customHeight="1">
      <c r="A960" s="216"/>
      <c r="B960" s="156"/>
      <c r="C960" s="156"/>
      <c r="D960" s="156"/>
      <c r="E960" s="392"/>
      <c r="F960" s="392"/>
      <c r="G960" s="392"/>
      <c r="H960" s="392"/>
      <c r="I960" s="392"/>
      <c r="J960" s="392"/>
      <c r="K960" s="392"/>
      <c r="L960" s="392"/>
      <c r="M960" s="392"/>
      <c r="N960" s="392"/>
      <c r="O960" s="392"/>
      <c r="P960" s="392"/>
      <c r="Q960" s="392"/>
      <c r="R960" s="392"/>
      <c r="S960" s="392"/>
      <c r="T960" s="392"/>
      <c r="U960" s="392"/>
      <c r="V960" s="392"/>
      <c r="W960" s="392"/>
      <c r="X960" s="392"/>
      <c r="Y960" s="392"/>
      <c r="Z960" s="392"/>
      <c r="AA960" s="392"/>
      <c r="AB960" s="392"/>
      <c r="AC960" s="392"/>
      <c r="AD960" s="392"/>
      <c r="AE960" s="392"/>
      <c r="AF960" s="392"/>
    </row>
    <row r="961" ht="15.75" customHeight="1">
      <c r="A961" s="216"/>
      <c r="B961" s="156"/>
      <c r="C961" s="156"/>
      <c r="D961" s="156"/>
      <c r="E961" s="392"/>
      <c r="F961" s="392"/>
      <c r="G961" s="392"/>
      <c r="H961" s="392"/>
      <c r="I961" s="392"/>
      <c r="J961" s="392"/>
      <c r="K961" s="392"/>
      <c r="L961" s="392"/>
      <c r="M961" s="392"/>
      <c r="N961" s="392"/>
      <c r="O961" s="392"/>
      <c r="P961" s="392"/>
      <c r="Q961" s="392"/>
      <c r="R961" s="392"/>
      <c r="S961" s="392"/>
      <c r="T961" s="392"/>
      <c r="U961" s="392"/>
      <c r="V961" s="392"/>
      <c r="W961" s="392"/>
      <c r="X961" s="392"/>
      <c r="Y961" s="392"/>
      <c r="Z961" s="392"/>
      <c r="AA961" s="392"/>
      <c r="AB961" s="392"/>
      <c r="AC961" s="392"/>
      <c r="AD961" s="392"/>
      <c r="AE961" s="392"/>
      <c r="AF961" s="392"/>
    </row>
    <row r="962" ht="15.75" customHeight="1">
      <c r="A962" s="216"/>
      <c r="B962" s="156"/>
      <c r="C962" s="156"/>
      <c r="D962" s="156"/>
      <c r="E962" s="392"/>
      <c r="F962" s="392"/>
      <c r="G962" s="392"/>
      <c r="H962" s="392"/>
      <c r="I962" s="392"/>
      <c r="J962" s="392"/>
      <c r="K962" s="392"/>
      <c r="L962" s="392"/>
      <c r="M962" s="392"/>
      <c r="N962" s="392"/>
      <c r="O962" s="392"/>
      <c r="P962" s="392"/>
      <c r="Q962" s="392"/>
      <c r="R962" s="392"/>
      <c r="S962" s="392"/>
      <c r="T962" s="392"/>
      <c r="U962" s="392"/>
      <c r="V962" s="392"/>
      <c r="W962" s="392"/>
      <c r="X962" s="392"/>
      <c r="Y962" s="392"/>
      <c r="Z962" s="392"/>
      <c r="AA962" s="392"/>
      <c r="AB962" s="392"/>
      <c r="AC962" s="392"/>
      <c r="AD962" s="392"/>
      <c r="AE962" s="392"/>
      <c r="AF962" s="392"/>
    </row>
    <row r="963" ht="15.75" customHeight="1">
      <c r="A963" s="216"/>
      <c r="B963" s="156"/>
      <c r="C963" s="156"/>
      <c r="D963" s="156"/>
      <c r="E963" s="392"/>
      <c r="F963" s="392"/>
      <c r="G963" s="392"/>
      <c r="H963" s="392"/>
      <c r="I963" s="392"/>
      <c r="J963" s="392"/>
      <c r="K963" s="392"/>
      <c r="L963" s="392"/>
      <c r="M963" s="392"/>
      <c r="N963" s="392"/>
      <c r="O963" s="392"/>
      <c r="P963" s="392"/>
      <c r="Q963" s="392"/>
      <c r="R963" s="392"/>
      <c r="S963" s="392"/>
      <c r="T963" s="392"/>
      <c r="U963" s="392"/>
      <c r="V963" s="392"/>
      <c r="W963" s="392"/>
      <c r="X963" s="392"/>
      <c r="Y963" s="392"/>
      <c r="Z963" s="392"/>
      <c r="AA963" s="392"/>
      <c r="AB963" s="392"/>
      <c r="AC963" s="392"/>
      <c r="AD963" s="392"/>
      <c r="AE963" s="392"/>
      <c r="AF963" s="392"/>
    </row>
    <row r="964" ht="15.75" customHeight="1">
      <c r="A964" s="216"/>
      <c r="B964" s="156"/>
      <c r="C964" s="156"/>
      <c r="D964" s="156"/>
      <c r="E964" s="392"/>
      <c r="F964" s="392"/>
      <c r="G964" s="392"/>
      <c r="H964" s="392"/>
      <c r="I964" s="392"/>
      <c r="J964" s="392"/>
      <c r="K964" s="392"/>
      <c r="L964" s="392"/>
      <c r="M964" s="392"/>
      <c r="N964" s="392"/>
      <c r="O964" s="392"/>
      <c r="P964" s="392"/>
      <c r="Q964" s="392"/>
      <c r="R964" s="392"/>
      <c r="S964" s="392"/>
      <c r="T964" s="392"/>
      <c r="U964" s="392"/>
      <c r="V964" s="392"/>
      <c r="W964" s="392"/>
      <c r="X964" s="392"/>
      <c r="Y964" s="392"/>
      <c r="Z964" s="392"/>
      <c r="AA964" s="392"/>
      <c r="AB964" s="392"/>
      <c r="AC964" s="392"/>
      <c r="AD964" s="392"/>
      <c r="AE964" s="392"/>
      <c r="AF964" s="392"/>
    </row>
    <row r="965" ht="15.75" customHeight="1">
      <c r="A965" s="216"/>
      <c r="B965" s="156"/>
      <c r="C965" s="156"/>
      <c r="D965" s="156"/>
      <c r="E965" s="392"/>
      <c r="F965" s="392"/>
      <c r="G965" s="392"/>
      <c r="H965" s="392"/>
      <c r="I965" s="392"/>
      <c r="J965" s="392"/>
      <c r="K965" s="392"/>
      <c r="L965" s="392"/>
      <c r="M965" s="392"/>
      <c r="N965" s="392"/>
      <c r="O965" s="392"/>
      <c r="P965" s="392"/>
      <c r="Q965" s="392"/>
      <c r="R965" s="392"/>
      <c r="S965" s="392"/>
      <c r="T965" s="392"/>
      <c r="U965" s="392"/>
      <c r="V965" s="392"/>
      <c r="W965" s="392"/>
      <c r="X965" s="392"/>
      <c r="Y965" s="392"/>
      <c r="Z965" s="392"/>
      <c r="AA965" s="392"/>
      <c r="AB965" s="392"/>
      <c r="AC965" s="392"/>
      <c r="AD965" s="392"/>
      <c r="AE965" s="392"/>
      <c r="AF965" s="392"/>
    </row>
    <row r="966" ht="15.75" customHeight="1">
      <c r="A966" s="216"/>
      <c r="B966" s="156"/>
      <c r="C966" s="156"/>
      <c r="D966" s="156"/>
      <c r="E966" s="392"/>
      <c r="F966" s="392"/>
      <c r="G966" s="392"/>
      <c r="H966" s="392"/>
      <c r="I966" s="392"/>
      <c r="J966" s="392"/>
      <c r="K966" s="392"/>
      <c r="L966" s="392"/>
      <c r="M966" s="392"/>
      <c r="N966" s="392"/>
      <c r="O966" s="392"/>
      <c r="P966" s="392"/>
      <c r="Q966" s="392"/>
      <c r="R966" s="392"/>
      <c r="S966" s="392"/>
      <c r="T966" s="392"/>
      <c r="U966" s="392"/>
      <c r="V966" s="392"/>
      <c r="W966" s="392"/>
      <c r="X966" s="392"/>
      <c r="Y966" s="392"/>
      <c r="Z966" s="392"/>
      <c r="AA966" s="392"/>
      <c r="AB966" s="392"/>
      <c r="AC966" s="392"/>
      <c r="AD966" s="392"/>
      <c r="AE966" s="392"/>
      <c r="AF966" s="392"/>
    </row>
    <row r="967" ht="15.75" customHeight="1">
      <c r="A967" s="216"/>
      <c r="B967" s="156"/>
      <c r="C967" s="156"/>
      <c r="D967" s="156"/>
      <c r="E967" s="392"/>
      <c r="F967" s="392"/>
      <c r="G967" s="392"/>
      <c r="H967" s="392"/>
      <c r="I967" s="392"/>
      <c r="J967" s="392"/>
      <c r="K967" s="392"/>
      <c r="L967" s="392"/>
      <c r="M967" s="392"/>
      <c r="N967" s="392"/>
      <c r="O967" s="392"/>
      <c r="P967" s="392"/>
      <c r="Q967" s="392"/>
      <c r="R967" s="392"/>
      <c r="S967" s="392"/>
      <c r="T967" s="392"/>
      <c r="U967" s="392"/>
      <c r="V967" s="392"/>
      <c r="W967" s="392"/>
      <c r="X967" s="392"/>
      <c r="Y967" s="392"/>
      <c r="Z967" s="392"/>
      <c r="AA967" s="392"/>
      <c r="AB967" s="392"/>
      <c r="AC967" s="392"/>
      <c r="AD967" s="392"/>
      <c r="AE967" s="392"/>
      <c r="AF967" s="392"/>
    </row>
    <row r="968" ht="15.75" customHeight="1">
      <c r="A968" s="216"/>
      <c r="B968" s="156"/>
      <c r="C968" s="156"/>
      <c r="D968" s="156"/>
      <c r="E968" s="392"/>
      <c r="F968" s="392"/>
      <c r="G968" s="392"/>
      <c r="H968" s="392"/>
      <c r="I968" s="392"/>
      <c r="J968" s="392"/>
      <c r="K968" s="392"/>
      <c r="L968" s="392"/>
      <c r="M968" s="392"/>
      <c r="N968" s="392"/>
      <c r="O968" s="392"/>
      <c r="P968" s="392"/>
      <c r="Q968" s="392"/>
      <c r="R968" s="392"/>
      <c r="S968" s="392"/>
      <c r="T968" s="392"/>
      <c r="U968" s="392"/>
      <c r="V968" s="392"/>
      <c r="W968" s="392"/>
      <c r="X968" s="392"/>
      <c r="Y968" s="392"/>
      <c r="Z968" s="392"/>
      <c r="AA968" s="392"/>
      <c r="AB968" s="392"/>
      <c r="AC968" s="392"/>
      <c r="AD968" s="392"/>
      <c r="AE968" s="392"/>
      <c r="AF968" s="392"/>
    </row>
    <row r="969" ht="15.75" customHeight="1">
      <c r="A969" s="216"/>
      <c r="B969" s="156"/>
      <c r="C969" s="156"/>
      <c r="D969" s="156"/>
      <c r="E969" s="392"/>
      <c r="F969" s="392"/>
      <c r="G969" s="392"/>
      <c r="H969" s="392"/>
      <c r="I969" s="392"/>
      <c r="J969" s="392"/>
      <c r="K969" s="392"/>
      <c r="L969" s="392"/>
      <c r="M969" s="392"/>
      <c r="N969" s="392"/>
      <c r="O969" s="392"/>
      <c r="P969" s="392"/>
      <c r="Q969" s="392"/>
      <c r="R969" s="392"/>
      <c r="S969" s="392"/>
      <c r="T969" s="392"/>
      <c r="U969" s="392"/>
      <c r="V969" s="392"/>
      <c r="W969" s="392"/>
      <c r="X969" s="392"/>
      <c r="Y969" s="392"/>
      <c r="Z969" s="392"/>
      <c r="AA969" s="392"/>
      <c r="AB969" s="392"/>
      <c r="AC969" s="392"/>
      <c r="AD969" s="392"/>
      <c r="AE969" s="392"/>
      <c r="AF969" s="392"/>
    </row>
    <row r="970" ht="15.75" customHeight="1">
      <c r="A970" s="216"/>
      <c r="B970" s="156"/>
      <c r="C970" s="156"/>
      <c r="D970" s="156"/>
      <c r="E970" s="392"/>
      <c r="F970" s="392"/>
      <c r="G970" s="392"/>
      <c r="H970" s="392"/>
      <c r="I970" s="392"/>
      <c r="J970" s="392"/>
      <c r="K970" s="392"/>
      <c r="L970" s="392"/>
      <c r="M970" s="392"/>
      <c r="N970" s="392"/>
      <c r="O970" s="392"/>
      <c r="P970" s="392"/>
      <c r="Q970" s="392"/>
      <c r="R970" s="392"/>
      <c r="S970" s="392"/>
      <c r="T970" s="392"/>
      <c r="U970" s="392"/>
      <c r="V970" s="392"/>
      <c r="W970" s="392"/>
      <c r="X970" s="392"/>
      <c r="Y970" s="392"/>
      <c r="Z970" s="392"/>
      <c r="AA970" s="392"/>
      <c r="AB970" s="392"/>
      <c r="AC970" s="392"/>
      <c r="AD970" s="392"/>
      <c r="AE970" s="392"/>
      <c r="AF970" s="392"/>
    </row>
    <row r="971" ht="15.75" customHeight="1">
      <c r="A971" s="216"/>
      <c r="B971" s="156"/>
      <c r="C971" s="156"/>
      <c r="D971" s="156"/>
      <c r="E971" s="392"/>
      <c r="F971" s="392"/>
      <c r="G971" s="392"/>
      <c r="H971" s="392"/>
      <c r="I971" s="392"/>
      <c r="J971" s="392"/>
      <c r="K971" s="392"/>
      <c r="L971" s="392"/>
      <c r="M971" s="392"/>
      <c r="N971" s="392"/>
      <c r="O971" s="392"/>
      <c r="P971" s="392"/>
      <c r="Q971" s="392"/>
      <c r="R971" s="392"/>
      <c r="S971" s="392"/>
      <c r="T971" s="392"/>
      <c r="U971" s="392"/>
      <c r="V971" s="392"/>
      <c r="W971" s="392"/>
      <c r="X971" s="392"/>
      <c r="Y971" s="392"/>
      <c r="Z971" s="392"/>
      <c r="AA971" s="392"/>
      <c r="AB971" s="392"/>
      <c r="AC971" s="392"/>
      <c r="AD971" s="392"/>
      <c r="AE971" s="392"/>
      <c r="AF971" s="392"/>
    </row>
    <row r="972" ht="15.75" customHeight="1">
      <c r="A972" s="216"/>
      <c r="B972" s="156"/>
      <c r="C972" s="156"/>
      <c r="D972" s="156"/>
      <c r="E972" s="392"/>
      <c r="F972" s="392"/>
      <c r="G972" s="392"/>
      <c r="H972" s="392"/>
      <c r="I972" s="392"/>
      <c r="J972" s="392"/>
      <c r="K972" s="392"/>
      <c r="L972" s="392"/>
      <c r="M972" s="392"/>
      <c r="N972" s="392"/>
      <c r="O972" s="392"/>
      <c r="P972" s="392"/>
      <c r="Q972" s="392"/>
      <c r="R972" s="392"/>
      <c r="S972" s="392"/>
      <c r="T972" s="392"/>
      <c r="U972" s="392"/>
      <c r="V972" s="392"/>
      <c r="W972" s="392"/>
      <c r="X972" s="392"/>
      <c r="Y972" s="392"/>
      <c r="Z972" s="392"/>
      <c r="AA972" s="392"/>
      <c r="AB972" s="392"/>
      <c r="AC972" s="392"/>
      <c r="AD972" s="392"/>
      <c r="AE972" s="392"/>
      <c r="AF972" s="392"/>
    </row>
    <row r="973" ht="15.75" customHeight="1">
      <c r="A973" s="216"/>
      <c r="B973" s="156"/>
      <c r="C973" s="156"/>
      <c r="D973" s="156"/>
      <c r="E973" s="392"/>
      <c r="F973" s="392"/>
      <c r="G973" s="392"/>
      <c r="H973" s="392"/>
      <c r="I973" s="392"/>
      <c r="J973" s="392"/>
      <c r="K973" s="392"/>
      <c r="L973" s="392"/>
      <c r="M973" s="392"/>
      <c r="N973" s="392"/>
      <c r="O973" s="392"/>
      <c r="P973" s="392"/>
      <c r="Q973" s="392"/>
      <c r="R973" s="392"/>
      <c r="S973" s="392"/>
      <c r="T973" s="392"/>
      <c r="U973" s="392"/>
      <c r="V973" s="392"/>
      <c r="W973" s="392"/>
      <c r="X973" s="392"/>
      <c r="Y973" s="392"/>
      <c r="Z973" s="392"/>
      <c r="AA973" s="392"/>
      <c r="AB973" s="392"/>
      <c r="AC973" s="392"/>
      <c r="AD973" s="392"/>
      <c r="AE973" s="392"/>
      <c r="AF973" s="392"/>
    </row>
    <row r="974" ht="15.75" customHeight="1">
      <c r="A974" s="216"/>
      <c r="B974" s="156"/>
      <c r="C974" s="156"/>
      <c r="D974" s="156"/>
      <c r="E974" s="392"/>
      <c r="F974" s="392"/>
      <c r="G974" s="392"/>
      <c r="H974" s="392"/>
      <c r="I974" s="392"/>
      <c r="J974" s="392"/>
      <c r="K974" s="392"/>
      <c r="L974" s="392"/>
      <c r="M974" s="392"/>
      <c r="N974" s="392"/>
      <c r="O974" s="392"/>
      <c r="P974" s="392"/>
      <c r="Q974" s="392"/>
      <c r="R974" s="392"/>
      <c r="S974" s="392"/>
      <c r="T974" s="392"/>
      <c r="U974" s="392"/>
      <c r="V974" s="392"/>
      <c r="W974" s="392"/>
      <c r="X974" s="392"/>
      <c r="Y974" s="392"/>
      <c r="Z974" s="392"/>
      <c r="AA974" s="392"/>
      <c r="AB974" s="392"/>
      <c r="AC974" s="392"/>
      <c r="AD974" s="392"/>
      <c r="AE974" s="392"/>
      <c r="AF974" s="392"/>
    </row>
    <row r="975" ht="15.75" customHeight="1">
      <c r="A975" s="216"/>
      <c r="B975" s="156"/>
      <c r="C975" s="156"/>
      <c r="D975" s="156"/>
      <c r="E975" s="392"/>
      <c r="F975" s="392"/>
      <c r="G975" s="392"/>
      <c r="H975" s="392"/>
      <c r="I975" s="392"/>
      <c r="J975" s="392"/>
      <c r="K975" s="392"/>
      <c r="L975" s="392"/>
      <c r="M975" s="392"/>
      <c r="N975" s="392"/>
      <c r="O975" s="392"/>
      <c r="P975" s="392"/>
      <c r="Q975" s="392"/>
      <c r="R975" s="392"/>
      <c r="S975" s="392"/>
      <c r="T975" s="392"/>
      <c r="U975" s="392"/>
      <c r="V975" s="392"/>
      <c r="W975" s="392"/>
      <c r="X975" s="392"/>
      <c r="Y975" s="392"/>
      <c r="Z975" s="392"/>
      <c r="AA975" s="392"/>
      <c r="AB975" s="392"/>
      <c r="AC975" s="392"/>
      <c r="AD975" s="392"/>
      <c r="AE975" s="392"/>
      <c r="AF975" s="392"/>
    </row>
    <row r="976" ht="15.75" customHeight="1">
      <c r="A976" s="216"/>
      <c r="B976" s="156"/>
      <c r="C976" s="156"/>
      <c r="D976" s="156"/>
      <c r="E976" s="392"/>
      <c r="F976" s="392"/>
      <c r="G976" s="392"/>
      <c r="H976" s="392"/>
      <c r="I976" s="392"/>
      <c r="J976" s="392"/>
      <c r="K976" s="392"/>
      <c r="L976" s="392"/>
      <c r="M976" s="392"/>
      <c r="N976" s="392"/>
      <c r="O976" s="392"/>
      <c r="P976" s="392"/>
      <c r="Q976" s="392"/>
      <c r="R976" s="392"/>
      <c r="S976" s="392"/>
      <c r="T976" s="392"/>
      <c r="U976" s="392"/>
      <c r="V976" s="392"/>
      <c r="W976" s="392"/>
      <c r="X976" s="392"/>
      <c r="Y976" s="392"/>
      <c r="Z976" s="392"/>
      <c r="AA976" s="392"/>
      <c r="AB976" s="392"/>
      <c r="AC976" s="392"/>
      <c r="AD976" s="392"/>
      <c r="AE976" s="392"/>
      <c r="AF976" s="392"/>
    </row>
    <row r="977" ht="15.75" customHeight="1">
      <c r="A977" s="216"/>
      <c r="B977" s="156"/>
      <c r="C977" s="156"/>
      <c r="D977" s="156"/>
      <c r="E977" s="392"/>
      <c r="F977" s="392"/>
      <c r="G977" s="392"/>
      <c r="H977" s="392"/>
      <c r="I977" s="392"/>
      <c r="J977" s="392"/>
      <c r="K977" s="392"/>
      <c r="L977" s="392"/>
      <c r="M977" s="392"/>
      <c r="N977" s="392"/>
      <c r="O977" s="392"/>
      <c r="P977" s="392"/>
      <c r="Q977" s="392"/>
      <c r="R977" s="392"/>
      <c r="S977" s="392"/>
      <c r="T977" s="392"/>
      <c r="U977" s="392"/>
      <c r="V977" s="392"/>
      <c r="W977" s="392"/>
      <c r="X977" s="392"/>
      <c r="Y977" s="392"/>
      <c r="Z977" s="392"/>
      <c r="AA977" s="392"/>
      <c r="AB977" s="392"/>
      <c r="AC977" s="392"/>
      <c r="AD977" s="392"/>
      <c r="AE977" s="392"/>
      <c r="AF977" s="392"/>
    </row>
    <row r="978" ht="15.75" customHeight="1">
      <c r="A978" s="216"/>
      <c r="B978" s="156"/>
      <c r="C978" s="156"/>
      <c r="D978" s="156"/>
      <c r="E978" s="392"/>
      <c r="F978" s="392"/>
      <c r="G978" s="392"/>
      <c r="H978" s="392"/>
      <c r="I978" s="392"/>
      <c r="J978" s="392"/>
      <c r="K978" s="392"/>
      <c r="L978" s="392"/>
      <c r="M978" s="392"/>
      <c r="N978" s="392"/>
      <c r="O978" s="392"/>
      <c r="P978" s="392"/>
      <c r="Q978" s="392"/>
      <c r="R978" s="392"/>
      <c r="S978" s="392"/>
      <c r="T978" s="392"/>
      <c r="U978" s="392"/>
      <c r="V978" s="392"/>
      <c r="W978" s="392"/>
      <c r="X978" s="392"/>
      <c r="Y978" s="392"/>
      <c r="Z978" s="392"/>
      <c r="AA978" s="392"/>
      <c r="AB978" s="392"/>
      <c r="AC978" s="392"/>
      <c r="AD978" s="392"/>
      <c r="AE978" s="392"/>
      <c r="AF978" s="392"/>
    </row>
    <row r="979" ht="15.75" customHeight="1">
      <c r="A979" s="216"/>
      <c r="B979" s="156"/>
      <c r="C979" s="156"/>
      <c r="D979" s="156"/>
      <c r="E979" s="392"/>
      <c r="F979" s="392"/>
      <c r="G979" s="392"/>
      <c r="H979" s="392"/>
      <c r="I979" s="392"/>
      <c r="J979" s="392"/>
      <c r="K979" s="392"/>
      <c r="L979" s="392"/>
      <c r="M979" s="392"/>
      <c r="N979" s="392"/>
      <c r="O979" s="392"/>
      <c r="P979" s="392"/>
      <c r="Q979" s="392"/>
      <c r="R979" s="392"/>
      <c r="S979" s="392"/>
      <c r="T979" s="392"/>
      <c r="U979" s="392"/>
      <c r="V979" s="392"/>
      <c r="W979" s="392"/>
      <c r="X979" s="392"/>
      <c r="Y979" s="392"/>
      <c r="Z979" s="392"/>
      <c r="AA979" s="392"/>
      <c r="AB979" s="392"/>
      <c r="AC979" s="392"/>
      <c r="AD979" s="392"/>
      <c r="AE979" s="392"/>
      <c r="AF979" s="392"/>
    </row>
    <row r="980" ht="15.75" customHeight="1">
      <c r="A980" s="216"/>
      <c r="B980" s="156"/>
      <c r="C980" s="156"/>
      <c r="D980" s="156"/>
      <c r="E980" s="392"/>
      <c r="F980" s="392"/>
      <c r="G980" s="392"/>
      <c r="H980" s="392"/>
      <c r="I980" s="392"/>
      <c r="J980" s="392"/>
      <c r="K980" s="392"/>
      <c r="L980" s="392"/>
      <c r="M980" s="392"/>
      <c r="N980" s="392"/>
      <c r="O980" s="392"/>
      <c r="P980" s="392"/>
      <c r="Q980" s="392"/>
      <c r="R980" s="392"/>
      <c r="S980" s="392"/>
      <c r="T980" s="392"/>
      <c r="U980" s="392"/>
      <c r="V980" s="392"/>
      <c r="W980" s="392"/>
      <c r="X980" s="392"/>
      <c r="Y980" s="392"/>
      <c r="Z980" s="392"/>
      <c r="AA980" s="392"/>
      <c r="AB980" s="392"/>
      <c r="AC980" s="392"/>
      <c r="AD980" s="392"/>
      <c r="AE980" s="392"/>
      <c r="AF980" s="392"/>
    </row>
    <row r="981" ht="15.75" customHeight="1">
      <c r="A981" s="216"/>
      <c r="B981" s="156"/>
      <c r="C981" s="156"/>
      <c r="D981" s="156"/>
      <c r="E981" s="392"/>
      <c r="F981" s="392"/>
      <c r="G981" s="392"/>
      <c r="H981" s="392"/>
      <c r="I981" s="392"/>
      <c r="J981" s="392"/>
      <c r="K981" s="392"/>
      <c r="L981" s="392"/>
      <c r="M981" s="392"/>
      <c r="N981" s="392"/>
      <c r="O981" s="392"/>
      <c r="P981" s="392"/>
      <c r="Q981" s="392"/>
      <c r="R981" s="392"/>
      <c r="S981" s="392"/>
      <c r="T981" s="392"/>
      <c r="U981" s="392"/>
      <c r="V981" s="392"/>
      <c r="W981" s="392"/>
      <c r="X981" s="392"/>
      <c r="Y981" s="392"/>
      <c r="Z981" s="392"/>
      <c r="AA981" s="392"/>
      <c r="AB981" s="392"/>
      <c r="AC981" s="392"/>
      <c r="AD981" s="392"/>
      <c r="AE981" s="392"/>
      <c r="AF981" s="392"/>
    </row>
    <row r="982" ht="15.75" customHeight="1">
      <c r="A982" s="216"/>
      <c r="B982" s="156"/>
      <c r="C982" s="156"/>
      <c r="D982" s="156"/>
      <c r="E982" s="392"/>
      <c r="F982" s="392"/>
      <c r="G982" s="392"/>
      <c r="H982" s="392"/>
      <c r="I982" s="392"/>
      <c r="J982" s="392"/>
      <c r="K982" s="392"/>
      <c r="L982" s="392"/>
      <c r="M982" s="392"/>
      <c r="N982" s="392"/>
      <c r="O982" s="392"/>
      <c r="P982" s="392"/>
      <c r="Q982" s="392"/>
      <c r="R982" s="392"/>
      <c r="S982" s="392"/>
      <c r="T982" s="392"/>
      <c r="U982" s="392"/>
      <c r="V982" s="392"/>
      <c r="W982" s="392"/>
      <c r="X982" s="392"/>
      <c r="Y982" s="392"/>
      <c r="Z982" s="392"/>
      <c r="AA982" s="392"/>
      <c r="AB982" s="392"/>
      <c r="AC982" s="392"/>
      <c r="AD982" s="392"/>
      <c r="AE982" s="392"/>
      <c r="AF982" s="392"/>
    </row>
    <row r="983" ht="15.75" customHeight="1">
      <c r="A983" s="216"/>
      <c r="B983" s="156"/>
      <c r="C983" s="156"/>
      <c r="D983" s="156"/>
      <c r="E983" s="392"/>
      <c r="F983" s="392"/>
      <c r="G983" s="392"/>
      <c r="H983" s="392"/>
      <c r="I983" s="392"/>
      <c r="J983" s="392"/>
      <c r="K983" s="392"/>
      <c r="L983" s="392"/>
      <c r="M983" s="392"/>
      <c r="N983" s="392"/>
      <c r="O983" s="392"/>
      <c r="P983" s="392"/>
      <c r="Q983" s="392"/>
      <c r="R983" s="392"/>
      <c r="S983" s="392"/>
      <c r="T983" s="392"/>
      <c r="U983" s="392"/>
      <c r="V983" s="392"/>
      <c r="W983" s="392"/>
      <c r="X983" s="392"/>
      <c r="Y983" s="392"/>
      <c r="Z983" s="392"/>
      <c r="AA983" s="392"/>
      <c r="AB983" s="392"/>
      <c r="AC983" s="392"/>
      <c r="AD983" s="392"/>
      <c r="AE983" s="392"/>
      <c r="AF983" s="392"/>
    </row>
    <row r="984" ht="15.75" customHeight="1">
      <c r="A984" s="216"/>
      <c r="B984" s="156"/>
      <c r="C984" s="156"/>
      <c r="D984" s="156"/>
      <c r="E984" s="392"/>
      <c r="F984" s="392"/>
      <c r="G984" s="392"/>
      <c r="H984" s="392"/>
      <c r="I984" s="392"/>
      <c r="J984" s="392"/>
      <c r="K984" s="392"/>
      <c r="L984" s="392"/>
      <c r="M984" s="392"/>
      <c r="N984" s="392"/>
      <c r="O984" s="392"/>
      <c r="P984" s="392"/>
      <c r="Q984" s="392"/>
      <c r="R984" s="392"/>
      <c r="S984" s="392"/>
      <c r="T984" s="392"/>
      <c r="U984" s="392"/>
      <c r="V984" s="392"/>
      <c r="W984" s="392"/>
      <c r="X984" s="392"/>
      <c r="Y984" s="392"/>
      <c r="Z984" s="392"/>
      <c r="AA984" s="392"/>
      <c r="AB984" s="392"/>
      <c r="AC984" s="392"/>
      <c r="AD984" s="392"/>
      <c r="AE984" s="392"/>
      <c r="AF984" s="392"/>
    </row>
    <row r="985" ht="15.75" customHeight="1">
      <c r="A985" s="216"/>
      <c r="B985" s="156"/>
      <c r="C985" s="156"/>
      <c r="D985" s="156"/>
      <c r="E985" s="392"/>
      <c r="F985" s="392"/>
      <c r="G985" s="392"/>
      <c r="H985" s="392"/>
      <c r="I985" s="392"/>
      <c r="J985" s="392"/>
      <c r="K985" s="392"/>
      <c r="L985" s="392"/>
      <c r="M985" s="392"/>
      <c r="N985" s="392"/>
      <c r="O985" s="392"/>
      <c r="P985" s="392"/>
      <c r="Q985" s="392"/>
      <c r="R985" s="392"/>
      <c r="S985" s="392"/>
      <c r="T985" s="392"/>
      <c r="U985" s="392"/>
      <c r="V985" s="392"/>
      <c r="W985" s="392"/>
      <c r="X985" s="392"/>
      <c r="Y985" s="392"/>
      <c r="Z985" s="392"/>
      <c r="AA985" s="392"/>
      <c r="AB985" s="392"/>
      <c r="AC985" s="392"/>
      <c r="AD985" s="392"/>
      <c r="AE985" s="392"/>
      <c r="AF985" s="392"/>
    </row>
    <row r="986" ht="15.75" customHeight="1">
      <c r="A986" s="216"/>
      <c r="B986" s="156"/>
      <c r="C986" s="156"/>
      <c r="D986" s="156"/>
      <c r="E986" s="392"/>
      <c r="F986" s="392"/>
      <c r="G986" s="392"/>
      <c r="H986" s="392"/>
      <c r="I986" s="392"/>
      <c r="J986" s="392"/>
      <c r="K986" s="392"/>
      <c r="L986" s="392"/>
      <c r="M986" s="392"/>
      <c r="N986" s="392"/>
      <c r="O986" s="392"/>
      <c r="P986" s="392"/>
      <c r="Q986" s="392"/>
      <c r="R986" s="392"/>
      <c r="S986" s="392"/>
      <c r="T986" s="392"/>
      <c r="U986" s="392"/>
      <c r="V986" s="392"/>
      <c r="W986" s="392"/>
      <c r="X986" s="392"/>
      <c r="Y986" s="392"/>
      <c r="Z986" s="392"/>
      <c r="AA986" s="392"/>
      <c r="AB986" s="392"/>
      <c r="AC986" s="392"/>
      <c r="AD986" s="392"/>
      <c r="AE986" s="392"/>
      <c r="AF986" s="392"/>
    </row>
    <row r="987" ht="15.75" customHeight="1">
      <c r="A987" s="216"/>
      <c r="B987" s="156"/>
      <c r="C987" s="156"/>
      <c r="D987" s="156"/>
      <c r="E987" s="392"/>
      <c r="F987" s="392"/>
      <c r="G987" s="392"/>
      <c r="H987" s="392"/>
      <c r="I987" s="392"/>
      <c r="J987" s="392"/>
      <c r="K987" s="392"/>
      <c r="L987" s="392"/>
      <c r="M987" s="392"/>
      <c r="N987" s="392"/>
      <c r="O987" s="392"/>
      <c r="P987" s="392"/>
      <c r="Q987" s="392"/>
      <c r="R987" s="392"/>
      <c r="S987" s="392"/>
      <c r="T987" s="392"/>
      <c r="U987" s="392"/>
      <c r="V987" s="392"/>
      <c r="W987" s="392"/>
      <c r="X987" s="392"/>
      <c r="Y987" s="392"/>
      <c r="Z987" s="392"/>
      <c r="AA987" s="392"/>
      <c r="AB987" s="392"/>
      <c r="AC987" s="392"/>
      <c r="AD987" s="392"/>
      <c r="AE987" s="392"/>
      <c r="AF987" s="392"/>
    </row>
    <row r="988" ht="15.75" customHeight="1">
      <c r="A988" s="216"/>
      <c r="B988" s="156"/>
      <c r="C988" s="156"/>
      <c r="D988" s="156"/>
      <c r="E988" s="392"/>
      <c r="F988" s="392"/>
      <c r="G988" s="392"/>
      <c r="H988" s="392"/>
      <c r="I988" s="392"/>
      <c r="J988" s="392"/>
      <c r="K988" s="392"/>
      <c r="L988" s="392"/>
      <c r="M988" s="392"/>
      <c r="N988" s="392"/>
      <c r="O988" s="392"/>
      <c r="P988" s="392"/>
      <c r="Q988" s="392"/>
      <c r="R988" s="392"/>
      <c r="S988" s="392"/>
      <c r="T988" s="392"/>
      <c r="U988" s="392"/>
      <c r="V988" s="392"/>
      <c r="W988" s="392"/>
      <c r="X988" s="392"/>
      <c r="Y988" s="392"/>
      <c r="Z988" s="392"/>
      <c r="AA988" s="392"/>
      <c r="AB988" s="392"/>
      <c r="AC988" s="392"/>
      <c r="AD988" s="392"/>
      <c r="AE988" s="392"/>
      <c r="AF988" s="392"/>
    </row>
    <row r="989" ht="15.75" customHeight="1">
      <c r="A989" s="216"/>
      <c r="B989" s="156"/>
      <c r="C989" s="156"/>
      <c r="D989" s="156"/>
      <c r="E989" s="392"/>
      <c r="F989" s="392"/>
      <c r="G989" s="392"/>
      <c r="H989" s="392"/>
      <c r="I989" s="392"/>
      <c r="J989" s="392"/>
      <c r="K989" s="392"/>
      <c r="L989" s="392"/>
      <c r="M989" s="392"/>
      <c r="N989" s="392"/>
      <c r="O989" s="392"/>
      <c r="P989" s="392"/>
      <c r="Q989" s="392"/>
      <c r="R989" s="392"/>
      <c r="S989" s="392"/>
      <c r="T989" s="392"/>
      <c r="U989" s="392"/>
      <c r="V989" s="392"/>
      <c r="W989" s="392"/>
      <c r="X989" s="392"/>
      <c r="Y989" s="392"/>
      <c r="Z989" s="392"/>
      <c r="AA989" s="392"/>
      <c r="AB989" s="392"/>
      <c r="AC989" s="392"/>
      <c r="AD989" s="392"/>
      <c r="AE989" s="392"/>
      <c r="AF989" s="392"/>
    </row>
    <row r="990" ht="15.75" customHeight="1">
      <c r="A990" s="216"/>
      <c r="B990" s="156"/>
      <c r="C990" s="156"/>
      <c r="D990" s="156"/>
      <c r="E990" s="392"/>
      <c r="F990" s="392"/>
      <c r="G990" s="392"/>
      <c r="H990" s="392"/>
      <c r="I990" s="392"/>
      <c r="J990" s="392"/>
      <c r="K990" s="392"/>
      <c r="L990" s="392"/>
      <c r="M990" s="392"/>
      <c r="N990" s="392"/>
      <c r="O990" s="392"/>
      <c r="P990" s="392"/>
      <c r="Q990" s="392"/>
      <c r="R990" s="392"/>
      <c r="S990" s="392"/>
      <c r="T990" s="392"/>
      <c r="U990" s="392"/>
      <c r="V990" s="392"/>
      <c r="W990" s="392"/>
      <c r="X990" s="392"/>
      <c r="Y990" s="392"/>
      <c r="Z990" s="392"/>
      <c r="AA990" s="392"/>
      <c r="AB990" s="392"/>
      <c r="AC990" s="392"/>
      <c r="AD990" s="392"/>
      <c r="AE990" s="392"/>
      <c r="AF990" s="392"/>
    </row>
    <row r="991" ht="15.75" customHeight="1">
      <c r="A991" s="216"/>
      <c r="B991" s="156"/>
      <c r="C991" s="156"/>
      <c r="D991" s="156"/>
      <c r="E991" s="392"/>
      <c r="F991" s="392"/>
      <c r="G991" s="392"/>
      <c r="H991" s="392"/>
      <c r="I991" s="392"/>
      <c r="J991" s="392"/>
      <c r="K991" s="392"/>
      <c r="L991" s="392"/>
      <c r="M991" s="392"/>
      <c r="N991" s="392"/>
      <c r="O991" s="392"/>
      <c r="P991" s="392"/>
      <c r="Q991" s="392"/>
      <c r="R991" s="392"/>
      <c r="S991" s="392"/>
      <c r="T991" s="392"/>
      <c r="U991" s="392"/>
      <c r="V991" s="392"/>
      <c r="W991" s="392"/>
      <c r="X991" s="392"/>
      <c r="Y991" s="392"/>
      <c r="Z991" s="392"/>
      <c r="AA991" s="392"/>
      <c r="AB991" s="392"/>
      <c r="AC991" s="392"/>
      <c r="AD991" s="392"/>
      <c r="AE991" s="392"/>
      <c r="AF991" s="392"/>
    </row>
    <row r="992" ht="15.75" customHeight="1">
      <c r="A992" s="216"/>
      <c r="B992" s="156"/>
      <c r="C992" s="156"/>
      <c r="D992" s="156"/>
      <c r="E992" s="392"/>
      <c r="F992" s="392"/>
      <c r="G992" s="392"/>
      <c r="H992" s="392"/>
      <c r="I992" s="392"/>
      <c r="J992" s="392"/>
      <c r="K992" s="392"/>
      <c r="L992" s="392"/>
      <c r="M992" s="392"/>
      <c r="N992" s="392"/>
      <c r="O992" s="392"/>
      <c r="P992" s="392"/>
      <c r="Q992" s="392"/>
      <c r="R992" s="392"/>
      <c r="S992" s="392"/>
      <c r="T992" s="392"/>
      <c r="U992" s="392"/>
      <c r="V992" s="392"/>
      <c r="W992" s="392"/>
      <c r="X992" s="392"/>
      <c r="Y992" s="392"/>
      <c r="Z992" s="392"/>
      <c r="AA992" s="392"/>
      <c r="AB992" s="392"/>
      <c r="AC992" s="392"/>
      <c r="AD992" s="392"/>
      <c r="AE992" s="392"/>
      <c r="AF992" s="392"/>
    </row>
    <row r="993" ht="15.75" customHeight="1">
      <c r="A993" s="216"/>
      <c r="B993" s="156"/>
      <c r="C993" s="156"/>
      <c r="D993" s="156"/>
      <c r="E993" s="392"/>
      <c r="F993" s="392"/>
      <c r="G993" s="392"/>
      <c r="H993" s="392"/>
      <c r="I993" s="392"/>
      <c r="J993" s="392"/>
      <c r="K993" s="392"/>
      <c r="L993" s="392"/>
      <c r="M993" s="392"/>
      <c r="N993" s="392"/>
      <c r="O993" s="392"/>
      <c r="P993" s="392"/>
      <c r="Q993" s="392"/>
      <c r="R993" s="392"/>
      <c r="S993" s="392"/>
      <c r="T993" s="392"/>
      <c r="U993" s="392"/>
      <c r="V993" s="392"/>
      <c r="W993" s="392"/>
      <c r="X993" s="392"/>
      <c r="Y993" s="392"/>
      <c r="Z993" s="392"/>
      <c r="AA993" s="392"/>
      <c r="AB993" s="392"/>
      <c r="AC993" s="392"/>
      <c r="AD993" s="392"/>
      <c r="AE993" s="392"/>
      <c r="AF993" s="392"/>
    </row>
    <row r="994" ht="15.75" customHeight="1">
      <c r="A994" s="216"/>
      <c r="B994" s="156"/>
      <c r="C994" s="156"/>
      <c r="D994" s="156"/>
      <c r="E994" s="392"/>
      <c r="F994" s="392"/>
      <c r="G994" s="392"/>
      <c r="H994" s="392"/>
      <c r="I994" s="392"/>
      <c r="J994" s="392"/>
      <c r="K994" s="392"/>
      <c r="L994" s="392"/>
      <c r="M994" s="392"/>
      <c r="N994" s="392"/>
      <c r="O994" s="392"/>
      <c r="P994" s="392"/>
      <c r="Q994" s="392"/>
      <c r="R994" s="392"/>
      <c r="S994" s="392"/>
      <c r="T994" s="392"/>
      <c r="U994" s="392"/>
      <c r="V994" s="392"/>
      <c r="W994" s="392"/>
      <c r="X994" s="392"/>
      <c r="Y994" s="392"/>
      <c r="Z994" s="392"/>
      <c r="AA994" s="392"/>
      <c r="AB994" s="392"/>
      <c r="AC994" s="392"/>
      <c r="AD994" s="392"/>
      <c r="AE994" s="392"/>
      <c r="AF994" s="392"/>
    </row>
    <row r="995" ht="15.75" customHeight="1">
      <c r="A995" s="216"/>
      <c r="B995" s="156"/>
      <c r="C995" s="156"/>
      <c r="D995" s="156"/>
      <c r="E995" s="392"/>
      <c r="F995" s="392"/>
      <c r="G995" s="392"/>
      <c r="H995" s="392"/>
      <c r="I995" s="392"/>
      <c r="J995" s="392"/>
      <c r="K995" s="392"/>
      <c r="L995" s="392"/>
      <c r="M995" s="392"/>
      <c r="N995" s="392"/>
      <c r="O995" s="392"/>
      <c r="P995" s="392"/>
      <c r="Q995" s="392"/>
      <c r="R995" s="392"/>
      <c r="S995" s="392"/>
      <c r="T995" s="392"/>
      <c r="U995" s="392"/>
      <c r="V995" s="392"/>
      <c r="W995" s="392"/>
      <c r="X995" s="392"/>
      <c r="Y995" s="392"/>
      <c r="Z995" s="392"/>
      <c r="AA995" s="392"/>
      <c r="AB995" s="392"/>
      <c r="AC995" s="392"/>
      <c r="AD995" s="392"/>
      <c r="AE995" s="392"/>
      <c r="AF995" s="392"/>
    </row>
    <row r="996" ht="15.75" customHeight="1">
      <c r="A996" s="216"/>
      <c r="B996" s="156"/>
      <c r="C996" s="156"/>
      <c r="D996" s="156"/>
      <c r="E996" s="392"/>
      <c r="F996" s="392"/>
      <c r="G996" s="392"/>
      <c r="H996" s="392"/>
      <c r="I996" s="392"/>
      <c r="J996" s="392"/>
      <c r="K996" s="392"/>
      <c r="L996" s="392"/>
      <c r="M996" s="392"/>
      <c r="N996" s="392"/>
      <c r="O996" s="392"/>
      <c r="P996" s="392"/>
      <c r="Q996" s="392"/>
      <c r="R996" s="392"/>
      <c r="S996" s="392"/>
      <c r="T996" s="392"/>
      <c r="U996" s="392"/>
      <c r="V996" s="392"/>
      <c r="W996" s="392"/>
      <c r="X996" s="392"/>
      <c r="Y996" s="392"/>
      <c r="Z996" s="392"/>
      <c r="AA996" s="392"/>
      <c r="AB996" s="392"/>
      <c r="AC996" s="392"/>
      <c r="AD996" s="392"/>
      <c r="AE996" s="392"/>
      <c r="AF996" s="392"/>
    </row>
    <row r="997" ht="15.75" customHeight="1">
      <c r="A997" s="216"/>
      <c r="B997" s="156"/>
      <c r="C997" s="156"/>
      <c r="D997" s="156"/>
      <c r="E997" s="392"/>
      <c r="F997" s="392"/>
      <c r="G997" s="392"/>
      <c r="H997" s="392"/>
      <c r="I997" s="392"/>
      <c r="J997" s="392"/>
      <c r="K997" s="392"/>
      <c r="L997" s="392"/>
      <c r="M997" s="392"/>
      <c r="N997" s="392"/>
      <c r="O997" s="392"/>
      <c r="P997" s="392"/>
      <c r="Q997" s="392"/>
      <c r="R997" s="392"/>
      <c r="S997" s="392"/>
      <c r="T997" s="392"/>
      <c r="U997" s="392"/>
      <c r="V997" s="392"/>
      <c r="W997" s="392"/>
      <c r="X997" s="392"/>
      <c r="Y997" s="392"/>
      <c r="Z997" s="392"/>
      <c r="AA997" s="392"/>
      <c r="AB997" s="392"/>
      <c r="AC997" s="392"/>
      <c r="AD997" s="392"/>
      <c r="AE997" s="392"/>
      <c r="AF997" s="392"/>
    </row>
    <row r="998" ht="15.75" customHeight="1">
      <c r="A998" s="216"/>
      <c r="B998" s="156"/>
      <c r="C998" s="156"/>
      <c r="D998" s="156"/>
      <c r="E998" s="392"/>
      <c r="F998" s="392"/>
      <c r="G998" s="392"/>
      <c r="H998" s="392"/>
      <c r="I998" s="392"/>
      <c r="J998" s="392"/>
      <c r="K998" s="392"/>
      <c r="L998" s="392"/>
      <c r="M998" s="392"/>
      <c r="N998" s="392"/>
      <c r="O998" s="392"/>
      <c r="P998" s="392"/>
      <c r="Q998" s="392"/>
      <c r="R998" s="392"/>
      <c r="S998" s="392"/>
      <c r="T998" s="392"/>
      <c r="U998" s="392"/>
      <c r="V998" s="392"/>
      <c r="W998" s="392"/>
      <c r="X998" s="392"/>
      <c r="Y998" s="392"/>
      <c r="Z998" s="392"/>
      <c r="AA998" s="392"/>
      <c r="AB998" s="392"/>
      <c r="AC998" s="392"/>
      <c r="AD998" s="392"/>
      <c r="AE998" s="392"/>
      <c r="AF998" s="392"/>
    </row>
    <row r="999" ht="15.75" customHeight="1">
      <c r="A999" s="216"/>
      <c r="B999" s="156"/>
      <c r="C999" s="156"/>
      <c r="D999" s="156"/>
      <c r="E999" s="392"/>
      <c r="F999" s="392"/>
      <c r="G999" s="392"/>
      <c r="H999" s="392"/>
      <c r="I999" s="392"/>
      <c r="J999" s="392"/>
      <c r="K999" s="392"/>
      <c r="L999" s="392"/>
      <c r="M999" s="392"/>
      <c r="N999" s="392"/>
      <c r="O999" s="392"/>
      <c r="P999" s="392"/>
      <c r="Q999" s="392"/>
      <c r="R999" s="392"/>
      <c r="S999" s="392"/>
      <c r="T999" s="392"/>
      <c r="U999" s="392"/>
      <c r="V999" s="392"/>
      <c r="W999" s="392"/>
      <c r="X999" s="392"/>
      <c r="Y999" s="392"/>
      <c r="Z999" s="392"/>
      <c r="AA999" s="392"/>
      <c r="AB999" s="392"/>
      <c r="AC999" s="392"/>
      <c r="AD999" s="392"/>
      <c r="AE999" s="392"/>
      <c r="AF999" s="392"/>
    </row>
    <row r="1000" ht="15.75" customHeight="1">
      <c r="A1000" s="216"/>
      <c r="B1000" s="156"/>
      <c r="C1000" s="156"/>
      <c r="D1000" s="156"/>
      <c r="E1000" s="392"/>
      <c r="F1000" s="392"/>
      <c r="G1000" s="392"/>
      <c r="H1000" s="392"/>
      <c r="I1000" s="392"/>
      <c r="J1000" s="392"/>
      <c r="K1000" s="392"/>
      <c r="L1000" s="392"/>
      <c r="M1000" s="392"/>
      <c r="N1000" s="392"/>
      <c r="O1000" s="392"/>
      <c r="P1000" s="392"/>
      <c r="Q1000" s="392"/>
      <c r="R1000" s="392"/>
      <c r="S1000" s="392"/>
      <c r="T1000" s="392"/>
      <c r="U1000" s="392"/>
      <c r="V1000" s="392"/>
      <c r="W1000" s="392"/>
      <c r="X1000" s="392"/>
      <c r="Y1000" s="392"/>
      <c r="Z1000" s="392"/>
      <c r="AA1000" s="392"/>
      <c r="AB1000" s="392"/>
      <c r="AC1000" s="392"/>
      <c r="AD1000" s="392"/>
      <c r="AE1000" s="392"/>
      <c r="AF1000" s="392"/>
    </row>
    <row r="1001" ht="15.75" customHeight="1">
      <c r="A1001" s="216"/>
      <c r="B1001" s="156"/>
      <c r="C1001" s="156"/>
      <c r="D1001" s="156"/>
      <c r="E1001" s="392"/>
      <c r="F1001" s="392"/>
      <c r="G1001" s="392"/>
      <c r="H1001" s="392"/>
      <c r="I1001" s="392"/>
      <c r="J1001" s="392"/>
      <c r="K1001" s="392"/>
      <c r="L1001" s="392"/>
      <c r="M1001" s="392"/>
      <c r="N1001" s="392"/>
      <c r="O1001" s="392"/>
      <c r="P1001" s="392"/>
      <c r="Q1001" s="392"/>
      <c r="R1001" s="392"/>
      <c r="S1001" s="392"/>
      <c r="T1001" s="392"/>
      <c r="U1001" s="392"/>
      <c r="V1001" s="392"/>
      <c r="W1001" s="392"/>
      <c r="X1001" s="392"/>
      <c r="Y1001" s="392"/>
      <c r="Z1001" s="392"/>
      <c r="AA1001" s="392"/>
      <c r="AB1001" s="392"/>
      <c r="AC1001" s="392"/>
      <c r="AD1001" s="392"/>
      <c r="AE1001" s="392"/>
      <c r="AF1001" s="392"/>
    </row>
    <row r="1002" ht="15.75" customHeight="1">
      <c r="A1002" s="216"/>
      <c r="B1002" s="156"/>
      <c r="C1002" s="156"/>
      <c r="D1002" s="156"/>
      <c r="E1002" s="392"/>
      <c r="F1002" s="392"/>
      <c r="G1002" s="392"/>
      <c r="H1002" s="392"/>
      <c r="I1002" s="392"/>
      <c r="J1002" s="392"/>
      <c r="K1002" s="392"/>
      <c r="L1002" s="392"/>
      <c r="M1002" s="392"/>
      <c r="N1002" s="392"/>
      <c r="O1002" s="392"/>
      <c r="P1002" s="392"/>
      <c r="Q1002" s="392"/>
      <c r="R1002" s="392"/>
      <c r="S1002" s="392"/>
      <c r="T1002" s="392"/>
      <c r="U1002" s="392"/>
      <c r="V1002" s="392"/>
      <c r="W1002" s="392"/>
      <c r="X1002" s="392"/>
      <c r="Y1002" s="392"/>
      <c r="Z1002" s="392"/>
      <c r="AA1002" s="392"/>
      <c r="AB1002" s="392"/>
      <c r="AC1002" s="392"/>
      <c r="AD1002" s="392"/>
      <c r="AE1002" s="392"/>
      <c r="AF1002" s="392"/>
    </row>
    <row r="1003" ht="15.75" customHeight="1">
      <c r="A1003" s="216"/>
      <c r="B1003" s="156"/>
      <c r="C1003" s="156"/>
      <c r="D1003" s="156"/>
      <c r="E1003" s="392"/>
      <c r="F1003" s="392"/>
      <c r="G1003" s="392"/>
      <c r="H1003" s="392"/>
      <c r="I1003" s="392"/>
      <c r="J1003" s="392"/>
      <c r="K1003" s="392"/>
      <c r="L1003" s="392"/>
      <c r="M1003" s="392"/>
      <c r="N1003" s="392"/>
      <c r="O1003" s="392"/>
      <c r="P1003" s="392"/>
      <c r="Q1003" s="392"/>
      <c r="R1003" s="392"/>
      <c r="S1003" s="392"/>
      <c r="T1003" s="392"/>
      <c r="U1003" s="392"/>
      <c r="V1003" s="392"/>
      <c r="W1003" s="392"/>
      <c r="X1003" s="392"/>
      <c r="Y1003" s="392"/>
      <c r="Z1003" s="392"/>
      <c r="AA1003" s="392"/>
      <c r="AB1003" s="392"/>
      <c r="AC1003" s="392"/>
      <c r="AD1003" s="392"/>
      <c r="AE1003" s="392"/>
      <c r="AF1003" s="392"/>
    </row>
    <row r="1004" ht="15.75" customHeight="1">
      <c r="A1004" s="216"/>
      <c r="B1004" s="156"/>
      <c r="C1004" s="156"/>
      <c r="D1004" s="156"/>
      <c r="E1004" s="392"/>
      <c r="F1004" s="392"/>
      <c r="G1004" s="392"/>
      <c r="H1004" s="392"/>
      <c r="I1004" s="392"/>
      <c r="J1004" s="392"/>
      <c r="K1004" s="392"/>
      <c r="L1004" s="392"/>
      <c r="M1004" s="392"/>
      <c r="N1004" s="392"/>
      <c r="O1004" s="392"/>
      <c r="P1004" s="392"/>
      <c r="Q1004" s="392"/>
      <c r="R1004" s="392"/>
      <c r="S1004" s="392"/>
      <c r="T1004" s="392"/>
      <c r="U1004" s="392"/>
      <c r="V1004" s="392"/>
      <c r="W1004" s="392"/>
      <c r="X1004" s="392"/>
      <c r="Y1004" s="392"/>
      <c r="Z1004" s="392"/>
      <c r="AA1004" s="392"/>
      <c r="AB1004" s="392"/>
      <c r="AC1004" s="392"/>
      <c r="AD1004" s="392"/>
      <c r="AE1004" s="392"/>
      <c r="AF1004" s="392"/>
    </row>
    <row r="1005" ht="15.75" customHeight="1">
      <c r="A1005" s="216"/>
      <c r="B1005" s="156"/>
      <c r="C1005" s="156"/>
      <c r="D1005" s="156"/>
      <c r="E1005" s="392"/>
      <c r="F1005" s="392"/>
      <c r="G1005" s="392"/>
      <c r="H1005" s="392"/>
      <c r="I1005" s="392"/>
      <c r="J1005" s="392"/>
      <c r="K1005" s="392"/>
      <c r="L1005" s="392"/>
      <c r="M1005" s="392"/>
      <c r="N1005" s="392"/>
      <c r="O1005" s="392"/>
      <c r="P1005" s="392"/>
      <c r="Q1005" s="392"/>
      <c r="R1005" s="392"/>
      <c r="S1005" s="392"/>
      <c r="T1005" s="392"/>
      <c r="U1005" s="392"/>
      <c r="V1005" s="392"/>
      <c r="W1005" s="392"/>
      <c r="X1005" s="392"/>
      <c r="Y1005" s="392"/>
      <c r="Z1005" s="392"/>
      <c r="AA1005" s="392"/>
      <c r="AB1005" s="392"/>
      <c r="AC1005" s="392"/>
      <c r="AD1005" s="392"/>
      <c r="AE1005" s="392"/>
      <c r="AF1005" s="392"/>
    </row>
    <row r="1006" ht="15.75" customHeight="1">
      <c r="A1006" s="216"/>
      <c r="B1006" s="156"/>
      <c r="C1006" s="156"/>
      <c r="D1006" s="156"/>
      <c r="E1006" s="392"/>
      <c r="F1006" s="392"/>
      <c r="G1006" s="392"/>
      <c r="H1006" s="392"/>
      <c r="I1006" s="392"/>
      <c r="J1006" s="392"/>
      <c r="K1006" s="392"/>
      <c r="L1006" s="392"/>
      <c r="M1006" s="392"/>
      <c r="N1006" s="392"/>
      <c r="O1006" s="392"/>
      <c r="P1006" s="392"/>
      <c r="Q1006" s="392"/>
      <c r="R1006" s="392"/>
      <c r="S1006" s="392"/>
      <c r="T1006" s="392"/>
      <c r="U1006" s="392"/>
      <c r="V1006" s="392"/>
      <c r="W1006" s="392"/>
      <c r="X1006" s="392"/>
      <c r="Y1006" s="392"/>
      <c r="Z1006" s="392"/>
      <c r="AA1006" s="392"/>
      <c r="AB1006" s="392"/>
      <c r="AC1006" s="392"/>
      <c r="AD1006" s="392"/>
      <c r="AE1006" s="392"/>
      <c r="AF1006" s="392"/>
    </row>
  </sheetData>
  <mergeCells count="2">
    <mergeCell ref="P6:R6"/>
    <mergeCell ref="P7:R7"/>
  </mergeCells>
  <conditionalFormatting sqref="D1:D5">
    <cfRule type="containsText" dxfId="2" priority="1" operator="containsText" text="squat">
      <formula>NOT(ISERROR(SEARCH(("squat"),(D1))))</formula>
    </cfRule>
  </conditionalFormatting>
  <conditionalFormatting sqref="D1:D5">
    <cfRule type="containsText" dxfId="3" priority="2" operator="containsText" text="bench press">
      <formula>NOT(ISERROR(SEARCH(("bench press"),(D1))))</formula>
    </cfRule>
  </conditionalFormatting>
  <conditionalFormatting sqref="D1:D5">
    <cfRule type="containsText" dxfId="4" priority="3" operator="containsText" text="deadlift">
      <formula>NOT(ISERROR(SEARCH(("deadlift"),(D1))))</formula>
    </cfRule>
  </conditionalFormatting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8.63"/>
    <col customWidth="1" min="7" max="7" width="28.25"/>
    <col customWidth="1" min="8" max="8" width="21.0"/>
    <col customWidth="1" min="9" max="9" width="16.88"/>
    <col customWidth="1" min="10" max="10" width="14.13"/>
    <col customWidth="1" min="11" max="11" width="21.0"/>
    <col customWidth="1" min="12" max="12" width="15.0"/>
    <col customWidth="1" min="13" max="13" width="18.0"/>
    <col customWidth="1" min="14" max="14" width="15.75"/>
    <col customWidth="1" min="15" max="15" width="13.13"/>
    <col customWidth="1" min="16" max="26" width="14.38"/>
  </cols>
  <sheetData>
    <row r="1">
      <c r="B1" s="789" t="s">
        <v>307</v>
      </c>
    </row>
    <row r="2">
      <c r="B2" s="789" t="s">
        <v>308</v>
      </c>
    </row>
    <row r="3">
      <c r="B3" s="789" t="s">
        <v>309</v>
      </c>
    </row>
    <row r="4">
      <c r="B4" s="789" t="s">
        <v>310</v>
      </c>
    </row>
    <row r="5">
      <c r="G5" s="789" t="s">
        <v>6</v>
      </c>
      <c r="H5" s="789" t="s">
        <v>311</v>
      </c>
      <c r="I5" s="789" t="s">
        <v>10</v>
      </c>
      <c r="J5" s="789" t="s">
        <v>312</v>
      </c>
      <c r="K5" s="789" t="s">
        <v>67</v>
      </c>
      <c r="L5" s="789" t="s">
        <v>313</v>
      </c>
      <c r="M5" s="789" t="s">
        <v>314</v>
      </c>
      <c r="N5" s="789" t="s">
        <v>64</v>
      </c>
      <c r="O5" s="789" t="s">
        <v>71</v>
      </c>
    </row>
    <row r="6">
      <c r="B6" s="789">
        <v>48.0</v>
      </c>
      <c r="C6" s="789">
        <v>1.0</v>
      </c>
      <c r="D6" s="5" t="s">
        <v>315</v>
      </c>
      <c r="G6" s="789" t="s">
        <v>6</v>
      </c>
      <c r="H6" s="789" t="s">
        <v>66</v>
      </c>
      <c r="I6" s="789" t="s">
        <v>10</v>
      </c>
      <c r="J6" s="789" t="s">
        <v>37</v>
      </c>
      <c r="K6" s="789" t="s">
        <v>277</v>
      </c>
      <c r="L6" s="789" t="s">
        <v>316</v>
      </c>
      <c r="M6" s="789" t="s">
        <v>317</v>
      </c>
      <c r="N6" s="789" t="s">
        <v>318</v>
      </c>
      <c r="O6" s="789" t="s">
        <v>46</v>
      </c>
    </row>
    <row r="7">
      <c r="B7" s="789">
        <v>49.0</v>
      </c>
      <c r="C7" s="789">
        <v>2.0</v>
      </c>
      <c r="D7" s="5">
        <v>6.0</v>
      </c>
      <c r="G7" s="789" t="s">
        <v>285</v>
      </c>
      <c r="H7" s="789" t="s">
        <v>51</v>
      </c>
      <c r="I7" s="789" t="s">
        <v>248</v>
      </c>
      <c r="J7" s="789" t="s">
        <v>259</v>
      </c>
      <c r="K7" s="789" t="s">
        <v>319</v>
      </c>
      <c r="L7" s="789" t="s">
        <v>320</v>
      </c>
      <c r="M7" s="789" t="s">
        <v>321</v>
      </c>
      <c r="N7" s="789" t="s">
        <v>119</v>
      </c>
      <c r="O7" s="789" t="s">
        <v>322</v>
      </c>
    </row>
    <row r="8">
      <c r="B8" s="789">
        <v>50.0</v>
      </c>
      <c r="C8" s="789">
        <v>3.0</v>
      </c>
      <c r="D8" s="5">
        <v>6.5</v>
      </c>
      <c r="G8" s="789" t="s">
        <v>323</v>
      </c>
      <c r="H8" s="789" t="s">
        <v>324</v>
      </c>
      <c r="I8" s="789" t="s">
        <v>325</v>
      </c>
      <c r="J8" s="789" t="s">
        <v>326</v>
      </c>
      <c r="K8" s="789" t="s">
        <v>327</v>
      </c>
      <c r="L8" s="789" t="s">
        <v>267</v>
      </c>
      <c r="M8" s="789" t="s">
        <v>328</v>
      </c>
      <c r="N8" s="789" t="s">
        <v>329</v>
      </c>
      <c r="O8" s="789" t="s">
        <v>40</v>
      </c>
    </row>
    <row r="9">
      <c r="B9" s="789">
        <v>51.0</v>
      </c>
      <c r="C9" s="789">
        <v>4.0</v>
      </c>
      <c r="D9" s="5">
        <v>7.0</v>
      </c>
      <c r="G9" s="789" t="s">
        <v>330</v>
      </c>
      <c r="H9" s="789" t="s">
        <v>35</v>
      </c>
      <c r="I9" s="789" t="s">
        <v>331</v>
      </c>
      <c r="J9" s="789" t="s">
        <v>332</v>
      </c>
      <c r="K9" s="789" t="s">
        <v>333</v>
      </c>
      <c r="L9" s="789" t="s">
        <v>334</v>
      </c>
      <c r="M9" s="789" t="s">
        <v>335</v>
      </c>
      <c r="N9" s="789" t="s">
        <v>336</v>
      </c>
      <c r="O9" s="789" t="s">
        <v>337</v>
      </c>
    </row>
    <row r="10">
      <c r="B10" s="789">
        <v>52.0</v>
      </c>
      <c r="C10" s="789">
        <v>5.0</v>
      </c>
      <c r="D10" s="5">
        <v>7.5</v>
      </c>
      <c r="G10" s="789" t="s">
        <v>338</v>
      </c>
      <c r="H10" s="789" t="s">
        <v>339</v>
      </c>
      <c r="I10" s="789" t="s">
        <v>340</v>
      </c>
      <c r="J10" s="789" t="s">
        <v>341</v>
      </c>
      <c r="K10" s="789" t="s">
        <v>342</v>
      </c>
      <c r="L10" s="789" t="s">
        <v>343</v>
      </c>
      <c r="M10" s="789" t="s">
        <v>344</v>
      </c>
      <c r="N10" s="789" t="s">
        <v>345</v>
      </c>
      <c r="O10" s="789" t="s">
        <v>346</v>
      </c>
    </row>
    <row r="11">
      <c r="B11" s="789">
        <v>53.0</v>
      </c>
      <c r="C11" s="789">
        <v>6.0</v>
      </c>
      <c r="D11" s="5">
        <v>8.0</v>
      </c>
      <c r="G11" s="789" t="s">
        <v>90</v>
      </c>
      <c r="H11" s="789" t="s">
        <v>347</v>
      </c>
      <c r="I11" s="789" t="s">
        <v>291</v>
      </c>
      <c r="J11" s="789" t="s">
        <v>348</v>
      </c>
      <c r="K11" s="789" t="s">
        <v>349</v>
      </c>
      <c r="L11" s="789" t="s">
        <v>350</v>
      </c>
      <c r="M11" s="789" t="s">
        <v>351</v>
      </c>
      <c r="N11" s="789" t="s">
        <v>352</v>
      </c>
      <c r="O11" s="789" t="s">
        <v>353</v>
      </c>
    </row>
    <row r="12">
      <c r="B12" s="789">
        <v>54.0</v>
      </c>
      <c r="C12" s="789">
        <v>7.0</v>
      </c>
      <c r="D12" s="5">
        <v>8.5</v>
      </c>
      <c r="G12" s="789" t="s">
        <v>354</v>
      </c>
      <c r="H12" s="789" t="s">
        <v>355</v>
      </c>
      <c r="I12" s="789" t="s">
        <v>356</v>
      </c>
      <c r="J12" s="789" t="s">
        <v>357</v>
      </c>
      <c r="K12" s="789" t="s">
        <v>358</v>
      </c>
      <c r="L12" s="789" t="s">
        <v>359</v>
      </c>
      <c r="M12" s="789" t="s">
        <v>360</v>
      </c>
      <c r="N12" s="789" t="s">
        <v>361</v>
      </c>
      <c r="O12" s="789" t="s">
        <v>362</v>
      </c>
    </row>
    <row r="13">
      <c r="B13" s="789">
        <v>55.0</v>
      </c>
      <c r="C13" s="789">
        <v>8.0</v>
      </c>
      <c r="D13" s="5">
        <v>9.0</v>
      </c>
      <c r="G13" s="789" t="s">
        <v>363</v>
      </c>
      <c r="H13" s="789" t="s">
        <v>364</v>
      </c>
      <c r="I13" s="789" t="s">
        <v>365</v>
      </c>
      <c r="J13" s="789" t="s">
        <v>366</v>
      </c>
      <c r="K13" s="789" t="s">
        <v>54</v>
      </c>
      <c r="L13" s="789" t="s">
        <v>367</v>
      </c>
      <c r="M13" s="789" t="s">
        <v>368</v>
      </c>
      <c r="N13" s="789" t="s">
        <v>369</v>
      </c>
      <c r="O13" s="789" t="s">
        <v>370</v>
      </c>
    </row>
    <row r="14">
      <c r="B14" s="789">
        <v>56.0</v>
      </c>
      <c r="C14" s="789">
        <v>9.0</v>
      </c>
      <c r="D14" s="5">
        <v>9.5</v>
      </c>
      <c r="G14" s="789" t="s">
        <v>371</v>
      </c>
      <c r="H14" s="789" t="s">
        <v>372</v>
      </c>
      <c r="I14" s="789" t="s">
        <v>373</v>
      </c>
      <c r="J14" s="789" t="s">
        <v>374</v>
      </c>
      <c r="K14" s="789" t="s">
        <v>375</v>
      </c>
      <c r="L14" s="789" t="s">
        <v>376</v>
      </c>
      <c r="M14" s="789" t="s">
        <v>377</v>
      </c>
      <c r="N14" s="789" t="s">
        <v>252</v>
      </c>
      <c r="O14" s="789" t="s">
        <v>378</v>
      </c>
    </row>
    <row r="15">
      <c r="B15" s="789">
        <v>57.0</v>
      </c>
      <c r="C15" s="789">
        <v>10.0</v>
      </c>
      <c r="D15" s="5">
        <v>10.0</v>
      </c>
      <c r="G15" s="789" t="s">
        <v>379</v>
      </c>
      <c r="H15" s="789" t="s">
        <v>380</v>
      </c>
      <c r="I15" s="789" t="s">
        <v>381</v>
      </c>
      <c r="J15" s="789" t="s">
        <v>382</v>
      </c>
      <c r="K15" s="789" t="s">
        <v>383</v>
      </c>
      <c r="M15" s="789" t="s">
        <v>384</v>
      </c>
    </row>
    <row r="16">
      <c r="B16" s="789">
        <v>58.0</v>
      </c>
      <c r="D16" s="5" t="s">
        <v>385</v>
      </c>
      <c r="G16" s="789" t="s">
        <v>386</v>
      </c>
      <c r="H16" s="789" t="s">
        <v>387</v>
      </c>
      <c r="I16" s="789" t="s">
        <v>388</v>
      </c>
      <c r="J16" s="789" t="s">
        <v>389</v>
      </c>
      <c r="K16" s="789" t="s">
        <v>390</v>
      </c>
      <c r="M16" s="789" t="s">
        <v>391</v>
      </c>
    </row>
    <row r="17">
      <c r="B17" s="789">
        <v>59.0</v>
      </c>
      <c r="G17" s="789" t="s">
        <v>392</v>
      </c>
      <c r="H17" s="789" t="s">
        <v>393</v>
      </c>
      <c r="I17" s="789" t="s">
        <v>394</v>
      </c>
      <c r="J17" s="789" t="s">
        <v>263</v>
      </c>
      <c r="K17" s="789" t="s">
        <v>395</v>
      </c>
      <c r="M17" s="789" t="s">
        <v>396</v>
      </c>
    </row>
    <row r="18">
      <c r="B18" s="789">
        <v>60.0</v>
      </c>
      <c r="G18" s="789" t="s">
        <v>397</v>
      </c>
      <c r="H18" s="789" t="s">
        <v>398</v>
      </c>
      <c r="I18" s="789" t="s">
        <v>399</v>
      </c>
      <c r="J18" s="789" t="s">
        <v>400</v>
      </c>
      <c r="K18" s="789" t="s">
        <v>274</v>
      </c>
    </row>
    <row r="19">
      <c r="B19" s="789">
        <v>61.0</v>
      </c>
      <c r="G19" s="789" t="s">
        <v>401</v>
      </c>
      <c r="H19" s="789" t="s">
        <v>402</v>
      </c>
      <c r="I19" s="789" t="s">
        <v>403</v>
      </c>
      <c r="J19" s="789" t="s">
        <v>404</v>
      </c>
      <c r="K19" s="789" t="s">
        <v>405</v>
      </c>
    </row>
    <row r="20">
      <c r="B20" s="789">
        <v>62.0</v>
      </c>
      <c r="G20" s="789" t="s">
        <v>406</v>
      </c>
      <c r="H20" s="789" t="s">
        <v>407</v>
      </c>
      <c r="I20" s="789" t="s">
        <v>408</v>
      </c>
      <c r="J20" s="789" t="s">
        <v>409</v>
      </c>
      <c r="K20" s="789" t="s">
        <v>410</v>
      </c>
    </row>
    <row r="21" ht="15.75" customHeight="1">
      <c r="B21" s="789">
        <v>63.0</v>
      </c>
      <c r="G21" s="789" t="s">
        <v>411</v>
      </c>
      <c r="H21" s="789" t="s">
        <v>412</v>
      </c>
      <c r="I21" s="789" t="s">
        <v>413</v>
      </c>
      <c r="J21" s="789" t="s">
        <v>414</v>
      </c>
      <c r="K21" s="789" t="s">
        <v>45</v>
      </c>
    </row>
    <row r="22" ht="15.75" customHeight="1">
      <c r="B22" s="789">
        <v>64.0</v>
      </c>
      <c r="G22" s="789" t="s">
        <v>415</v>
      </c>
      <c r="H22" s="789" t="s">
        <v>416</v>
      </c>
      <c r="J22" s="789" t="s">
        <v>417</v>
      </c>
      <c r="K22" s="789" t="s">
        <v>418</v>
      </c>
    </row>
    <row r="23" ht="15.75" customHeight="1">
      <c r="B23" s="789">
        <v>65.0</v>
      </c>
      <c r="G23" s="789" t="s">
        <v>419</v>
      </c>
      <c r="J23" s="789" t="s">
        <v>420</v>
      </c>
      <c r="K23" s="789" t="s">
        <v>421</v>
      </c>
    </row>
    <row r="24" ht="15.75" customHeight="1">
      <c r="B24" s="789">
        <v>66.0</v>
      </c>
      <c r="G24" s="789" t="s">
        <v>422</v>
      </c>
    </row>
    <row r="25" ht="15.75" customHeight="1">
      <c r="B25" s="789">
        <v>67.0</v>
      </c>
      <c r="G25" s="789" t="s">
        <v>423</v>
      </c>
    </row>
    <row r="26" ht="15.75" customHeight="1">
      <c r="B26" s="789">
        <v>68.0</v>
      </c>
      <c r="G26" s="789" t="s">
        <v>424</v>
      </c>
    </row>
    <row r="27" ht="15.75" customHeight="1">
      <c r="B27" s="789">
        <v>69.0</v>
      </c>
      <c r="G27" s="789" t="s">
        <v>425</v>
      </c>
    </row>
    <row r="28" ht="15.75" customHeight="1">
      <c r="B28" s="789">
        <v>70.0</v>
      </c>
      <c r="G28" s="789" t="s">
        <v>426</v>
      </c>
    </row>
    <row r="29" ht="15.75" customHeight="1">
      <c r="B29" s="789">
        <v>71.0</v>
      </c>
      <c r="G29" s="789" t="s">
        <v>427</v>
      </c>
    </row>
    <row r="30" ht="15.75" customHeight="1">
      <c r="B30" s="789">
        <v>72.0</v>
      </c>
      <c r="G30" s="789" t="s">
        <v>428</v>
      </c>
    </row>
    <row r="31" ht="15.75" customHeight="1">
      <c r="B31" s="789">
        <v>73.0</v>
      </c>
      <c r="G31" s="789" t="s">
        <v>429</v>
      </c>
    </row>
    <row r="32" ht="15.75" customHeight="1">
      <c r="B32" s="789">
        <v>74.0</v>
      </c>
      <c r="G32" s="789" t="s">
        <v>430</v>
      </c>
    </row>
    <row r="33" ht="15.75" customHeight="1">
      <c r="B33" s="789">
        <v>75.0</v>
      </c>
      <c r="G33" s="789" t="s">
        <v>431</v>
      </c>
    </row>
    <row r="34" ht="15.75" customHeight="1">
      <c r="B34" s="789">
        <v>76.0</v>
      </c>
      <c r="G34" s="789" t="s">
        <v>432</v>
      </c>
    </row>
    <row r="35" ht="15.75" customHeight="1">
      <c r="B35" s="789">
        <v>77.0</v>
      </c>
      <c r="G35" s="789" t="s">
        <v>433</v>
      </c>
    </row>
    <row r="36" ht="15.75" customHeight="1">
      <c r="B36" s="789">
        <v>78.0</v>
      </c>
      <c r="G36" s="789" t="s">
        <v>434</v>
      </c>
    </row>
    <row r="37" ht="15.75" customHeight="1">
      <c r="B37" s="789">
        <v>79.0</v>
      </c>
      <c r="G37" s="789" t="s">
        <v>435</v>
      </c>
    </row>
    <row r="38" ht="15.75" customHeight="1">
      <c r="B38" s="789">
        <v>80.0</v>
      </c>
    </row>
    <row r="39" ht="15.75" customHeight="1">
      <c r="B39" s="789">
        <v>81.0</v>
      </c>
    </row>
    <row r="40" ht="15.75" customHeight="1">
      <c r="B40" s="789">
        <v>82.0</v>
      </c>
    </row>
    <row r="41" ht="15.75" customHeight="1">
      <c r="B41" s="789">
        <v>83.0</v>
      </c>
    </row>
    <row r="42" ht="15.75" customHeight="1">
      <c r="B42" s="789">
        <v>84.0</v>
      </c>
    </row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2017-03-16T03:03:23Z</dcterms:created>
  <dc:creator>Eric</dc:creator>
</cp:coreProperties>
</file>